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3.xml"/>
  <Override ContentType="application/vnd.openxmlformats-officedocument.spreadsheetml.table+xml" PartName="/xl/tables/table4.xml"/>
  <Override ContentType="application/vnd.openxmlformats-officedocument.spreadsheetml.table+xml" PartName="/xl/tables/table5.xml"/>
  <Override ContentType="application/vnd.openxmlformats-officedocument.spreadsheetml.table+xml" PartName="/xl/tables/table6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/>
  <mc:AlternateContent>
    <mc:Choice Requires="x15">
      <x15ac:absPath xmlns:x15ac="http://schemas.microsoft.com/office/spreadsheetml/2010/11/ac" url="G:\"/>
    </mc:Choice>
  </mc:AlternateContent>
  <bookViews>
    <workbookView xWindow="-120" yWindow="-120" windowWidth="29040" windowHeight="15840" tabRatio="718"/>
  </bookViews>
  <sheets>
    <sheet name="Data_Tech" sheetId="9" r:id="rId1"/>
    <sheet name="сверхур" sheetId="26" r:id="rId2"/>
    <sheet name="Лист2" sheetId="68" state="hidden" r:id="rId3"/>
    <sheet name="наряд выходн" sheetId="59" r:id="rId4"/>
    <sheet name="расчет" sheetId="57" r:id="rId5"/>
    <sheet name="база" sheetId="10" r:id="rId6"/>
    <sheet name="наряд СУ" sheetId="60" r:id="rId7"/>
    <sheet name="св-185" sheetId="38" r:id="rId8"/>
    <sheet name="св6001" sheetId="65" r:id="rId9"/>
    <sheet name="757-3" sheetId="25" r:id="rId10"/>
    <sheet name="6001п20" sheetId="61" r:id="rId11"/>
    <sheet name="6001-21" sheetId="62" r:id="rId12"/>
    <sheet name="6001-22" sheetId="63" r:id="rId13"/>
    <sheet name="85-4" sheetId="40" r:id="rId14"/>
    <sheet name="ЭВПН" sheetId="64" r:id="rId15"/>
    <sheet name="6001-23" sheetId="66" r:id="rId16"/>
  </sheets>
  <functionGroups builtInGroupCount="18"/>
  <externalReferences>
    <externalReference r:id="rId17"/>
    <externalReference r:id="rId18"/>
  </externalReferences>
  <definedNames>
    <definedName name="_xlnm._FilterDatabase" localSheetId="0" hidden="1">Data_Tech!$A$1:$AK$837</definedName>
    <definedName name="_xlnm._FilterDatabase" localSheetId="5" hidden="1">база!$G$1:$AL$190</definedName>
    <definedName name="_xlnm.Print_Area" localSheetId="11">'6001-21'!$A$1:$AJ$37</definedName>
    <definedName name="_xlnm.Print_Area" localSheetId="12">'6001-22'!$A$1:$AJ$37</definedName>
    <definedName name="_xlnm.Print_Area" localSheetId="15">'6001-23'!$A$1:$AJ$36</definedName>
    <definedName name="_xlnm.Print_Area" localSheetId="10">'6001п20'!$A$1:$AJ$37</definedName>
    <definedName name="_xlnm.Print_Area" localSheetId="9">'757-3'!$A$1:$AJ$37</definedName>
    <definedName name="_xlnm.Print_Area" localSheetId="13">'85-4'!$A$1:$AJ$33</definedName>
    <definedName name="_xlnm.Print_Area" localSheetId="3">'наряд выходн'!$A$1:$AA$950</definedName>
    <definedName name="_xlnm.Print_Area" localSheetId="6">'наряд СУ'!$A$1:$AA$960</definedName>
    <definedName name="_xlnm.Print_Area" localSheetId="4">расчет!$A$1:$AA$938</definedName>
    <definedName name="_xlnm.Print_Area" localSheetId="7">'св-185'!$A$1:$AJ$30</definedName>
    <definedName name="_xlnm.Print_Area" localSheetId="8">св6001!$A$1:$AJ$29</definedName>
    <definedName name="_xlnm.Print_Area" localSheetId="1">#REF!</definedName>
    <definedName name="_xlnm.Print_Area" localSheetId="14">ЭВПН!$A$1:$AJ$34</definedName>
  </definedNames>
  <calcPr calcId="152511"/>
</workbook>
</file>

<file path=xl/calcChain.xml><?xml version="1.0" encoding="utf-8"?>
<calcChain xmlns="http://schemas.openxmlformats.org/spreadsheetml/2006/main">
  <c r="A4" i="9" l="1"/>
  <c r="B946" i="60" l="1"/>
  <c r="B935" i="60"/>
  <c r="B924" i="60"/>
  <c r="B913" i="60"/>
  <c r="B902" i="60"/>
  <c r="B891" i="60"/>
  <c r="U852" i="60"/>
  <c r="Q852" i="60"/>
  <c r="U851" i="60"/>
  <c r="Q851" i="60"/>
  <c r="U849" i="60"/>
  <c r="Q849" i="60"/>
  <c r="U847" i="60"/>
  <c r="Q847" i="60"/>
  <c r="U846" i="60"/>
  <c r="Q846" i="60"/>
  <c r="I846" i="60"/>
  <c r="I845" i="60"/>
  <c r="U844" i="60"/>
  <c r="Q844" i="60"/>
  <c r="U843" i="60"/>
  <c r="Q843" i="60"/>
  <c r="U841" i="60"/>
  <c r="Q841" i="60"/>
  <c r="U840" i="60"/>
  <c r="Q840" i="60"/>
  <c r="U838" i="60"/>
  <c r="Q838" i="60"/>
  <c r="U836" i="60"/>
  <c r="Q836" i="60"/>
  <c r="U835" i="60"/>
  <c r="Q835" i="60"/>
  <c r="I835" i="60"/>
  <c r="I834" i="60"/>
  <c r="U833" i="60"/>
  <c r="Q833" i="60"/>
  <c r="U832" i="60"/>
  <c r="Q832" i="60"/>
  <c r="U830" i="60"/>
  <c r="Q830" i="60"/>
  <c r="U829" i="60"/>
  <c r="Q829" i="60"/>
  <c r="U827" i="60"/>
  <c r="Q827" i="60"/>
  <c r="U825" i="60"/>
  <c r="Q825" i="60"/>
  <c r="U824" i="60"/>
  <c r="Q824" i="60"/>
  <c r="I824" i="60"/>
  <c r="I823" i="60"/>
  <c r="U822" i="60"/>
  <c r="Q822" i="60"/>
  <c r="U821" i="60"/>
  <c r="Q821" i="60"/>
  <c r="U819" i="60"/>
  <c r="Q819" i="60"/>
  <c r="U818" i="60"/>
  <c r="Q818" i="60"/>
  <c r="U816" i="60"/>
  <c r="Q816" i="60"/>
  <c r="U814" i="60"/>
  <c r="Q814" i="60"/>
  <c r="U813" i="60"/>
  <c r="Q813" i="60"/>
  <c r="I813" i="60"/>
  <c r="I812" i="60"/>
  <c r="U811" i="60"/>
  <c r="Q811" i="60"/>
  <c r="U810" i="60"/>
  <c r="Q810" i="60"/>
  <c r="U808" i="60"/>
  <c r="Q808" i="60"/>
  <c r="U807" i="60"/>
  <c r="Q807" i="60"/>
  <c r="U805" i="60"/>
  <c r="Q805" i="60"/>
  <c r="U803" i="60"/>
  <c r="Q803" i="60"/>
  <c r="U802" i="60"/>
  <c r="Q802" i="60"/>
  <c r="I802" i="60"/>
  <c r="I801" i="60"/>
  <c r="U800" i="60"/>
  <c r="Q800" i="60"/>
  <c r="U799" i="60"/>
  <c r="Q799" i="60"/>
  <c r="U797" i="60"/>
  <c r="Q797" i="60"/>
  <c r="U796" i="60"/>
  <c r="Q796" i="60"/>
  <c r="U794" i="60"/>
  <c r="Q794" i="60"/>
  <c r="U792" i="60"/>
  <c r="Q792" i="60"/>
  <c r="U791" i="60"/>
  <c r="Q791" i="60"/>
  <c r="I791" i="60"/>
  <c r="I790" i="60"/>
  <c r="U789" i="60"/>
  <c r="Q789" i="60"/>
  <c r="U788" i="60"/>
  <c r="Q788" i="60"/>
  <c r="U786" i="60"/>
  <c r="Q786" i="60"/>
  <c r="U785" i="60"/>
  <c r="Q785" i="60"/>
  <c r="U783" i="60"/>
  <c r="Q783" i="60"/>
  <c r="U781" i="60"/>
  <c r="Q781" i="60"/>
  <c r="U780" i="60"/>
  <c r="Q780" i="60"/>
  <c r="I780" i="60"/>
  <c r="I779" i="60"/>
  <c r="U778" i="60"/>
  <c r="Q778" i="60"/>
  <c r="U777" i="60"/>
  <c r="Q777" i="60"/>
  <c r="U775" i="60"/>
  <c r="Q775" i="60"/>
  <c r="U774" i="60"/>
  <c r="Q774" i="60"/>
  <c r="U772" i="60"/>
  <c r="Q772" i="60"/>
  <c r="U770" i="60"/>
  <c r="Q770" i="60"/>
  <c r="U769" i="60"/>
  <c r="Q769" i="60"/>
  <c r="I769" i="60"/>
  <c r="I768" i="60"/>
  <c r="U767" i="60"/>
  <c r="Q767" i="60"/>
  <c r="U766" i="60"/>
  <c r="Q766" i="60"/>
  <c r="U764" i="60"/>
  <c r="Q764" i="60"/>
  <c r="U763" i="60"/>
  <c r="Q763" i="60"/>
  <c r="U761" i="60"/>
  <c r="Q761" i="60"/>
  <c r="U759" i="60"/>
  <c r="Q759" i="60"/>
  <c r="U758" i="60"/>
  <c r="Q758" i="60"/>
  <c r="I758" i="60"/>
  <c r="I757" i="60"/>
  <c r="U756" i="60"/>
  <c r="Q756" i="60"/>
  <c r="U755" i="60"/>
  <c r="Q755" i="60"/>
  <c r="B935" i="59"/>
  <c r="B924" i="59"/>
  <c r="B913" i="59"/>
  <c r="B902" i="59"/>
  <c r="S898" i="59" s="1"/>
  <c r="B891" i="59"/>
  <c r="U852" i="59"/>
  <c r="Q852" i="59"/>
  <c r="L852" i="59"/>
  <c r="H852" i="59"/>
  <c r="U851" i="59"/>
  <c r="Q851" i="59"/>
  <c r="L851" i="59"/>
  <c r="H851" i="59"/>
  <c r="L850" i="59"/>
  <c r="H850" i="59"/>
  <c r="U849" i="59"/>
  <c r="Q849" i="59"/>
  <c r="L849" i="59"/>
  <c r="H849" i="59"/>
  <c r="L848" i="59"/>
  <c r="H848" i="59"/>
  <c r="U847" i="59"/>
  <c r="Q847" i="59"/>
  <c r="L847" i="59"/>
  <c r="H847" i="59"/>
  <c r="U846" i="59"/>
  <c r="Q846" i="59"/>
  <c r="I846" i="59"/>
  <c r="H846" i="59"/>
  <c r="I845" i="59"/>
  <c r="H845" i="59"/>
  <c r="U844" i="59"/>
  <c r="Q844" i="59"/>
  <c r="L844" i="59"/>
  <c r="H844" i="59"/>
  <c r="U843" i="59"/>
  <c r="Q843" i="59"/>
  <c r="U841" i="59"/>
  <c r="Q841" i="59"/>
  <c r="L841" i="59"/>
  <c r="H841" i="59"/>
  <c r="U840" i="59"/>
  <c r="Q840" i="59"/>
  <c r="L840" i="59"/>
  <c r="H840" i="59"/>
  <c r="L839" i="59"/>
  <c r="H839" i="59"/>
  <c r="U838" i="59"/>
  <c r="Q838" i="59"/>
  <c r="L838" i="59"/>
  <c r="H838" i="59"/>
  <c r="L837" i="59"/>
  <c r="H837" i="59"/>
  <c r="U836" i="59"/>
  <c r="Q836" i="59"/>
  <c r="L836" i="59"/>
  <c r="H836" i="59"/>
  <c r="U835" i="59"/>
  <c r="Q835" i="59"/>
  <c r="I835" i="59"/>
  <c r="H835" i="59"/>
  <c r="I834" i="59"/>
  <c r="H834" i="59"/>
  <c r="U833" i="59"/>
  <c r="Q833" i="59"/>
  <c r="L833" i="59"/>
  <c r="H833" i="59"/>
  <c r="U832" i="59"/>
  <c r="Q832" i="59"/>
  <c r="U830" i="59"/>
  <c r="Q830" i="59"/>
  <c r="L830" i="59"/>
  <c r="H830" i="59"/>
  <c r="U829" i="59"/>
  <c r="Q829" i="59"/>
  <c r="L829" i="59"/>
  <c r="H829" i="59"/>
  <c r="L828" i="59"/>
  <c r="H828" i="59"/>
  <c r="U827" i="59"/>
  <c r="Q827" i="59"/>
  <c r="L827" i="59"/>
  <c r="H827" i="59"/>
  <c r="L826" i="59"/>
  <c r="H826" i="59"/>
  <c r="U825" i="59"/>
  <c r="Q825" i="59"/>
  <c r="L825" i="59"/>
  <c r="H825" i="59"/>
  <c r="U824" i="59"/>
  <c r="Q824" i="59"/>
  <c r="I824" i="59"/>
  <c r="H824" i="59"/>
  <c r="I823" i="59"/>
  <c r="H823" i="59"/>
  <c r="U822" i="59"/>
  <c r="Q822" i="59"/>
  <c r="L822" i="59"/>
  <c r="H822" i="59"/>
  <c r="U821" i="59"/>
  <c r="Q821" i="59"/>
  <c r="U819" i="59"/>
  <c r="Q819" i="59"/>
  <c r="L819" i="59"/>
  <c r="H819" i="59"/>
  <c r="U818" i="59"/>
  <c r="Q818" i="59"/>
  <c r="L818" i="59"/>
  <c r="H818" i="59"/>
  <c r="L817" i="59"/>
  <c r="H817" i="59"/>
  <c r="U816" i="59"/>
  <c r="Q816" i="59"/>
  <c r="L816" i="59"/>
  <c r="H816" i="59"/>
  <c r="L815" i="59"/>
  <c r="H815" i="59"/>
  <c r="U814" i="59"/>
  <c r="Q814" i="59"/>
  <c r="L814" i="59"/>
  <c r="H814" i="59"/>
  <c r="U813" i="59"/>
  <c r="Q813" i="59"/>
  <c r="I813" i="59"/>
  <c r="H813" i="59"/>
  <c r="I812" i="59"/>
  <c r="H812" i="59"/>
  <c r="U811" i="59"/>
  <c r="Q811" i="59"/>
  <c r="L811" i="59"/>
  <c r="H811" i="59"/>
  <c r="U810" i="59"/>
  <c r="Q810" i="59"/>
  <c r="U808" i="59"/>
  <c r="Q808" i="59"/>
  <c r="L808" i="59"/>
  <c r="H808" i="59"/>
  <c r="U807" i="59"/>
  <c r="Q807" i="59"/>
  <c r="L807" i="59"/>
  <c r="H807" i="59"/>
  <c r="L806" i="59"/>
  <c r="H806" i="59"/>
  <c r="U805" i="59"/>
  <c r="Q805" i="59"/>
  <c r="L805" i="59"/>
  <c r="H805" i="59"/>
  <c r="L804" i="59"/>
  <c r="H804" i="59"/>
  <c r="U803" i="59"/>
  <c r="Q803" i="59"/>
  <c r="L803" i="59"/>
  <c r="H803" i="59"/>
  <c r="U802" i="59"/>
  <c r="Q802" i="59"/>
  <c r="I802" i="59"/>
  <c r="H802" i="59"/>
  <c r="I801" i="59"/>
  <c r="H801" i="59"/>
  <c r="U800" i="59"/>
  <c r="Q800" i="59"/>
  <c r="L800" i="59"/>
  <c r="H800" i="59"/>
  <c r="U799" i="59"/>
  <c r="Q799" i="59"/>
  <c r="U797" i="59"/>
  <c r="Q797" i="59"/>
  <c r="L797" i="59"/>
  <c r="H797" i="59"/>
  <c r="U796" i="59"/>
  <c r="Q796" i="59"/>
  <c r="L796" i="59"/>
  <c r="H796" i="59"/>
  <c r="L795" i="59"/>
  <c r="H795" i="59"/>
  <c r="U794" i="59"/>
  <c r="Q794" i="59"/>
  <c r="L794" i="59"/>
  <c r="H794" i="59"/>
  <c r="L793" i="59"/>
  <c r="H793" i="59"/>
  <c r="U792" i="59"/>
  <c r="Q792" i="59"/>
  <c r="L792" i="59"/>
  <c r="H792" i="59"/>
  <c r="U791" i="59"/>
  <c r="Q791" i="59"/>
  <c r="I791" i="59"/>
  <c r="H791" i="59"/>
  <c r="I790" i="59"/>
  <c r="H790" i="59"/>
  <c r="U789" i="59"/>
  <c r="Q789" i="59"/>
  <c r="L789" i="59"/>
  <c r="H789" i="59"/>
  <c r="U788" i="59"/>
  <c r="Q788" i="59"/>
  <c r="U786" i="59"/>
  <c r="Q786" i="59"/>
  <c r="L786" i="59"/>
  <c r="H786" i="59"/>
  <c r="U785" i="59"/>
  <c r="Q785" i="59"/>
  <c r="L785" i="59"/>
  <c r="H785" i="59"/>
  <c r="L784" i="59"/>
  <c r="H784" i="59"/>
  <c r="U783" i="59"/>
  <c r="Q783" i="59"/>
  <c r="L783" i="59"/>
  <c r="H783" i="59"/>
  <c r="L782" i="59"/>
  <c r="H782" i="59"/>
  <c r="U781" i="59"/>
  <c r="Q781" i="59"/>
  <c r="L781" i="59"/>
  <c r="H781" i="59"/>
  <c r="U780" i="59"/>
  <c r="Q780" i="59"/>
  <c r="I780" i="59"/>
  <c r="H780" i="59"/>
  <c r="I779" i="59"/>
  <c r="H779" i="59"/>
  <c r="U778" i="59"/>
  <c r="Q778" i="59"/>
  <c r="L778" i="59"/>
  <c r="H778" i="59"/>
  <c r="U777" i="59"/>
  <c r="Q777" i="59"/>
  <c r="U775" i="59"/>
  <c r="Q775" i="59"/>
  <c r="L775" i="59"/>
  <c r="H775" i="59"/>
  <c r="U774" i="59"/>
  <c r="Q774" i="59"/>
  <c r="L774" i="59"/>
  <c r="H774" i="59"/>
  <c r="L773" i="59"/>
  <c r="H773" i="59"/>
  <c r="U772" i="59"/>
  <c r="Q772" i="59"/>
  <c r="L772" i="59"/>
  <c r="H772" i="59"/>
  <c r="L771" i="59"/>
  <c r="H771" i="59"/>
  <c r="U770" i="59"/>
  <c r="Q770" i="59"/>
  <c r="L770" i="59"/>
  <c r="H770" i="59"/>
  <c r="U769" i="59"/>
  <c r="Q769" i="59"/>
  <c r="I769" i="59"/>
  <c r="H769" i="59"/>
  <c r="I768" i="59"/>
  <c r="H768" i="59"/>
  <c r="U767" i="59"/>
  <c r="Q767" i="59"/>
  <c r="L767" i="59"/>
  <c r="H767" i="59"/>
  <c r="U766" i="59"/>
  <c r="Q766" i="59"/>
  <c r="B924" i="57"/>
  <c r="B913" i="57"/>
  <c r="B902" i="57"/>
  <c r="B891" i="57"/>
  <c r="U896" i="57"/>
  <c r="Q896" i="57"/>
  <c r="W895" i="57"/>
  <c r="X895" i="57" s="1"/>
  <c r="U895" i="57"/>
  <c r="Q895" i="57"/>
  <c r="W893" i="57"/>
  <c r="X893" i="57" s="1"/>
  <c r="U893" i="57"/>
  <c r="Q893" i="57"/>
  <c r="U891" i="57"/>
  <c r="Q891" i="57"/>
  <c r="S896" i="57"/>
  <c r="T896" i="57" s="1"/>
  <c r="U890" i="57"/>
  <c r="Q890" i="57"/>
  <c r="K890" i="57"/>
  <c r="L890" i="57" s="1"/>
  <c r="I890" i="57"/>
  <c r="W889" i="57"/>
  <c r="I889" i="57"/>
  <c r="W888" i="57"/>
  <c r="X888" i="57" s="1"/>
  <c r="U888" i="57"/>
  <c r="S888" i="57"/>
  <c r="Q888" i="57"/>
  <c r="U887" i="57"/>
  <c r="Q887" i="57"/>
  <c r="O887" i="57"/>
  <c r="P887" i="57" s="1"/>
  <c r="G887" i="57"/>
  <c r="S886" i="57"/>
  <c r="O886" i="57"/>
  <c r="P886" i="57" s="1"/>
  <c r="G886" i="57"/>
  <c r="U885" i="57"/>
  <c r="Q885" i="57"/>
  <c r="U884" i="57"/>
  <c r="Q884" i="57"/>
  <c r="U882" i="57"/>
  <c r="Q882" i="57"/>
  <c r="U880" i="57"/>
  <c r="Q880" i="57"/>
  <c r="U879" i="57"/>
  <c r="Q879" i="57"/>
  <c r="I879" i="57"/>
  <c r="I878" i="57"/>
  <c r="U877" i="57"/>
  <c r="Q877" i="57"/>
  <c r="U876" i="57"/>
  <c r="Q876" i="57"/>
  <c r="U874" i="57"/>
  <c r="Q874" i="57"/>
  <c r="U873" i="57"/>
  <c r="Q873" i="57"/>
  <c r="U871" i="57"/>
  <c r="Q871" i="57"/>
  <c r="U869" i="57"/>
  <c r="Q869" i="57"/>
  <c r="U868" i="57"/>
  <c r="Q868" i="57"/>
  <c r="I868" i="57"/>
  <c r="I867" i="57"/>
  <c r="U866" i="57"/>
  <c r="Q866" i="57"/>
  <c r="U865" i="57"/>
  <c r="Q865" i="57"/>
  <c r="U918" i="59"/>
  <c r="Q918" i="59"/>
  <c r="L918" i="59"/>
  <c r="H918" i="59"/>
  <c r="U917" i="59"/>
  <c r="Q917" i="59"/>
  <c r="L917" i="59"/>
  <c r="H917" i="59"/>
  <c r="L916" i="59"/>
  <c r="H916" i="59"/>
  <c r="U915" i="59"/>
  <c r="Q915" i="59"/>
  <c r="L915" i="59"/>
  <c r="H915" i="59"/>
  <c r="L914" i="59"/>
  <c r="H914" i="59"/>
  <c r="W913" i="59"/>
  <c r="X913" i="59" s="1"/>
  <c r="U913" i="59"/>
  <c r="Q913" i="59"/>
  <c r="L913" i="59"/>
  <c r="H913" i="59"/>
  <c r="U912" i="59"/>
  <c r="S912" i="59"/>
  <c r="Q912" i="59"/>
  <c r="I912" i="59"/>
  <c r="H912" i="59"/>
  <c r="W911" i="59"/>
  <c r="I911" i="59"/>
  <c r="H911" i="59"/>
  <c r="U910" i="59"/>
  <c r="S910" i="59"/>
  <c r="T910" i="59" s="1"/>
  <c r="Q910" i="59"/>
  <c r="L910" i="59"/>
  <c r="H910" i="59"/>
  <c r="U909" i="59"/>
  <c r="Q909" i="59"/>
  <c r="O909" i="59"/>
  <c r="P909" i="59" s="1"/>
  <c r="G909" i="59"/>
  <c r="O908" i="59"/>
  <c r="P908" i="59" s="1"/>
  <c r="G908" i="59"/>
  <c r="U907" i="59"/>
  <c r="Q907" i="59"/>
  <c r="L907" i="59"/>
  <c r="H907" i="59"/>
  <c r="U906" i="59"/>
  <c r="Q906" i="59"/>
  <c r="L906" i="59"/>
  <c r="H906" i="59"/>
  <c r="L905" i="59"/>
  <c r="H905" i="59"/>
  <c r="U904" i="59"/>
  <c r="Q904" i="59"/>
  <c r="L904" i="59"/>
  <c r="H904" i="59"/>
  <c r="L903" i="59"/>
  <c r="H903" i="59"/>
  <c r="U902" i="59"/>
  <c r="Q902" i="59"/>
  <c r="L902" i="59"/>
  <c r="H902" i="59"/>
  <c r="U901" i="59"/>
  <c r="Q901" i="59"/>
  <c r="I901" i="59"/>
  <c r="H901" i="59"/>
  <c r="K900" i="59"/>
  <c r="L900" i="59" s="1"/>
  <c r="I900" i="59"/>
  <c r="H900" i="59"/>
  <c r="U899" i="59"/>
  <c r="Q899" i="59"/>
  <c r="L899" i="59"/>
  <c r="H899" i="59"/>
  <c r="U898" i="59"/>
  <c r="Q898" i="59"/>
  <c r="S904" i="59" l="1"/>
  <c r="T904" i="59" s="1"/>
  <c r="S905" i="59"/>
  <c r="S906" i="59"/>
  <c r="T906" i="59" s="1"/>
  <c r="G897" i="59"/>
  <c r="W901" i="59"/>
  <c r="X901" i="59" s="1"/>
  <c r="G898" i="59"/>
  <c r="K901" i="59"/>
  <c r="L901" i="59" s="1"/>
  <c r="W897" i="59"/>
  <c r="S899" i="59"/>
  <c r="T899" i="59" s="1"/>
  <c r="W898" i="59"/>
  <c r="X898" i="59" s="1"/>
  <c r="O898" i="59"/>
  <c r="P898" i="59" s="1"/>
  <c r="S897" i="59"/>
  <c r="K897" i="59"/>
  <c r="K898" i="59"/>
  <c r="W899" i="59"/>
  <c r="X899" i="59" s="1"/>
  <c r="W900" i="59"/>
  <c r="W907" i="59"/>
  <c r="X907" i="59" s="1"/>
  <c r="S907" i="59"/>
  <c r="T907" i="59" s="1"/>
  <c r="T912" i="59"/>
  <c r="S918" i="59"/>
  <c r="T918" i="59" s="1"/>
  <c r="K912" i="59"/>
  <c r="S909" i="59"/>
  <c r="T909" i="59" s="1"/>
  <c r="S908" i="59"/>
  <c r="O897" i="59"/>
  <c r="P897" i="59" s="1"/>
  <c r="S901" i="59"/>
  <c r="T901" i="59" s="1"/>
  <c r="W902" i="59"/>
  <c r="X902" i="59" s="1"/>
  <c r="T888" i="57"/>
  <c r="S893" i="57"/>
  <c r="T893" i="57" s="1"/>
  <c r="S895" i="57"/>
  <c r="T895" i="57" s="1"/>
  <c r="W887" i="57"/>
  <c r="X887" i="57" s="1"/>
  <c r="S889" i="57"/>
  <c r="W890" i="57"/>
  <c r="X890" i="57" s="1"/>
  <c r="W891" i="57"/>
  <c r="X891" i="57" s="1"/>
  <c r="W892" i="57"/>
  <c r="W894" i="57"/>
  <c r="W896" i="57"/>
  <c r="X896" i="57" s="1"/>
  <c r="K886" i="57"/>
  <c r="W886" i="57"/>
  <c r="S887" i="57"/>
  <c r="T887" i="57" s="1"/>
  <c r="K889" i="57"/>
  <c r="L889" i="57" s="1"/>
  <c r="S890" i="57"/>
  <c r="T890" i="57" s="1"/>
  <c r="S891" i="57"/>
  <c r="T891" i="57" s="1"/>
  <c r="S892" i="57"/>
  <c r="S894" i="57"/>
  <c r="L912" i="59"/>
  <c r="T898" i="59"/>
  <c r="S913" i="59"/>
  <c r="T913" i="59" s="1"/>
  <c r="W914" i="59"/>
  <c r="S911" i="59"/>
  <c r="S914" i="59"/>
  <c r="W915" i="59"/>
  <c r="X915" i="59" s="1"/>
  <c r="W916" i="59"/>
  <c r="W917" i="59"/>
  <c r="X917" i="59" s="1"/>
  <c r="W918" i="59"/>
  <c r="X918" i="59" s="1"/>
  <c r="S902" i="59"/>
  <c r="T902" i="59" s="1"/>
  <c r="W903" i="59"/>
  <c r="S900" i="59"/>
  <c r="S903" i="59"/>
  <c r="W904" i="59"/>
  <c r="X904" i="59" s="1"/>
  <c r="W905" i="59"/>
  <c r="W906" i="59"/>
  <c r="X906" i="59" s="1"/>
  <c r="K908" i="59"/>
  <c r="W908" i="59"/>
  <c r="K909" i="59"/>
  <c r="W909" i="59"/>
  <c r="X909" i="59" s="1"/>
  <c r="W910" i="59"/>
  <c r="X910" i="59" s="1"/>
  <c r="K911" i="59"/>
  <c r="L911" i="59" s="1"/>
  <c r="W912" i="59"/>
  <c r="X912" i="59" s="1"/>
  <c r="S915" i="59"/>
  <c r="T915" i="59" s="1"/>
  <c r="S916" i="59"/>
  <c r="S917" i="59"/>
  <c r="T917" i="59" s="1"/>
  <c r="U885" i="59"/>
  <c r="Q885" i="59"/>
  <c r="L885" i="59"/>
  <c r="H885" i="59"/>
  <c r="U884" i="59"/>
  <c r="Q884" i="59"/>
  <c r="L884" i="59"/>
  <c r="H884" i="59"/>
  <c r="L883" i="59"/>
  <c r="H883" i="59"/>
  <c r="U882" i="59"/>
  <c r="Q882" i="59"/>
  <c r="L882" i="59"/>
  <c r="H882" i="59"/>
  <c r="L881" i="59"/>
  <c r="H881" i="59"/>
  <c r="U880" i="59"/>
  <c r="Q880" i="59"/>
  <c r="L880" i="59"/>
  <c r="H880" i="59"/>
  <c r="U879" i="59"/>
  <c r="Q879" i="59"/>
  <c r="I879" i="59"/>
  <c r="H879" i="59"/>
  <c r="I878" i="59"/>
  <c r="H878" i="59"/>
  <c r="U877" i="59"/>
  <c r="Q877" i="59"/>
  <c r="L877" i="59"/>
  <c r="H877" i="59"/>
  <c r="U876" i="59"/>
  <c r="Q876" i="59"/>
  <c r="U874" i="59"/>
  <c r="Q874" i="59"/>
  <c r="L874" i="59"/>
  <c r="H874" i="59"/>
  <c r="U873" i="59"/>
  <c r="Q873" i="59"/>
  <c r="L873" i="59"/>
  <c r="H873" i="59"/>
  <c r="L872" i="59"/>
  <c r="H872" i="59"/>
  <c r="U871" i="59"/>
  <c r="Q871" i="59"/>
  <c r="L871" i="59"/>
  <c r="H871" i="59"/>
  <c r="L870" i="59"/>
  <c r="H870" i="59"/>
  <c r="U869" i="59"/>
  <c r="Q869" i="59"/>
  <c r="L869" i="59"/>
  <c r="H869" i="59"/>
  <c r="U868" i="59"/>
  <c r="Q868" i="59"/>
  <c r="I868" i="59"/>
  <c r="H868" i="59"/>
  <c r="I867" i="59"/>
  <c r="H867" i="59"/>
  <c r="U866" i="59"/>
  <c r="Q866" i="59"/>
  <c r="L866" i="59"/>
  <c r="H866" i="59"/>
  <c r="U865" i="59"/>
  <c r="Q865" i="59"/>
  <c r="U863" i="59"/>
  <c r="Q863" i="59"/>
  <c r="L863" i="59"/>
  <c r="H863" i="59"/>
  <c r="U862" i="59"/>
  <c r="Q862" i="59"/>
  <c r="L862" i="59"/>
  <c r="H862" i="59"/>
  <c r="L861" i="59"/>
  <c r="H861" i="59"/>
  <c r="U860" i="59"/>
  <c r="Q860" i="59"/>
  <c r="L860" i="59"/>
  <c r="H860" i="59"/>
  <c r="L859" i="59"/>
  <c r="H859" i="59"/>
  <c r="U858" i="59"/>
  <c r="Q858" i="59"/>
  <c r="L858" i="59"/>
  <c r="H858" i="59"/>
  <c r="U857" i="59"/>
  <c r="Q857" i="59"/>
  <c r="I857" i="59"/>
  <c r="H857" i="59"/>
  <c r="I856" i="59"/>
  <c r="H856" i="59"/>
  <c r="U855" i="59"/>
  <c r="Q855" i="59"/>
  <c r="L855" i="59"/>
  <c r="H855" i="59"/>
  <c r="U854" i="59"/>
  <c r="Q854" i="59"/>
  <c r="T916" i="60"/>
  <c r="S907" i="60"/>
  <c r="U918" i="60"/>
  <c r="Q918" i="60"/>
  <c r="U917" i="60"/>
  <c r="Q917" i="60"/>
  <c r="U915" i="60"/>
  <c r="Q915" i="60"/>
  <c r="U913" i="60"/>
  <c r="Q913" i="60"/>
  <c r="U912" i="60"/>
  <c r="Q912" i="60"/>
  <c r="I912" i="60"/>
  <c r="I911" i="60"/>
  <c r="U910" i="60"/>
  <c r="Q910" i="60"/>
  <c r="U909" i="60"/>
  <c r="S909" i="60"/>
  <c r="Q909" i="60"/>
  <c r="S908" i="60"/>
  <c r="O908" i="60"/>
  <c r="P908" i="60" s="1"/>
  <c r="X907" i="60"/>
  <c r="U907" i="60"/>
  <c r="T907" i="60"/>
  <c r="Q907" i="60"/>
  <c r="W906" i="60"/>
  <c r="U906" i="60"/>
  <c r="Q906" i="60"/>
  <c r="X905" i="60"/>
  <c r="T905" i="60"/>
  <c r="S905" i="60"/>
  <c r="W904" i="60"/>
  <c r="U904" i="60"/>
  <c r="Q904" i="60"/>
  <c r="T903" i="60"/>
  <c r="X902" i="60"/>
  <c r="U902" i="60"/>
  <c r="T902" i="60"/>
  <c r="S902" i="60"/>
  <c r="Q902" i="60"/>
  <c r="W907" i="60"/>
  <c r="X901" i="60"/>
  <c r="W901" i="60"/>
  <c r="U901" i="60"/>
  <c r="T901" i="60"/>
  <c r="S901" i="60"/>
  <c r="Q901" i="60"/>
  <c r="K901" i="60"/>
  <c r="I901" i="60"/>
  <c r="X900" i="60"/>
  <c r="T900" i="60"/>
  <c r="S900" i="60"/>
  <c r="L900" i="60"/>
  <c r="K900" i="60"/>
  <c r="I900" i="60"/>
  <c r="W899" i="60"/>
  <c r="U899" i="60"/>
  <c r="T899" i="60"/>
  <c r="Q899" i="60"/>
  <c r="X898" i="60"/>
  <c r="W898" i="60"/>
  <c r="U898" i="60"/>
  <c r="T898" i="60"/>
  <c r="S898" i="60"/>
  <c r="Q898" i="60"/>
  <c r="O898" i="60"/>
  <c r="P898" i="60" s="1"/>
  <c r="L898" i="60"/>
  <c r="K898" i="60"/>
  <c r="H898" i="60"/>
  <c r="G898" i="60"/>
  <c r="X897" i="60"/>
  <c r="W897" i="60"/>
  <c r="T897" i="60"/>
  <c r="S897" i="60"/>
  <c r="O897" i="60"/>
  <c r="P897" i="60" s="1"/>
  <c r="L897" i="60"/>
  <c r="K897" i="60"/>
  <c r="H897" i="60"/>
  <c r="G897" i="60"/>
  <c r="X896" i="60"/>
  <c r="W896" i="60"/>
  <c r="U896" i="60"/>
  <c r="T896" i="60"/>
  <c r="S896" i="60"/>
  <c r="Q896" i="60"/>
  <c r="W895" i="60"/>
  <c r="U895" i="60"/>
  <c r="T895" i="60"/>
  <c r="Q895" i="60"/>
  <c r="X894" i="60"/>
  <c r="W894" i="60"/>
  <c r="T894" i="60"/>
  <c r="S894" i="60"/>
  <c r="W893" i="60"/>
  <c r="U893" i="60"/>
  <c r="T893" i="60"/>
  <c r="Q893" i="60"/>
  <c r="X892" i="60"/>
  <c r="T892" i="60"/>
  <c r="S892" i="60"/>
  <c r="X891" i="60"/>
  <c r="W891" i="60"/>
  <c r="U891" i="60"/>
  <c r="T891" i="60"/>
  <c r="S891" i="60"/>
  <c r="Q891" i="60"/>
  <c r="X895" i="60"/>
  <c r="X890" i="60"/>
  <c r="W890" i="60"/>
  <c r="U890" i="60"/>
  <c r="T890" i="60"/>
  <c r="S890" i="60"/>
  <c r="Q890" i="60"/>
  <c r="L890" i="60"/>
  <c r="K890" i="60"/>
  <c r="I890" i="60"/>
  <c r="X889" i="60"/>
  <c r="W889" i="60"/>
  <c r="T889" i="60"/>
  <c r="S889" i="60"/>
  <c r="L889" i="60"/>
  <c r="K889" i="60"/>
  <c r="I889" i="60"/>
  <c r="X888" i="60"/>
  <c r="W888" i="60"/>
  <c r="U888" i="60"/>
  <c r="T888" i="60"/>
  <c r="S888" i="60"/>
  <c r="Q888" i="60"/>
  <c r="X887" i="60"/>
  <c r="W887" i="60"/>
  <c r="U887" i="60"/>
  <c r="T887" i="60"/>
  <c r="S887" i="60"/>
  <c r="Q887" i="60"/>
  <c r="O887" i="60"/>
  <c r="P887" i="60" s="1"/>
  <c r="L887" i="60"/>
  <c r="K887" i="60"/>
  <c r="H887" i="60"/>
  <c r="G887" i="60"/>
  <c r="X886" i="60"/>
  <c r="W886" i="60"/>
  <c r="T886" i="60"/>
  <c r="S886" i="60"/>
  <c r="O886" i="60"/>
  <c r="P886" i="60" s="1"/>
  <c r="L886" i="60"/>
  <c r="K886" i="60"/>
  <c r="H886" i="60"/>
  <c r="G886" i="60"/>
  <c r="G909" i="60" l="1"/>
  <c r="G908" i="60"/>
  <c r="H909" i="60"/>
  <c r="X909" i="60"/>
  <c r="Y897" i="59"/>
  <c r="AC903" i="59" s="1"/>
  <c r="Y886" i="57"/>
  <c r="AC891" i="57" s="1"/>
  <c r="Y908" i="59"/>
  <c r="AC914" i="59" s="1"/>
  <c r="K911" i="60"/>
  <c r="T912" i="60"/>
  <c r="T918" i="60"/>
  <c r="H908" i="60"/>
  <c r="T908" i="60"/>
  <c r="L909" i="60"/>
  <c r="T909" i="60"/>
  <c r="L911" i="60"/>
  <c r="K912" i="60"/>
  <c r="T913" i="60"/>
  <c r="L908" i="60"/>
  <c r="X908" i="60"/>
  <c r="O909" i="60"/>
  <c r="P909" i="60" s="1"/>
  <c r="W910" i="60"/>
  <c r="T911" i="60"/>
  <c r="X912" i="60"/>
  <c r="W915" i="60"/>
  <c r="W917" i="60"/>
  <c r="S912" i="60"/>
  <c r="X918" i="60"/>
  <c r="W914" i="60"/>
  <c r="S915" i="60"/>
  <c r="X915" i="60"/>
  <c r="S917" i="60"/>
  <c r="X917" i="60"/>
  <c r="W903" i="60"/>
  <c r="S904" i="60"/>
  <c r="X904" i="60"/>
  <c r="S906" i="60"/>
  <c r="X906" i="60"/>
  <c r="S910" i="60"/>
  <c r="X910" i="60"/>
  <c r="W911" i="60"/>
  <c r="L912" i="60"/>
  <c r="W913" i="60"/>
  <c r="S914" i="60"/>
  <c r="X914" i="60"/>
  <c r="T915" i="60"/>
  <c r="W916" i="60"/>
  <c r="T917" i="60"/>
  <c r="W918" i="60"/>
  <c r="W892" i="60"/>
  <c r="S893" i="60"/>
  <c r="X893" i="60"/>
  <c r="Z886" i="60" s="1"/>
  <c r="AC891" i="60" s="1"/>
  <c r="S895" i="60"/>
  <c r="S899" i="60"/>
  <c r="X899" i="60"/>
  <c r="W900" i="60"/>
  <c r="L901" i="60"/>
  <c r="W902" i="60"/>
  <c r="S903" i="60"/>
  <c r="X903" i="60"/>
  <c r="T904" i="60"/>
  <c r="W905" i="60"/>
  <c r="T906" i="60"/>
  <c r="K908" i="60"/>
  <c r="W908" i="60"/>
  <c r="K909" i="60"/>
  <c r="W909" i="60"/>
  <c r="T910" i="60"/>
  <c r="S911" i="60"/>
  <c r="X911" i="60"/>
  <c r="W912" i="60"/>
  <c r="S913" i="60"/>
  <c r="X913" i="60"/>
  <c r="T914" i="60"/>
  <c r="S916" i="60"/>
  <c r="X916" i="60"/>
  <c r="S918" i="60"/>
  <c r="AD935" i="57"/>
  <c r="Z908" i="60" l="1"/>
  <c r="AC913" i="60" s="1"/>
  <c r="Y908" i="60"/>
  <c r="AC914" i="60" s="1"/>
  <c r="Y897" i="60"/>
  <c r="AC903" i="60" s="1"/>
  <c r="Z897" i="60"/>
  <c r="AC902" i="60" s="1"/>
  <c r="Y886" i="60"/>
  <c r="AC892" i="60" s="1"/>
  <c r="AS20" i="10"/>
  <c r="K51" i="10"/>
  <c r="K53" i="10"/>
  <c r="J54" i="10"/>
  <c r="K54" i="10"/>
  <c r="L54" i="10"/>
  <c r="J55" i="10"/>
  <c r="K55" i="10"/>
  <c r="L55" i="10"/>
  <c r="K56" i="10"/>
  <c r="K57" i="10"/>
  <c r="K58" i="10"/>
  <c r="K59" i="10"/>
  <c r="J40" i="10"/>
  <c r="K40" i="10"/>
  <c r="L40" i="10"/>
  <c r="J44" i="10"/>
  <c r="K44" i="10"/>
  <c r="L44" i="10"/>
  <c r="J45" i="10"/>
  <c r="K45" i="10"/>
  <c r="L45" i="10"/>
  <c r="J25" i="10"/>
  <c r="K25" i="10"/>
  <c r="L25" i="10"/>
  <c r="J26" i="10"/>
  <c r="K26" i="10"/>
  <c r="L26" i="10"/>
  <c r="J27" i="10"/>
  <c r="K27" i="10"/>
  <c r="L27" i="10"/>
  <c r="J28" i="10"/>
  <c r="K28" i="10"/>
  <c r="L28" i="10"/>
  <c r="J29" i="10"/>
  <c r="K29" i="10"/>
  <c r="L29" i="10"/>
  <c r="M40" i="10" l="1"/>
  <c r="M54" i="10"/>
  <c r="M44" i="10"/>
  <c r="M45" i="10"/>
  <c r="M26" i="10"/>
  <c r="M29" i="10"/>
  <c r="M25" i="10"/>
  <c r="M27" i="10"/>
  <c r="M28" i="10"/>
  <c r="M55" i="10"/>
  <c r="K23" i="10" l="1"/>
  <c r="K33" i="10"/>
  <c r="J37" i="10"/>
  <c r="K37" i="10"/>
  <c r="L37" i="10"/>
  <c r="M37" i="10" l="1"/>
  <c r="AM479" i="26"/>
  <c r="AM480" i="26"/>
  <c r="AM481" i="26"/>
  <c r="AM482" i="26"/>
  <c r="AM483" i="26"/>
  <c r="AM484" i="26"/>
  <c r="AM485" i="26"/>
  <c r="AM486" i="26"/>
  <c r="AM487" i="26"/>
  <c r="AM488" i="26"/>
  <c r="AM489" i="26"/>
  <c r="AM490" i="26"/>
  <c r="AM491" i="26"/>
  <c r="AM492" i="26"/>
  <c r="AM493" i="26"/>
  <c r="M3" i="10" l="1"/>
  <c r="M4" i="10"/>
  <c r="M5" i="10"/>
  <c r="M6" i="10"/>
  <c r="M7" i="10"/>
  <c r="M2" i="10"/>
  <c r="L3" i="10"/>
  <c r="L4" i="10"/>
  <c r="L5" i="10"/>
  <c r="L6" i="10"/>
  <c r="L7" i="10"/>
  <c r="L2" i="10"/>
  <c r="K7" i="10"/>
  <c r="K3" i="10"/>
  <c r="K4" i="10"/>
  <c r="K5" i="10"/>
  <c r="K6" i="10"/>
  <c r="K2" i="10"/>
  <c r="J7" i="10"/>
  <c r="J6" i="10"/>
  <c r="J5" i="10"/>
  <c r="J4" i="10"/>
  <c r="J3" i="10"/>
  <c r="J2" i="10"/>
  <c r="I3" i="10"/>
  <c r="I4" i="10"/>
  <c r="I5" i="10"/>
  <c r="I6" i="10"/>
  <c r="I7" i="10"/>
  <c r="I2" i="10"/>
  <c r="I923" i="60" l="1"/>
  <c r="I879" i="60"/>
  <c r="I934" i="60"/>
  <c r="Q929" i="60"/>
  <c r="Q924" i="60"/>
  <c r="Q921" i="60"/>
  <c r="Q885" i="60"/>
  <c r="Q880" i="60"/>
  <c r="Q877" i="60"/>
  <c r="Q940" i="60"/>
  <c r="Q935" i="60"/>
  <c r="Q932" i="60"/>
  <c r="U929" i="60"/>
  <c r="U924" i="60"/>
  <c r="U921" i="60"/>
  <c r="U885" i="60"/>
  <c r="U880" i="60"/>
  <c r="U877" i="60"/>
  <c r="U940" i="60"/>
  <c r="U935" i="60"/>
  <c r="U932" i="60"/>
  <c r="I922" i="60"/>
  <c r="I878" i="60"/>
  <c r="I933" i="60"/>
  <c r="Q928" i="60"/>
  <c r="Q926" i="60"/>
  <c r="Q923" i="60"/>
  <c r="Q920" i="60"/>
  <c r="Q884" i="60"/>
  <c r="Q882" i="60"/>
  <c r="Q879" i="60"/>
  <c r="Q876" i="60"/>
  <c r="Q939" i="60"/>
  <c r="Q937" i="60"/>
  <c r="Q934" i="60"/>
  <c r="Q931" i="60"/>
  <c r="U928" i="60"/>
  <c r="U926" i="60"/>
  <c r="U923" i="60"/>
  <c r="U920" i="60"/>
  <c r="U884" i="60"/>
  <c r="U882" i="60"/>
  <c r="U879" i="60"/>
  <c r="U876" i="60"/>
  <c r="U939" i="60"/>
  <c r="U937" i="60"/>
  <c r="U934" i="60"/>
  <c r="U931" i="60"/>
  <c r="U907" i="57"/>
  <c r="Q907" i="57"/>
  <c r="U906" i="57"/>
  <c r="Q906" i="57"/>
  <c r="U904" i="57"/>
  <c r="Q904" i="57"/>
  <c r="U902" i="57"/>
  <c r="Q902" i="57"/>
  <c r="U901" i="57"/>
  <c r="Q901" i="57"/>
  <c r="I901" i="57"/>
  <c r="I900" i="57"/>
  <c r="U899" i="57"/>
  <c r="Q899" i="57"/>
  <c r="U898" i="57"/>
  <c r="Q898" i="57"/>
  <c r="U863" i="57"/>
  <c r="Q863" i="57"/>
  <c r="U862" i="57"/>
  <c r="Q862" i="57"/>
  <c r="U860" i="57"/>
  <c r="Q860" i="57"/>
  <c r="U858" i="57"/>
  <c r="Q858" i="57"/>
  <c r="U857" i="57"/>
  <c r="Q857" i="57"/>
  <c r="I857" i="57"/>
  <c r="I856" i="57"/>
  <c r="U855" i="57"/>
  <c r="Q855" i="57"/>
  <c r="U854" i="57"/>
  <c r="Q854" i="57"/>
  <c r="U918" i="57"/>
  <c r="Q918" i="57"/>
  <c r="U917" i="57"/>
  <c r="Q917" i="57"/>
  <c r="U915" i="57"/>
  <c r="Q915" i="57"/>
  <c r="U913" i="57"/>
  <c r="Q913" i="57"/>
  <c r="U912" i="57"/>
  <c r="Q912" i="57"/>
  <c r="I912" i="57"/>
  <c r="I911" i="57"/>
  <c r="U910" i="57"/>
  <c r="Q910" i="57"/>
  <c r="U909" i="57"/>
  <c r="Q909" i="57"/>
  <c r="U841" i="57"/>
  <c r="Q841" i="57"/>
  <c r="U840" i="57"/>
  <c r="Q840" i="57"/>
  <c r="U838" i="57"/>
  <c r="Q838" i="57"/>
  <c r="U836" i="57"/>
  <c r="Q836" i="57"/>
  <c r="U835" i="57"/>
  <c r="Q835" i="57"/>
  <c r="I835" i="57"/>
  <c r="I834" i="57"/>
  <c r="U833" i="57"/>
  <c r="Q833" i="57"/>
  <c r="U832" i="57"/>
  <c r="Q832" i="57"/>
  <c r="U830" i="57"/>
  <c r="Q830" i="57"/>
  <c r="U829" i="57"/>
  <c r="Q829" i="57"/>
  <c r="U827" i="57"/>
  <c r="Q827" i="57"/>
  <c r="U825" i="57"/>
  <c r="Q825" i="57"/>
  <c r="U824" i="57"/>
  <c r="Q824" i="57"/>
  <c r="I824" i="57"/>
  <c r="I823" i="57"/>
  <c r="U822" i="57"/>
  <c r="Q822" i="57"/>
  <c r="U821" i="57"/>
  <c r="Q821" i="57"/>
  <c r="U852" i="57"/>
  <c r="Q852" i="57"/>
  <c r="U851" i="57"/>
  <c r="Q851" i="57"/>
  <c r="U849" i="57"/>
  <c r="Q849" i="57"/>
  <c r="U847" i="57"/>
  <c r="Q847" i="57"/>
  <c r="U846" i="57"/>
  <c r="Q846" i="57"/>
  <c r="I846" i="57"/>
  <c r="I845" i="57"/>
  <c r="U844" i="57"/>
  <c r="Q844" i="57"/>
  <c r="U843" i="57"/>
  <c r="Q843" i="57"/>
  <c r="AQ111" i="9" l="1"/>
  <c r="AM4" i="26" l="1"/>
  <c r="AM5" i="26"/>
  <c r="AM6" i="26"/>
  <c r="AM7" i="26"/>
  <c r="AM8" i="26"/>
  <c r="AM9" i="26"/>
  <c r="AM10" i="26"/>
  <c r="AM11" i="26"/>
  <c r="AM12" i="26"/>
  <c r="AM13" i="26"/>
  <c r="AM14" i="26"/>
  <c r="AM15" i="26"/>
  <c r="AM16" i="26"/>
  <c r="AM17" i="26"/>
  <c r="AM18" i="26"/>
  <c r="AM19" i="26"/>
  <c r="AM20" i="26"/>
  <c r="AM21" i="26"/>
  <c r="AM22" i="26"/>
  <c r="AM23" i="26"/>
  <c r="AM24" i="26"/>
  <c r="AM25" i="26"/>
  <c r="AM26" i="26"/>
  <c r="AM27" i="26"/>
  <c r="AM28" i="26"/>
  <c r="AM29" i="26"/>
  <c r="AM30" i="26"/>
  <c r="AM31" i="26"/>
  <c r="AM32" i="26"/>
  <c r="AM33" i="26"/>
  <c r="AM34" i="26"/>
  <c r="AM35" i="26"/>
  <c r="AM36" i="26"/>
  <c r="AM37" i="26"/>
  <c r="AM38" i="26"/>
  <c r="AM39" i="26"/>
  <c r="AM40" i="26"/>
  <c r="AM41" i="26"/>
  <c r="AM42" i="26"/>
  <c r="AM43" i="26"/>
  <c r="AM44" i="26"/>
  <c r="AM45" i="26"/>
  <c r="AM46" i="26"/>
  <c r="AM47" i="26"/>
  <c r="AM48" i="26"/>
  <c r="AM49" i="26"/>
  <c r="AM50" i="26"/>
  <c r="AM51" i="26"/>
  <c r="AM52" i="26"/>
  <c r="AM53" i="26"/>
  <c r="AM54" i="26"/>
  <c r="AM55" i="26"/>
  <c r="K46" i="10" s="1"/>
  <c r="AM56" i="26"/>
  <c r="AM57" i="26"/>
  <c r="AM58" i="26"/>
  <c r="AM59" i="26"/>
  <c r="AM60" i="26"/>
  <c r="AM61" i="26"/>
  <c r="AM62" i="26"/>
  <c r="AM63" i="26"/>
  <c r="AM64" i="26"/>
  <c r="AM65" i="26"/>
  <c r="AM66" i="26"/>
  <c r="AM67" i="26"/>
  <c r="AM68" i="26"/>
  <c r="AM69" i="26"/>
  <c r="AM70" i="26"/>
  <c r="AM71" i="26"/>
  <c r="AM72" i="26"/>
  <c r="AM73" i="26"/>
  <c r="AM74" i="26"/>
  <c r="AM75" i="26"/>
  <c r="AM76" i="26"/>
  <c r="AM77" i="26"/>
  <c r="AM78" i="26"/>
  <c r="AM79" i="26"/>
  <c r="AM80" i="26"/>
  <c r="AM81" i="26"/>
  <c r="AM82" i="26"/>
  <c r="AM83" i="26"/>
  <c r="AM84" i="26"/>
  <c r="AM85" i="26"/>
  <c r="AM86" i="26"/>
  <c r="AM87" i="26"/>
  <c r="AM88" i="26"/>
  <c r="AM89" i="26"/>
  <c r="AM90" i="26"/>
  <c r="AM91" i="26"/>
  <c r="AM92" i="26"/>
  <c r="AM93" i="26"/>
  <c r="AM94" i="26"/>
  <c r="AM95" i="26"/>
  <c r="AM96" i="26"/>
  <c r="AM97" i="26"/>
  <c r="AM98" i="26"/>
  <c r="AM99" i="26"/>
  <c r="AM100" i="26"/>
  <c r="AM101" i="26"/>
  <c r="AM102" i="26"/>
  <c r="AM103" i="26"/>
  <c r="AM104" i="26"/>
  <c r="AM105" i="26"/>
  <c r="AM106" i="26"/>
  <c r="AM107" i="26"/>
  <c r="AM108" i="26"/>
  <c r="AM109" i="26"/>
  <c r="AM110" i="26"/>
  <c r="AM111" i="26"/>
  <c r="AM112" i="26"/>
  <c r="AM113" i="26"/>
  <c r="AM114" i="26"/>
  <c r="AM115" i="26"/>
  <c r="AM116" i="26"/>
  <c r="AM117" i="26"/>
  <c r="AM118" i="26"/>
  <c r="AM119" i="26"/>
  <c r="AM120" i="26"/>
  <c r="AM121" i="26"/>
  <c r="AM122" i="26"/>
  <c r="AM123" i="26"/>
  <c r="AM124" i="26"/>
  <c r="AM125" i="26"/>
  <c r="AM126" i="26"/>
  <c r="AM127" i="26"/>
  <c r="AM128" i="26"/>
  <c r="AM129" i="26"/>
  <c r="AM130" i="26"/>
  <c r="AM131" i="26"/>
  <c r="AM132" i="26"/>
  <c r="AM133" i="26"/>
  <c r="AM134" i="26"/>
  <c r="AM135" i="26"/>
  <c r="AM136" i="26"/>
  <c r="AM137" i="26"/>
  <c r="AM138" i="26"/>
  <c r="AM139" i="26"/>
  <c r="AM140" i="26"/>
  <c r="AM141" i="26"/>
  <c r="AM142" i="26"/>
  <c r="AM143" i="26"/>
  <c r="AM144" i="26"/>
  <c r="AM145" i="26"/>
  <c r="AM146" i="26"/>
  <c r="AM147" i="26"/>
  <c r="AM148" i="26"/>
  <c r="AM149" i="26"/>
  <c r="AM150" i="26"/>
  <c r="AM151" i="26"/>
  <c r="AM152" i="26"/>
  <c r="AM153" i="26"/>
  <c r="AM154" i="26"/>
  <c r="AM155" i="26"/>
  <c r="AM156" i="26"/>
  <c r="AM157" i="26"/>
  <c r="AM158" i="26"/>
  <c r="AM159" i="26"/>
  <c r="AM160" i="26"/>
  <c r="AM161" i="26"/>
  <c r="AM162" i="26"/>
  <c r="AM163" i="26"/>
  <c r="AM164" i="26"/>
  <c r="AM165" i="26"/>
  <c r="AM166" i="26"/>
  <c r="AM167" i="26"/>
  <c r="AM168" i="26"/>
  <c r="AM169" i="26"/>
  <c r="AM170" i="26"/>
  <c r="AM171" i="26"/>
  <c r="AM172" i="26"/>
  <c r="AM173" i="26"/>
  <c r="AM174" i="26"/>
  <c r="AM175" i="26"/>
  <c r="AM176" i="26"/>
  <c r="AM177" i="26"/>
  <c r="AM178" i="26"/>
  <c r="AM179" i="26"/>
  <c r="AM180" i="26"/>
  <c r="AM181" i="26"/>
  <c r="AM182" i="26"/>
  <c r="AM183" i="26"/>
  <c r="AM184" i="26"/>
  <c r="AM185" i="26"/>
  <c r="AM186" i="26"/>
  <c r="AM187" i="26"/>
  <c r="AM188" i="26"/>
  <c r="AM189" i="26"/>
  <c r="AM190" i="26"/>
  <c r="AM191" i="26"/>
  <c r="AM192" i="26"/>
  <c r="AM193" i="26"/>
  <c r="AM194" i="26"/>
  <c r="AM195" i="26"/>
  <c r="AM196" i="26"/>
  <c r="AM197" i="26"/>
  <c r="AM198" i="26"/>
  <c r="AM199" i="26"/>
  <c r="AM200" i="26"/>
  <c r="AM201" i="26"/>
  <c r="AM202" i="26"/>
  <c r="AM203" i="26"/>
  <c r="AM204" i="26"/>
  <c r="AM205" i="26"/>
  <c r="AM206" i="26"/>
  <c r="AM207" i="26"/>
  <c r="AM208" i="26"/>
  <c r="AM209" i="26"/>
  <c r="AM210" i="26"/>
  <c r="AM211" i="26"/>
  <c r="AM212" i="26"/>
  <c r="AM213" i="26"/>
  <c r="AM214" i="26"/>
  <c r="AM215" i="26"/>
  <c r="AM216" i="26"/>
  <c r="AM217" i="26"/>
  <c r="AM218" i="26"/>
  <c r="AM219" i="26"/>
  <c r="AM220" i="26"/>
  <c r="AM221" i="26"/>
  <c r="AM222" i="26"/>
  <c r="AM223" i="26"/>
  <c r="AM224" i="26"/>
  <c r="AM225" i="26"/>
  <c r="AM226" i="26"/>
  <c r="AM227" i="26"/>
  <c r="AM228" i="26"/>
  <c r="AM229" i="26"/>
  <c r="AM230" i="26"/>
  <c r="AM231" i="26"/>
  <c r="AM232" i="26"/>
  <c r="AM233" i="26"/>
  <c r="AM234" i="26"/>
  <c r="AM235" i="26"/>
  <c r="AM236" i="26"/>
  <c r="AM237" i="26"/>
  <c r="AM238" i="26"/>
  <c r="AM239" i="26"/>
  <c r="AM240" i="26"/>
  <c r="AM241" i="26"/>
  <c r="AM242" i="26"/>
  <c r="AM243" i="26"/>
  <c r="AM244" i="26"/>
  <c r="AM245" i="26"/>
  <c r="AM246" i="26"/>
  <c r="AM247" i="26"/>
  <c r="AM248" i="26"/>
  <c r="AM249" i="26"/>
  <c r="AM250" i="26"/>
  <c r="AM251" i="26"/>
  <c r="AM252" i="26"/>
  <c r="AM253" i="26"/>
  <c r="AM254" i="26"/>
  <c r="AM255" i="26"/>
  <c r="AM256" i="26"/>
  <c r="AM257" i="26"/>
  <c r="AM258" i="26"/>
  <c r="AM259" i="26"/>
  <c r="AM260" i="26"/>
  <c r="AM261" i="26"/>
  <c r="AM262" i="26"/>
  <c r="AM263" i="26"/>
  <c r="AM264" i="26"/>
  <c r="AM265" i="26"/>
  <c r="AM266" i="26"/>
  <c r="AM267" i="26"/>
  <c r="AM268" i="26"/>
  <c r="AM269" i="26"/>
  <c r="AM270" i="26"/>
  <c r="AM271" i="26"/>
  <c r="AM272" i="26"/>
  <c r="AM273" i="26"/>
  <c r="AM274" i="26"/>
  <c r="AM275" i="26"/>
  <c r="AM276" i="26"/>
  <c r="AM277" i="26"/>
  <c r="AM278" i="26"/>
  <c r="AM279" i="26"/>
  <c r="AM280" i="26"/>
  <c r="AM281" i="26"/>
  <c r="AM282" i="26"/>
  <c r="AM283" i="26"/>
  <c r="AM284" i="26"/>
  <c r="AM285" i="26"/>
  <c r="AM286" i="26"/>
  <c r="AM287" i="26"/>
  <c r="AM288" i="26"/>
  <c r="AM289" i="26"/>
  <c r="AM290" i="26"/>
  <c r="AM291" i="26"/>
  <c r="AM292" i="26"/>
  <c r="AM293" i="26"/>
  <c r="AM294" i="26"/>
  <c r="AM295" i="26"/>
  <c r="AM296" i="26"/>
  <c r="AM297" i="26"/>
  <c r="AM298" i="26"/>
  <c r="AM299" i="26"/>
  <c r="AM300" i="26"/>
  <c r="AM301" i="26"/>
  <c r="AM302" i="26"/>
  <c r="AM303" i="26"/>
  <c r="AM304" i="26"/>
  <c r="AM305" i="26"/>
  <c r="AM306" i="26"/>
  <c r="AM307" i="26"/>
  <c r="AM308" i="26"/>
  <c r="AM309" i="26"/>
  <c r="AM310" i="26"/>
  <c r="AM311" i="26"/>
  <c r="AM312" i="26"/>
  <c r="AM313" i="26"/>
  <c r="AM314" i="26"/>
  <c r="AM315" i="26"/>
  <c r="AM316" i="26"/>
  <c r="AM317" i="26"/>
  <c r="AM318" i="26"/>
  <c r="AM319" i="26"/>
  <c r="AM320" i="26"/>
  <c r="AM321" i="26"/>
  <c r="AM322" i="26"/>
  <c r="AM323" i="26"/>
  <c r="AM324" i="26"/>
  <c r="AM325" i="26"/>
  <c r="AM326" i="26"/>
  <c r="AM327" i="26"/>
  <c r="AM328" i="26"/>
  <c r="AM329" i="26"/>
  <c r="AM330" i="26"/>
  <c r="AM331" i="26"/>
  <c r="AM332" i="26"/>
  <c r="AM333" i="26"/>
  <c r="AM334" i="26"/>
  <c r="AM335" i="26"/>
  <c r="AM336" i="26"/>
  <c r="AM337" i="26"/>
  <c r="AM338" i="26"/>
  <c r="AM339" i="26"/>
  <c r="AM340" i="26"/>
  <c r="AM341" i="26"/>
  <c r="AM342" i="26"/>
  <c r="AM343" i="26"/>
  <c r="AM344" i="26"/>
  <c r="AM345" i="26"/>
  <c r="AM346" i="26"/>
  <c r="AM347" i="26"/>
  <c r="AM348" i="26"/>
  <c r="AM349" i="26"/>
  <c r="AM350" i="26"/>
  <c r="AM351" i="26"/>
  <c r="AM352" i="26"/>
  <c r="AM353" i="26"/>
  <c r="AM354" i="26"/>
  <c r="AM355" i="26"/>
  <c r="AM356" i="26"/>
  <c r="AM357" i="26"/>
  <c r="AM358" i="26"/>
  <c r="AM359" i="26"/>
  <c r="AM360" i="26"/>
  <c r="AM361" i="26"/>
  <c r="AM362" i="26"/>
  <c r="AM363" i="26"/>
  <c r="AM364" i="26"/>
  <c r="AM365" i="26"/>
  <c r="AM366" i="26"/>
  <c r="AM367" i="26"/>
  <c r="AM368" i="26"/>
  <c r="AM369" i="26"/>
  <c r="AM370" i="26"/>
  <c r="AM371" i="26"/>
  <c r="AM372" i="26"/>
  <c r="AM373" i="26"/>
  <c r="AM374" i="26"/>
  <c r="AM375" i="26"/>
  <c r="AM376" i="26"/>
  <c r="AM377" i="26"/>
  <c r="AM378" i="26"/>
  <c r="AM379" i="26"/>
  <c r="AM380" i="26"/>
  <c r="AM381" i="26"/>
  <c r="AM382" i="26"/>
  <c r="AM383" i="26"/>
  <c r="AM384" i="26"/>
  <c r="AM385" i="26"/>
  <c r="AM386" i="26"/>
  <c r="AM387" i="26"/>
  <c r="AM388" i="26"/>
  <c r="AM389" i="26"/>
  <c r="AM390" i="26"/>
  <c r="AM391" i="26"/>
  <c r="AM392" i="26"/>
  <c r="AM393" i="26"/>
  <c r="AM394" i="26"/>
  <c r="AM395" i="26"/>
  <c r="AM396" i="26"/>
  <c r="AM397" i="26"/>
  <c r="AM398" i="26"/>
  <c r="AM399" i="26"/>
  <c r="AM400" i="26"/>
  <c r="AM401" i="26"/>
  <c r="AM402" i="26"/>
  <c r="AM403" i="26"/>
  <c r="AM404" i="26"/>
  <c r="AM405" i="26"/>
  <c r="AM406" i="26"/>
  <c r="AM407" i="26"/>
  <c r="AM408" i="26"/>
  <c r="AM409" i="26"/>
  <c r="AM410" i="26"/>
  <c r="AM411" i="26"/>
  <c r="AM412" i="26"/>
  <c r="AM413" i="26"/>
  <c r="AM414" i="26"/>
  <c r="AM415" i="26"/>
  <c r="AM416" i="26"/>
  <c r="AM417" i="26"/>
  <c r="AM418" i="26"/>
  <c r="AM419" i="26"/>
  <c r="AM420" i="26"/>
  <c r="AM421" i="26"/>
  <c r="AM422" i="26"/>
  <c r="AM423" i="26"/>
  <c r="AM424" i="26"/>
  <c r="AM425" i="26"/>
  <c r="AM426" i="26"/>
  <c r="AM427" i="26"/>
  <c r="AM428" i="26"/>
  <c r="AM429" i="26"/>
  <c r="AM430" i="26"/>
  <c r="AM431" i="26"/>
  <c r="AM432" i="26"/>
  <c r="AM433" i="26"/>
  <c r="AM434" i="26"/>
  <c r="AM435" i="26"/>
  <c r="AM436" i="26"/>
  <c r="AM437" i="26"/>
  <c r="AM438" i="26"/>
  <c r="AM439" i="26"/>
  <c r="AM440" i="26"/>
  <c r="AM441" i="26"/>
  <c r="AM442" i="26"/>
  <c r="AM443" i="26"/>
  <c r="AM444" i="26"/>
  <c r="AM445" i="26"/>
  <c r="AM446" i="26"/>
  <c r="AM447" i="26"/>
  <c r="AM448" i="26"/>
  <c r="AM449" i="26"/>
  <c r="AM450" i="26"/>
  <c r="AM451" i="26"/>
  <c r="AM452" i="26"/>
  <c r="AM453" i="26"/>
  <c r="AM454" i="26"/>
  <c r="AM455" i="26"/>
  <c r="AM456" i="26"/>
  <c r="AM457" i="26"/>
  <c r="AM458" i="26"/>
  <c r="AM459" i="26"/>
  <c r="AM460" i="26"/>
  <c r="AM461" i="26"/>
  <c r="AM462" i="26"/>
  <c r="AM463" i="26"/>
  <c r="AM464" i="26"/>
  <c r="AM465" i="26"/>
  <c r="AM466" i="26"/>
  <c r="AM467" i="26"/>
  <c r="AM468" i="26"/>
  <c r="AM469" i="26"/>
  <c r="AM470" i="26"/>
  <c r="AM471" i="26"/>
  <c r="AM472" i="26"/>
  <c r="AM473" i="26"/>
  <c r="AM474" i="26"/>
  <c r="AM475" i="26"/>
  <c r="AM476" i="26"/>
  <c r="AM477" i="26"/>
  <c r="AM478" i="26"/>
  <c r="AM3" i="26"/>
  <c r="K43" i="10" l="1"/>
  <c r="K50" i="10"/>
  <c r="K24" i="10"/>
  <c r="K35" i="10"/>
  <c r="K22" i="10"/>
  <c r="K49" i="10"/>
  <c r="K48" i="10"/>
  <c r="K42" i="10"/>
  <c r="K47" i="10"/>
  <c r="K41" i="10"/>
  <c r="K39" i="10"/>
  <c r="K21" i="10"/>
  <c r="K34" i="10"/>
  <c r="AC980" i="59"/>
  <c r="AC979" i="59"/>
  <c r="AC969" i="59"/>
  <c r="AC968" i="59"/>
  <c r="AQ4" i="9" l="1"/>
  <c r="AQ5" i="9"/>
  <c r="AQ6" i="9"/>
  <c r="AQ7" i="9"/>
  <c r="AQ8" i="9"/>
  <c r="AQ9" i="9"/>
  <c r="AQ10" i="9"/>
  <c r="AQ11" i="9"/>
  <c r="AQ12" i="9"/>
  <c r="AQ13" i="9"/>
  <c r="AQ14" i="9"/>
  <c r="AQ15" i="9"/>
  <c r="AQ16" i="9"/>
  <c r="AQ17" i="9"/>
  <c r="AQ18" i="9"/>
  <c r="AQ19" i="9"/>
  <c r="AQ20" i="9"/>
  <c r="AQ21" i="9"/>
  <c r="AQ22" i="9"/>
  <c r="AQ23" i="9"/>
  <c r="AQ24" i="9"/>
  <c r="AQ25" i="9"/>
  <c r="AQ26" i="9"/>
  <c r="AQ27" i="9"/>
  <c r="AQ28" i="9"/>
  <c r="AQ29" i="9"/>
  <c r="AQ30" i="9"/>
  <c r="AQ31" i="9"/>
  <c r="AQ32" i="9"/>
  <c r="AQ33" i="9"/>
  <c r="AQ34" i="9"/>
  <c r="AQ35" i="9"/>
  <c r="AQ36" i="9"/>
  <c r="AQ37" i="9"/>
  <c r="AQ38" i="9"/>
  <c r="AQ39" i="9"/>
  <c r="AQ40" i="9"/>
  <c r="AQ41" i="9"/>
  <c r="AQ42" i="9"/>
  <c r="AQ43" i="9"/>
  <c r="AQ44" i="9"/>
  <c r="AQ45" i="9"/>
  <c r="AQ46" i="9"/>
  <c r="AQ47" i="9"/>
  <c r="AQ48" i="9"/>
  <c r="AQ49" i="9"/>
  <c r="AQ50" i="9"/>
  <c r="AQ51" i="9"/>
  <c r="AQ52" i="9"/>
  <c r="AQ53" i="9"/>
  <c r="AQ54" i="9"/>
  <c r="AQ55" i="9"/>
  <c r="AQ56" i="9"/>
  <c r="AQ57" i="9"/>
  <c r="AQ58" i="9"/>
  <c r="AQ59" i="9"/>
  <c r="AQ60" i="9"/>
  <c r="AQ61" i="9"/>
  <c r="AQ62" i="9"/>
  <c r="AQ63" i="9"/>
  <c r="AQ64" i="9"/>
  <c r="AQ65" i="9"/>
  <c r="AQ66" i="9"/>
  <c r="AQ67" i="9"/>
  <c r="AQ68" i="9"/>
  <c r="AQ69" i="9"/>
  <c r="AQ70" i="9"/>
  <c r="AQ71" i="9"/>
  <c r="AQ72" i="9"/>
  <c r="AQ73" i="9"/>
  <c r="AQ74" i="9"/>
  <c r="AQ75" i="9"/>
  <c r="AQ76" i="9"/>
  <c r="AQ77" i="9"/>
  <c r="AQ78" i="9"/>
  <c r="AQ79" i="9"/>
  <c r="AQ80" i="9"/>
  <c r="AQ81" i="9"/>
  <c r="AQ82" i="9"/>
  <c r="AQ83" i="9"/>
  <c r="AQ84" i="9"/>
  <c r="AQ85" i="9"/>
  <c r="AQ86" i="9"/>
  <c r="AQ87" i="9"/>
  <c r="AQ88" i="9"/>
  <c r="AQ89" i="9"/>
  <c r="AQ90" i="9"/>
  <c r="AQ91" i="9"/>
  <c r="AQ92" i="9"/>
  <c r="AQ93" i="9"/>
  <c r="AQ94" i="9"/>
  <c r="AQ95" i="9"/>
  <c r="AQ96" i="9"/>
  <c r="AQ97" i="9"/>
  <c r="AQ98" i="9"/>
  <c r="AQ99" i="9"/>
  <c r="AQ100" i="9"/>
  <c r="AQ101" i="9"/>
  <c r="AQ102" i="9"/>
  <c r="AQ103" i="9"/>
  <c r="AQ104" i="9"/>
  <c r="AQ105" i="9"/>
  <c r="AQ106" i="9"/>
  <c r="AQ107" i="9"/>
  <c r="AQ108" i="9"/>
  <c r="AQ109" i="9"/>
  <c r="AQ110" i="9"/>
  <c r="AQ112" i="9"/>
  <c r="AQ113" i="9"/>
  <c r="AQ114" i="9"/>
  <c r="AQ115" i="9"/>
  <c r="AQ116" i="9"/>
  <c r="AQ117" i="9"/>
  <c r="AQ118" i="9"/>
  <c r="AQ119" i="9"/>
  <c r="AQ120" i="9"/>
  <c r="AQ121" i="9"/>
  <c r="AQ122" i="9"/>
  <c r="AQ123" i="9"/>
  <c r="AQ124" i="9"/>
  <c r="AQ125" i="9"/>
  <c r="AQ126" i="9"/>
  <c r="AQ127" i="9"/>
  <c r="AQ128" i="9"/>
  <c r="AQ129" i="9"/>
  <c r="AQ130" i="9"/>
  <c r="AQ131" i="9"/>
  <c r="AQ132" i="9"/>
  <c r="AQ133" i="9"/>
  <c r="AQ134" i="9"/>
  <c r="AQ135" i="9"/>
  <c r="AQ136" i="9"/>
  <c r="AQ137" i="9"/>
  <c r="AQ138" i="9"/>
  <c r="AQ139" i="9"/>
  <c r="AQ140" i="9"/>
  <c r="AQ141" i="9"/>
  <c r="AQ142" i="9"/>
  <c r="AQ143" i="9"/>
  <c r="AQ144" i="9"/>
  <c r="AQ145" i="9"/>
  <c r="AQ146" i="9"/>
  <c r="AQ147" i="9"/>
  <c r="AQ148" i="9"/>
  <c r="AQ149" i="9"/>
  <c r="AQ150" i="9"/>
  <c r="AQ151" i="9"/>
  <c r="AQ152" i="9"/>
  <c r="AQ153" i="9"/>
  <c r="AQ154" i="9"/>
  <c r="AQ155" i="9"/>
  <c r="AQ156" i="9"/>
  <c r="AQ157" i="9"/>
  <c r="AQ158" i="9"/>
  <c r="AQ159" i="9"/>
  <c r="AQ160" i="9"/>
  <c r="AQ161" i="9"/>
  <c r="AQ162" i="9"/>
  <c r="AQ163" i="9"/>
  <c r="AQ164" i="9"/>
  <c r="AQ165" i="9"/>
  <c r="AQ166" i="9"/>
  <c r="AQ167" i="9"/>
  <c r="AQ168" i="9"/>
  <c r="AQ169" i="9"/>
  <c r="AQ170" i="9"/>
  <c r="AQ171" i="9"/>
  <c r="AQ172" i="9"/>
  <c r="AQ173" i="9"/>
  <c r="AQ174" i="9"/>
  <c r="AQ175" i="9"/>
  <c r="AQ176" i="9"/>
  <c r="AQ177" i="9"/>
  <c r="AQ178" i="9"/>
  <c r="AQ179" i="9"/>
  <c r="AQ180" i="9"/>
  <c r="AQ181" i="9"/>
  <c r="AQ182" i="9"/>
  <c r="AQ183" i="9"/>
  <c r="AQ184" i="9"/>
  <c r="AQ185" i="9"/>
  <c r="AQ186" i="9"/>
  <c r="AQ187" i="9"/>
  <c r="AQ188" i="9"/>
  <c r="AQ189" i="9"/>
  <c r="AQ190" i="9"/>
  <c r="AQ191" i="9"/>
  <c r="AQ192" i="9"/>
  <c r="AQ193" i="9"/>
  <c r="AQ194" i="9"/>
  <c r="AQ195" i="9"/>
  <c r="AQ196" i="9"/>
  <c r="AQ197" i="9"/>
  <c r="AQ198" i="9"/>
  <c r="AQ199" i="9"/>
  <c r="AQ200" i="9"/>
  <c r="AQ201" i="9"/>
  <c r="AQ202" i="9"/>
  <c r="AQ203" i="9"/>
  <c r="AQ204" i="9"/>
  <c r="AQ205" i="9"/>
  <c r="AQ206" i="9"/>
  <c r="AQ207" i="9"/>
  <c r="AQ208" i="9"/>
  <c r="AQ209" i="9"/>
  <c r="AQ210" i="9"/>
  <c r="AQ211" i="9"/>
  <c r="AQ212" i="9"/>
  <c r="AQ213" i="9"/>
  <c r="AQ214" i="9"/>
  <c r="AQ215" i="9"/>
  <c r="AQ216" i="9"/>
  <c r="AQ217" i="9"/>
  <c r="AQ218" i="9"/>
  <c r="AQ219" i="9"/>
  <c r="AQ220" i="9"/>
  <c r="AQ221" i="9"/>
  <c r="AQ222" i="9"/>
  <c r="AQ223" i="9"/>
  <c r="AQ224" i="9"/>
  <c r="AQ225" i="9"/>
  <c r="AQ226" i="9"/>
  <c r="AQ227" i="9"/>
  <c r="AQ228" i="9"/>
  <c r="AQ229" i="9"/>
  <c r="AQ230" i="9"/>
  <c r="AQ231" i="9"/>
  <c r="AQ232" i="9"/>
  <c r="AQ233" i="9"/>
  <c r="AQ234" i="9"/>
  <c r="AQ235" i="9"/>
  <c r="AQ236" i="9"/>
  <c r="AQ237" i="9"/>
  <c r="AQ238" i="9"/>
  <c r="AQ239" i="9"/>
  <c r="AQ240" i="9"/>
  <c r="AQ241" i="9"/>
  <c r="AQ242" i="9"/>
  <c r="AQ243" i="9"/>
  <c r="AQ244" i="9"/>
  <c r="AQ245" i="9"/>
  <c r="AQ246" i="9"/>
  <c r="AQ247" i="9"/>
  <c r="AQ248" i="9"/>
  <c r="AQ249" i="9"/>
  <c r="AQ250" i="9"/>
  <c r="AQ251" i="9"/>
  <c r="AQ252" i="9"/>
  <c r="AQ253" i="9"/>
  <c r="AQ254" i="9"/>
  <c r="AQ255" i="9"/>
  <c r="AQ256" i="9"/>
  <c r="AQ257" i="9"/>
  <c r="AQ258" i="9"/>
  <c r="AQ259" i="9"/>
  <c r="AQ260" i="9"/>
  <c r="AQ261" i="9"/>
  <c r="AQ262" i="9"/>
  <c r="AQ263" i="9"/>
  <c r="AQ264" i="9"/>
  <c r="AQ265" i="9"/>
  <c r="AQ266" i="9"/>
  <c r="AQ267" i="9"/>
  <c r="AQ268" i="9"/>
  <c r="AQ269" i="9"/>
  <c r="AQ270" i="9"/>
  <c r="AQ271" i="9"/>
  <c r="AQ272" i="9"/>
  <c r="AQ273" i="9"/>
  <c r="AQ274" i="9"/>
  <c r="AQ275" i="9"/>
  <c r="AQ276" i="9"/>
  <c r="AQ277" i="9"/>
  <c r="AQ278" i="9"/>
  <c r="AQ279" i="9"/>
  <c r="AQ280" i="9"/>
  <c r="AQ281" i="9"/>
  <c r="AQ282" i="9"/>
  <c r="AQ283" i="9"/>
  <c r="AQ284" i="9"/>
  <c r="AQ285" i="9"/>
  <c r="AQ286" i="9"/>
  <c r="AQ287" i="9"/>
  <c r="AQ288" i="9"/>
  <c r="AQ289" i="9"/>
  <c r="AQ290" i="9"/>
  <c r="AQ291" i="9"/>
  <c r="AQ292" i="9"/>
  <c r="AQ293" i="9"/>
  <c r="AQ294" i="9"/>
  <c r="AQ295" i="9"/>
  <c r="AQ296" i="9"/>
  <c r="AQ297" i="9"/>
  <c r="AQ298" i="9"/>
  <c r="AQ299" i="9"/>
  <c r="AQ300" i="9"/>
  <c r="AQ301" i="9"/>
  <c r="AQ302" i="9"/>
  <c r="AQ303" i="9"/>
  <c r="AQ304" i="9"/>
  <c r="AQ305" i="9"/>
  <c r="AQ306" i="9"/>
  <c r="AQ307" i="9"/>
  <c r="AQ308" i="9"/>
  <c r="AQ309" i="9"/>
  <c r="AQ310" i="9"/>
  <c r="AQ311" i="9"/>
  <c r="AQ312" i="9"/>
  <c r="AQ313" i="9"/>
  <c r="AQ314" i="9"/>
  <c r="AQ315" i="9"/>
  <c r="AQ316" i="9"/>
  <c r="AQ317" i="9"/>
  <c r="AQ318" i="9"/>
  <c r="AQ319" i="9"/>
  <c r="AQ320" i="9"/>
  <c r="AQ321" i="9"/>
  <c r="AQ322" i="9"/>
  <c r="AQ323" i="9"/>
  <c r="AQ324" i="9"/>
  <c r="AQ325" i="9"/>
  <c r="AQ326" i="9"/>
  <c r="AQ327" i="9"/>
  <c r="AQ328" i="9"/>
  <c r="AQ329" i="9"/>
  <c r="AQ330" i="9"/>
  <c r="AQ331" i="9"/>
  <c r="AQ332" i="9"/>
  <c r="AQ333" i="9"/>
  <c r="AQ334" i="9"/>
  <c r="AQ335" i="9"/>
  <c r="AQ336" i="9"/>
  <c r="AQ337" i="9"/>
  <c r="AQ338" i="9"/>
  <c r="AQ339" i="9"/>
  <c r="AQ340" i="9"/>
  <c r="AQ341" i="9"/>
  <c r="AQ342" i="9"/>
  <c r="AQ343" i="9"/>
  <c r="AQ344" i="9"/>
  <c r="AQ345" i="9"/>
  <c r="AQ346" i="9"/>
  <c r="AQ347" i="9"/>
  <c r="AQ348" i="9"/>
  <c r="AQ349" i="9"/>
  <c r="AQ350" i="9"/>
  <c r="AQ351" i="9"/>
  <c r="AQ352" i="9"/>
  <c r="AQ353" i="9"/>
  <c r="AQ354" i="9"/>
  <c r="AQ355" i="9"/>
  <c r="AQ356" i="9"/>
  <c r="AQ357" i="9"/>
  <c r="AQ358" i="9"/>
  <c r="AQ359" i="9"/>
  <c r="AQ360" i="9"/>
  <c r="AQ361" i="9"/>
  <c r="AQ362" i="9"/>
  <c r="AQ363" i="9"/>
  <c r="AQ364" i="9"/>
  <c r="AQ365" i="9"/>
  <c r="AQ366" i="9"/>
  <c r="AQ367" i="9"/>
  <c r="AQ368" i="9"/>
  <c r="AQ369" i="9"/>
  <c r="AQ370" i="9"/>
  <c r="AQ371" i="9"/>
  <c r="AQ372" i="9"/>
  <c r="AQ373" i="9"/>
  <c r="AQ374" i="9"/>
  <c r="AQ375" i="9"/>
  <c r="AQ376" i="9"/>
  <c r="AQ377" i="9"/>
  <c r="AQ378" i="9"/>
  <c r="AQ379" i="9"/>
  <c r="AQ380" i="9"/>
  <c r="AQ381" i="9"/>
  <c r="AQ382" i="9"/>
  <c r="AQ383" i="9"/>
  <c r="AQ384" i="9"/>
  <c r="AQ385" i="9"/>
  <c r="AQ386" i="9"/>
  <c r="AQ387" i="9"/>
  <c r="AQ388" i="9"/>
  <c r="AQ389" i="9"/>
  <c r="AQ390" i="9"/>
  <c r="AQ391" i="9"/>
  <c r="AQ392" i="9"/>
  <c r="AQ393" i="9"/>
  <c r="AQ394" i="9"/>
  <c r="AQ395" i="9"/>
  <c r="AQ396" i="9"/>
  <c r="AQ397" i="9"/>
  <c r="AQ398" i="9"/>
  <c r="AQ399" i="9"/>
  <c r="AQ400" i="9"/>
  <c r="AQ401" i="9"/>
  <c r="AQ402" i="9"/>
  <c r="AQ403" i="9"/>
  <c r="AQ404" i="9"/>
  <c r="AQ405" i="9"/>
  <c r="AQ406" i="9"/>
  <c r="AQ407" i="9"/>
  <c r="AQ408" i="9"/>
  <c r="AQ409" i="9"/>
  <c r="AQ410" i="9"/>
  <c r="AQ411" i="9"/>
  <c r="AQ412" i="9"/>
  <c r="AQ413" i="9"/>
  <c r="AQ414" i="9"/>
  <c r="AQ415" i="9"/>
  <c r="AQ416" i="9"/>
  <c r="AQ417" i="9"/>
  <c r="AQ418" i="9"/>
  <c r="AQ419" i="9"/>
  <c r="AQ420" i="9"/>
  <c r="AQ421" i="9"/>
  <c r="AQ422" i="9"/>
  <c r="AQ423" i="9"/>
  <c r="AQ424" i="9"/>
  <c r="AQ425" i="9"/>
  <c r="AQ426" i="9"/>
  <c r="AQ427" i="9"/>
  <c r="AQ428" i="9"/>
  <c r="AQ429" i="9"/>
  <c r="AQ430" i="9"/>
  <c r="AQ431" i="9"/>
  <c r="AQ432" i="9"/>
  <c r="AQ433" i="9"/>
  <c r="AQ434" i="9"/>
  <c r="AQ435" i="9"/>
  <c r="AQ436" i="9"/>
  <c r="AQ437" i="9"/>
  <c r="AQ438" i="9"/>
  <c r="AQ439" i="9"/>
  <c r="AQ440" i="9"/>
  <c r="AQ441" i="9"/>
  <c r="AQ442" i="9"/>
  <c r="AQ443" i="9"/>
  <c r="AQ444" i="9"/>
  <c r="AQ445" i="9"/>
  <c r="AQ446" i="9"/>
  <c r="AQ447" i="9"/>
  <c r="AQ448" i="9"/>
  <c r="AQ449" i="9"/>
  <c r="AQ450" i="9"/>
  <c r="AQ451" i="9"/>
  <c r="AQ452" i="9"/>
  <c r="AQ453" i="9"/>
  <c r="AQ454" i="9"/>
  <c r="AQ455" i="9"/>
  <c r="AQ456" i="9"/>
  <c r="AQ457" i="9"/>
  <c r="AQ458" i="9"/>
  <c r="AQ459" i="9"/>
  <c r="AQ460" i="9"/>
  <c r="AQ461" i="9"/>
  <c r="AQ462" i="9"/>
  <c r="AQ463" i="9"/>
  <c r="AQ464" i="9"/>
  <c r="AQ465" i="9"/>
  <c r="AQ466" i="9"/>
  <c r="AQ467" i="9"/>
  <c r="AQ468" i="9"/>
  <c r="AQ469" i="9"/>
  <c r="AQ470" i="9"/>
  <c r="AQ471" i="9"/>
  <c r="AQ472" i="9"/>
  <c r="AQ473" i="9"/>
  <c r="AQ474" i="9"/>
  <c r="AQ475" i="9"/>
  <c r="AQ476" i="9"/>
  <c r="AQ477" i="9"/>
  <c r="AQ478" i="9"/>
  <c r="AQ479" i="9"/>
  <c r="AQ480" i="9"/>
  <c r="AQ481" i="9"/>
  <c r="AQ482" i="9"/>
  <c r="AQ483" i="9"/>
  <c r="AQ484" i="9"/>
  <c r="AQ485" i="9"/>
  <c r="AQ486" i="9"/>
  <c r="AQ487" i="9"/>
  <c r="AQ488" i="9"/>
  <c r="AQ489" i="9"/>
  <c r="AQ490" i="9"/>
  <c r="AQ491" i="9"/>
  <c r="AQ492" i="9"/>
  <c r="AQ493" i="9"/>
  <c r="AQ494" i="9"/>
  <c r="AQ495" i="9"/>
  <c r="AQ496" i="9"/>
  <c r="AQ497" i="9"/>
  <c r="AQ498" i="9"/>
  <c r="AQ499" i="9"/>
  <c r="AQ500" i="9"/>
  <c r="AQ501" i="9"/>
  <c r="AQ502" i="9"/>
  <c r="AQ503" i="9"/>
  <c r="AQ504" i="9"/>
  <c r="AQ505" i="9"/>
  <c r="AQ506" i="9"/>
  <c r="AQ507" i="9"/>
  <c r="AQ508" i="9"/>
  <c r="AQ509" i="9"/>
  <c r="AQ510" i="9"/>
  <c r="AQ511" i="9"/>
  <c r="AQ512" i="9"/>
  <c r="AQ513" i="9"/>
  <c r="AQ514" i="9"/>
  <c r="AQ515" i="9"/>
  <c r="AQ516" i="9"/>
  <c r="AQ517" i="9"/>
  <c r="AQ518" i="9"/>
  <c r="AQ519" i="9"/>
  <c r="AQ520" i="9"/>
  <c r="AQ521" i="9"/>
  <c r="AQ522" i="9"/>
  <c r="AQ523" i="9"/>
  <c r="AQ524" i="9"/>
  <c r="AQ525" i="9"/>
  <c r="AQ526" i="9"/>
  <c r="AQ527" i="9"/>
  <c r="AQ528" i="9"/>
  <c r="AQ529" i="9"/>
  <c r="AQ530" i="9"/>
  <c r="AQ531" i="9"/>
  <c r="AQ532" i="9"/>
  <c r="AQ533" i="9"/>
  <c r="AQ534" i="9"/>
  <c r="AQ535" i="9"/>
  <c r="AQ536" i="9"/>
  <c r="AQ537" i="9"/>
  <c r="AQ538" i="9"/>
  <c r="AQ539" i="9"/>
  <c r="AQ540" i="9"/>
  <c r="AQ541" i="9"/>
  <c r="AQ542" i="9"/>
  <c r="AQ543" i="9"/>
  <c r="AQ544" i="9"/>
  <c r="AQ545" i="9"/>
  <c r="AQ546" i="9"/>
  <c r="AQ547" i="9"/>
  <c r="AQ548" i="9"/>
  <c r="AQ549" i="9"/>
  <c r="AQ550" i="9"/>
  <c r="AQ551" i="9"/>
  <c r="AQ552" i="9"/>
  <c r="AQ553" i="9"/>
  <c r="AQ554" i="9"/>
  <c r="AQ555" i="9"/>
  <c r="AQ556" i="9"/>
  <c r="AQ557" i="9"/>
  <c r="AQ558" i="9"/>
  <c r="AQ559" i="9"/>
  <c r="AQ560" i="9"/>
  <c r="AQ561" i="9"/>
  <c r="AQ562" i="9"/>
  <c r="AQ563" i="9"/>
  <c r="AQ564" i="9"/>
  <c r="AQ565" i="9"/>
  <c r="AQ566" i="9"/>
  <c r="AQ567" i="9"/>
  <c r="AQ568" i="9"/>
  <c r="AQ569" i="9"/>
  <c r="AQ570" i="9"/>
  <c r="AQ571" i="9"/>
  <c r="AQ572" i="9"/>
  <c r="AQ573" i="9"/>
  <c r="AQ574" i="9"/>
  <c r="AQ575" i="9"/>
  <c r="AQ576" i="9"/>
  <c r="AQ577" i="9"/>
  <c r="AQ578" i="9"/>
  <c r="AQ579" i="9"/>
  <c r="AQ580" i="9"/>
  <c r="AQ581" i="9"/>
  <c r="AQ582" i="9"/>
  <c r="AQ583" i="9"/>
  <c r="AQ584" i="9"/>
  <c r="AQ585" i="9"/>
  <c r="AQ586" i="9"/>
  <c r="AQ587" i="9"/>
  <c r="AQ588" i="9"/>
  <c r="AQ589" i="9"/>
  <c r="AQ590" i="9"/>
  <c r="AQ591" i="9"/>
  <c r="AQ592" i="9"/>
  <c r="AQ593" i="9"/>
  <c r="AQ594" i="9"/>
  <c r="AQ595" i="9"/>
  <c r="AQ596" i="9"/>
  <c r="AQ597" i="9"/>
  <c r="AQ598" i="9"/>
  <c r="AQ599" i="9"/>
  <c r="AQ600" i="9"/>
  <c r="AQ601" i="9"/>
  <c r="AQ602" i="9"/>
  <c r="AQ603" i="9"/>
  <c r="AQ604" i="9"/>
  <c r="AQ605" i="9"/>
  <c r="AQ606" i="9"/>
  <c r="AQ607" i="9"/>
  <c r="AQ608" i="9"/>
  <c r="AQ609" i="9"/>
  <c r="AQ610" i="9"/>
  <c r="AQ611" i="9"/>
  <c r="AQ612" i="9"/>
  <c r="AQ613" i="9"/>
  <c r="AQ614" i="9"/>
  <c r="AQ615" i="9"/>
  <c r="AQ616" i="9"/>
  <c r="AQ617" i="9"/>
  <c r="AQ618" i="9"/>
  <c r="AQ619" i="9"/>
  <c r="AQ620" i="9"/>
  <c r="AQ621" i="9"/>
  <c r="AQ622" i="9"/>
  <c r="AQ623" i="9"/>
  <c r="AQ624" i="9"/>
  <c r="AQ625" i="9"/>
  <c r="AQ626" i="9"/>
  <c r="AQ627" i="9"/>
  <c r="AQ628" i="9"/>
  <c r="AQ629" i="9"/>
  <c r="AQ630" i="9"/>
  <c r="AQ631" i="9"/>
  <c r="AQ632" i="9"/>
  <c r="AQ633" i="9"/>
  <c r="AQ634" i="9"/>
  <c r="AQ635" i="9"/>
  <c r="AQ636" i="9"/>
  <c r="AQ637" i="9"/>
  <c r="AQ638" i="9"/>
  <c r="AQ639" i="9"/>
  <c r="AQ640" i="9"/>
  <c r="AQ641" i="9"/>
  <c r="AQ642" i="9"/>
  <c r="AQ643" i="9"/>
  <c r="AQ644" i="9"/>
  <c r="AQ645" i="9"/>
  <c r="AQ646" i="9"/>
  <c r="AQ647" i="9"/>
  <c r="AQ648" i="9"/>
  <c r="AQ649" i="9"/>
  <c r="AQ650" i="9"/>
  <c r="AQ651" i="9"/>
  <c r="AQ652" i="9"/>
  <c r="AQ653" i="9"/>
  <c r="AQ654" i="9"/>
  <c r="AQ655" i="9"/>
  <c r="AQ656" i="9"/>
  <c r="AQ657" i="9"/>
  <c r="AQ658" i="9"/>
  <c r="AQ659" i="9"/>
  <c r="AQ660" i="9"/>
  <c r="AQ661" i="9"/>
  <c r="AQ662" i="9"/>
  <c r="AQ663" i="9"/>
  <c r="AQ664" i="9"/>
  <c r="AQ665" i="9"/>
  <c r="AQ666" i="9"/>
  <c r="AQ667" i="9"/>
  <c r="AQ668" i="9"/>
  <c r="AQ669" i="9"/>
  <c r="AQ670" i="9"/>
  <c r="AQ671" i="9"/>
  <c r="AQ672" i="9"/>
  <c r="AQ673" i="9"/>
  <c r="AQ674" i="9"/>
  <c r="AQ675" i="9"/>
  <c r="AQ676" i="9"/>
  <c r="AQ677" i="9"/>
  <c r="AQ678" i="9"/>
  <c r="AQ679" i="9"/>
  <c r="AQ680" i="9"/>
  <c r="AQ681" i="9"/>
  <c r="AQ682" i="9"/>
  <c r="AQ683" i="9"/>
  <c r="AQ684" i="9"/>
  <c r="AQ685" i="9"/>
  <c r="AQ686" i="9"/>
  <c r="AQ687" i="9"/>
  <c r="AQ688" i="9"/>
  <c r="AQ689" i="9"/>
  <c r="AQ690" i="9"/>
  <c r="AQ691" i="9"/>
  <c r="AQ692" i="9"/>
  <c r="AQ693" i="9"/>
  <c r="AQ694" i="9"/>
  <c r="AQ695" i="9"/>
  <c r="AQ696" i="9"/>
  <c r="AQ697" i="9"/>
  <c r="AQ698" i="9"/>
  <c r="AQ699" i="9"/>
  <c r="AQ700" i="9"/>
  <c r="AQ701" i="9"/>
  <c r="AQ702" i="9"/>
  <c r="AQ703" i="9"/>
  <c r="AQ704" i="9"/>
  <c r="AQ705" i="9"/>
  <c r="AQ706" i="9"/>
  <c r="AQ707" i="9"/>
  <c r="AQ708" i="9"/>
  <c r="AQ709" i="9"/>
  <c r="AQ710" i="9"/>
  <c r="AQ711" i="9"/>
  <c r="AQ712" i="9"/>
  <c r="AQ713" i="9"/>
  <c r="AQ714" i="9"/>
  <c r="AQ715" i="9"/>
  <c r="AQ716" i="9"/>
  <c r="AQ717" i="9"/>
  <c r="AQ718" i="9"/>
  <c r="AQ719" i="9"/>
  <c r="AQ720" i="9"/>
  <c r="AQ721" i="9"/>
  <c r="AQ722" i="9"/>
  <c r="AQ723" i="9"/>
  <c r="AQ724" i="9"/>
  <c r="AQ725" i="9"/>
  <c r="AQ726" i="9"/>
  <c r="AQ727" i="9"/>
  <c r="AQ728" i="9"/>
  <c r="AQ729" i="9"/>
  <c r="AQ730" i="9"/>
  <c r="AQ731" i="9"/>
  <c r="AQ732" i="9"/>
  <c r="AQ733" i="9"/>
  <c r="AQ734" i="9"/>
  <c r="AQ735" i="9"/>
  <c r="AQ736" i="9"/>
  <c r="AQ737" i="9"/>
  <c r="AQ738" i="9"/>
  <c r="AQ739" i="9"/>
  <c r="AQ740" i="9"/>
  <c r="AQ741" i="9"/>
  <c r="AQ742" i="9"/>
  <c r="AQ743" i="9"/>
  <c r="AQ744" i="9"/>
  <c r="AQ745" i="9"/>
  <c r="AQ746" i="9"/>
  <c r="AQ747" i="9"/>
  <c r="AQ748" i="9"/>
  <c r="AQ749" i="9"/>
  <c r="AQ750" i="9"/>
  <c r="AQ751" i="9"/>
  <c r="AQ752" i="9"/>
  <c r="AQ753" i="9"/>
  <c r="AQ754" i="9"/>
  <c r="AQ755" i="9"/>
  <c r="AQ756" i="9"/>
  <c r="AQ757" i="9"/>
  <c r="AQ758" i="9"/>
  <c r="AQ759" i="9"/>
  <c r="AQ760" i="9"/>
  <c r="AQ761" i="9"/>
  <c r="AQ762" i="9"/>
  <c r="AQ763" i="9"/>
  <c r="AQ764" i="9"/>
  <c r="AQ765" i="9"/>
  <c r="AQ766" i="9"/>
  <c r="AQ767" i="9"/>
  <c r="AQ768" i="9"/>
  <c r="AQ769" i="9"/>
  <c r="AQ770" i="9"/>
  <c r="AQ771" i="9"/>
  <c r="AQ772" i="9"/>
  <c r="AQ773" i="9"/>
  <c r="AQ774" i="9"/>
  <c r="AQ775" i="9"/>
  <c r="AQ776" i="9"/>
  <c r="AQ777" i="9"/>
  <c r="AQ778" i="9"/>
  <c r="AQ779" i="9"/>
  <c r="AQ780" i="9"/>
  <c r="AQ781" i="9"/>
  <c r="AQ782" i="9"/>
  <c r="AQ783" i="9"/>
  <c r="AQ784" i="9"/>
  <c r="AQ785" i="9"/>
  <c r="AQ786" i="9"/>
  <c r="AQ787" i="9"/>
  <c r="AQ788" i="9"/>
  <c r="AQ789" i="9"/>
  <c r="AQ790" i="9"/>
  <c r="AQ791" i="9"/>
  <c r="AQ792" i="9"/>
  <c r="AQ793" i="9"/>
  <c r="AQ794" i="9"/>
  <c r="AQ795" i="9"/>
  <c r="AQ796" i="9"/>
  <c r="AQ797" i="9"/>
  <c r="AQ798" i="9"/>
  <c r="AQ799" i="9"/>
  <c r="AQ800" i="9"/>
  <c r="AQ801" i="9"/>
  <c r="AQ802" i="9"/>
  <c r="AQ803" i="9"/>
  <c r="AQ804" i="9"/>
  <c r="AQ805" i="9"/>
  <c r="AQ806" i="9"/>
  <c r="AQ807" i="9"/>
  <c r="AQ808" i="9"/>
  <c r="AQ809" i="9"/>
  <c r="AQ810" i="9"/>
  <c r="AQ811" i="9"/>
  <c r="AQ812" i="9"/>
  <c r="AQ813" i="9"/>
  <c r="AQ814" i="9"/>
  <c r="AQ815" i="9"/>
  <c r="AQ816" i="9"/>
  <c r="AQ817" i="9"/>
  <c r="AQ818" i="9"/>
  <c r="AQ819" i="9"/>
  <c r="AQ820" i="9"/>
  <c r="AQ821" i="9"/>
  <c r="AQ822" i="9"/>
  <c r="AQ823" i="9"/>
  <c r="AQ824" i="9"/>
  <c r="AQ825" i="9"/>
  <c r="AQ826" i="9"/>
  <c r="AQ827" i="9"/>
  <c r="AQ828" i="9"/>
  <c r="AQ829" i="9"/>
  <c r="AQ830" i="9"/>
  <c r="AQ831" i="9"/>
  <c r="AQ832" i="9"/>
  <c r="AQ833" i="9"/>
  <c r="AQ834" i="9"/>
  <c r="AQ835" i="9"/>
  <c r="AQ3" i="9"/>
  <c r="AS30" i="10"/>
  <c r="AW42" i="10"/>
  <c r="AW41" i="10"/>
  <c r="AS31" i="10"/>
  <c r="J58" i="10" l="1"/>
  <c r="J22" i="10"/>
  <c r="U874" i="60"/>
  <c r="Q874" i="60"/>
  <c r="U873" i="60"/>
  <c r="Q873" i="60"/>
  <c r="U871" i="60"/>
  <c r="Q871" i="60"/>
  <c r="U869" i="60"/>
  <c r="Q869" i="60"/>
  <c r="U868" i="60"/>
  <c r="Q868" i="60"/>
  <c r="I868" i="60"/>
  <c r="I867" i="60"/>
  <c r="U866" i="60"/>
  <c r="Q866" i="60"/>
  <c r="U865" i="60"/>
  <c r="Q865" i="60"/>
  <c r="U863" i="60"/>
  <c r="Q863" i="60"/>
  <c r="U862" i="60"/>
  <c r="Q862" i="60"/>
  <c r="U860" i="60"/>
  <c r="Q860" i="60"/>
  <c r="U858" i="60"/>
  <c r="Q858" i="60"/>
  <c r="U857" i="60"/>
  <c r="Q857" i="60"/>
  <c r="I857" i="60"/>
  <c r="I856" i="60"/>
  <c r="U855" i="60"/>
  <c r="Q855" i="60"/>
  <c r="U854" i="60"/>
  <c r="Q854" i="60"/>
  <c r="U753" i="60"/>
  <c r="Q753" i="60"/>
  <c r="U752" i="60"/>
  <c r="Q752" i="60"/>
  <c r="U750" i="60"/>
  <c r="Q750" i="60"/>
  <c r="U748" i="60"/>
  <c r="Q748" i="60"/>
  <c r="U747" i="60"/>
  <c r="Q747" i="60"/>
  <c r="I747" i="60"/>
  <c r="I746" i="60"/>
  <c r="U745" i="60"/>
  <c r="Q745" i="60"/>
  <c r="U744" i="60"/>
  <c r="Q744" i="60"/>
  <c r="U742" i="60"/>
  <c r="Q742" i="60"/>
  <c r="U741" i="60"/>
  <c r="Q741" i="60"/>
  <c r="U739" i="60"/>
  <c r="Q739" i="60"/>
  <c r="U737" i="60"/>
  <c r="Q737" i="60"/>
  <c r="U736" i="60"/>
  <c r="Q736" i="60"/>
  <c r="I736" i="60"/>
  <c r="I735" i="60"/>
  <c r="U734" i="60"/>
  <c r="Q734" i="60"/>
  <c r="U733" i="60"/>
  <c r="Q733" i="60"/>
  <c r="U731" i="60"/>
  <c r="Q731" i="60"/>
  <c r="U730" i="60"/>
  <c r="Q730" i="60"/>
  <c r="U728" i="60"/>
  <c r="Q728" i="60"/>
  <c r="U726" i="60"/>
  <c r="Q726" i="60"/>
  <c r="U725" i="60"/>
  <c r="Q725" i="60"/>
  <c r="I725" i="60"/>
  <c r="I724" i="60"/>
  <c r="U723" i="60"/>
  <c r="Q723" i="60"/>
  <c r="U722" i="60"/>
  <c r="Q722" i="60"/>
  <c r="U720" i="60"/>
  <c r="Q720" i="60"/>
  <c r="U719" i="60"/>
  <c r="Q719" i="60"/>
  <c r="U717" i="60"/>
  <c r="Q717" i="60"/>
  <c r="U715" i="60"/>
  <c r="Q715" i="60"/>
  <c r="U714" i="60"/>
  <c r="Q714" i="60"/>
  <c r="I714" i="60"/>
  <c r="I713" i="60"/>
  <c r="U712" i="60"/>
  <c r="Q712" i="60"/>
  <c r="U711" i="60"/>
  <c r="Q711" i="60"/>
  <c r="U709" i="60"/>
  <c r="Q709" i="60"/>
  <c r="U708" i="60"/>
  <c r="Q708" i="60"/>
  <c r="U706" i="60"/>
  <c r="Q706" i="60"/>
  <c r="U704" i="60"/>
  <c r="Q704" i="60"/>
  <c r="U703" i="60"/>
  <c r="Q703" i="60"/>
  <c r="I703" i="60"/>
  <c r="I702" i="60"/>
  <c r="U701" i="60"/>
  <c r="Q701" i="60"/>
  <c r="U700" i="60"/>
  <c r="Q700" i="60"/>
  <c r="U698" i="60"/>
  <c r="Q698" i="60"/>
  <c r="U697" i="60"/>
  <c r="Q697" i="60"/>
  <c r="U695" i="60"/>
  <c r="Q695" i="60"/>
  <c r="U693" i="60"/>
  <c r="Q693" i="60"/>
  <c r="U692" i="60"/>
  <c r="Q692" i="60"/>
  <c r="I692" i="60"/>
  <c r="I691" i="60"/>
  <c r="U690" i="60"/>
  <c r="Q690" i="60"/>
  <c r="U689" i="60"/>
  <c r="Q689" i="60"/>
  <c r="U687" i="60"/>
  <c r="Q687" i="60"/>
  <c r="U686" i="60"/>
  <c r="Q686" i="60"/>
  <c r="U684" i="60"/>
  <c r="Q684" i="60"/>
  <c r="U682" i="60"/>
  <c r="Q682" i="60"/>
  <c r="U681" i="60"/>
  <c r="Q681" i="60"/>
  <c r="I681" i="60"/>
  <c r="I680" i="60"/>
  <c r="U679" i="60"/>
  <c r="Q679" i="60"/>
  <c r="U678" i="60"/>
  <c r="Q678" i="60"/>
  <c r="U676" i="60"/>
  <c r="Q676" i="60"/>
  <c r="U675" i="60"/>
  <c r="Q675" i="60"/>
  <c r="U673" i="60"/>
  <c r="Q673" i="60"/>
  <c r="U671" i="60"/>
  <c r="Q671" i="60"/>
  <c r="U670" i="60"/>
  <c r="Q670" i="60"/>
  <c r="I670" i="60"/>
  <c r="I669" i="60"/>
  <c r="U668" i="60"/>
  <c r="Q668" i="60"/>
  <c r="U667" i="60"/>
  <c r="Q667" i="60"/>
  <c r="U665" i="60"/>
  <c r="Q665" i="60"/>
  <c r="U664" i="60"/>
  <c r="Q664" i="60"/>
  <c r="U662" i="60"/>
  <c r="Q662" i="60"/>
  <c r="U660" i="60"/>
  <c r="Q660" i="60"/>
  <c r="U659" i="60"/>
  <c r="Q659" i="60"/>
  <c r="I659" i="60"/>
  <c r="I658" i="60"/>
  <c r="U657" i="60"/>
  <c r="Q657" i="60"/>
  <c r="U656" i="60"/>
  <c r="Q656" i="60"/>
  <c r="Q942" i="60"/>
  <c r="U942" i="60"/>
  <c r="Q943" i="60"/>
  <c r="U943" i="60"/>
  <c r="I944" i="60"/>
  <c r="I945" i="60"/>
  <c r="Q945" i="60"/>
  <c r="U945" i="60"/>
  <c r="Q946" i="60"/>
  <c r="U946" i="60"/>
  <c r="Q948" i="60"/>
  <c r="U948" i="60"/>
  <c r="Q950" i="60"/>
  <c r="U950" i="60"/>
  <c r="Q951" i="60"/>
  <c r="U951" i="60"/>
  <c r="U940" i="59"/>
  <c r="Q940" i="59"/>
  <c r="L940" i="59"/>
  <c r="H940" i="59"/>
  <c r="U939" i="59"/>
  <c r="Q939" i="59"/>
  <c r="L939" i="59"/>
  <c r="H939" i="59"/>
  <c r="L938" i="59"/>
  <c r="H938" i="59"/>
  <c r="U937" i="59"/>
  <c r="Q937" i="59"/>
  <c r="L937" i="59"/>
  <c r="H937" i="59"/>
  <c r="L936" i="59"/>
  <c r="H936" i="59"/>
  <c r="U935" i="59"/>
  <c r="Q935" i="59"/>
  <c r="L935" i="59"/>
  <c r="H935" i="59"/>
  <c r="U934" i="59"/>
  <c r="Q934" i="59"/>
  <c r="I934" i="59"/>
  <c r="H934" i="59"/>
  <c r="I933" i="59"/>
  <c r="H933" i="59"/>
  <c r="U932" i="59"/>
  <c r="Q932" i="59"/>
  <c r="L932" i="59"/>
  <c r="H932" i="59"/>
  <c r="U931" i="59"/>
  <c r="Q931" i="59"/>
  <c r="U929" i="59"/>
  <c r="Q929" i="59"/>
  <c r="L929" i="59"/>
  <c r="H929" i="59"/>
  <c r="U928" i="59"/>
  <c r="Q928" i="59"/>
  <c r="L928" i="59"/>
  <c r="H928" i="59"/>
  <c r="L927" i="59"/>
  <c r="H927" i="59"/>
  <c r="U926" i="59"/>
  <c r="Q926" i="59"/>
  <c r="L926" i="59"/>
  <c r="H926" i="59"/>
  <c r="L925" i="59"/>
  <c r="H925" i="59"/>
  <c r="U924" i="59"/>
  <c r="Q924" i="59"/>
  <c r="L924" i="59"/>
  <c r="H924" i="59"/>
  <c r="U923" i="59"/>
  <c r="Q923" i="59"/>
  <c r="I923" i="59"/>
  <c r="H923" i="59"/>
  <c r="I922" i="59"/>
  <c r="H922" i="59"/>
  <c r="U921" i="59"/>
  <c r="Q921" i="59"/>
  <c r="L921" i="59"/>
  <c r="H921" i="59"/>
  <c r="U920" i="59"/>
  <c r="Q920" i="59"/>
  <c r="U896" i="59"/>
  <c r="Q896" i="59"/>
  <c r="L896" i="59"/>
  <c r="H896" i="59"/>
  <c r="U895" i="59"/>
  <c r="Q895" i="59"/>
  <c r="L895" i="59"/>
  <c r="H895" i="59"/>
  <c r="L894" i="59"/>
  <c r="H894" i="59"/>
  <c r="U893" i="59"/>
  <c r="Q893" i="59"/>
  <c r="L893" i="59"/>
  <c r="H893" i="59"/>
  <c r="L892" i="59"/>
  <c r="H892" i="59"/>
  <c r="U891" i="59"/>
  <c r="Q891" i="59"/>
  <c r="L891" i="59"/>
  <c r="H891" i="59"/>
  <c r="U890" i="59"/>
  <c r="Q890" i="59"/>
  <c r="I890" i="59"/>
  <c r="H890" i="59"/>
  <c r="I889" i="59"/>
  <c r="H889" i="59"/>
  <c r="U888" i="59"/>
  <c r="Q888" i="59"/>
  <c r="L888" i="59"/>
  <c r="H888" i="59"/>
  <c r="U887" i="59"/>
  <c r="Q887" i="59"/>
  <c r="U764" i="59"/>
  <c r="Q764" i="59"/>
  <c r="L764" i="59"/>
  <c r="H764" i="59"/>
  <c r="U763" i="59"/>
  <c r="Q763" i="59"/>
  <c r="L763" i="59"/>
  <c r="H763" i="59"/>
  <c r="L762" i="59"/>
  <c r="H762" i="59"/>
  <c r="U761" i="59"/>
  <c r="Q761" i="59"/>
  <c r="L761" i="59"/>
  <c r="H761" i="59"/>
  <c r="L760" i="59"/>
  <c r="H760" i="59"/>
  <c r="U759" i="59"/>
  <c r="Q759" i="59"/>
  <c r="L759" i="59"/>
  <c r="H759" i="59"/>
  <c r="U758" i="59"/>
  <c r="Q758" i="59"/>
  <c r="I758" i="59"/>
  <c r="H758" i="59"/>
  <c r="I757" i="59"/>
  <c r="H757" i="59"/>
  <c r="U756" i="59"/>
  <c r="Q756" i="59"/>
  <c r="L756" i="59"/>
  <c r="H756" i="59"/>
  <c r="U755" i="59"/>
  <c r="Q755" i="59"/>
  <c r="U753" i="59"/>
  <c r="Q753" i="59"/>
  <c r="L753" i="59"/>
  <c r="H753" i="59"/>
  <c r="U752" i="59"/>
  <c r="Q752" i="59"/>
  <c r="L752" i="59"/>
  <c r="H752" i="59"/>
  <c r="L751" i="59"/>
  <c r="H751" i="59"/>
  <c r="U750" i="59"/>
  <c r="Q750" i="59"/>
  <c r="L750" i="59"/>
  <c r="H750" i="59"/>
  <c r="L749" i="59"/>
  <c r="H749" i="59"/>
  <c r="U748" i="59"/>
  <c r="Q748" i="59"/>
  <c r="L748" i="59"/>
  <c r="H748" i="59"/>
  <c r="U747" i="59"/>
  <c r="Q747" i="59"/>
  <c r="I747" i="59"/>
  <c r="H747" i="59"/>
  <c r="I746" i="59"/>
  <c r="H746" i="59"/>
  <c r="U745" i="59"/>
  <c r="Q745" i="59"/>
  <c r="L745" i="59"/>
  <c r="H745" i="59"/>
  <c r="U744" i="59"/>
  <c r="Q744" i="59"/>
  <c r="U742" i="59"/>
  <c r="Q742" i="59"/>
  <c r="L742" i="59"/>
  <c r="H742" i="59"/>
  <c r="U741" i="59"/>
  <c r="Q741" i="59"/>
  <c r="L741" i="59"/>
  <c r="H741" i="59"/>
  <c r="L740" i="59"/>
  <c r="H740" i="59"/>
  <c r="U739" i="59"/>
  <c r="Q739" i="59"/>
  <c r="L739" i="59"/>
  <c r="H739" i="59"/>
  <c r="L738" i="59"/>
  <c r="H738" i="59"/>
  <c r="U737" i="59"/>
  <c r="Q737" i="59"/>
  <c r="L737" i="59"/>
  <c r="H737" i="59"/>
  <c r="U736" i="59"/>
  <c r="Q736" i="59"/>
  <c r="I736" i="59"/>
  <c r="H736" i="59"/>
  <c r="I735" i="59"/>
  <c r="H735" i="59"/>
  <c r="U734" i="59"/>
  <c r="Q734" i="59"/>
  <c r="L734" i="59"/>
  <c r="H734" i="59"/>
  <c r="U733" i="59"/>
  <c r="Q733" i="59"/>
  <c r="U731" i="59"/>
  <c r="Q731" i="59"/>
  <c r="L731" i="59"/>
  <c r="H731" i="59"/>
  <c r="U730" i="59"/>
  <c r="Q730" i="59"/>
  <c r="L730" i="59"/>
  <c r="H730" i="59"/>
  <c r="L729" i="59"/>
  <c r="H729" i="59"/>
  <c r="U728" i="59"/>
  <c r="Q728" i="59"/>
  <c r="L728" i="59"/>
  <c r="H728" i="59"/>
  <c r="L727" i="59"/>
  <c r="H727" i="59"/>
  <c r="U726" i="59"/>
  <c r="Q726" i="59"/>
  <c r="L726" i="59"/>
  <c r="H726" i="59"/>
  <c r="U725" i="59"/>
  <c r="Q725" i="59"/>
  <c r="I725" i="59"/>
  <c r="H725" i="59"/>
  <c r="I724" i="59"/>
  <c r="H724" i="59"/>
  <c r="U723" i="59"/>
  <c r="Q723" i="59"/>
  <c r="L723" i="59"/>
  <c r="H723" i="59"/>
  <c r="U722" i="59"/>
  <c r="Q722" i="59"/>
  <c r="U720" i="59"/>
  <c r="Q720" i="59"/>
  <c r="L720" i="59"/>
  <c r="H720" i="59"/>
  <c r="U719" i="59"/>
  <c r="Q719" i="59"/>
  <c r="L719" i="59"/>
  <c r="H719" i="59"/>
  <c r="L718" i="59"/>
  <c r="H718" i="59"/>
  <c r="U717" i="59"/>
  <c r="Q717" i="59"/>
  <c r="L717" i="59"/>
  <c r="H717" i="59"/>
  <c r="L716" i="59"/>
  <c r="H716" i="59"/>
  <c r="U715" i="59"/>
  <c r="Q715" i="59"/>
  <c r="L715" i="59"/>
  <c r="H715" i="59"/>
  <c r="U714" i="59"/>
  <c r="Q714" i="59"/>
  <c r="I714" i="59"/>
  <c r="H714" i="59"/>
  <c r="I713" i="59"/>
  <c r="H713" i="59"/>
  <c r="U712" i="59"/>
  <c r="Q712" i="59"/>
  <c r="L712" i="59"/>
  <c r="H712" i="59"/>
  <c r="U711" i="59"/>
  <c r="Q711" i="59"/>
  <c r="U709" i="59"/>
  <c r="Q709" i="59"/>
  <c r="L709" i="59"/>
  <c r="H709" i="59"/>
  <c r="U708" i="59"/>
  <c r="Q708" i="59"/>
  <c r="L708" i="59"/>
  <c r="H708" i="59"/>
  <c r="L707" i="59"/>
  <c r="H707" i="59"/>
  <c r="U706" i="59"/>
  <c r="Q706" i="59"/>
  <c r="L706" i="59"/>
  <c r="H706" i="59"/>
  <c r="L705" i="59"/>
  <c r="H705" i="59"/>
  <c r="U704" i="59"/>
  <c r="Q704" i="59"/>
  <c r="L704" i="59"/>
  <c r="H704" i="59"/>
  <c r="U703" i="59"/>
  <c r="Q703" i="59"/>
  <c r="I703" i="59"/>
  <c r="H703" i="59"/>
  <c r="I702" i="59"/>
  <c r="H702" i="59"/>
  <c r="U701" i="59"/>
  <c r="Q701" i="59"/>
  <c r="L701" i="59"/>
  <c r="H701" i="59"/>
  <c r="U700" i="59"/>
  <c r="Q700" i="59"/>
  <c r="U698" i="59"/>
  <c r="Q698" i="59"/>
  <c r="L698" i="59"/>
  <c r="H698" i="59"/>
  <c r="U697" i="59"/>
  <c r="Q697" i="59"/>
  <c r="L697" i="59"/>
  <c r="H697" i="59"/>
  <c r="L696" i="59"/>
  <c r="H696" i="59"/>
  <c r="U695" i="59"/>
  <c r="Q695" i="59"/>
  <c r="L695" i="59"/>
  <c r="H695" i="59"/>
  <c r="L694" i="59"/>
  <c r="H694" i="59"/>
  <c r="U693" i="59"/>
  <c r="Q693" i="59"/>
  <c r="L693" i="59"/>
  <c r="H693" i="59"/>
  <c r="U692" i="59"/>
  <c r="Q692" i="59"/>
  <c r="I692" i="59"/>
  <c r="H692" i="59"/>
  <c r="I691" i="59"/>
  <c r="H691" i="59"/>
  <c r="U690" i="59"/>
  <c r="Q690" i="59"/>
  <c r="L690" i="59"/>
  <c r="H690" i="59"/>
  <c r="U689" i="59"/>
  <c r="Q689" i="59"/>
  <c r="U687" i="59"/>
  <c r="Q687" i="59"/>
  <c r="L687" i="59"/>
  <c r="H687" i="59"/>
  <c r="U686" i="59"/>
  <c r="Q686" i="59"/>
  <c r="L686" i="59"/>
  <c r="H686" i="59"/>
  <c r="L685" i="59"/>
  <c r="H685" i="59"/>
  <c r="U684" i="59"/>
  <c r="Q684" i="59"/>
  <c r="L684" i="59"/>
  <c r="H684" i="59"/>
  <c r="L683" i="59"/>
  <c r="H683" i="59"/>
  <c r="U682" i="59"/>
  <c r="Q682" i="59"/>
  <c r="L682" i="59"/>
  <c r="H682" i="59"/>
  <c r="U681" i="59"/>
  <c r="Q681" i="59"/>
  <c r="I681" i="59"/>
  <c r="H681" i="59"/>
  <c r="I680" i="59"/>
  <c r="H680" i="59"/>
  <c r="U679" i="59"/>
  <c r="Q679" i="59"/>
  <c r="L679" i="59"/>
  <c r="H679" i="59"/>
  <c r="U678" i="59"/>
  <c r="Q678" i="59"/>
  <c r="U676" i="59"/>
  <c r="Q676" i="59"/>
  <c r="L676" i="59"/>
  <c r="H676" i="59"/>
  <c r="U675" i="59"/>
  <c r="Q675" i="59"/>
  <c r="L675" i="59"/>
  <c r="H675" i="59"/>
  <c r="L674" i="59"/>
  <c r="H674" i="59"/>
  <c r="U673" i="59"/>
  <c r="Q673" i="59"/>
  <c r="L673" i="59"/>
  <c r="H673" i="59"/>
  <c r="L672" i="59"/>
  <c r="H672" i="59"/>
  <c r="U671" i="59"/>
  <c r="Q671" i="59"/>
  <c r="L671" i="59"/>
  <c r="H671" i="59"/>
  <c r="U670" i="59"/>
  <c r="Q670" i="59"/>
  <c r="I670" i="59"/>
  <c r="H670" i="59"/>
  <c r="I669" i="59"/>
  <c r="H669" i="59"/>
  <c r="U668" i="59"/>
  <c r="Q668" i="59"/>
  <c r="L668" i="59"/>
  <c r="H668" i="59"/>
  <c r="U667" i="59"/>
  <c r="Q667" i="59"/>
  <c r="U665" i="59"/>
  <c r="Q665" i="59"/>
  <c r="L665" i="59"/>
  <c r="H665" i="59"/>
  <c r="U664" i="59"/>
  <c r="Q664" i="59"/>
  <c r="L664" i="59"/>
  <c r="H664" i="59"/>
  <c r="L663" i="59"/>
  <c r="H663" i="59"/>
  <c r="U662" i="59"/>
  <c r="Q662" i="59"/>
  <c r="L662" i="59"/>
  <c r="H662" i="59"/>
  <c r="L661" i="59"/>
  <c r="H661" i="59"/>
  <c r="U660" i="59"/>
  <c r="Q660" i="59"/>
  <c r="L660" i="59"/>
  <c r="H660" i="59"/>
  <c r="U659" i="59"/>
  <c r="Q659" i="59"/>
  <c r="I659" i="59"/>
  <c r="H659" i="59"/>
  <c r="I658" i="59"/>
  <c r="H658" i="59"/>
  <c r="U657" i="59"/>
  <c r="Q657" i="59"/>
  <c r="L657" i="59"/>
  <c r="H657" i="59"/>
  <c r="U656" i="59"/>
  <c r="Q656" i="59"/>
  <c r="U808" i="57"/>
  <c r="Q808" i="57"/>
  <c r="U807" i="57"/>
  <c r="Q807" i="57"/>
  <c r="U805" i="57"/>
  <c r="Q805" i="57"/>
  <c r="U803" i="57"/>
  <c r="Q803" i="57"/>
  <c r="U802" i="57"/>
  <c r="Q802" i="57"/>
  <c r="I802" i="57"/>
  <c r="I801" i="57"/>
  <c r="U800" i="57"/>
  <c r="Q800" i="57"/>
  <c r="U799" i="57"/>
  <c r="Q799" i="57"/>
  <c r="U797" i="57"/>
  <c r="Q797" i="57"/>
  <c r="U796" i="57"/>
  <c r="Q796" i="57"/>
  <c r="U794" i="57"/>
  <c r="Q794" i="57"/>
  <c r="U792" i="57"/>
  <c r="Q792" i="57"/>
  <c r="U791" i="57"/>
  <c r="Q791" i="57"/>
  <c r="I791" i="57"/>
  <c r="I790" i="57"/>
  <c r="U789" i="57"/>
  <c r="Q789" i="57"/>
  <c r="U788" i="57"/>
  <c r="Q788" i="57"/>
  <c r="U819" i="57"/>
  <c r="Q819" i="57"/>
  <c r="U818" i="57"/>
  <c r="Q818" i="57"/>
  <c r="U816" i="57"/>
  <c r="Q816" i="57"/>
  <c r="U814" i="57"/>
  <c r="Q814" i="57"/>
  <c r="U813" i="57"/>
  <c r="Q813" i="57"/>
  <c r="I813" i="57"/>
  <c r="I812" i="57"/>
  <c r="U811" i="57"/>
  <c r="Q811" i="57"/>
  <c r="U810" i="57"/>
  <c r="Q810" i="57"/>
  <c r="U775" i="57"/>
  <c r="Q775" i="57"/>
  <c r="U774" i="57"/>
  <c r="Q774" i="57"/>
  <c r="U772" i="57"/>
  <c r="Q772" i="57"/>
  <c r="U770" i="57"/>
  <c r="Q770" i="57"/>
  <c r="U769" i="57"/>
  <c r="Q769" i="57"/>
  <c r="I769" i="57"/>
  <c r="I768" i="57"/>
  <c r="U767" i="57"/>
  <c r="Q767" i="57"/>
  <c r="U766" i="57"/>
  <c r="Q766" i="57"/>
  <c r="U786" i="57"/>
  <c r="Q786" i="57"/>
  <c r="U785" i="57"/>
  <c r="Q785" i="57"/>
  <c r="U783" i="57"/>
  <c r="Q783" i="57"/>
  <c r="U781" i="57"/>
  <c r="Q781" i="57"/>
  <c r="U780" i="57"/>
  <c r="Q780" i="57"/>
  <c r="I780" i="57"/>
  <c r="I779" i="57"/>
  <c r="U778" i="57"/>
  <c r="Q778" i="57"/>
  <c r="U777" i="57"/>
  <c r="Q777" i="57"/>
  <c r="U654" i="60" l="1"/>
  <c r="Q654" i="60"/>
  <c r="U653" i="60"/>
  <c r="Q653" i="60"/>
  <c r="U651" i="60"/>
  <c r="Q651" i="60"/>
  <c r="U649" i="60"/>
  <c r="Q649" i="60"/>
  <c r="U648" i="60"/>
  <c r="Q648" i="60"/>
  <c r="I648" i="60"/>
  <c r="I647" i="60"/>
  <c r="U646" i="60"/>
  <c r="Q646" i="60"/>
  <c r="U645" i="60"/>
  <c r="Q645" i="60"/>
  <c r="U643" i="60"/>
  <c r="Q643" i="60"/>
  <c r="U642" i="60"/>
  <c r="Q642" i="60"/>
  <c r="U640" i="60"/>
  <c r="Q640" i="60"/>
  <c r="U638" i="60"/>
  <c r="Q638" i="60"/>
  <c r="U637" i="60"/>
  <c r="Q637" i="60"/>
  <c r="I637" i="60"/>
  <c r="I636" i="60"/>
  <c r="U635" i="60"/>
  <c r="Q635" i="60"/>
  <c r="U634" i="60"/>
  <c r="Q634" i="60"/>
  <c r="U632" i="60"/>
  <c r="Q632" i="60"/>
  <c r="U631" i="60"/>
  <c r="Q631" i="60"/>
  <c r="U629" i="60"/>
  <c r="Q629" i="60"/>
  <c r="U627" i="60"/>
  <c r="Q627" i="60"/>
  <c r="U626" i="60"/>
  <c r="Q626" i="60"/>
  <c r="I626" i="60"/>
  <c r="I625" i="60"/>
  <c r="U624" i="60"/>
  <c r="Q624" i="60"/>
  <c r="U623" i="60"/>
  <c r="Q623" i="60"/>
  <c r="U621" i="60"/>
  <c r="Q621" i="60"/>
  <c r="U620" i="60"/>
  <c r="Q620" i="60"/>
  <c r="U618" i="60"/>
  <c r="Q618" i="60"/>
  <c r="U616" i="60"/>
  <c r="Q616" i="60"/>
  <c r="U615" i="60"/>
  <c r="Q615" i="60"/>
  <c r="I615" i="60"/>
  <c r="I614" i="60"/>
  <c r="U613" i="60"/>
  <c r="Q613" i="60"/>
  <c r="U612" i="60"/>
  <c r="Q612" i="60"/>
  <c r="U610" i="60"/>
  <c r="Q610" i="60"/>
  <c r="U609" i="60"/>
  <c r="Q609" i="60"/>
  <c r="U607" i="60"/>
  <c r="Q607" i="60"/>
  <c r="U605" i="60"/>
  <c r="Q605" i="60"/>
  <c r="U604" i="60"/>
  <c r="Q604" i="60"/>
  <c r="I604" i="60"/>
  <c r="I603" i="60"/>
  <c r="U602" i="60"/>
  <c r="Q602" i="60"/>
  <c r="U601" i="60"/>
  <c r="Q601" i="60"/>
  <c r="U599" i="60"/>
  <c r="Q599" i="60"/>
  <c r="U598" i="60"/>
  <c r="Q598" i="60"/>
  <c r="U596" i="60"/>
  <c r="Q596" i="60"/>
  <c r="U594" i="60"/>
  <c r="Q594" i="60"/>
  <c r="U593" i="60"/>
  <c r="Q593" i="60"/>
  <c r="I593" i="60"/>
  <c r="I592" i="60"/>
  <c r="U591" i="60"/>
  <c r="Q591" i="60"/>
  <c r="U590" i="60"/>
  <c r="Q590" i="60"/>
  <c r="U588" i="60"/>
  <c r="Q588" i="60"/>
  <c r="U587" i="60"/>
  <c r="Q587" i="60"/>
  <c r="U585" i="60"/>
  <c r="Q585" i="60"/>
  <c r="U583" i="60"/>
  <c r="Q583" i="60"/>
  <c r="U582" i="60"/>
  <c r="Q582" i="60"/>
  <c r="I582" i="60"/>
  <c r="I581" i="60"/>
  <c r="U580" i="60"/>
  <c r="Q580" i="60"/>
  <c r="U579" i="60"/>
  <c r="Q579" i="60"/>
  <c r="U577" i="60"/>
  <c r="Q577" i="60"/>
  <c r="U576" i="60"/>
  <c r="Q576" i="60"/>
  <c r="U574" i="60"/>
  <c r="Q574" i="60"/>
  <c r="U572" i="60"/>
  <c r="Q572" i="60"/>
  <c r="U571" i="60"/>
  <c r="Q571" i="60"/>
  <c r="I571" i="60"/>
  <c r="I570" i="60"/>
  <c r="U569" i="60"/>
  <c r="Q569" i="60"/>
  <c r="U568" i="60"/>
  <c r="Q568" i="60"/>
  <c r="U566" i="60"/>
  <c r="Q566" i="60"/>
  <c r="U565" i="60"/>
  <c r="Q565" i="60"/>
  <c r="U563" i="60"/>
  <c r="Q563" i="60"/>
  <c r="U561" i="60"/>
  <c r="Q561" i="60"/>
  <c r="U560" i="60"/>
  <c r="Q560" i="60"/>
  <c r="I560" i="60"/>
  <c r="I559" i="60"/>
  <c r="U558" i="60"/>
  <c r="Q558" i="60"/>
  <c r="U557" i="60"/>
  <c r="Q557" i="60"/>
  <c r="U555" i="60"/>
  <c r="Q555" i="60"/>
  <c r="U554" i="60"/>
  <c r="Q554" i="60"/>
  <c r="U552" i="60"/>
  <c r="Q552" i="60"/>
  <c r="U550" i="60"/>
  <c r="Q550" i="60"/>
  <c r="U549" i="60"/>
  <c r="Q549" i="60"/>
  <c r="I549" i="60"/>
  <c r="I548" i="60"/>
  <c r="U547" i="60"/>
  <c r="Q547" i="60"/>
  <c r="U546" i="60"/>
  <c r="Q546" i="60"/>
  <c r="U544" i="60"/>
  <c r="Q544" i="60"/>
  <c r="U543" i="60"/>
  <c r="Q543" i="60"/>
  <c r="U541" i="60"/>
  <c r="Q541" i="60"/>
  <c r="U539" i="60"/>
  <c r="Q539" i="60"/>
  <c r="U538" i="60"/>
  <c r="Q538" i="60"/>
  <c r="I538" i="60"/>
  <c r="I537" i="60"/>
  <c r="U536" i="60"/>
  <c r="Q536" i="60"/>
  <c r="U535" i="60"/>
  <c r="Q535" i="60"/>
  <c r="U533" i="60"/>
  <c r="Q533" i="60"/>
  <c r="U532" i="60"/>
  <c r="Q532" i="60"/>
  <c r="U530" i="60"/>
  <c r="Q530" i="60"/>
  <c r="U528" i="60"/>
  <c r="Q528" i="60"/>
  <c r="U527" i="60"/>
  <c r="Q527" i="60"/>
  <c r="I527" i="60"/>
  <c r="I526" i="60"/>
  <c r="U525" i="60"/>
  <c r="Q525" i="60"/>
  <c r="U524" i="60"/>
  <c r="Q524" i="60"/>
  <c r="U522" i="60"/>
  <c r="Q522" i="60"/>
  <c r="U521" i="60"/>
  <c r="Q521" i="60"/>
  <c r="U519" i="60"/>
  <c r="Q519" i="60"/>
  <c r="U517" i="60"/>
  <c r="Q517" i="60"/>
  <c r="U516" i="60"/>
  <c r="Q516" i="60"/>
  <c r="I516" i="60"/>
  <c r="I515" i="60"/>
  <c r="U514" i="60"/>
  <c r="Q514" i="60"/>
  <c r="U513" i="60"/>
  <c r="Q513" i="60"/>
  <c r="U654" i="59"/>
  <c r="Q654" i="59"/>
  <c r="L654" i="59"/>
  <c r="H654" i="59"/>
  <c r="U653" i="59"/>
  <c r="Q653" i="59"/>
  <c r="L653" i="59"/>
  <c r="H653" i="59"/>
  <c r="L652" i="59"/>
  <c r="H652" i="59"/>
  <c r="U651" i="59"/>
  <c r="Q651" i="59"/>
  <c r="L651" i="59"/>
  <c r="H651" i="59"/>
  <c r="L650" i="59"/>
  <c r="H650" i="59"/>
  <c r="U649" i="59"/>
  <c r="Q649" i="59"/>
  <c r="L649" i="59"/>
  <c r="H649" i="59"/>
  <c r="U648" i="59"/>
  <c r="Q648" i="59"/>
  <c r="I648" i="59"/>
  <c r="H648" i="59"/>
  <c r="I647" i="59"/>
  <c r="H647" i="59"/>
  <c r="U646" i="59"/>
  <c r="Q646" i="59"/>
  <c r="L646" i="59"/>
  <c r="H646" i="59"/>
  <c r="U645" i="59"/>
  <c r="Q645" i="59"/>
  <c r="U643" i="59"/>
  <c r="Q643" i="59"/>
  <c r="L643" i="59"/>
  <c r="H643" i="59"/>
  <c r="U642" i="59"/>
  <c r="Q642" i="59"/>
  <c r="L642" i="59"/>
  <c r="H642" i="59"/>
  <c r="L641" i="59"/>
  <c r="H641" i="59"/>
  <c r="U640" i="59"/>
  <c r="Q640" i="59"/>
  <c r="L640" i="59"/>
  <c r="H640" i="59"/>
  <c r="L639" i="59"/>
  <c r="H639" i="59"/>
  <c r="U638" i="59"/>
  <c r="Q638" i="59"/>
  <c r="L638" i="59"/>
  <c r="H638" i="59"/>
  <c r="U637" i="59"/>
  <c r="Q637" i="59"/>
  <c r="I637" i="59"/>
  <c r="H637" i="59"/>
  <c r="I636" i="59"/>
  <c r="H636" i="59"/>
  <c r="U635" i="59"/>
  <c r="Q635" i="59"/>
  <c r="L635" i="59"/>
  <c r="H635" i="59"/>
  <c r="U634" i="59"/>
  <c r="Q634" i="59"/>
  <c r="U632" i="59"/>
  <c r="Q632" i="59"/>
  <c r="L632" i="59"/>
  <c r="H632" i="59"/>
  <c r="U631" i="59"/>
  <c r="Q631" i="59"/>
  <c r="L631" i="59"/>
  <c r="H631" i="59"/>
  <c r="L630" i="59"/>
  <c r="H630" i="59"/>
  <c r="U629" i="59"/>
  <c r="Q629" i="59"/>
  <c r="L629" i="59"/>
  <c r="H629" i="59"/>
  <c r="L628" i="59"/>
  <c r="H628" i="59"/>
  <c r="U627" i="59"/>
  <c r="Q627" i="59"/>
  <c r="L627" i="59"/>
  <c r="H627" i="59"/>
  <c r="U626" i="59"/>
  <c r="Q626" i="59"/>
  <c r="I626" i="59"/>
  <c r="H626" i="59"/>
  <c r="I625" i="59"/>
  <c r="H625" i="59"/>
  <c r="U624" i="59"/>
  <c r="Q624" i="59"/>
  <c r="L624" i="59"/>
  <c r="H624" i="59"/>
  <c r="U623" i="59"/>
  <c r="Q623" i="59"/>
  <c r="U621" i="59"/>
  <c r="Q621" i="59"/>
  <c r="L621" i="59"/>
  <c r="H621" i="59"/>
  <c r="U620" i="59"/>
  <c r="Q620" i="59"/>
  <c r="L620" i="59"/>
  <c r="H620" i="59"/>
  <c r="L619" i="59"/>
  <c r="H619" i="59"/>
  <c r="U618" i="59"/>
  <c r="Q618" i="59"/>
  <c r="L618" i="59"/>
  <c r="H618" i="59"/>
  <c r="L617" i="59"/>
  <c r="H617" i="59"/>
  <c r="U616" i="59"/>
  <c r="Q616" i="59"/>
  <c r="L616" i="59"/>
  <c r="H616" i="59"/>
  <c r="U615" i="59"/>
  <c r="Q615" i="59"/>
  <c r="I615" i="59"/>
  <c r="H615" i="59"/>
  <c r="I614" i="59"/>
  <c r="H614" i="59"/>
  <c r="U613" i="59"/>
  <c r="Q613" i="59"/>
  <c r="L613" i="59"/>
  <c r="H613" i="59"/>
  <c r="U612" i="59"/>
  <c r="Q612" i="59"/>
  <c r="U610" i="59"/>
  <c r="Q610" i="59"/>
  <c r="L610" i="59"/>
  <c r="H610" i="59"/>
  <c r="U609" i="59"/>
  <c r="Q609" i="59"/>
  <c r="L609" i="59"/>
  <c r="H609" i="59"/>
  <c r="L608" i="59"/>
  <c r="H608" i="59"/>
  <c r="U607" i="59"/>
  <c r="Q607" i="59"/>
  <c r="L607" i="59"/>
  <c r="H607" i="59"/>
  <c r="L606" i="59"/>
  <c r="H606" i="59"/>
  <c r="U605" i="59"/>
  <c r="Q605" i="59"/>
  <c r="L605" i="59"/>
  <c r="H605" i="59"/>
  <c r="U604" i="59"/>
  <c r="Q604" i="59"/>
  <c r="I604" i="59"/>
  <c r="H604" i="59"/>
  <c r="I603" i="59"/>
  <c r="H603" i="59"/>
  <c r="U602" i="59"/>
  <c r="Q602" i="59"/>
  <c r="L602" i="59"/>
  <c r="H602" i="59"/>
  <c r="U601" i="59"/>
  <c r="Q601" i="59"/>
  <c r="U599" i="59"/>
  <c r="Q599" i="59"/>
  <c r="L599" i="59"/>
  <c r="H599" i="59"/>
  <c r="U598" i="59"/>
  <c r="Q598" i="59"/>
  <c r="L598" i="59"/>
  <c r="H598" i="59"/>
  <c r="L597" i="59"/>
  <c r="H597" i="59"/>
  <c r="U596" i="59"/>
  <c r="Q596" i="59"/>
  <c r="L596" i="59"/>
  <c r="H596" i="59"/>
  <c r="L595" i="59"/>
  <c r="H595" i="59"/>
  <c r="U594" i="59"/>
  <c r="Q594" i="59"/>
  <c r="L594" i="59"/>
  <c r="H594" i="59"/>
  <c r="U593" i="59"/>
  <c r="Q593" i="59"/>
  <c r="I593" i="59"/>
  <c r="H593" i="59"/>
  <c r="I592" i="59"/>
  <c r="H592" i="59"/>
  <c r="U591" i="59"/>
  <c r="Q591" i="59"/>
  <c r="L591" i="59"/>
  <c r="H591" i="59"/>
  <c r="U590" i="59"/>
  <c r="Q590" i="59"/>
  <c r="U588" i="59"/>
  <c r="Q588" i="59"/>
  <c r="L588" i="59"/>
  <c r="H588" i="59"/>
  <c r="U587" i="59"/>
  <c r="Q587" i="59"/>
  <c r="L587" i="59"/>
  <c r="H587" i="59"/>
  <c r="L586" i="59"/>
  <c r="H586" i="59"/>
  <c r="U585" i="59"/>
  <c r="Q585" i="59"/>
  <c r="L585" i="59"/>
  <c r="H585" i="59"/>
  <c r="L584" i="59"/>
  <c r="H584" i="59"/>
  <c r="U583" i="59"/>
  <c r="Q583" i="59"/>
  <c r="L583" i="59"/>
  <c r="H583" i="59"/>
  <c r="U582" i="59"/>
  <c r="Q582" i="59"/>
  <c r="I582" i="59"/>
  <c r="H582" i="59"/>
  <c r="I581" i="59"/>
  <c r="H581" i="59"/>
  <c r="U580" i="59"/>
  <c r="Q580" i="59"/>
  <c r="L580" i="59"/>
  <c r="H580" i="59"/>
  <c r="U579" i="59"/>
  <c r="Q579" i="59"/>
  <c r="U577" i="59"/>
  <c r="Q577" i="59"/>
  <c r="L577" i="59"/>
  <c r="H577" i="59"/>
  <c r="U576" i="59"/>
  <c r="Q576" i="59"/>
  <c r="L576" i="59"/>
  <c r="H576" i="59"/>
  <c r="L575" i="59"/>
  <c r="H575" i="59"/>
  <c r="U574" i="59"/>
  <c r="Q574" i="59"/>
  <c r="L574" i="59"/>
  <c r="H574" i="59"/>
  <c r="L573" i="59"/>
  <c r="H573" i="59"/>
  <c r="U572" i="59"/>
  <c r="Q572" i="59"/>
  <c r="L572" i="59"/>
  <c r="H572" i="59"/>
  <c r="U571" i="59"/>
  <c r="Q571" i="59"/>
  <c r="I571" i="59"/>
  <c r="H571" i="59"/>
  <c r="I570" i="59"/>
  <c r="H570" i="59"/>
  <c r="U569" i="59"/>
  <c r="Q569" i="59"/>
  <c r="L569" i="59"/>
  <c r="H569" i="59"/>
  <c r="U568" i="59"/>
  <c r="Q568" i="59"/>
  <c r="U566" i="59"/>
  <c r="Q566" i="59"/>
  <c r="L566" i="59"/>
  <c r="H566" i="59"/>
  <c r="U565" i="59"/>
  <c r="Q565" i="59"/>
  <c r="L565" i="59"/>
  <c r="H565" i="59"/>
  <c r="L564" i="59"/>
  <c r="H564" i="59"/>
  <c r="U563" i="59"/>
  <c r="Q563" i="59"/>
  <c r="L563" i="59"/>
  <c r="H563" i="59"/>
  <c r="L562" i="59"/>
  <c r="H562" i="59"/>
  <c r="U561" i="59"/>
  <c r="Q561" i="59"/>
  <c r="L561" i="59"/>
  <c r="H561" i="59"/>
  <c r="U560" i="59"/>
  <c r="Q560" i="59"/>
  <c r="I560" i="59"/>
  <c r="H560" i="59"/>
  <c r="I559" i="59"/>
  <c r="H559" i="59"/>
  <c r="U558" i="59"/>
  <c r="Q558" i="59"/>
  <c r="L558" i="59"/>
  <c r="H558" i="59"/>
  <c r="U557" i="59"/>
  <c r="Q557" i="59"/>
  <c r="U555" i="59"/>
  <c r="Q555" i="59"/>
  <c r="L555" i="59"/>
  <c r="H555" i="59"/>
  <c r="U554" i="59"/>
  <c r="Q554" i="59"/>
  <c r="L554" i="59"/>
  <c r="H554" i="59"/>
  <c r="L553" i="59"/>
  <c r="H553" i="59"/>
  <c r="U552" i="59"/>
  <c r="Q552" i="59"/>
  <c r="L552" i="59"/>
  <c r="H552" i="59"/>
  <c r="L551" i="59"/>
  <c r="H551" i="59"/>
  <c r="U550" i="59"/>
  <c r="Q550" i="59"/>
  <c r="L550" i="59"/>
  <c r="H550" i="59"/>
  <c r="U549" i="59"/>
  <c r="Q549" i="59"/>
  <c r="I549" i="59"/>
  <c r="H549" i="59"/>
  <c r="I548" i="59"/>
  <c r="H548" i="59"/>
  <c r="U547" i="59"/>
  <c r="Q547" i="59"/>
  <c r="L547" i="59"/>
  <c r="H547" i="59"/>
  <c r="U546" i="59"/>
  <c r="Q546" i="59"/>
  <c r="U544" i="59"/>
  <c r="Q544" i="59"/>
  <c r="L544" i="59"/>
  <c r="H544" i="59"/>
  <c r="U543" i="59"/>
  <c r="Q543" i="59"/>
  <c r="L543" i="59"/>
  <c r="H543" i="59"/>
  <c r="L542" i="59"/>
  <c r="H542" i="59"/>
  <c r="U541" i="59"/>
  <c r="Q541" i="59"/>
  <c r="L541" i="59"/>
  <c r="H541" i="59"/>
  <c r="L540" i="59"/>
  <c r="H540" i="59"/>
  <c r="U539" i="59"/>
  <c r="Q539" i="59"/>
  <c r="L539" i="59"/>
  <c r="H539" i="59"/>
  <c r="U538" i="59"/>
  <c r="Q538" i="59"/>
  <c r="I538" i="59"/>
  <c r="H538" i="59"/>
  <c r="I537" i="59"/>
  <c r="H537" i="59"/>
  <c r="U536" i="59"/>
  <c r="Q536" i="59"/>
  <c r="L536" i="59"/>
  <c r="H536" i="59"/>
  <c r="U535" i="59"/>
  <c r="Q535" i="59"/>
  <c r="U533" i="59"/>
  <c r="Q533" i="59"/>
  <c r="L533" i="59"/>
  <c r="H533" i="59"/>
  <c r="U532" i="59"/>
  <c r="Q532" i="59"/>
  <c r="L532" i="59"/>
  <c r="H532" i="59"/>
  <c r="L531" i="59"/>
  <c r="H531" i="59"/>
  <c r="U530" i="59"/>
  <c r="Q530" i="59"/>
  <c r="L530" i="59"/>
  <c r="H530" i="59"/>
  <c r="L529" i="59"/>
  <c r="H529" i="59"/>
  <c r="U528" i="59"/>
  <c r="Q528" i="59"/>
  <c r="L528" i="59"/>
  <c r="H528" i="59"/>
  <c r="U527" i="59"/>
  <c r="Q527" i="59"/>
  <c r="I527" i="59"/>
  <c r="H527" i="59"/>
  <c r="I526" i="59"/>
  <c r="H526" i="59"/>
  <c r="U525" i="59"/>
  <c r="Q525" i="59"/>
  <c r="L525" i="59"/>
  <c r="H525" i="59"/>
  <c r="U524" i="59"/>
  <c r="Q524" i="59"/>
  <c r="U522" i="59"/>
  <c r="Q522" i="59"/>
  <c r="L522" i="59"/>
  <c r="H522" i="59"/>
  <c r="U521" i="59"/>
  <c r="Q521" i="59"/>
  <c r="L521" i="59"/>
  <c r="H521" i="59"/>
  <c r="L520" i="59"/>
  <c r="H520" i="59"/>
  <c r="U519" i="59"/>
  <c r="Q519" i="59"/>
  <c r="L519" i="59"/>
  <c r="H519" i="59"/>
  <c r="L518" i="59"/>
  <c r="H518" i="59"/>
  <c r="U517" i="59"/>
  <c r="Q517" i="59"/>
  <c r="L517" i="59"/>
  <c r="H517" i="59"/>
  <c r="U516" i="59"/>
  <c r="Q516" i="59"/>
  <c r="I516" i="59"/>
  <c r="H516" i="59"/>
  <c r="I515" i="59"/>
  <c r="H515" i="59"/>
  <c r="U514" i="59"/>
  <c r="Q514" i="59"/>
  <c r="L514" i="59"/>
  <c r="H514" i="59"/>
  <c r="U513" i="59"/>
  <c r="Q513" i="59"/>
  <c r="U764" i="57"/>
  <c r="Q764" i="57"/>
  <c r="U763" i="57"/>
  <c r="Q763" i="57"/>
  <c r="U761" i="57"/>
  <c r="Q761" i="57"/>
  <c r="U759" i="57"/>
  <c r="Q759" i="57"/>
  <c r="U758" i="57"/>
  <c r="Q758" i="57"/>
  <c r="I758" i="57"/>
  <c r="I757" i="57"/>
  <c r="U756" i="57"/>
  <c r="Q756" i="57"/>
  <c r="U755" i="57"/>
  <c r="Q755" i="57"/>
  <c r="U753" i="57"/>
  <c r="Q753" i="57"/>
  <c r="U752" i="57"/>
  <c r="Q752" i="57"/>
  <c r="U750" i="57"/>
  <c r="Q750" i="57"/>
  <c r="U748" i="57"/>
  <c r="Q748" i="57"/>
  <c r="U747" i="57"/>
  <c r="Q747" i="57"/>
  <c r="I747" i="57"/>
  <c r="I746" i="57"/>
  <c r="U745" i="57"/>
  <c r="Q745" i="57"/>
  <c r="U744" i="57"/>
  <c r="Q744" i="57"/>
  <c r="U742" i="57"/>
  <c r="Q742" i="57"/>
  <c r="U741" i="57"/>
  <c r="Q741" i="57"/>
  <c r="U739" i="57"/>
  <c r="Q739" i="57"/>
  <c r="U737" i="57"/>
  <c r="Q737" i="57"/>
  <c r="U736" i="57"/>
  <c r="Q736" i="57"/>
  <c r="I736" i="57"/>
  <c r="I735" i="57"/>
  <c r="U734" i="57"/>
  <c r="Q734" i="57"/>
  <c r="U733" i="57"/>
  <c r="Q733" i="57"/>
  <c r="U698" i="57"/>
  <c r="Q698" i="57"/>
  <c r="U697" i="57"/>
  <c r="Q697" i="57"/>
  <c r="U695" i="57"/>
  <c r="Q695" i="57"/>
  <c r="U693" i="57"/>
  <c r="Q693" i="57"/>
  <c r="U692" i="57"/>
  <c r="Q692" i="57"/>
  <c r="I692" i="57"/>
  <c r="I691" i="57"/>
  <c r="U690" i="57"/>
  <c r="Q690" i="57"/>
  <c r="U689" i="57"/>
  <c r="Q689" i="57"/>
  <c r="U709" i="57"/>
  <c r="Q709" i="57"/>
  <c r="U708" i="57"/>
  <c r="Q708" i="57"/>
  <c r="U706" i="57"/>
  <c r="Q706" i="57"/>
  <c r="U704" i="57"/>
  <c r="Q704" i="57"/>
  <c r="U703" i="57"/>
  <c r="Q703" i="57"/>
  <c r="I703" i="57"/>
  <c r="I702" i="57"/>
  <c r="U701" i="57"/>
  <c r="Q701" i="57"/>
  <c r="U700" i="57"/>
  <c r="Q700" i="57"/>
  <c r="U720" i="57"/>
  <c r="Q720" i="57"/>
  <c r="U719" i="57"/>
  <c r="Q719" i="57"/>
  <c r="U717" i="57"/>
  <c r="Q717" i="57"/>
  <c r="U715" i="57"/>
  <c r="Q715" i="57"/>
  <c r="U714" i="57"/>
  <c r="Q714" i="57"/>
  <c r="I714" i="57"/>
  <c r="I713" i="57"/>
  <c r="U712" i="57"/>
  <c r="Q712" i="57"/>
  <c r="U711" i="57"/>
  <c r="Q711" i="57"/>
  <c r="U731" i="57"/>
  <c r="Q731" i="57"/>
  <c r="U730" i="57"/>
  <c r="Q730" i="57"/>
  <c r="U728" i="57"/>
  <c r="Q728" i="57"/>
  <c r="U726" i="57"/>
  <c r="Q726" i="57"/>
  <c r="U725" i="57"/>
  <c r="Q725" i="57"/>
  <c r="I725" i="57"/>
  <c r="I724" i="57"/>
  <c r="U723" i="57"/>
  <c r="Q723" i="57"/>
  <c r="U722" i="57"/>
  <c r="Q722" i="57"/>
  <c r="U654" i="57"/>
  <c r="Q654" i="57"/>
  <c r="U653" i="57"/>
  <c r="Q653" i="57"/>
  <c r="U651" i="57"/>
  <c r="Q651" i="57"/>
  <c r="U649" i="57"/>
  <c r="Q649" i="57"/>
  <c r="U648" i="57"/>
  <c r="Q648" i="57"/>
  <c r="I648" i="57"/>
  <c r="I647" i="57"/>
  <c r="U646" i="57"/>
  <c r="Q646" i="57"/>
  <c r="U645" i="57"/>
  <c r="Q645" i="57"/>
  <c r="U676" i="57"/>
  <c r="Q676" i="57"/>
  <c r="U675" i="57"/>
  <c r="Q675" i="57"/>
  <c r="U673" i="57"/>
  <c r="Q673" i="57"/>
  <c r="U671" i="57"/>
  <c r="Q671" i="57"/>
  <c r="U670" i="57"/>
  <c r="Q670" i="57"/>
  <c r="I670" i="57"/>
  <c r="I669" i="57"/>
  <c r="U668" i="57"/>
  <c r="Q668" i="57"/>
  <c r="U667" i="57"/>
  <c r="Q667" i="57"/>
  <c r="U687" i="57"/>
  <c r="Q687" i="57"/>
  <c r="U686" i="57"/>
  <c r="Q686" i="57"/>
  <c r="U684" i="57"/>
  <c r="Q684" i="57"/>
  <c r="U682" i="57"/>
  <c r="Q682" i="57"/>
  <c r="U681" i="57"/>
  <c r="Q681" i="57"/>
  <c r="I681" i="57"/>
  <c r="I680" i="57"/>
  <c r="U679" i="57"/>
  <c r="Q679" i="57"/>
  <c r="U678" i="57"/>
  <c r="Q678" i="57"/>
  <c r="U665" i="57"/>
  <c r="Q665" i="57"/>
  <c r="U664" i="57"/>
  <c r="Q664" i="57"/>
  <c r="U662" i="57"/>
  <c r="Q662" i="57"/>
  <c r="U660" i="57"/>
  <c r="Q660" i="57"/>
  <c r="U659" i="57"/>
  <c r="Q659" i="57"/>
  <c r="I659" i="57"/>
  <c r="I658" i="57"/>
  <c r="U657" i="57"/>
  <c r="Q657" i="57"/>
  <c r="U656" i="57"/>
  <c r="Q656" i="57"/>
  <c r="U511" i="60" l="1"/>
  <c r="Q511" i="60"/>
  <c r="U510" i="60"/>
  <c r="Q510" i="60"/>
  <c r="U508" i="60"/>
  <c r="Q508" i="60"/>
  <c r="U506" i="60"/>
  <c r="Q506" i="60"/>
  <c r="U505" i="60"/>
  <c r="Q505" i="60"/>
  <c r="I505" i="60"/>
  <c r="I504" i="60"/>
  <c r="U503" i="60"/>
  <c r="Q503" i="60"/>
  <c r="U502" i="60"/>
  <c r="Q502" i="60"/>
  <c r="E33" i="10" l="1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2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84" i="60" s="1"/>
  <c r="B46" i="10"/>
  <c r="B495" i="60" s="1"/>
  <c r="B47" i="10"/>
  <c r="B506" i="60" s="1"/>
  <c r="B48" i="10"/>
  <c r="B49" i="10"/>
  <c r="B50" i="10"/>
  <c r="B51" i="10"/>
  <c r="B52" i="10"/>
  <c r="B561" i="60" s="1"/>
  <c r="B53" i="10"/>
  <c r="B54" i="10"/>
  <c r="B55" i="10"/>
  <c r="B56" i="10"/>
  <c r="B57" i="10"/>
  <c r="B58" i="10"/>
  <c r="B59" i="10"/>
  <c r="B60" i="10"/>
  <c r="B649" i="60" s="1"/>
  <c r="B61" i="10"/>
  <c r="B62" i="10"/>
  <c r="B63" i="10"/>
  <c r="B64" i="10"/>
  <c r="B65" i="10"/>
  <c r="B66" i="10"/>
  <c r="B67" i="10"/>
  <c r="B68" i="10"/>
  <c r="B69" i="10"/>
  <c r="B70" i="10"/>
  <c r="B759" i="60" s="1"/>
  <c r="B71" i="10"/>
  <c r="B72" i="10"/>
  <c r="B73" i="10"/>
  <c r="B74" i="10"/>
  <c r="B75" i="10"/>
  <c r="B76" i="10"/>
  <c r="B77" i="10"/>
  <c r="B78" i="10"/>
  <c r="B79" i="10"/>
  <c r="B80" i="10"/>
  <c r="B81" i="10"/>
  <c r="B2" i="10"/>
  <c r="D59" i="10"/>
  <c r="D60" i="10"/>
  <c r="D61" i="10"/>
  <c r="D62" i="10"/>
  <c r="D63" i="10"/>
  <c r="D64" i="10"/>
  <c r="D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B869" i="59" l="1"/>
  <c r="B869" i="60"/>
  <c r="B869" i="57"/>
  <c r="B781" i="59"/>
  <c r="B781" i="60"/>
  <c r="B880" i="60"/>
  <c r="B880" i="59"/>
  <c r="B880" i="57"/>
  <c r="B836" i="57"/>
  <c r="B836" i="60"/>
  <c r="B836" i="59"/>
  <c r="B792" i="60"/>
  <c r="B792" i="59"/>
  <c r="B825" i="57"/>
  <c r="B825" i="59"/>
  <c r="B825" i="60"/>
  <c r="B858" i="57"/>
  <c r="B858" i="60"/>
  <c r="B858" i="59"/>
  <c r="B814" i="60"/>
  <c r="B814" i="59"/>
  <c r="B770" i="60"/>
  <c r="B770" i="59"/>
  <c r="D886" i="57"/>
  <c r="C886" i="57"/>
  <c r="AD891" i="57" s="1"/>
  <c r="D908" i="59"/>
  <c r="C897" i="59"/>
  <c r="D886" i="60"/>
  <c r="D897" i="59"/>
  <c r="C908" i="59"/>
  <c r="C897" i="60"/>
  <c r="C886" i="60"/>
  <c r="D908" i="60"/>
  <c r="AS4" i="9"/>
  <c r="AS8" i="9"/>
  <c r="AS12" i="9"/>
  <c r="AS16" i="9"/>
  <c r="AS20" i="9"/>
  <c r="AS24" i="9"/>
  <c r="AS28" i="9"/>
  <c r="AS32" i="9"/>
  <c r="AS36" i="9"/>
  <c r="AS40" i="9"/>
  <c r="AS44" i="9"/>
  <c r="AS48" i="9"/>
  <c r="AS52" i="9"/>
  <c r="AS56" i="9"/>
  <c r="AS60" i="9"/>
  <c r="AS64" i="9"/>
  <c r="AS68" i="9"/>
  <c r="AS72" i="9"/>
  <c r="AS76" i="9"/>
  <c r="AS80" i="9"/>
  <c r="AS84" i="9"/>
  <c r="AS88" i="9"/>
  <c r="AS92" i="9"/>
  <c r="AS96" i="9"/>
  <c r="AS100" i="9"/>
  <c r="AS104" i="9"/>
  <c r="AS108" i="9"/>
  <c r="AS112" i="9"/>
  <c r="AS116" i="9"/>
  <c r="AS120" i="9"/>
  <c r="AS124" i="9"/>
  <c r="AS128" i="9"/>
  <c r="AS132" i="9"/>
  <c r="AS136" i="9"/>
  <c r="AS140" i="9"/>
  <c r="AS144" i="9"/>
  <c r="AS148" i="9"/>
  <c r="AS152" i="9"/>
  <c r="AS156" i="9"/>
  <c r="AS160" i="9"/>
  <c r="AS164" i="9"/>
  <c r="AS168" i="9"/>
  <c r="AS172" i="9"/>
  <c r="AS176" i="9"/>
  <c r="AS180" i="9"/>
  <c r="AS184" i="9"/>
  <c r="AS188" i="9"/>
  <c r="AS192" i="9"/>
  <c r="AS196" i="9"/>
  <c r="AS200" i="9"/>
  <c r="AS204" i="9"/>
  <c r="AS208" i="9"/>
  <c r="AS212" i="9"/>
  <c r="AS216" i="9"/>
  <c r="AS220" i="9"/>
  <c r="AS224" i="9"/>
  <c r="AS228" i="9"/>
  <c r="AS232" i="9"/>
  <c r="AS236" i="9"/>
  <c r="AS240" i="9"/>
  <c r="AS244" i="9"/>
  <c r="AS248" i="9"/>
  <c r="AS252" i="9"/>
  <c r="AS256" i="9"/>
  <c r="AS260" i="9"/>
  <c r="AS264" i="9"/>
  <c r="AS268" i="9"/>
  <c r="AS272" i="9"/>
  <c r="AS276" i="9"/>
  <c r="AS280" i="9"/>
  <c r="AS284" i="9"/>
  <c r="AS288" i="9"/>
  <c r="AS292" i="9"/>
  <c r="AS296" i="9"/>
  <c r="AS300" i="9"/>
  <c r="AS304" i="9"/>
  <c r="AS308" i="9"/>
  <c r="AS312" i="9"/>
  <c r="AS316" i="9"/>
  <c r="AS320" i="9"/>
  <c r="AS324" i="9"/>
  <c r="AS328" i="9"/>
  <c r="AS332" i="9"/>
  <c r="AS336" i="9"/>
  <c r="AS340" i="9"/>
  <c r="AS344" i="9"/>
  <c r="AS348" i="9"/>
  <c r="AS352" i="9"/>
  <c r="AS356" i="9"/>
  <c r="AS360" i="9"/>
  <c r="AS364" i="9"/>
  <c r="AS368" i="9"/>
  <c r="AS372" i="9"/>
  <c r="AS376" i="9"/>
  <c r="AS380" i="9"/>
  <c r="AS384" i="9"/>
  <c r="AS388" i="9"/>
  <c r="AS392" i="9"/>
  <c r="AS396" i="9"/>
  <c r="AS400" i="9"/>
  <c r="AS404" i="9"/>
  <c r="AS408" i="9"/>
  <c r="AS412" i="9"/>
  <c r="AS416" i="9"/>
  <c r="AS420" i="9"/>
  <c r="AS424" i="9"/>
  <c r="D897" i="60"/>
  <c r="C908" i="60"/>
  <c r="AS7" i="9"/>
  <c r="AS13" i="9"/>
  <c r="AS18" i="9"/>
  <c r="AS23" i="9"/>
  <c r="AS29" i="9"/>
  <c r="AS34" i="9"/>
  <c r="AS39" i="9"/>
  <c r="AS45" i="9"/>
  <c r="AS50" i="9"/>
  <c r="AS55" i="9"/>
  <c r="AS61" i="9"/>
  <c r="AS66" i="9"/>
  <c r="AS71" i="9"/>
  <c r="AS77" i="9"/>
  <c r="AS82" i="9"/>
  <c r="AS87" i="9"/>
  <c r="AS93" i="9"/>
  <c r="AS98" i="9"/>
  <c r="AS103" i="9"/>
  <c r="AS109" i="9"/>
  <c r="AS114" i="9"/>
  <c r="AS119" i="9"/>
  <c r="AS125" i="9"/>
  <c r="AS130" i="9"/>
  <c r="AS135" i="9"/>
  <c r="AS141" i="9"/>
  <c r="AS146" i="9"/>
  <c r="AS151" i="9"/>
  <c r="AS157" i="9"/>
  <c r="AS162" i="9"/>
  <c r="AS167" i="9"/>
  <c r="AS173" i="9"/>
  <c r="AS178" i="9"/>
  <c r="AS183" i="9"/>
  <c r="AS189" i="9"/>
  <c r="AS194" i="9"/>
  <c r="AS199" i="9"/>
  <c r="AS205" i="9"/>
  <c r="AS210" i="9"/>
  <c r="AS215" i="9"/>
  <c r="AS221" i="9"/>
  <c r="AS226" i="9"/>
  <c r="AS231" i="9"/>
  <c r="AS237" i="9"/>
  <c r="AS242" i="9"/>
  <c r="AS247" i="9"/>
  <c r="AS253" i="9"/>
  <c r="AS258" i="9"/>
  <c r="AS263" i="9"/>
  <c r="AS269" i="9"/>
  <c r="AS274" i="9"/>
  <c r="AS279" i="9"/>
  <c r="AS285" i="9"/>
  <c r="AS290" i="9"/>
  <c r="AS295" i="9"/>
  <c r="AS301" i="9"/>
  <c r="AS306" i="9"/>
  <c r="AS311" i="9"/>
  <c r="AS317" i="9"/>
  <c r="AS322" i="9"/>
  <c r="AS327" i="9"/>
  <c r="AS333" i="9"/>
  <c r="AS338" i="9"/>
  <c r="AS343" i="9"/>
  <c r="AS349" i="9"/>
  <c r="AS354" i="9"/>
  <c r="AS359" i="9"/>
  <c r="AS365" i="9"/>
  <c r="AS370" i="9"/>
  <c r="AS375" i="9"/>
  <c r="AS381" i="9"/>
  <c r="AS386" i="9"/>
  <c r="AS391" i="9"/>
  <c r="AS397" i="9"/>
  <c r="AS402" i="9"/>
  <c r="AS407" i="9"/>
  <c r="AS413" i="9"/>
  <c r="AS418" i="9"/>
  <c r="AS423" i="9"/>
  <c r="AS428" i="9"/>
  <c r="AS432" i="9"/>
  <c r="AS436" i="9"/>
  <c r="AS440" i="9"/>
  <c r="AS444" i="9"/>
  <c r="AS448" i="9"/>
  <c r="AS452" i="9"/>
  <c r="AS456" i="9"/>
  <c r="AS460" i="9"/>
  <c r="AS464" i="9"/>
  <c r="AS468" i="9"/>
  <c r="AS472" i="9"/>
  <c r="AS476" i="9"/>
  <c r="AS480" i="9"/>
  <c r="AS484" i="9"/>
  <c r="AS488" i="9"/>
  <c r="AS492" i="9"/>
  <c r="AS496" i="9"/>
  <c r="AS500" i="9"/>
  <c r="AS504" i="9"/>
  <c r="AS508" i="9"/>
  <c r="AS512" i="9"/>
  <c r="AS516" i="9"/>
  <c r="AS520" i="9"/>
  <c r="AS524" i="9"/>
  <c r="AS528" i="9"/>
  <c r="AS532" i="9"/>
  <c r="AS536" i="9"/>
  <c r="AS540" i="9"/>
  <c r="AS544" i="9"/>
  <c r="AS548" i="9"/>
  <c r="AS552" i="9"/>
  <c r="AS556" i="9"/>
  <c r="AS560" i="9"/>
  <c r="AS564" i="9"/>
  <c r="AS568" i="9"/>
  <c r="AS572" i="9"/>
  <c r="AS576" i="9"/>
  <c r="AS580" i="9"/>
  <c r="AS584" i="9"/>
  <c r="AS588" i="9"/>
  <c r="AS592" i="9"/>
  <c r="AS596" i="9"/>
  <c r="AS600" i="9"/>
  <c r="AS604" i="9"/>
  <c r="AS608" i="9"/>
  <c r="AS612" i="9"/>
  <c r="AS616" i="9"/>
  <c r="AS620" i="9"/>
  <c r="AS624" i="9"/>
  <c r="AS628" i="9"/>
  <c r="AS632" i="9"/>
  <c r="AS636" i="9"/>
  <c r="AS640" i="9"/>
  <c r="AS644" i="9"/>
  <c r="AS648" i="9"/>
  <c r="AS652" i="9"/>
  <c r="AS656" i="9"/>
  <c r="AS660" i="9"/>
  <c r="AS664" i="9"/>
  <c r="AS668" i="9"/>
  <c r="AS672" i="9"/>
  <c r="AS676" i="9"/>
  <c r="AS680" i="9"/>
  <c r="AS684" i="9"/>
  <c r="AS688" i="9"/>
  <c r="AS692" i="9"/>
  <c r="AS696" i="9"/>
  <c r="AS700" i="9"/>
  <c r="AS704" i="9"/>
  <c r="AS708" i="9"/>
  <c r="AS712" i="9"/>
  <c r="AS716" i="9"/>
  <c r="AS720" i="9"/>
  <c r="AS724" i="9"/>
  <c r="AS728" i="9"/>
  <c r="AS732" i="9"/>
  <c r="AS736" i="9"/>
  <c r="AS740" i="9"/>
  <c r="AS744" i="9"/>
  <c r="AS748" i="9"/>
  <c r="AS752" i="9"/>
  <c r="AS756" i="9"/>
  <c r="AS760" i="9"/>
  <c r="AS764" i="9"/>
  <c r="AS768" i="9"/>
  <c r="AS772" i="9"/>
  <c r="AS776" i="9"/>
  <c r="AS780" i="9"/>
  <c r="AS784" i="9"/>
  <c r="AS9" i="9"/>
  <c r="AS14" i="9"/>
  <c r="AS19" i="9"/>
  <c r="AS25" i="9"/>
  <c r="AS30" i="9"/>
  <c r="AS35" i="9"/>
  <c r="AS41" i="9"/>
  <c r="AS46" i="9"/>
  <c r="AS51" i="9"/>
  <c r="AS57" i="9"/>
  <c r="AS62" i="9"/>
  <c r="AS67" i="9"/>
  <c r="AS73" i="9"/>
  <c r="AS78" i="9"/>
  <c r="AS83" i="9"/>
  <c r="AS89" i="9"/>
  <c r="AS94" i="9"/>
  <c r="AS99" i="9"/>
  <c r="AS105" i="9"/>
  <c r="AS110" i="9"/>
  <c r="AS115" i="9"/>
  <c r="AS121" i="9"/>
  <c r="AS126" i="9"/>
  <c r="AS131" i="9"/>
  <c r="AS137" i="9"/>
  <c r="AS142" i="9"/>
  <c r="AS147" i="9"/>
  <c r="AS153" i="9"/>
  <c r="AS158" i="9"/>
  <c r="AS163" i="9"/>
  <c r="AS169" i="9"/>
  <c r="AS174" i="9"/>
  <c r="AS179" i="9"/>
  <c r="AS185" i="9"/>
  <c r="AS190" i="9"/>
  <c r="AS195" i="9"/>
  <c r="AS201" i="9"/>
  <c r="AS206" i="9"/>
  <c r="AS211" i="9"/>
  <c r="AS217" i="9"/>
  <c r="AS222" i="9"/>
  <c r="AS227" i="9"/>
  <c r="AS233" i="9"/>
  <c r="AS238" i="9"/>
  <c r="AS243" i="9"/>
  <c r="AS249" i="9"/>
  <c r="AS254" i="9"/>
  <c r="AS259" i="9"/>
  <c r="AS265" i="9"/>
  <c r="AS270" i="9"/>
  <c r="AS275" i="9"/>
  <c r="AS281" i="9"/>
  <c r="AS286" i="9"/>
  <c r="AS5" i="9"/>
  <c r="AS10" i="9"/>
  <c r="AS15" i="9"/>
  <c r="AS21" i="9"/>
  <c r="AS26" i="9"/>
  <c r="AS31" i="9"/>
  <c r="AS37" i="9"/>
  <c r="AS42" i="9"/>
  <c r="AS47" i="9"/>
  <c r="AS53" i="9"/>
  <c r="AS58" i="9"/>
  <c r="AS63" i="9"/>
  <c r="AS69" i="9"/>
  <c r="AS74" i="9"/>
  <c r="AS79" i="9"/>
  <c r="AS85" i="9"/>
  <c r="AS90" i="9"/>
  <c r="AS95" i="9"/>
  <c r="AS101" i="9"/>
  <c r="AS106" i="9"/>
  <c r="AS111" i="9"/>
  <c r="AS117" i="9"/>
  <c r="AS122" i="9"/>
  <c r="AS127" i="9"/>
  <c r="AS133" i="9"/>
  <c r="AS138" i="9"/>
  <c r="AS143" i="9"/>
  <c r="AS149" i="9"/>
  <c r="AS154" i="9"/>
  <c r="AS159" i="9"/>
  <c r="AS165" i="9"/>
  <c r="AS170" i="9"/>
  <c r="AS175" i="9"/>
  <c r="AS181" i="9"/>
  <c r="AS186" i="9"/>
  <c r="AS191" i="9"/>
  <c r="AS197" i="9"/>
  <c r="AS202" i="9"/>
  <c r="AS207" i="9"/>
  <c r="AS213" i="9"/>
  <c r="AS218" i="9"/>
  <c r="AS223" i="9"/>
  <c r="AS229" i="9"/>
  <c r="AS234" i="9"/>
  <c r="AS239" i="9"/>
  <c r="AS245" i="9"/>
  <c r="AS250" i="9"/>
  <c r="AS255" i="9"/>
  <c r="AS261" i="9"/>
  <c r="AS266" i="9"/>
  <c r="AS271" i="9"/>
  <c r="AS277" i="9"/>
  <c r="AS282" i="9"/>
  <c r="AS287" i="9"/>
  <c r="AS293" i="9"/>
  <c r="AS298" i="9"/>
  <c r="AS303" i="9"/>
  <c r="AS309" i="9"/>
  <c r="AS314" i="9"/>
  <c r="AS319" i="9"/>
  <c r="AS325" i="9"/>
  <c r="AS330" i="9"/>
  <c r="AS335" i="9"/>
  <c r="AS341" i="9"/>
  <c r="AS346" i="9"/>
  <c r="AS351" i="9"/>
  <c r="AS357" i="9"/>
  <c r="AS362" i="9"/>
  <c r="AS367" i="9"/>
  <c r="AS373" i="9"/>
  <c r="AS378" i="9"/>
  <c r="AS383" i="9"/>
  <c r="AS389" i="9"/>
  <c r="AS394" i="9"/>
  <c r="AS399" i="9"/>
  <c r="AS405" i="9"/>
  <c r="AS410" i="9"/>
  <c r="AS415" i="9"/>
  <c r="AS421" i="9"/>
  <c r="AS426" i="9"/>
  <c r="AS430" i="9"/>
  <c r="AS434" i="9"/>
  <c r="AS438" i="9"/>
  <c r="AS442" i="9"/>
  <c r="AS446" i="9"/>
  <c r="AS450" i="9"/>
  <c r="AS454" i="9"/>
  <c r="AS458" i="9"/>
  <c r="AS462" i="9"/>
  <c r="AS466" i="9"/>
  <c r="AS470" i="9"/>
  <c r="AS474" i="9"/>
  <c r="AS478" i="9"/>
  <c r="AS482" i="9"/>
  <c r="AS486" i="9"/>
  <c r="AS490" i="9"/>
  <c r="AS494" i="9"/>
  <c r="AS498" i="9"/>
  <c r="AS502" i="9"/>
  <c r="AS506" i="9"/>
  <c r="AS510" i="9"/>
  <c r="AS514" i="9"/>
  <c r="AS518" i="9"/>
  <c r="AS522" i="9"/>
  <c r="AS526" i="9"/>
  <c r="AS530" i="9"/>
  <c r="AS534" i="9"/>
  <c r="AS538" i="9"/>
  <c r="AS542" i="9"/>
  <c r="AS546" i="9"/>
  <c r="AS550" i="9"/>
  <c r="AS554" i="9"/>
  <c r="AS558" i="9"/>
  <c r="AS562" i="9"/>
  <c r="AS566" i="9"/>
  <c r="AS570" i="9"/>
  <c r="AS574" i="9"/>
  <c r="AS578" i="9"/>
  <c r="AS582" i="9"/>
  <c r="AS586" i="9"/>
  <c r="AS590" i="9"/>
  <c r="AS594" i="9"/>
  <c r="AS598" i="9"/>
  <c r="AS602" i="9"/>
  <c r="AS606" i="9"/>
  <c r="AS610" i="9"/>
  <c r="AS614" i="9"/>
  <c r="AS618" i="9"/>
  <c r="AS622" i="9"/>
  <c r="AS626" i="9"/>
  <c r="AS630" i="9"/>
  <c r="AS634" i="9"/>
  <c r="AS638" i="9"/>
  <c r="AS642" i="9"/>
  <c r="AS646" i="9"/>
  <c r="AS650" i="9"/>
  <c r="AS654" i="9"/>
  <c r="AS658" i="9"/>
  <c r="AS662" i="9"/>
  <c r="AS666" i="9"/>
  <c r="AS670" i="9"/>
  <c r="AS674" i="9"/>
  <c r="AS678" i="9"/>
  <c r="AS682" i="9"/>
  <c r="AS686" i="9"/>
  <c r="AS690" i="9"/>
  <c r="AS694" i="9"/>
  <c r="AS698" i="9"/>
  <c r="AS702" i="9"/>
  <c r="AS706" i="9"/>
  <c r="AS710" i="9"/>
  <c r="AS714" i="9"/>
  <c r="AS718" i="9"/>
  <c r="AS722" i="9"/>
  <c r="AS726" i="9"/>
  <c r="AS730" i="9"/>
  <c r="AS734" i="9"/>
  <c r="AS738" i="9"/>
  <c r="AS742" i="9"/>
  <c r="AS746" i="9"/>
  <c r="AS750" i="9"/>
  <c r="AS754" i="9"/>
  <c r="AS758" i="9"/>
  <c r="AS762" i="9"/>
  <c r="AS766" i="9"/>
  <c r="AS770" i="9"/>
  <c r="AS774" i="9"/>
  <c r="AS778" i="9"/>
  <c r="AS782" i="9"/>
  <c r="AS786" i="9"/>
  <c r="AS6" i="9"/>
  <c r="AS11" i="9"/>
  <c r="AS17" i="9"/>
  <c r="AS22" i="9"/>
  <c r="AS27" i="9"/>
  <c r="AS33" i="9"/>
  <c r="AS38" i="9"/>
  <c r="AS43" i="9"/>
  <c r="AS49" i="9"/>
  <c r="AS54" i="9"/>
  <c r="AS59" i="9"/>
  <c r="AS65" i="9"/>
  <c r="AS70" i="9"/>
  <c r="AS75" i="9"/>
  <c r="AS81" i="9"/>
  <c r="AS86" i="9"/>
  <c r="AS91" i="9"/>
  <c r="AS97" i="9"/>
  <c r="AS102" i="9"/>
  <c r="AS107" i="9"/>
  <c r="AS113" i="9"/>
  <c r="AS118" i="9"/>
  <c r="AS123" i="9"/>
  <c r="AS129" i="9"/>
  <c r="AS134" i="9"/>
  <c r="AS139" i="9"/>
  <c r="AS145" i="9"/>
  <c r="AS150" i="9"/>
  <c r="AS155" i="9"/>
  <c r="AS161" i="9"/>
  <c r="AS166" i="9"/>
  <c r="AS171" i="9"/>
  <c r="AS177" i="9"/>
  <c r="AS182" i="9"/>
  <c r="AS187" i="9"/>
  <c r="AS193" i="9"/>
  <c r="AS198" i="9"/>
  <c r="AS203" i="9"/>
  <c r="AS209" i="9"/>
  <c r="AS214" i="9"/>
  <c r="AS219" i="9"/>
  <c r="AS225" i="9"/>
  <c r="AS230" i="9"/>
  <c r="AS235" i="9"/>
  <c r="AS241" i="9"/>
  <c r="AS246" i="9"/>
  <c r="AS251" i="9"/>
  <c r="AS257" i="9"/>
  <c r="AS262" i="9"/>
  <c r="AS267" i="9"/>
  <c r="AS289" i="9"/>
  <c r="AS299" i="9"/>
  <c r="AS310" i="9"/>
  <c r="AS321" i="9"/>
  <c r="AS331" i="9"/>
  <c r="AS342" i="9"/>
  <c r="AS353" i="9"/>
  <c r="AS363" i="9"/>
  <c r="AS374" i="9"/>
  <c r="AS385" i="9"/>
  <c r="AS395" i="9"/>
  <c r="AS406" i="9"/>
  <c r="AS427" i="9"/>
  <c r="AS435" i="9"/>
  <c r="AS443" i="9"/>
  <c r="AS459" i="9"/>
  <c r="AS475" i="9"/>
  <c r="AS499" i="9"/>
  <c r="AS515" i="9"/>
  <c r="AS539" i="9"/>
  <c r="AS555" i="9"/>
  <c r="AS579" i="9"/>
  <c r="AS603" i="9"/>
  <c r="AS273" i="9"/>
  <c r="AS291" i="9"/>
  <c r="AS302" i="9"/>
  <c r="AS313" i="9"/>
  <c r="AS323" i="9"/>
  <c r="AS334" i="9"/>
  <c r="AS345" i="9"/>
  <c r="AS355" i="9"/>
  <c r="AS366" i="9"/>
  <c r="AS377" i="9"/>
  <c r="AS387" i="9"/>
  <c r="AS398" i="9"/>
  <c r="AS409" i="9"/>
  <c r="AS419" i="9"/>
  <c r="AS429" i="9"/>
  <c r="AS437" i="9"/>
  <c r="AS445" i="9"/>
  <c r="AS453" i="9"/>
  <c r="AS461" i="9"/>
  <c r="AS469" i="9"/>
  <c r="AS477" i="9"/>
  <c r="AS485" i="9"/>
  <c r="AS493" i="9"/>
  <c r="AS501" i="9"/>
  <c r="AS509" i="9"/>
  <c r="AS517" i="9"/>
  <c r="AS525" i="9"/>
  <c r="AS533" i="9"/>
  <c r="AS541" i="9"/>
  <c r="AS549" i="9"/>
  <c r="AS557" i="9"/>
  <c r="AS565" i="9"/>
  <c r="AS573" i="9"/>
  <c r="AS581" i="9"/>
  <c r="AS589" i="9"/>
  <c r="AS597" i="9"/>
  <c r="AS605" i="9"/>
  <c r="AS613" i="9"/>
  <c r="AS621" i="9"/>
  <c r="AS629" i="9"/>
  <c r="AS637" i="9"/>
  <c r="AS645" i="9"/>
  <c r="AS653" i="9"/>
  <c r="AS661" i="9"/>
  <c r="AS669" i="9"/>
  <c r="AS677" i="9"/>
  <c r="AS685" i="9"/>
  <c r="AS693" i="9"/>
  <c r="AS701" i="9"/>
  <c r="AS709" i="9"/>
  <c r="AS717" i="9"/>
  <c r="AS725" i="9"/>
  <c r="AS733" i="9"/>
  <c r="AS741" i="9"/>
  <c r="AS749" i="9"/>
  <c r="AS757" i="9"/>
  <c r="AS765" i="9"/>
  <c r="AS773" i="9"/>
  <c r="AS781" i="9"/>
  <c r="AS788" i="9"/>
  <c r="AS792" i="9"/>
  <c r="AS796" i="9"/>
  <c r="AS800" i="9"/>
  <c r="AS804" i="9"/>
  <c r="AS808" i="9"/>
  <c r="AS812" i="9"/>
  <c r="AS816" i="9"/>
  <c r="AS820" i="9"/>
  <c r="AS824" i="9"/>
  <c r="AS828" i="9"/>
  <c r="AS832" i="9"/>
  <c r="AS836" i="9"/>
  <c r="AP2" i="26"/>
  <c r="AS439" i="9"/>
  <c r="AS463" i="9"/>
  <c r="AS479" i="9"/>
  <c r="AS495" i="9"/>
  <c r="AS511" i="9"/>
  <c r="AS527" i="9"/>
  <c r="AS543" i="9"/>
  <c r="AS559" i="9"/>
  <c r="AS575" i="9"/>
  <c r="AS278" i="9"/>
  <c r="AS294" i="9"/>
  <c r="AS305" i="9"/>
  <c r="AS315" i="9"/>
  <c r="AS326" i="9"/>
  <c r="AS337" i="9"/>
  <c r="AS347" i="9"/>
  <c r="AS358" i="9"/>
  <c r="AS369" i="9"/>
  <c r="AS379" i="9"/>
  <c r="AS390" i="9"/>
  <c r="AS401" i="9"/>
  <c r="AS411" i="9"/>
  <c r="AS422" i="9"/>
  <c r="AS431" i="9"/>
  <c r="AS447" i="9"/>
  <c r="AS455" i="9"/>
  <c r="AS471" i="9"/>
  <c r="AS487" i="9"/>
  <c r="AS503" i="9"/>
  <c r="AS519" i="9"/>
  <c r="AS535" i="9"/>
  <c r="AS551" i="9"/>
  <c r="AS567" i="9"/>
  <c r="AS583" i="9"/>
  <c r="AS283" i="9"/>
  <c r="AS297" i="9"/>
  <c r="AS307" i="9"/>
  <c r="AS318" i="9"/>
  <c r="AS329" i="9"/>
  <c r="AS339" i="9"/>
  <c r="AS350" i="9"/>
  <c r="AS361" i="9"/>
  <c r="AS371" i="9"/>
  <c r="AS382" i="9"/>
  <c r="AS393" i="9"/>
  <c r="AS403" i="9"/>
  <c r="AS414" i="9"/>
  <c r="AS425" i="9"/>
  <c r="AS433" i="9"/>
  <c r="AS441" i="9"/>
  <c r="AS449" i="9"/>
  <c r="AS457" i="9"/>
  <c r="AS465" i="9"/>
  <c r="AS473" i="9"/>
  <c r="AS481" i="9"/>
  <c r="AS489" i="9"/>
  <c r="AS497" i="9"/>
  <c r="AS505" i="9"/>
  <c r="AS513" i="9"/>
  <c r="AS521" i="9"/>
  <c r="AS529" i="9"/>
  <c r="AS537" i="9"/>
  <c r="AS545" i="9"/>
  <c r="AS553" i="9"/>
  <c r="AS561" i="9"/>
  <c r="AS569" i="9"/>
  <c r="AS577" i="9"/>
  <c r="AS585" i="9"/>
  <c r="AS593" i="9"/>
  <c r="AS601" i="9"/>
  <c r="AS609" i="9"/>
  <c r="AS617" i="9"/>
  <c r="AS625" i="9"/>
  <c r="AS633" i="9"/>
  <c r="AS641" i="9"/>
  <c r="AS649" i="9"/>
  <c r="AS657" i="9"/>
  <c r="AS665" i="9"/>
  <c r="AS673" i="9"/>
  <c r="AS681" i="9"/>
  <c r="AS689" i="9"/>
  <c r="AS697" i="9"/>
  <c r="AS705" i="9"/>
  <c r="AS713" i="9"/>
  <c r="AS721" i="9"/>
  <c r="AS729" i="9"/>
  <c r="AS737" i="9"/>
  <c r="AS745" i="9"/>
  <c r="AS753" i="9"/>
  <c r="AS761" i="9"/>
  <c r="AS769" i="9"/>
  <c r="AS777" i="9"/>
  <c r="AS785" i="9"/>
  <c r="AS790" i="9"/>
  <c r="AS794" i="9"/>
  <c r="AS798" i="9"/>
  <c r="AS802" i="9"/>
  <c r="AS806" i="9"/>
  <c r="AS810" i="9"/>
  <c r="AS814" i="9"/>
  <c r="AS818" i="9"/>
  <c r="AS822" i="9"/>
  <c r="AS826" i="9"/>
  <c r="AS830" i="9"/>
  <c r="AS834" i="9"/>
  <c r="AS3" i="9"/>
  <c r="AS417" i="9"/>
  <c r="AS451" i="9"/>
  <c r="AS467" i="9"/>
  <c r="AS483" i="9"/>
  <c r="AS491" i="9"/>
  <c r="AS507" i="9"/>
  <c r="AS523" i="9"/>
  <c r="AS531" i="9"/>
  <c r="AS547" i="9"/>
  <c r="AS563" i="9"/>
  <c r="AS571" i="9"/>
  <c r="AS587" i="9"/>
  <c r="AS595" i="9"/>
  <c r="AS591" i="9"/>
  <c r="AS615" i="9"/>
  <c r="AS631" i="9"/>
  <c r="AS647" i="9"/>
  <c r="AS663" i="9"/>
  <c r="AS679" i="9"/>
  <c r="AS695" i="9"/>
  <c r="AS711" i="9"/>
  <c r="AS727" i="9"/>
  <c r="AS743" i="9"/>
  <c r="AS759" i="9"/>
  <c r="AS775" i="9"/>
  <c r="AS789" i="9"/>
  <c r="AS797" i="9"/>
  <c r="AS805" i="9"/>
  <c r="AS813" i="9"/>
  <c r="AS821" i="9"/>
  <c r="AS829" i="9"/>
  <c r="AS837" i="9"/>
  <c r="AS599" i="9"/>
  <c r="AS619" i="9"/>
  <c r="AS635" i="9"/>
  <c r="AS651" i="9"/>
  <c r="AS667" i="9"/>
  <c r="AS683" i="9"/>
  <c r="AS699" i="9"/>
  <c r="AS715" i="9"/>
  <c r="AS731" i="9"/>
  <c r="AS747" i="9"/>
  <c r="AS763" i="9"/>
  <c r="AS779" i="9"/>
  <c r="AS791" i="9"/>
  <c r="AS799" i="9"/>
  <c r="AS807" i="9"/>
  <c r="AS815" i="9"/>
  <c r="AS823" i="9"/>
  <c r="AS831" i="9"/>
  <c r="AR3" i="9"/>
  <c r="AS607" i="9"/>
  <c r="AS623" i="9"/>
  <c r="AS639" i="9"/>
  <c r="AS655" i="9"/>
  <c r="AS671" i="9"/>
  <c r="AS687" i="9"/>
  <c r="AS703" i="9"/>
  <c r="AS719" i="9"/>
  <c r="AS735" i="9"/>
  <c r="AS751" i="9"/>
  <c r="AS767" i="9"/>
  <c r="AS783" i="9"/>
  <c r="AS793" i="9"/>
  <c r="AS801" i="9"/>
  <c r="AS809" i="9"/>
  <c r="AS817" i="9"/>
  <c r="AS825" i="9"/>
  <c r="AS833" i="9"/>
  <c r="AO2" i="26"/>
  <c r="AS611" i="9"/>
  <c r="AS627" i="9"/>
  <c r="AS643" i="9"/>
  <c r="AS659" i="9"/>
  <c r="AS675" i="9"/>
  <c r="AS691" i="9"/>
  <c r="AS707" i="9"/>
  <c r="AS723" i="9"/>
  <c r="AS739" i="9"/>
  <c r="AS755" i="9"/>
  <c r="AS771" i="9"/>
  <c r="AS787" i="9"/>
  <c r="AS795" i="9"/>
  <c r="AS803" i="9"/>
  <c r="AS811" i="9"/>
  <c r="AS819" i="9"/>
  <c r="AS827" i="9"/>
  <c r="AS835" i="9"/>
  <c r="B847" i="57"/>
  <c r="B847" i="60"/>
  <c r="B847" i="59"/>
  <c r="B803" i="60"/>
  <c r="B803" i="59"/>
  <c r="X763" i="60"/>
  <c r="S759" i="60"/>
  <c r="T758" i="60"/>
  <c r="K757" i="60"/>
  <c r="T756" i="60"/>
  <c r="K755" i="60"/>
  <c r="T754" i="60"/>
  <c r="S762" i="60"/>
  <c r="W760" i="60"/>
  <c r="S758" i="60"/>
  <c r="X757" i="60"/>
  <c r="S755" i="60"/>
  <c r="H755" i="60"/>
  <c r="S754" i="60"/>
  <c r="C754" i="60"/>
  <c r="X759" i="60"/>
  <c r="X758" i="60"/>
  <c r="S757" i="60"/>
  <c r="W756" i="60"/>
  <c r="X755" i="60"/>
  <c r="G755" i="60"/>
  <c r="L754" i="60"/>
  <c r="X764" i="60"/>
  <c r="S763" i="60"/>
  <c r="K754" i="60"/>
  <c r="K758" i="60"/>
  <c r="O755" i="60"/>
  <c r="P755" i="60" s="1"/>
  <c r="W754" i="60"/>
  <c r="L757" i="60"/>
  <c r="W755" i="60"/>
  <c r="S761" i="60"/>
  <c r="G754" i="60"/>
  <c r="T755" i="60"/>
  <c r="T762" i="60"/>
  <c r="W762" i="60"/>
  <c r="W761" i="60"/>
  <c r="X756" i="60"/>
  <c r="T760" i="60"/>
  <c r="T764" i="60"/>
  <c r="O754" i="60"/>
  <c r="P754" i="60" s="1"/>
  <c r="T757" i="60"/>
  <c r="T761" i="60"/>
  <c r="S764" i="60"/>
  <c r="W757" i="60"/>
  <c r="X761" i="60"/>
  <c r="X754" i="60"/>
  <c r="W758" i="60"/>
  <c r="W764" i="60"/>
  <c r="X760" i="60"/>
  <c r="D754" i="60"/>
  <c r="L758" i="60"/>
  <c r="X762" i="60"/>
  <c r="T763" i="60"/>
  <c r="W763" i="60"/>
  <c r="L755" i="60"/>
  <c r="S760" i="60"/>
  <c r="T759" i="60"/>
  <c r="S756" i="60"/>
  <c r="W759" i="60"/>
  <c r="X885" i="60"/>
  <c r="L878" i="60"/>
  <c r="S876" i="60"/>
  <c r="X875" i="60"/>
  <c r="K875" i="60"/>
  <c r="W877" i="60"/>
  <c r="W876" i="60"/>
  <c r="O875" i="60"/>
  <c r="P875" i="60" s="1"/>
  <c r="S885" i="60"/>
  <c r="T879" i="60"/>
  <c r="H876" i="60"/>
  <c r="W885" i="60"/>
  <c r="K879" i="60"/>
  <c r="X876" i="60"/>
  <c r="W875" i="60"/>
  <c r="G875" i="60"/>
  <c r="X880" i="60"/>
  <c r="K876" i="60"/>
  <c r="C875" i="60"/>
  <c r="W882" i="60"/>
  <c r="S878" i="60"/>
  <c r="L875" i="60"/>
  <c r="L876" i="60"/>
  <c r="S880" i="60"/>
  <c r="H875" i="60"/>
  <c r="K878" i="60"/>
  <c r="T880" i="60"/>
  <c r="S882" i="60"/>
  <c r="D875" i="60"/>
  <c r="L879" i="60"/>
  <c r="T882" i="60"/>
  <c r="T876" i="60"/>
  <c r="T881" i="60"/>
  <c r="G876" i="60"/>
  <c r="X878" i="60"/>
  <c r="T883" i="60"/>
  <c r="X882" i="60"/>
  <c r="S877" i="60"/>
  <c r="W880" i="60"/>
  <c r="W883" i="60"/>
  <c r="W879" i="60"/>
  <c r="T885" i="60"/>
  <c r="T877" i="60"/>
  <c r="X879" i="60"/>
  <c r="X883" i="60"/>
  <c r="W881" i="60"/>
  <c r="X884" i="60"/>
  <c r="W878" i="60"/>
  <c r="X881" i="60"/>
  <c r="T878" i="60"/>
  <c r="S883" i="60"/>
  <c r="O876" i="60"/>
  <c r="P876" i="60" s="1"/>
  <c r="S879" i="60"/>
  <c r="W884" i="60"/>
  <c r="S884" i="60"/>
  <c r="X877" i="60"/>
  <c r="S881" i="60"/>
  <c r="T884" i="60"/>
  <c r="S875" i="60"/>
  <c r="W928" i="60"/>
  <c r="K922" i="60"/>
  <c r="G919" i="60"/>
  <c r="T924" i="60"/>
  <c r="O919" i="60"/>
  <c r="P919" i="60" s="1"/>
  <c r="H920" i="60"/>
  <c r="S920" i="60"/>
  <c r="S919" i="60"/>
  <c r="C919" i="60"/>
  <c r="W926" i="60"/>
  <c r="K923" i="60"/>
  <c r="H919" i="60"/>
  <c r="L920" i="60"/>
  <c r="T927" i="60"/>
  <c r="O920" i="60"/>
  <c r="P920" i="60" s="1"/>
  <c r="X929" i="60"/>
  <c r="S928" i="60"/>
  <c r="D919" i="60"/>
  <c r="L923" i="60"/>
  <c r="T926" i="60"/>
  <c r="W919" i="60"/>
  <c r="S922" i="60"/>
  <c r="X924" i="60"/>
  <c r="S929" i="60"/>
  <c r="T920" i="60"/>
  <c r="T929" i="60"/>
  <c r="W921" i="60"/>
  <c r="G920" i="60"/>
  <c r="W925" i="60"/>
  <c r="X928" i="60"/>
  <c r="S921" i="60"/>
  <c r="W924" i="60"/>
  <c r="W927" i="60"/>
  <c r="K920" i="60"/>
  <c r="X922" i="60"/>
  <c r="T925" i="60"/>
  <c r="X923" i="60"/>
  <c r="X919" i="60"/>
  <c r="S923" i="60"/>
  <c r="T923" i="60"/>
  <c r="X926" i="60"/>
  <c r="W922" i="60"/>
  <c r="X925" i="60"/>
  <c r="W929" i="60"/>
  <c r="K919" i="60"/>
  <c r="T921" i="60"/>
  <c r="S924" i="60"/>
  <c r="X927" i="60"/>
  <c r="L922" i="60"/>
  <c r="L919" i="60"/>
  <c r="T922" i="60"/>
  <c r="X920" i="60"/>
  <c r="S926" i="60"/>
  <c r="X921" i="60"/>
  <c r="S925" i="60"/>
  <c r="T928" i="60"/>
  <c r="W920" i="60"/>
  <c r="W923" i="60"/>
  <c r="S927" i="60"/>
  <c r="B814" i="57"/>
  <c r="S819" i="57" s="1"/>
  <c r="T819" i="57" s="1"/>
  <c r="B803" i="57"/>
  <c r="S803" i="57" s="1"/>
  <c r="T803" i="57" s="1"/>
  <c r="AO480" i="26"/>
  <c r="AN480" i="26" s="1"/>
  <c r="AO484" i="26"/>
  <c r="AN484" i="26" s="1"/>
  <c r="AO488" i="26"/>
  <c r="AN488" i="26" s="1"/>
  <c r="AO492" i="26"/>
  <c r="AN492" i="26" s="1"/>
  <c r="AO482" i="26"/>
  <c r="AN482" i="26" s="1"/>
  <c r="AO490" i="26"/>
  <c r="AN490" i="26" s="1"/>
  <c r="AO479" i="26"/>
  <c r="AN479" i="26" s="1"/>
  <c r="AO487" i="26"/>
  <c r="AN487" i="26" s="1"/>
  <c r="AO481" i="26"/>
  <c r="AN481" i="26" s="1"/>
  <c r="AO485" i="26"/>
  <c r="AN485" i="26" s="1"/>
  <c r="AO489" i="26"/>
  <c r="AN489" i="26" s="1"/>
  <c r="AO493" i="26"/>
  <c r="AN493" i="26" s="1"/>
  <c r="AO486" i="26"/>
  <c r="AN486" i="26" s="1"/>
  <c r="AO483" i="26"/>
  <c r="AN483" i="26" s="1"/>
  <c r="AO491" i="26"/>
  <c r="AN491" i="26" s="1"/>
  <c r="O908" i="57"/>
  <c r="P908" i="57" s="1"/>
  <c r="W910" i="57"/>
  <c r="X910" i="57" s="1"/>
  <c r="W908" i="57"/>
  <c r="W915" i="57"/>
  <c r="X915" i="57" s="1"/>
  <c r="S913" i="57"/>
  <c r="T913" i="57" s="1"/>
  <c r="S912" i="57"/>
  <c r="T912" i="57" s="1"/>
  <c r="W911" i="57"/>
  <c r="O909" i="57"/>
  <c r="P909" i="57" s="1"/>
  <c r="K908" i="57"/>
  <c r="K912" i="57"/>
  <c r="L912" i="57" s="1"/>
  <c r="W917" i="57"/>
  <c r="X917" i="57" s="1"/>
  <c r="G909" i="57"/>
  <c r="G908" i="57"/>
  <c r="S918" i="57"/>
  <c r="T918" i="57" s="1"/>
  <c r="S909" i="57"/>
  <c r="T909" i="57" s="1"/>
  <c r="S910" i="57"/>
  <c r="T910" i="57" s="1"/>
  <c r="W916" i="57"/>
  <c r="W912" i="57"/>
  <c r="X912" i="57" s="1"/>
  <c r="S914" i="57"/>
  <c r="S908" i="57"/>
  <c r="K911" i="57"/>
  <c r="L911" i="57" s="1"/>
  <c r="W918" i="57"/>
  <c r="X918" i="57" s="1"/>
  <c r="D908" i="57"/>
  <c r="W913" i="57"/>
  <c r="X913" i="57" s="1"/>
  <c r="C908" i="57"/>
  <c r="AD913" i="57" s="1"/>
  <c r="S915" i="57"/>
  <c r="T915" i="57" s="1"/>
  <c r="W909" i="57"/>
  <c r="X909" i="57" s="1"/>
  <c r="S917" i="57"/>
  <c r="T917" i="57" s="1"/>
  <c r="S911" i="57"/>
  <c r="S916" i="57"/>
  <c r="W914" i="57"/>
  <c r="S829" i="57"/>
  <c r="T829" i="57" s="1"/>
  <c r="S821" i="57"/>
  <c r="T821" i="57" s="1"/>
  <c r="W827" i="57"/>
  <c r="X827" i="57" s="1"/>
  <c r="W821" i="57"/>
  <c r="X821" i="57" s="1"/>
  <c r="S826" i="57"/>
  <c r="K824" i="57"/>
  <c r="L824" i="57" s="1"/>
  <c r="S824" i="57"/>
  <c r="T824" i="57" s="1"/>
  <c r="S830" i="57"/>
  <c r="T830" i="57" s="1"/>
  <c r="C820" i="57"/>
  <c r="AD825" i="57" s="1"/>
  <c r="W830" i="57"/>
  <c r="X830" i="57" s="1"/>
  <c r="K823" i="57"/>
  <c r="L823" i="57" s="1"/>
  <c r="W829" i="57"/>
  <c r="X829" i="57" s="1"/>
  <c r="S823" i="57"/>
  <c r="S828" i="57"/>
  <c r="G821" i="57"/>
  <c r="S827" i="57"/>
  <c r="T827" i="57" s="1"/>
  <c r="O820" i="57"/>
  <c r="P820" i="57" s="1"/>
  <c r="W823" i="57"/>
  <c r="K820" i="57"/>
  <c r="W824" i="57"/>
  <c r="X824" i="57" s="1"/>
  <c r="O821" i="57"/>
  <c r="P821" i="57" s="1"/>
  <c r="W822" i="57"/>
  <c r="X822" i="57" s="1"/>
  <c r="W826" i="57"/>
  <c r="D820" i="57"/>
  <c r="W820" i="57"/>
  <c r="W825" i="57"/>
  <c r="X825" i="57" s="1"/>
  <c r="S822" i="57"/>
  <c r="T822" i="57" s="1"/>
  <c r="S825" i="57"/>
  <c r="T825" i="57" s="1"/>
  <c r="C853" i="57"/>
  <c r="AD858" i="57" s="1"/>
  <c r="S860" i="57"/>
  <c r="T860" i="57" s="1"/>
  <c r="G854" i="57"/>
  <c r="W860" i="57"/>
  <c r="X860" i="57" s="1"/>
  <c r="S854" i="57"/>
  <c r="T854" i="57" s="1"/>
  <c r="S863" i="57"/>
  <c r="T863" i="57" s="1"/>
  <c r="W857" i="57"/>
  <c r="X857" i="57" s="1"/>
  <c r="W859" i="57"/>
  <c r="W855" i="57"/>
  <c r="X855" i="57" s="1"/>
  <c r="S857" i="57"/>
  <c r="T857" i="57" s="1"/>
  <c r="S859" i="57"/>
  <c r="W854" i="57"/>
  <c r="X854" i="57" s="1"/>
  <c r="S855" i="57"/>
  <c r="T855" i="57" s="1"/>
  <c r="S862" i="57"/>
  <c r="T862" i="57" s="1"/>
  <c r="W862" i="57"/>
  <c r="X862" i="57" s="1"/>
  <c r="W863" i="57"/>
  <c r="X863" i="57" s="1"/>
  <c r="D853" i="57"/>
  <c r="K857" i="57"/>
  <c r="L857" i="57" s="1"/>
  <c r="S853" i="57"/>
  <c r="S858" i="57"/>
  <c r="T858" i="57" s="1"/>
  <c r="W853" i="57"/>
  <c r="S861" i="57"/>
  <c r="S856" i="57"/>
  <c r="O853" i="57"/>
  <c r="P853" i="57" s="1"/>
  <c r="K853" i="57"/>
  <c r="W856" i="57"/>
  <c r="O854" i="57"/>
  <c r="P854" i="57" s="1"/>
  <c r="K856" i="57"/>
  <c r="L856" i="57" s="1"/>
  <c r="W858" i="57"/>
  <c r="X858" i="57" s="1"/>
  <c r="W861" i="57"/>
  <c r="W841" i="57"/>
  <c r="X841" i="57" s="1"/>
  <c r="S833" i="57"/>
  <c r="T833" i="57" s="1"/>
  <c r="W831" i="57"/>
  <c r="K835" i="57"/>
  <c r="L835" i="57" s="1"/>
  <c r="W838" i="57"/>
  <c r="X838" i="57" s="1"/>
  <c r="O832" i="57"/>
  <c r="P832" i="57" s="1"/>
  <c r="S838" i="57"/>
  <c r="T838" i="57" s="1"/>
  <c r="S840" i="57"/>
  <c r="T840" i="57" s="1"/>
  <c r="W833" i="57"/>
  <c r="X833" i="57" s="1"/>
  <c r="S836" i="57"/>
  <c r="T836" i="57" s="1"/>
  <c r="O831" i="57"/>
  <c r="P831" i="57" s="1"/>
  <c r="S841" i="57"/>
  <c r="T841" i="57" s="1"/>
  <c r="S832" i="57"/>
  <c r="T832" i="57" s="1"/>
  <c r="S835" i="57"/>
  <c r="T835" i="57" s="1"/>
  <c r="W835" i="57"/>
  <c r="X835" i="57" s="1"/>
  <c r="C831" i="57"/>
  <c r="AD836" i="57" s="1"/>
  <c r="W832" i="57"/>
  <c r="X832" i="57" s="1"/>
  <c r="S839" i="57"/>
  <c r="W839" i="57"/>
  <c r="D831" i="57"/>
  <c r="G832" i="57"/>
  <c r="W840" i="57"/>
  <c r="X840" i="57" s="1"/>
  <c r="W834" i="57"/>
  <c r="W837" i="57"/>
  <c r="S834" i="57"/>
  <c r="K834" i="57"/>
  <c r="L834" i="57" s="1"/>
  <c r="W836" i="57"/>
  <c r="X836" i="57" s="1"/>
  <c r="S837" i="57"/>
  <c r="S902" i="57"/>
  <c r="T902" i="57" s="1"/>
  <c r="W900" i="57"/>
  <c r="G898" i="57"/>
  <c r="S901" i="57"/>
  <c r="T901" i="57" s="1"/>
  <c r="W897" i="57"/>
  <c r="G897" i="57"/>
  <c r="W899" i="57"/>
  <c r="X899" i="57" s="1"/>
  <c r="S898" i="57"/>
  <c r="T898" i="57" s="1"/>
  <c r="K897" i="57"/>
  <c r="O897" i="57"/>
  <c r="P897" i="57" s="1"/>
  <c r="C897" i="57"/>
  <c r="AD902" i="57" s="1"/>
  <c r="S904" i="57"/>
  <c r="T904" i="57" s="1"/>
  <c r="W905" i="57"/>
  <c r="D897" i="57"/>
  <c r="W902" i="57"/>
  <c r="X902" i="57" s="1"/>
  <c r="W904" i="57"/>
  <c r="X904" i="57" s="1"/>
  <c r="S899" i="57"/>
  <c r="T899" i="57" s="1"/>
  <c r="S900" i="57"/>
  <c r="W906" i="57"/>
  <c r="X906" i="57" s="1"/>
  <c r="K900" i="57"/>
  <c r="L900" i="57" s="1"/>
  <c r="W903" i="57"/>
  <c r="O898" i="57"/>
  <c r="P898" i="57" s="1"/>
  <c r="S897" i="57"/>
  <c r="S906" i="57"/>
  <c r="T906" i="57" s="1"/>
  <c r="W907" i="57"/>
  <c r="X907" i="57" s="1"/>
  <c r="W898" i="57"/>
  <c r="X898" i="57" s="1"/>
  <c r="S903" i="57"/>
  <c r="K901" i="57"/>
  <c r="L901" i="57" s="1"/>
  <c r="S905" i="57"/>
  <c r="S907" i="57"/>
  <c r="T907" i="57" s="1"/>
  <c r="W901" i="57"/>
  <c r="X901" i="57" s="1"/>
  <c r="W845" i="57"/>
  <c r="C842" i="57"/>
  <c r="AD847" i="57" s="1"/>
  <c r="O842" i="57"/>
  <c r="P842" i="57" s="1"/>
  <c r="W848" i="57"/>
  <c r="W843" i="57"/>
  <c r="X843" i="57" s="1"/>
  <c r="S848" i="57"/>
  <c r="W842" i="57"/>
  <c r="S847" i="57"/>
  <c r="T847" i="57" s="1"/>
  <c r="S842" i="57"/>
  <c r="K846" i="57"/>
  <c r="L846" i="57" s="1"/>
  <c r="W850" i="57"/>
  <c r="S850" i="57"/>
  <c r="W849" i="57"/>
  <c r="X849" i="57" s="1"/>
  <c r="W852" i="57"/>
  <c r="X852" i="57" s="1"/>
  <c r="S852" i="57"/>
  <c r="T852" i="57" s="1"/>
  <c r="W851" i="57"/>
  <c r="X851" i="57" s="1"/>
  <c r="O843" i="57"/>
  <c r="P843" i="57" s="1"/>
  <c r="S844" i="57"/>
  <c r="T844" i="57" s="1"/>
  <c r="S845" i="57"/>
  <c r="S843" i="57"/>
  <c r="T843" i="57" s="1"/>
  <c r="G843" i="57"/>
  <c r="S849" i="57"/>
  <c r="T849" i="57" s="1"/>
  <c r="W846" i="57"/>
  <c r="X846" i="57" s="1"/>
  <c r="K845" i="57"/>
  <c r="L845" i="57" s="1"/>
  <c r="S851" i="57"/>
  <c r="T851" i="57" s="1"/>
  <c r="K842" i="57"/>
  <c r="S846" i="57"/>
  <c r="T846" i="57" s="1"/>
  <c r="D842" i="57"/>
  <c r="W847" i="57"/>
  <c r="X847" i="57" s="1"/>
  <c r="W844" i="57"/>
  <c r="X844" i="57" s="1"/>
  <c r="AR111" i="9"/>
  <c r="AR115" i="9"/>
  <c r="AR119" i="9"/>
  <c r="AR112" i="9"/>
  <c r="AR116" i="9"/>
  <c r="AR120" i="9"/>
  <c r="AR118" i="9"/>
  <c r="AR113" i="9"/>
  <c r="AR117" i="9"/>
  <c r="AR114" i="9"/>
  <c r="AR17" i="9"/>
  <c r="AR21" i="9"/>
  <c r="AR16" i="9"/>
  <c r="AR24" i="9"/>
  <c r="AR18" i="9"/>
  <c r="AR22" i="9"/>
  <c r="AR23" i="9"/>
  <c r="AR19" i="9"/>
  <c r="AR20" i="9"/>
  <c r="AR515" i="9"/>
  <c r="AR519" i="9"/>
  <c r="AR516" i="9"/>
  <c r="AR513" i="9"/>
  <c r="AR517" i="9"/>
  <c r="AR514" i="9"/>
  <c r="AR518" i="9"/>
  <c r="AR478" i="9"/>
  <c r="AR482" i="9"/>
  <c r="AR486" i="9"/>
  <c r="AR490" i="9"/>
  <c r="AR494" i="9"/>
  <c r="AR498" i="9"/>
  <c r="AR510" i="9"/>
  <c r="AR479" i="9"/>
  <c r="AR483" i="9"/>
  <c r="AR487" i="9"/>
  <c r="AR491" i="9"/>
  <c r="AR495" i="9"/>
  <c r="AR499" i="9"/>
  <c r="AR503" i="9"/>
  <c r="AR507" i="9"/>
  <c r="AR511" i="9"/>
  <c r="AR485" i="9"/>
  <c r="AR489" i="9"/>
  <c r="AR497" i="9"/>
  <c r="AR505" i="9"/>
  <c r="AR502" i="9"/>
  <c r="AR480" i="9"/>
  <c r="AR484" i="9"/>
  <c r="AR488" i="9"/>
  <c r="AR492" i="9"/>
  <c r="AR496" i="9"/>
  <c r="AR500" i="9"/>
  <c r="AR504" i="9"/>
  <c r="AR508" i="9"/>
  <c r="AR512" i="9"/>
  <c r="AR520" i="9"/>
  <c r="AR481" i="9"/>
  <c r="AR493" i="9"/>
  <c r="AR501" i="9"/>
  <c r="AR509" i="9"/>
  <c r="AR506" i="9"/>
  <c r="AO227" i="26"/>
  <c r="AN227" i="26" s="1"/>
  <c r="AO231" i="26"/>
  <c r="AN231" i="26" s="1"/>
  <c r="AO228" i="26"/>
  <c r="AN228" i="26" s="1"/>
  <c r="AO230" i="26"/>
  <c r="AN230" i="26" s="1"/>
  <c r="AO229" i="26"/>
  <c r="AN229" i="26" s="1"/>
  <c r="AR271" i="9"/>
  <c r="AR275" i="9"/>
  <c r="AR279" i="9"/>
  <c r="AR277" i="9"/>
  <c r="AR281" i="9"/>
  <c r="AR270" i="9"/>
  <c r="AR282" i="9"/>
  <c r="AR272" i="9"/>
  <c r="AR276" i="9"/>
  <c r="AR280" i="9"/>
  <c r="AR273" i="9"/>
  <c r="AR274" i="9"/>
  <c r="AR278" i="9"/>
  <c r="AR286" i="9"/>
  <c r="AR290" i="9"/>
  <c r="AR294" i="9"/>
  <c r="AR298" i="9"/>
  <c r="AR302" i="9"/>
  <c r="AR306" i="9"/>
  <c r="AR310" i="9"/>
  <c r="AR314" i="9"/>
  <c r="AR318" i="9"/>
  <c r="AR322" i="9"/>
  <c r="AR326" i="9"/>
  <c r="AR330" i="9"/>
  <c r="AR334" i="9"/>
  <c r="AR338" i="9"/>
  <c r="AR342" i="9"/>
  <c r="AR346" i="9"/>
  <c r="AR350" i="9"/>
  <c r="AR354" i="9"/>
  <c r="AR358" i="9"/>
  <c r="AR362" i="9"/>
  <c r="AR366" i="9"/>
  <c r="AR370" i="9"/>
  <c r="AR374" i="9"/>
  <c r="AR378" i="9"/>
  <c r="AR382" i="9"/>
  <c r="AR386" i="9"/>
  <c r="AR390" i="9"/>
  <c r="AR394" i="9"/>
  <c r="AR398" i="9"/>
  <c r="AR402" i="9"/>
  <c r="AR406" i="9"/>
  <c r="AR410" i="9"/>
  <c r="AR414" i="9"/>
  <c r="AR418" i="9"/>
  <c r="AR422" i="9"/>
  <c r="AR426" i="9"/>
  <c r="AR430" i="9"/>
  <c r="AR434" i="9"/>
  <c r="AR438" i="9"/>
  <c r="AR442" i="9"/>
  <c r="AR446" i="9"/>
  <c r="AR450" i="9"/>
  <c r="AR454" i="9"/>
  <c r="AR458" i="9"/>
  <c r="AR462" i="9"/>
  <c r="AR466" i="9"/>
  <c r="AR470" i="9"/>
  <c r="AR474" i="9"/>
  <c r="AR522" i="9"/>
  <c r="AR526" i="9"/>
  <c r="AR530" i="9"/>
  <c r="AR534" i="9"/>
  <c r="AR538" i="9"/>
  <c r="AR542" i="9"/>
  <c r="AR546" i="9"/>
  <c r="AR550" i="9"/>
  <c r="AR554" i="9"/>
  <c r="AR558" i="9"/>
  <c r="AR562" i="9"/>
  <c r="AR566" i="9"/>
  <c r="AR570" i="9"/>
  <c r="AR574" i="9"/>
  <c r="AR578" i="9"/>
  <c r="AR582" i="9"/>
  <c r="AR586" i="9"/>
  <c r="AR590" i="9"/>
  <c r="AR594" i="9"/>
  <c r="AR598" i="9"/>
  <c r="AR602" i="9"/>
  <c r="AR606" i="9"/>
  <c r="AR283" i="9"/>
  <c r="AR287" i="9"/>
  <c r="AR291" i="9"/>
  <c r="AR295" i="9"/>
  <c r="AR299" i="9"/>
  <c r="AR303" i="9"/>
  <c r="AR307" i="9"/>
  <c r="AR311" i="9"/>
  <c r="AR315" i="9"/>
  <c r="AR319" i="9"/>
  <c r="AR323" i="9"/>
  <c r="AR327" i="9"/>
  <c r="AR331" i="9"/>
  <c r="AR335" i="9"/>
  <c r="AR339" i="9"/>
  <c r="AR343" i="9"/>
  <c r="AR347" i="9"/>
  <c r="AR351" i="9"/>
  <c r="AR355" i="9"/>
  <c r="AR359" i="9"/>
  <c r="AR363" i="9"/>
  <c r="AR367" i="9"/>
  <c r="AR371" i="9"/>
  <c r="AR375" i="9"/>
  <c r="AR379" i="9"/>
  <c r="AR383" i="9"/>
  <c r="AR387" i="9"/>
  <c r="AR391" i="9"/>
  <c r="AR395" i="9"/>
  <c r="AR399" i="9"/>
  <c r="AR403" i="9"/>
  <c r="AR407" i="9"/>
  <c r="AR411" i="9"/>
  <c r="AR415" i="9"/>
  <c r="AR419" i="9"/>
  <c r="AR423" i="9"/>
  <c r="AR427" i="9"/>
  <c r="AR431" i="9"/>
  <c r="AR435" i="9"/>
  <c r="AR439" i="9"/>
  <c r="AR443" i="9"/>
  <c r="AR447" i="9"/>
  <c r="AR451" i="9"/>
  <c r="AR455" i="9"/>
  <c r="AR459" i="9"/>
  <c r="AR463" i="9"/>
  <c r="AR467" i="9"/>
  <c r="AR471" i="9"/>
  <c r="AR475" i="9"/>
  <c r="AR523" i="9"/>
  <c r="AR527" i="9"/>
  <c r="AR531" i="9"/>
  <c r="AR535" i="9"/>
  <c r="AR539" i="9"/>
  <c r="AR543" i="9"/>
  <c r="AR547" i="9"/>
  <c r="AR551" i="9"/>
  <c r="AR555" i="9"/>
  <c r="AR559" i="9"/>
  <c r="AR563" i="9"/>
  <c r="AR567" i="9"/>
  <c r="AR571" i="9"/>
  <c r="AR575" i="9"/>
  <c r="AR284" i="9"/>
  <c r="AR288" i="9"/>
  <c r="AR292" i="9"/>
  <c r="AR296" i="9"/>
  <c r="AR300" i="9"/>
  <c r="AR304" i="9"/>
  <c r="AR308" i="9"/>
  <c r="AR312" i="9"/>
  <c r="AR316" i="9"/>
  <c r="AR320" i="9"/>
  <c r="AR324" i="9"/>
  <c r="AR328" i="9"/>
  <c r="AR332" i="9"/>
  <c r="AR336" i="9"/>
  <c r="AR340" i="9"/>
  <c r="AR344" i="9"/>
  <c r="AR348" i="9"/>
  <c r="AR352" i="9"/>
  <c r="AR356" i="9"/>
  <c r="AR360" i="9"/>
  <c r="AR364" i="9"/>
  <c r="AR368" i="9"/>
  <c r="AR372" i="9"/>
  <c r="AR376" i="9"/>
  <c r="AR380" i="9"/>
  <c r="AR384" i="9"/>
  <c r="AR388" i="9"/>
  <c r="AR392" i="9"/>
  <c r="AR396" i="9"/>
  <c r="AR400" i="9"/>
  <c r="AR404" i="9"/>
  <c r="AR408" i="9"/>
  <c r="AR412" i="9"/>
  <c r="AR416" i="9"/>
  <c r="AR420" i="9"/>
  <c r="AR424" i="9"/>
  <c r="AR428" i="9"/>
  <c r="AR432" i="9"/>
  <c r="AR436" i="9"/>
  <c r="AR440" i="9"/>
  <c r="AR444" i="9"/>
  <c r="AR448" i="9"/>
  <c r="AR452" i="9"/>
  <c r="AR456" i="9"/>
  <c r="AR460" i="9"/>
  <c r="AR464" i="9"/>
  <c r="AR468" i="9"/>
  <c r="AR472" i="9"/>
  <c r="AR476" i="9"/>
  <c r="AR524" i="9"/>
  <c r="AR528" i="9"/>
  <c r="AR532" i="9"/>
  <c r="AR536" i="9"/>
  <c r="AR540" i="9"/>
  <c r="AR544" i="9"/>
  <c r="AR548" i="9"/>
  <c r="AR552" i="9"/>
  <c r="AR556" i="9"/>
  <c r="AR560" i="9"/>
  <c r="AR564" i="9"/>
  <c r="AR568" i="9"/>
  <c r="AR572" i="9"/>
  <c r="AR576" i="9"/>
  <c r="AR580" i="9"/>
  <c r="AR584" i="9"/>
  <c r="AR588" i="9"/>
  <c r="AR592" i="9"/>
  <c r="AR596" i="9"/>
  <c r="AR600" i="9"/>
  <c r="AR604" i="9"/>
  <c r="AR608" i="9"/>
  <c r="AR612" i="9"/>
  <c r="AR293" i="9"/>
  <c r="AR309" i="9"/>
  <c r="AR325" i="9"/>
  <c r="AR341" i="9"/>
  <c r="AR357" i="9"/>
  <c r="AR373" i="9"/>
  <c r="AR389" i="9"/>
  <c r="AR405" i="9"/>
  <c r="AR421" i="9"/>
  <c r="AR437" i="9"/>
  <c r="AR453" i="9"/>
  <c r="AR469" i="9"/>
  <c r="AR533" i="9"/>
  <c r="AR549" i="9"/>
  <c r="AR565" i="9"/>
  <c r="AR579" i="9"/>
  <c r="AR587" i="9"/>
  <c r="AR595" i="9"/>
  <c r="AR603" i="9"/>
  <c r="AR610" i="9"/>
  <c r="AR615" i="9"/>
  <c r="AR619" i="9"/>
  <c r="AR623" i="9"/>
  <c r="AR627" i="9"/>
  <c r="AR631" i="9"/>
  <c r="AR635" i="9"/>
  <c r="AR639" i="9"/>
  <c r="AR643" i="9"/>
  <c r="AR647" i="9"/>
  <c r="AR651" i="9"/>
  <c r="AR655" i="9"/>
  <c r="AR659" i="9"/>
  <c r="AR663" i="9"/>
  <c r="AR667" i="9"/>
  <c r="AR671" i="9"/>
  <c r="AR675" i="9"/>
  <c r="AR679" i="9"/>
  <c r="AR683" i="9"/>
  <c r="AR687" i="9"/>
  <c r="AR691" i="9"/>
  <c r="AR695" i="9"/>
  <c r="AR699" i="9"/>
  <c r="AR703" i="9"/>
  <c r="AR707" i="9"/>
  <c r="AR711" i="9"/>
  <c r="AR715" i="9"/>
  <c r="AR719" i="9"/>
  <c r="AR723" i="9"/>
  <c r="AR727" i="9"/>
  <c r="AR731" i="9"/>
  <c r="AR735" i="9"/>
  <c r="AR739" i="9"/>
  <c r="AR743" i="9"/>
  <c r="AR747" i="9"/>
  <c r="AR751" i="9"/>
  <c r="AR755" i="9"/>
  <c r="AR759" i="9"/>
  <c r="AO759" i="9" s="1"/>
  <c r="AR763" i="9"/>
  <c r="AO763" i="9" s="1"/>
  <c r="AR767" i="9"/>
  <c r="AO767" i="9" s="1"/>
  <c r="AR771" i="9"/>
  <c r="AO771" i="9" s="1"/>
  <c r="AR775" i="9"/>
  <c r="AO775" i="9" s="1"/>
  <c r="AR779" i="9"/>
  <c r="AO779" i="9" s="1"/>
  <c r="AR783" i="9"/>
  <c r="AO783" i="9" s="1"/>
  <c r="AR787" i="9"/>
  <c r="AO787" i="9" s="1"/>
  <c r="AR791" i="9"/>
  <c r="AO791" i="9" s="1"/>
  <c r="AR795" i="9"/>
  <c r="AO795" i="9" s="1"/>
  <c r="AR799" i="9"/>
  <c r="AO799" i="9" s="1"/>
  <c r="AR803" i="9"/>
  <c r="AO803" i="9" s="1"/>
  <c r="AR807" i="9"/>
  <c r="AO807" i="9" s="1"/>
  <c r="AR811" i="9"/>
  <c r="AO811" i="9" s="1"/>
  <c r="AR815" i="9"/>
  <c r="AO815" i="9" s="1"/>
  <c r="AR819" i="9"/>
  <c r="AO819" i="9" s="1"/>
  <c r="AR823" i="9"/>
  <c r="AO823" i="9" s="1"/>
  <c r="AR827" i="9"/>
  <c r="AO827" i="9" s="1"/>
  <c r="AR831" i="9"/>
  <c r="AO831" i="9" s="1"/>
  <c r="AR835" i="9"/>
  <c r="AO835" i="9" s="1"/>
  <c r="AR772" i="9"/>
  <c r="AO772" i="9" s="1"/>
  <c r="AR776" i="9"/>
  <c r="AO776" i="9" s="1"/>
  <c r="AR784" i="9"/>
  <c r="AO784" i="9" s="1"/>
  <c r="AR792" i="9"/>
  <c r="AO792" i="9" s="1"/>
  <c r="AR800" i="9"/>
  <c r="AO800" i="9" s="1"/>
  <c r="AR297" i="9"/>
  <c r="AR313" i="9"/>
  <c r="AR329" i="9"/>
  <c r="AR345" i="9"/>
  <c r="AR361" i="9"/>
  <c r="AR377" i="9"/>
  <c r="AR393" i="9"/>
  <c r="AR409" i="9"/>
  <c r="AR425" i="9"/>
  <c r="AR441" i="9"/>
  <c r="AR457" i="9"/>
  <c r="AR473" i="9"/>
  <c r="AR521" i="9"/>
  <c r="AR537" i="9"/>
  <c r="AR553" i="9"/>
  <c r="AR569" i="9"/>
  <c r="AR581" i="9"/>
  <c r="AR589" i="9"/>
  <c r="AR597" i="9"/>
  <c r="AR605" i="9"/>
  <c r="AR611" i="9"/>
  <c r="AR616" i="9"/>
  <c r="AR620" i="9"/>
  <c r="AR624" i="9"/>
  <c r="AR628" i="9"/>
  <c r="AR632" i="9"/>
  <c r="AR636" i="9"/>
  <c r="AR640" i="9"/>
  <c r="AR644" i="9"/>
  <c r="AR648" i="9"/>
  <c r="AR652" i="9"/>
  <c r="AR656" i="9"/>
  <c r="AR660" i="9"/>
  <c r="AR664" i="9"/>
  <c r="AR668" i="9"/>
  <c r="AR672" i="9"/>
  <c r="AR676" i="9"/>
  <c r="AR680" i="9"/>
  <c r="AR684" i="9"/>
  <c r="AR688" i="9"/>
  <c r="AR692" i="9"/>
  <c r="AR696" i="9"/>
  <c r="AR700" i="9"/>
  <c r="AR704" i="9"/>
  <c r="AR708" i="9"/>
  <c r="AR712" i="9"/>
  <c r="AR716" i="9"/>
  <c r="AR720" i="9"/>
  <c r="AR724" i="9"/>
  <c r="AR728" i="9"/>
  <c r="AR732" i="9"/>
  <c r="AR736" i="9"/>
  <c r="AR740" i="9"/>
  <c r="AR744" i="9"/>
  <c r="AR748" i="9"/>
  <c r="AR752" i="9"/>
  <c r="AR756" i="9"/>
  <c r="AR760" i="9"/>
  <c r="AO760" i="9" s="1"/>
  <c r="AR764" i="9"/>
  <c r="AO764" i="9" s="1"/>
  <c r="AR768" i="9"/>
  <c r="AO768" i="9" s="1"/>
  <c r="AR780" i="9"/>
  <c r="AO780" i="9" s="1"/>
  <c r="AR788" i="9"/>
  <c r="AO788" i="9" s="1"/>
  <c r="AR796" i="9"/>
  <c r="AO796" i="9" s="1"/>
  <c r="AR285" i="9"/>
  <c r="AR317" i="9"/>
  <c r="AR349" i="9"/>
  <c r="AR381" i="9"/>
  <c r="AR413" i="9"/>
  <c r="AR445" i="9"/>
  <c r="AR477" i="9"/>
  <c r="AR541" i="9"/>
  <c r="AR573" i="9"/>
  <c r="AR591" i="9"/>
  <c r="AR607" i="9"/>
  <c r="AR617" i="9"/>
  <c r="AR625" i="9"/>
  <c r="AR633" i="9"/>
  <c r="AR641" i="9"/>
  <c r="AR649" i="9"/>
  <c r="AR657" i="9"/>
  <c r="AR665" i="9"/>
  <c r="AR673" i="9"/>
  <c r="AR681" i="9"/>
  <c r="AR689" i="9"/>
  <c r="AR697" i="9"/>
  <c r="AR705" i="9"/>
  <c r="AR713" i="9"/>
  <c r="AR721" i="9"/>
  <c r="AR729" i="9"/>
  <c r="AR737" i="9"/>
  <c r="AR745" i="9"/>
  <c r="AR753" i="9"/>
  <c r="AR761" i="9"/>
  <c r="AO761" i="9" s="1"/>
  <c r="AR769" i="9"/>
  <c r="AO769" i="9" s="1"/>
  <c r="AR777" i="9"/>
  <c r="AO777" i="9" s="1"/>
  <c r="AR785" i="9"/>
  <c r="AO785" i="9" s="1"/>
  <c r="AR793" i="9"/>
  <c r="AO793" i="9" s="1"/>
  <c r="AR801" i="9"/>
  <c r="AO801" i="9" s="1"/>
  <c r="AR806" i="9"/>
  <c r="AO806" i="9" s="1"/>
  <c r="AR812" i="9"/>
  <c r="AO812" i="9" s="1"/>
  <c r="AR817" i="9"/>
  <c r="AO817" i="9" s="1"/>
  <c r="AR822" i="9"/>
  <c r="AO822" i="9" s="1"/>
  <c r="AR828" i="9"/>
  <c r="AO828" i="9" s="1"/>
  <c r="AR833" i="9"/>
  <c r="AO833" i="9" s="1"/>
  <c r="AR722" i="9"/>
  <c r="AR738" i="9"/>
  <c r="AR754" i="9"/>
  <c r="AR770" i="9"/>
  <c r="AO770" i="9" s="1"/>
  <c r="AR778" i="9"/>
  <c r="AO778" i="9" s="1"/>
  <c r="AR794" i="9"/>
  <c r="AO794" i="9" s="1"/>
  <c r="AR808" i="9"/>
  <c r="AO808" i="9" s="1"/>
  <c r="AR813" i="9"/>
  <c r="AO813" i="9" s="1"/>
  <c r="AR824" i="9"/>
  <c r="AO824" i="9" s="1"/>
  <c r="AR829" i="9"/>
  <c r="AO829" i="9" s="1"/>
  <c r="AR301" i="9"/>
  <c r="AR365" i="9"/>
  <c r="AR397" i="9"/>
  <c r="AR461" i="9"/>
  <c r="AR557" i="9"/>
  <c r="AR599" i="9"/>
  <c r="AR621" i="9"/>
  <c r="AR637" i="9"/>
  <c r="AR645" i="9"/>
  <c r="AR661" i="9"/>
  <c r="AR677" i="9"/>
  <c r="AR693" i="9"/>
  <c r="AR701" i="9"/>
  <c r="AR717" i="9"/>
  <c r="AR725" i="9"/>
  <c r="AR741" i="9"/>
  <c r="AR757" i="9"/>
  <c r="AR773" i="9"/>
  <c r="AO773" i="9" s="1"/>
  <c r="AR789" i="9"/>
  <c r="AO789" i="9" s="1"/>
  <c r="AR797" i="9"/>
  <c r="AO797" i="9" s="1"/>
  <c r="AR809" i="9"/>
  <c r="AO809" i="9" s="1"/>
  <c r="AR814" i="9"/>
  <c r="AO814" i="9" s="1"/>
  <c r="AR825" i="9"/>
  <c r="AO825" i="9" s="1"/>
  <c r="AR836" i="9"/>
  <c r="AO836" i="9" s="1"/>
  <c r="AR337" i="9"/>
  <c r="AR369" i="9"/>
  <c r="AR433" i="9"/>
  <c r="AR561" i="9"/>
  <c r="AR601" i="9"/>
  <c r="AR614" i="9"/>
  <c r="AR630" i="9"/>
  <c r="AR646" i="9"/>
  <c r="AR662" i="9"/>
  <c r="AR678" i="9"/>
  <c r="AR694" i="9"/>
  <c r="AR710" i="9"/>
  <c r="AR726" i="9"/>
  <c r="AR742" i="9"/>
  <c r="AR758" i="9"/>
  <c r="AO758" i="9" s="1"/>
  <c r="AR774" i="9"/>
  <c r="AO774" i="9" s="1"/>
  <c r="AR790" i="9"/>
  <c r="AO790" i="9" s="1"/>
  <c r="AR805" i="9"/>
  <c r="AO805" i="9" s="1"/>
  <c r="AR816" i="9"/>
  <c r="AO816" i="9" s="1"/>
  <c r="AR826" i="9"/>
  <c r="AO826" i="9" s="1"/>
  <c r="AR832" i="9"/>
  <c r="AO832" i="9" s="1"/>
  <c r="AR289" i="9"/>
  <c r="AR321" i="9"/>
  <c r="AR353" i="9"/>
  <c r="AR385" i="9"/>
  <c r="AR417" i="9"/>
  <c r="AR449" i="9"/>
  <c r="AR545" i="9"/>
  <c r="AR577" i="9"/>
  <c r="AR593" i="9"/>
  <c r="AR609" i="9"/>
  <c r="AR618" i="9"/>
  <c r="AR626" i="9"/>
  <c r="AR634" i="9"/>
  <c r="AR642" i="9"/>
  <c r="AR650" i="9"/>
  <c r="AR658" i="9"/>
  <c r="AR666" i="9"/>
  <c r="AR674" i="9"/>
  <c r="AR682" i="9"/>
  <c r="AR690" i="9"/>
  <c r="AR698" i="9"/>
  <c r="AR706" i="9"/>
  <c r="AR714" i="9"/>
  <c r="AR730" i="9"/>
  <c r="AR746" i="9"/>
  <c r="AR762" i="9"/>
  <c r="AO762" i="9" s="1"/>
  <c r="AR786" i="9"/>
  <c r="AO786" i="9" s="1"/>
  <c r="AR802" i="9"/>
  <c r="AO802" i="9" s="1"/>
  <c r="AR818" i="9"/>
  <c r="AO818" i="9" s="1"/>
  <c r="AR834" i="9"/>
  <c r="AO834" i="9" s="1"/>
  <c r="AR333" i="9"/>
  <c r="AR429" i="9"/>
  <c r="AR525" i="9"/>
  <c r="AR583" i="9"/>
  <c r="AR613" i="9"/>
  <c r="AR629" i="9"/>
  <c r="AR653" i="9"/>
  <c r="AR669" i="9"/>
  <c r="AR685" i="9"/>
  <c r="AR709" i="9"/>
  <c r="AR733" i="9"/>
  <c r="AR749" i="9"/>
  <c r="AR765" i="9"/>
  <c r="AO765" i="9" s="1"/>
  <c r="AR781" i="9"/>
  <c r="AO781" i="9" s="1"/>
  <c r="AR804" i="9"/>
  <c r="AO804" i="9" s="1"/>
  <c r="AR820" i="9"/>
  <c r="AO820" i="9" s="1"/>
  <c r="AR830" i="9"/>
  <c r="AO830" i="9" s="1"/>
  <c r="AR305" i="9"/>
  <c r="AR401" i="9"/>
  <c r="AR465" i="9"/>
  <c r="AR529" i="9"/>
  <c r="AR585" i="9"/>
  <c r="AR622" i="9"/>
  <c r="AR638" i="9"/>
  <c r="AR654" i="9"/>
  <c r="AR670" i="9"/>
  <c r="AR686" i="9"/>
  <c r="AR702" i="9"/>
  <c r="AR718" i="9"/>
  <c r="AR734" i="9"/>
  <c r="AR750" i="9"/>
  <c r="AR766" i="9"/>
  <c r="AO766" i="9" s="1"/>
  <c r="AR782" i="9"/>
  <c r="AO782" i="9" s="1"/>
  <c r="AR798" i="9"/>
  <c r="AO798" i="9" s="1"/>
  <c r="AR810" i="9"/>
  <c r="AO810" i="9" s="1"/>
  <c r="AR821" i="9"/>
  <c r="AO821" i="9" s="1"/>
  <c r="AR837" i="9"/>
  <c r="AO837" i="9" s="1"/>
  <c r="AO182" i="26"/>
  <c r="AN182" i="26" s="1"/>
  <c r="AO185" i="26"/>
  <c r="AN185" i="26" s="1"/>
  <c r="AO183" i="26"/>
  <c r="AN183" i="26" s="1"/>
  <c r="AO184" i="26"/>
  <c r="AN184" i="26" s="1"/>
  <c r="AO181" i="26"/>
  <c r="AN181" i="26" s="1"/>
  <c r="AR4" i="9"/>
  <c r="AR8" i="9"/>
  <c r="AR12" i="9"/>
  <c r="AR28" i="9"/>
  <c r="AR32" i="9"/>
  <c r="AR36" i="9"/>
  <c r="AR40" i="9"/>
  <c r="AR44" i="9"/>
  <c r="AR48" i="9"/>
  <c r="AR52" i="9"/>
  <c r="AR56" i="9"/>
  <c r="AR60" i="9"/>
  <c r="AR64" i="9"/>
  <c r="AR68" i="9"/>
  <c r="AR72" i="9"/>
  <c r="AR76" i="9"/>
  <c r="AR80" i="9"/>
  <c r="AR84" i="9"/>
  <c r="AR88" i="9"/>
  <c r="AR92" i="9"/>
  <c r="AR96" i="9"/>
  <c r="AR100" i="9"/>
  <c r="AR104" i="9"/>
  <c r="AR108" i="9"/>
  <c r="AR124" i="9"/>
  <c r="AR128" i="9"/>
  <c r="AR132" i="9"/>
  <c r="AR136" i="9"/>
  <c r="AR140" i="9"/>
  <c r="AR144" i="9"/>
  <c r="AR148" i="9"/>
  <c r="AR152" i="9"/>
  <c r="AR156" i="9"/>
  <c r="AR160" i="9"/>
  <c r="AR164" i="9"/>
  <c r="AR168" i="9"/>
  <c r="AR172" i="9"/>
  <c r="AR176" i="9"/>
  <c r="AR180" i="9"/>
  <c r="AR184" i="9"/>
  <c r="AR188" i="9"/>
  <c r="AR192" i="9"/>
  <c r="AR196" i="9"/>
  <c r="AR200" i="9"/>
  <c r="AR204" i="9"/>
  <c r="AR208" i="9"/>
  <c r="AR212" i="9"/>
  <c r="AR216" i="9"/>
  <c r="AR220" i="9"/>
  <c r="AR224" i="9"/>
  <c r="AR228" i="9"/>
  <c r="AR232" i="9"/>
  <c r="AR236" i="9"/>
  <c r="AR240" i="9"/>
  <c r="AR244" i="9"/>
  <c r="AR248" i="9"/>
  <c r="AR252" i="9"/>
  <c r="AR256" i="9"/>
  <c r="AR260" i="9"/>
  <c r="AR264" i="9"/>
  <c r="AR268" i="9"/>
  <c r="AR5" i="9"/>
  <c r="AR10" i="9"/>
  <c r="AR15" i="9"/>
  <c r="AR26" i="9"/>
  <c r="AR31" i="9"/>
  <c r="AR37" i="9"/>
  <c r="AR42" i="9"/>
  <c r="AR47" i="9"/>
  <c r="AR53" i="9"/>
  <c r="AR58" i="9"/>
  <c r="AR63" i="9"/>
  <c r="AR69" i="9"/>
  <c r="AR74" i="9"/>
  <c r="AR79" i="9"/>
  <c r="AR85" i="9"/>
  <c r="AR90" i="9"/>
  <c r="AR95" i="9"/>
  <c r="AR101" i="9"/>
  <c r="AR106" i="9"/>
  <c r="AR122" i="9"/>
  <c r="AR127" i="9"/>
  <c r="AR133" i="9"/>
  <c r="AR138" i="9"/>
  <c r="AR143" i="9"/>
  <c r="AR149" i="9"/>
  <c r="AR154" i="9"/>
  <c r="AR159" i="9"/>
  <c r="AR165" i="9"/>
  <c r="AR170" i="9"/>
  <c r="AR175" i="9"/>
  <c r="AR181" i="9"/>
  <c r="AR186" i="9"/>
  <c r="AR191" i="9"/>
  <c r="AR197" i="9"/>
  <c r="AR202" i="9"/>
  <c r="AR207" i="9"/>
  <c r="AR213" i="9"/>
  <c r="AR218" i="9"/>
  <c r="AR223" i="9"/>
  <c r="AR229" i="9"/>
  <c r="AR6" i="9"/>
  <c r="AR11" i="9"/>
  <c r="AR27" i="9"/>
  <c r="AR33" i="9"/>
  <c r="AR38" i="9"/>
  <c r="AR43" i="9"/>
  <c r="AR49" i="9"/>
  <c r="AR54" i="9"/>
  <c r="AR59" i="9"/>
  <c r="AR65" i="9"/>
  <c r="AR70" i="9"/>
  <c r="AR75" i="9"/>
  <c r="AR81" i="9"/>
  <c r="AR86" i="9"/>
  <c r="AR91" i="9"/>
  <c r="AR97" i="9"/>
  <c r="AR102" i="9"/>
  <c r="AR107" i="9"/>
  <c r="AR123" i="9"/>
  <c r="AR129" i="9"/>
  <c r="AR134" i="9"/>
  <c r="AR139" i="9"/>
  <c r="AR145" i="9"/>
  <c r="AR150" i="9"/>
  <c r="AR155" i="9"/>
  <c r="AR161" i="9"/>
  <c r="AR166" i="9"/>
  <c r="AR171" i="9"/>
  <c r="AR177" i="9"/>
  <c r="AR182" i="9"/>
  <c r="AR187" i="9"/>
  <c r="AR193" i="9"/>
  <c r="AR198" i="9"/>
  <c r="AR203" i="9"/>
  <c r="AR209" i="9"/>
  <c r="AR214" i="9"/>
  <c r="AR219" i="9"/>
  <c r="AR225" i="9"/>
  <c r="AR230" i="9"/>
  <c r="AR7" i="9"/>
  <c r="AR13" i="9"/>
  <c r="AR29" i="9"/>
  <c r="AR34" i="9"/>
  <c r="AR39" i="9"/>
  <c r="AR45" i="9"/>
  <c r="AR50" i="9"/>
  <c r="AR55" i="9"/>
  <c r="AR61" i="9"/>
  <c r="AR66" i="9"/>
  <c r="AR71" i="9"/>
  <c r="AR77" i="9"/>
  <c r="AR82" i="9"/>
  <c r="AR87" i="9"/>
  <c r="AR93" i="9"/>
  <c r="AR98" i="9"/>
  <c r="AR103" i="9"/>
  <c r="AR109" i="9"/>
  <c r="AR125" i="9"/>
  <c r="AR130" i="9"/>
  <c r="AR135" i="9"/>
  <c r="AR141" i="9"/>
  <c r="AR146" i="9"/>
  <c r="AR151" i="9"/>
  <c r="AR157" i="9"/>
  <c r="AR162" i="9"/>
  <c r="AR167" i="9"/>
  <c r="AR173" i="9"/>
  <c r="AR178" i="9"/>
  <c r="AR183" i="9"/>
  <c r="AR189" i="9"/>
  <c r="AR194" i="9"/>
  <c r="AR199" i="9"/>
  <c r="AR205" i="9"/>
  <c r="AR210" i="9"/>
  <c r="AR215" i="9"/>
  <c r="AR221" i="9"/>
  <c r="AR226" i="9"/>
  <c r="AR231" i="9"/>
  <c r="AR237" i="9"/>
  <c r="AR242" i="9"/>
  <c r="AR247" i="9"/>
  <c r="AR253" i="9"/>
  <c r="AR258" i="9"/>
  <c r="AR263" i="9"/>
  <c r="AR269" i="9"/>
  <c r="AR9" i="9"/>
  <c r="AR30" i="9"/>
  <c r="AR51" i="9"/>
  <c r="AR73" i="9"/>
  <c r="AR94" i="9"/>
  <c r="AR137" i="9"/>
  <c r="AR158" i="9"/>
  <c r="AR179" i="9"/>
  <c r="AR201" i="9"/>
  <c r="AR222" i="9"/>
  <c r="AR235" i="9"/>
  <c r="AR243" i="9"/>
  <c r="AR250" i="9"/>
  <c r="AR257" i="9"/>
  <c r="AR265" i="9"/>
  <c r="AR14" i="9"/>
  <c r="AR35" i="9"/>
  <c r="AR57" i="9"/>
  <c r="AR78" i="9"/>
  <c r="AR99" i="9"/>
  <c r="AR121" i="9"/>
  <c r="AR142" i="9"/>
  <c r="AR163" i="9"/>
  <c r="AR185" i="9"/>
  <c r="AR206" i="9"/>
  <c r="AR227" i="9"/>
  <c r="AR238" i="9"/>
  <c r="AR245" i="9"/>
  <c r="AR251" i="9"/>
  <c r="AR259" i="9"/>
  <c r="AR266" i="9"/>
  <c r="AR41" i="9"/>
  <c r="AR62" i="9"/>
  <c r="AR83" i="9"/>
  <c r="AR105" i="9"/>
  <c r="AR126" i="9"/>
  <c r="AR147" i="9"/>
  <c r="AR169" i="9"/>
  <c r="AR190" i="9"/>
  <c r="AR211" i="9"/>
  <c r="AR233" i="9"/>
  <c r="AR239" i="9"/>
  <c r="AR246" i="9"/>
  <c r="AR254" i="9"/>
  <c r="AR261" i="9"/>
  <c r="AR267" i="9"/>
  <c r="AR25" i="9"/>
  <c r="AR110" i="9"/>
  <c r="AR195" i="9"/>
  <c r="AR249" i="9"/>
  <c r="AR46" i="9"/>
  <c r="AR131" i="9"/>
  <c r="AR217" i="9"/>
  <c r="AR255" i="9"/>
  <c r="AR241" i="9"/>
  <c r="AR67" i="9"/>
  <c r="AR153" i="9"/>
  <c r="AR234" i="9"/>
  <c r="AR262" i="9"/>
  <c r="AR89" i="9"/>
  <c r="AR174" i="9"/>
  <c r="B704" i="57"/>
  <c r="C699" i="57" s="1"/>
  <c r="AD704" i="57" s="1"/>
  <c r="B704" i="60"/>
  <c r="B704" i="59"/>
  <c r="B781" i="57"/>
  <c r="B737" i="57"/>
  <c r="C732" i="57" s="1"/>
  <c r="AD737" i="57" s="1"/>
  <c r="B737" i="59"/>
  <c r="B737" i="60"/>
  <c r="B693" i="57"/>
  <c r="D688" i="57" s="1"/>
  <c r="B693" i="59"/>
  <c r="B693" i="60"/>
  <c r="C644" i="60"/>
  <c r="B792" i="57"/>
  <c r="B660" i="60"/>
  <c r="B660" i="59"/>
  <c r="B770" i="57"/>
  <c r="B726" i="57"/>
  <c r="D721" i="57" s="1"/>
  <c r="B726" i="60"/>
  <c r="B726" i="59"/>
  <c r="B682" i="57"/>
  <c r="C677" i="57" s="1"/>
  <c r="AD682" i="57" s="1"/>
  <c r="B682" i="60"/>
  <c r="B682" i="59"/>
  <c r="B748" i="57"/>
  <c r="D743" i="57" s="1"/>
  <c r="B748" i="60"/>
  <c r="B748" i="59"/>
  <c r="W807" i="57"/>
  <c r="X807" i="57" s="1"/>
  <c r="W805" i="57"/>
  <c r="X805" i="57" s="1"/>
  <c r="W804" i="57"/>
  <c r="W801" i="57"/>
  <c r="W799" i="57"/>
  <c r="X799" i="57" s="1"/>
  <c r="S807" i="57"/>
  <c r="T807" i="57" s="1"/>
  <c r="S808" i="57"/>
  <c r="T808" i="57" s="1"/>
  <c r="C798" i="57"/>
  <c r="AD803" i="57" s="1"/>
  <c r="W802" i="57"/>
  <c r="X802" i="57" s="1"/>
  <c r="O798" i="57"/>
  <c r="P798" i="57" s="1"/>
  <c r="D798" i="57"/>
  <c r="W803" i="57"/>
  <c r="X803" i="57" s="1"/>
  <c r="K801" i="57"/>
  <c r="L801" i="57" s="1"/>
  <c r="S804" i="57"/>
  <c r="B759" i="57"/>
  <c r="D754" i="57" s="1"/>
  <c r="B759" i="59"/>
  <c r="B715" i="57"/>
  <c r="D710" i="57" s="1"/>
  <c r="B715" i="60"/>
  <c r="B715" i="59"/>
  <c r="B671" i="57"/>
  <c r="D666" i="57" s="1"/>
  <c r="B671" i="60"/>
  <c r="B671" i="59"/>
  <c r="D919" i="57"/>
  <c r="C919" i="57"/>
  <c r="AD924" i="57" s="1"/>
  <c r="AO470" i="26"/>
  <c r="AN470" i="26" s="1"/>
  <c r="AO464" i="26"/>
  <c r="AN464" i="26" s="1"/>
  <c r="AO468" i="26"/>
  <c r="AN468" i="26" s="1"/>
  <c r="AO472" i="26"/>
  <c r="AN472" i="26" s="1"/>
  <c r="AO476" i="26"/>
  <c r="AN476" i="26" s="1"/>
  <c r="AO465" i="26"/>
  <c r="AN465" i="26" s="1"/>
  <c r="AO469" i="26"/>
  <c r="AN469" i="26" s="1"/>
  <c r="AO473" i="26"/>
  <c r="AN473" i="26" s="1"/>
  <c r="AO477" i="26"/>
  <c r="AN477" i="26" s="1"/>
  <c r="AO466" i="26"/>
  <c r="AN466" i="26" s="1"/>
  <c r="AO474" i="26"/>
  <c r="AN474" i="26" s="1"/>
  <c r="AO478" i="26"/>
  <c r="AN478" i="26" s="1"/>
  <c r="AO467" i="26"/>
  <c r="AN467" i="26" s="1"/>
  <c r="AO471" i="26"/>
  <c r="AN471" i="26" s="1"/>
  <c r="AO475" i="26"/>
  <c r="AN475" i="26" s="1"/>
  <c r="AO198" i="26"/>
  <c r="AN198" i="26" s="1"/>
  <c r="AO202" i="26"/>
  <c r="AN202" i="26" s="1"/>
  <c r="AO204" i="26"/>
  <c r="AN204" i="26" s="1"/>
  <c r="AO208" i="26"/>
  <c r="AN208" i="26" s="1"/>
  <c r="AO210" i="26"/>
  <c r="AN210" i="26" s="1"/>
  <c r="AO214" i="26"/>
  <c r="AN214" i="26" s="1"/>
  <c r="AO218" i="26"/>
  <c r="AN218" i="26" s="1"/>
  <c r="AO222" i="26"/>
  <c r="AN222" i="26" s="1"/>
  <c r="AO226" i="26"/>
  <c r="AN226" i="26" s="1"/>
  <c r="AO232" i="26"/>
  <c r="AN232" i="26" s="1"/>
  <c r="AO236" i="26"/>
  <c r="AN236" i="26" s="1"/>
  <c r="AO240" i="26"/>
  <c r="AN240" i="26" s="1"/>
  <c r="AO244" i="26"/>
  <c r="AN244" i="26" s="1"/>
  <c r="AO246" i="26"/>
  <c r="AN246" i="26" s="1"/>
  <c r="AO250" i="26"/>
  <c r="AN250" i="26" s="1"/>
  <c r="AO254" i="26"/>
  <c r="AN254" i="26" s="1"/>
  <c r="AO260" i="26"/>
  <c r="AN260" i="26" s="1"/>
  <c r="AO262" i="26"/>
  <c r="AN262" i="26" s="1"/>
  <c r="AO266" i="26"/>
  <c r="AN266" i="26" s="1"/>
  <c r="AO270" i="26"/>
  <c r="AN270" i="26" s="1"/>
  <c r="AO274" i="26"/>
  <c r="AN274" i="26" s="1"/>
  <c r="AO278" i="26"/>
  <c r="AN278" i="26" s="1"/>
  <c r="AO282" i="26"/>
  <c r="AN282" i="26" s="1"/>
  <c r="AO286" i="26"/>
  <c r="AN286" i="26" s="1"/>
  <c r="AO290" i="26"/>
  <c r="AN290" i="26" s="1"/>
  <c r="AO294" i="26"/>
  <c r="AN294" i="26" s="1"/>
  <c r="AO298" i="26"/>
  <c r="AN298" i="26" s="1"/>
  <c r="AO302" i="26"/>
  <c r="AN302" i="26" s="1"/>
  <c r="AO199" i="26"/>
  <c r="AN199" i="26" s="1"/>
  <c r="AO205" i="26"/>
  <c r="AN205" i="26" s="1"/>
  <c r="AO207" i="26"/>
  <c r="AN207" i="26" s="1"/>
  <c r="AO211" i="26"/>
  <c r="AN211" i="26" s="1"/>
  <c r="AO215" i="26"/>
  <c r="AN215" i="26" s="1"/>
  <c r="AO217" i="26"/>
  <c r="AN217" i="26" s="1"/>
  <c r="AO223" i="26"/>
  <c r="AN223" i="26" s="1"/>
  <c r="AO235" i="26"/>
  <c r="AN235" i="26" s="1"/>
  <c r="AO241" i="26"/>
  <c r="AN241" i="26" s="1"/>
  <c r="AO247" i="26"/>
  <c r="AN247" i="26" s="1"/>
  <c r="AO253" i="26"/>
  <c r="AN253" i="26" s="1"/>
  <c r="AO259" i="26"/>
  <c r="AN259" i="26" s="1"/>
  <c r="AO265" i="26"/>
  <c r="AN265" i="26" s="1"/>
  <c r="AO271" i="26"/>
  <c r="AN271" i="26" s="1"/>
  <c r="AO277" i="26"/>
  <c r="AN277" i="26" s="1"/>
  <c r="AO283" i="26"/>
  <c r="AN283" i="26" s="1"/>
  <c r="AO289" i="26"/>
  <c r="AN289" i="26" s="1"/>
  <c r="AO295" i="26"/>
  <c r="AN295" i="26" s="1"/>
  <c r="AO299" i="26"/>
  <c r="AN299" i="26" s="1"/>
  <c r="AO200" i="26"/>
  <c r="AN200" i="26" s="1"/>
  <c r="AO206" i="26"/>
  <c r="AN206" i="26" s="1"/>
  <c r="AO212" i="26"/>
  <c r="AN212" i="26" s="1"/>
  <c r="AO216" i="26"/>
  <c r="AN216" i="26" s="1"/>
  <c r="AO220" i="26"/>
  <c r="AN220" i="26" s="1"/>
  <c r="AO224" i="26"/>
  <c r="AN224" i="26" s="1"/>
  <c r="AO234" i="26"/>
  <c r="AN234" i="26" s="1"/>
  <c r="AO238" i="26"/>
  <c r="AN238" i="26" s="1"/>
  <c r="AO242" i="26"/>
  <c r="AN242" i="26" s="1"/>
  <c r="AO248" i="26"/>
  <c r="AN248" i="26" s="1"/>
  <c r="AO252" i="26"/>
  <c r="AN252" i="26" s="1"/>
  <c r="AO256" i="26"/>
  <c r="AN256" i="26" s="1"/>
  <c r="AO258" i="26"/>
  <c r="AN258" i="26" s="1"/>
  <c r="AO264" i="26"/>
  <c r="AN264" i="26" s="1"/>
  <c r="AO268" i="26"/>
  <c r="AN268" i="26" s="1"/>
  <c r="AO272" i="26"/>
  <c r="AN272" i="26" s="1"/>
  <c r="AO276" i="26"/>
  <c r="AN276" i="26" s="1"/>
  <c r="AO280" i="26"/>
  <c r="AN280" i="26" s="1"/>
  <c r="AO284" i="26"/>
  <c r="AN284" i="26" s="1"/>
  <c r="AO288" i="26"/>
  <c r="AN288" i="26" s="1"/>
  <c r="AO292" i="26"/>
  <c r="AN292" i="26" s="1"/>
  <c r="AO296" i="26"/>
  <c r="AN296" i="26" s="1"/>
  <c r="AO300" i="26"/>
  <c r="AN300" i="26" s="1"/>
  <c r="AO304" i="26"/>
  <c r="AN304" i="26" s="1"/>
  <c r="AO203" i="26"/>
  <c r="AN203" i="26" s="1"/>
  <c r="AO209" i="26"/>
  <c r="AN209" i="26" s="1"/>
  <c r="AO213" i="26"/>
  <c r="AN213" i="26" s="1"/>
  <c r="AO219" i="26"/>
  <c r="AN219" i="26" s="1"/>
  <c r="AO225" i="26"/>
  <c r="AN225" i="26" s="1"/>
  <c r="AO233" i="26"/>
  <c r="AN233" i="26" s="1"/>
  <c r="AO239" i="26"/>
  <c r="AN239" i="26" s="1"/>
  <c r="AO245" i="26"/>
  <c r="AN245" i="26" s="1"/>
  <c r="AO251" i="26"/>
  <c r="AN251" i="26" s="1"/>
  <c r="AO255" i="26"/>
  <c r="AN255" i="26" s="1"/>
  <c r="AO261" i="26"/>
  <c r="AN261" i="26" s="1"/>
  <c r="AO267" i="26"/>
  <c r="AN267" i="26" s="1"/>
  <c r="AO273" i="26"/>
  <c r="AN273" i="26" s="1"/>
  <c r="AO279" i="26"/>
  <c r="AN279" i="26" s="1"/>
  <c r="AO285" i="26"/>
  <c r="AN285" i="26" s="1"/>
  <c r="AO291" i="26"/>
  <c r="AN291" i="26" s="1"/>
  <c r="AO297" i="26"/>
  <c r="AN297" i="26" s="1"/>
  <c r="AO303" i="26"/>
  <c r="AN303" i="26" s="1"/>
  <c r="AO201" i="26"/>
  <c r="AN201" i="26" s="1"/>
  <c r="AO221" i="26"/>
  <c r="AN221" i="26" s="1"/>
  <c r="AO237" i="26"/>
  <c r="AN237" i="26" s="1"/>
  <c r="AO243" i="26"/>
  <c r="AN243" i="26" s="1"/>
  <c r="AO249" i="26"/>
  <c r="AN249" i="26" s="1"/>
  <c r="AO257" i="26"/>
  <c r="AN257" i="26" s="1"/>
  <c r="AO263" i="26"/>
  <c r="AN263" i="26" s="1"/>
  <c r="AO269" i="26"/>
  <c r="AN269" i="26" s="1"/>
  <c r="AO275" i="26"/>
  <c r="AN275" i="26" s="1"/>
  <c r="AO281" i="26"/>
  <c r="AN281" i="26" s="1"/>
  <c r="AO287" i="26"/>
  <c r="AN287" i="26" s="1"/>
  <c r="AO293" i="26"/>
  <c r="AN293" i="26" s="1"/>
  <c r="AO301" i="26"/>
  <c r="AN301" i="26" s="1"/>
  <c r="B616" i="59"/>
  <c r="G612" i="59" s="1"/>
  <c r="B616" i="60"/>
  <c r="B572" i="59"/>
  <c r="S577" i="59" s="1"/>
  <c r="T577" i="59" s="1"/>
  <c r="B572" i="60"/>
  <c r="B528" i="59"/>
  <c r="W525" i="59" s="1"/>
  <c r="X525" i="59" s="1"/>
  <c r="B528" i="60"/>
  <c r="B627" i="59"/>
  <c r="S632" i="59" s="1"/>
  <c r="T632" i="59" s="1"/>
  <c r="B627" i="60"/>
  <c r="B539" i="59"/>
  <c r="S536" i="59" s="1"/>
  <c r="T536" i="59" s="1"/>
  <c r="B539" i="60"/>
  <c r="W651" i="60"/>
  <c r="S646" i="60"/>
  <c r="O645" i="60"/>
  <c r="P645" i="60" s="1"/>
  <c r="W646" i="60"/>
  <c r="W653" i="60"/>
  <c r="K648" i="60"/>
  <c r="X646" i="60"/>
  <c r="O644" i="60"/>
  <c r="T654" i="60"/>
  <c r="W649" i="60"/>
  <c r="T648" i="60"/>
  <c r="W647" i="60"/>
  <c r="D644" i="60"/>
  <c r="L648" i="60"/>
  <c r="W645" i="60"/>
  <c r="W648" i="60"/>
  <c r="S651" i="60"/>
  <c r="X653" i="60"/>
  <c r="L645" i="60"/>
  <c r="T647" i="60"/>
  <c r="W650" i="60"/>
  <c r="T653" i="60"/>
  <c r="S652" i="60"/>
  <c r="H645" i="60"/>
  <c r="X654" i="60"/>
  <c r="W644" i="60"/>
  <c r="T646" i="60"/>
  <c r="S649" i="60"/>
  <c r="X651" i="60"/>
  <c r="S645" i="60"/>
  <c r="S648" i="60"/>
  <c r="T651" i="60"/>
  <c r="W654" i="60"/>
  <c r="X652" i="60"/>
  <c r="S647" i="60"/>
  <c r="X645" i="60"/>
  <c r="S654" i="60"/>
  <c r="L647" i="60"/>
  <c r="K644" i="60"/>
  <c r="S653" i="60"/>
  <c r="G644" i="60"/>
  <c r="K647" i="60"/>
  <c r="W652" i="60"/>
  <c r="T650" i="60"/>
  <c r="X648" i="60"/>
  <c r="K645" i="60"/>
  <c r="T649" i="60"/>
  <c r="X649" i="60"/>
  <c r="S650" i="60"/>
  <c r="G645" i="60"/>
  <c r="X650" i="60"/>
  <c r="B605" i="59"/>
  <c r="S610" i="59" s="1"/>
  <c r="T610" i="59" s="1"/>
  <c r="B605" i="60"/>
  <c r="X566" i="60"/>
  <c r="O557" i="60"/>
  <c r="P557" i="60" s="1"/>
  <c r="O556" i="60"/>
  <c r="P556" i="60" s="1"/>
  <c r="T562" i="60"/>
  <c r="L556" i="60"/>
  <c r="X558" i="60"/>
  <c r="W562" i="60"/>
  <c r="S558" i="60"/>
  <c r="S560" i="60"/>
  <c r="X557" i="60"/>
  <c r="H557" i="60"/>
  <c r="T560" i="60"/>
  <c r="W563" i="60"/>
  <c r="T563" i="60"/>
  <c r="W558" i="60"/>
  <c r="L559" i="60"/>
  <c r="L560" i="60"/>
  <c r="K556" i="60"/>
  <c r="K557" i="60"/>
  <c r="S565" i="60"/>
  <c r="T565" i="60"/>
  <c r="X562" i="60"/>
  <c r="G557" i="60"/>
  <c r="X560" i="60"/>
  <c r="C556" i="60"/>
  <c r="T561" i="60"/>
  <c r="W561" i="60"/>
  <c r="W557" i="60"/>
  <c r="W560" i="60"/>
  <c r="S563" i="60"/>
  <c r="X565" i="60"/>
  <c r="S562" i="60"/>
  <c r="S566" i="60"/>
  <c r="K560" i="60"/>
  <c r="K559" i="60"/>
  <c r="L557" i="60"/>
  <c r="T558" i="60"/>
  <c r="S561" i="60"/>
  <c r="X563" i="60"/>
  <c r="W566" i="60"/>
  <c r="S559" i="60"/>
  <c r="T566" i="60"/>
  <c r="X561" i="60"/>
  <c r="T564" i="60"/>
  <c r="W565" i="60"/>
  <c r="D556" i="60"/>
  <c r="S564" i="60"/>
  <c r="B517" i="59"/>
  <c r="S522" i="59" s="1"/>
  <c r="T522" i="59" s="1"/>
  <c r="B517" i="60"/>
  <c r="B583" i="59"/>
  <c r="S588" i="59" s="1"/>
  <c r="T588" i="59" s="1"/>
  <c r="B583" i="60"/>
  <c r="B638" i="59"/>
  <c r="S637" i="59" s="1"/>
  <c r="T637" i="59" s="1"/>
  <c r="B638" i="60"/>
  <c r="B594" i="59"/>
  <c r="B594" i="60"/>
  <c r="B550" i="59"/>
  <c r="D545" i="59" s="1"/>
  <c r="B550" i="60"/>
  <c r="B649" i="57"/>
  <c r="B649" i="59"/>
  <c r="B660" i="57"/>
  <c r="B561" i="59"/>
  <c r="S815" i="57" l="1"/>
  <c r="W850" i="59"/>
  <c r="S848" i="59"/>
  <c r="S852" i="59"/>
  <c r="T852" i="59" s="1"/>
  <c r="K846" i="59"/>
  <c r="L846" i="59" s="1"/>
  <c r="S845" i="59"/>
  <c r="S844" i="59"/>
  <c r="T844" i="59" s="1"/>
  <c r="D842" i="59"/>
  <c r="S843" i="59"/>
  <c r="T843" i="59" s="1"/>
  <c r="S842" i="59"/>
  <c r="C842" i="59"/>
  <c r="W852" i="59"/>
  <c r="X852" i="59" s="1"/>
  <c r="S846" i="59"/>
  <c r="T846" i="59" s="1"/>
  <c r="O842" i="59"/>
  <c r="P842" i="59" s="1"/>
  <c r="W849" i="59"/>
  <c r="X849" i="59" s="1"/>
  <c r="W845" i="59"/>
  <c r="W851" i="59"/>
  <c r="X851" i="59" s="1"/>
  <c r="O843" i="59"/>
  <c r="P843" i="59" s="1"/>
  <c r="W847" i="59"/>
  <c r="X847" i="59" s="1"/>
  <c r="W843" i="59"/>
  <c r="X843" i="59" s="1"/>
  <c r="S849" i="59"/>
  <c r="T849" i="59" s="1"/>
  <c r="W844" i="59"/>
  <c r="X844" i="59" s="1"/>
  <c r="S850" i="59"/>
  <c r="S847" i="59"/>
  <c r="T847" i="59" s="1"/>
  <c r="W842" i="59"/>
  <c r="K845" i="59"/>
  <c r="L845" i="59" s="1"/>
  <c r="S851" i="59"/>
  <c r="T851" i="59" s="1"/>
  <c r="W848" i="59"/>
  <c r="K843" i="59"/>
  <c r="W846" i="59"/>
  <c r="X846" i="59" s="1"/>
  <c r="Q905" i="60"/>
  <c r="I897" i="60"/>
  <c r="U903" i="60"/>
  <c r="Q900" i="60"/>
  <c r="U905" i="60"/>
  <c r="E898" i="60"/>
  <c r="I898" i="60"/>
  <c r="U900" i="60"/>
  <c r="Q897" i="60"/>
  <c r="U897" i="60"/>
  <c r="E897" i="60"/>
  <c r="U894" i="60"/>
  <c r="I887" i="60"/>
  <c r="U892" i="60"/>
  <c r="E886" i="60"/>
  <c r="Q889" i="60"/>
  <c r="U889" i="60"/>
  <c r="Q886" i="60"/>
  <c r="E887" i="60"/>
  <c r="I886" i="60"/>
  <c r="U886" i="60"/>
  <c r="Q894" i="60"/>
  <c r="E887" i="57"/>
  <c r="H887" i="57" s="1"/>
  <c r="U889" i="57"/>
  <c r="X889" i="57" s="1"/>
  <c r="Q889" i="57"/>
  <c r="T889" i="57" s="1"/>
  <c r="U892" i="57"/>
  <c r="X892" i="57" s="1"/>
  <c r="I886" i="57"/>
  <c r="L886" i="57" s="1"/>
  <c r="Q894" i="57"/>
  <c r="T894" i="57" s="1"/>
  <c r="Q886" i="57"/>
  <c r="T886" i="57" s="1"/>
  <c r="U886" i="57"/>
  <c r="X886" i="57" s="1"/>
  <c r="U894" i="57"/>
  <c r="X894" i="57" s="1"/>
  <c r="I887" i="57"/>
  <c r="L887" i="57" s="1"/>
  <c r="E886" i="57"/>
  <c r="H886" i="57" s="1"/>
  <c r="W819" i="60"/>
  <c r="W811" i="60"/>
  <c r="C809" i="60"/>
  <c r="S814" i="60"/>
  <c r="K813" i="60"/>
  <c r="T811" i="60"/>
  <c r="O810" i="60"/>
  <c r="P810" i="60" s="1"/>
  <c r="X818" i="60"/>
  <c r="O809" i="60"/>
  <c r="P809" i="60" s="1"/>
  <c r="X815" i="60"/>
  <c r="T819" i="60"/>
  <c r="T814" i="60"/>
  <c r="K812" i="60"/>
  <c r="G810" i="60"/>
  <c r="W814" i="60"/>
  <c r="T818" i="60"/>
  <c r="K809" i="60"/>
  <c r="X811" i="60"/>
  <c r="W815" i="60"/>
  <c r="W810" i="60"/>
  <c r="W813" i="60"/>
  <c r="S817" i="60"/>
  <c r="W818" i="60"/>
  <c r="X813" i="60"/>
  <c r="X810" i="60"/>
  <c r="X809" i="60"/>
  <c r="T815" i="60"/>
  <c r="S819" i="60"/>
  <c r="K810" i="60"/>
  <c r="S812" i="60"/>
  <c r="S816" i="60"/>
  <c r="H809" i="60"/>
  <c r="L812" i="60"/>
  <c r="S815" i="60"/>
  <c r="T816" i="60"/>
  <c r="T817" i="60"/>
  <c r="S813" i="60"/>
  <c r="S810" i="60"/>
  <c r="L809" i="60"/>
  <c r="X816" i="60"/>
  <c r="T810" i="60"/>
  <c r="T813" i="60"/>
  <c r="X817" i="60"/>
  <c r="W809" i="60"/>
  <c r="W812" i="60"/>
  <c r="S818" i="60"/>
  <c r="X812" i="60"/>
  <c r="L810" i="60"/>
  <c r="X814" i="60"/>
  <c r="L813" i="60"/>
  <c r="G809" i="60"/>
  <c r="X819" i="60"/>
  <c r="W816" i="60"/>
  <c r="W817" i="60"/>
  <c r="D809" i="60"/>
  <c r="T812" i="60"/>
  <c r="S811" i="60"/>
  <c r="H810" i="60"/>
  <c r="S809" i="60"/>
  <c r="W830" i="60"/>
  <c r="S830" i="60"/>
  <c r="T827" i="60"/>
  <c r="X829" i="60"/>
  <c r="T824" i="60"/>
  <c r="L823" i="60"/>
  <c r="W821" i="60"/>
  <c r="L820" i="60"/>
  <c r="C820" i="60"/>
  <c r="X830" i="60"/>
  <c r="W828" i="60"/>
  <c r="T825" i="60"/>
  <c r="X824" i="60"/>
  <c r="S824" i="60"/>
  <c r="X823" i="60"/>
  <c r="T822" i="60"/>
  <c r="O821" i="60"/>
  <c r="P821" i="60" s="1"/>
  <c r="K820" i="60"/>
  <c r="T828" i="60"/>
  <c r="T826" i="60"/>
  <c r="S825" i="60"/>
  <c r="W824" i="60"/>
  <c r="T823" i="60"/>
  <c r="X822" i="60"/>
  <c r="S822" i="60"/>
  <c r="T821" i="60"/>
  <c r="K821" i="60"/>
  <c r="H820" i="60"/>
  <c r="W820" i="60"/>
  <c r="S823" i="60"/>
  <c r="D820" i="60"/>
  <c r="T830" i="60"/>
  <c r="K824" i="60"/>
  <c r="W822" i="60"/>
  <c r="T829" i="60"/>
  <c r="S826" i="60"/>
  <c r="O820" i="60"/>
  <c r="P820" i="60" s="1"/>
  <c r="X821" i="60"/>
  <c r="W825" i="60"/>
  <c r="W829" i="60"/>
  <c r="S827" i="60"/>
  <c r="X820" i="60"/>
  <c r="K823" i="60"/>
  <c r="X826" i="60"/>
  <c r="X825" i="60"/>
  <c r="X827" i="60"/>
  <c r="L821" i="60"/>
  <c r="W823" i="60"/>
  <c r="W827" i="60"/>
  <c r="S828" i="60"/>
  <c r="S829" i="60"/>
  <c r="G820" i="60"/>
  <c r="S821" i="60"/>
  <c r="L824" i="60"/>
  <c r="W826" i="60"/>
  <c r="X828" i="60"/>
  <c r="S820" i="60"/>
  <c r="G821" i="60"/>
  <c r="W797" i="60"/>
  <c r="S795" i="60"/>
  <c r="X792" i="60"/>
  <c r="S792" i="60"/>
  <c r="W791" i="60"/>
  <c r="X790" i="60"/>
  <c r="L790" i="60"/>
  <c r="W789" i="60"/>
  <c r="T788" i="60"/>
  <c r="L788" i="60"/>
  <c r="X787" i="60"/>
  <c r="K787" i="60"/>
  <c r="C787" i="60"/>
  <c r="W796" i="60"/>
  <c r="X795" i="60"/>
  <c r="W794" i="60"/>
  <c r="X793" i="60"/>
  <c r="W792" i="60"/>
  <c r="L791" i="60"/>
  <c r="W790" i="60"/>
  <c r="K790" i="60"/>
  <c r="X788" i="60"/>
  <c r="S788" i="60"/>
  <c r="K788" i="60"/>
  <c r="W787" i="60"/>
  <c r="H787" i="60"/>
  <c r="T797" i="60"/>
  <c r="W795" i="60"/>
  <c r="T793" i="60"/>
  <c r="X796" i="60"/>
  <c r="T791" i="60"/>
  <c r="K791" i="60"/>
  <c r="T790" i="60"/>
  <c r="T789" i="60"/>
  <c r="W788" i="60"/>
  <c r="H788" i="60"/>
  <c r="O787" i="60"/>
  <c r="P787" i="60" s="1"/>
  <c r="G787" i="60"/>
  <c r="T795" i="60"/>
  <c r="S793" i="60"/>
  <c r="X791" i="60"/>
  <c r="D787" i="60"/>
  <c r="X797" i="60"/>
  <c r="S790" i="60"/>
  <c r="S789" i="60"/>
  <c r="O788" i="60"/>
  <c r="P788" i="60" s="1"/>
  <c r="T796" i="60"/>
  <c r="T794" i="60"/>
  <c r="T792" i="60"/>
  <c r="S791" i="60"/>
  <c r="G788" i="60"/>
  <c r="L787" i="60"/>
  <c r="S797" i="60"/>
  <c r="X789" i="60"/>
  <c r="X794" i="60"/>
  <c r="S796" i="60"/>
  <c r="W793" i="60"/>
  <c r="S794" i="60"/>
  <c r="S787" i="60"/>
  <c r="S883" i="57"/>
  <c r="S881" i="57"/>
  <c r="W885" i="57"/>
  <c r="X885" i="57" s="1"/>
  <c r="K879" i="57"/>
  <c r="L879" i="57" s="1"/>
  <c r="O876" i="57"/>
  <c r="P876" i="57" s="1"/>
  <c r="O875" i="57"/>
  <c r="P875" i="57" s="1"/>
  <c r="W884" i="57"/>
  <c r="X884" i="57" s="1"/>
  <c r="W882" i="57"/>
  <c r="X882" i="57" s="1"/>
  <c r="W877" i="57"/>
  <c r="X877" i="57" s="1"/>
  <c r="G876" i="57"/>
  <c r="K875" i="57"/>
  <c r="S880" i="57"/>
  <c r="T880" i="57" s="1"/>
  <c r="S875" i="57"/>
  <c r="W878" i="57"/>
  <c r="S877" i="57"/>
  <c r="T877" i="57" s="1"/>
  <c r="C875" i="57"/>
  <c r="AD880" i="57" s="1"/>
  <c r="S885" i="57"/>
  <c r="T885" i="57" s="1"/>
  <c r="S876" i="57"/>
  <c r="T876" i="57" s="1"/>
  <c r="S879" i="57"/>
  <c r="T879" i="57" s="1"/>
  <c r="K878" i="57"/>
  <c r="L878" i="57" s="1"/>
  <c r="W875" i="57"/>
  <c r="W876" i="57"/>
  <c r="X876" i="57" s="1"/>
  <c r="W881" i="57"/>
  <c r="S878" i="57"/>
  <c r="W883" i="57"/>
  <c r="S882" i="57"/>
  <c r="T882" i="57" s="1"/>
  <c r="W879" i="57"/>
  <c r="X879" i="57" s="1"/>
  <c r="S884" i="57"/>
  <c r="T884" i="57" s="1"/>
  <c r="D875" i="57"/>
  <c r="W880" i="57"/>
  <c r="X880" i="57" s="1"/>
  <c r="S785" i="59"/>
  <c r="T785" i="59" s="1"/>
  <c r="S784" i="59"/>
  <c r="W779" i="59"/>
  <c r="W778" i="59"/>
  <c r="X778" i="59" s="1"/>
  <c r="O777" i="59"/>
  <c r="P777" i="59" s="1"/>
  <c r="K776" i="59"/>
  <c r="K780" i="59"/>
  <c r="L780" i="59" s="1"/>
  <c r="K779" i="59"/>
  <c r="L779" i="59" s="1"/>
  <c r="W777" i="59"/>
  <c r="X777" i="59" s="1"/>
  <c r="K777" i="59"/>
  <c r="W780" i="59"/>
  <c r="X780" i="59" s="1"/>
  <c r="W776" i="59"/>
  <c r="C776" i="59"/>
  <c r="O776" i="59"/>
  <c r="P776" i="59" s="1"/>
  <c r="W782" i="59"/>
  <c r="S786" i="59"/>
  <c r="T786" i="59" s="1"/>
  <c r="W784" i="59"/>
  <c r="D776" i="59"/>
  <c r="S777" i="59"/>
  <c r="T777" i="59" s="1"/>
  <c r="S783" i="59"/>
  <c r="T783" i="59" s="1"/>
  <c r="W783" i="59"/>
  <c r="X783" i="59" s="1"/>
  <c r="W781" i="59"/>
  <c r="X781" i="59" s="1"/>
  <c r="G777" i="59"/>
  <c r="W786" i="59"/>
  <c r="X786" i="59" s="1"/>
  <c r="S782" i="59"/>
  <c r="S780" i="59"/>
  <c r="T780" i="59" s="1"/>
  <c r="W785" i="59"/>
  <c r="X785" i="59" s="1"/>
  <c r="S779" i="59"/>
  <c r="S778" i="59"/>
  <c r="T778" i="59" s="1"/>
  <c r="S781" i="59"/>
  <c r="T781" i="59" s="1"/>
  <c r="Y754" i="60"/>
  <c r="AC760" i="60" s="1"/>
  <c r="W852" i="60"/>
  <c r="T852" i="60"/>
  <c r="W847" i="60"/>
  <c r="X852" i="60"/>
  <c r="K845" i="60"/>
  <c r="S842" i="60"/>
  <c r="K846" i="60"/>
  <c r="X843" i="60"/>
  <c r="L843" i="60"/>
  <c r="H842" i="60"/>
  <c r="T847" i="60"/>
  <c r="T846" i="60"/>
  <c r="X844" i="60"/>
  <c r="G843" i="60"/>
  <c r="G842" i="60"/>
  <c r="T851" i="60"/>
  <c r="S848" i="60"/>
  <c r="S846" i="60"/>
  <c r="S843" i="60"/>
  <c r="T845" i="60"/>
  <c r="X848" i="60"/>
  <c r="W850" i="60"/>
  <c r="T843" i="60"/>
  <c r="T850" i="60"/>
  <c r="S849" i="60"/>
  <c r="X851" i="60"/>
  <c r="W842" i="60"/>
  <c r="S845" i="60"/>
  <c r="X847" i="60"/>
  <c r="S852" i="60"/>
  <c r="W849" i="60"/>
  <c r="W844" i="60"/>
  <c r="W851" i="60"/>
  <c r="D842" i="60"/>
  <c r="S844" i="60"/>
  <c r="X849" i="60"/>
  <c r="K843" i="60"/>
  <c r="X845" i="60"/>
  <c r="T848" i="60"/>
  <c r="C842" i="60"/>
  <c r="L845" i="60"/>
  <c r="T849" i="60"/>
  <c r="X842" i="60"/>
  <c r="W845" i="60"/>
  <c r="W843" i="60"/>
  <c r="W846" i="60"/>
  <c r="S850" i="60"/>
  <c r="X846" i="60"/>
  <c r="S847" i="60"/>
  <c r="X850" i="60"/>
  <c r="O842" i="60"/>
  <c r="P842" i="60" s="1"/>
  <c r="W848" i="60"/>
  <c r="L846" i="60"/>
  <c r="O843" i="60"/>
  <c r="P843" i="60" s="1"/>
  <c r="S851" i="60"/>
  <c r="T844" i="60"/>
  <c r="K842" i="60"/>
  <c r="S773" i="59"/>
  <c r="W770" i="59"/>
  <c r="X770" i="59" s="1"/>
  <c r="S769" i="59"/>
  <c r="T769" i="59" s="1"/>
  <c r="S767" i="59"/>
  <c r="T767" i="59" s="1"/>
  <c r="W766" i="59"/>
  <c r="X766" i="59" s="1"/>
  <c r="O766" i="59"/>
  <c r="P766" i="59" s="1"/>
  <c r="D765" i="59"/>
  <c r="S775" i="59"/>
  <c r="T775" i="59" s="1"/>
  <c r="W774" i="59"/>
  <c r="X774" i="59" s="1"/>
  <c r="S772" i="59"/>
  <c r="T772" i="59" s="1"/>
  <c r="S771" i="59"/>
  <c r="W771" i="59"/>
  <c r="W768" i="59"/>
  <c r="K766" i="59"/>
  <c r="O765" i="59"/>
  <c r="P765" i="59" s="1"/>
  <c r="C765" i="59"/>
  <c r="W769" i="59"/>
  <c r="X769" i="59" s="1"/>
  <c r="K769" i="59"/>
  <c r="L769" i="59" s="1"/>
  <c r="S768" i="59"/>
  <c r="W767" i="59"/>
  <c r="X767" i="59" s="1"/>
  <c r="S766" i="59"/>
  <c r="T766" i="59" s="1"/>
  <c r="G766" i="59"/>
  <c r="K765" i="59"/>
  <c r="W775" i="59"/>
  <c r="X775" i="59" s="1"/>
  <c r="K768" i="59"/>
  <c r="L768" i="59" s="1"/>
  <c r="W773" i="59"/>
  <c r="W772" i="59"/>
  <c r="X772" i="59" s="1"/>
  <c r="W765" i="59"/>
  <c r="S774" i="59"/>
  <c r="T774" i="59" s="1"/>
  <c r="S770" i="59"/>
  <c r="T770" i="59" s="1"/>
  <c r="K857" i="59"/>
  <c r="L857" i="59" s="1"/>
  <c r="C853" i="59"/>
  <c r="W856" i="59"/>
  <c r="O854" i="59"/>
  <c r="P854" i="59" s="1"/>
  <c r="W853" i="59"/>
  <c r="K856" i="59"/>
  <c r="L856" i="59" s="1"/>
  <c r="S862" i="59"/>
  <c r="T862" i="59" s="1"/>
  <c r="W860" i="59"/>
  <c r="X860" i="59" s="1"/>
  <c r="S854" i="59"/>
  <c r="T854" i="59" s="1"/>
  <c r="S858" i="59"/>
  <c r="T858" i="59" s="1"/>
  <c r="K854" i="59"/>
  <c r="W857" i="59"/>
  <c r="X857" i="59" s="1"/>
  <c r="S863" i="59"/>
  <c r="T863" i="59" s="1"/>
  <c r="D853" i="59"/>
  <c r="W861" i="59"/>
  <c r="S855" i="59"/>
  <c r="T855" i="59" s="1"/>
  <c r="O853" i="59"/>
  <c r="P853" i="59" s="1"/>
  <c r="W859" i="59"/>
  <c r="W854" i="59"/>
  <c r="X854" i="59" s="1"/>
  <c r="S860" i="59"/>
  <c r="T860" i="59" s="1"/>
  <c r="S856" i="59"/>
  <c r="W862" i="59"/>
  <c r="X862" i="59" s="1"/>
  <c r="S853" i="59"/>
  <c r="S857" i="59"/>
  <c r="T857" i="59" s="1"/>
  <c r="W858" i="59"/>
  <c r="X858" i="59" s="1"/>
  <c r="W855" i="59"/>
  <c r="X855" i="59" s="1"/>
  <c r="S861" i="59"/>
  <c r="S859" i="59"/>
  <c r="W863" i="59"/>
  <c r="X863" i="59" s="1"/>
  <c r="G854" i="59"/>
  <c r="W830" i="59"/>
  <c r="X830" i="59" s="1"/>
  <c r="S829" i="59"/>
  <c r="T829" i="59" s="1"/>
  <c r="W827" i="59"/>
  <c r="X827" i="59" s="1"/>
  <c r="K823" i="59"/>
  <c r="L823" i="59" s="1"/>
  <c r="W820" i="59"/>
  <c r="S828" i="59"/>
  <c r="W825" i="59"/>
  <c r="X825" i="59" s="1"/>
  <c r="S824" i="59"/>
  <c r="T824" i="59" s="1"/>
  <c r="S822" i="59"/>
  <c r="T822" i="59" s="1"/>
  <c r="W821" i="59"/>
  <c r="X821" i="59" s="1"/>
  <c r="O821" i="59"/>
  <c r="P821" i="59" s="1"/>
  <c r="G820" i="59"/>
  <c r="S830" i="59"/>
  <c r="T830" i="59" s="1"/>
  <c r="W829" i="59"/>
  <c r="X829" i="59" s="1"/>
  <c r="S827" i="59"/>
  <c r="T827" i="59" s="1"/>
  <c r="S826" i="59"/>
  <c r="W826" i="59"/>
  <c r="W823" i="59"/>
  <c r="K821" i="59"/>
  <c r="O820" i="59"/>
  <c r="P820" i="59" s="1"/>
  <c r="D820" i="59"/>
  <c r="K824" i="59"/>
  <c r="L824" i="59" s="1"/>
  <c r="S821" i="59"/>
  <c r="T821" i="59" s="1"/>
  <c r="C820" i="59"/>
  <c r="W824" i="59"/>
  <c r="X824" i="59" s="1"/>
  <c r="S823" i="59"/>
  <c r="W822" i="59"/>
  <c r="X822" i="59" s="1"/>
  <c r="K820" i="59"/>
  <c r="S825" i="59"/>
  <c r="T825" i="59" s="1"/>
  <c r="S840" i="59"/>
  <c r="T840" i="59" s="1"/>
  <c r="S839" i="59"/>
  <c r="W834" i="59"/>
  <c r="W833" i="59"/>
  <c r="X833" i="59" s="1"/>
  <c r="O832" i="59"/>
  <c r="P832" i="59" s="1"/>
  <c r="K835" i="59"/>
  <c r="L835" i="59" s="1"/>
  <c r="K834" i="59"/>
  <c r="L834" i="59" s="1"/>
  <c r="W832" i="59"/>
  <c r="X832" i="59" s="1"/>
  <c r="K832" i="59"/>
  <c r="W835" i="59"/>
  <c r="X835" i="59" s="1"/>
  <c r="W831" i="59"/>
  <c r="S841" i="59"/>
  <c r="T841" i="59" s="1"/>
  <c r="O831" i="59"/>
  <c r="P831" i="59" s="1"/>
  <c r="W837" i="59"/>
  <c r="K831" i="59"/>
  <c r="C831" i="59"/>
  <c r="W840" i="59"/>
  <c r="X840" i="59" s="1"/>
  <c r="S834" i="59"/>
  <c r="S833" i="59"/>
  <c r="T833" i="59" s="1"/>
  <c r="W839" i="59"/>
  <c r="D831" i="59"/>
  <c r="S832" i="59"/>
  <c r="T832" i="59" s="1"/>
  <c r="S836" i="59"/>
  <c r="T836" i="59" s="1"/>
  <c r="W838" i="59"/>
  <c r="X838" i="59" s="1"/>
  <c r="W836" i="59"/>
  <c r="X836" i="59" s="1"/>
  <c r="S838" i="59"/>
  <c r="T838" i="59" s="1"/>
  <c r="W841" i="59"/>
  <c r="X841" i="59" s="1"/>
  <c r="S837" i="59"/>
  <c r="S835" i="59"/>
  <c r="T835" i="59" s="1"/>
  <c r="W880" i="59"/>
  <c r="X880" i="59" s="1"/>
  <c r="W885" i="59"/>
  <c r="X885" i="59" s="1"/>
  <c r="S877" i="59"/>
  <c r="T877" i="59" s="1"/>
  <c r="S875" i="59"/>
  <c r="S878" i="59"/>
  <c r="W875" i="59"/>
  <c r="S885" i="59"/>
  <c r="T885" i="59" s="1"/>
  <c r="W882" i="59"/>
  <c r="X882" i="59" s="1"/>
  <c r="S883" i="59"/>
  <c r="S879" i="59"/>
  <c r="T879" i="59" s="1"/>
  <c r="K876" i="59"/>
  <c r="K879" i="59"/>
  <c r="L879" i="59" s="1"/>
  <c r="O876" i="59"/>
  <c r="P876" i="59" s="1"/>
  <c r="S881" i="59"/>
  <c r="G876" i="59"/>
  <c r="W883" i="59"/>
  <c r="C875" i="59"/>
  <c r="S876" i="59"/>
  <c r="T876" i="59" s="1"/>
  <c r="W879" i="59"/>
  <c r="X879" i="59" s="1"/>
  <c r="D875" i="59"/>
  <c r="W878" i="59"/>
  <c r="S882" i="59"/>
  <c r="T882" i="59" s="1"/>
  <c r="K878" i="59"/>
  <c r="L878" i="59" s="1"/>
  <c r="S884" i="59"/>
  <c r="T884" i="59" s="1"/>
  <c r="W876" i="59"/>
  <c r="X876" i="59" s="1"/>
  <c r="K875" i="59"/>
  <c r="W877" i="59"/>
  <c r="X877" i="59" s="1"/>
  <c r="O875" i="59"/>
  <c r="P875" i="59" s="1"/>
  <c r="W881" i="59"/>
  <c r="W884" i="59"/>
  <c r="X884" i="59" s="1"/>
  <c r="S880" i="59"/>
  <c r="T880" i="59" s="1"/>
  <c r="W874" i="57"/>
  <c r="X874" i="57" s="1"/>
  <c r="W873" i="57"/>
  <c r="X873" i="57" s="1"/>
  <c r="S872" i="57"/>
  <c r="W870" i="57"/>
  <c r="S869" i="57"/>
  <c r="T869" i="57" s="1"/>
  <c r="W871" i="57"/>
  <c r="X871" i="57" s="1"/>
  <c r="S870" i="57"/>
  <c r="S868" i="57"/>
  <c r="T868" i="57" s="1"/>
  <c r="W867" i="57"/>
  <c r="W866" i="57"/>
  <c r="X866" i="57" s="1"/>
  <c r="W865" i="57"/>
  <c r="X865" i="57" s="1"/>
  <c r="O865" i="57"/>
  <c r="P865" i="57" s="1"/>
  <c r="D864" i="57"/>
  <c r="S874" i="57"/>
  <c r="T874" i="57" s="1"/>
  <c r="W872" i="57"/>
  <c r="S867" i="57"/>
  <c r="S866" i="57"/>
  <c r="T866" i="57" s="1"/>
  <c r="K864" i="57"/>
  <c r="C864" i="57"/>
  <c r="AD869" i="57" s="1"/>
  <c r="S873" i="57"/>
  <c r="T873" i="57" s="1"/>
  <c r="K868" i="57"/>
  <c r="L868" i="57" s="1"/>
  <c r="W864" i="57"/>
  <c r="K867" i="57"/>
  <c r="L867" i="57" s="1"/>
  <c r="G865" i="57"/>
  <c r="W869" i="57"/>
  <c r="X869" i="57" s="1"/>
  <c r="W868" i="57"/>
  <c r="X868" i="57" s="1"/>
  <c r="S865" i="57"/>
  <c r="T865" i="57" s="1"/>
  <c r="O864" i="57"/>
  <c r="P864" i="57" s="1"/>
  <c r="S871" i="57"/>
  <c r="T871" i="57" s="1"/>
  <c r="O798" i="59"/>
  <c r="P798" i="59" s="1"/>
  <c r="W807" i="59"/>
  <c r="X807" i="59" s="1"/>
  <c r="W805" i="59"/>
  <c r="X805" i="59" s="1"/>
  <c r="S802" i="59"/>
  <c r="T802" i="59" s="1"/>
  <c r="K801" i="59"/>
  <c r="L801" i="59" s="1"/>
  <c r="C798" i="59"/>
  <c r="W798" i="59"/>
  <c r="W800" i="59"/>
  <c r="X800" i="59" s="1"/>
  <c r="W799" i="59"/>
  <c r="X799" i="59" s="1"/>
  <c r="K799" i="59"/>
  <c r="K798" i="59"/>
  <c r="S808" i="59"/>
  <c r="T808" i="59" s="1"/>
  <c r="W802" i="59"/>
  <c r="X802" i="59" s="1"/>
  <c r="S800" i="59"/>
  <c r="T800" i="59" s="1"/>
  <c r="D798" i="59"/>
  <c r="O799" i="59"/>
  <c r="P799" i="59" s="1"/>
  <c r="S807" i="59"/>
  <c r="T807" i="59" s="1"/>
  <c r="S804" i="59"/>
  <c r="S799" i="59"/>
  <c r="T799" i="59" s="1"/>
  <c r="W804" i="59"/>
  <c r="S803" i="59"/>
  <c r="T803" i="59" s="1"/>
  <c r="W808" i="59"/>
  <c r="X808" i="59" s="1"/>
  <c r="S806" i="59"/>
  <c r="K802" i="59"/>
  <c r="L802" i="59" s="1"/>
  <c r="G799" i="59"/>
  <c r="W803" i="59"/>
  <c r="X803" i="59" s="1"/>
  <c r="S805" i="59"/>
  <c r="T805" i="59" s="1"/>
  <c r="W801" i="59"/>
  <c r="S801" i="59"/>
  <c r="E909" i="59"/>
  <c r="H909" i="59" s="1"/>
  <c r="Q911" i="59"/>
  <c r="T911" i="59" s="1"/>
  <c r="U914" i="59"/>
  <c r="X914" i="59" s="1"/>
  <c r="U916" i="59"/>
  <c r="X916" i="59" s="1"/>
  <c r="I908" i="59"/>
  <c r="L908" i="59" s="1"/>
  <c r="Q908" i="59"/>
  <c r="T908" i="59" s="1"/>
  <c r="U908" i="59"/>
  <c r="X908" i="59" s="1"/>
  <c r="U911" i="59"/>
  <c r="X911" i="59" s="1"/>
  <c r="I909" i="59"/>
  <c r="L909" i="59" s="1"/>
  <c r="Q916" i="59"/>
  <c r="T916" i="59" s="1"/>
  <c r="E908" i="59"/>
  <c r="H908" i="59" s="1"/>
  <c r="T774" i="60"/>
  <c r="W772" i="60"/>
  <c r="X771" i="60"/>
  <c r="T770" i="60"/>
  <c r="T769" i="60"/>
  <c r="K769" i="60"/>
  <c r="L768" i="60"/>
  <c r="W767" i="60"/>
  <c r="X766" i="60"/>
  <c r="G766" i="60"/>
  <c r="O765" i="60"/>
  <c r="P765" i="60" s="1"/>
  <c r="G765" i="60"/>
  <c r="X774" i="60"/>
  <c r="S774" i="60"/>
  <c r="W771" i="60"/>
  <c r="S769" i="60"/>
  <c r="K768" i="60"/>
  <c r="O766" i="60"/>
  <c r="P766" i="60" s="1"/>
  <c r="X765" i="60"/>
  <c r="L765" i="60"/>
  <c r="D765" i="60"/>
  <c r="W775" i="60"/>
  <c r="W774" i="60"/>
  <c r="T772" i="60"/>
  <c r="S771" i="60"/>
  <c r="X769" i="60"/>
  <c r="W768" i="60"/>
  <c r="S767" i="60"/>
  <c r="T766" i="60"/>
  <c r="L766" i="60"/>
  <c r="T765" i="60"/>
  <c r="C765" i="60"/>
  <c r="T773" i="60"/>
  <c r="T768" i="60"/>
  <c r="H766" i="60"/>
  <c r="S765" i="60"/>
  <c r="L769" i="60"/>
  <c r="X767" i="60"/>
  <c r="S766" i="60"/>
  <c r="S773" i="60"/>
  <c r="W769" i="60"/>
  <c r="W766" i="60"/>
  <c r="W770" i="60"/>
  <c r="W773" i="60"/>
  <c r="X775" i="60"/>
  <c r="T771" i="60"/>
  <c r="X768" i="60"/>
  <c r="K766" i="60"/>
  <c r="T775" i="60"/>
  <c r="S775" i="60"/>
  <c r="X770" i="60"/>
  <c r="S768" i="60"/>
  <c r="W765" i="60"/>
  <c r="S772" i="60"/>
  <c r="T767" i="60"/>
  <c r="K765" i="60"/>
  <c r="X773" i="60"/>
  <c r="X772" i="60"/>
  <c r="S770" i="60"/>
  <c r="X841" i="60"/>
  <c r="X839" i="60"/>
  <c r="S836" i="60"/>
  <c r="W835" i="60"/>
  <c r="L834" i="60"/>
  <c r="T833" i="60"/>
  <c r="T832" i="60"/>
  <c r="S831" i="60"/>
  <c r="G831" i="60"/>
  <c r="W840" i="60"/>
  <c r="T839" i="60"/>
  <c r="T837" i="60"/>
  <c r="K834" i="60"/>
  <c r="G832" i="60"/>
  <c r="O831" i="60"/>
  <c r="P831" i="60" s="1"/>
  <c r="T841" i="60"/>
  <c r="S839" i="60"/>
  <c r="W841" i="60"/>
  <c r="T835" i="60"/>
  <c r="X834" i="60"/>
  <c r="W832" i="60"/>
  <c r="O832" i="60"/>
  <c r="P832" i="60" s="1"/>
  <c r="X831" i="60"/>
  <c r="K831" i="60"/>
  <c r="X835" i="60"/>
  <c r="T834" i="60"/>
  <c r="H831" i="60"/>
  <c r="L832" i="60"/>
  <c r="T836" i="60"/>
  <c r="S835" i="60"/>
  <c r="K832" i="60"/>
  <c r="S834" i="60"/>
  <c r="S841" i="60"/>
  <c r="S840" i="60"/>
  <c r="S833" i="60"/>
  <c r="W836" i="60"/>
  <c r="W839" i="60"/>
  <c r="C831" i="60"/>
  <c r="S832" i="60"/>
  <c r="K835" i="60"/>
  <c r="W837" i="60"/>
  <c r="X840" i="60"/>
  <c r="X833" i="60"/>
  <c r="S837" i="60"/>
  <c r="T840" i="60"/>
  <c r="L831" i="60"/>
  <c r="X832" i="60"/>
  <c r="X836" i="60"/>
  <c r="S838" i="60"/>
  <c r="W834" i="60"/>
  <c r="X837" i="60"/>
  <c r="X838" i="60"/>
  <c r="L835" i="60"/>
  <c r="W831" i="60"/>
  <c r="T838" i="60"/>
  <c r="W833" i="60"/>
  <c r="W838" i="60"/>
  <c r="D831" i="60"/>
  <c r="Q757" i="60"/>
  <c r="U762" i="60"/>
  <c r="Q762" i="60"/>
  <c r="I755" i="60"/>
  <c r="U757" i="60"/>
  <c r="Q754" i="60"/>
  <c r="U754" i="60"/>
  <c r="U760" i="60"/>
  <c r="E755" i="60"/>
  <c r="I754" i="60"/>
  <c r="E754" i="60"/>
  <c r="W804" i="60"/>
  <c r="W807" i="60"/>
  <c r="T802" i="60"/>
  <c r="W801" i="60"/>
  <c r="T799" i="60"/>
  <c r="H799" i="60"/>
  <c r="W808" i="60"/>
  <c r="T805" i="60"/>
  <c r="T803" i="60"/>
  <c r="L801" i="60"/>
  <c r="S800" i="60"/>
  <c r="S799" i="60"/>
  <c r="X798" i="60"/>
  <c r="D798" i="60"/>
  <c r="K802" i="60"/>
  <c r="O798" i="60"/>
  <c r="P798" i="60" s="1"/>
  <c r="C798" i="60"/>
  <c r="T806" i="60"/>
  <c r="L798" i="60"/>
  <c r="X804" i="60"/>
  <c r="L799" i="60"/>
  <c r="X800" i="60"/>
  <c r="L802" i="60"/>
  <c r="X807" i="60"/>
  <c r="O799" i="60"/>
  <c r="P799" i="60" s="1"/>
  <c r="X806" i="60"/>
  <c r="S803" i="60"/>
  <c r="T800" i="60"/>
  <c r="K798" i="60"/>
  <c r="X805" i="60"/>
  <c r="X799" i="60"/>
  <c r="X802" i="60"/>
  <c r="W805" i="60"/>
  <c r="H798" i="60"/>
  <c r="K801" i="60"/>
  <c r="S806" i="60"/>
  <c r="W802" i="60"/>
  <c r="W799" i="60"/>
  <c r="W803" i="60"/>
  <c r="W806" i="60"/>
  <c r="W800" i="60"/>
  <c r="S804" i="60"/>
  <c r="T807" i="60"/>
  <c r="S798" i="60"/>
  <c r="S802" i="60"/>
  <c r="X808" i="60"/>
  <c r="T804" i="60"/>
  <c r="X801" i="60"/>
  <c r="K799" i="60"/>
  <c r="T808" i="60"/>
  <c r="W798" i="60"/>
  <c r="G798" i="60"/>
  <c r="G799" i="60"/>
  <c r="S808" i="60"/>
  <c r="S805" i="60"/>
  <c r="T801" i="60"/>
  <c r="X803" i="60"/>
  <c r="S807" i="60"/>
  <c r="S801" i="60"/>
  <c r="E909" i="60"/>
  <c r="U908" i="60"/>
  <c r="Q911" i="60"/>
  <c r="I909" i="60"/>
  <c r="U914" i="60"/>
  <c r="U916" i="60"/>
  <c r="Q908" i="60"/>
  <c r="Q916" i="60"/>
  <c r="I908" i="60"/>
  <c r="E908" i="60"/>
  <c r="U911" i="60"/>
  <c r="U897" i="59"/>
  <c r="X897" i="59" s="1"/>
  <c r="Q900" i="59"/>
  <c r="T900" i="59" s="1"/>
  <c r="Q897" i="59"/>
  <c r="T897" i="59" s="1"/>
  <c r="I897" i="59"/>
  <c r="L897" i="59" s="1"/>
  <c r="U903" i="59"/>
  <c r="X903" i="59" s="1"/>
  <c r="Q905" i="59"/>
  <c r="T905" i="59" s="1"/>
  <c r="U905" i="59"/>
  <c r="X905" i="59" s="1"/>
  <c r="E898" i="59"/>
  <c r="H898" i="59" s="1"/>
  <c r="I898" i="59"/>
  <c r="L898" i="59" s="1"/>
  <c r="E897" i="59"/>
  <c r="H897" i="59" s="1"/>
  <c r="U900" i="59"/>
  <c r="X900" i="59" s="1"/>
  <c r="W819" i="59"/>
  <c r="X819" i="59" s="1"/>
  <c r="W813" i="59"/>
  <c r="X813" i="59" s="1"/>
  <c r="W811" i="59"/>
  <c r="X811" i="59" s="1"/>
  <c r="S812" i="59"/>
  <c r="W810" i="59"/>
  <c r="X810" i="59" s="1"/>
  <c r="O810" i="59"/>
  <c r="P810" i="59" s="1"/>
  <c r="O809" i="59"/>
  <c r="P809" i="59" s="1"/>
  <c r="S819" i="59"/>
  <c r="T819" i="59" s="1"/>
  <c r="K810" i="59"/>
  <c r="K809" i="59"/>
  <c r="S817" i="59"/>
  <c r="W809" i="59"/>
  <c r="D809" i="59"/>
  <c r="W814" i="59"/>
  <c r="X814" i="59" s="1"/>
  <c r="G810" i="59"/>
  <c r="S815" i="59"/>
  <c r="S813" i="59"/>
  <c r="T813" i="59" s="1"/>
  <c r="S816" i="59"/>
  <c r="T816" i="59" s="1"/>
  <c r="K812" i="59"/>
  <c r="L812" i="59" s="1"/>
  <c r="W815" i="59"/>
  <c r="S811" i="59"/>
  <c r="T811" i="59" s="1"/>
  <c r="W818" i="59"/>
  <c r="X818" i="59" s="1"/>
  <c r="W812" i="59"/>
  <c r="W816" i="59"/>
  <c r="X816" i="59" s="1"/>
  <c r="S810" i="59"/>
  <c r="T810" i="59" s="1"/>
  <c r="S814" i="59"/>
  <c r="T814" i="59" s="1"/>
  <c r="C809" i="59"/>
  <c r="K813" i="59"/>
  <c r="L813" i="59" s="1"/>
  <c r="S818" i="59"/>
  <c r="T818" i="59" s="1"/>
  <c r="W795" i="59"/>
  <c r="S793" i="59"/>
  <c r="S797" i="59"/>
  <c r="T797" i="59" s="1"/>
  <c r="K791" i="59"/>
  <c r="L791" i="59" s="1"/>
  <c r="S790" i="59"/>
  <c r="S789" i="59"/>
  <c r="T789" i="59" s="1"/>
  <c r="G788" i="59"/>
  <c r="D787" i="59"/>
  <c r="S788" i="59"/>
  <c r="T788" i="59" s="1"/>
  <c r="C787" i="59"/>
  <c r="W797" i="59"/>
  <c r="X797" i="59" s="1"/>
  <c r="S791" i="59"/>
  <c r="T791" i="59" s="1"/>
  <c r="O787" i="59"/>
  <c r="P787" i="59" s="1"/>
  <c r="W796" i="59"/>
  <c r="X796" i="59" s="1"/>
  <c r="O788" i="59"/>
  <c r="P788" i="59" s="1"/>
  <c r="W794" i="59"/>
  <c r="X794" i="59" s="1"/>
  <c r="W792" i="59"/>
  <c r="X792" i="59" s="1"/>
  <c r="W790" i="59"/>
  <c r="S792" i="59"/>
  <c r="T792" i="59" s="1"/>
  <c r="W787" i="59"/>
  <c r="K790" i="59"/>
  <c r="L790" i="59" s="1"/>
  <c r="S796" i="59"/>
  <c r="T796" i="59" s="1"/>
  <c r="W793" i="59"/>
  <c r="K788" i="59"/>
  <c r="W791" i="59"/>
  <c r="X791" i="59" s="1"/>
  <c r="W788" i="59"/>
  <c r="X788" i="59" s="1"/>
  <c r="S794" i="59"/>
  <c r="T794" i="59" s="1"/>
  <c r="K787" i="59"/>
  <c r="W789" i="59"/>
  <c r="X789" i="59" s="1"/>
  <c r="S795" i="59"/>
  <c r="S781" i="60"/>
  <c r="O777" i="60"/>
  <c r="P777" i="60" s="1"/>
  <c r="H776" i="60"/>
  <c r="X786" i="60"/>
  <c r="X785" i="60"/>
  <c r="S784" i="60"/>
  <c r="X782" i="60"/>
  <c r="X779" i="60"/>
  <c r="W778" i="60"/>
  <c r="W777" i="60"/>
  <c r="H777" i="60"/>
  <c r="C776" i="60"/>
  <c r="W786" i="60"/>
  <c r="S782" i="60"/>
  <c r="X784" i="60"/>
  <c r="L780" i="60"/>
  <c r="W779" i="60"/>
  <c r="W776" i="60"/>
  <c r="S785" i="60"/>
  <c r="L779" i="60"/>
  <c r="K780" i="60"/>
  <c r="T778" i="60"/>
  <c r="O776" i="60"/>
  <c r="P776" i="60" s="1"/>
  <c r="T783" i="60"/>
  <c r="W780" i="60"/>
  <c r="K777" i="60"/>
  <c r="S779" i="60"/>
  <c r="S783" i="60"/>
  <c r="T786" i="60"/>
  <c r="T781" i="60"/>
  <c r="K779" i="60"/>
  <c r="G777" i="60"/>
  <c r="W781" i="60"/>
  <c r="T785" i="60"/>
  <c r="T777" i="60"/>
  <c r="T780" i="60"/>
  <c r="W785" i="60"/>
  <c r="X780" i="60"/>
  <c r="X777" i="60"/>
  <c r="X776" i="60"/>
  <c r="T782" i="60"/>
  <c r="S786" i="60"/>
  <c r="D776" i="60"/>
  <c r="S778" i="60"/>
  <c r="X781" i="60"/>
  <c r="T784" i="60"/>
  <c r="S780" i="60"/>
  <c r="S777" i="60"/>
  <c r="L776" i="60"/>
  <c r="X783" i="60"/>
  <c r="X778" i="60"/>
  <c r="W783" i="60"/>
  <c r="W784" i="60"/>
  <c r="W782" i="60"/>
  <c r="T779" i="60"/>
  <c r="L777" i="60"/>
  <c r="K776" i="60"/>
  <c r="G776" i="60"/>
  <c r="S776" i="60"/>
  <c r="W874" i="59"/>
  <c r="X874" i="59" s="1"/>
  <c r="S874" i="59"/>
  <c r="T874" i="59" s="1"/>
  <c r="W873" i="59"/>
  <c r="X873" i="59" s="1"/>
  <c r="S871" i="59"/>
  <c r="T871" i="59" s="1"/>
  <c r="S870" i="59"/>
  <c r="S867" i="59"/>
  <c r="W866" i="59"/>
  <c r="X866" i="59" s="1"/>
  <c r="O865" i="59"/>
  <c r="P865" i="59" s="1"/>
  <c r="K868" i="59"/>
  <c r="L868" i="59" s="1"/>
  <c r="K867" i="59"/>
  <c r="L867" i="59" s="1"/>
  <c r="W865" i="59"/>
  <c r="X865" i="59" s="1"/>
  <c r="O864" i="59"/>
  <c r="P864" i="59" s="1"/>
  <c r="W867" i="59"/>
  <c r="K865" i="59"/>
  <c r="W872" i="59"/>
  <c r="G865" i="59"/>
  <c r="W869" i="59"/>
  <c r="X869" i="59" s="1"/>
  <c r="S869" i="59"/>
  <c r="T869" i="59" s="1"/>
  <c r="W870" i="59"/>
  <c r="S873" i="59"/>
  <c r="T873" i="59" s="1"/>
  <c r="S865" i="59"/>
  <c r="T865" i="59" s="1"/>
  <c r="C864" i="59"/>
  <c r="D864" i="59"/>
  <c r="S872" i="59"/>
  <c r="S866" i="59"/>
  <c r="T866" i="59" s="1"/>
  <c r="W868" i="59"/>
  <c r="X868" i="59" s="1"/>
  <c r="W864" i="59"/>
  <c r="W871" i="59"/>
  <c r="X871" i="59" s="1"/>
  <c r="S868" i="59"/>
  <c r="T868" i="59" s="1"/>
  <c r="O810" i="57"/>
  <c r="P810" i="57" s="1"/>
  <c r="W815" i="57"/>
  <c r="C809" i="57"/>
  <c r="AD814" i="57" s="1"/>
  <c r="S690" i="57"/>
  <c r="T690" i="57" s="1"/>
  <c r="S800" i="57"/>
  <c r="T800" i="57" s="1"/>
  <c r="S805" i="57"/>
  <c r="T805" i="57" s="1"/>
  <c r="K802" i="57"/>
  <c r="L802" i="57" s="1"/>
  <c r="W800" i="57"/>
  <c r="X800" i="57" s="1"/>
  <c r="W808" i="57"/>
  <c r="X808" i="57" s="1"/>
  <c r="S806" i="57"/>
  <c r="S799" i="57"/>
  <c r="T799" i="57" s="1"/>
  <c r="S801" i="57"/>
  <c r="W798" i="57"/>
  <c r="O799" i="57"/>
  <c r="P799" i="57" s="1"/>
  <c r="S802" i="57"/>
  <c r="T802" i="57" s="1"/>
  <c r="W818" i="57"/>
  <c r="X818" i="57" s="1"/>
  <c r="S811" i="57"/>
  <c r="T811" i="57" s="1"/>
  <c r="W819" i="57"/>
  <c r="X819" i="57" s="1"/>
  <c r="W813" i="57"/>
  <c r="X813" i="57" s="1"/>
  <c r="W809" i="57"/>
  <c r="K812" i="57"/>
  <c r="L812" i="57" s="1"/>
  <c r="W812" i="57"/>
  <c r="S812" i="57"/>
  <c r="O809" i="57"/>
  <c r="P809" i="57" s="1"/>
  <c r="D809" i="57"/>
  <c r="Q812" i="57" s="1"/>
  <c r="W811" i="57"/>
  <c r="X811" i="57" s="1"/>
  <c r="S810" i="57"/>
  <c r="T810" i="57" s="1"/>
  <c r="S816" i="57"/>
  <c r="T816" i="57" s="1"/>
  <c r="S813" i="57"/>
  <c r="T813" i="57" s="1"/>
  <c r="W816" i="57"/>
  <c r="X816" i="57" s="1"/>
  <c r="S814" i="57"/>
  <c r="T814" i="57" s="1"/>
  <c r="S818" i="57"/>
  <c r="T818" i="57" s="1"/>
  <c r="W814" i="57"/>
  <c r="X814" i="57" s="1"/>
  <c r="S817" i="57"/>
  <c r="K813" i="57"/>
  <c r="L813" i="57" s="1"/>
  <c r="W810" i="57"/>
  <c r="X810" i="57" s="1"/>
  <c r="C930" i="60"/>
  <c r="O930" i="60"/>
  <c r="P930" i="60" s="1"/>
  <c r="G931" i="60"/>
  <c r="X940" i="60"/>
  <c r="G930" i="60"/>
  <c r="K933" i="60"/>
  <c r="T933" i="60"/>
  <c r="X930" i="60"/>
  <c r="W932" i="60"/>
  <c r="S937" i="60"/>
  <c r="X932" i="60"/>
  <c r="S936" i="60"/>
  <c r="T939" i="60"/>
  <c r="S939" i="60"/>
  <c r="T932" i="60"/>
  <c r="S935" i="60"/>
  <c r="X938" i="60"/>
  <c r="S930" i="60"/>
  <c r="S934" i="60"/>
  <c r="T935" i="60"/>
  <c r="S931" i="60"/>
  <c r="H931" i="60"/>
  <c r="L933" i="60"/>
  <c r="X939" i="60"/>
  <c r="W933" i="60"/>
  <c r="X936" i="60"/>
  <c r="W940" i="60"/>
  <c r="W930" i="60"/>
  <c r="S933" i="60"/>
  <c r="X935" i="60"/>
  <c r="S940" i="60"/>
  <c r="X931" i="60"/>
  <c r="T930" i="60"/>
  <c r="W939" i="60"/>
  <c r="T938" i="60"/>
  <c r="T931" i="60"/>
  <c r="T934" i="60"/>
  <c r="S932" i="60"/>
  <c r="W935" i="60"/>
  <c r="W938" i="60"/>
  <c r="X937" i="60"/>
  <c r="W931" i="60"/>
  <c r="W934" i="60"/>
  <c r="S938" i="60"/>
  <c r="T940" i="60"/>
  <c r="L931" i="60"/>
  <c r="H930" i="60"/>
  <c r="W937" i="60"/>
  <c r="X934" i="60"/>
  <c r="O931" i="60"/>
  <c r="P931" i="60" s="1"/>
  <c r="K934" i="60"/>
  <c r="D930" i="60"/>
  <c r="L934" i="60"/>
  <c r="T937" i="60"/>
  <c r="W936" i="60"/>
  <c r="K931" i="60"/>
  <c r="X933" i="60"/>
  <c r="T936" i="60"/>
  <c r="K930" i="60"/>
  <c r="Y919" i="60"/>
  <c r="AC925" i="60" s="1"/>
  <c r="Y875" i="60"/>
  <c r="AC881" i="60" s="1"/>
  <c r="E919" i="60"/>
  <c r="U919" i="60"/>
  <c r="U925" i="60"/>
  <c r="I920" i="60"/>
  <c r="Q927" i="60"/>
  <c r="I919" i="60"/>
  <c r="E920" i="60"/>
  <c r="Q922" i="60"/>
  <c r="U927" i="60"/>
  <c r="Q919" i="60"/>
  <c r="U922" i="60"/>
  <c r="U875" i="60"/>
  <c r="U883" i="60"/>
  <c r="I876" i="60"/>
  <c r="E876" i="60"/>
  <c r="Q883" i="60"/>
  <c r="I875" i="60"/>
  <c r="E875" i="60"/>
  <c r="Q878" i="60"/>
  <c r="U878" i="60"/>
  <c r="Q875" i="60"/>
  <c r="U881" i="60"/>
  <c r="O689" i="57"/>
  <c r="P689" i="57" s="1"/>
  <c r="U845" i="57"/>
  <c r="X845" i="57" s="1"/>
  <c r="I843" i="57"/>
  <c r="L843" i="57" s="1"/>
  <c r="I842" i="57"/>
  <c r="L842" i="57" s="1"/>
  <c r="E842" i="57"/>
  <c r="Q845" i="57"/>
  <c r="T845" i="57" s="1"/>
  <c r="E843" i="57"/>
  <c r="H843" i="57" s="1"/>
  <c r="U842" i="57"/>
  <c r="X842" i="57" s="1"/>
  <c r="U850" i="57"/>
  <c r="X850" i="57" s="1"/>
  <c r="Q842" i="57"/>
  <c r="T842" i="57" s="1"/>
  <c r="U848" i="57"/>
  <c r="X848" i="57" s="1"/>
  <c r="Q850" i="57"/>
  <c r="T850" i="57" s="1"/>
  <c r="U856" i="57"/>
  <c r="X856" i="57" s="1"/>
  <c r="I854" i="57"/>
  <c r="L854" i="57" s="1"/>
  <c r="Q861" i="57"/>
  <c r="T861" i="57" s="1"/>
  <c r="Q853" i="57"/>
  <c r="T853" i="57" s="1"/>
  <c r="I853" i="57"/>
  <c r="L853" i="57" s="1"/>
  <c r="U859" i="57"/>
  <c r="X859" i="57" s="1"/>
  <c r="Q856" i="57"/>
  <c r="T856" i="57" s="1"/>
  <c r="E854" i="57"/>
  <c r="H854" i="57" s="1"/>
  <c r="U853" i="57"/>
  <c r="X853" i="57" s="1"/>
  <c r="U861" i="57"/>
  <c r="X861" i="57" s="1"/>
  <c r="E853" i="57"/>
  <c r="I908" i="57"/>
  <c r="L908" i="57" s="1"/>
  <c r="Q908" i="57"/>
  <c r="T908" i="57" s="1"/>
  <c r="E909" i="57"/>
  <c r="H909" i="57" s="1"/>
  <c r="I909" i="57"/>
  <c r="L909" i="57" s="1"/>
  <c r="Q916" i="57"/>
  <c r="T916" i="57" s="1"/>
  <c r="U908" i="57"/>
  <c r="X908" i="57" s="1"/>
  <c r="Q911" i="57"/>
  <c r="T911" i="57" s="1"/>
  <c r="E908" i="57"/>
  <c r="H908" i="57" s="1"/>
  <c r="U916" i="57"/>
  <c r="X916" i="57" s="1"/>
  <c r="U914" i="57"/>
  <c r="X914" i="57" s="1"/>
  <c r="U911" i="57"/>
  <c r="X911" i="57" s="1"/>
  <c r="I897" i="57"/>
  <c r="L897" i="57" s="1"/>
  <c r="Q900" i="57"/>
  <c r="T900" i="57" s="1"/>
  <c r="E898" i="57"/>
  <c r="H898" i="57" s="1"/>
  <c r="I898" i="57"/>
  <c r="L898" i="57" s="1"/>
  <c r="E897" i="57"/>
  <c r="H897" i="57" s="1"/>
  <c r="U897" i="57"/>
  <c r="X897" i="57" s="1"/>
  <c r="Q905" i="57"/>
  <c r="T905" i="57" s="1"/>
  <c r="U903" i="57"/>
  <c r="X903" i="57" s="1"/>
  <c r="Q897" i="57"/>
  <c r="T897" i="57" s="1"/>
  <c r="U905" i="57"/>
  <c r="X905" i="57" s="1"/>
  <c r="U900" i="57"/>
  <c r="X900" i="57" s="1"/>
  <c r="Y897" i="57"/>
  <c r="AC902" i="57" s="1"/>
  <c r="I832" i="57"/>
  <c r="L832" i="57" s="1"/>
  <c r="U834" i="57"/>
  <c r="X834" i="57" s="1"/>
  <c r="Q839" i="57"/>
  <c r="T839" i="57" s="1"/>
  <c r="E832" i="57"/>
  <c r="H832" i="57" s="1"/>
  <c r="U839" i="57"/>
  <c r="X839" i="57" s="1"/>
  <c r="I831" i="57"/>
  <c r="Q831" i="57"/>
  <c r="E831" i="57"/>
  <c r="U837" i="57"/>
  <c r="X837" i="57" s="1"/>
  <c r="Q834" i="57"/>
  <c r="T834" i="57" s="1"/>
  <c r="U831" i="57"/>
  <c r="X831" i="57" s="1"/>
  <c r="W692" i="57"/>
  <c r="X692" i="57" s="1"/>
  <c r="U823" i="57"/>
  <c r="X823" i="57" s="1"/>
  <c r="E821" i="57"/>
  <c r="H821" i="57" s="1"/>
  <c r="Q823" i="57"/>
  <c r="T823" i="57" s="1"/>
  <c r="I820" i="57"/>
  <c r="L820" i="57" s="1"/>
  <c r="I821" i="57"/>
  <c r="L821" i="57" s="1"/>
  <c r="Q820" i="57"/>
  <c r="U828" i="57"/>
  <c r="U820" i="57"/>
  <c r="X820" i="57" s="1"/>
  <c r="E820" i="57"/>
  <c r="U826" i="57"/>
  <c r="X826" i="57" s="1"/>
  <c r="Q828" i="57"/>
  <c r="T828" i="57" s="1"/>
  <c r="Y908" i="57"/>
  <c r="AC913" i="57" s="1"/>
  <c r="O688" i="57"/>
  <c r="P688" i="57" s="1"/>
  <c r="W688" i="57"/>
  <c r="S694" i="57"/>
  <c r="G689" i="57"/>
  <c r="W691" i="57"/>
  <c r="W690" i="57"/>
  <c r="X690" i="57" s="1"/>
  <c r="W698" i="57"/>
  <c r="X698" i="57" s="1"/>
  <c r="S693" i="57"/>
  <c r="T693" i="57" s="1"/>
  <c r="W694" i="57"/>
  <c r="S696" i="57"/>
  <c r="S689" i="57"/>
  <c r="T689" i="57" s="1"/>
  <c r="W689" i="57"/>
  <c r="X689" i="57" s="1"/>
  <c r="W693" i="57"/>
  <c r="X693" i="57" s="1"/>
  <c r="W696" i="57"/>
  <c r="S697" i="57"/>
  <c r="T697" i="57" s="1"/>
  <c r="S698" i="57"/>
  <c r="T698" i="57" s="1"/>
  <c r="S695" i="57"/>
  <c r="T695" i="57" s="1"/>
  <c r="W695" i="57"/>
  <c r="X695" i="57" s="1"/>
  <c r="W697" i="57"/>
  <c r="X697" i="57" s="1"/>
  <c r="K692" i="57"/>
  <c r="L692" i="57" s="1"/>
  <c r="S692" i="57"/>
  <c r="T692" i="57" s="1"/>
  <c r="S691" i="57"/>
  <c r="K688" i="57"/>
  <c r="S753" i="57"/>
  <c r="T753" i="57" s="1"/>
  <c r="W744" i="57"/>
  <c r="X744" i="57" s="1"/>
  <c r="S670" i="57"/>
  <c r="T670" i="57" s="1"/>
  <c r="W675" i="57"/>
  <c r="X675" i="57" s="1"/>
  <c r="W671" i="57"/>
  <c r="X671" i="57" s="1"/>
  <c r="W670" i="57"/>
  <c r="X670" i="57" s="1"/>
  <c r="K670" i="57"/>
  <c r="L670" i="57" s="1"/>
  <c r="S669" i="57"/>
  <c r="O666" i="57"/>
  <c r="P666" i="57" s="1"/>
  <c r="S676" i="57"/>
  <c r="T676" i="57" s="1"/>
  <c r="W672" i="57"/>
  <c r="S673" i="57"/>
  <c r="T673" i="57" s="1"/>
  <c r="D699" i="57"/>
  <c r="Q702" i="57" s="1"/>
  <c r="S675" i="57"/>
  <c r="T675" i="57" s="1"/>
  <c r="W666" i="57"/>
  <c r="W701" i="57"/>
  <c r="X701" i="57" s="1"/>
  <c r="K703" i="57"/>
  <c r="L703" i="57" s="1"/>
  <c r="W705" i="57"/>
  <c r="O700" i="57"/>
  <c r="P700" i="57" s="1"/>
  <c r="W706" i="57"/>
  <c r="X706" i="57" s="1"/>
  <c r="S703" i="57"/>
  <c r="T703" i="57" s="1"/>
  <c r="G700" i="57"/>
  <c r="W699" i="57"/>
  <c r="S700" i="57"/>
  <c r="T700" i="57" s="1"/>
  <c r="S702" i="57"/>
  <c r="W704" i="57"/>
  <c r="X704" i="57" s="1"/>
  <c r="S707" i="57"/>
  <c r="AP837" i="9"/>
  <c r="S705" i="57"/>
  <c r="K702" i="57"/>
  <c r="L702" i="57" s="1"/>
  <c r="S708" i="57"/>
  <c r="T708" i="57" s="1"/>
  <c r="W708" i="57"/>
  <c r="X708" i="57" s="1"/>
  <c r="S704" i="57"/>
  <c r="T704" i="57" s="1"/>
  <c r="W703" i="57"/>
  <c r="X703" i="57" s="1"/>
  <c r="S709" i="57"/>
  <c r="T709" i="57" s="1"/>
  <c r="W700" i="57"/>
  <c r="X700" i="57" s="1"/>
  <c r="W709" i="57"/>
  <c r="X709" i="57" s="1"/>
  <c r="S706" i="57"/>
  <c r="T706" i="57" s="1"/>
  <c r="S701" i="57"/>
  <c r="T701" i="57" s="1"/>
  <c r="O699" i="57"/>
  <c r="P699" i="57" s="1"/>
  <c r="K699" i="57"/>
  <c r="AP836" i="9"/>
  <c r="AP835" i="9"/>
  <c r="S752" i="57"/>
  <c r="T752" i="57" s="1"/>
  <c r="W747" i="57"/>
  <c r="X747" i="57" s="1"/>
  <c r="K746" i="57"/>
  <c r="L746" i="57" s="1"/>
  <c r="S671" i="57"/>
  <c r="T671" i="57" s="1"/>
  <c r="S672" i="57"/>
  <c r="O667" i="57"/>
  <c r="P667" i="57" s="1"/>
  <c r="W668" i="57"/>
  <c r="X668" i="57" s="1"/>
  <c r="W667" i="57"/>
  <c r="X667" i="57" s="1"/>
  <c r="S746" i="57"/>
  <c r="W752" i="57"/>
  <c r="X752" i="57" s="1"/>
  <c r="S716" i="57"/>
  <c r="S737" i="57"/>
  <c r="T737" i="57" s="1"/>
  <c r="W673" i="57"/>
  <c r="X673" i="57" s="1"/>
  <c r="S668" i="57"/>
  <c r="T668" i="57" s="1"/>
  <c r="W669" i="57"/>
  <c r="S674" i="57"/>
  <c r="G667" i="57"/>
  <c r="W676" i="57"/>
  <c r="X676" i="57" s="1"/>
  <c r="W684" i="57"/>
  <c r="X684" i="57" s="1"/>
  <c r="W715" i="57"/>
  <c r="X715" i="57" s="1"/>
  <c r="W679" i="57"/>
  <c r="X679" i="57" s="1"/>
  <c r="W737" i="57"/>
  <c r="X737" i="57" s="1"/>
  <c r="S715" i="57"/>
  <c r="T715" i="57" s="1"/>
  <c r="S720" i="57"/>
  <c r="T720" i="57" s="1"/>
  <c r="S685" i="57"/>
  <c r="S736" i="57"/>
  <c r="T736" i="57" s="1"/>
  <c r="S733" i="57"/>
  <c r="T733" i="57" s="1"/>
  <c r="D732" i="57"/>
  <c r="S712" i="57"/>
  <c r="T712" i="57" s="1"/>
  <c r="S686" i="57"/>
  <c r="T686" i="57" s="1"/>
  <c r="O733" i="57"/>
  <c r="P733" i="57" s="1"/>
  <c r="W713" i="57"/>
  <c r="S719" i="57"/>
  <c r="T719" i="57" s="1"/>
  <c r="W687" i="57"/>
  <c r="X687" i="57" s="1"/>
  <c r="W734" i="57"/>
  <c r="X734" i="57" s="1"/>
  <c r="S739" i="57"/>
  <c r="T739" i="57" s="1"/>
  <c r="AP828" i="9"/>
  <c r="AP829" i="9"/>
  <c r="AP832" i="9"/>
  <c r="AP831" i="9"/>
  <c r="AP830" i="9"/>
  <c r="AP824" i="9"/>
  <c r="AP827" i="9"/>
  <c r="AP826" i="9"/>
  <c r="AP833" i="9"/>
  <c r="AP825" i="9"/>
  <c r="AP834" i="9"/>
  <c r="S747" i="57"/>
  <c r="T747" i="57" s="1"/>
  <c r="O744" i="57"/>
  <c r="P744" i="57" s="1"/>
  <c r="S744" i="57"/>
  <c r="T744" i="57" s="1"/>
  <c r="W753" i="57"/>
  <c r="X753" i="57" s="1"/>
  <c r="W745" i="57"/>
  <c r="X745" i="57" s="1"/>
  <c r="S748" i="57"/>
  <c r="T748" i="57" s="1"/>
  <c r="W749" i="57"/>
  <c r="S745" i="57"/>
  <c r="T745" i="57" s="1"/>
  <c r="K747" i="57"/>
  <c r="L747" i="57" s="1"/>
  <c r="S749" i="57"/>
  <c r="S750" i="57"/>
  <c r="T750" i="57" s="1"/>
  <c r="W743" i="57"/>
  <c r="S751" i="57"/>
  <c r="O743" i="57"/>
  <c r="P743" i="57" s="1"/>
  <c r="W750" i="57"/>
  <c r="X750" i="57" s="1"/>
  <c r="W748" i="57"/>
  <c r="X748" i="57" s="1"/>
  <c r="C688" i="57"/>
  <c r="AD693" i="57" s="1"/>
  <c r="O710" i="57"/>
  <c r="P710" i="57" s="1"/>
  <c r="S714" i="57"/>
  <c r="T714" i="57" s="1"/>
  <c r="S711" i="57"/>
  <c r="T711" i="57" s="1"/>
  <c r="W714" i="57"/>
  <c r="X714" i="57" s="1"/>
  <c r="S713" i="57"/>
  <c r="W717" i="57"/>
  <c r="X717" i="57" s="1"/>
  <c r="S684" i="57"/>
  <c r="T684" i="57" s="1"/>
  <c r="K677" i="57"/>
  <c r="O678" i="57"/>
  <c r="P678" i="57" s="1"/>
  <c r="W681" i="57"/>
  <c r="X681" i="57" s="1"/>
  <c r="S738" i="57"/>
  <c r="W739" i="57"/>
  <c r="X739" i="57" s="1"/>
  <c r="S735" i="57"/>
  <c r="K735" i="57"/>
  <c r="L735" i="57" s="1"/>
  <c r="W733" i="57"/>
  <c r="X733" i="57" s="1"/>
  <c r="G733" i="57"/>
  <c r="S742" i="57"/>
  <c r="T742" i="57" s="1"/>
  <c r="W683" i="57"/>
  <c r="W686" i="57"/>
  <c r="X686" i="57" s="1"/>
  <c r="W680" i="57"/>
  <c r="W682" i="57"/>
  <c r="X682" i="57" s="1"/>
  <c r="W736" i="57"/>
  <c r="X736" i="57" s="1"/>
  <c r="S740" i="57"/>
  <c r="W741" i="57"/>
  <c r="X741" i="57" s="1"/>
  <c r="W732" i="57"/>
  <c r="W716" i="57"/>
  <c r="W711" i="57"/>
  <c r="X711" i="57" s="1"/>
  <c r="K714" i="57"/>
  <c r="L714" i="57" s="1"/>
  <c r="G711" i="57"/>
  <c r="W719" i="57"/>
  <c r="X719" i="57" s="1"/>
  <c r="O711" i="57"/>
  <c r="P711" i="57" s="1"/>
  <c r="S717" i="57"/>
  <c r="T717" i="57" s="1"/>
  <c r="S718" i="57"/>
  <c r="W718" i="57"/>
  <c r="W720" i="57"/>
  <c r="X720" i="57" s="1"/>
  <c r="K710" i="57"/>
  <c r="W712" i="57"/>
  <c r="X712" i="57" s="1"/>
  <c r="G678" i="57"/>
  <c r="S682" i="57"/>
  <c r="T682" i="57" s="1"/>
  <c r="W678" i="57"/>
  <c r="X678" i="57" s="1"/>
  <c r="K681" i="57"/>
  <c r="L681" i="57" s="1"/>
  <c r="O677" i="57"/>
  <c r="P677" i="57" s="1"/>
  <c r="W735" i="57"/>
  <c r="W742" i="57"/>
  <c r="X742" i="57" s="1"/>
  <c r="S734" i="57"/>
  <c r="T734" i="57" s="1"/>
  <c r="S741" i="57"/>
  <c r="T741" i="57" s="1"/>
  <c r="W738" i="57"/>
  <c r="O732" i="57"/>
  <c r="P732" i="57" s="1"/>
  <c r="K736" i="57"/>
  <c r="L736" i="57" s="1"/>
  <c r="C644" i="57"/>
  <c r="AD649" i="57" s="1"/>
  <c r="D644" i="57"/>
  <c r="C776" i="57"/>
  <c r="AD781" i="57" s="1"/>
  <c r="D776" i="57"/>
  <c r="K721" i="57"/>
  <c r="W731" i="57"/>
  <c r="X731" i="57" s="1"/>
  <c r="S680" i="57"/>
  <c r="W685" i="57"/>
  <c r="S681" i="57"/>
  <c r="T681" i="57" s="1"/>
  <c r="S683" i="57"/>
  <c r="W677" i="57"/>
  <c r="S679" i="57"/>
  <c r="T679" i="57" s="1"/>
  <c r="S687" i="57"/>
  <c r="T687" i="57" s="1"/>
  <c r="W730" i="57"/>
  <c r="X730" i="57" s="1"/>
  <c r="S756" i="57"/>
  <c r="T756" i="57" s="1"/>
  <c r="S727" i="57"/>
  <c r="S764" i="57"/>
  <c r="T764" i="57" s="1"/>
  <c r="W756" i="57"/>
  <c r="X756" i="57" s="1"/>
  <c r="W757" i="57"/>
  <c r="S758" i="57"/>
  <c r="T758" i="57" s="1"/>
  <c r="S728" i="57"/>
  <c r="T728" i="57" s="1"/>
  <c r="G722" i="57"/>
  <c r="S757" i="57"/>
  <c r="W727" i="57"/>
  <c r="S726" i="57"/>
  <c r="T726" i="57" s="1"/>
  <c r="S723" i="57"/>
  <c r="T723" i="57" s="1"/>
  <c r="C743" i="57"/>
  <c r="AD748" i="57" s="1"/>
  <c r="D677" i="57"/>
  <c r="O754" i="57"/>
  <c r="P754" i="57" s="1"/>
  <c r="W755" i="57"/>
  <c r="X755" i="57" s="1"/>
  <c r="O755" i="57"/>
  <c r="P755" i="57" s="1"/>
  <c r="W722" i="57"/>
  <c r="X722" i="57" s="1"/>
  <c r="W724" i="57"/>
  <c r="S725" i="57"/>
  <c r="T725" i="57" s="1"/>
  <c r="W760" i="57"/>
  <c r="S755" i="57"/>
  <c r="T755" i="57" s="1"/>
  <c r="W764" i="57"/>
  <c r="X764" i="57" s="1"/>
  <c r="K754" i="57"/>
  <c r="K725" i="57"/>
  <c r="L725" i="57" s="1"/>
  <c r="S730" i="57"/>
  <c r="T730" i="57" s="1"/>
  <c r="W726" i="57"/>
  <c r="X726" i="57" s="1"/>
  <c r="W725" i="57"/>
  <c r="X725" i="57" s="1"/>
  <c r="W759" i="57"/>
  <c r="X759" i="57" s="1"/>
  <c r="W761" i="57"/>
  <c r="X761" i="57" s="1"/>
  <c r="S759" i="57"/>
  <c r="T759" i="57" s="1"/>
  <c r="W758" i="57"/>
  <c r="X758" i="57" s="1"/>
  <c r="W763" i="57"/>
  <c r="X763" i="57" s="1"/>
  <c r="S722" i="57"/>
  <c r="T722" i="57" s="1"/>
  <c r="W729" i="57"/>
  <c r="W721" i="57"/>
  <c r="W728" i="57"/>
  <c r="X728" i="57" s="1"/>
  <c r="C666" i="57"/>
  <c r="AD671" i="57" s="1"/>
  <c r="S761" i="57"/>
  <c r="T761" i="57" s="1"/>
  <c r="S763" i="57"/>
  <c r="T763" i="57" s="1"/>
  <c r="S760" i="57"/>
  <c r="W754" i="57"/>
  <c r="K758" i="57"/>
  <c r="L758" i="57" s="1"/>
  <c r="K757" i="57"/>
  <c r="L757" i="57" s="1"/>
  <c r="S729" i="57"/>
  <c r="S724" i="57"/>
  <c r="O722" i="57"/>
  <c r="P722" i="57" s="1"/>
  <c r="O721" i="57"/>
  <c r="P721" i="57" s="1"/>
  <c r="K724" i="57"/>
  <c r="L724" i="57" s="1"/>
  <c r="W723" i="57"/>
  <c r="X723" i="57" s="1"/>
  <c r="S731" i="57"/>
  <c r="T731" i="57" s="1"/>
  <c r="C721" i="57"/>
  <c r="AD726" i="57" s="1"/>
  <c r="C710" i="57"/>
  <c r="AD715" i="57" s="1"/>
  <c r="D666" i="59"/>
  <c r="C666" i="59"/>
  <c r="S676" i="59"/>
  <c r="T676" i="59" s="1"/>
  <c r="O666" i="59"/>
  <c r="P666" i="59" s="1"/>
  <c r="W670" i="59"/>
  <c r="X670" i="59" s="1"/>
  <c r="K670" i="59"/>
  <c r="L670" i="59" s="1"/>
  <c r="W672" i="59"/>
  <c r="S673" i="59"/>
  <c r="T673" i="59" s="1"/>
  <c r="W673" i="59"/>
  <c r="X673" i="59" s="1"/>
  <c r="W668" i="59"/>
  <c r="X668" i="59" s="1"/>
  <c r="G667" i="59"/>
  <c r="K667" i="59"/>
  <c r="W675" i="59"/>
  <c r="X675" i="59" s="1"/>
  <c r="W666" i="59"/>
  <c r="S671" i="59"/>
  <c r="T671" i="59" s="1"/>
  <c r="S675" i="59"/>
  <c r="T675" i="59" s="1"/>
  <c r="K666" i="59"/>
  <c r="W671" i="59"/>
  <c r="X671" i="59" s="1"/>
  <c r="S668" i="59"/>
  <c r="T668" i="59" s="1"/>
  <c r="W669" i="59"/>
  <c r="W676" i="59"/>
  <c r="X676" i="59" s="1"/>
  <c r="S669" i="59"/>
  <c r="S670" i="59"/>
  <c r="T670" i="59" s="1"/>
  <c r="W667" i="59"/>
  <c r="X667" i="59" s="1"/>
  <c r="O667" i="59"/>
  <c r="P667" i="59" s="1"/>
  <c r="S672" i="59"/>
  <c r="X720" i="60"/>
  <c r="X713" i="60"/>
  <c r="O711" i="60"/>
  <c r="P711" i="60" s="1"/>
  <c r="T712" i="60"/>
  <c r="S715" i="60"/>
  <c r="S712" i="60"/>
  <c r="W714" i="60"/>
  <c r="W712" i="60"/>
  <c r="T716" i="60"/>
  <c r="D710" i="60"/>
  <c r="X712" i="60"/>
  <c r="X717" i="60"/>
  <c r="S713" i="60"/>
  <c r="K711" i="60"/>
  <c r="T720" i="60"/>
  <c r="T718" i="60"/>
  <c r="W710" i="60"/>
  <c r="X715" i="60"/>
  <c r="L710" i="60"/>
  <c r="L711" i="60"/>
  <c r="T713" i="60"/>
  <c r="W716" i="60"/>
  <c r="T719" i="60"/>
  <c r="S716" i="60"/>
  <c r="S720" i="60"/>
  <c r="K714" i="60"/>
  <c r="T711" i="60"/>
  <c r="W719" i="60"/>
  <c r="W711" i="60"/>
  <c r="X719" i="60"/>
  <c r="S711" i="60"/>
  <c r="S714" i="60"/>
  <c r="T717" i="60"/>
  <c r="W720" i="60"/>
  <c r="X716" i="60"/>
  <c r="C710" i="60"/>
  <c r="W717" i="60"/>
  <c r="W713" i="60"/>
  <c r="W715" i="60"/>
  <c r="L713" i="60"/>
  <c r="X711" i="60"/>
  <c r="X714" i="60"/>
  <c r="S718" i="60"/>
  <c r="O710" i="60"/>
  <c r="P710" i="60" s="1"/>
  <c r="T714" i="60"/>
  <c r="T715" i="60"/>
  <c r="L714" i="60"/>
  <c r="S719" i="60"/>
  <c r="S717" i="60"/>
  <c r="W718" i="60"/>
  <c r="K710" i="60"/>
  <c r="K713" i="60"/>
  <c r="X718" i="60"/>
  <c r="G711" i="60"/>
  <c r="K746" i="59"/>
  <c r="L746" i="59" s="1"/>
  <c r="W743" i="59"/>
  <c r="S745" i="59"/>
  <c r="T745" i="59" s="1"/>
  <c r="W744" i="59"/>
  <c r="X744" i="59" s="1"/>
  <c r="O744" i="59"/>
  <c r="P744" i="59" s="1"/>
  <c r="O743" i="59"/>
  <c r="P743" i="59" s="1"/>
  <c r="S753" i="59"/>
  <c r="T753" i="59" s="1"/>
  <c r="D743" i="59"/>
  <c r="S747" i="59"/>
  <c r="T747" i="59" s="1"/>
  <c r="K744" i="59"/>
  <c r="C743" i="59"/>
  <c r="W747" i="59"/>
  <c r="X747" i="59" s="1"/>
  <c r="W745" i="59"/>
  <c r="X745" i="59" s="1"/>
  <c r="S746" i="59"/>
  <c r="S744" i="59"/>
  <c r="T744" i="59" s="1"/>
  <c r="K747" i="59"/>
  <c r="L747" i="59" s="1"/>
  <c r="W748" i="59"/>
  <c r="X748" i="59" s="1"/>
  <c r="W749" i="59"/>
  <c r="W752" i="59"/>
  <c r="X752" i="59" s="1"/>
  <c r="S751" i="59"/>
  <c r="W750" i="59"/>
  <c r="X750" i="59" s="1"/>
  <c r="W753" i="59"/>
  <c r="X753" i="59" s="1"/>
  <c r="S748" i="59"/>
  <c r="T748" i="59" s="1"/>
  <c r="S752" i="59"/>
  <c r="T752" i="59" s="1"/>
  <c r="S750" i="59"/>
  <c r="T750" i="59" s="1"/>
  <c r="S749" i="59"/>
  <c r="X687" i="60"/>
  <c r="O678" i="60"/>
  <c r="P678" i="60" s="1"/>
  <c r="W680" i="60"/>
  <c r="T685" i="60"/>
  <c r="O677" i="60"/>
  <c r="P677" i="60" s="1"/>
  <c r="W684" i="60"/>
  <c r="W677" i="60"/>
  <c r="T679" i="60"/>
  <c r="S682" i="60"/>
  <c r="L677" i="60"/>
  <c r="L678" i="60"/>
  <c r="T680" i="60"/>
  <c r="W683" i="60"/>
  <c r="W687" i="60"/>
  <c r="X685" i="60"/>
  <c r="L681" i="60"/>
  <c r="L680" i="60"/>
  <c r="X679" i="60"/>
  <c r="S679" i="60"/>
  <c r="W686" i="60"/>
  <c r="S680" i="60"/>
  <c r="X682" i="60"/>
  <c r="S686" i="60"/>
  <c r="S678" i="60"/>
  <c r="S681" i="60"/>
  <c r="T684" i="60"/>
  <c r="S683" i="60"/>
  <c r="S687" i="60"/>
  <c r="T687" i="60"/>
  <c r="T681" i="60"/>
  <c r="K681" i="60"/>
  <c r="K678" i="60"/>
  <c r="X680" i="60"/>
  <c r="S684" i="60"/>
  <c r="X686" i="60"/>
  <c r="X677" i="60"/>
  <c r="X678" i="60"/>
  <c r="X681" i="60"/>
  <c r="W685" i="60"/>
  <c r="X683" i="60"/>
  <c r="W678" i="60"/>
  <c r="K680" i="60"/>
  <c r="W682" i="60"/>
  <c r="K677" i="60"/>
  <c r="G678" i="60"/>
  <c r="W681" i="60"/>
  <c r="T682" i="60"/>
  <c r="C677" i="60"/>
  <c r="S685" i="60"/>
  <c r="W679" i="60"/>
  <c r="H678" i="60"/>
  <c r="G677" i="60"/>
  <c r="T683" i="60"/>
  <c r="D677" i="60"/>
  <c r="X684" i="60"/>
  <c r="T686" i="60"/>
  <c r="S797" i="57"/>
  <c r="T797" i="57" s="1"/>
  <c r="S788" i="57"/>
  <c r="T788" i="57" s="1"/>
  <c r="S792" i="57"/>
  <c r="T792" i="57" s="1"/>
  <c r="K791" i="57"/>
  <c r="L791" i="57" s="1"/>
  <c r="D787" i="57"/>
  <c r="S790" i="57"/>
  <c r="S791" i="57"/>
  <c r="T791" i="57" s="1"/>
  <c r="O787" i="57"/>
  <c r="P787" i="57" s="1"/>
  <c r="W796" i="57"/>
  <c r="X796" i="57" s="1"/>
  <c r="S789" i="57"/>
  <c r="T789" i="57" s="1"/>
  <c r="W787" i="57"/>
  <c r="W791" i="57"/>
  <c r="X791" i="57" s="1"/>
  <c r="W792" i="57"/>
  <c r="X792" i="57" s="1"/>
  <c r="W793" i="57"/>
  <c r="O788" i="57"/>
  <c r="P788" i="57" s="1"/>
  <c r="W790" i="57"/>
  <c r="W788" i="57"/>
  <c r="X788" i="57" s="1"/>
  <c r="S794" i="57"/>
  <c r="T794" i="57" s="1"/>
  <c r="S796" i="57"/>
  <c r="T796" i="57" s="1"/>
  <c r="W794" i="57"/>
  <c r="X794" i="57" s="1"/>
  <c r="S793" i="57"/>
  <c r="K790" i="57"/>
  <c r="L790" i="57" s="1"/>
  <c r="C787" i="57"/>
  <c r="AD792" i="57" s="1"/>
  <c r="W797" i="57"/>
  <c r="X797" i="57" s="1"/>
  <c r="G788" i="57"/>
  <c r="W789" i="57"/>
  <c r="X789" i="57" s="1"/>
  <c r="X698" i="60"/>
  <c r="X690" i="60"/>
  <c r="C688" i="60"/>
  <c r="S693" i="60"/>
  <c r="O688" i="60"/>
  <c r="P688" i="60" s="1"/>
  <c r="S697" i="60"/>
  <c r="W688" i="60"/>
  <c r="L688" i="60"/>
  <c r="T698" i="60"/>
  <c r="O689" i="60"/>
  <c r="P689" i="60" s="1"/>
  <c r="H689" i="60"/>
  <c r="T689" i="60"/>
  <c r="W692" i="60"/>
  <c r="T694" i="60"/>
  <c r="S695" i="60"/>
  <c r="G689" i="60"/>
  <c r="X693" i="60"/>
  <c r="S689" i="60"/>
  <c r="S692" i="60"/>
  <c r="T695" i="60"/>
  <c r="W698" i="60"/>
  <c r="S696" i="60"/>
  <c r="W691" i="60"/>
  <c r="T690" i="60"/>
  <c r="K689" i="60"/>
  <c r="W695" i="60"/>
  <c r="X695" i="60"/>
  <c r="T696" i="60"/>
  <c r="D688" i="60"/>
  <c r="W689" i="60"/>
  <c r="X697" i="60"/>
  <c r="X689" i="60"/>
  <c r="X692" i="60"/>
  <c r="X696" i="60"/>
  <c r="S690" i="60"/>
  <c r="W690" i="60"/>
  <c r="L692" i="60"/>
  <c r="S691" i="60"/>
  <c r="W697" i="60"/>
  <c r="K688" i="60"/>
  <c r="L691" i="60"/>
  <c r="K691" i="60"/>
  <c r="T693" i="60"/>
  <c r="W696" i="60"/>
  <c r="S694" i="60"/>
  <c r="S698" i="60"/>
  <c r="K692" i="60"/>
  <c r="T692" i="60"/>
  <c r="L689" i="60"/>
  <c r="X694" i="60"/>
  <c r="T691" i="60"/>
  <c r="G688" i="60"/>
  <c r="T697" i="60"/>
  <c r="X691" i="60"/>
  <c r="X688" i="60"/>
  <c r="W693" i="60"/>
  <c r="W694" i="60"/>
  <c r="C732" i="59"/>
  <c r="S742" i="59"/>
  <c r="T742" i="59" s="1"/>
  <c r="S734" i="59"/>
  <c r="T734" i="59" s="1"/>
  <c r="W733" i="59"/>
  <c r="X733" i="59" s="1"/>
  <c r="D732" i="59"/>
  <c r="W732" i="59"/>
  <c r="W735" i="59"/>
  <c r="G733" i="59"/>
  <c r="O733" i="59"/>
  <c r="P733" i="59" s="1"/>
  <c r="W736" i="59"/>
  <c r="X736" i="59" s="1"/>
  <c r="K735" i="59"/>
  <c r="L735" i="59" s="1"/>
  <c r="S733" i="59"/>
  <c r="T733" i="59" s="1"/>
  <c r="S740" i="59"/>
  <c r="S736" i="59"/>
  <c r="T736" i="59" s="1"/>
  <c r="W734" i="59"/>
  <c r="X734" i="59" s="1"/>
  <c r="W738" i="59"/>
  <c r="W741" i="59"/>
  <c r="X741" i="59" s="1"/>
  <c r="S737" i="59"/>
  <c r="T737" i="59" s="1"/>
  <c r="S741" i="59"/>
  <c r="T741" i="59" s="1"/>
  <c r="K733" i="59"/>
  <c r="W737" i="59"/>
  <c r="X737" i="59" s="1"/>
  <c r="W739" i="59"/>
  <c r="X739" i="59" s="1"/>
  <c r="O732" i="59"/>
  <c r="P732" i="59" s="1"/>
  <c r="S735" i="59"/>
  <c r="W742" i="59"/>
  <c r="X742" i="59" s="1"/>
  <c r="S738" i="59"/>
  <c r="K736" i="59"/>
  <c r="L736" i="59" s="1"/>
  <c r="S739" i="59"/>
  <c r="T739" i="59" s="1"/>
  <c r="T874" i="60"/>
  <c r="T872" i="60"/>
  <c r="T871" i="60"/>
  <c r="T870" i="60"/>
  <c r="T869" i="60"/>
  <c r="X868" i="60"/>
  <c r="S868" i="60"/>
  <c r="S867" i="60"/>
  <c r="X866" i="60"/>
  <c r="S866" i="60"/>
  <c r="O865" i="60"/>
  <c r="P865" i="60" s="1"/>
  <c r="G865" i="60"/>
  <c r="H864" i="60"/>
  <c r="C864" i="60"/>
  <c r="S873" i="60"/>
  <c r="X871" i="60"/>
  <c r="S871" i="60"/>
  <c r="X869" i="60"/>
  <c r="S869" i="60"/>
  <c r="W868" i="60"/>
  <c r="X867" i="60"/>
  <c r="L867" i="60"/>
  <c r="W866" i="60"/>
  <c r="T865" i="60"/>
  <c r="L865" i="60"/>
  <c r="X864" i="60"/>
  <c r="O864" i="60"/>
  <c r="P864" i="60" s="1"/>
  <c r="G864" i="60"/>
  <c r="X873" i="60"/>
  <c r="W872" i="60"/>
  <c r="W870" i="60"/>
  <c r="X874" i="60"/>
  <c r="L868" i="60"/>
  <c r="T867" i="60"/>
  <c r="T866" i="60"/>
  <c r="H865" i="60"/>
  <c r="X865" i="60"/>
  <c r="W874" i="60"/>
  <c r="W873" i="60"/>
  <c r="W871" i="60"/>
  <c r="W869" i="60"/>
  <c r="K868" i="60"/>
  <c r="K867" i="60"/>
  <c r="S865" i="60"/>
  <c r="W864" i="60"/>
  <c r="T868" i="60"/>
  <c r="D864" i="60"/>
  <c r="K865" i="60"/>
  <c r="W865" i="60"/>
  <c r="W867" i="60"/>
  <c r="X870" i="60"/>
  <c r="T873" i="60"/>
  <c r="S872" i="60"/>
  <c r="X872" i="60"/>
  <c r="S874" i="60"/>
  <c r="S870" i="60"/>
  <c r="C754" i="57"/>
  <c r="AD759" i="57" s="1"/>
  <c r="X676" i="60"/>
  <c r="K670" i="60"/>
  <c r="H667" i="60"/>
  <c r="W668" i="60"/>
  <c r="S669" i="60"/>
  <c r="X671" i="60"/>
  <c r="L666" i="60"/>
  <c r="L667" i="60"/>
  <c r="T669" i="60"/>
  <c r="W672" i="60"/>
  <c r="T675" i="60"/>
  <c r="S674" i="60"/>
  <c r="L670" i="60"/>
  <c r="W669" i="60"/>
  <c r="C666" i="60"/>
  <c r="K666" i="60"/>
  <c r="K667" i="60"/>
  <c r="X669" i="60"/>
  <c r="S675" i="60"/>
  <c r="S667" i="60"/>
  <c r="S670" i="60"/>
  <c r="T673" i="60"/>
  <c r="W676" i="60"/>
  <c r="X674" i="60"/>
  <c r="S668" i="60"/>
  <c r="W671" i="60"/>
  <c r="W675" i="60"/>
  <c r="O666" i="60"/>
  <c r="P666" i="60" s="1"/>
  <c r="T676" i="60"/>
  <c r="X668" i="60"/>
  <c r="W667" i="60"/>
  <c r="W670" i="60"/>
  <c r="S673" i="60"/>
  <c r="X675" i="60"/>
  <c r="X666" i="60"/>
  <c r="X667" i="60"/>
  <c r="X670" i="60"/>
  <c r="S672" i="60"/>
  <c r="S676" i="60"/>
  <c r="D666" i="60"/>
  <c r="S671" i="60"/>
  <c r="G666" i="60"/>
  <c r="W674" i="60"/>
  <c r="T668" i="60"/>
  <c r="T671" i="60"/>
  <c r="W673" i="60"/>
  <c r="T672" i="60"/>
  <c r="X673" i="60"/>
  <c r="G667" i="60"/>
  <c r="X672" i="60"/>
  <c r="O667" i="60"/>
  <c r="P667" i="60" s="1"/>
  <c r="T670" i="60"/>
  <c r="W666" i="60"/>
  <c r="U801" i="57"/>
  <c r="X801" i="57" s="1"/>
  <c r="Q798" i="57"/>
  <c r="E798" i="57"/>
  <c r="U804" i="57"/>
  <c r="X804" i="57" s="1"/>
  <c r="I798" i="57"/>
  <c r="U806" i="57"/>
  <c r="Q801" i="57"/>
  <c r="T801" i="57" s="1"/>
  <c r="U798" i="57"/>
  <c r="E799" i="57"/>
  <c r="Q806" i="57"/>
  <c r="T806" i="57" s="1"/>
  <c r="I799" i="57"/>
  <c r="L799" i="57" s="1"/>
  <c r="S746" i="60"/>
  <c r="T749" i="60"/>
  <c r="X753" i="60"/>
  <c r="K747" i="60"/>
  <c r="T744" i="60"/>
  <c r="L744" i="60"/>
  <c r="W743" i="60"/>
  <c r="X750" i="60"/>
  <c r="W745" i="60"/>
  <c r="X744" i="60"/>
  <c r="S744" i="60"/>
  <c r="K744" i="60"/>
  <c r="G743" i="60"/>
  <c r="T747" i="60"/>
  <c r="L746" i="60"/>
  <c r="O744" i="60"/>
  <c r="P744" i="60" s="1"/>
  <c r="L743" i="60"/>
  <c r="S748" i="60"/>
  <c r="W744" i="60"/>
  <c r="G744" i="60"/>
  <c r="C743" i="60"/>
  <c r="X743" i="60"/>
  <c r="X746" i="60"/>
  <c r="X752" i="60"/>
  <c r="T745" i="60"/>
  <c r="O743" i="60"/>
  <c r="P743" i="60" s="1"/>
  <c r="W750" i="60"/>
  <c r="K743" i="60"/>
  <c r="X745" i="60"/>
  <c r="S752" i="60"/>
  <c r="W752" i="60"/>
  <c r="X747" i="60"/>
  <c r="S751" i="60"/>
  <c r="W746" i="60"/>
  <c r="T753" i="60"/>
  <c r="W748" i="60"/>
  <c r="K746" i="60"/>
  <c r="T748" i="60"/>
  <c r="W751" i="60"/>
  <c r="X751" i="60"/>
  <c r="H744" i="60"/>
  <c r="L747" i="60"/>
  <c r="S750" i="60"/>
  <c r="T746" i="60"/>
  <c r="W749" i="60"/>
  <c r="T752" i="60"/>
  <c r="S749" i="60"/>
  <c r="S753" i="60"/>
  <c r="W747" i="60"/>
  <c r="T751" i="60"/>
  <c r="S747" i="60"/>
  <c r="T750" i="60"/>
  <c r="X748" i="60"/>
  <c r="D743" i="60"/>
  <c r="W753" i="60"/>
  <c r="S745" i="60"/>
  <c r="X749" i="60"/>
  <c r="K890" i="59"/>
  <c r="L890" i="59" s="1"/>
  <c r="S888" i="59"/>
  <c r="T888" i="59" s="1"/>
  <c r="W887" i="59"/>
  <c r="X887" i="59" s="1"/>
  <c r="O887" i="59"/>
  <c r="P887" i="59" s="1"/>
  <c r="S896" i="59"/>
  <c r="T896" i="59" s="1"/>
  <c r="W895" i="59"/>
  <c r="X895" i="59" s="1"/>
  <c r="S894" i="59"/>
  <c r="W893" i="59"/>
  <c r="X893" i="59" s="1"/>
  <c r="S892" i="59"/>
  <c r="W891" i="59"/>
  <c r="X891" i="59" s="1"/>
  <c r="S889" i="59"/>
  <c r="K887" i="59"/>
  <c r="W886" i="59"/>
  <c r="O886" i="59"/>
  <c r="P886" i="59" s="1"/>
  <c r="W896" i="59"/>
  <c r="X896" i="59" s="1"/>
  <c r="S891" i="59"/>
  <c r="T891" i="59" s="1"/>
  <c r="W890" i="59"/>
  <c r="X890" i="59" s="1"/>
  <c r="K889" i="59"/>
  <c r="L889" i="59" s="1"/>
  <c r="G887" i="59"/>
  <c r="C886" i="59"/>
  <c r="W889" i="59"/>
  <c r="S887" i="59"/>
  <c r="T887" i="59" s="1"/>
  <c r="S895" i="59"/>
  <c r="T895" i="59" s="1"/>
  <c r="S890" i="59"/>
  <c r="T890" i="59" s="1"/>
  <c r="S893" i="59"/>
  <c r="T893" i="59" s="1"/>
  <c r="W892" i="59"/>
  <c r="D886" i="59"/>
  <c r="W888" i="59"/>
  <c r="X888" i="59" s="1"/>
  <c r="G941" i="60"/>
  <c r="X947" i="60"/>
  <c r="X948" i="60"/>
  <c r="W950" i="60"/>
  <c r="S943" i="60"/>
  <c r="W945" i="60"/>
  <c r="W941" i="60"/>
  <c r="S948" i="60"/>
  <c r="T943" i="60"/>
  <c r="S944" i="60"/>
  <c r="W943" i="60"/>
  <c r="W951" i="60"/>
  <c r="W947" i="60"/>
  <c r="T944" i="60"/>
  <c r="L942" i="60"/>
  <c r="T951" i="60"/>
  <c r="W948" i="60"/>
  <c r="W946" i="60"/>
  <c r="K942" i="60"/>
  <c r="S951" i="60"/>
  <c r="X944" i="60"/>
  <c r="X951" i="60"/>
  <c r="S947" i="60"/>
  <c r="W942" i="60"/>
  <c r="T945" i="60"/>
  <c r="T942" i="60"/>
  <c r="O941" i="60"/>
  <c r="P941" i="60" s="1"/>
  <c r="T950" i="60"/>
  <c r="T946" i="60"/>
  <c r="K944" i="60"/>
  <c r="G942" i="60"/>
  <c r="X946" i="60"/>
  <c r="X950" i="60"/>
  <c r="T949" i="60"/>
  <c r="S950" i="60"/>
  <c r="S946" i="60"/>
  <c r="D941" i="60"/>
  <c r="K945" i="60"/>
  <c r="O942" i="60"/>
  <c r="P942" i="60" s="1"/>
  <c r="W949" i="60"/>
  <c r="X945" i="60"/>
  <c r="X942" i="60"/>
  <c r="X941" i="60"/>
  <c r="X949" i="60"/>
  <c r="S949" i="60"/>
  <c r="L944" i="60"/>
  <c r="S945" i="60"/>
  <c r="T948" i="60"/>
  <c r="W944" i="60"/>
  <c r="H942" i="60"/>
  <c r="S942" i="60"/>
  <c r="X943" i="60"/>
  <c r="T947" i="60"/>
  <c r="L945" i="60"/>
  <c r="C941" i="60"/>
  <c r="C688" i="59"/>
  <c r="D688" i="59"/>
  <c r="S698" i="59"/>
  <c r="T698" i="59" s="1"/>
  <c r="S689" i="59"/>
  <c r="T689" i="59" s="1"/>
  <c r="G689" i="59"/>
  <c r="S691" i="59"/>
  <c r="K692" i="59"/>
  <c r="L692" i="59" s="1"/>
  <c r="K689" i="59"/>
  <c r="W692" i="59"/>
  <c r="X692" i="59" s="1"/>
  <c r="S692" i="59"/>
  <c r="T692" i="59" s="1"/>
  <c r="S693" i="59"/>
  <c r="T693" i="59" s="1"/>
  <c r="S697" i="59"/>
  <c r="T697" i="59" s="1"/>
  <c r="W691" i="59"/>
  <c r="W695" i="59"/>
  <c r="X695" i="59" s="1"/>
  <c r="O688" i="59"/>
  <c r="P688" i="59" s="1"/>
  <c r="K688" i="59"/>
  <c r="W689" i="59"/>
  <c r="X689" i="59" s="1"/>
  <c r="W693" i="59"/>
  <c r="X693" i="59" s="1"/>
  <c r="W696" i="59"/>
  <c r="S694" i="59"/>
  <c r="W688" i="59"/>
  <c r="W698" i="59"/>
  <c r="X698" i="59" s="1"/>
  <c r="O689" i="59"/>
  <c r="P689" i="59" s="1"/>
  <c r="W690" i="59"/>
  <c r="X690" i="59" s="1"/>
  <c r="S690" i="59"/>
  <c r="T690" i="59" s="1"/>
  <c r="W694" i="59"/>
  <c r="W697" i="59"/>
  <c r="X697" i="59" s="1"/>
  <c r="S695" i="59"/>
  <c r="T695" i="59" s="1"/>
  <c r="S696" i="59"/>
  <c r="D699" i="59"/>
  <c r="S709" i="59"/>
  <c r="T709" i="59" s="1"/>
  <c r="C699" i="59"/>
  <c r="G700" i="59"/>
  <c r="W701" i="59"/>
  <c r="X701" i="59" s="1"/>
  <c r="S703" i="59"/>
  <c r="T703" i="59" s="1"/>
  <c r="K703" i="59"/>
  <c r="L703" i="59" s="1"/>
  <c r="K699" i="59"/>
  <c r="O699" i="59"/>
  <c r="P699" i="59" s="1"/>
  <c r="O700" i="59"/>
  <c r="P700" i="59" s="1"/>
  <c r="W704" i="59"/>
  <c r="X704" i="59" s="1"/>
  <c r="S700" i="59"/>
  <c r="T700" i="59" s="1"/>
  <c r="W700" i="59"/>
  <c r="X700" i="59" s="1"/>
  <c r="S701" i="59"/>
  <c r="T701" i="59" s="1"/>
  <c r="S704" i="59"/>
  <c r="T704" i="59" s="1"/>
  <c r="S708" i="59"/>
  <c r="T708" i="59" s="1"/>
  <c r="W703" i="59"/>
  <c r="X703" i="59" s="1"/>
  <c r="W705" i="59"/>
  <c r="S705" i="59"/>
  <c r="K700" i="59"/>
  <c r="W699" i="59"/>
  <c r="W709" i="59"/>
  <c r="X709" i="59" s="1"/>
  <c r="S707" i="59"/>
  <c r="S702" i="59"/>
  <c r="W706" i="59"/>
  <c r="X706" i="59" s="1"/>
  <c r="W708" i="59"/>
  <c r="X708" i="59" s="1"/>
  <c r="S706" i="59"/>
  <c r="T706" i="59" s="1"/>
  <c r="S764" i="59"/>
  <c r="T764" i="59" s="1"/>
  <c r="W763" i="59"/>
  <c r="X763" i="59" s="1"/>
  <c r="W761" i="59"/>
  <c r="X761" i="59" s="1"/>
  <c r="S760" i="59"/>
  <c r="W759" i="59"/>
  <c r="X759" i="59" s="1"/>
  <c r="S758" i="59"/>
  <c r="T758" i="59" s="1"/>
  <c r="W756" i="59"/>
  <c r="X756" i="59" s="1"/>
  <c r="S755" i="59"/>
  <c r="T755" i="59" s="1"/>
  <c r="D754" i="59"/>
  <c r="W764" i="59"/>
  <c r="X764" i="59" s="1"/>
  <c r="W757" i="59"/>
  <c r="K757" i="59"/>
  <c r="L757" i="59" s="1"/>
  <c r="C754" i="59"/>
  <c r="S761" i="59"/>
  <c r="T761" i="59" s="1"/>
  <c r="W760" i="59"/>
  <c r="K758" i="59"/>
  <c r="L758" i="59" s="1"/>
  <c r="S757" i="59"/>
  <c r="S756" i="59"/>
  <c r="T756" i="59" s="1"/>
  <c r="W755" i="59"/>
  <c r="X755" i="59" s="1"/>
  <c r="K755" i="59"/>
  <c r="K754" i="59"/>
  <c r="W754" i="59"/>
  <c r="S759" i="59"/>
  <c r="T759" i="59" s="1"/>
  <c r="W758" i="59"/>
  <c r="X758" i="59" s="1"/>
  <c r="O754" i="59"/>
  <c r="P754" i="59" s="1"/>
  <c r="S763" i="59"/>
  <c r="T763" i="59" s="1"/>
  <c r="O755" i="59"/>
  <c r="P755" i="59" s="1"/>
  <c r="D721" i="59"/>
  <c r="S731" i="59"/>
  <c r="T731" i="59" s="1"/>
  <c r="C721" i="59"/>
  <c r="O721" i="59"/>
  <c r="P721" i="59" s="1"/>
  <c r="S722" i="59"/>
  <c r="T722" i="59" s="1"/>
  <c r="W722" i="59"/>
  <c r="X722" i="59" s="1"/>
  <c r="W723" i="59"/>
  <c r="X723" i="59" s="1"/>
  <c r="W724" i="59"/>
  <c r="W728" i="59"/>
  <c r="X728" i="59" s="1"/>
  <c r="W727" i="59"/>
  <c r="W730" i="59"/>
  <c r="X730" i="59" s="1"/>
  <c r="S727" i="59"/>
  <c r="O722" i="59"/>
  <c r="P722" i="59" s="1"/>
  <c r="S724" i="59"/>
  <c r="S725" i="59"/>
  <c r="T725" i="59" s="1"/>
  <c r="K722" i="59"/>
  <c r="K721" i="59"/>
  <c r="K725" i="59"/>
  <c r="L725" i="59" s="1"/>
  <c r="W731" i="59"/>
  <c r="X731" i="59" s="1"/>
  <c r="S728" i="59"/>
  <c r="T728" i="59" s="1"/>
  <c r="S730" i="59"/>
  <c r="T730" i="59" s="1"/>
  <c r="G722" i="59"/>
  <c r="S729" i="59"/>
  <c r="W726" i="59"/>
  <c r="X726" i="59" s="1"/>
  <c r="W725" i="59"/>
  <c r="X725" i="59" s="1"/>
  <c r="S723" i="59"/>
  <c r="T723" i="59" s="1"/>
  <c r="W721" i="59"/>
  <c r="W729" i="59"/>
  <c r="S726" i="59"/>
  <c r="T726" i="59" s="1"/>
  <c r="S775" i="57"/>
  <c r="T775" i="57" s="1"/>
  <c r="O766" i="57"/>
  <c r="P766" i="57" s="1"/>
  <c r="C765" i="57"/>
  <c r="AD770" i="57" s="1"/>
  <c r="W770" i="57"/>
  <c r="X770" i="57" s="1"/>
  <c r="W766" i="57"/>
  <c r="X766" i="57" s="1"/>
  <c r="S772" i="57"/>
  <c r="T772" i="57" s="1"/>
  <c r="K768" i="57"/>
  <c r="L768" i="57" s="1"/>
  <c r="W775" i="57"/>
  <c r="X775" i="57" s="1"/>
  <c r="S771" i="57"/>
  <c r="W769" i="57"/>
  <c r="X769" i="57" s="1"/>
  <c r="W771" i="57"/>
  <c r="G766" i="57"/>
  <c r="K769" i="57"/>
  <c r="L769" i="57" s="1"/>
  <c r="O765" i="57"/>
  <c r="P765" i="57" s="1"/>
  <c r="W772" i="57"/>
  <c r="X772" i="57" s="1"/>
  <c r="S768" i="57"/>
  <c r="S774" i="57"/>
  <c r="T774" i="57" s="1"/>
  <c r="S769" i="57"/>
  <c r="T769" i="57" s="1"/>
  <c r="S767" i="57"/>
  <c r="T767" i="57" s="1"/>
  <c r="W765" i="57"/>
  <c r="W774" i="57"/>
  <c r="X774" i="57" s="1"/>
  <c r="S770" i="57"/>
  <c r="T770" i="57" s="1"/>
  <c r="S773" i="57"/>
  <c r="W768" i="57"/>
  <c r="D765" i="57"/>
  <c r="W767" i="57"/>
  <c r="X767" i="57" s="1"/>
  <c r="S766" i="57"/>
  <c r="T766" i="57" s="1"/>
  <c r="C655" i="59"/>
  <c r="D655" i="59"/>
  <c r="S665" i="59"/>
  <c r="T665" i="59" s="1"/>
  <c r="S659" i="59"/>
  <c r="T659" i="59" s="1"/>
  <c r="W656" i="59"/>
  <c r="X656" i="59" s="1"/>
  <c r="O655" i="59"/>
  <c r="P655" i="59" s="1"/>
  <c r="W659" i="59"/>
  <c r="X659" i="59" s="1"/>
  <c r="W664" i="59"/>
  <c r="X664" i="59" s="1"/>
  <c r="S662" i="59"/>
  <c r="T662" i="59" s="1"/>
  <c r="W660" i="59"/>
  <c r="X660" i="59" s="1"/>
  <c r="K656" i="59"/>
  <c r="S661" i="59"/>
  <c r="W657" i="59"/>
  <c r="X657" i="59" s="1"/>
  <c r="S657" i="59"/>
  <c r="T657" i="59" s="1"/>
  <c r="W655" i="59"/>
  <c r="W665" i="59"/>
  <c r="X665" i="59" s="1"/>
  <c r="K659" i="59"/>
  <c r="L659" i="59" s="1"/>
  <c r="W658" i="59"/>
  <c r="S658" i="59"/>
  <c r="W661" i="59"/>
  <c r="O656" i="59"/>
  <c r="P656" i="59" s="1"/>
  <c r="W662" i="59"/>
  <c r="X662" i="59" s="1"/>
  <c r="S660" i="59"/>
  <c r="T660" i="59" s="1"/>
  <c r="S664" i="59"/>
  <c r="T664" i="59" s="1"/>
  <c r="W940" i="59"/>
  <c r="X940" i="59" s="1"/>
  <c r="S939" i="59"/>
  <c r="T939" i="59" s="1"/>
  <c r="S937" i="59"/>
  <c r="T937" i="59" s="1"/>
  <c r="W936" i="59"/>
  <c r="S935" i="59"/>
  <c r="T935" i="59" s="1"/>
  <c r="W934" i="59"/>
  <c r="X934" i="59" s="1"/>
  <c r="K934" i="59"/>
  <c r="L934" i="59" s="1"/>
  <c r="S932" i="59"/>
  <c r="T932" i="59" s="1"/>
  <c r="W931" i="59"/>
  <c r="X931" i="59" s="1"/>
  <c r="O931" i="59"/>
  <c r="P931" i="59" s="1"/>
  <c r="D930" i="59"/>
  <c r="S933" i="59"/>
  <c r="K931" i="59"/>
  <c r="W930" i="59"/>
  <c r="O930" i="59"/>
  <c r="P930" i="59" s="1"/>
  <c r="C930" i="59"/>
  <c r="S940" i="59"/>
  <c r="T940" i="59" s="1"/>
  <c r="W939" i="59"/>
  <c r="X939" i="59" s="1"/>
  <c r="S934" i="59"/>
  <c r="T934" i="59" s="1"/>
  <c r="W933" i="59"/>
  <c r="W935" i="59"/>
  <c r="X935" i="59" s="1"/>
  <c r="W937" i="59"/>
  <c r="X937" i="59" s="1"/>
  <c r="W932" i="59"/>
  <c r="X932" i="59" s="1"/>
  <c r="S936" i="59"/>
  <c r="K933" i="59"/>
  <c r="L933" i="59" s="1"/>
  <c r="S931" i="59"/>
  <c r="T931" i="59" s="1"/>
  <c r="W786" i="57"/>
  <c r="X786" i="57" s="1"/>
  <c r="S778" i="57"/>
  <c r="T778" i="57" s="1"/>
  <c r="W785" i="57"/>
  <c r="X785" i="57" s="1"/>
  <c r="K780" i="57"/>
  <c r="L780" i="57" s="1"/>
  <c r="W780" i="57"/>
  <c r="X780" i="57" s="1"/>
  <c r="W776" i="57"/>
  <c r="W782" i="57"/>
  <c r="W777" i="57"/>
  <c r="X777" i="57" s="1"/>
  <c r="S785" i="57"/>
  <c r="T785" i="57" s="1"/>
  <c r="S782" i="57"/>
  <c r="G777" i="57"/>
  <c r="S781" i="57"/>
  <c r="T781" i="57" s="1"/>
  <c r="S777" i="57"/>
  <c r="T777" i="57" s="1"/>
  <c r="W781" i="57"/>
  <c r="X781" i="57" s="1"/>
  <c r="O776" i="57"/>
  <c r="P776" i="57" s="1"/>
  <c r="K779" i="57"/>
  <c r="L779" i="57" s="1"/>
  <c r="O777" i="57"/>
  <c r="P777" i="57" s="1"/>
  <c r="W783" i="57"/>
  <c r="X783" i="57" s="1"/>
  <c r="S783" i="57"/>
  <c r="T783" i="57" s="1"/>
  <c r="W778" i="57"/>
  <c r="X778" i="57" s="1"/>
  <c r="S786" i="57"/>
  <c r="T786" i="57" s="1"/>
  <c r="S779" i="57"/>
  <c r="S780" i="57"/>
  <c r="T780" i="57" s="1"/>
  <c r="K703" i="60"/>
  <c r="X709" i="60"/>
  <c r="T703" i="60"/>
  <c r="W699" i="60"/>
  <c r="O699" i="60"/>
  <c r="P699" i="60" s="1"/>
  <c r="K700" i="60"/>
  <c r="W700" i="60"/>
  <c r="W707" i="60"/>
  <c r="X699" i="60"/>
  <c r="K702" i="60"/>
  <c r="W706" i="60"/>
  <c r="W701" i="60"/>
  <c r="S704" i="60"/>
  <c r="S708" i="60"/>
  <c r="S702" i="60"/>
  <c r="T705" i="60"/>
  <c r="S707" i="60"/>
  <c r="T701" i="60"/>
  <c r="T709" i="60"/>
  <c r="L700" i="60"/>
  <c r="W702" i="60"/>
  <c r="W708" i="60"/>
  <c r="G700" i="60"/>
  <c r="L702" i="60"/>
  <c r="X704" i="60"/>
  <c r="X708" i="60"/>
  <c r="H700" i="60"/>
  <c r="S703" i="60"/>
  <c r="T706" i="60"/>
  <c r="X707" i="60"/>
  <c r="S700" i="60"/>
  <c r="L703" i="60"/>
  <c r="C699" i="60"/>
  <c r="O700" i="60"/>
  <c r="P700" i="60" s="1"/>
  <c r="X702" i="60"/>
  <c r="S706" i="60"/>
  <c r="W709" i="60"/>
  <c r="D699" i="60"/>
  <c r="S701" i="60"/>
  <c r="X703" i="60"/>
  <c r="T707" i="60"/>
  <c r="S705" i="60"/>
  <c r="S709" i="60"/>
  <c r="T702" i="60"/>
  <c r="X706" i="60"/>
  <c r="X701" i="60"/>
  <c r="W703" i="60"/>
  <c r="L699" i="60"/>
  <c r="X700" i="60"/>
  <c r="K699" i="60"/>
  <c r="T704" i="60"/>
  <c r="X705" i="60"/>
  <c r="W705" i="60"/>
  <c r="W704" i="60"/>
  <c r="T700" i="60"/>
  <c r="T708" i="60"/>
  <c r="C644" i="59"/>
  <c r="D644" i="59"/>
  <c r="S720" i="59"/>
  <c r="T720" i="59" s="1"/>
  <c r="D710" i="59"/>
  <c r="C710" i="59"/>
  <c r="S712" i="59"/>
  <c r="T712" i="59" s="1"/>
  <c r="K711" i="59"/>
  <c r="S713" i="59"/>
  <c r="G711" i="59"/>
  <c r="W715" i="59"/>
  <c r="X715" i="59" s="1"/>
  <c r="W716" i="59"/>
  <c r="W717" i="59"/>
  <c r="X717" i="59" s="1"/>
  <c r="S715" i="59"/>
  <c r="T715" i="59" s="1"/>
  <c r="S719" i="59"/>
  <c r="T719" i="59" s="1"/>
  <c r="K710" i="59"/>
  <c r="S714" i="59"/>
  <c r="T714" i="59" s="1"/>
  <c r="S711" i="59"/>
  <c r="T711" i="59" s="1"/>
  <c r="O710" i="59"/>
  <c r="P710" i="59" s="1"/>
  <c r="W713" i="59"/>
  <c r="W718" i="59"/>
  <c r="S716" i="59"/>
  <c r="K714" i="59"/>
  <c r="L714" i="59" s="1"/>
  <c r="O711" i="59"/>
  <c r="P711" i="59" s="1"/>
  <c r="W720" i="59"/>
  <c r="X720" i="59" s="1"/>
  <c r="S718" i="59"/>
  <c r="S717" i="59"/>
  <c r="T717" i="59" s="1"/>
  <c r="W712" i="59"/>
  <c r="X712" i="59" s="1"/>
  <c r="W714" i="59"/>
  <c r="X714" i="59" s="1"/>
  <c r="W719" i="59"/>
  <c r="X719" i="59" s="1"/>
  <c r="W711" i="59"/>
  <c r="X711" i="59" s="1"/>
  <c r="T855" i="60"/>
  <c r="O854" i="60"/>
  <c r="P854" i="60" s="1"/>
  <c r="X863" i="60"/>
  <c r="X856" i="60"/>
  <c r="X853" i="60"/>
  <c r="D853" i="60"/>
  <c r="H854" i="60"/>
  <c r="S858" i="60"/>
  <c r="C853" i="60"/>
  <c r="T854" i="60"/>
  <c r="L857" i="60"/>
  <c r="W862" i="60"/>
  <c r="T857" i="60"/>
  <c r="K856" i="60"/>
  <c r="T858" i="60"/>
  <c r="W861" i="60"/>
  <c r="S859" i="60"/>
  <c r="S863" i="60"/>
  <c r="G853" i="60"/>
  <c r="W855" i="60"/>
  <c r="T859" i="60"/>
  <c r="S855" i="60"/>
  <c r="W857" i="60"/>
  <c r="W858" i="60"/>
  <c r="G854" i="60"/>
  <c r="X858" i="60"/>
  <c r="L854" i="60"/>
  <c r="T856" i="60"/>
  <c r="W859" i="60"/>
  <c r="T862" i="60"/>
  <c r="X859" i="60"/>
  <c r="O853" i="60"/>
  <c r="P853" i="60" s="1"/>
  <c r="S856" i="60"/>
  <c r="W860" i="60"/>
  <c r="W853" i="60"/>
  <c r="X855" i="60"/>
  <c r="X860" i="60"/>
  <c r="S860" i="60"/>
  <c r="W854" i="60"/>
  <c r="X862" i="60"/>
  <c r="S854" i="60"/>
  <c r="S857" i="60"/>
  <c r="T860" i="60"/>
  <c r="W863" i="60"/>
  <c r="S861" i="60"/>
  <c r="K857" i="60"/>
  <c r="W856" i="60"/>
  <c r="S862" i="60"/>
  <c r="T863" i="60"/>
  <c r="X854" i="60"/>
  <c r="L856" i="60"/>
  <c r="X857" i="60"/>
  <c r="K854" i="60"/>
  <c r="T861" i="60"/>
  <c r="X861" i="60"/>
  <c r="S687" i="59"/>
  <c r="T687" i="59" s="1"/>
  <c r="C677" i="59"/>
  <c r="D677" i="59"/>
  <c r="W680" i="59"/>
  <c r="K681" i="59"/>
  <c r="L681" i="59" s="1"/>
  <c r="W681" i="59"/>
  <c r="X681" i="59" s="1"/>
  <c r="O677" i="59"/>
  <c r="P677" i="59" s="1"/>
  <c r="O678" i="59"/>
  <c r="P678" i="59" s="1"/>
  <c r="W677" i="59"/>
  <c r="W682" i="59"/>
  <c r="X682" i="59" s="1"/>
  <c r="W683" i="59"/>
  <c r="W686" i="59"/>
  <c r="X686" i="59" s="1"/>
  <c r="S685" i="59"/>
  <c r="K677" i="59"/>
  <c r="S684" i="59"/>
  <c r="T684" i="59" s="1"/>
  <c r="K678" i="59"/>
  <c r="G678" i="59"/>
  <c r="W678" i="59"/>
  <c r="X678" i="59" s="1"/>
  <c r="W684" i="59"/>
  <c r="X684" i="59" s="1"/>
  <c r="W687" i="59"/>
  <c r="X687" i="59" s="1"/>
  <c r="S682" i="59"/>
  <c r="T682" i="59" s="1"/>
  <c r="S686" i="59"/>
  <c r="T686" i="59" s="1"/>
  <c r="S681" i="59"/>
  <c r="T681" i="59" s="1"/>
  <c r="W685" i="59"/>
  <c r="W679" i="59"/>
  <c r="X679" i="59" s="1"/>
  <c r="S680" i="59"/>
  <c r="S679" i="59"/>
  <c r="T679" i="59" s="1"/>
  <c r="S683" i="59"/>
  <c r="T723" i="60"/>
  <c r="W726" i="60"/>
  <c r="S722" i="60"/>
  <c r="K722" i="60"/>
  <c r="L722" i="60"/>
  <c r="C721" i="60"/>
  <c r="W728" i="60"/>
  <c r="W729" i="60"/>
  <c r="W723" i="60"/>
  <c r="S726" i="60"/>
  <c r="S730" i="60"/>
  <c r="L721" i="60"/>
  <c r="T724" i="60"/>
  <c r="K725" i="60"/>
  <c r="K724" i="60"/>
  <c r="W722" i="60"/>
  <c r="W721" i="60"/>
  <c r="T731" i="60"/>
  <c r="G722" i="60"/>
  <c r="L724" i="60"/>
  <c r="X726" i="60"/>
  <c r="X730" i="60"/>
  <c r="S724" i="60"/>
  <c r="T727" i="60"/>
  <c r="X731" i="60"/>
  <c r="L725" i="60"/>
  <c r="W724" i="60"/>
  <c r="X722" i="60"/>
  <c r="D721" i="60"/>
  <c r="O722" i="60"/>
  <c r="P722" i="60" s="1"/>
  <c r="X724" i="60"/>
  <c r="S728" i="60"/>
  <c r="W731" i="60"/>
  <c r="H722" i="60"/>
  <c r="S725" i="60"/>
  <c r="T728" i="60"/>
  <c r="X721" i="60"/>
  <c r="W727" i="60"/>
  <c r="X728" i="60"/>
  <c r="S723" i="60"/>
  <c r="T729" i="60"/>
  <c r="S729" i="60"/>
  <c r="K721" i="60"/>
  <c r="X723" i="60"/>
  <c r="T730" i="60"/>
  <c r="X729" i="60"/>
  <c r="O721" i="60"/>
  <c r="P721" i="60" s="1"/>
  <c r="T722" i="60"/>
  <c r="X725" i="60"/>
  <c r="S727" i="60"/>
  <c r="S731" i="60"/>
  <c r="W725" i="60"/>
  <c r="W730" i="60"/>
  <c r="T725" i="60"/>
  <c r="X727" i="60"/>
  <c r="T726" i="60"/>
  <c r="U812" i="57"/>
  <c r="X812" i="57" s="1"/>
  <c r="Q809" i="57"/>
  <c r="X665" i="60"/>
  <c r="W659" i="60"/>
  <c r="T657" i="60"/>
  <c r="G655" i="60"/>
  <c r="L659" i="60"/>
  <c r="K656" i="60"/>
  <c r="L656" i="60"/>
  <c r="W655" i="60"/>
  <c r="X658" i="60"/>
  <c r="T659" i="60"/>
  <c r="O655" i="60"/>
  <c r="P655" i="60" s="1"/>
  <c r="W657" i="60"/>
  <c r="X657" i="60"/>
  <c r="T660" i="60"/>
  <c r="S662" i="60"/>
  <c r="W661" i="60"/>
  <c r="W665" i="60"/>
  <c r="X663" i="60"/>
  <c r="T661" i="60"/>
  <c r="X655" i="60"/>
  <c r="X664" i="60"/>
  <c r="H656" i="60"/>
  <c r="T658" i="60"/>
  <c r="G656" i="60"/>
  <c r="S658" i="60"/>
  <c r="S664" i="60"/>
  <c r="T662" i="60"/>
  <c r="S661" i="60"/>
  <c r="S665" i="60"/>
  <c r="W658" i="60"/>
  <c r="W656" i="60"/>
  <c r="S656" i="60"/>
  <c r="K659" i="60"/>
  <c r="X660" i="60"/>
  <c r="O656" i="60"/>
  <c r="P656" i="60" s="1"/>
  <c r="S659" i="60"/>
  <c r="X662" i="60"/>
  <c r="W664" i="60"/>
  <c r="W663" i="60"/>
  <c r="X661" i="60"/>
  <c r="L658" i="60"/>
  <c r="X656" i="60"/>
  <c r="S657" i="60"/>
  <c r="C655" i="60"/>
  <c r="K658" i="60"/>
  <c r="S660" i="60"/>
  <c r="W662" i="60"/>
  <c r="X659" i="60"/>
  <c r="T665" i="60"/>
  <c r="D655" i="60"/>
  <c r="W660" i="60"/>
  <c r="T664" i="60"/>
  <c r="S663" i="60"/>
  <c r="L736" i="60"/>
  <c r="X742" i="60"/>
  <c r="T734" i="60"/>
  <c r="X732" i="60"/>
  <c r="T735" i="60"/>
  <c r="K736" i="60"/>
  <c r="K735" i="60"/>
  <c r="X733" i="60"/>
  <c r="W733" i="60"/>
  <c r="D732" i="60"/>
  <c r="O733" i="60"/>
  <c r="P733" i="60" s="1"/>
  <c r="X735" i="60"/>
  <c r="S739" i="60"/>
  <c r="W742" i="60"/>
  <c r="S734" i="60"/>
  <c r="X736" i="60"/>
  <c r="T740" i="60"/>
  <c r="T736" i="60"/>
  <c r="W735" i="60"/>
  <c r="W738" i="60"/>
  <c r="K732" i="60"/>
  <c r="T733" i="60"/>
  <c r="W736" i="60"/>
  <c r="X739" i="60"/>
  <c r="X734" i="60"/>
  <c r="T737" i="60"/>
  <c r="T741" i="60"/>
  <c r="S738" i="60"/>
  <c r="S742" i="60"/>
  <c r="W737" i="60"/>
  <c r="C732" i="60"/>
  <c r="W739" i="60"/>
  <c r="O732" i="60"/>
  <c r="P732" i="60" s="1"/>
  <c r="W741" i="60"/>
  <c r="W740" i="60"/>
  <c r="W734" i="60"/>
  <c r="S737" i="60"/>
  <c r="S741" i="60"/>
  <c r="S735" i="60"/>
  <c r="T738" i="60"/>
  <c r="X738" i="60"/>
  <c r="T742" i="60"/>
  <c r="G733" i="60"/>
  <c r="H733" i="60"/>
  <c r="W732" i="60"/>
  <c r="L733" i="60"/>
  <c r="L735" i="60"/>
  <c r="S736" i="60"/>
  <c r="S733" i="60"/>
  <c r="X737" i="60"/>
  <c r="T739" i="60"/>
  <c r="S740" i="60"/>
  <c r="X741" i="60"/>
  <c r="X740" i="60"/>
  <c r="K733" i="60"/>
  <c r="S929" i="59"/>
  <c r="T929" i="59" s="1"/>
  <c r="W928" i="59"/>
  <c r="X928" i="59" s="1"/>
  <c r="W926" i="59"/>
  <c r="X926" i="59" s="1"/>
  <c r="S925" i="59"/>
  <c r="W924" i="59"/>
  <c r="X924" i="59" s="1"/>
  <c r="S923" i="59"/>
  <c r="T923" i="59" s="1"/>
  <c r="W921" i="59"/>
  <c r="X921" i="59" s="1"/>
  <c r="S920" i="59"/>
  <c r="T920" i="59" s="1"/>
  <c r="K922" i="59"/>
  <c r="L922" i="59" s="1"/>
  <c r="W919" i="59"/>
  <c r="W925" i="59"/>
  <c r="S922" i="59"/>
  <c r="W920" i="59"/>
  <c r="X920" i="59" s="1"/>
  <c r="O919" i="59"/>
  <c r="P919" i="59" s="1"/>
  <c r="C919" i="59"/>
  <c r="S928" i="59"/>
  <c r="T928" i="59" s="1"/>
  <c r="O920" i="59"/>
  <c r="P920" i="59" s="1"/>
  <c r="D919" i="59"/>
  <c r="S926" i="59"/>
  <c r="T926" i="59" s="1"/>
  <c r="K923" i="59"/>
  <c r="L923" i="59" s="1"/>
  <c r="S921" i="59"/>
  <c r="T921" i="59" s="1"/>
  <c r="K920" i="59"/>
  <c r="S924" i="59"/>
  <c r="T924" i="59" s="1"/>
  <c r="W923" i="59"/>
  <c r="X923" i="59" s="1"/>
  <c r="W929" i="59"/>
  <c r="X929" i="59" s="1"/>
  <c r="P644" i="60"/>
  <c r="S544" i="59"/>
  <c r="T544" i="59" s="1"/>
  <c r="S543" i="59"/>
  <c r="T543" i="59" s="1"/>
  <c r="O534" i="59"/>
  <c r="P534" i="59" s="1"/>
  <c r="S541" i="59"/>
  <c r="T541" i="59" s="1"/>
  <c r="W537" i="59"/>
  <c r="W541" i="59"/>
  <c r="X541" i="59" s="1"/>
  <c r="S539" i="59"/>
  <c r="T539" i="59" s="1"/>
  <c r="O535" i="59"/>
  <c r="P535" i="59" s="1"/>
  <c r="C534" i="59"/>
  <c r="S537" i="59"/>
  <c r="K535" i="59"/>
  <c r="W540" i="59"/>
  <c r="D534" i="59"/>
  <c r="E535" i="59" s="1"/>
  <c r="W543" i="59"/>
  <c r="X543" i="59" s="1"/>
  <c r="W538" i="59"/>
  <c r="X538" i="59" s="1"/>
  <c r="W536" i="59"/>
  <c r="X536" i="59" s="1"/>
  <c r="S538" i="59"/>
  <c r="T538" i="59" s="1"/>
  <c r="G535" i="59"/>
  <c r="W535" i="59"/>
  <c r="X535" i="59" s="1"/>
  <c r="W544" i="59"/>
  <c r="X544" i="59" s="1"/>
  <c r="S540" i="59"/>
  <c r="K538" i="59"/>
  <c r="L538" i="59" s="1"/>
  <c r="W539" i="59"/>
  <c r="X539" i="59" s="1"/>
  <c r="D655" i="57"/>
  <c r="C655" i="57"/>
  <c r="AD660" i="57" s="1"/>
  <c r="K634" i="59"/>
  <c r="S636" i="59"/>
  <c r="W527" i="59"/>
  <c r="X527" i="59" s="1"/>
  <c r="O523" i="59"/>
  <c r="P523" i="59" s="1"/>
  <c r="S620" i="59"/>
  <c r="T620" i="59" s="1"/>
  <c r="K615" i="59"/>
  <c r="L615" i="59" s="1"/>
  <c r="W532" i="59"/>
  <c r="X532" i="59" s="1"/>
  <c r="O524" i="59"/>
  <c r="P524" i="59" s="1"/>
  <c r="S613" i="59"/>
  <c r="T613" i="59" s="1"/>
  <c r="K524" i="59"/>
  <c r="C523" i="59"/>
  <c r="W612" i="59"/>
  <c r="X612" i="59" s="1"/>
  <c r="S529" i="59"/>
  <c r="S615" i="59"/>
  <c r="T615" i="59" s="1"/>
  <c r="W528" i="59"/>
  <c r="X528" i="59" s="1"/>
  <c r="D523" i="59"/>
  <c r="I523" i="59" s="1"/>
  <c r="W621" i="59"/>
  <c r="X621" i="59" s="1"/>
  <c r="W620" i="59"/>
  <c r="X620" i="59" s="1"/>
  <c r="W618" i="59"/>
  <c r="X618" i="59" s="1"/>
  <c r="G524" i="59"/>
  <c r="W529" i="59"/>
  <c r="W526" i="59"/>
  <c r="S528" i="59"/>
  <c r="T528" i="59" s="1"/>
  <c r="K527" i="59"/>
  <c r="L527" i="59" s="1"/>
  <c r="D611" i="59"/>
  <c r="U617" i="59" s="1"/>
  <c r="W617" i="59"/>
  <c r="W613" i="59"/>
  <c r="X613" i="59" s="1"/>
  <c r="K611" i="59"/>
  <c r="K612" i="59"/>
  <c r="S621" i="59"/>
  <c r="T621" i="59" s="1"/>
  <c r="W524" i="59"/>
  <c r="X524" i="59" s="1"/>
  <c r="S527" i="59"/>
  <c r="T527" i="59" s="1"/>
  <c r="S525" i="59"/>
  <c r="T525" i="59" s="1"/>
  <c r="K526" i="59"/>
  <c r="L526" i="59" s="1"/>
  <c r="S533" i="59"/>
  <c r="T533" i="59" s="1"/>
  <c r="K614" i="59"/>
  <c r="L614" i="59" s="1"/>
  <c r="W616" i="59"/>
  <c r="X616" i="59" s="1"/>
  <c r="O611" i="59"/>
  <c r="P611" i="59" s="1"/>
  <c r="S551" i="59"/>
  <c r="S530" i="59"/>
  <c r="T530" i="59" s="1"/>
  <c r="W530" i="59"/>
  <c r="X530" i="59" s="1"/>
  <c r="S526" i="59"/>
  <c r="W533" i="59"/>
  <c r="X533" i="59" s="1"/>
  <c r="S532" i="59"/>
  <c r="T532" i="59" s="1"/>
  <c r="W523" i="59"/>
  <c r="C611" i="59"/>
  <c r="S618" i="59"/>
  <c r="T618" i="59" s="1"/>
  <c r="S617" i="59"/>
  <c r="S616" i="59"/>
  <c r="T616" i="59" s="1"/>
  <c r="O612" i="59"/>
  <c r="P612" i="59" s="1"/>
  <c r="W615" i="59"/>
  <c r="X615" i="59" s="1"/>
  <c r="W601" i="59"/>
  <c r="X601" i="59" s="1"/>
  <c r="S576" i="59"/>
  <c r="T576" i="59" s="1"/>
  <c r="S625" i="59"/>
  <c r="W628" i="59"/>
  <c r="W588" i="59"/>
  <c r="X588" i="59" s="1"/>
  <c r="C622" i="59"/>
  <c r="S624" i="59"/>
  <c r="T624" i="59" s="1"/>
  <c r="W623" i="59"/>
  <c r="X623" i="59" s="1"/>
  <c r="W624" i="59"/>
  <c r="X624" i="59" s="1"/>
  <c r="W626" i="59"/>
  <c r="X626" i="59" s="1"/>
  <c r="S629" i="59"/>
  <c r="T629" i="59" s="1"/>
  <c r="O622" i="59"/>
  <c r="P622" i="59" s="1"/>
  <c r="S626" i="59"/>
  <c r="T626" i="59" s="1"/>
  <c r="K579" i="59"/>
  <c r="W629" i="59"/>
  <c r="X629" i="59" s="1"/>
  <c r="O623" i="59"/>
  <c r="P623" i="59" s="1"/>
  <c r="S631" i="59"/>
  <c r="T631" i="59" s="1"/>
  <c r="K626" i="59"/>
  <c r="L626" i="59" s="1"/>
  <c r="W582" i="59"/>
  <c r="X582" i="59" s="1"/>
  <c r="S591" i="59"/>
  <c r="T591" i="59" s="1"/>
  <c r="K582" i="59"/>
  <c r="L582" i="59" s="1"/>
  <c r="W579" i="59"/>
  <c r="X579" i="59" s="1"/>
  <c r="O579" i="59"/>
  <c r="P579" i="59" s="1"/>
  <c r="S584" i="59"/>
  <c r="W585" i="59"/>
  <c r="X585" i="59" s="1"/>
  <c r="W632" i="59"/>
  <c r="X632" i="59" s="1"/>
  <c r="W627" i="59"/>
  <c r="X627" i="59" s="1"/>
  <c r="S627" i="59"/>
  <c r="T627" i="59" s="1"/>
  <c r="W631" i="59"/>
  <c r="X631" i="59" s="1"/>
  <c r="W591" i="59"/>
  <c r="X591" i="59" s="1"/>
  <c r="K593" i="59"/>
  <c r="L593" i="59" s="1"/>
  <c r="G601" i="59"/>
  <c r="S587" i="59"/>
  <c r="T587" i="59" s="1"/>
  <c r="O578" i="59"/>
  <c r="P578" i="59" s="1"/>
  <c r="S603" i="59"/>
  <c r="K581" i="59"/>
  <c r="L581" i="59" s="1"/>
  <c r="G579" i="59"/>
  <c r="S585" i="59"/>
  <c r="T585" i="59" s="1"/>
  <c r="S582" i="59"/>
  <c r="T582" i="59" s="1"/>
  <c r="W580" i="59"/>
  <c r="X580" i="59" s="1"/>
  <c r="S583" i="59"/>
  <c r="T583" i="59" s="1"/>
  <c r="S580" i="59"/>
  <c r="T580" i="59" s="1"/>
  <c r="D622" i="59"/>
  <c r="E622" i="59" s="1"/>
  <c r="S628" i="59"/>
  <c r="K623" i="59"/>
  <c r="K592" i="59"/>
  <c r="L592" i="59" s="1"/>
  <c r="C589" i="59"/>
  <c r="D600" i="59"/>
  <c r="I600" i="59" s="1"/>
  <c r="S571" i="59"/>
  <c r="T571" i="59" s="1"/>
  <c r="S598" i="59"/>
  <c r="T598" i="59" s="1"/>
  <c r="W595" i="59"/>
  <c r="K603" i="59"/>
  <c r="L603" i="59" s="1"/>
  <c r="O600" i="59"/>
  <c r="P600" i="59" s="1"/>
  <c r="W586" i="59"/>
  <c r="S581" i="59"/>
  <c r="W587" i="59"/>
  <c r="X587" i="59" s="1"/>
  <c r="W583" i="59"/>
  <c r="X583" i="59" s="1"/>
  <c r="C578" i="59"/>
  <c r="W584" i="59"/>
  <c r="D578" i="59"/>
  <c r="Q578" i="59" s="1"/>
  <c r="O589" i="59"/>
  <c r="P589" i="59" s="1"/>
  <c r="S593" i="59"/>
  <c r="T593" i="59" s="1"/>
  <c r="K590" i="59"/>
  <c r="S607" i="59"/>
  <c r="T607" i="59" s="1"/>
  <c r="W607" i="59"/>
  <c r="X607" i="59" s="1"/>
  <c r="K568" i="59"/>
  <c r="W642" i="59"/>
  <c r="X642" i="59" s="1"/>
  <c r="K637" i="59"/>
  <c r="L637" i="59" s="1"/>
  <c r="G590" i="59"/>
  <c r="W596" i="59"/>
  <c r="X596" i="59" s="1"/>
  <c r="W594" i="59"/>
  <c r="X594" i="59" s="1"/>
  <c r="D589" i="59"/>
  <c r="U595" i="59" s="1"/>
  <c r="S596" i="59"/>
  <c r="T596" i="59" s="1"/>
  <c r="S595" i="59"/>
  <c r="W590" i="59"/>
  <c r="X590" i="59" s="1"/>
  <c r="S599" i="59"/>
  <c r="T599" i="59" s="1"/>
  <c r="W604" i="59"/>
  <c r="X604" i="59" s="1"/>
  <c r="S602" i="59"/>
  <c r="T602" i="59" s="1"/>
  <c r="O568" i="59"/>
  <c r="P568" i="59" s="1"/>
  <c r="O590" i="59"/>
  <c r="P590" i="59" s="1"/>
  <c r="W593" i="59"/>
  <c r="X593" i="59" s="1"/>
  <c r="S594" i="59"/>
  <c r="T594" i="59" s="1"/>
  <c r="W598" i="59"/>
  <c r="X598" i="59" s="1"/>
  <c r="W597" i="59"/>
  <c r="W599" i="59"/>
  <c r="X599" i="59" s="1"/>
  <c r="K589" i="59"/>
  <c r="W602" i="59"/>
  <c r="X602" i="59" s="1"/>
  <c r="S606" i="59"/>
  <c r="C600" i="59"/>
  <c r="W605" i="59"/>
  <c r="X605" i="59" s="1"/>
  <c r="W573" i="59"/>
  <c r="W643" i="59"/>
  <c r="X643" i="59" s="1"/>
  <c r="W634" i="59"/>
  <c r="X634" i="59" s="1"/>
  <c r="S640" i="59"/>
  <c r="T640" i="59" s="1"/>
  <c r="S635" i="59"/>
  <c r="T635" i="59" s="1"/>
  <c r="W638" i="59"/>
  <c r="X638" i="59" s="1"/>
  <c r="D633" i="59"/>
  <c r="U641" i="59" s="1"/>
  <c r="W640" i="59"/>
  <c r="X640" i="59" s="1"/>
  <c r="W637" i="59"/>
  <c r="X637" i="59" s="1"/>
  <c r="S642" i="59"/>
  <c r="T642" i="59" s="1"/>
  <c r="W635" i="59"/>
  <c r="X635" i="59" s="1"/>
  <c r="C633" i="59"/>
  <c r="S643" i="59"/>
  <c r="T643" i="59" s="1"/>
  <c r="S638" i="59"/>
  <c r="T638" i="59" s="1"/>
  <c r="S639" i="59"/>
  <c r="W639" i="59"/>
  <c r="O633" i="59"/>
  <c r="P633" i="59" s="1"/>
  <c r="O634" i="59"/>
  <c r="P634" i="59" s="1"/>
  <c r="W547" i="59"/>
  <c r="X547" i="59" s="1"/>
  <c r="S555" i="59"/>
  <c r="T555" i="59" s="1"/>
  <c r="W518" i="59"/>
  <c r="S517" i="59"/>
  <c r="T517" i="59" s="1"/>
  <c r="W514" i="59"/>
  <c r="X514" i="59" s="1"/>
  <c r="K549" i="59"/>
  <c r="L549" i="59" s="1"/>
  <c r="S549" i="59"/>
  <c r="T549" i="59" s="1"/>
  <c r="W522" i="59"/>
  <c r="X522" i="59" s="1"/>
  <c r="S547" i="59"/>
  <c r="T547" i="59" s="1"/>
  <c r="S554" i="59"/>
  <c r="T554" i="59" s="1"/>
  <c r="S521" i="59"/>
  <c r="T521" i="59" s="1"/>
  <c r="K513" i="59"/>
  <c r="W551" i="59"/>
  <c r="K546" i="59"/>
  <c r="S550" i="59"/>
  <c r="T550" i="59" s="1"/>
  <c r="W517" i="59"/>
  <c r="X517" i="59" s="1"/>
  <c r="K512" i="59"/>
  <c r="G513" i="59"/>
  <c r="S518" i="59"/>
  <c r="O512" i="59"/>
  <c r="P512" i="59" s="1"/>
  <c r="S514" i="59"/>
  <c r="T514" i="59" s="1"/>
  <c r="W549" i="59"/>
  <c r="X549" i="59" s="1"/>
  <c r="C545" i="59"/>
  <c r="W555" i="59"/>
  <c r="X555" i="59" s="1"/>
  <c r="S553" i="59"/>
  <c r="G546" i="59"/>
  <c r="W552" i="59"/>
  <c r="X552" i="59" s="1"/>
  <c r="O546" i="59"/>
  <c r="P546" i="59" s="1"/>
  <c r="C512" i="59"/>
  <c r="K516" i="59"/>
  <c r="L516" i="59" s="1"/>
  <c r="S516" i="59"/>
  <c r="T516" i="59" s="1"/>
  <c r="W515" i="59"/>
  <c r="W513" i="59"/>
  <c r="X513" i="59" s="1"/>
  <c r="W519" i="59"/>
  <c r="X519" i="59" s="1"/>
  <c r="S552" i="59"/>
  <c r="T552" i="59" s="1"/>
  <c r="W550" i="59"/>
  <c r="X550" i="59" s="1"/>
  <c r="W554" i="59"/>
  <c r="X554" i="59" s="1"/>
  <c r="O545" i="59"/>
  <c r="P545" i="59" s="1"/>
  <c r="W546" i="59"/>
  <c r="X546" i="59" s="1"/>
  <c r="W521" i="59"/>
  <c r="X521" i="59" s="1"/>
  <c r="S519" i="59"/>
  <c r="T519" i="59" s="1"/>
  <c r="O513" i="59"/>
  <c r="P513" i="59" s="1"/>
  <c r="D512" i="59"/>
  <c r="Q520" i="59" s="1"/>
  <c r="W516" i="59"/>
  <c r="X516" i="59" s="1"/>
  <c r="W571" i="59"/>
  <c r="X571" i="59" s="1"/>
  <c r="K571" i="59"/>
  <c r="L571" i="59" s="1"/>
  <c r="W610" i="59"/>
  <c r="X610" i="59" s="1"/>
  <c r="K601" i="59"/>
  <c r="S604" i="59"/>
  <c r="T604" i="59" s="1"/>
  <c r="K604" i="59"/>
  <c r="L604" i="59" s="1"/>
  <c r="C567" i="59"/>
  <c r="K567" i="59"/>
  <c r="S609" i="59"/>
  <c r="T609" i="59" s="1"/>
  <c r="S605" i="59"/>
  <c r="T605" i="59" s="1"/>
  <c r="W609" i="59"/>
  <c r="X609" i="59" s="1"/>
  <c r="W606" i="59"/>
  <c r="O601" i="59"/>
  <c r="P601" i="59" s="1"/>
  <c r="W576" i="59"/>
  <c r="X576" i="59" s="1"/>
  <c r="S574" i="59"/>
  <c r="T574" i="59" s="1"/>
  <c r="O567" i="59"/>
  <c r="P567" i="59" s="1"/>
  <c r="S569" i="59"/>
  <c r="T569" i="59" s="1"/>
  <c r="G568" i="59"/>
  <c r="K570" i="59"/>
  <c r="L570" i="59" s="1"/>
  <c r="W572" i="59"/>
  <c r="X572" i="59" s="1"/>
  <c r="W568" i="59"/>
  <c r="X568" i="59" s="1"/>
  <c r="S572" i="59"/>
  <c r="T572" i="59" s="1"/>
  <c r="D567" i="59"/>
  <c r="I568" i="59" s="1"/>
  <c r="W574" i="59"/>
  <c r="X574" i="59" s="1"/>
  <c r="S573" i="59"/>
  <c r="W577" i="59"/>
  <c r="X577" i="59" s="1"/>
  <c r="W569" i="59"/>
  <c r="X569" i="59" s="1"/>
  <c r="U559" i="60"/>
  <c r="Q559" i="60"/>
  <c r="U562" i="60"/>
  <c r="I556" i="60"/>
  <c r="Q556" i="60"/>
  <c r="Q564" i="60"/>
  <c r="U556" i="60"/>
  <c r="I557" i="60"/>
  <c r="E556" i="60"/>
  <c r="U564" i="60"/>
  <c r="E557" i="60"/>
  <c r="S626" i="60"/>
  <c r="L625" i="60"/>
  <c r="T628" i="60"/>
  <c r="H623" i="60"/>
  <c r="K626" i="60"/>
  <c r="G623" i="60"/>
  <c r="X624" i="60"/>
  <c r="T632" i="60"/>
  <c r="O623" i="60"/>
  <c r="P623" i="60" s="1"/>
  <c r="X626" i="60"/>
  <c r="W629" i="60"/>
  <c r="K622" i="60"/>
  <c r="W623" i="60"/>
  <c r="W626" i="60"/>
  <c r="S629" i="60"/>
  <c r="X631" i="60"/>
  <c r="W630" i="60"/>
  <c r="X628" i="60"/>
  <c r="X632" i="60"/>
  <c r="X623" i="60"/>
  <c r="T625" i="60"/>
  <c r="D622" i="60"/>
  <c r="W631" i="60"/>
  <c r="T624" i="60"/>
  <c r="S627" i="60"/>
  <c r="X629" i="60"/>
  <c r="W628" i="60"/>
  <c r="T631" i="60"/>
  <c r="S630" i="60"/>
  <c r="K625" i="60"/>
  <c r="L623" i="60"/>
  <c r="O622" i="60"/>
  <c r="P622" i="60" s="1"/>
  <c r="X627" i="60"/>
  <c r="W632" i="60"/>
  <c r="K623" i="60"/>
  <c r="S632" i="60"/>
  <c r="W624" i="60"/>
  <c r="S625" i="60"/>
  <c r="T629" i="60"/>
  <c r="T626" i="60"/>
  <c r="C622" i="60"/>
  <c r="W627" i="60"/>
  <c r="S628" i="60"/>
  <c r="L626" i="60"/>
  <c r="S624" i="60"/>
  <c r="T627" i="60"/>
  <c r="W625" i="60"/>
  <c r="S631" i="60"/>
  <c r="X577" i="60"/>
  <c r="K571" i="60"/>
  <c r="S569" i="60"/>
  <c r="G568" i="60"/>
  <c r="O568" i="60"/>
  <c r="P568" i="60" s="1"/>
  <c r="O567" i="60"/>
  <c r="P567" i="60" s="1"/>
  <c r="T573" i="60"/>
  <c r="L568" i="60"/>
  <c r="L571" i="60"/>
  <c r="W576" i="60"/>
  <c r="K567" i="60"/>
  <c r="K570" i="60"/>
  <c r="X568" i="60"/>
  <c r="H568" i="60"/>
  <c r="T571" i="60"/>
  <c r="C567" i="60"/>
  <c r="S568" i="60"/>
  <c r="T572" i="60"/>
  <c r="S570" i="60"/>
  <c r="X572" i="60"/>
  <c r="S576" i="60"/>
  <c r="T574" i="60"/>
  <c r="L570" i="60"/>
  <c r="X569" i="60"/>
  <c r="K568" i="60"/>
  <c r="W571" i="60"/>
  <c r="X574" i="60"/>
  <c r="W575" i="60"/>
  <c r="S573" i="60"/>
  <c r="S577" i="60"/>
  <c r="W569" i="60"/>
  <c r="T577" i="60"/>
  <c r="W577" i="60"/>
  <c r="S575" i="60"/>
  <c r="D567" i="60"/>
  <c r="X571" i="60"/>
  <c r="T570" i="60"/>
  <c r="W568" i="60"/>
  <c r="S572" i="60"/>
  <c r="X576" i="60"/>
  <c r="T576" i="60"/>
  <c r="X573" i="60"/>
  <c r="T575" i="60"/>
  <c r="S571" i="60"/>
  <c r="L567" i="60"/>
  <c r="W572" i="60"/>
  <c r="T569" i="60"/>
  <c r="W573" i="60"/>
  <c r="W574" i="60"/>
  <c r="S574" i="60"/>
  <c r="X575" i="60"/>
  <c r="X555" i="60"/>
  <c r="S549" i="60"/>
  <c r="G546" i="60"/>
  <c r="C545" i="60"/>
  <c r="T550" i="60"/>
  <c r="T555" i="60"/>
  <c r="W548" i="60"/>
  <c r="W554" i="60"/>
  <c r="W547" i="60"/>
  <c r="T551" i="60"/>
  <c r="W545" i="60"/>
  <c r="S548" i="60"/>
  <c r="X550" i="60"/>
  <c r="X554" i="60"/>
  <c r="S553" i="60"/>
  <c r="T548" i="60"/>
  <c r="D545" i="60"/>
  <c r="W550" i="60"/>
  <c r="H546" i="60"/>
  <c r="X552" i="60"/>
  <c r="S551" i="60"/>
  <c r="T552" i="60"/>
  <c r="L545" i="60"/>
  <c r="X547" i="60"/>
  <c r="W551" i="60"/>
  <c r="O546" i="60"/>
  <c r="P546" i="60" s="1"/>
  <c r="X549" i="60"/>
  <c r="K546" i="60"/>
  <c r="S552" i="60"/>
  <c r="X553" i="60"/>
  <c r="W555" i="60"/>
  <c r="W552" i="60"/>
  <c r="T553" i="60"/>
  <c r="K549" i="60"/>
  <c r="W546" i="60"/>
  <c r="W549" i="60"/>
  <c r="S555" i="60"/>
  <c r="T554" i="60"/>
  <c r="O545" i="60"/>
  <c r="P545" i="60" s="1"/>
  <c r="T547" i="60"/>
  <c r="S547" i="60"/>
  <c r="X546" i="60"/>
  <c r="S550" i="60"/>
  <c r="L546" i="60"/>
  <c r="T549" i="60"/>
  <c r="S554" i="60"/>
  <c r="L549" i="60"/>
  <c r="W553" i="60"/>
  <c r="K545" i="60"/>
  <c r="X551" i="60"/>
  <c r="T637" i="60"/>
  <c r="W636" i="60"/>
  <c r="X643" i="60"/>
  <c r="O634" i="60"/>
  <c r="P634" i="60" s="1"/>
  <c r="T643" i="60"/>
  <c r="L637" i="60"/>
  <c r="L636" i="60"/>
  <c r="S635" i="60"/>
  <c r="O633" i="60"/>
  <c r="T639" i="60"/>
  <c r="K637" i="60"/>
  <c r="W642" i="60"/>
  <c r="W640" i="60"/>
  <c r="W638" i="60"/>
  <c r="W635" i="60"/>
  <c r="H634" i="60"/>
  <c r="D633" i="60"/>
  <c r="X635" i="60"/>
  <c r="W633" i="60"/>
  <c r="T635" i="60"/>
  <c r="S638" i="60"/>
  <c r="X640" i="60"/>
  <c r="X634" i="60"/>
  <c r="X637" i="60"/>
  <c r="S641" i="60"/>
  <c r="S636" i="60"/>
  <c r="X638" i="60"/>
  <c r="G634" i="60"/>
  <c r="K636" i="60"/>
  <c r="T638" i="60"/>
  <c r="W641" i="60"/>
  <c r="X641" i="60"/>
  <c r="K633" i="60"/>
  <c r="S642" i="60"/>
  <c r="L633" i="60"/>
  <c r="T636" i="60"/>
  <c r="T642" i="60"/>
  <c r="S639" i="60"/>
  <c r="C633" i="60"/>
  <c r="W637" i="60"/>
  <c r="X642" i="60"/>
  <c r="S637" i="60"/>
  <c r="W643" i="60"/>
  <c r="X639" i="60"/>
  <c r="K634" i="60"/>
  <c r="L634" i="60"/>
  <c r="W634" i="60"/>
  <c r="W639" i="60"/>
  <c r="S643" i="60"/>
  <c r="T640" i="60"/>
  <c r="S640" i="60"/>
  <c r="X522" i="60"/>
  <c r="L516" i="60"/>
  <c r="C512" i="60"/>
  <c r="T518" i="60"/>
  <c r="W514" i="60"/>
  <c r="O513" i="60"/>
  <c r="P513" i="60" s="1"/>
  <c r="W517" i="60"/>
  <c r="K512" i="60"/>
  <c r="T514" i="60"/>
  <c r="S517" i="60"/>
  <c r="S521" i="60"/>
  <c r="S516" i="60"/>
  <c r="T519" i="60"/>
  <c r="S518" i="60"/>
  <c r="S522" i="60"/>
  <c r="D512" i="60"/>
  <c r="L515" i="60"/>
  <c r="T520" i="60"/>
  <c r="W515" i="60"/>
  <c r="X514" i="60"/>
  <c r="O512" i="60"/>
  <c r="P512" i="60" s="1"/>
  <c r="W519" i="60"/>
  <c r="S515" i="60"/>
  <c r="X517" i="60"/>
  <c r="X521" i="60"/>
  <c r="X513" i="60"/>
  <c r="X516" i="60"/>
  <c r="W520" i="60"/>
  <c r="X518" i="60"/>
  <c r="H513" i="60"/>
  <c r="W513" i="60"/>
  <c r="X519" i="60"/>
  <c r="L513" i="60"/>
  <c r="W518" i="60"/>
  <c r="X520" i="60"/>
  <c r="T522" i="60"/>
  <c r="S514" i="60"/>
  <c r="X515" i="60"/>
  <c r="K515" i="60"/>
  <c r="T521" i="60"/>
  <c r="K516" i="60"/>
  <c r="W516" i="60"/>
  <c r="L512" i="60"/>
  <c r="T515" i="60"/>
  <c r="W522" i="60"/>
  <c r="T516" i="60"/>
  <c r="W521" i="60"/>
  <c r="K513" i="60"/>
  <c r="S519" i="60"/>
  <c r="G513" i="60"/>
  <c r="T517" i="60"/>
  <c r="S520" i="60"/>
  <c r="U647" i="60"/>
  <c r="U644" i="60"/>
  <c r="Q644" i="60"/>
  <c r="I645" i="60"/>
  <c r="Q647" i="60"/>
  <c r="E644" i="60"/>
  <c r="U652" i="60"/>
  <c r="Q652" i="60"/>
  <c r="E645" i="60"/>
  <c r="I644" i="60"/>
  <c r="U650" i="60"/>
  <c r="X544" i="60"/>
  <c r="X535" i="60"/>
  <c r="H535" i="60"/>
  <c r="O535" i="60"/>
  <c r="P535" i="60" s="1"/>
  <c r="L538" i="60"/>
  <c r="W536" i="60"/>
  <c r="D534" i="60"/>
  <c r="X536" i="60"/>
  <c r="G535" i="60"/>
  <c r="W541" i="60"/>
  <c r="K535" i="60"/>
  <c r="X537" i="60"/>
  <c r="S541" i="60"/>
  <c r="X538" i="60"/>
  <c r="W542" i="60"/>
  <c r="X540" i="60"/>
  <c r="T544" i="60"/>
  <c r="T536" i="60"/>
  <c r="S543" i="60"/>
  <c r="T537" i="60"/>
  <c r="W544" i="60"/>
  <c r="X534" i="60"/>
  <c r="T538" i="60"/>
  <c r="W537" i="60"/>
  <c r="W543" i="60"/>
  <c r="W535" i="60"/>
  <c r="W538" i="60"/>
  <c r="X541" i="60"/>
  <c r="T539" i="60"/>
  <c r="T543" i="60"/>
  <c r="S542" i="60"/>
  <c r="O534" i="60"/>
  <c r="P534" i="60" s="1"/>
  <c r="T540" i="60"/>
  <c r="L535" i="60"/>
  <c r="K538" i="60"/>
  <c r="S539" i="60"/>
  <c r="W540" i="60"/>
  <c r="X542" i="60"/>
  <c r="T542" i="60"/>
  <c r="S537" i="60"/>
  <c r="S538" i="60"/>
  <c r="C534" i="60"/>
  <c r="X539" i="60"/>
  <c r="T541" i="60"/>
  <c r="W539" i="60"/>
  <c r="X543" i="60"/>
  <c r="S540" i="60"/>
  <c r="S536" i="60"/>
  <c r="W534" i="60"/>
  <c r="S544" i="60"/>
  <c r="X533" i="60"/>
  <c r="T525" i="60"/>
  <c r="X532" i="60"/>
  <c r="H524" i="60"/>
  <c r="D523" i="60"/>
  <c r="X525" i="60"/>
  <c r="X530" i="60"/>
  <c r="T531" i="60"/>
  <c r="L524" i="60"/>
  <c r="T526" i="60"/>
  <c r="W529" i="60"/>
  <c r="W533" i="60"/>
  <c r="X529" i="60"/>
  <c r="T527" i="60"/>
  <c r="X526" i="60"/>
  <c r="K527" i="60"/>
  <c r="T529" i="60"/>
  <c r="L527" i="60"/>
  <c r="L526" i="60"/>
  <c r="O523" i="60"/>
  <c r="P523" i="60" s="1"/>
  <c r="C523" i="60"/>
  <c r="S526" i="60"/>
  <c r="K524" i="60"/>
  <c r="W526" i="60"/>
  <c r="T533" i="60"/>
  <c r="W532" i="60"/>
  <c r="S527" i="60"/>
  <c r="T530" i="60"/>
  <c r="S531" i="60"/>
  <c r="W524" i="60"/>
  <c r="X528" i="60"/>
  <c r="W528" i="60"/>
  <c r="O524" i="60"/>
  <c r="P524" i="60" s="1"/>
  <c r="K526" i="60"/>
  <c r="T532" i="60"/>
  <c r="S529" i="60"/>
  <c r="W523" i="60"/>
  <c r="S528" i="60"/>
  <c r="S525" i="60"/>
  <c r="X523" i="60"/>
  <c r="X527" i="60"/>
  <c r="X531" i="60"/>
  <c r="S532" i="60"/>
  <c r="W527" i="60"/>
  <c r="G524" i="60"/>
  <c r="T528" i="60"/>
  <c r="S533" i="60"/>
  <c r="W525" i="60"/>
  <c r="W530" i="60"/>
  <c r="S530" i="60"/>
  <c r="X524" i="60"/>
  <c r="W531" i="60"/>
  <c r="X621" i="60"/>
  <c r="T617" i="60"/>
  <c r="T615" i="60"/>
  <c r="O611" i="60"/>
  <c r="P611" i="60" s="1"/>
  <c r="S613" i="60"/>
  <c r="G612" i="60"/>
  <c r="D611" i="60"/>
  <c r="W613" i="60"/>
  <c r="W616" i="60"/>
  <c r="T613" i="60"/>
  <c r="S616" i="60"/>
  <c r="X618" i="60"/>
  <c r="K615" i="60"/>
  <c r="W614" i="60"/>
  <c r="L612" i="60"/>
  <c r="L615" i="60"/>
  <c r="W618" i="60"/>
  <c r="S614" i="60"/>
  <c r="X616" i="60"/>
  <c r="T618" i="60"/>
  <c r="W621" i="60"/>
  <c r="S617" i="60"/>
  <c r="S621" i="60"/>
  <c r="O612" i="60"/>
  <c r="P612" i="60" s="1"/>
  <c r="K612" i="60"/>
  <c r="X612" i="60"/>
  <c r="X613" i="60"/>
  <c r="W612" i="60"/>
  <c r="S618" i="60"/>
  <c r="W619" i="60"/>
  <c r="X619" i="60"/>
  <c r="H612" i="60"/>
  <c r="C611" i="60"/>
  <c r="W620" i="60"/>
  <c r="T620" i="60"/>
  <c r="K614" i="60"/>
  <c r="L611" i="60"/>
  <c r="W615" i="60"/>
  <c r="X615" i="60"/>
  <c r="S615" i="60"/>
  <c r="T616" i="60"/>
  <c r="K611" i="60"/>
  <c r="S620" i="60"/>
  <c r="W617" i="60"/>
  <c r="T621" i="60"/>
  <c r="X617" i="60"/>
  <c r="X620" i="60"/>
  <c r="X599" i="60"/>
  <c r="S593" i="60"/>
  <c r="T593" i="60"/>
  <c r="G590" i="60"/>
  <c r="X590" i="60"/>
  <c r="C589" i="60"/>
  <c r="T594" i="60"/>
  <c r="O590" i="60"/>
  <c r="P590" i="60" s="1"/>
  <c r="X593" i="60"/>
  <c r="O589" i="60"/>
  <c r="P589" i="60" s="1"/>
  <c r="D589" i="60"/>
  <c r="K593" i="60"/>
  <c r="L593" i="60"/>
  <c r="W596" i="60"/>
  <c r="T591" i="60"/>
  <c r="S594" i="60"/>
  <c r="S598" i="60"/>
  <c r="W597" i="60"/>
  <c r="X597" i="60"/>
  <c r="L592" i="60"/>
  <c r="W591" i="60"/>
  <c r="T595" i="60"/>
  <c r="L590" i="60"/>
  <c r="T599" i="60"/>
  <c r="S591" i="60"/>
  <c r="W598" i="60"/>
  <c r="S592" i="60"/>
  <c r="X594" i="60"/>
  <c r="X598" i="60"/>
  <c r="T598" i="60"/>
  <c r="S595" i="60"/>
  <c r="S599" i="60"/>
  <c r="K590" i="60"/>
  <c r="S596" i="60"/>
  <c r="W599" i="60"/>
  <c r="X595" i="60"/>
  <c r="W595" i="60"/>
  <c r="H590" i="60"/>
  <c r="W590" i="60"/>
  <c r="X596" i="60"/>
  <c r="X591" i="60"/>
  <c r="K592" i="60"/>
  <c r="T592" i="60"/>
  <c r="W594" i="60"/>
  <c r="K589" i="60"/>
  <c r="W593" i="60"/>
  <c r="T596" i="60"/>
  <c r="X588" i="60"/>
  <c r="K581" i="60"/>
  <c r="G578" i="60"/>
  <c r="O579" i="60"/>
  <c r="P579" i="60" s="1"/>
  <c r="S580" i="60"/>
  <c r="G579" i="60"/>
  <c r="X579" i="60"/>
  <c r="H579" i="60"/>
  <c r="L581" i="60"/>
  <c r="L579" i="60"/>
  <c r="L582" i="60"/>
  <c r="W587" i="60"/>
  <c r="T580" i="60"/>
  <c r="S583" i="60"/>
  <c r="S587" i="60"/>
  <c r="W586" i="60"/>
  <c r="X586" i="60"/>
  <c r="S582" i="60"/>
  <c r="X582" i="60"/>
  <c r="C578" i="60"/>
  <c r="S579" i="60"/>
  <c r="T583" i="60"/>
  <c r="S581" i="60"/>
  <c r="X583" i="60"/>
  <c r="X587" i="60"/>
  <c r="T587" i="60"/>
  <c r="S584" i="60"/>
  <c r="S588" i="60"/>
  <c r="W580" i="60"/>
  <c r="T584" i="60"/>
  <c r="X580" i="60"/>
  <c r="K579" i="60"/>
  <c r="S585" i="60"/>
  <c r="W588" i="60"/>
  <c r="X584" i="60"/>
  <c r="L578" i="60"/>
  <c r="W584" i="60"/>
  <c r="T582" i="60"/>
  <c r="T581" i="60"/>
  <c r="W579" i="60"/>
  <c r="X585" i="60"/>
  <c r="D578" i="60"/>
  <c r="K582" i="60"/>
  <c r="T588" i="60"/>
  <c r="W583" i="60"/>
  <c r="W585" i="60"/>
  <c r="W582" i="60"/>
  <c r="T585" i="60"/>
  <c r="O578" i="60"/>
  <c r="P578" i="60" s="1"/>
  <c r="K578" i="60"/>
  <c r="X610" i="60"/>
  <c r="L600" i="60"/>
  <c r="L601" i="60"/>
  <c r="O601" i="60"/>
  <c r="P601" i="60" s="1"/>
  <c r="T610" i="60"/>
  <c r="X602" i="60"/>
  <c r="T603" i="60"/>
  <c r="D600" i="60"/>
  <c r="G601" i="60"/>
  <c r="H601" i="60"/>
  <c r="K604" i="60"/>
  <c r="K601" i="60"/>
  <c r="S607" i="60"/>
  <c r="S602" i="60"/>
  <c r="W605" i="60"/>
  <c r="W601" i="60"/>
  <c r="S605" i="60"/>
  <c r="X609" i="60"/>
  <c r="X604" i="60"/>
  <c r="C600" i="60"/>
  <c r="W603" i="60"/>
  <c r="K603" i="60"/>
  <c r="X601" i="60"/>
  <c r="W607" i="60"/>
  <c r="T602" i="60"/>
  <c r="X605" i="60"/>
  <c r="T605" i="60"/>
  <c r="T609" i="60"/>
  <c r="L604" i="60"/>
  <c r="T606" i="60"/>
  <c r="O600" i="60"/>
  <c r="P600" i="60" s="1"/>
  <c r="W602" i="60"/>
  <c r="K600" i="60"/>
  <c r="X607" i="60"/>
  <c r="W610" i="60"/>
  <c r="S606" i="60"/>
  <c r="S603" i="60"/>
  <c r="L603" i="60"/>
  <c r="W600" i="60"/>
  <c r="S609" i="60"/>
  <c r="S604" i="60"/>
  <c r="X606" i="60"/>
  <c r="T604" i="60"/>
  <c r="W609" i="60"/>
  <c r="W606" i="60"/>
  <c r="S610" i="60"/>
  <c r="W604" i="60"/>
  <c r="T607" i="60"/>
  <c r="U713" i="57"/>
  <c r="X713" i="57" s="1"/>
  <c r="E710" i="57"/>
  <c r="U710" i="57"/>
  <c r="Q713" i="57"/>
  <c r="Q718" i="57"/>
  <c r="U718" i="57"/>
  <c r="I710" i="57"/>
  <c r="E711" i="57"/>
  <c r="U716" i="57"/>
  <c r="I711" i="57"/>
  <c r="L711" i="57" s="1"/>
  <c r="Q710" i="57"/>
  <c r="S654" i="57"/>
  <c r="T654" i="57" s="1"/>
  <c r="K648" i="57"/>
  <c r="L648" i="57" s="1"/>
  <c r="W653" i="57"/>
  <c r="X653" i="57" s="1"/>
  <c r="S649" i="57"/>
  <c r="T649" i="57" s="1"/>
  <c r="S648" i="57"/>
  <c r="T648" i="57" s="1"/>
  <c r="S650" i="57"/>
  <c r="W651" i="57"/>
  <c r="X651" i="57" s="1"/>
  <c r="W649" i="57"/>
  <c r="X649" i="57" s="1"/>
  <c r="S646" i="57"/>
  <c r="T646" i="57" s="1"/>
  <c r="W646" i="57"/>
  <c r="X646" i="57" s="1"/>
  <c r="W645" i="57"/>
  <c r="X645" i="57" s="1"/>
  <c r="S653" i="57"/>
  <c r="T653" i="57" s="1"/>
  <c r="W654" i="57"/>
  <c r="X654" i="57" s="1"/>
  <c r="O644" i="57"/>
  <c r="P644" i="57" s="1"/>
  <c r="W650" i="57"/>
  <c r="S651" i="57"/>
  <c r="T651" i="57" s="1"/>
  <c r="S647" i="57"/>
  <c r="W648" i="57"/>
  <c r="X648" i="57" s="1"/>
  <c r="O645" i="57"/>
  <c r="P645" i="57" s="1"/>
  <c r="Q534" i="59"/>
  <c r="U540" i="59"/>
  <c r="I535" i="59"/>
  <c r="W665" i="57"/>
  <c r="X665" i="57" s="1"/>
  <c r="O656" i="57"/>
  <c r="P656" i="57" s="1"/>
  <c r="W658" i="57"/>
  <c r="S660" i="57"/>
  <c r="T660" i="57" s="1"/>
  <c r="W660" i="57"/>
  <c r="X660" i="57" s="1"/>
  <c r="S659" i="57"/>
  <c r="T659" i="57" s="1"/>
  <c r="K659" i="57"/>
  <c r="L659" i="57" s="1"/>
  <c r="O655" i="57"/>
  <c r="P655" i="57" s="1"/>
  <c r="S662" i="57"/>
  <c r="T662" i="57" s="1"/>
  <c r="W664" i="57"/>
  <c r="X664" i="57" s="1"/>
  <c r="W656" i="57"/>
  <c r="X656" i="57" s="1"/>
  <c r="W661" i="57"/>
  <c r="S658" i="57"/>
  <c r="W655" i="57"/>
  <c r="W662" i="57"/>
  <c r="X662" i="57" s="1"/>
  <c r="S661" i="57"/>
  <c r="S664" i="57"/>
  <c r="T664" i="57" s="1"/>
  <c r="S665" i="57"/>
  <c r="T665" i="57" s="1"/>
  <c r="S657" i="57"/>
  <c r="T657" i="57" s="1"/>
  <c r="W657" i="57"/>
  <c r="X657" i="57" s="1"/>
  <c r="W659" i="57"/>
  <c r="X659" i="57" s="1"/>
  <c r="O645" i="59"/>
  <c r="P645" i="59" s="1"/>
  <c r="K648" i="59"/>
  <c r="L648" i="59" s="1"/>
  <c r="S647" i="59"/>
  <c r="S654" i="59"/>
  <c r="T654" i="59" s="1"/>
  <c r="W645" i="59"/>
  <c r="X645" i="59" s="1"/>
  <c r="S648" i="59"/>
  <c r="T648" i="59" s="1"/>
  <c r="S649" i="59"/>
  <c r="T649" i="59" s="1"/>
  <c r="S653" i="59"/>
  <c r="T653" i="59" s="1"/>
  <c r="O644" i="59"/>
  <c r="P644" i="59" s="1"/>
  <c r="W646" i="59"/>
  <c r="X646" i="59" s="1"/>
  <c r="W649" i="59"/>
  <c r="X649" i="59" s="1"/>
  <c r="S650" i="59"/>
  <c r="W650" i="59"/>
  <c r="W648" i="59"/>
  <c r="X648" i="59" s="1"/>
  <c r="W651" i="59"/>
  <c r="X651" i="59" s="1"/>
  <c r="S651" i="59"/>
  <c r="T651" i="59" s="1"/>
  <c r="W653" i="59"/>
  <c r="X653" i="59" s="1"/>
  <c r="K645" i="59"/>
  <c r="W654" i="59"/>
  <c r="X654" i="59" s="1"/>
  <c r="S646" i="59"/>
  <c r="T646" i="59" s="1"/>
  <c r="E578" i="59"/>
  <c r="E623" i="59"/>
  <c r="U628" i="59"/>
  <c r="Q754" i="57"/>
  <c r="I755" i="57"/>
  <c r="L755" i="57" s="1"/>
  <c r="I754" i="57"/>
  <c r="U757" i="57"/>
  <c r="X757" i="57" s="1"/>
  <c r="E754" i="57"/>
  <c r="U754" i="57"/>
  <c r="Q762" i="57"/>
  <c r="U762" i="57"/>
  <c r="U760" i="57"/>
  <c r="Q757" i="57"/>
  <c r="E755" i="57"/>
  <c r="U735" i="57"/>
  <c r="X735" i="57" s="1"/>
  <c r="E732" i="57"/>
  <c r="U732" i="57"/>
  <c r="X732" i="57" s="1"/>
  <c r="E733" i="57"/>
  <c r="Q735" i="57"/>
  <c r="T735" i="57" s="1"/>
  <c r="Q740" i="57"/>
  <c r="T740" i="57" s="1"/>
  <c r="U740" i="57"/>
  <c r="I732" i="57"/>
  <c r="U738" i="57"/>
  <c r="X738" i="57" s="1"/>
  <c r="Q732" i="57"/>
  <c r="I733" i="57"/>
  <c r="L733" i="57" s="1"/>
  <c r="Q531" i="59"/>
  <c r="Q526" i="59"/>
  <c r="Q523" i="59"/>
  <c r="U531" i="59"/>
  <c r="E523" i="59"/>
  <c r="U523" i="59"/>
  <c r="U614" i="59"/>
  <c r="Q743" i="57"/>
  <c r="I744" i="57"/>
  <c r="L744" i="57" s="1"/>
  <c r="I743" i="57"/>
  <c r="U746" i="57"/>
  <c r="E743" i="57"/>
  <c r="U743" i="57"/>
  <c r="Q751" i="57"/>
  <c r="U751" i="57"/>
  <c r="Q746" i="57"/>
  <c r="T746" i="57" s="1"/>
  <c r="U749" i="57"/>
  <c r="E744" i="57"/>
  <c r="Q688" i="57"/>
  <c r="I689" i="57"/>
  <c r="L689" i="57" s="1"/>
  <c r="U696" i="57"/>
  <c r="X696" i="57" s="1"/>
  <c r="U691" i="57"/>
  <c r="X691" i="57" s="1"/>
  <c r="E688" i="57"/>
  <c r="U688" i="57"/>
  <c r="Q696" i="57"/>
  <c r="T696" i="57" s="1"/>
  <c r="I688" i="57"/>
  <c r="L688" i="57" s="1"/>
  <c r="Q691" i="57"/>
  <c r="U694" i="57"/>
  <c r="X694" i="57" s="1"/>
  <c r="E689" i="57"/>
  <c r="U680" i="57"/>
  <c r="I678" i="57"/>
  <c r="L678" i="57" s="1"/>
  <c r="Q677" i="57"/>
  <c r="U683" i="57"/>
  <c r="E677" i="57"/>
  <c r="U685" i="57"/>
  <c r="Q685" i="57"/>
  <c r="I677" i="57"/>
  <c r="L677" i="57" s="1"/>
  <c r="Q680" i="57"/>
  <c r="E678" i="57"/>
  <c r="U677" i="57"/>
  <c r="E667" i="57"/>
  <c r="H667" i="57" s="1"/>
  <c r="U672" i="57"/>
  <c r="Q669" i="57"/>
  <c r="T669" i="57" s="1"/>
  <c r="U669" i="57"/>
  <c r="X669" i="57" s="1"/>
  <c r="E666" i="57"/>
  <c r="Q666" i="57"/>
  <c r="I667" i="57"/>
  <c r="L667" i="57" s="1"/>
  <c r="U666" i="57"/>
  <c r="I666" i="57"/>
  <c r="Q674" i="57"/>
  <c r="U674" i="57"/>
  <c r="U724" i="57"/>
  <c r="E721" i="57"/>
  <c r="U721" i="57"/>
  <c r="X721" i="57" s="1"/>
  <c r="Q724" i="57"/>
  <c r="Q729" i="57"/>
  <c r="U729" i="57"/>
  <c r="I721" i="57"/>
  <c r="E722" i="57"/>
  <c r="U727" i="57"/>
  <c r="Q721" i="57"/>
  <c r="I722" i="57"/>
  <c r="L722" i="57" s="1"/>
  <c r="S566" i="59"/>
  <c r="T566" i="59" s="1"/>
  <c r="G557" i="59"/>
  <c r="W561" i="59"/>
  <c r="X561" i="59" s="1"/>
  <c r="W559" i="59"/>
  <c r="W557" i="59"/>
  <c r="X557" i="59" s="1"/>
  <c r="W562" i="59"/>
  <c r="W566" i="59"/>
  <c r="X566" i="59" s="1"/>
  <c r="C556" i="59"/>
  <c r="S560" i="59"/>
  <c r="T560" i="59" s="1"/>
  <c r="W560" i="59"/>
  <c r="X560" i="59" s="1"/>
  <c r="S563" i="59"/>
  <c r="T563" i="59" s="1"/>
  <c r="S558" i="59"/>
  <c r="T558" i="59" s="1"/>
  <c r="D556" i="59"/>
  <c r="W563" i="59"/>
  <c r="X563" i="59" s="1"/>
  <c r="S564" i="59"/>
  <c r="S559" i="59"/>
  <c r="O557" i="59"/>
  <c r="P557" i="59" s="1"/>
  <c r="K557" i="59"/>
  <c r="S565" i="59"/>
  <c r="T565" i="59" s="1"/>
  <c r="W558" i="59"/>
  <c r="X558" i="59" s="1"/>
  <c r="K560" i="59"/>
  <c r="L560" i="59" s="1"/>
  <c r="W565" i="59"/>
  <c r="X565" i="59" s="1"/>
  <c r="S561" i="59"/>
  <c r="T561" i="59" s="1"/>
  <c r="O556" i="59"/>
  <c r="P556" i="59" s="1"/>
  <c r="S562" i="59"/>
  <c r="U705" i="57"/>
  <c r="X705" i="57" s="1"/>
  <c r="Q699" i="57"/>
  <c r="Q707" i="57"/>
  <c r="Q548" i="59"/>
  <c r="E545" i="59"/>
  <c r="U548" i="59"/>
  <c r="I545" i="59"/>
  <c r="U545" i="59"/>
  <c r="I546" i="59"/>
  <c r="Q553" i="59"/>
  <c r="U551" i="59"/>
  <c r="E546" i="59"/>
  <c r="Q545" i="59"/>
  <c r="U553" i="59"/>
  <c r="X511" i="60"/>
  <c r="X502" i="60"/>
  <c r="C501" i="60"/>
  <c r="S502" i="60"/>
  <c r="O501" i="60"/>
  <c r="P501" i="60" s="1"/>
  <c r="K502" i="60"/>
  <c r="W503" i="60"/>
  <c r="D501" i="60"/>
  <c r="W502" i="60"/>
  <c r="W504" i="60"/>
  <c r="W508" i="60"/>
  <c r="S504" i="60"/>
  <c r="X506" i="60"/>
  <c r="X505" i="60"/>
  <c r="S507" i="60"/>
  <c r="S511" i="60"/>
  <c r="T502" i="60"/>
  <c r="S503" i="60"/>
  <c r="K505" i="60"/>
  <c r="T511" i="60"/>
  <c r="S505" i="60"/>
  <c r="X509" i="60"/>
  <c r="T504" i="60"/>
  <c r="G502" i="60"/>
  <c r="T503" i="60"/>
  <c r="L505" i="60"/>
  <c r="T509" i="60"/>
  <c r="X504" i="60"/>
  <c r="S510" i="60"/>
  <c r="T506" i="60"/>
  <c r="W509" i="60"/>
  <c r="X507" i="60"/>
  <c r="W505" i="60"/>
  <c r="S508" i="60"/>
  <c r="W507" i="60"/>
  <c r="T510" i="60"/>
  <c r="H502" i="60"/>
  <c r="T507" i="60"/>
  <c r="S506" i="60"/>
  <c r="T508" i="60"/>
  <c r="L502" i="60"/>
  <c r="T505" i="60"/>
  <c r="O502" i="60"/>
  <c r="P502" i="60" s="1"/>
  <c r="W506" i="60"/>
  <c r="W510" i="60"/>
  <c r="X510" i="60"/>
  <c r="S509" i="60"/>
  <c r="X503" i="60"/>
  <c r="X508" i="60"/>
  <c r="W511" i="60"/>
  <c r="Q238" i="59"/>
  <c r="U238" i="59"/>
  <c r="H239" i="59"/>
  <c r="L239" i="59"/>
  <c r="Q239" i="59"/>
  <c r="U239" i="59"/>
  <c r="H240" i="59"/>
  <c r="I240" i="59"/>
  <c r="H241" i="59"/>
  <c r="I241" i="59"/>
  <c r="Q241" i="59"/>
  <c r="U241" i="59"/>
  <c r="H242" i="59"/>
  <c r="L242" i="59"/>
  <c r="Q242" i="59"/>
  <c r="U242" i="59"/>
  <c r="H243" i="59"/>
  <c r="L243" i="59"/>
  <c r="H244" i="59"/>
  <c r="L244" i="59"/>
  <c r="Q244" i="59"/>
  <c r="U244" i="59"/>
  <c r="H245" i="59"/>
  <c r="L245" i="59"/>
  <c r="H246" i="59"/>
  <c r="L246" i="59"/>
  <c r="Q246" i="59"/>
  <c r="U246" i="59"/>
  <c r="H247" i="59"/>
  <c r="L247" i="59"/>
  <c r="Q247" i="59"/>
  <c r="U247" i="59"/>
  <c r="Q249" i="59"/>
  <c r="U249" i="59"/>
  <c r="H250" i="59"/>
  <c r="L250" i="59"/>
  <c r="Q250" i="59"/>
  <c r="U250" i="59"/>
  <c r="H251" i="59"/>
  <c r="I251" i="59"/>
  <c r="H252" i="59"/>
  <c r="I252" i="59"/>
  <c r="Q252" i="59"/>
  <c r="U252" i="59"/>
  <c r="H253" i="59"/>
  <c r="L253" i="59"/>
  <c r="Q253" i="59"/>
  <c r="U253" i="59"/>
  <c r="H254" i="59"/>
  <c r="L254" i="59"/>
  <c r="H255" i="59"/>
  <c r="L255" i="59"/>
  <c r="Q255" i="59"/>
  <c r="U255" i="59"/>
  <c r="H256" i="59"/>
  <c r="L256" i="59"/>
  <c r="H257" i="59"/>
  <c r="L257" i="59"/>
  <c r="Q257" i="59"/>
  <c r="U257" i="59"/>
  <c r="H258" i="59"/>
  <c r="L258" i="59"/>
  <c r="Q258" i="59"/>
  <c r="U258" i="59"/>
  <c r="Q260" i="59"/>
  <c r="U260" i="59"/>
  <c r="H261" i="59"/>
  <c r="L261" i="59"/>
  <c r="Q261" i="59"/>
  <c r="U261" i="59"/>
  <c r="H262" i="59"/>
  <c r="I262" i="59"/>
  <c r="H263" i="59"/>
  <c r="I263" i="59"/>
  <c r="Q263" i="59"/>
  <c r="U263" i="59"/>
  <c r="H264" i="59"/>
  <c r="L264" i="59"/>
  <c r="Q264" i="59"/>
  <c r="U264" i="59"/>
  <c r="H265" i="59"/>
  <c r="L265" i="59"/>
  <c r="H266" i="59"/>
  <c r="L266" i="59"/>
  <c r="Q266" i="59"/>
  <c r="U266" i="59"/>
  <c r="H267" i="59"/>
  <c r="L267" i="59"/>
  <c r="H268" i="59"/>
  <c r="L268" i="59"/>
  <c r="Q268" i="59"/>
  <c r="U268" i="59"/>
  <c r="H269" i="59"/>
  <c r="L269" i="59"/>
  <c r="Q269" i="59"/>
  <c r="U269" i="59"/>
  <c r="L754" i="57" l="1"/>
  <c r="T713" i="57"/>
  <c r="H722" i="57"/>
  <c r="I611" i="59"/>
  <c r="L611" i="59" s="1"/>
  <c r="E810" i="57"/>
  <c r="T691" i="57"/>
  <c r="T707" i="57"/>
  <c r="T674" i="57"/>
  <c r="X672" i="57"/>
  <c r="T680" i="57"/>
  <c r="X680" i="57"/>
  <c r="T751" i="57"/>
  <c r="X666" i="57"/>
  <c r="X677" i="57"/>
  <c r="X688" i="57"/>
  <c r="H733" i="57"/>
  <c r="X729" i="57"/>
  <c r="H689" i="57"/>
  <c r="X749" i="57"/>
  <c r="T812" i="57"/>
  <c r="I699" i="57"/>
  <c r="U699" i="57"/>
  <c r="X699" i="57" s="1"/>
  <c r="E700" i="57"/>
  <c r="H700" i="57" s="1"/>
  <c r="U611" i="59"/>
  <c r="Q614" i="59"/>
  <c r="I810" i="57"/>
  <c r="L810" i="57" s="1"/>
  <c r="E809" i="57"/>
  <c r="U815" i="57"/>
  <c r="X815" i="57" s="1"/>
  <c r="E699" i="57"/>
  <c r="U702" i="57"/>
  <c r="U817" i="57"/>
  <c r="I809" i="57"/>
  <c r="Q817" i="57"/>
  <c r="T817" i="57" s="1"/>
  <c r="E611" i="59"/>
  <c r="E612" i="59"/>
  <c r="H612" i="59" s="1"/>
  <c r="U707" i="57"/>
  <c r="I700" i="57"/>
  <c r="L700" i="57" s="1"/>
  <c r="U619" i="59"/>
  <c r="Q611" i="59"/>
  <c r="U809" i="57"/>
  <c r="X809" i="57" s="1"/>
  <c r="X724" i="57"/>
  <c r="X718" i="57"/>
  <c r="H678" i="57"/>
  <c r="L699" i="57"/>
  <c r="T702" i="57"/>
  <c r="L721" i="57"/>
  <c r="X798" i="57"/>
  <c r="I612" i="59"/>
  <c r="L612" i="59" s="1"/>
  <c r="Q619" i="59"/>
  <c r="Y776" i="60"/>
  <c r="AC782" i="60" s="1"/>
  <c r="Y842" i="60"/>
  <c r="AC848" i="60" s="1"/>
  <c r="U793" i="59"/>
  <c r="X793" i="59" s="1"/>
  <c r="Q795" i="59"/>
  <c r="T795" i="59" s="1"/>
  <c r="I787" i="59"/>
  <c r="L787" i="59" s="1"/>
  <c r="E788" i="59"/>
  <c r="H788" i="59" s="1"/>
  <c r="Q790" i="59"/>
  <c r="T790" i="59" s="1"/>
  <c r="U790" i="59"/>
  <c r="X790" i="59" s="1"/>
  <c r="U787" i="59"/>
  <c r="X787" i="59" s="1"/>
  <c r="Q787" i="59"/>
  <c r="I788" i="59"/>
  <c r="L788" i="59" s="1"/>
  <c r="E787" i="59"/>
  <c r="U795" i="59"/>
  <c r="X795" i="59" s="1"/>
  <c r="Q806" i="60"/>
  <c r="I798" i="60"/>
  <c r="U798" i="60"/>
  <c r="E798" i="60"/>
  <c r="U801" i="60"/>
  <c r="I799" i="60"/>
  <c r="Q801" i="60"/>
  <c r="E799" i="60"/>
  <c r="U804" i="60"/>
  <c r="Q798" i="60"/>
  <c r="U806" i="60"/>
  <c r="Q773" i="60"/>
  <c r="I765" i="60"/>
  <c r="I766" i="60"/>
  <c r="Q768" i="60"/>
  <c r="U768" i="60"/>
  <c r="E766" i="60"/>
  <c r="U771" i="60"/>
  <c r="Q765" i="60"/>
  <c r="E765" i="60"/>
  <c r="U765" i="60"/>
  <c r="U773" i="60"/>
  <c r="I765" i="59"/>
  <c r="L765" i="59" s="1"/>
  <c r="E765" i="59"/>
  <c r="Q768" i="59"/>
  <c r="T768" i="59" s="1"/>
  <c r="I766" i="59"/>
  <c r="L766" i="59" s="1"/>
  <c r="U773" i="59"/>
  <c r="X773" i="59" s="1"/>
  <c r="E766" i="59"/>
  <c r="H766" i="59" s="1"/>
  <c r="Q765" i="59"/>
  <c r="U768" i="59"/>
  <c r="X768" i="59" s="1"/>
  <c r="Q773" i="59"/>
  <c r="T773" i="59" s="1"/>
  <c r="U765" i="59"/>
  <c r="X765" i="59" s="1"/>
  <c r="U771" i="59"/>
  <c r="X771" i="59" s="1"/>
  <c r="Q787" i="60"/>
  <c r="U787" i="60"/>
  <c r="U795" i="60"/>
  <c r="E788" i="60"/>
  <c r="I788" i="60"/>
  <c r="U790" i="60"/>
  <c r="Q795" i="60"/>
  <c r="Q790" i="60"/>
  <c r="E787" i="60"/>
  <c r="U793" i="60"/>
  <c r="I787" i="60"/>
  <c r="Y809" i="60"/>
  <c r="AC815" i="60" s="1"/>
  <c r="U815" i="60"/>
  <c r="I810" i="60"/>
  <c r="U809" i="60"/>
  <c r="U817" i="60"/>
  <c r="Q809" i="60"/>
  <c r="U812" i="60"/>
  <c r="Q817" i="60"/>
  <c r="I809" i="60"/>
  <c r="E809" i="60"/>
  <c r="Q812" i="60"/>
  <c r="E810" i="60"/>
  <c r="I842" i="59"/>
  <c r="Q842" i="59"/>
  <c r="T842" i="59" s="1"/>
  <c r="I843" i="59"/>
  <c r="L843" i="59" s="1"/>
  <c r="E842" i="59"/>
  <c r="Q850" i="59"/>
  <c r="T850" i="59" s="1"/>
  <c r="U848" i="59"/>
  <c r="X848" i="59" s="1"/>
  <c r="U850" i="59"/>
  <c r="X850" i="59" s="1"/>
  <c r="E843" i="59"/>
  <c r="Q845" i="59"/>
  <c r="T845" i="59" s="1"/>
  <c r="U845" i="59"/>
  <c r="X845" i="59" s="1"/>
  <c r="U842" i="59"/>
  <c r="X842" i="59" s="1"/>
  <c r="Q779" i="60"/>
  <c r="U784" i="60"/>
  <c r="E776" i="60"/>
  <c r="I777" i="60"/>
  <c r="U779" i="60"/>
  <c r="Q784" i="60"/>
  <c r="Q776" i="60"/>
  <c r="E777" i="60"/>
  <c r="U782" i="60"/>
  <c r="I776" i="60"/>
  <c r="U776" i="60"/>
  <c r="Y798" i="60"/>
  <c r="AC804" i="60" s="1"/>
  <c r="I832" i="60"/>
  <c r="U834" i="60"/>
  <c r="Q831" i="60"/>
  <c r="U831" i="60"/>
  <c r="E832" i="60"/>
  <c r="Q839" i="60"/>
  <c r="I831" i="60"/>
  <c r="E831" i="60"/>
  <c r="Q834" i="60"/>
  <c r="U839" i="60"/>
  <c r="U837" i="60"/>
  <c r="Y765" i="60"/>
  <c r="AC771" i="60" s="1"/>
  <c r="U872" i="57"/>
  <c r="X872" i="57" s="1"/>
  <c r="I864" i="57"/>
  <c r="L864" i="57" s="1"/>
  <c r="E865" i="57"/>
  <c r="H865" i="57" s="1"/>
  <c r="Q867" i="57"/>
  <c r="T867" i="57" s="1"/>
  <c r="U864" i="57"/>
  <c r="X864" i="57" s="1"/>
  <c r="U867" i="57"/>
  <c r="X867" i="57" s="1"/>
  <c r="U870" i="57"/>
  <c r="X870" i="57" s="1"/>
  <c r="I865" i="57"/>
  <c r="L865" i="57" s="1"/>
  <c r="Q872" i="57"/>
  <c r="T872" i="57" s="1"/>
  <c r="Q864" i="57"/>
  <c r="E864" i="57"/>
  <c r="E821" i="59"/>
  <c r="I820" i="59"/>
  <c r="L820" i="59" s="1"/>
  <c r="E820" i="59"/>
  <c r="H820" i="59" s="1"/>
  <c r="U820" i="59"/>
  <c r="X820" i="59" s="1"/>
  <c r="U828" i="59"/>
  <c r="U823" i="59"/>
  <c r="X823" i="59" s="1"/>
  <c r="Q823" i="59"/>
  <c r="T823" i="59" s="1"/>
  <c r="Q820" i="59"/>
  <c r="Q828" i="59"/>
  <c r="T828" i="59" s="1"/>
  <c r="U826" i="59"/>
  <c r="X826" i="59" s="1"/>
  <c r="I821" i="59"/>
  <c r="L821" i="59" s="1"/>
  <c r="U776" i="59"/>
  <c r="X776" i="59" s="1"/>
  <c r="E777" i="59"/>
  <c r="H777" i="59" s="1"/>
  <c r="Q779" i="59"/>
  <c r="T779" i="59" s="1"/>
  <c r="I776" i="59"/>
  <c r="L776" i="59" s="1"/>
  <c r="Q776" i="59"/>
  <c r="Q784" i="59"/>
  <c r="T784" i="59" s="1"/>
  <c r="U782" i="59"/>
  <c r="X782" i="59" s="1"/>
  <c r="E776" i="59"/>
  <c r="I777" i="59"/>
  <c r="L777" i="59" s="1"/>
  <c r="U779" i="59"/>
  <c r="X779" i="59" s="1"/>
  <c r="U784" i="59"/>
  <c r="X784" i="59" s="1"/>
  <c r="U875" i="57"/>
  <c r="X875" i="57" s="1"/>
  <c r="U881" i="57"/>
  <c r="X881" i="57" s="1"/>
  <c r="E875" i="57"/>
  <c r="I875" i="57"/>
  <c r="L875" i="57" s="1"/>
  <c r="Q878" i="57"/>
  <c r="T878" i="57" s="1"/>
  <c r="Q883" i="57"/>
  <c r="T883" i="57" s="1"/>
  <c r="E876" i="57"/>
  <c r="H876" i="57" s="1"/>
  <c r="U878" i="57"/>
  <c r="X878" i="57" s="1"/>
  <c r="I876" i="57"/>
  <c r="L876" i="57" s="1"/>
  <c r="U883" i="57"/>
  <c r="X883" i="57" s="1"/>
  <c r="Q875" i="57"/>
  <c r="T875" i="57" s="1"/>
  <c r="Q823" i="60"/>
  <c r="I821" i="60"/>
  <c r="U823" i="60"/>
  <c r="Q828" i="60"/>
  <c r="Q820" i="60"/>
  <c r="I820" i="60"/>
  <c r="E820" i="60"/>
  <c r="U820" i="60"/>
  <c r="U826" i="60"/>
  <c r="U828" i="60"/>
  <c r="E821" i="60"/>
  <c r="Q872" i="59"/>
  <c r="T872" i="59" s="1"/>
  <c r="Q864" i="59"/>
  <c r="E864" i="59"/>
  <c r="U870" i="59"/>
  <c r="X870" i="59" s="1"/>
  <c r="U872" i="59"/>
  <c r="X872" i="59" s="1"/>
  <c r="I864" i="59"/>
  <c r="Q867" i="59"/>
  <c r="T867" i="59" s="1"/>
  <c r="U864" i="59"/>
  <c r="X864" i="59" s="1"/>
  <c r="U867" i="59"/>
  <c r="X867" i="59" s="1"/>
  <c r="E865" i="59"/>
  <c r="H865" i="59" s="1"/>
  <c r="I865" i="59"/>
  <c r="L865" i="59" s="1"/>
  <c r="I810" i="59"/>
  <c r="L810" i="59" s="1"/>
  <c r="E810" i="59"/>
  <c r="H810" i="59" s="1"/>
  <c r="Q817" i="59"/>
  <c r="T817" i="59" s="1"/>
  <c r="U809" i="59"/>
  <c r="X809" i="59" s="1"/>
  <c r="Q809" i="59"/>
  <c r="E809" i="59"/>
  <c r="U815" i="59"/>
  <c r="X815" i="59" s="1"/>
  <c r="I809" i="59"/>
  <c r="L809" i="59" s="1"/>
  <c r="Q812" i="59"/>
  <c r="T812" i="59" s="1"/>
  <c r="U812" i="59"/>
  <c r="X812" i="59" s="1"/>
  <c r="U817" i="59"/>
  <c r="I832" i="59"/>
  <c r="L832" i="59" s="1"/>
  <c r="U834" i="59"/>
  <c r="X834" i="59" s="1"/>
  <c r="Q831" i="59"/>
  <c r="U831" i="59"/>
  <c r="X831" i="59" s="1"/>
  <c r="U839" i="59"/>
  <c r="X839" i="59" s="1"/>
  <c r="E831" i="59"/>
  <c r="I831" i="59"/>
  <c r="L831" i="59" s="1"/>
  <c r="Q834" i="59"/>
  <c r="T834" i="59" s="1"/>
  <c r="Q839" i="59"/>
  <c r="T839" i="59" s="1"/>
  <c r="U837" i="59"/>
  <c r="X837" i="59" s="1"/>
  <c r="E832" i="59"/>
  <c r="Q861" i="59"/>
  <c r="T861" i="59" s="1"/>
  <c r="E854" i="59"/>
  <c r="H854" i="59" s="1"/>
  <c r="U861" i="59"/>
  <c r="X861" i="59" s="1"/>
  <c r="I854" i="59"/>
  <c r="L854" i="59" s="1"/>
  <c r="Q853" i="59"/>
  <c r="T853" i="59" s="1"/>
  <c r="U859" i="59"/>
  <c r="X859" i="59" s="1"/>
  <c r="U853" i="59"/>
  <c r="X853" i="59" s="1"/>
  <c r="E853" i="59"/>
  <c r="U856" i="59"/>
  <c r="X856" i="59" s="1"/>
  <c r="I853" i="59"/>
  <c r="Q856" i="59"/>
  <c r="T856" i="59" s="1"/>
  <c r="Y831" i="60"/>
  <c r="AC837" i="60" s="1"/>
  <c r="Q806" i="59"/>
  <c r="T806" i="59" s="1"/>
  <c r="I798" i="59"/>
  <c r="L798" i="59" s="1"/>
  <c r="E799" i="59"/>
  <c r="H799" i="59" s="1"/>
  <c r="U806" i="59"/>
  <c r="U801" i="59"/>
  <c r="X801" i="59" s="1"/>
  <c r="Q798" i="59"/>
  <c r="I799" i="59"/>
  <c r="L799" i="59" s="1"/>
  <c r="Q801" i="59"/>
  <c r="T801" i="59" s="1"/>
  <c r="E798" i="59"/>
  <c r="U798" i="59"/>
  <c r="X798" i="59" s="1"/>
  <c r="U804" i="59"/>
  <c r="X804" i="59" s="1"/>
  <c r="U883" i="59"/>
  <c r="X883" i="59" s="1"/>
  <c r="I876" i="59"/>
  <c r="L876" i="59" s="1"/>
  <c r="U878" i="59"/>
  <c r="X878" i="59" s="1"/>
  <c r="U881" i="59"/>
  <c r="X881" i="59" s="1"/>
  <c r="Q878" i="59"/>
  <c r="T878" i="59" s="1"/>
  <c r="I875" i="59"/>
  <c r="L875" i="59" s="1"/>
  <c r="U875" i="59"/>
  <c r="X875" i="59" s="1"/>
  <c r="Q875" i="59"/>
  <c r="T875" i="59" s="1"/>
  <c r="E876" i="59"/>
  <c r="H876" i="59" s="1"/>
  <c r="E875" i="59"/>
  <c r="Q883" i="59"/>
  <c r="T883" i="59" s="1"/>
  <c r="E843" i="60"/>
  <c r="I843" i="60"/>
  <c r="U848" i="60"/>
  <c r="Q845" i="60"/>
  <c r="U845" i="60"/>
  <c r="U850" i="60"/>
  <c r="I842" i="60"/>
  <c r="Q850" i="60"/>
  <c r="E842" i="60"/>
  <c r="U842" i="60"/>
  <c r="Q842" i="60"/>
  <c r="Y787" i="60"/>
  <c r="AC793" i="60" s="1"/>
  <c r="Y820" i="60"/>
  <c r="AC826" i="60" s="1"/>
  <c r="Y930" i="60"/>
  <c r="AC936" i="60" s="1"/>
  <c r="E931" i="60"/>
  <c r="Q933" i="60"/>
  <c r="U938" i="60"/>
  <c r="Q930" i="60"/>
  <c r="I931" i="60"/>
  <c r="U933" i="60"/>
  <c r="Q938" i="60"/>
  <c r="E930" i="60"/>
  <c r="U930" i="60"/>
  <c r="U936" i="60"/>
  <c r="I930" i="60"/>
  <c r="Q592" i="59"/>
  <c r="T685" i="57"/>
  <c r="X685" i="57"/>
  <c r="X754" i="57"/>
  <c r="X727" i="57"/>
  <c r="I534" i="59"/>
  <c r="U537" i="59"/>
  <c r="X537" i="59" s="1"/>
  <c r="Q537" i="59"/>
  <c r="T537" i="59" s="1"/>
  <c r="U534" i="59"/>
  <c r="U542" i="59"/>
  <c r="Q542" i="59"/>
  <c r="E534" i="59"/>
  <c r="U529" i="59"/>
  <c r="X529" i="59" s="1"/>
  <c r="E524" i="59"/>
  <c r="H524" i="59" s="1"/>
  <c r="U526" i="59"/>
  <c r="X526" i="59" s="1"/>
  <c r="U584" i="59"/>
  <c r="X584" i="59" s="1"/>
  <c r="Q603" i="59"/>
  <c r="T603" i="59" s="1"/>
  <c r="I524" i="59"/>
  <c r="L524" i="59" s="1"/>
  <c r="U578" i="59"/>
  <c r="L710" i="57"/>
  <c r="T757" i="57"/>
  <c r="X716" i="57"/>
  <c r="T718" i="57"/>
  <c r="T729" i="57"/>
  <c r="X683" i="57"/>
  <c r="X743" i="57"/>
  <c r="H711" i="57"/>
  <c r="X760" i="57"/>
  <c r="T526" i="59"/>
  <c r="T724" i="57"/>
  <c r="L535" i="59"/>
  <c r="H535" i="59"/>
  <c r="U606" i="59"/>
  <c r="X606" i="59" s="1"/>
  <c r="X617" i="59"/>
  <c r="X540" i="59"/>
  <c r="X523" i="59"/>
  <c r="I733" i="60"/>
  <c r="Q732" i="60"/>
  <c r="Q735" i="60"/>
  <c r="E733" i="60"/>
  <c r="I732" i="60"/>
  <c r="U738" i="60"/>
  <c r="Q740" i="60"/>
  <c r="U732" i="60"/>
  <c r="U740" i="60"/>
  <c r="U735" i="60"/>
  <c r="E732" i="60"/>
  <c r="U718" i="59"/>
  <c r="X718" i="59" s="1"/>
  <c r="I710" i="59"/>
  <c r="L710" i="59" s="1"/>
  <c r="U713" i="59"/>
  <c r="X713" i="59" s="1"/>
  <c r="Q718" i="59"/>
  <c r="T718" i="59" s="1"/>
  <c r="Q713" i="59"/>
  <c r="T713" i="59" s="1"/>
  <c r="U716" i="59"/>
  <c r="X716" i="59" s="1"/>
  <c r="U710" i="59"/>
  <c r="I711" i="59"/>
  <c r="L711" i="59" s="1"/>
  <c r="E711" i="59"/>
  <c r="H711" i="59" s="1"/>
  <c r="E710" i="59"/>
  <c r="Q710" i="59"/>
  <c r="U702" i="60"/>
  <c r="U699" i="60"/>
  <c r="I700" i="60"/>
  <c r="Q699" i="60"/>
  <c r="U705" i="60"/>
  <c r="Q702" i="60"/>
  <c r="I699" i="60"/>
  <c r="E700" i="60"/>
  <c r="U707" i="60"/>
  <c r="Q707" i="60"/>
  <c r="E699" i="60"/>
  <c r="Q691" i="59"/>
  <c r="T691" i="59" s="1"/>
  <c r="Q696" i="59"/>
  <c r="T696" i="59" s="1"/>
  <c r="I689" i="59"/>
  <c r="L689" i="59" s="1"/>
  <c r="U694" i="59"/>
  <c r="X694" i="59" s="1"/>
  <c r="U691" i="59"/>
  <c r="X691" i="59" s="1"/>
  <c r="Q688" i="59"/>
  <c r="U688" i="59"/>
  <c r="X688" i="59" s="1"/>
  <c r="U696" i="59"/>
  <c r="X696" i="59" s="1"/>
  <c r="E689" i="59"/>
  <c r="H689" i="59" s="1"/>
  <c r="I688" i="59"/>
  <c r="L688" i="59" s="1"/>
  <c r="E688" i="59"/>
  <c r="I743" i="60"/>
  <c r="E744" i="60"/>
  <c r="Q751" i="60"/>
  <c r="U743" i="60"/>
  <c r="U749" i="60"/>
  <c r="I744" i="60"/>
  <c r="U751" i="60"/>
  <c r="Q746" i="60"/>
  <c r="Q743" i="60"/>
  <c r="U746" i="60"/>
  <c r="E743" i="60"/>
  <c r="Q790" i="57"/>
  <c r="T790" i="57" s="1"/>
  <c r="U787" i="57"/>
  <c r="X787" i="57" s="1"/>
  <c r="I788" i="57"/>
  <c r="L788" i="57" s="1"/>
  <c r="Q795" i="57"/>
  <c r="U795" i="57"/>
  <c r="E788" i="57"/>
  <c r="H788" i="57" s="1"/>
  <c r="Q787" i="57"/>
  <c r="U793" i="57"/>
  <c r="X793" i="57" s="1"/>
  <c r="E787" i="57"/>
  <c r="I787" i="57"/>
  <c r="U790" i="57"/>
  <c r="X790" i="57" s="1"/>
  <c r="Q746" i="59"/>
  <c r="T746" i="59" s="1"/>
  <c r="Q743" i="59"/>
  <c r="I744" i="59"/>
  <c r="L744" i="59" s="1"/>
  <c r="U749" i="59"/>
  <c r="X749" i="59" s="1"/>
  <c r="E744" i="59"/>
  <c r="I743" i="59"/>
  <c r="U751" i="59"/>
  <c r="E743" i="59"/>
  <c r="U746" i="59"/>
  <c r="U743" i="59"/>
  <c r="X743" i="59" s="1"/>
  <c r="Q751" i="59"/>
  <c r="T751" i="59" s="1"/>
  <c r="U856" i="60"/>
  <c r="Q853" i="60"/>
  <c r="I853" i="60"/>
  <c r="U853" i="60"/>
  <c r="E854" i="60"/>
  <c r="E853" i="60"/>
  <c r="I854" i="60"/>
  <c r="U859" i="60"/>
  <c r="Q856" i="60"/>
  <c r="U861" i="60"/>
  <c r="Q861" i="60"/>
  <c r="U688" i="60"/>
  <c r="I688" i="60"/>
  <c r="Q696" i="60"/>
  <c r="U694" i="60"/>
  <c r="Q688" i="60"/>
  <c r="U696" i="60"/>
  <c r="Q691" i="60"/>
  <c r="E689" i="60"/>
  <c r="U691" i="60"/>
  <c r="E688" i="60"/>
  <c r="I689" i="60"/>
  <c r="U680" i="60"/>
  <c r="U685" i="60"/>
  <c r="E678" i="60"/>
  <c r="Q685" i="60"/>
  <c r="Q680" i="60"/>
  <c r="E677" i="60"/>
  <c r="Q677" i="60"/>
  <c r="I678" i="60"/>
  <c r="I677" i="60"/>
  <c r="U683" i="60"/>
  <c r="U677" i="60"/>
  <c r="U713" i="60"/>
  <c r="Q710" i="60"/>
  <c r="U710" i="60"/>
  <c r="U716" i="60"/>
  <c r="Q718" i="60"/>
  <c r="I711" i="60"/>
  <c r="E710" i="60"/>
  <c r="E711" i="60"/>
  <c r="Q713" i="60"/>
  <c r="I710" i="60"/>
  <c r="U718" i="60"/>
  <c r="Q776" i="57"/>
  <c r="U779" i="57"/>
  <c r="Q779" i="57"/>
  <c r="T779" i="57" s="1"/>
  <c r="E776" i="57"/>
  <c r="U784" i="57"/>
  <c r="Q784" i="57"/>
  <c r="U782" i="57"/>
  <c r="X782" i="57" s="1"/>
  <c r="U776" i="57"/>
  <c r="X776" i="57" s="1"/>
  <c r="I776" i="57"/>
  <c r="E777" i="57"/>
  <c r="H777" i="57" s="1"/>
  <c r="I777" i="57"/>
  <c r="L777" i="57" s="1"/>
  <c r="U933" i="59"/>
  <c r="X933" i="59" s="1"/>
  <c r="E931" i="59"/>
  <c r="Q930" i="59"/>
  <c r="U938" i="59"/>
  <c r="U936" i="59"/>
  <c r="X936" i="59" s="1"/>
  <c r="E930" i="59"/>
  <c r="Q933" i="59"/>
  <c r="T933" i="59" s="1"/>
  <c r="I931" i="59"/>
  <c r="L931" i="59" s="1"/>
  <c r="Q938" i="59"/>
  <c r="I930" i="59"/>
  <c r="U930" i="59"/>
  <c r="X930" i="59" s="1"/>
  <c r="U724" i="59"/>
  <c r="X724" i="59" s="1"/>
  <c r="E722" i="59"/>
  <c r="H722" i="59" s="1"/>
  <c r="Q724" i="59"/>
  <c r="T724" i="59" s="1"/>
  <c r="I721" i="59"/>
  <c r="L721" i="59" s="1"/>
  <c r="U721" i="59"/>
  <c r="X721" i="59" s="1"/>
  <c r="Q729" i="59"/>
  <c r="T729" i="59" s="1"/>
  <c r="I722" i="59"/>
  <c r="L722" i="59" s="1"/>
  <c r="U729" i="59"/>
  <c r="X729" i="59" s="1"/>
  <c r="Q721" i="59"/>
  <c r="E721" i="59"/>
  <c r="U727" i="59"/>
  <c r="X727" i="59" s="1"/>
  <c r="Q702" i="59"/>
  <c r="T702" i="59" s="1"/>
  <c r="Q699" i="59"/>
  <c r="E699" i="59"/>
  <c r="I699" i="59"/>
  <c r="L699" i="59" s="1"/>
  <c r="I700" i="59"/>
  <c r="L700" i="59" s="1"/>
  <c r="Q707" i="59"/>
  <c r="T707" i="59" s="1"/>
  <c r="E700" i="59"/>
  <c r="H700" i="59" s="1"/>
  <c r="U705" i="59"/>
  <c r="X705" i="59" s="1"/>
  <c r="U699" i="59"/>
  <c r="X699" i="59" s="1"/>
  <c r="U702" i="59"/>
  <c r="U707" i="59"/>
  <c r="U944" i="60"/>
  <c r="Q949" i="60"/>
  <c r="U947" i="60"/>
  <c r="E942" i="60"/>
  <c r="U949" i="60"/>
  <c r="Q941" i="60"/>
  <c r="E941" i="60"/>
  <c r="I942" i="60"/>
  <c r="U941" i="60"/>
  <c r="Q944" i="60"/>
  <c r="I941" i="60"/>
  <c r="U669" i="60"/>
  <c r="I667" i="60"/>
  <c r="E666" i="60"/>
  <c r="E667" i="60"/>
  <c r="U674" i="60"/>
  <c r="Q669" i="60"/>
  <c r="U672" i="60"/>
  <c r="I666" i="60"/>
  <c r="Q666" i="60"/>
  <c r="Q674" i="60"/>
  <c r="U666" i="60"/>
  <c r="U740" i="59"/>
  <c r="U732" i="59"/>
  <c r="X732" i="59" s="1"/>
  <c r="I732" i="59"/>
  <c r="Q740" i="59"/>
  <c r="T740" i="59" s="1"/>
  <c r="I733" i="59"/>
  <c r="L733" i="59" s="1"/>
  <c r="U738" i="59"/>
  <c r="X738" i="59" s="1"/>
  <c r="Q732" i="59"/>
  <c r="U735" i="59"/>
  <c r="X735" i="59" s="1"/>
  <c r="E732" i="59"/>
  <c r="Q735" i="59"/>
  <c r="T735" i="59" s="1"/>
  <c r="E733" i="59"/>
  <c r="H733" i="59" s="1"/>
  <c r="Q922" i="59"/>
  <c r="T922" i="59" s="1"/>
  <c r="I920" i="59"/>
  <c r="L920" i="59" s="1"/>
  <c r="U919" i="59"/>
  <c r="X919" i="59" s="1"/>
  <c r="Q927" i="59"/>
  <c r="I919" i="59"/>
  <c r="U922" i="59"/>
  <c r="Q919" i="59"/>
  <c r="U927" i="59"/>
  <c r="E919" i="59"/>
  <c r="U925" i="59"/>
  <c r="X925" i="59" s="1"/>
  <c r="E920" i="59"/>
  <c r="U658" i="60"/>
  <c r="I655" i="60"/>
  <c r="E655" i="60"/>
  <c r="E656" i="60"/>
  <c r="U661" i="60"/>
  <c r="Q655" i="60"/>
  <c r="U663" i="60"/>
  <c r="Q658" i="60"/>
  <c r="U655" i="60"/>
  <c r="Q663" i="60"/>
  <c r="I656" i="60"/>
  <c r="I721" i="60"/>
  <c r="U721" i="60"/>
  <c r="I722" i="60"/>
  <c r="U729" i="60"/>
  <c r="Q724" i="60"/>
  <c r="Q721" i="60"/>
  <c r="Q729" i="60"/>
  <c r="E722" i="60"/>
  <c r="U727" i="60"/>
  <c r="E721" i="60"/>
  <c r="U724" i="60"/>
  <c r="Q680" i="59"/>
  <c r="T680" i="59" s="1"/>
  <c r="Q677" i="59"/>
  <c r="I678" i="59"/>
  <c r="L678" i="59" s="1"/>
  <c r="E678" i="59"/>
  <c r="H678" i="59" s="1"/>
  <c r="U683" i="59"/>
  <c r="X683" i="59" s="1"/>
  <c r="U677" i="59"/>
  <c r="X677" i="59" s="1"/>
  <c r="U680" i="59"/>
  <c r="X680" i="59" s="1"/>
  <c r="E677" i="59"/>
  <c r="I677" i="59"/>
  <c r="L677" i="59" s="1"/>
  <c r="U685" i="59"/>
  <c r="X685" i="59" s="1"/>
  <c r="Q685" i="59"/>
  <c r="T685" i="59" s="1"/>
  <c r="I656" i="59"/>
  <c r="L656" i="59" s="1"/>
  <c r="U655" i="59"/>
  <c r="X655" i="59" s="1"/>
  <c r="Q658" i="59"/>
  <c r="T658" i="59" s="1"/>
  <c r="U663" i="59"/>
  <c r="I655" i="59"/>
  <c r="U658" i="59"/>
  <c r="X658" i="59" s="1"/>
  <c r="E655" i="59"/>
  <c r="U661" i="59"/>
  <c r="X661" i="59" s="1"/>
  <c r="Q663" i="59"/>
  <c r="Q655" i="59"/>
  <c r="E656" i="59"/>
  <c r="Q773" i="57"/>
  <c r="T773" i="57" s="1"/>
  <c r="U773" i="57"/>
  <c r="I765" i="57"/>
  <c r="E766" i="57"/>
  <c r="H766" i="57" s="1"/>
  <c r="Q768" i="57"/>
  <c r="T768" i="57" s="1"/>
  <c r="Q765" i="57"/>
  <c r="I766" i="57"/>
  <c r="L766" i="57" s="1"/>
  <c r="U768" i="57"/>
  <c r="X768" i="57" s="1"/>
  <c r="U771" i="57"/>
  <c r="X771" i="57" s="1"/>
  <c r="E765" i="57"/>
  <c r="U765" i="57"/>
  <c r="X765" i="57" s="1"/>
  <c r="Q757" i="59"/>
  <c r="T757" i="59" s="1"/>
  <c r="I755" i="59"/>
  <c r="L755" i="59" s="1"/>
  <c r="U754" i="59"/>
  <c r="X754" i="59" s="1"/>
  <c r="I754" i="59"/>
  <c r="L754" i="59" s="1"/>
  <c r="Q762" i="59"/>
  <c r="Q754" i="59"/>
  <c r="E754" i="59"/>
  <c r="U762" i="59"/>
  <c r="U760" i="59"/>
  <c r="X760" i="59" s="1"/>
  <c r="E755" i="59"/>
  <c r="U757" i="59"/>
  <c r="X757" i="59" s="1"/>
  <c r="U894" i="59"/>
  <c r="U892" i="59"/>
  <c r="X892" i="59" s="1"/>
  <c r="U889" i="59"/>
  <c r="X889" i="59" s="1"/>
  <c r="E887" i="59"/>
  <c r="H887" i="59" s="1"/>
  <c r="Q886" i="59"/>
  <c r="E886" i="59"/>
  <c r="U886" i="59"/>
  <c r="X886" i="59" s="1"/>
  <c r="Q889" i="59"/>
  <c r="T889" i="59" s="1"/>
  <c r="Q894" i="59"/>
  <c r="T894" i="59" s="1"/>
  <c r="I886" i="59"/>
  <c r="I887" i="59"/>
  <c r="L887" i="59" s="1"/>
  <c r="U867" i="60"/>
  <c r="E864" i="60"/>
  <c r="I864" i="60"/>
  <c r="E865" i="60"/>
  <c r="U864" i="60"/>
  <c r="U870" i="60"/>
  <c r="Q864" i="60"/>
  <c r="I865" i="60"/>
  <c r="U872" i="60"/>
  <c r="Q867" i="60"/>
  <c r="Q872" i="60"/>
  <c r="U672" i="59"/>
  <c r="X672" i="59" s="1"/>
  <c r="Q674" i="59"/>
  <c r="Q669" i="59"/>
  <c r="T669" i="59" s="1"/>
  <c r="Q666" i="59"/>
  <c r="I666" i="59"/>
  <c r="L666" i="59" s="1"/>
  <c r="U669" i="59"/>
  <c r="X669" i="59" s="1"/>
  <c r="E667" i="59"/>
  <c r="H667" i="59" s="1"/>
  <c r="U674" i="59"/>
  <c r="U666" i="59"/>
  <c r="X666" i="59" s="1"/>
  <c r="E666" i="59"/>
  <c r="I667" i="59"/>
  <c r="L667" i="59" s="1"/>
  <c r="P633" i="60"/>
  <c r="L568" i="59"/>
  <c r="X628" i="59"/>
  <c r="E601" i="59"/>
  <c r="H601" i="59" s="1"/>
  <c r="Q608" i="59"/>
  <c r="U600" i="59"/>
  <c r="E600" i="59"/>
  <c r="I601" i="59"/>
  <c r="L601" i="59" s="1"/>
  <c r="U603" i="59"/>
  <c r="Q600" i="59"/>
  <c r="U608" i="59"/>
  <c r="U630" i="59"/>
  <c r="I623" i="59"/>
  <c r="L623" i="59" s="1"/>
  <c r="I622" i="59"/>
  <c r="I579" i="59"/>
  <c r="L579" i="59" s="1"/>
  <c r="U581" i="59"/>
  <c r="I578" i="59"/>
  <c r="U622" i="59"/>
  <c r="Q625" i="59"/>
  <c r="T625" i="59" s="1"/>
  <c r="Q630" i="59"/>
  <c r="Q586" i="59"/>
  <c r="E579" i="59"/>
  <c r="H579" i="59" s="1"/>
  <c r="Q581" i="59"/>
  <c r="T581" i="59" s="1"/>
  <c r="Q622" i="59"/>
  <c r="U625" i="59"/>
  <c r="U586" i="59"/>
  <c r="X586" i="59" s="1"/>
  <c r="X595" i="59"/>
  <c r="U575" i="59"/>
  <c r="E568" i="59"/>
  <c r="H568" i="59" s="1"/>
  <c r="Q570" i="59"/>
  <c r="Q597" i="59"/>
  <c r="Q589" i="59"/>
  <c r="E589" i="59"/>
  <c r="U592" i="59"/>
  <c r="U636" i="59"/>
  <c r="U597" i="59"/>
  <c r="X597" i="59" s="1"/>
  <c r="U589" i="59"/>
  <c r="I590" i="59"/>
  <c r="L590" i="59" s="1"/>
  <c r="I633" i="59"/>
  <c r="I589" i="59"/>
  <c r="L589" i="59" s="1"/>
  <c r="E590" i="59"/>
  <c r="H590" i="59" s="1"/>
  <c r="E633" i="59"/>
  <c r="Q636" i="59"/>
  <c r="T636" i="59" s="1"/>
  <c r="U639" i="59"/>
  <c r="X639" i="59" s="1"/>
  <c r="U633" i="59"/>
  <c r="Q512" i="59"/>
  <c r="H546" i="59"/>
  <c r="I634" i="59"/>
  <c r="L634" i="59" s="1"/>
  <c r="Q641" i="59"/>
  <c r="Q633" i="59"/>
  <c r="E634" i="59"/>
  <c r="U520" i="59"/>
  <c r="I513" i="59"/>
  <c r="L513" i="59" s="1"/>
  <c r="E512" i="59"/>
  <c r="U512" i="59"/>
  <c r="E513" i="59"/>
  <c r="H513" i="59" s="1"/>
  <c r="U515" i="59"/>
  <c r="X515" i="59" s="1"/>
  <c r="Q515" i="59"/>
  <c r="I512" i="59"/>
  <c r="L512" i="59" s="1"/>
  <c r="U518" i="59"/>
  <c r="X518" i="59" s="1"/>
  <c r="T553" i="59"/>
  <c r="X551" i="59"/>
  <c r="L546" i="59"/>
  <c r="U567" i="59"/>
  <c r="U573" i="59"/>
  <c r="X573" i="59" s="1"/>
  <c r="Q575" i="59"/>
  <c r="E567" i="59"/>
  <c r="I567" i="59"/>
  <c r="L567" i="59" s="1"/>
  <c r="Q567" i="59"/>
  <c r="U570" i="59"/>
  <c r="U603" i="60"/>
  <c r="Q603" i="60"/>
  <c r="I601" i="60"/>
  <c r="U608" i="60"/>
  <c r="Q608" i="60"/>
  <c r="E601" i="60"/>
  <c r="U606" i="60"/>
  <c r="E600" i="60"/>
  <c r="Q600" i="60"/>
  <c r="U600" i="60"/>
  <c r="I600" i="60"/>
  <c r="U592" i="60"/>
  <c r="E590" i="60"/>
  <c r="I590" i="60"/>
  <c r="Q589" i="60"/>
  <c r="Q597" i="60"/>
  <c r="U589" i="60"/>
  <c r="E589" i="60"/>
  <c r="U595" i="60"/>
  <c r="U597" i="60"/>
  <c r="Q592" i="60"/>
  <c r="I589" i="60"/>
  <c r="U526" i="60"/>
  <c r="U531" i="60"/>
  <c r="E524" i="60"/>
  <c r="I524" i="60"/>
  <c r="Q526" i="60"/>
  <c r="Q523" i="60"/>
  <c r="E523" i="60"/>
  <c r="U523" i="60"/>
  <c r="Q531" i="60"/>
  <c r="I523" i="60"/>
  <c r="U529" i="60"/>
  <c r="U636" i="60"/>
  <c r="I633" i="60"/>
  <c r="I634" i="60"/>
  <c r="Q641" i="60"/>
  <c r="U633" i="60"/>
  <c r="E633" i="60"/>
  <c r="E634" i="60"/>
  <c r="U641" i="60"/>
  <c r="Q636" i="60"/>
  <c r="Q633" i="60"/>
  <c r="U639" i="60"/>
  <c r="U581" i="60"/>
  <c r="Q578" i="60"/>
  <c r="I579" i="60"/>
  <c r="Q586" i="60"/>
  <c r="I578" i="60"/>
  <c r="U584" i="60"/>
  <c r="U586" i="60"/>
  <c r="Q581" i="60"/>
  <c r="U578" i="60"/>
  <c r="E579" i="60"/>
  <c r="E578" i="60"/>
  <c r="U515" i="60"/>
  <c r="E512" i="60"/>
  <c r="U512" i="60"/>
  <c r="U520" i="60"/>
  <c r="Q520" i="60"/>
  <c r="E513" i="60"/>
  <c r="Q512" i="60"/>
  <c r="Q515" i="60"/>
  <c r="I512" i="60"/>
  <c r="I513" i="60"/>
  <c r="U518" i="60"/>
  <c r="U537" i="60"/>
  <c r="E534" i="60"/>
  <c r="U540" i="60"/>
  <c r="Q537" i="60"/>
  <c r="U542" i="60"/>
  <c r="Q542" i="60"/>
  <c r="Q534" i="60"/>
  <c r="I534" i="60"/>
  <c r="E535" i="60"/>
  <c r="I535" i="60"/>
  <c r="U534" i="60"/>
  <c r="U570" i="60"/>
  <c r="I568" i="60"/>
  <c r="U573" i="60"/>
  <c r="U575" i="60"/>
  <c r="I567" i="60"/>
  <c r="Q570" i="60"/>
  <c r="E568" i="60"/>
  <c r="E567" i="60"/>
  <c r="Q575" i="60"/>
  <c r="U567" i="60"/>
  <c r="Q567" i="60"/>
  <c r="U548" i="60"/>
  <c r="Q553" i="60"/>
  <c r="U551" i="60"/>
  <c r="E546" i="60"/>
  <c r="E545" i="60"/>
  <c r="Q545" i="60"/>
  <c r="I545" i="60"/>
  <c r="Q548" i="60"/>
  <c r="I546" i="60"/>
  <c r="U545" i="60"/>
  <c r="U553" i="60"/>
  <c r="U614" i="60"/>
  <c r="I612" i="60"/>
  <c r="I611" i="60"/>
  <c r="E611" i="60"/>
  <c r="E612" i="60"/>
  <c r="U619" i="60"/>
  <c r="U617" i="60"/>
  <c r="Q619" i="60"/>
  <c r="U611" i="60"/>
  <c r="Q614" i="60"/>
  <c r="Q611" i="60"/>
  <c r="U625" i="60"/>
  <c r="I623" i="60"/>
  <c r="Q622" i="60"/>
  <c r="U628" i="60"/>
  <c r="U630" i="60"/>
  <c r="Q630" i="60"/>
  <c r="U622" i="60"/>
  <c r="Q625" i="60"/>
  <c r="I622" i="60"/>
  <c r="E623" i="60"/>
  <c r="E622" i="60"/>
  <c r="Q663" i="57"/>
  <c r="U655" i="57"/>
  <c r="X655" i="57" s="1"/>
  <c r="U661" i="57"/>
  <c r="X661" i="57" s="1"/>
  <c r="E656" i="57"/>
  <c r="I655" i="57"/>
  <c r="I656" i="57"/>
  <c r="L656" i="57" s="1"/>
  <c r="Q655" i="57"/>
  <c r="Q658" i="57"/>
  <c r="T658" i="57" s="1"/>
  <c r="U658" i="57"/>
  <c r="X658" i="57" s="1"/>
  <c r="U663" i="57"/>
  <c r="E655" i="57"/>
  <c r="Q652" i="57"/>
  <c r="U652" i="57"/>
  <c r="I644" i="57"/>
  <c r="I645" i="57"/>
  <c r="L645" i="57" s="1"/>
  <c r="E645" i="57"/>
  <c r="U650" i="57"/>
  <c r="X650" i="57" s="1"/>
  <c r="Q647" i="57"/>
  <c r="T647" i="57" s="1"/>
  <c r="Q644" i="57"/>
  <c r="U644" i="57"/>
  <c r="E644" i="57"/>
  <c r="U647" i="57"/>
  <c r="Q559" i="59"/>
  <c r="T559" i="59" s="1"/>
  <c r="Q556" i="59"/>
  <c r="I556" i="59"/>
  <c r="U562" i="59"/>
  <c r="X562" i="59" s="1"/>
  <c r="U559" i="59"/>
  <c r="X559" i="59" s="1"/>
  <c r="U564" i="59"/>
  <c r="E556" i="59"/>
  <c r="Q564" i="59"/>
  <c r="T564" i="59" s="1"/>
  <c r="E557" i="59"/>
  <c r="H557" i="59" s="1"/>
  <c r="U556" i="59"/>
  <c r="I557" i="59"/>
  <c r="L557" i="59" s="1"/>
  <c r="Q647" i="59"/>
  <c r="T647" i="59" s="1"/>
  <c r="Q644" i="59"/>
  <c r="U650" i="59"/>
  <c r="X650" i="59" s="1"/>
  <c r="Q652" i="59"/>
  <c r="I644" i="59"/>
  <c r="U652" i="59"/>
  <c r="I645" i="59"/>
  <c r="L645" i="59" s="1"/>
  <c r="E645" i="59"/>
  <c r="U644" i="59"/>
  <c r="U647" i="59"/>
  <c r="E644" i="59"/>
  <c r="E501" i="60"/>
  <c r="E502" i="60"/>
  <c r="U509" i="60"/>
  <c r="Q509" i="60"/>
  <c r="U501" i="60"/>
  <c r="U507" i="60"/>
  <c r="I502" i="60"/>
  <c r="Q504" i="60"/>
  <c r="Q501" i="60"/>
  <c r="I501" i="60"/>
  <c r="U504" i="60"/>
  <c r="U489" i="59"/>
  <c r="Q489" i="59"/>
  <c r="L489" i="59"/>
  <c r="H489" i="59"/>
  <c r="U488" i="59"/>
  <c r="Q488" i="59"/>
  <c r="L488" i="59"/>
  <c r="H488" i="59"/>
  <c r="L487" i="59"/>
  <c r="H487" i="59"/>
  <c r="U486" i="59"/>
  <c r="Q486" i="59"/>
  <c r="L486" i="59"/>
  <c r="H486" i="59"/>
  <c r="L485" i="59"/>
  <c r="H485" i="59"/>
  <c r="U484" i="59"/>
  <c r="Q484" i="59"/>
  <c r="L484" i="59"/>
  <c r="H484" i="59"/>
  <c r="U483" i="59"/>
  <c r="Q483" i="59"/>
  <c r="I483" i="59"/>
  <c r="H483" i="59"/>
  <c r="I482" i="59"/>
  <c r="H482" i="59"/>
  <c r="U481" i="59"/>
  <c r="Q481" i="59"/>
  <c r="L481" i="59"/>
  <c r="H481" i="59"/>
  <c r="U480" i="59"/>
  <c r="Q480" i="59"/>
  <c r="U478" i="59"/>
  <c r="Q478" i="59"/>
  <c r="L478" i="59"/>
  <c r="H478" i="59"/>
  <c r="U477" i="59"/>
  <c r="Q477" i="59"/>
  <c r="L477" i="59"/>
  <c r="H477" i="59"/>
  <c r="L476" i="59"/>
  <c r="H476" i="59"/>
  <c r="U475" i="59"/>
  <c r="Q475" i="59"/>
  <c r="L475" i="59"/>
  <c r="H475" i="59"/>
  <c r="L474" i="59"/>
  <c r="H474" i="59"/>
  <c r="U473" i="59"/>
  <c r="Q473" i="59"/>
  <c r="L473" i="59"/>
  <c r="H473" i="59"/>
  <c r="U472" i="59"/>
  <c r="Q472" i="59"/>
  <c r="I472" i="59"/>
  <c r="H472" i="59"/>
  <c r="I471" i="59"/>
  <c r="H471" i="59"/>
  <c r="U470" i="59"/>
  <c r="Q470" i="59"/>
  <c r="L470" i="59"/>
  <c r="H470" i="59"/>
  <c r="U469" i="59"/>
  <c r="Q469" i="59"/>
  <c r="U467" i="59"/>
  <c r="Q467" i="59"/>
  <c r="L467" i="59"/>
  <c r="H467" i="59"/>
  <c r="U466" i="59"/>
  <c r="Q466" i="59"/>
  <c r="L466" i="59"/>
  <c r="H466" i="59"/>
  <c r="L465" i="59"/>
  <c r="H465" i="59"/>
  <c r="U464" i="59"/>
  <c r="Q464" i="59"/>
  <c r="L464" i="59"/>
  <c r="H464" i="59"/>
  <c r="L463" i="59"/>
  <c r="H463" i="59"/>
  <c r="U462" i="59"/>
  <c r="Q462" i="59"/>
  <c r="L462" i="59"/>
  <c r="H462" i="59"/>
  <c r="U461" i="59"/>
  <c r="Q461" i="59"/>
  <c r="I461" i="59"/>
  <c r="H461" i="59"/>
  <c r="I460" i="59"/>
  <c r="H460" i="59"/>
  <c r="U459" i="59"/>
  <c r="Q459" i="59"/>
  <c r="L459" i="59"/>
  <c r="H459" i="59"/>
  <c r="U458" i="59"/>
  <c r="Q458" i="59"/>
  <c r="B638" i="57"/>
  <c r="U643" i="57"/>
  <c r="Q643" i="57"/>
  <c r="U642" i="57"/>
  <c r="Q642" i="57"/>
  <c r="U640" i="57"/>
  <c r="Q640" i="57"/>
  <c r="U638" i="57"/>
  <c r="Q638" i="57"/>
  <c r="U637" i="57"/>
  <c r="Q637" i="57"/>
  <c r="I637" i="57"/>
  <c r="I636" i="57"/>
  <c r="U635" i="57"/>
  <c r="Q635" i="57"/>
  <c r="U634" i="57"/>
  <c r="Q634" i="57"/>
  <c r="U632" i="57"/>
  <c r="Q632" i="57"/>
  <c r="U631" i="57"/>
  <c r="Q631" i="57"/>
  <c r="U629" i="57"/>
  <c r="Q629" i="57"/>
  <c r="U627" i="57"/>
  <c r="Q627" i="57"/>
  <c r="U626" i="57"/>
  <c r="Q626" i="57"/>
  <c r="I626" i="57"/>
  <c r="I625" i="57"/>
  <c r="U624" i="57"/>
  <c r="Q624" i="57"/>
  <c r="U623" i="57"/>
  <c r="Q623" i="57"/>
  <c r="U621" i="57"/>
  <c r="Q621" i="57"/>
  <c r="U620" i="57"/>
  <c r="Q620" i="57"/>
  <c r="U618" i="57"/>
  <c r="Q618" i="57"/>
  <c r="U616" i="57"/>
  <c r="Q616" i="57"/>
  <c r="U615" i="57"/>
  <c r="Q615" i="57"/>
  <c r="I615" i="57"/>
  <c r="I614" i="57"/>
  <c r="U613" i="57"/>
  <c r="Q613" i="57"/>
  <c r="U612" i="57"/>
  <c r="Q612" i="57"/>
  <c r="U610" i="57"/>
  <c r="Q610" i="57"/>
  <c r="U609" i="57"/>
  <c r="Q609" i="57"/>
  <c r="U607" i="57"/>
  <c r="Q607" i="57"/>
  <c r="U605" i="57"/>
  <c r="Q605" i="57"/>
  <c r="U604" i="57"/>
  <c r="Q604" i="57"/>
  <c r="I604" i="57"/>
  <c r="I603" i="57"/>
  <c r="U602" i="57"/>
  <c r="Q602" i="57"/>
  <c r="U601" i="57"/>
  <c r="Q601" i="57"/>
  <c r="U599" i="57"/>
  <c r="Q599" i="57"/>
  <c r="U598" i="57"/>
  <c r="Q598" i="57"/>
  <c r="U596" i="57"/>
  <c r="Q596" i="57"/>
  <c r="U594" i="57"/>
  <c r="Q594" i="57"/>
  <c r="U593" i="57"/>
  <c r="Q593" i="57"/>
  <c r="I593" i="57"/>
  <c r="I592" i="57"/>
  <c r="U591" i="57"/>
  <c r="Q591" i="57"/>
  <c r="U590" i="57"/>
  <c r="Q590" i="57"/>
  <c r="U588" i="57"/>
  <c r="Q588" i="57"/>
  <c r="U587" i="57"/>
  <c r="Q587" i="57"/>
  <c r="U585" i="57"/>
  <c r="Q585" i="57"/>
  <c r="U583" i="57"/>
  <c r="Q583" i="57"/>
  <c r="U582" i="57"/>
  <c r="Q582" i="57"/>
  <c r="I582" i="57"/>
  <c r="I581" i="57"/>
  <c r="U580" i="57"/>
  <c r="Q580" i="57"/>
  <c r="U579" i="57"/>
  <c r="Q579" i="57"/>
  <c r="U577" i="57"/>
  <c r="Q577" i="57"/>
  <c r="U576" i="57"/>
  <c r="Q576" i="57"/>
  <c r="U574" i="57"/>
  <c r="Q574" i="57"/>
  <c r="U572" i="57"/>
  <c r="Q572" i="57"/>
  <c r="U571" i="57"/>
  <c r="Q571" i="57"/>
  <c r="I571" i="57"/>
  <c r="I570" i="57"/>
  <c r="U569" i="57"/>
  <c r="Q569" i="57"/>
  <c r="U568" i="57"/>
  <c r="Q568" i="57"/>
  <c r="U566" i="57"/>
  <c r="Q566" i="57"/>
  <c r="U565" i="57"/>
  <c r="Q565" i="57"/>
  <c r="U563" i="57"/>
  <c r="Q563" i="57"/>
  <c r="U561" i="57"/>
  <c r="Q561" i="57"/>
  <c r="U560" i="57"/>
  <c r="Q560" i="57"/>
  <c r="I560" i="57"/>
  <c r="I559" i="57"/>
  <c r="U558" i="57"/>
  <c r="Q558" i="57"/>
  <c r="U557" i="57"/>
  <c r="Q557" i="57"/>
  <c r="U555" i="57"/>
  <c r="Q555" i="57"/>
  <c r="U554" i="57"/>
  <c r="Q554" i="57"/>
  <c r="U552" i="57"/>
  <c r="Q552" i="57"/>
  <c r="U550" i="57"/>
  <c r="Q550" i="57"/>
  <c r="U549" i="57"/>
  <c r="Q549" i="57"/>
  <c r="I549" i="57"/>
  <c r="I548" i="57"/>
  <c r="U547" i="57"/>
  <c r="Q547" i="57"/>
  <c r="U546" i="57"/>
  <c r="Q546" i="57"/>
  <c r="U544" i="57"/>
  <c r="Q544" i="57"/>
  <c r="U543" i="57"/>
  <c r="Q543" i="57"/>
  <c r="U541" i="57"/>
  <c r="Q541" i="57"/>
  <c r="U539" i="57"/>
  <c r="Q539" i="57"/>
  <c r="U538" i="57"/>
  <c r="Q538" i="57"/>
  <c r="I538" i="57"/>
  <c r="I537" i="57"/>
  <c r="U536" i="57"/>
  <c r="Q536" i="57"/>
  <c r="U535" i="57"/>
  <c r="Q535" i="57"/>
  <c r="U533" i="57"/>
  <c r="Q533" i="57"/>
  <c r="U532" i="57"/>
  <c r="Q532" i="57"/>
  <c r="U530" i="57"/>
  <c r="Q530" i="57"/>
  <c r="U528" i="57"/>
  <c r="Q528" i="57"/>
  <c r="U527" i="57"/>
  <c r="Q527" i="57"/>
  <c r="I527" i="57"/>
  <c r="I526" i="57"/>
  <c r="U525" i="57"/>
  <c r="Q525" i="57"/>
  <c r="U524" i="57"/>
  <c r="Q524" i="57"/>
  <c r="U500" i="60"/>
  <c r="Q500" i="60"/>
  <c r="U499" i="60"/>
  <c r="Q499" i="60"/>
  <c r="U497" i="60"/>
  <c r="Q497" i="60"/>
  <c r="U495" i="60"/>
  <c r="Q495" i="60"/>
  <c r="U494" i="60"/>
  <c r="Q494" i="60"/>
  <c r="I494" i="60"/>
  <c r="I493" i="60"/>
  <c r="U492" i="60"/>
  <c r="Q492" i="60"/>
  <c r="U491" i="60"/>
  <c r="Q491" i="60"/>
  <c r="U489" i="60"/>
  <c r="Q489" i="60"/>
  <c r="U488" i="60"/>
  <c r="Q488" i="60"/>
  <c r="U486" i="60"/>
  <c r="Q486" i="60"/>
  <c r="U484" i="60"/>
  <c r="Q484" i="60"/>
  <c r="U483" i="60"/>
  <c r="Q483" i="60"/>
  <c r="I483" i="60"/>
  <c r="I482" i="60"/>
  <c r="U481" i="60"/>
  <c r="Q481" i="60"/>
  <c r="U480" i="60"/>
  <c r="Q480" i="60"/>
  <c r="U478" i="60"/>
  <c r="Q478" i="60"/>
  <c r="U477" i="60"/>
  <c r="Q477" i="60"/>
  <c r="U475" i="60"/>
  <c r="Q475" i="60"/>
  <c r="U473" i="60"/>
  <c r="Q473" i="60"/>
  <c r="U472" i="60"/>
  <c r="Q472" i="60"/>
  <c r="I472" i="60"/>
  <c r="I471" i="60"/>
  <c r="U470" i="60"/>
  <c r="Q470" i="60"/>
  <c r="U469" i="60"/>
  <c r="Q469" i="60"/>
  <c r="U467" i="60"/>
  <c r="Q467" i="60"/>
  <c r="U466" i="60"/>
  <c r="Q466" i="60"/>
  <c r="U464" i="60"/>
  <c r="Q464" i="60"/>
  <c r="U462" i="60"/>
  <c r="Q462" i="60"/>
  <c r="U461" i="60"/>
  <c r="Q461" i="60"/>
  <c r="I461" i="60"/>
  <c r="I460" i="60"/>
  <c r="U459" i="60"/>
  <c r="Q459" i="60"/>
  <c r="U458" i="60"/>
  <c r="Q458" i="60"/>
  <c r="U456" i="60"/>
  <c r="Q456" i="60"/>
  <c r="U455" i="60"/>
  <c r="Q455" i="60"/>
  <c r="U453" i="60"/>
  <c r="Q453" i="60"/>
  <c r="U451" i="60"/>
  <c r="Q451" i="60"/>
  <c r="U450" i="60"/>
  <c r="Q450" i="60"/>
  <c r="I450" i="60"/>
  <c r="I449" i="60"/>
  <c r="U448" i="60"/>
  <c r="Q448" i="60"/>
  <c r="U447" i="60"/>
  <c r="Q447" i="60"/>
  <c r="C633" i="57" l="1"/>
  <c r="AD638" i="57" s="1"/>
  <c r="D633" i="57"/>
  <c r="K637" i="57"/>
  <c r="S635" i="57"/>
  <c r="W637" i="57"/>
  <c r="X637" i="57" s="1"/>
  <c r="O633" i="57"/>
  <c r="P633" i="57" s="1"/>
  <c r="O634" i="57"/>
  <c r="P634" i="57" s="1"/>
  <c r="W634" i="57"/>
  <c r="X634" i="57" s="1"/>
  <c r="W635" i="57"/>
  <c r="X635" i="57" s="1"/>
  <c r="S637" i="57"/>
  <c r="T637" i="57" s="1"/>
  <c r="W640" i="57"/>
  <c r="X640" i="57" s="1"/>
  <c r="S636" i="57"/>
  <c r="W638" i="57"/>
  <c r="X638" i="57" s="1"/>
  <c r="W642" i="57"/>
  <c r="X642" i="57" s="1"/>
  <c r="W643" i="57"/>
  <c r="X643" i="57" s="1"/>
  <c r="S643" i="57"/>
  <c r="W639" i="57"/>
  <c r="S638" i="57"/>
  <c r="S639" i="57"/>
  <c r="S640" i="57"/>
  <c r="S641" i="57"/>
  <c r="S642" i="57"/>
  <c r="B561" i="57"/>
  <c r="W563" i="57" s="1"/>
  <c r="X563" i="57" s="1"/>
  <c r="B583" i="57"/>
  <c r="B594" i="57"/>
  <c r="B605" i="57"/>
  <c r="B616" i="57"/>
  <c r="B627" i="57"/>
  <c r="D589" i="57" l="1"/>
  <c r="C589" i="57"/>
  <c r="AD594" i="57" s="1"/>
  <c r="S607" i="57"/>
  <c r="T607" i="57" s="1"/>
  <c r="D600" i="57"/>
  <c r="C600" i="57"/>
  <c r="AD605" i="57" s="1"/>
  <c r="S625" i="57"/>
  <c r="D622" i="57"/>
  <c r="C622" i="57"/>
  <c r="AD627" i="57" s="1"/>
  <c r="W579" i="57"/>
  <c r="X579" i="57" s="1"/>
  <c r="D578" i="57"/>
  <c r="C578" i="57"/>
  <c r="AD583" i="57" s="1"/>
  <c r="D611" i="57"/>
  <c r="C611" i="57"/>
  <c r="AD616" i="57" s="1"/>
  <c r="T640" i="57"/>
  <c r="T643" i="57"/>
  <c r="T642" i="57"/>
  <c r="T635" i="57"/>
  <c r="L637" i="57"/>
  <c r="B572" i="57"/>
  <c r="B550" i="57"/>
  <c r="W551" i="57" s="1"/>
  <c r="S585" i="57"/>
  <c r="O557" i="57"/>
  <c r="P557" i="57" s="1"/>
  <c r="S566" i="57"/>
  <c r="S564" i="57"/>
  <c r="W583" i="57"/>
  <c r="X583" i="57" s="1"/>
  <c r="S558" i="57"/>
  <c r="O589" i="57"/>
  <c r="P589" i="57" s="1"/>
  <c r="S620" i="57"/>
  <c r="S629" i="57"/>
  <c r="S596" i="57"/>
  <c r="S617" i="57"/>
  <c r="W585" i="57"/>
  <c r="X585" i="57" s="1"/>
  <c r="K582" i="57"/>
  <c r="S599" i="57"/>
  <c r="S594" i="57"/>
  <c r="K581" i="57"/>
  <c r="S561" i="57"/>
  <c r="W584" i="57"/>
  <c r="S559" i="57"/>
  <c r="W558" i="57"/>
  <c r="X558" i="57" s="1"/>
  <c r="W632" i="57"/>
  <c r="X632" i="57" s="1"/>
  <c r="W626" i="57"/>
  <c r="X626" i="57" s="1"/>
  <c r="K626" i="57"/>
  <c r="W627" i="57"/>
  <c r="X627" i="57" s="1"/>
  <c r="W624" i="57"/>
  <c r="X624" i="57" s="1"/>
  <c r="W623" i="57"/>
  <c r="X623" i="57" s="1"/>
  <c r="O623" i="57"/>
  <c r="P623" i="57" s="1"/>
  <c r="O622" i="57"/>
  <c r="P622" i="57" s="1"/>
  <c r="W629" i="57"/>
  <c r="X629" i="57" s="1"/>
  <c r="W631" i="57"/>
  <c r="X631" i="57" s="1"/>
  <c r="S624" i="57"/>
  <c r="S626" i="57"/>
  <c r="T626" i="57" s="1"/>
  <c r="S627" i="57"/>
  <c r="W628" i="57"/>
  <c r="S628" i="57"/>
  <c r="S631" i="57"/>
  <c r="S604" i="57"/>
  <c r="T604" i="57" s="1"/>
  <c r="W602" i="57"/>
  <c r="X602" i="57" s="1"/>
  <c r="W601" i="57"/>
  <c r="X601" i="57" s="1"/>
  <c r="O601" i="57"/>
  <c r="P601" i="57" s="1"/>
  <c r="O600" i="57"/>
  <c r="P600" i="57" s="1"/>
  <c r="W606" i="57"/>
  <c r="S610" i="57"/>
  <c r="S603" i="57"/>
  <c r="G601" i="57"/>
  <c r="W610" i="57"/>
  <c r="X610" i="57" s="1"/>
  <c r="W604" i="57"/>
  <c r="X604" i="57" s="1"/>
  <c r="S602" i="57"/>
  <c r="W605" i="57"/>
  <c r="X605" i="57" s="1"/>
  <c r="K603" i="57"/>
  <c r="W607" i="57"/>
  <c r="X607" i="57" s="1"/>
  <c r="W609" i="57"/>
  <c r="X609" i="57" s="1"/>
  <c r="K604" i="57"/>
  <c r="S605" i="57"/>
  <c r="S609" i="57"/>
  <c r="S606" i="57"/>
  <c r="W588" i="57"/>
  <c r="X588" i="57" s="1"/>
  <c r="S582" i="57"/>
  <c r="T582" i="57" s="1"/>
  <c r="O578" i="57"/>
  <c r="P578" i="57" s="1"/>
  <c r="S580" i="57"/>
  <c r="W587" i="57"/>
  <c r="X587" i="57" s="1"/>
  <c r="G579" i="57"/>
  <c r="S583" i="57"/>
  <c r="S587" i="57"/>
  <c r="S588" i="57"/>
  <c r="S584" i="57"/>
  <c r="W582" i="57"/>
  <c r="X582" i="57" s="1"/>
  <c r="O579" i="57"/>
  <c r="P579" i="57" s="1"/>
  <c r="W580" i="57"/>
  <c r="X580" i="57" s="1"/>
  <c r="S581" i="57"/>
  <c r="W566" i="57"/>
  <c r="X566" i="57" s="1"/>
  <c r="S560" i="57"/>
  <c r="T560" i="57" s="1"/>
  <c r="W559" i="57"/>
  <c r="K560" i="57"/>
  <c r="W560" i="57"/>
  <c r="X560" i="57" s="1"/>
  <c r="S562" i="57"/>
  <c r="S565" i="57"/>
  <c r="W562" i="57"/>
  <c r="W557" i="57"/>
  <c r="X557" i="57" s="1"/>
  <c r="W561" i="57"/>
  <c r="X561" i="57" s="1"/>
  <c r="G557" i="57"/>
  <c r="S563" i="57"/>
  <c r="W565" i="57"/>
  <c r="X565" i="57" s="1"/>
  <c r="O556" i="57"/>
  <c r="P556" i="57" s="1"/>
  <c r="S632" i="57"/>
  <c r="W595" i="57"/>
  <c r="S615" i="57"/>
  <c r="T615" i="57" s="1"/>
  <c r="W613" i="57"/>
  <c r="X613" i="57" s="1"/>
  <c r="W612" i="57"/>
  <c r="X612" i="57" s="1"/>
  <c r="O612" i="57"/>
  <c r="P612" i="57" s="1"/>
  <c r="O611" i="57"/>
  <c r="P611" i="57" s="1"/>
  <c r="W617" i="57"/>
  <c r="S621" i="57"/>
  <c r="G612" i="57"/>
  <c r="W618" i="57"/>
  <c r="X618" i="57" s="1"/>
  <c r="W620" i="57"/>
  <c r="X620" i="57" s="1"/>
  <c r="K615" i="57"/>
  <c r="W621" i="57"/>
  <c r="X621" i="57" s="1"/>
  <c r="W615" i="57"/>
  <c r="X615" i="57" s="1"/>
  <c r="S613" i="57"/>
  <c r="W616" i="57"/>
  <c r="X616" i="57" s="1"/>
  <c r="W599" i="57"/>
  <c r="X599" i="57" s="1"/>
  <c r="W598" i="57"/>
  <c r="X598" i="57" s="1"/>
  <c r="K592" i="57"/>
  <c r="S591" i="57"/>
  <c r="W593" i="57"/>
  <c r="X593" i="57" s="1"/>
  <c r="K593" i="57"/>
  <c r="W594" i="57"/>
  <c r="X594" i="57" s="1"/>
  <c r="S593" i="57"/>
  <c r="T593" i="57" s="1"/>
  <c r="W590" i="57"/>
  <c r="X590" i="57" s="1"/>
  <c r="W596" i="57"/>
  <c r="X596" i="57" s="1"/>
  <c r="W591" i="57"/>
  <c r="X591" i="57" s="1"/>
  <c r="G590" i="57"/>
  <c r="S616" i="57"/>
  <c r="S598" i="57"/>
  <c r="S595" i="57"/>
  <c r="S618" i="57"/>
  <c r="O590" i="57"/>
  <c r="P590" i="57" s="1"/>
  <c r="T638" i="57"/>
  <c r="U522" i="57"/>
  <c r="Q522" i="57"/>
  <c r="U521" i="57"/>
  <c r="Q521" i="57"/>
  <c r="U519" i="57"/>
  <c r="Q519" i="57"/>
  <c r="U517" i="57"/>
  <c r="Q517" i="57"/>
  <c r="U516" i="57"/>
  <c r="Q516" i="57"/>
  <c r="I516" i="57"/>
  <c r="I515" i="57"/>
  <c r="U514" i="57"/>
  <c r="Q514" i="57"/>
  <c r="U513" i="57"/>
  <c r="Q513" i="57"/>
  <c r="U511" i="57"/>
  <c r="Q511" i="57"/>
  <c r="U510" i="57"/>
  <c r="Q510" i="57"/>
  <c r="U508" i="57"/>
  <c r="Q508" i="57"/>
  <c r="U506" i="57"/>
  <c r="Q506" i="57"/>
  <c r="U505" i="57"/>
  <c r="Q505" i="57"/>
  <c r="I505" i="57"/>
  <c r="I504" i="57"/>
  <c r="U503" i="57"/>
  <c r="Q503" i="57"/>
  <c r="U502" i="57"/>
  <c r="Q502" i="57"/>
  <c r="U500" i="57"/>
  <c r="Q500" i="57"/>
  <c r="U499" i="57"/>
  <c r="Q499" i="57"/>
  <c r="U497" i="57"/>
  <c r="Q497" i="57"/>
  <c r="U495" i="57"/>
  <c r="Q495" i="57"/>
  <c r="U494" i="57"/>
  <c r="Q494" i="57"/>
  <c r="I494" i="57"/>
  <c r="I493" i="57"/>
  <c r="U492" i="57"/>
  <c r="Q492" i="57"/>
  <c r="U491" i="57"/>
  <c r="Q491" i="57"/>
  <c r="U489" i="57"/>
  <c r="Q489" i="57"/>
  <c r="U488" i="57"/>
  <c r="Q488" i="57"/>
  <c r="U486" i="57"/>
  <c r="Q486" i="57"/>
  <c r="U484" i="57"/>
  <c r="Q484" i="57"/>
  <c r="U483" i="57"/>
  <c r="Q483" i="57"/>
  <c r="I483" i="57"/>
  <c r="I482" i="57"/>
  <c r="U481" i="57"/>
  <c r="Q481" i="57"/>
  <c r="U480" i="57"/>
  <c r="Q480" i="57"/>
  <c r="U478" i="57"/>
  <c r="Q478" i="57"/>
  <c r="U477" i="57"/>
  <c r="Q477" i="57"/>
  <c r="U475" i="57"/>
  <c r="Q475" i="57"/>
  <c r="U473" i="57"/>
  <c r="Q473" i="57"/>
  <c r="U472" i="57"/>
  <c r="Q472" i="57"/>
  <c r="I472" i="57"/>
  <c r="I471" i="57"/>
  <c r="U470" i="57"/>
  <c r="Q470" i="57"/>
  <c r="U469" i="57"/>
  <c r="Q469" i="57"/>
  <c r="U467" i="57"/>
  <c r="Q467" i="57"/>
  <c r="U466" i="57"/>
  <c r="Q466" i="57"/>
  <c r="U464" i="57"/>
  <c r="Q464" i="57"/>
  <c r="U462" i="57"/>
  <c r="Q462" i="57"/>
  <c r="U461" i="57"/>
  <c r="Q461" i="57"/>
  <c r="I461" i="57"/>
  <c r="I460" i="57"/>
  <c r="U459" i="57"/>
  <c r="Q459" i="57"/>
  <c r="U458" i="57"/>
  <c r="Q458" i="57"/>
  <c r="U456" i="57"/>
  <c r="Q456" i="57"/>
  <c r="U455" i="57"/>
  <c r="Q455" i="57"/>
  <c r="U453" i="57"/>
  <c r="Q453" i="57"/>
  <c r="U451" i="57"/>
  <c r="Q451" i="57"/>
  <c r="U450" i="57"/>
  <c r="Q450" i="57"/>
  <c r="I450" i="57"/>
  <c r="I449" i="57"/>
  <c r="U448" i="57"/>
  <c r="Q448" i="57"/>
  <c r="U447" i="57"/>
  <c r="Q447" i="57"/>
  <c r="U445" i="57"/>
  <c r="Q445" i="57"/>
  <c r="U444" i="57"/>
  <c r="Q444" i="57"/>
  <c r="U442" i="57"/>
  <c r="Q442" i="57"/>
  <c r="U440" i="57"/>
  <c r="Q440" i="57"/>
  <c r="U439" i="57"/>
  <c r="Q439" i="57"/>
  <c r="I439" i="57"/>
  <c r="I438" i="57"/>
  <c r="U437" i="57"/>
  <c r="Q437" i="57"/>
  <c r="U436" i="57"/>
  <c r="Q436" i="57"/>
  <c r="O568" i="57" l="1"/>
  <c r="P568" i="57" s="1"/>
  <c r="D567" i="57"/>
  <c r="C567" i="57"/>
  <c r="S555" i="57"/>
  <c r="T555" i="57" s="1"/>
  <c r="O567" i="57"/>
  <c r="P567" i="57" s="1"/>
  <c r="K571" i="57"/>
  <c r="L571" i="57" s="1"/>
  <c r="S569" i="57"/>
  <c r="T569" i="57" s="1"/>
  <c r="S576" i="57"/>
  <c r="T576" i="57" s="1"/>
  <c r="W569" i="57"/>
  <c r="X569" i="57" s="1"/>
  <c r="S572" i="57"/>
  <c r="T572" i="57" s="1"/>
  <c r="S574" i="57"/>
  <c r="T574" i="57" s="1"/>
  <c r="L560" i="57"/>
  <c r="T583" i="57"/>
  <c r="T609" i="57"/>
  <c r="L604" i="57"/>
  <c r="T624" i="57"/>
  <c r="T594" i="57"/>
  <c r="L582" i="57"/>
  <c r="T596" i="57"/>
  <c r="T613" i="57"/>
  <c r="L615" i="57"/>
  <c r="T563" i="57"/>
  <c r="T602" i="57"/>
  <c r="T566" i="57"/>
  <c r="T585" i="57"/>
  <c r="T618" i="57"/>
  <c r="T616" i="57"/>
  <c r="T591" i="57"/>
  <c r="T621" i="57"/>
  <c r="T632" i="57"/>
  <c r="T565" i="57"/>
  <c r="T588" i="57"/>
  <c r="T605" i="57"/>
  <c r="T610" i="57"/>
  <c r="L626" i="57"/>
  <c r="T561" i="57"/>
  <c r="T599" i="57"/>
  <c r="T629" i="57"/>
  <c r="T558" i="57"/>
  <c r="T598" i="57"/>
  <c r="L593" i="57"/>
  <c r="L592" i="57"/>
  <c r="T587" i="57"/>
  <c r="T580" i="57"/>
  <c r="L603" i="57"/>
  <c r="T631" i="57"/>
  <c r="T627" i="57"/>
  <c r="L581" i="57"/>
  <c r="T620" i="57"/>
  <c r="G568" i="57"/>
  <c r="W555" i="57"/>
  <c r="X555" i="57" s="1"/>
  <c r="W572" i="57"/>
  <c r="X572" i="57" s="1"/>
  <c r="W568" i="57"/>
  <c r="X568" i="57" s="1"/>
  <c r="W571" i="57"/>
  <c r="X571" i="57" s="1"/>
  <c r="S577" i="57"/>
  <c r="W576" i="57"/>
  <c r="X576" i="57" s="1"/>
  <c r="W574" i="57"/>
  <c r="X574" i="57" s="1"/>
  <c r="K567" i="57"/>
  <c r="S573" i="57"/>
  <c r="S571" i="57"/>
  <c r="T571" i="57" s="1"/>
  <c r="W577" i="57"/>
  <c r="X577" i="57" s="1"/>
  <c r="W573" i="57"/>
  <c r="S554" i="57"/>
  <c r="W549" i="57"/>
  <c r="X549" i="57" s="1"/>
  <c r="S552" i="57"/>
  <c r="W547" i="57"/>
  <c r="X547" i="57" s="1"/>
  <c r="S550" i="57"/>
  <c r="G546" i="57"/>
  <c r="S549" i="57"/>
  <c r="T549" i="57" s="1"/>
  <c r="S551" i="57"/>
  <c r="W554" i="57"/>
  <c r="X554" i="57" s="1"/>
  <c r="W552" i="57"/>
  <c r="X552" i="57" s="1"/>
  <c r="W546" i="57"/>
  <c r="X546" i="57" s="1"/>
  <c r="W550" i="57"/>
  <c r="X550" i="57" s="1"/>
  <c r="S553" i="57"/>
  <c r="O546" i="57"/>
  <c r="P546" i="57" s="1"/>
  <c r="O545" i="57"/>
  <c r="P545" i="57" s="1"/>
  <c r="S547" i="57"/>
  <c r="K549" i="57"/>
  <c r="K570" i="57"/>
  <c r="G494" i="26"/>
  <c r="H494" i="26"/>
  <c r="I494" i="26"/>
  <c r="J494" i="26"/>
  <c r="K494" i="26"/>
  <c r="L494" i="26"/>
  <c r="M494" i="26"/>
  <c r="N494" i="26"/>
  <c r="O494" i="26"/>
  <c r="P494" i="26"/>
  <c r="Q494" i="26"/>
  <c r="R494" i="26"/>
  <c r="S494" i="26"/>
  <c r="T494" i="26"/>
  <c r="U494" i="26"/>
  <c r="V494" i="26"/>
  <c r="W494" i="26"/>
  <c r="X494" i="26"/>
  <c r="Y494" i="26"/>
  <c r="Z494" i="26"/>
  <c r="AA494" i="26"/>
  <c r="AB494" i="26"/>
  <c r="AC494" i="26"/>
  <c r="AD494" i="26"/>
  <c r="AE494" i="26"/>
  <c r="AF494" i="26"/>
  <c r="AG494" i="26"/>
  <c r="AH494" i="26"/>
  <c r="AI494" i="26"/>
  <c r="AJ494" i="26"/>
  <c r="AL494" i="26"/>
  <c r="L549" i="57" l="1"/>
  <c r="L570" i="57"/>
  <c r="T554" i="57"/>
  <c r="T547" i="57"/>
  <c r="T550" i="57"/>
  <c r="T552" i="57"/>
  <c r="T577" i="57"/>
  <c r="K669" i="60"/>
  <c r="W611" i="60" l="1"/>
  <c r="K501" i="60"/>
  <c r="G732" i="60"/>
  <c r="S853" i="60"/>
  <c r="W564" i="60"/>
  <c r="K523" i="60"/>
  <c r="K655" i="60"/>
  <c r="W608" i="60"/>
  <c r="AM2" i="26"/>
  <c r="K52" i="10" s="1"/>
  <c r="U434" i="57"/>
  <c r="Q434" i="57"/>
  <c r="U433" i="57"/>
  <c r="Q433" i="57"/>
  <c r="U431" i="57"/>
  <c r="Q431" i="57"/>
  <c r="U429" i="57"/>
  <c r="Q429" i="57"/>
  <c r="U428" i="57"/>
  <c r="Q428" i="57"/>
  <c r="I428" i="57"/>
  <c r="I427" i="57"/>
  <c r="U426" i="57"/>
  <c r="Q426" i="57"/>
  <c r="U425" i="57"/>
  <c r="Q425" i="57"/>
  <c r="H2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M494" i="26" l="1"/>
  <c r="AS1" i="26" s="1"/>
  <c r="S634" i="60"/>
  <c r="K864" i="60"/>
  <c r="S600" i="60"/>
  <c r="S590" i="60"/>
  <c r="S619" i="60"/>
  <c r="S586" i="60"/>
  <c r="S623" i="60"/>
  <c r="S864" i="60"/>
  <c r="W578" i="60"/>
  <c r="W589" i="60"/>
  <c r="S721" i="60"/>
  <c r="S557" i="60"/>
  <c r="W592" i="60"/>
  <c r="S545" i="60"/>
  <c r="W501" i="60"/>
  <c r="W512" i="60"/>
  <c r="G622" i="60"/>
  <c r="G633" i="60"/>
  <c r="G567" i="60"/>
  <c r="S710" i="60"/>
  <c r="S612" i="60"/>
  <c r="S633" i="60"/>
  <c r="S597" i="60"/>
  <c r="S608" i="60"/>
  <c r="S546" i="60"/>
  <c r="S941" i="60"/>
  <c r="W581" i="60"/>
  <c r="K853" i="60"/>
  <c r="Y853" i="60" s="1"/>
  <c r="AC859" i="60" s="1"/>
  <c r="K941" i="60"/>
  <c r="S655" i="60"/>
  <c r="Y655" i="60" s="1"/>
  <c r="AC660" i="60" s="1"/>
  <c r="G710" i="60"/>
  <c r="G721" i="60"/>
  <c r="G512" i="60"/>
  <c r="S677" i="60"/>
  <c r="Y677" i="60" s="1"/>
  <c r="AC682" i="60" s="1"/>
  <c r="AL2" i="9"/>
  <c r="S611" i="60"/>
  <c r="S601" i="60"/>
  <c r="S589" i="60"/>
  <c r="S567" i="60"/>
  <c r="S535" i="60"/>
  <c r="G501" i="60"/>
  <c r="G523" i="60"/>
  <c r="S699" i="60"/>
  <c r="G600" i="60"/>
  <c r="G611" i="60"/>
  <c r="G534" i="60"/>
  <c r="G545" i="60"/>
  <c r="S666" i="60"/>
  <c r="Y666" i="60" s="1"/>
  <c r="AC672" i="60" s="1"/>
  <c r="S732" i="60"/>
  <c r="Y732" i="60" s="1"/>
  <c r="AC738" i="60" s="1"/>
  <c r="S743" i="60"/>
  <c r="Y743" i="60" s="1"/>
  <c r="AC749" i="60" s="1"/>
  <c r="W556" i="60"/>
  <c r="W567" i="60"/>
  <c r="S644" i="60"/>
  <c r="Y644" i="60" s="1"/>
  <c r="AC650" i="60" s="1"/>
  <c r="W559" i="60"/>
  <c r="W570" i="60"/>
  <c r="S688" i="60"/>
  <c r="Y688" i="60" s="1"/>
  <c r="AC694" i="60" s="1"/>
  <c r="W622" i="60"/>
  <c r="G699" i="60"/>
  <c r="S578" i="60"/>
  <c r="K20" i="10"/>
  <c r="K19" i="10"/>
  <c r="S534" i="60"/>
  <c r="S622" i="60"/>
  <c r="G589" i="60"/>
  <c r="S512" i="60"/>
  <c r="K548" i="60"/>
  <c r="S524" i="60"/>
  <c r="K534" i="60"/>
  <c r="K504" i="60"/>
  <c r="S513" i="60"/>
  <c r="S523" i="60"/>
  <c r="G556" i="60"/>
  <c r="K537" i="60"/>
  <c r="S556" i="60"/>
  <c r="S501" i="60"/>
  <c r="I2" i="9"/>
  <c r="X2" i="9"/>
  <c r="AB2" i="9"/>
  <c r="L2" i="9"/>
  <c r="AJ2" i="9"/>
  <c r="T2" i="9"/>
  <c r="AF2" i="9"/>
  <c r="P2" i="9"/>
  <c r="A56" i="9"/>
  <c r="A57" i="9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I2" i="9"/>
  <c r="AE2" i="9"/>
  <c r="AA2" i="9"/>
  <c r="W2" i="9"/>
  <c r="S2" i="9"/>
  <c r="O2" i="9"/>
  <c r="K2" i="9"/>
  <c r="AH2" i="9"/>
  <c r="AD2" i="9"/>
  <c r="Z2" i="9"/>
  <c r="V2" i="9"/>
  <c r="R2" i="9"/>
  <c r="N2" i="9"/>
  <c r="J2" i="9"/>
  <c r="AK2" i="9"/>
  <c r="AG2" i="9"/>
  <c r="AC2" i="9"/>
  <c r="Y2" i="9"/>
  <c r="U2" i="9"/>
  <c r="Q2" i="9"/>
  <c r="M2" i="9"/>
  <c r="AN796" i="9" l="1" a="1"/>
  <c r="AN796" i="9" s="1"/>
  <c r="AM796" i="9" s="1"/>
  <c r="AN776" i="9" a="1"/>
  <c r="AN776" i="9" s="1"/>
  <c r="AM776" i="9" s="1"/>
  <c r="AN752" i="9" a="1"/>
  <c r="AN752" i="9" s="1"/>
  <c r="AM752" i="9" s="1"/>
  <c r="AN819" i="9" a="1"/>
  <c r="AN819" i="9" s="1"/>
  <c r="AM819" i="9" s="1"/>
  <c r="AN795" i="9" a="1"/>
  <c r="AN795" i="9" s="1"/>
  <c r="AM795" i="9" s="1"/>
  <c r="AN771" i="9" a="1"/>
  <c r="AN771" i="9" s="1"/>
  <c r="AM771" i="9" s="1"/>
  <c r="AN763" i="9" a="1"/>
  <c r="AN763" i="9" s="1"/>
  <c r="AM763" i="9" s="1"/>
  <c r="AN755" i="9" a="1"/>
  <c r="AN755" i="9" s="1"/>
  <c r="AM755" i="9" s="1"/>
  <c r="AN816" i="9" a="1"/>
  <c r="AN816" i="9" s="1"/>
  <c r="AM816" i="9" s="1"/>
  <c r="AN826" i="9" a="1"/>
  <c r="AN826" i="9" s="1"/>
  <c r="AM826" i="9" s="1"/>
  <c r="AN806" i="9" a="1"/>
  <c r="AN806" i="9" s="1"/>
  <c r="AM806" i="9" s="1"/>
  <c r="AN794" i="9" a="1"/>
  <c r="AN794" i="9" s="1"/>
  <c r="AM794" i="9" s="1"/>
  <c r="AN782" i="9" a="1"/>
  <c r="AN782" i="9" s="1"/>
  <c r="AM782" i="9" s="1"/>
  <c r="AN774" i="9" a="1"/>
  <c r="AN774" i="9" s="1"/>
  <c r="AM774" i="9" s="1"/>
  <c r="AN766" i="9" a="1"/>
  <c r="AN766" i="9" s="1"/>
  <c r="AM766" i="9" s="1"/>
  <c r="AN758" i="9" a="1"/>
  <c r="AN758" i="9" s="1"/>
  <c r="AM758" i="9" s="1"/>
  <c r="AN812" i="9" a="1"/>
  <c r="AN812" i="9" s="1"/>
  <c r="AM812" i="9" s="1"/>
  <c r="AN791" i="9" a="1"/>
  <c r="AN791" i="9" s="1"/>
  <c r="AM791" i="9" s="1"/>
  <c r="AN828" i="9" a="1"/>
  <c r="AN828" i="9" s="1"/>
  <c r="AM828" i="9" s="1"/>
  <c r="AN818" i="9" a="1"/>
  <c r="AN818" i="9" s="1"/>
  <c r="AM818" i="9" s="1"/>
  <c r="AN790" i="9" a="1"/>
  <c r="AN790" i="9" s="1"/>
  <c r="AM790" i="9" s="1"/>
  <c r="AN770" i="9" a="1"/>
  <c r="AN770" i="9" s="1"/>
  <c r="AM770" i="9" s="1"/>
  <c r="AN750" i="9" a="1"/>
  <c r="AN750" i="9" s="1"/>
  <c r="AM750" i="9" s="1"/>
  <c r="AN822" i="9" a="1"/>
  <c r="AN822" i="9" s="1"/>
  <c r="AM822" i="9" s="1"/>
  <c r="AN817" i="9" a="1"/>
  <c r="AN817" i="9" s="1"/>
  <c r="AM817" i="9" s="1"/>
  <c r="AN797" i="9" a="1"/>
  <c r="AN797" i="9" s="1"/>
  <c r="AM797" i="9" s="1"/>
  <c r="AN773" i="9" a="1"/>
  <c r="AN773" i="9" s="1"/>
  <c r="AM773" i="9" s="1"/>
  <c r="AN810" i="9" a="1"/>
  <c r="AN810" i="9" s="1"/>
  <c r="AM810" i="9" s="1"/>
  <c r="AN829" i="9" a="1"/>
  <c r="AN829" i="9" s="1"/>
  <c r="AM829" i="9" s="1"/>
  <c r="AN805" i="9" a="1"/>
  <c r="AN805" i="9" s="1"/>
  <c r="AM805" i="9" s="1"/>
  <c r="AN793" i="9" a="1"/>
  <c r="AN793" i="9" s="1"/>
  <c r="AM793" i="9" s="1"/>
  <c r="AN784" i="9" a="1"/>
  <c r="AN784" i="9" s="1"/>
  <c r="AM784" i="9" s="1"/>
  <c r="AN764" i="9" a="1"/>
  <c r="AN764" i="9" s="1"/>
  <c r="AM764" i="9" s="1"/>
  <c r="AN823" i="9" a="1"/>
  <c r="AN823" i="9" s="1"/>
  <c r="AM823" i="9" s="1"/>
  <c r="AN815" i="9" a="1"/>
  <c r="AN815" i="9" s="1"/>
  <c r="AM815" i="9" s="1"/>
  <c r="AN767" i="9" a="1"/>
  <c r="AN767" i="9" s="1"/>
  <c r="AM767" i="9" s="1"/>
  <c r="AN759" i="9" a="1"/>
  <c r="AN759" i="9" s="1"/>
  <c r="AM759" i="9" s="1"/>
  <c r="AN792" i="9" a="1"/>
  <c r="AN792" i="9" s="1"/>
  <c r="AM792" i="9" s="1"/>
  <c r="AN798" i="9" a="1"/>
  <c r="AN798" i="9" s="1"/>
  <c r="AM798" i="9" s="1"/>
  <c r="AN778" i="9" a="1"/>
  <c r="AN778" i="9" s="1"/>
  <c r="AM778" i="9" s="1"/>
  <c r="AN762" i="9" a="1"/>
  <c r="AN762" i="9" s="1"/>
  <c r="AM762" i="9" s="1"/>
  <c r="AN800" i="9" a="1"/>
  <c r="AN800" i="9" s="1"/>
  <c r="AM800" i="9" s="1"/>
  <c r="AN802" i="9" a="1"/>
  <c r="AN802" i="9" s="1"/>
  <c r="AM802" i="9" s="1"/>
  <c r="AN809" i="9" a="1"/>
  <c r="AN809" i="9" s="1"/>
  <c r="AM809" i="9" s="1"/>
  <c r="AN781" i="9" a="1"/>
  <c r="AN781" i="9" s="1"/>
  <c r="AM781" i="9" s="1"/>
  <c r="AN756" i="9" a="1"/>
  <c r="AN756" i="9" s="1"/>
  <c r="AM756" i="9" s="1"/>
  <c r="AN813" i="9" a="1"/>
  <c r="AN813" i="9" s="1"/>
  <c r="AM813" i="9" s="1"/>
  <c r="AN777" i="9" a="1"/>
  <c r="AN777" i="9" s="1"/>
  <c r="AM777" i="9" s="1"/>
  <c r="AN3" i="9" a="1"/>
  <c r="AN3" i="9" s="1"/>
  <c r="AM3" i="9" s="1"/>
  <c r="AN4" i="9" a="1"/>
  <c r="AN4" i="9" s="1"/>
  <c r="AM4" i="9" s="1"/>
  <c r="AN5" i="9" a="1"/>
  <c r="AN5" i="9" s="1"/>
  <c r="AM5" i="9" s="1"/>
  <c r="AN6" i="9" a="1"/>
  <c r="AN6" i="9" s="1"/>
  <c r="AM6" i="9" s="1"/>
  <c r="AN9" i="9" a="1"/>
  <c r="AN9" i="9" s="1"/>
  <c r="AM9" i="9" s="1"/>
  <c r="AN13" i="9" a="1"/>
  <c r="AN13" i="9" s="1"/>
  <c r="AM13" i="9" s="1"/>
  <c r="AN16" i="9" a="1"/>
  <c r="AN16" i="9" s="1"/>
  <c r="AM16" i="9" s="1"/>
  <c r="AN20" i="9" a="1"/>
  <c r="AN20" i="9" s="1"/>
  <c r="AM20" i="9" s="1"/>
  <c r="AN23" i="9" a="1"/>
  <c r="AN23" i="9" s="1"/>
  <c r="AM23" i="9" s="1"/>
  <c r="AN27" i="9" a="1"/>
  <c r="AN27" i="9" s="1"/>
  <c r="AM27" i="9" s="1"/>
  <c r="AN30" i="9" a="1"/>
  <c r="AN30" i="9" s="1"/>
  <c r="AM30" i="9" s="1"/>
  <c r="AN34" i="9" a="1"/>
  <c r="AN34" i="9" s="1"/>
  <c r="AM34" i="9" s="1"/>
  <c r="AN41" i="9" a="1"/>
  <c r="AN41" i="9" s="1"/>
  <c r="AM41" i="9" s="1"/>
  <c r="AN45" i="9" a="1"/>
  <c r="AN45" i="9" s="1"/>
  <c r="AM45" i="9" s="1"/>
  <c r="AN48" i="9" a="1"/>
  <c r="AN48" i="9" s="1"/>
  <c r="AM48" i="9" s="1"/>
  <c r="AN52" i="9" a="1"/>
  <c r="AN52" i="9" s="1"/>
  <c r="AM52" i="9" s="1"/>
  <c r="AN55" i="9" a="1"/>
  <c r="AN55" i="9" s="1"/>
  <c r="AM55" i="9" s="1"/>
  <c r="AN59" i="9" a="1"/>
  <c r="AN59" i="9" s="1"/>
  <c r="AM59" i="9" s="1"/>
  <c r="AN62" i="9" a="1"/>
  <c r="AN62" i="9" s="1"/>
  <c r="AM62" i="9" s="1"/>
  <c r="AN66" i="9" a="1"/>
  <c r="AN66" i="9" s="1"/>
  <c r="AM66" i="9" s="1"/>
  <c r="AN73" i="9" a="1"/>
  <c r="AN73" i="9" s="1"/>
  <c r="AM73" i="9" s="1"/>
  <c r="AN77" i="9" a="1"/>
  <c r="AN77" i="9" s="1"/>
  <c r="AM77" i="9" s="1"/>
  <c r="AN80" i="9" a="1"/>
  <c r="AN80" i="9" s="1"/>
  <c r="AM80" i="9" s="1"/>
  <c r="AN84" i="9" a="1"/>
  <c r="AN84" i="9" s="1"/>
  <c r="AM84" i="9" s="1"/>
  <c r="AN87" i="9" a="1"/>
  <c r="AN87" i="9" s="1"/>
  <c r="AM87" i="9" s="1"/>
  <c r="AN91" i="9" a="1"/>
  <c r="AN91" i="9" s="1"/>
  <c r="AM91" i="9" s="1"/>
  <c r="AN94" i="9" a="1"/>
  <c r="AN94" i="9" s="1"/>
  <c r="AM94" i="9" s="1"/>
  <c r="AN101" i="9" a="1"/>
  <c r="AN101" i="9" s="1"/>
  <c r="AM101" i="9" s="1"/>
  <c r="AN104" i="9" a="1"/>
  <c r="AN104" i="9" s="1"/>
  <c r="AM104" i="9" s="1"/>
  <c r="AN107" i="9" a="1"/>
  <c r="AN107" i="9" s="1"/>
  <c r="AM107" i="9" s="1"/>
  <c r="AN110" i="9" a="1"/>
  <c r="AN110" i="9" s="1"/>
  <c r="AM110" i="9" s="1"/>
  <c r="AN117" i="9" a="1"/>
  <c r="AN117" i="9" s="1"/>
  <c r="AM117" i="9" s="1"/>
  <c r="AN120" i="9" a="1"/>
  <c r="AN120" i="9" s="1"/>
  <c r="AM120" i="9" s="1"/>
  <c r="AN123" i="9" a="1"/>
  <c r="AN123" i="9" s="1"/>
  <c r="AM123" i="9" s="1"/>
  <c r="AN126" i="9" a="1"/>
  <c r="AN126" i="9" s="1"/>
  <c r="AM126" i="9" s="1"/>
  <c r="AN133" i="9" a="1"/>
  <c r="AN133" i="9" s="1"/>
  <c r="AM133" i="9" s="1"/>
  <c r="AN136" i="9" a="1"/>
  <c r="AN136" i="9" s="1"/>
  <c r="AM136" i="9" s="1"/>
  <c r="AN139" i="9" a="1"/>
  <c r="AN139" i="9" s="1"/>
  <c r="AM139" i="9" s="1"/>
  <c r="AN142" i="9" a="1"/>
  <c r="AN142" i="9" s="1"/>
  <c r="AM142" i="9" s="1"/>
  <c r="AN149" i="9" a="1"/>
  <c r="AN149" i="9" s="1"/>
  <c r="AM149" i="9" s="1"/>
  <c r="AN152" i="9" a="1"/>
  <c r="AN152" i="9" s="1"/>
  <c r="AM152" i="9" s="1"/>
  <c r="AN155" i="9" a="1"/>
  <c r="AN155" i="9" s="1"/>
  <c r="AM155" i="9" s="1"/>
  <c r="AN158" i="9" a="1"/>
  <c r="AN158" i="9" s="1"/>
  <c r="AM158" i="9" s="1"/>
  <c r="AN165" i="9" a="1"/>
  <c r="AN165" i="9" s="1"/>
  <c r="AM165" i="9" s="1"/>
  <c r="AN168" i="9" a="1"/>
  <c r="AN168" i="9" s="1"/>
  <c r="AM168" i="9" s="1"/>
  <c r="AN171" i="9" a="1"/>
  <c r="AN171" i="9" s="1"/>
  <c r="AM171" i="9" s="1"/>
  <c r="AN174" i="9" a="1"/>
  <c r="AN174" i="9" s="1"/>
  <c r="AM174" i="9" s="1"/>
  <c r="AN178" i="9" a="1"/>
  <c r="AN178" i="9" s="1"/>
  <c r="AM178" i="9" s="1"/>
  <c r="AN182" i="9" a="1"/>
  <c r="AN182" i="9" s="1"/>
  <c r="AM182" i="9" s="1"/>
  <c r="AN186" i="9" a="1"/>
  <c r="AN186" i="9" s="1"/>
  <c r="AM186" i="9" s="1"/>
  <c r="AN190" i="9" a="1"/>
  <c r="AN190" i="9" s="1"/>
  <c r="AM190" i="9" s="1"/>
  <c r="AN194" i="9" a="1"/>
  <c r="AN194" i="9" s="1"/>
  <c r="AM194" i="9" s="1"/>
  <c r="AN198" i="9" a="1"/>
  <c r="AN198" i="9" s="1"/>
  <c r="AM198" i="9" s="1"/>
  <c r="AN202" i="9" a="1"/>
  <c r="AN202" i="9" s="1"/>
  <c r="AM202" i="9" s="1"/>
  <c r="AN206" i="9" a="1"/>
  <c r="AN206" i="9" s="1"/>
  <c r="AM206" i="9" s="1"/>
  <c r="AN210" i="9" a="1"/>
  <c r="AN210" i="9" s="1"/>
  <c r="AM210" i="9" s="1"/>
  <c r="AN214" i="9" a="1"/>
  <c r="AN214" i="9" s="1"/>
  <c r="AM214" i="9" s="1"/>
  <c r="AN218" i="9" a="1"/>
  <c r="AN218" i="9" s="1"/>
  <c r="AM218" i="9" s="1"/>
  <c r="AN222" i="9" a="1"/>
  <c r="AN222" i="9" s="1"/>
  <c r="AM222" i="9" s="1"/>
  <c r="AN226" i="9" a="1"/>
  <c r="AN226" i="9" s="1"/>
  <c r="AM226" i="9" s="1"/>
  <c r="AN230" i="9" a="1"/>
  <c r="AN230" i="9" s="1"/>
  <c r="AM230" i="9" s="1"/>
  <c r="AN234" i="9" a="1"/>
  <c r="AN234" i="9" s="1"/>
  <c r="AM234" i="9" s="1"/>
  <c r="AN238" i="9" a="1"/>
  <c r="AN238" i="9" s="1"/>
  <c r="AM238" i="9" s="1"/>
  <c r="AN242" i="9" a="1"/>
  <c r="AN242" i="9" s="1"/>
  <c r="AM242" i="9" s="1"/>
  <c r="AN246" i="9" a="1"/>
  <c r="AN246" i="9" s="1"/>
  <c r="AM246" i="9" s="1"/>
  <c r="AN250" i="9" a="1"/>
  <c r="AN250" i="9" s="1"/>
  <c r="AM250" i="9" s="1"/>
  <c r="AN254" i="9" a="1"/>
  <c r="AN254" i="9" s="1"/>
  <c r="AM254" i="9" s="1"/>
  <c r="AN258" i="9" a="1"/>
  <c r="AN258" i="9" s="1"/>
  <c r="AM258" i="9" s="1"/>
  <c r="AN262" i="9" a="1"/>
  <c r="AN262" i="9" s="1"/>
  <c r="AM262" i="9" s="1"/>
  <c r="AN266" i="9" a="1"/>
  <c r="AN266" i="9" s="1"/>
  <c r="AM266" i="9" s="1"/>
  <c r="AN270" i="9" a="1"/>
  <c r="AN270" i="9" s="1"/>
  <c r="AM270" i="9" s="1"/>
  <c r="AN274" i="9" a="1"/>
  <c r="AN274" i="9" s="1"/>
  <c r="AM274" i="9" s="1"/>
  <c r="AN278" i="9" a="1"/>
  <c r="AN278" i="9" s="1"/>
  <c r="AM278" i="9" s="1"/>
  <c r="AN282" i="9" a="1"/>
  <c r="AN282" i="9" s="1"/>
  <c r="AM282" i="9" s="1"/>
  <c r="AN286" i="9" a="1"/>
  <c r="AN286" i="9" s="1"/>
  <c r="AM286" i="9" s="1"/>
  <c r="AN290" i="9" a="1"/>
  <c r="AN290" i="9" s="1"/>
  <c r="AM290" i="9" s="1"/>
  <c r="AN294" i="9" a="1"/>
  <c r="AN294" i="9" s="1"/>
  <c r="AM294" i="9" s="1"/>
  <c r="AN298" i="9" a="1"/>
  <c r="AN298" i="9" s="1"/>
  <c r="AM298" i="9" s="1"/>
  <c r="AN302" i="9" a="1"/>
  <c r="AN302" i="9" s="1"/>
  <c r="AM302" i="9" s="1"/>
  <c r="AN305" i="9" a="1"/>
  <c r="AN305" i="9" s="1"/>
  <c r="AM305" i="9" s="1"/>
  <c r="AN7" i="9" a="1"/>
  <c r="AN7" i="9" s="1"/>
  <c r="AM7" i="9" s="1"/>
  <c r="AN10" i="9" a="1"/>
  <c r="AN10" i="9" s="1"/>
  <c r="AM10" i="9" s="1"/>
  <c r="AN17" i="9" a="1"/>
  <c r="AN17" i="9" s="1"/>
  <c r="AM17" i="9" s="1"/>
  <c r="AN21" i="9" a="1"/>
  <c r="AN21" i="9" s="1"/>
  <c r="AM21" i="9" s="1"/>
  <c r="AN24" i="9" a="1"/>
  <c r="AN24" i="9" s="1"/>
  <c r="AM24" i="9" s="1"/>
  <c r="AN28" i="9" a="1"/>
  <c r="AN28" i="9" s="1"/>
  <c r="AM28" i="9" s="1"/>
  <c r="AN31" i="9" a="1"/>
  <c r="AN31" i="9" s="1"/>
  <c r="AM31" i="9" s="1"/>
  <c r="AN35" i="9" a="1"/>
  <c r="AN35" i="9" s="1"/>
  <c r="AM35" i="9" s="1"/>
  <c r="AN38" i="9" a="1"/>
  <c r="AN38" i="9" s="1"/>
  <c r="AM38" i="9" s="1"/>
  <c r="AN42" i="9" a="1"/>
  <c r="AN42" i="9" s="1"/>
  <c r="AM42" i="9" s="1"/>
  <c r="AN49" i="9" a="1"/>
  <c r="AN49" i="9" s="1"/>
  <c r="AM49" i="9" s="1"/>
  <c r="AN53" i="9" a="1"/>
  <c r="AN53" i="9" s="1"/>
  <c r="AM53" i="9" s="1"/>
  <c r="AN56" i="9" a="1"/>
  <c r="AN56" i="9" s="1"/>
  <c r="AM56" i="9" s="1"/>
  <c r="AN60" i="9" a="1"/>
  <c r="AN60" i="9" s="1"/>
  <c r="AM60" i="9" s="1"/>
  <c r="AN63" i="9" a="1"/>
  <c r="AN63" i="9" s="1"/>
  <c r="AM63" i="9" s="1"/>
  <c r="AN67" i="9" a="1"/>
  <c r="AN67" i="9" s="1"/>
  <c r="AM67" i="9" s="1"/>
  <c r="AN70" i="9" a="1"/>
  <c r="AN70" i="9" s="1"/>
  <c r="AM70" i="9" s="1"/>
  <c r="AN74" i="9" a="1"/>
  <c r="AN74" i="9" s="1"/>
  <c r="AM74" i="9" s="1"/>
  <c r="AN81" i="9" a="1"/>
  <c r="AN81" i="9" s="1"/>
  <c r="AM81" i="9" s="1"/>
  <c r="AN85" i="9" a="1"/>
  <c r="AN85" i="9" s="1"/>
  <c r="AM85" i="9" s="1"/>
  <c r="AN88" i="9" a="1"/>
  <c r="AN88" i="9" s="1"/>
  <c r="AM88" i="9" s="1"/>
  <c r="AN92" i="9" a="1"/>
  <c r="AN92" i="9" s="1"/>
  <c r="AM92" i="9" s="1"/>
  <c r="AN95" i="9" a="1"/>
  <c r="AN95" i="9" s="1"/>
  <c r="AM95" i="9" s="1"/>
  <c r="AN98" i="9" a="1"/>
  <c r="AN98" i="9" s="1"/>
  <c r="AM98" i="9" s="1"/>
  <c r="AN105" i="9" a="1"/>
  <c r="AN105" i="9" s="1"/>
  <c r="AM105" i="9" s="1"/>
  <c r="AN108" i="9" a="1"/>
  <c r="AN108" i="9" s="1"/>
  <c r="AM108" i="9" s="1"/>
  <c r="AN111" i="9" a="1"/>
  <c r="AN111" i="9" s="1"/>
  <c r="AM111" i="9" s="1"/>
  <c r="AN114" i="9" a="1"/>
  <c r="AN114" i="9" s="1"/>
  <c r="AM114" i="9" s="1"/>
  <c r="AN121" i="9" a="1"/>
  <c r="AN121" i="9" s="1"/>
  <c r="AM121" i="9" s="1"/>
  <c r="AN124" i="9" a="1"/>
  <c r="AN124" i="9" s="1"/>
  <c r="AM124" i="9" s="1"/>
  <c r="AN127" i="9" a="1"/>
  <c r="AN127" i="9" s="1"/>
  <c r="AM127" i="9" s="1"/>
  <c r="AN130" i="9" a="1"/>
  <c r="AN130" i="9" s="1"/>
  <c r="AM130" i="9" s="1"/>
  <c r="AN137" i="9" a="1"/>
  <c r="AN137" i="9" s="1"/>
  <c r="AM137" i="9" s="1"/>
  <c r="AN140" i="9" a="1"/>
  <c r="AN140" i="9" s="1"/>
  <c r="AM140" i="9" s="1"/>
  <c r="AN143" i="9" a="1"/>
  <c r="AN143" i="9" s="1"/>
  <c r="AM143" i="9" s="1"/>
  <c r="AN146" i="9" a="1"/>
  <c r="AN146" i="9" s="1"/>
  <c r="AM146" i="9" s="1"/>
  <c r="AN153" i="9" a="1"/>
  <c r="AN153" i="9" s="1"/>
  <c r="AM153" i="9" s="1"/>
  <c r="AN156" i="9" a="1"/>
  <c r="AN156" i="9" s="1"/>
  <c r="AM156" i="9" s="1"/>
  <c r="AN159" i="9" a="1"/>
  <c r="AN159" i="9" s="1"/>
  <c r="AM159" i="9" s="1"/>
  <c r="AN162" i="9" a="1"/>
  <c r="AN162" i="9" s="1"/>
  <c r="AM162" i="9" s="1"/>
  <c r="AN169" i="9" a="1"/>
  <c r="AN169" i="9" s="1"/>
  <c r="AM169" i="9" s="1"/>
  <c r="AN172" i="9" a="1"/>
  <c r="AN172" i="9" s="1"/>
  <c r="AM172" i="9" s="1"/>
  <c r="AN175" i="9" a="1"/>
  <c r="AN175" i="9" s="1"/>
  <c r="AM175" i="9" s="1"/>
  <c r="AN179" i="9" a="1"/>
  <c r="AN179" i="9" s="1"/>
  <c r="AM179" i="9" s="1"/>
  <c r="AN183" i="9" a="1"/>
  <c r="AN183" i="9" s="1"/>
  <c r="AM183" i="9" s="1"/>
  <c r="AN187" i="9" a="1"/>
  <c r="AN187" i="9" s="1"/>
  <c r="AM187" i="9" s="1"/>
  <c r="AN191" i="9" a="1"/>
  <c r="AN191" i="9" s="1"/>
  <c r="AM191" i="9" s="1"/>
  <c r="AN195" i="9" a="1"/>
  <c r="AN195" i="9" s="1"/>
  <c r="AM195" i="9" s="1"/>
  <c r="AN199" i="9" a="1"/>
  <c r="AN199" i="9" s="1"/>
  <c r="AM199" i="9" s="1"/>
  <c r="AN203" i="9" a="1"/>
  <c r="AN203" i="9" s="1"/>
  <c r="AM203" i="9" s="1"/>
  <c r="AN207" i="9" a="1"/>
  <c r="AN207" i="9" s="1"/>
  <c r="AM207" i="9" s="1"/>
  <c r="AN211" i="9" a="1"/>
  <c r="AN211" i="9" s="1"/>
  <c r="AM211" i="9" s="1"/>
  <c r="AN215" i="9" a="1"/>
  <c r="AN215" i="9" s="1"/>
  <c r="AM215" i="9" s="1"/>
  <c r="AN219" i="9" a="1"/>
  <c r="AN219" i="9" s="1"/>
  <c r="AM219" i="9" s="1"/>
  <c r="AN223" i="9" a="1"/>
  <c r="AN223" i="9" s="1"/>
  <c r="AM223" i="9" s="1"/>
  <c r="AN227" i="9" a="1"/>
  <c r="AN227" i="9" s="1"/>
  <c r="AM227" i="9" s="1"/>
  <c r="AN231" i="9" a="1"/>
  <c r="AN231" i="9" s="1"/>
  <c r="AM231" i="9" s="1"/>
  <c r="AN235" i="9" a="1"/>
  <c r="AN235" i="9" s="1"/>
  <c r="AM235" i="9" s="1"/>
  <c r="AN239" i="9" a="1"/>
  <c r="AN239" i="9" s="1"/>
  <c r="AM239" i="9" s="1"/>
  <c r="AN243" i="9" a="1"/>
  <c r="AN243" i="9" s="1"/>
  <c r="AM243" i="9" s="1"/>
  <c r="AN247" i="9" a="1"/>
  <c r="AN247" i="9" s="1"/>
  <c r="AM247" i="9" s="1"/>
  <c r="AN251" i="9" a="1"/>
  <c r="AN251" i="9" s="1"/>
  <c r="AM251" i="9" s="1"/>
  <c r="AN255" i="9" a="1"/>
  <c r="AN255" i="9" s="1"/>
  <c r="AM255" i="9" s="1"/>
  <c r="AN259" i="9" a="1"/>
  <c r="AN259" i="9" s="1"/>
  <c r="AM259" i="9" s="1"/>
  <c r="AN263" i="9" a="1"/>
  <c r="AN263" i="9" s="1"/>
  <c r="AM263" i="9" s="1"/>
  <c r="AN267" i="9" a="1"/>
  <c r="AN267" i="9" s="1"/>
  <c r="AM267" i="9" s="1"/>
  <c r="AN271" i="9" a="1"/>
  <c r="AN271" i="9" s="1"/>
  <c r="AM271" i="9" s="1"/>
  <c r="AN275" i="9" a="1"/>
  <c r="AN275" i="9" s="1"/>
  <c r="AM275" i="9" s="1"/>
  <c r="AN279" i="9" a="1"/>
  <c r="AN279" i="9" s="1"/>
  <c r="AM279" i="9" s="1"/>
  <c r="AN283" i="9" a="1"/>
  <c r="AN283" i="9" s="1"/>
  <c r="AM283" i="9" s="1"/>
  <c r="AN287" i="9" a="1"/>
  <c r="AN287" i="9" s="1"/>
  <c r="AM287" i="9" s="1"/>
  <c r="AN291" i="9" a="1"/>
  <c r="AN291" i="9" s="1"/>
  <c r="AM291" i="9" s="1"/>
  <c r="AN295" i="9" a="1"/>
  <c r="AN295" i="9" s="1"/>
  <c r="AM295" i="9" s="1"/>
  <c r="AN299" i="9" a="1"/>
  <c r="AN299" i="9" s="1"/>
  <c r="AM299" i="9" s="1"/>
  <c r="AN303" i="9" a="1"/>
  <c r="AN303" i="9" s="1"/>
  <c r="AM303" i="9" s="1"/>
  <c r="AN306" i="9" a="1"/>
  <c r="AN306" i="9" s="1"/>
  <c r="AM306" i="9" s="1"/>
  <c r="AN309" i="9" a="1"/>
  <c r="AN309" i="9" s="1"/>
  <c r="AM309" i="9" s="1"/>
  <c r="AN11" i="9" a="1"/>
  <c r="AN11" i="9" s="1"/>
  <c r="AM11" i="9" s="1"/>
  <c r="AN14" i="9" a="1"/>
  <c r="AN14" i="9" s="1"/>
  <c r="AM14" i="9" s="1"/>
  <c r="AN18" i="9" a="1"/>
  <c r="AN18" i="9" s="1"/>
  <c r="AM18" i="9" s="1"/>
  <c r="AN25" i="9" a="1"/>
  <c r="AN25" i="9" s="1"/>
  <c r="AM25" i="9" s="1"/>
  <c r="AN29" i="9" a="1"/>
  <c r="AN29" i="9" s="1"/>
  <c r="AM29" i="9" s="1"/>
  <c r="AN32" i="9" a="1"/>
  <c r="AN32" i="9" s="1"/>
  <c r="AM32" i="9" s="1"/>
  <c r="AN36" i="9" a="1"/>
  <c r="AN36" i="9" s="1"/>
  <c r="AM36" i="9" s="1"/>
  <c r="AN39" i="9" a="1"/>
  <c r="AN39" i="9" s="1"/>
  <c r="AM39" i="9" s="1"/>
  <c r="AN43" i="9" a="1"/>
  <c r="AN43" i="9" s="1"/>
  <c r="AM43" i="9" s="1"/>
  <c r="AN46" i="9" a="1"/>
  <c r="AN46" i="9" s="1"/>
  <c r="AM46" i="9" s="1"/>
  <c r="AN50" i="9" a="1"/>
  <c r="AN50" i="9" s="1"/>
  <c r="AM50" i="9" s="1"/>
  <c r="AN57" i="9" a="1"/>
  <c r="AN57" i="9" s="1"/>
  <c r="AM57" i="9" s="1"/>
  <c r="AN61" i="9" a="1"/>
  <c r="AN61" i="9" s="1"/>
  <c r="AM61" i="9" s="1"/>
  <c r="AN64" i="9" a="1"/>
  <c r="AN64" i="9" s="1"/>
  <c r="AM64" i="9" s="1"/>
  <c r="AN68" i="9" a="1"/>
  <c r="AN68" i="9" s="1"/>
  <c r="AM68" i="9" s="1"/>
  <c r="AN71" i="9" a="1"/>
  <c r="AN71" i="9" s="1"/>
  <c r="AM71" i="9" s="1"/>
  <c r="AN75" i="9" a="1"/>
  <c r="AN75" i="9" s="1"/>
  <c r="AM75" i="9" s="1"/>
  <c r="AN78" i="9" a="1"/>
  <c r="AN78" i="9" s="1"/>
  <c r="AM78" i="9" s="1"/>
  <c r="AN82" i="9" a="1"/>
  <c r="AN82" i="9" s="1"/>
  <c r="AM82" i="9" s="1"/>
  <c r="AN89" i="9" a="1"/>
  <c r="AN89" i="9" s="1"/>
  <c r="AM89" i="9" s="1"/>
  <c r="AN93" i="9" a="1"/>
  <c r="AN93" i="9" s="1"/>
  <c r="AM93" i="9" s="1"/>
  <c r="AN96" i="9" a="1"/>
  <c r="AN96" i="9" s="1"/>
  <c r="AM96" i="9" s="1"/>
  <c r="AN99" i="9" a="1"/>
  <c r="AN99" i="9" s="1"/>
  <c r="AM99" i="9" s="1"/>
  <c r="AN102" i="9" a="1"/>
  <c r="AN102" i="9" s="1"/>
  <c r="AM102" i="9" s="1"/>
  <c r="AN109" i="9" a="1"/>
  <c r="AN109" i="9" s="1"/>
  <c r="AM109" i="9" s="1"/>
  <c r="AN112" i="9" a="1"/>
  <c r="AN112" i="9" s="1"/>
  <c r="AM112" i="9" s="1"/>
  <c r="AN115" i="9" a="1"/>
  <c r="AN115" i="9" s="1"/>
  <c r="AM115" i="9" s="1"/>
  <c r="AN118" i="9" a="1"/>
  <c r="AN118" i="9" s="1"/>
  <c r="AM118" i="9" s="1"/>
  <c r="AN125" i="9" a="1"/>
  <c r="AN125" i="9" s="1"/>
  <c r="AM125" i="9" s="1"/>
  <c r="AN128" i="9" a="1"/>
  <c r="AN128" i="9" s="1"/>
  <c r="AM128" i="9" s="1"/>
  <c r="AN131" i="9" a="1"/>
  <c r="AN131" i="9" s="1"/>
  <c r="AM131" i="9" s="1"/>
  <c r="AN134" i="9" a="1"/>
  <c r="AN134" i="9" s="1"/>
  <c r="AM134" i="9" s="1"/>
  <c r="AN141" i="9" a="1"/>
  <c r="AN141" i="9" s="1"/>
  <c r="AM141" i="9" s="1"/>
  <c r="AN144" i="9" a="1"/>
  <c r="AN144" i="9" s="1"/>
  <c r="AM144" i="9" s="1"/>
  <c r="AN147" i="9" a="1"/>
  <c r="AN147" i="9" s="1"/>
  <c r="AM147" i="9" s="1"/>
  <c r="AN150" i="9" a="1"/>
  <c r="AN150" i="9" s="1"/>
  <c r="AM150" i="9" s="1"/>
  <c r="AN157" i="9" a="1"/>
  <c r="AN157" i="9" s="1"/>
  <c r="AM157" i="9" s="1"/>
  <c r="AN160" i="9" a="1"/>
  <c r="AN160" i="9" s="1"/>
  <c r="AM160" i="9" s="1"/>
  <c r="AN163" i="9" a="1"/>
  <c r="AN163" i="9" s="1"/>
  <c r="AM163" i="9" s="1"/>
  <c r="AN166" i="9" a="1"/>
  <c r="AN166" i="9" s="1"/>
  <c r="AM166" i="9" s="1"/>
  <c r="AN173" i="9" a="1"/>
  <c r="AN173" i="9" s="1"/>
  <c r="AM173" i="9" s="1"/>
  <c r="AN176" i="9" a="1"/>
  <c r="AN176" i="9" s="1"/>
  <c r="AM176" i="9" s="1"/>
  <c r="AN180" i="9" a="1"/>
  <c r="AN180" i="9" s="1"/>
  <c r="AM180" i="9" s="1"/>
  <c r="AN184" i="9" a="1"/>
  <c r="AN184" i="9" s="1"/>
  <c r="AM184" i="9" s="1"/>
  <c r="AN188" i="9" a="1"/>
  <c r="AN188" i="9" s="1"/>
  <c r="AM188" i="9" s="1"/>
  <c r="AN192" i="9" a="1"/>
  <c r="AN192" i="9" s="1"/>
  <c r="AM192" i="9" s="1"/>
  <c r="AN196" i="9" a="1"/>
  <c r="AN196" i="9" s="1"/>
  <c r="AM196" i="9" s="1"/>
  <c r="AN200" i="9" a="1"/>
  <c r="AN200" i="9" s="1"/>
  <c r="AM200" i="9" s="1"/>
  <c r="AN204" i="9" a="1"/>
  <c r="AN204" i="9" s="1"/>
  <c r="AM204" i="9" s="1"/>
  <c r="AN208" i="9" a="1"/>
  <c r="AN208" i="9" s="1"/>
  <c r="AM208" i="9" s="1"/>
  <c r="AN212" i="9" a="1"/>
  <c r="AN212" i="9" s="1"/>
  <c r="AM212" i="9" s="1"/>
  <c r="AN216" i="9" a="1"/>
  <c r="AN216" i="9" s="1"/>
  <c r="AM216" i="9" s="1"/>
  <c r="AN220" i="9" a="1"/>
  <c r="AN220" i="9" s="1"/>
  <c r="AM220" i="9" s="1"/>
  <c r="AN224" i="9" a="1"/>
  <c r="AN224" i="9" s="1"/>
  <c r="AM224" i="9" s="1"/>
  <c r="AN228" i="9" a="1"/>
  <c r="AN228" i="9" s="1"/>
  <c r="AM228" i="9" s="1"/>
  <c r="AN232" i="9" a="1"/>
  <c r="AN232" i="9" s="1"/>
  <c r="AM232" i="9" s="1"/>
  <c r="AN236" i="9" a="1"/>
  <c r="AN236" i="9" s="1"/>
  <c r="AM236" i="9" s="1"/>
  <c r="AN240" i="9" a="1"/>
  <c r="AN240" i="9" s="1"/>
  <c r="AM240" i="9" s="1"/>
  <c r="AN244" i="9" a="1"/>
  <c r="AN244" i="9" s="1"/>
  <c r="AM244" i="9" s="1"/>
  <c r="AN248" i="9" a="1"/>
  <c r="AN248" i="9" s="1"/>
  <c r="AM248" i="9" s="1"/>
  <c r="AN252" i="9" a="1"/>
  <c r="AN252" i="9" s="1"/>
  <c r="AM252" i="9" s="1"/>
  <c r="AN256" i="9" a="1"/>
  <c r="AN256" i="9" s="1"/>
  <c r="AM256" i="9" s="1"/>
  <c r="AN260" i="9" a="1"/>
  <c r="AN260" i="9" s="1"/>
  <c r="AM260" i="9" s="1"/>
  <c r="AN264" i="9" a="1"/>
  <c r="AN264" i="9" s="1"/>
  <c r="AM264" i="9" s="1"/>
  <c r="AN268" i="9" a="1"/>
  <c r="AN268" i="9" s="1"/>
  <c r="AM268" i="9" s="1"/>
  <c r="AN272" i="9" a="1"/>
  <c r="AN272" i="9" s="1"/>
  <c r="AM272" i="9" s="1"/>
  <c r="AN276" i="9" a="1"/>
  <c r="AN276" i="9" s="1"/>
  <c r="AM276" i="9" s="1"/>
  <c r="AN280" i="9" a="1"/>
  <c r="AN280" i="9" s="1"/>
  <c r="AM280" i="9" s="1"/>
  <c r="AN284" i="9" a="1"/>
  <c r="AN284" i="9" s="1"/>
  <c r="AM284" i="9" s="1"/>
  <c r="AN288" i="9" a="1"/>
  <c r="AN288" i="9" s="1"/>
  <c r="AM288" i="9" s="1"/>
  <c r="AN292" i="9" a="1"/>
  <c r="AN292" i="9" s="1"/>
  <c r="AM292" i="9" s="1"/>
  <c r="AN296" i="9" a="1"/>
  <c r="AN296" i="9" s="1"/>
  <c r="AM296" i="9" s="1"/>
  <c r="AN300" i="9" a="1"/>
  <c r="AN300" i="9" s="1"/>
  <c r="AM300" i="9" s="1"/>
  <c r="AN304" i="9" a="1"/>
  <c r="AN304" i="9" s="1"/>
  <c r="AM304" i="9" s="1"/>
  <c r="AN8" i="9" a="1"/>
  <c r="AN8" i="9" s="1"/>
  <c r="AM8" i="9" s="1"/>
  <c r="AN22" i="9" a="1"/>
  <c r="AN22" i="9" s="1"/>
  <c r="AM22" i="9" s="1"/>
  <c r="AN37" i="9" a="1"/>
  <c r="AN37" i="9" s="1"/>
  <c r="AM37" i="9" s="1"/>
  <c r="AN51" i="9" a="1"/>
  <c r="AN51" i="9" s="1"/>
  <c r="AM51" i="9" s="1"/>
  <c r="AN65" i="9" a="1"/>
  <c r="AN65" i="9" s="1"/>
  <c r="AM65" i="9" s="1"/>
  <c r="AN79" i="9" a="1"/>
  <c r="AN79" i="9" s="1"/>
  <c r="AM79" i="9" s="1"/>
  <c r="AN106" i="9" a="1"/>
  <c r="AN106" i="9" s="1"/>
  <c r="AM106" i="9" s="1"/>
  <c r="AN119" i="9" a="1"/>
  <c r="AN119" i="9" s="1"/>
  <c r="AM119" i="9" s="1"/>
  <c r="AN132" i="9" a="1"/>
  <c r="AN132" i="9" s="1"/>
  <c r="AM132" i="9" s="1"/>
  <c r="AN145" i="9" a="1"/>
  <c r="AN145" i="9" s="1"/>
  <c r="AM145" i="9" s="1"/>
  <c r="AN170" i="9" a="1"/>
  <c r="AN170" i="9" s="1"/>
  <c r="AM170" i="9" s="1"/>
  <c r="AN185" i="9" a="1"/>
  <c r="AN185" i="9" s="1"/>
  <c r="AM185" i="9" s="1"/>
  <c r="AN201" i="9" a="1"/>
  <c r="AN201" i="9" s="1"/>
  <c r="AM201" i="9" s="1"/>
  <c r="AN217" i="9" a="1"/>
  <c r="AN217" i="9" s="1"/>
  <c r="AM217" i="9" s="1"/>
  <c r="AN233" i="9" a="1"/>
  <c r="AN233" i="9" s="1"/>
  <c r="AM233" i="9" s="1"/>
  <c r="AN249" i="9" a="1"/>
  <c r="AN249" i="9" s="1"/>
  <c r="AM249" i="9" s="1"/>
  <c r="AN265" i="9" a="1"/>
  <c r="AN265" i="9" s="1"/>
  <c r="AM265" i="9" s="1"/>
  <c r="AN281" i="9" a="1"/>
  <c r="AN281" i="9" s="1"/>
  <c r="AM281" i="9" s="1"/>
  <c r="AN297" i="9" a="1"/>
  <c r="AN297" i="9" s="1"/>
  <c r="AM297" i="9" s="1"/>
  <c r="AN307" i="9" a="1"/>
  <c r="AN307" i="9" s="1"/>
  <c r="AM307" i="9" s="1"/>
  <c r="AN312" i="9" a="1"/>
  <c r="AN312" i="9" s="1"/>
  <c r="AM312" i="9" s="1"/>
  <c r="AN318" i="9" a="1"/>
  <c r="AN318" i="9" s="1"/>
  <c r="AM318" i="9" s="1"/>
  <c r="AN321" i="9" a="1"/>
  <c r="AN321" i="9" s="1"/>
  <c r="AM321" i="9" s="1"/>
  <c r="AN324" i="9" a="1"/>
  <c r="AN324" i="9" s="1"/>
  <c r="AM324" i="9" s="1"/>
  <c r="AN328" i="9" a="1"/>
  <c r="AN328" i="9" s="1"/>
  <c r="AM328" i="9" s="1"/>
  <c r="AN334" i="9" a="1"/>
  <c r="AN334" i="9" s="1"/>
  <c r="AM334" i="9" s="1"/>
  <c r="AN337" i="9" a="1"/>
  <c r="AN337" i="9" s="1"/>
  <c r="AM337" i="9" s="1"/>
  <c r="AN340" i="9" a="1"/>
  <c r="AN340" i="9" s="1"/>
  <c r="AM340" i="9" s="1"/>
  <c r="AN344" i="9" a="1"/>
  <c r="AN344" i="9" s="1"/>
  <c r="AM344" i="9" s="1"/>
  <c r="AN350" i="9" a="1"/>
  <c r="AN350" i="9" s="1"/>
  <c r="AM350" i="9" s="1"/>
  <c r="AN353" i="9" a="1"/>
  <c r="AN353" i="9" s="1"/>
  <c r="AM353" i="9" s="1"/>
  <c r="AN356" i="9" a="1"/>
  <c r="AN356" i="9" s="1"/>
  <c r="AM356" i="9" s="1"/>
  <c r="AN360" i="9" a="1"/>
  <c r="AN360" i="9" s="1"/>
  <c r="AM360" i="9" s="1"/>
  <c r="AN366" i="9" a="1"/>
  <c r="AN366" i="9" s="1"/>
  <c r="AM366" i="9" s="1"/>
  <c r="AN369" i="9" a="1"/>
  <c r="AN369" i="9" s="1"/>
  <c r="AM369" i="9" s="1"/>
  <c r="AN372" i="9" a="1"/>
  <c r="AN372" i="9" s="1"/>
  <c r="AM372" i="9" s="1"/>
  <c r="AN376" i="9" a="1"/>
  <c r="AN376" i="9" s="1"/>
  <c r="AM376" i="9" s="1"/>
  <c r="AN382" i="9" a="1"/>
  <c r="AN382" i="9" s="1"/>
  <c r="AM382" i="9" s="1"/>
  <c r="AN385" i="9" a="1"/>
  <c r="AN385" i="9" s="1"/>
  <c r="AM385" i="9" s="1"/>
  <c r="AN388" i="9" a="1"/>
  <c r="AN388" i="9" s="1"/>
  <c r="AM388" i="9" s="1"/>
  <c r="AN392" i="9" a="1"/>
  <c r="AN392" i="9" s="1"/>
  <c r="AM392" i="9" s="1"/>
  <c r="AN398" i="9" a="1"/>
  <c r="AN398" i="9" s="1"/>
  <c r="AM398" i="9" s="1"/>
  <c r="AN401" i="9" a="1"/>
  <c r="AN401" i="9" s="1"/>
  <c r="AM401" i="9" s="1"/>
  <c r="AN404" i="9" a="1"/>
  <c r="AN404" i="9" s="1"/>
  <c r="AM404" i="9" s="1"/>
  <c r="AN408" i="9" a="1"/>
  <c r="AN408" i="9" s="1"/>
  <c r="AM408" i="9" s="1"/>
  <c r="AN414" i="9" a="1"/>
  <c r="AN414" i="9" s="1"/>
  <c r="AM414" i="9" s="1"/>
  <c r="AN417" i="9" a="1"/>
  <c r="AN417" i="9" s="1"/>
  <c r="AM417" i="9" s="1"/>
  <c r="AN420" i="9" a="1"/>
  <c r="AN420" i="9" s="1"/>
  <c r="AM420" i="9" s="1"/>
  <c r="AN424" i="9" a="1"/>
  <c r="AN424" i="9" s="1"/>
  <c r="AM424" i="9" s="1"/>
  <c r="AN430" i="9" a="1"/>
  <c r="AN430" i="9" s="1"/>
  <c r="AM430" i="9" s="1"/>
  <c r="AN433" i="9" a="1"/>
  <c r="AN433" i="9" s="1"/>
  <c r="AM433" i="9" s="1"/>
  <c r="AN436" i="9" a="1"/>
  <c r="AN436" i="9" s="1"/>
  <c r="AM436" i="9" s="1"/>
  <c r="AN440" i="9" a="1"/>
  <c r="AN440" i="9" s="1"/>
  <c r="AM440" i="9" s="1"/>
  <c r="AN446" i="9" a="1"/>
  <c r="AN446" i="9" s="1"/>
  <c r="AM446" i="9" s="1"/>
  <c r="AN449" i="9" a="1"/>
  <c r="AN449" i="9" s="1"/>
  <c r="AM449" i="9" s="1"/>
  <c r="AN452" i="9" a="1"/>
  <c r="AN452" i="9" s="1"/>
  <c r="AM452" i="9" s="1"/>
  <c r="AN456" i="9" a="1"/>
  <c r="AN456" i="9" s="1"/>
  <c r="AM456" i="9" s="1"/>
  <c r="AN462" i="9" a="1"/>
  <c r="AN462" i="9" s="1"/>
  <c r="AM462" i="9" s="1"/>
  <c r="AN465" i="9" a="1"/>
  <c r="AN465" i="9" s="1"/>
  <c r="AM465" i="9" s="1"/>
  <c r="AN468" i="9" a="1"/>
  <c r="AN468" i="9" s="1"/>
  <c r="AM468" i="9" s="1"/>
  <c r="AN472" i="9" a="1"/>
  <c r="AN472" i="9" s="1"/>
  <c r="AM472" i="9" s="1"/>
  <c r="AN478" i="9" a="1"/>
  <c r="AN478" i="9" s="1"/>
  <c r="AM478" i="9" s="1"/>
  <c r="AN481" i="9" a="1"/>
  <c r="AN481" i="9" s="1"/>
  <c r="AM481" i="9" s="1"/>
  <c r="AN484" i="9" a="1"/>
  <c r="AN484" i="9" s="1"/>
  <c r="AM484" i="9" s="1"/>
  <c r="AN488" i="9" a="1"/>
  <c r="AN488" i="9" s="1"/>
  <c r="AM488" i="9" s="1"/>
  <c r="AN494" i="9" a="1"/>
  <c r="AN494" i="9" s="1"/>
  <c r="AM494" i="9" s="1"/>
  <c r="AN497" i="9" a="1"/>
  <c r="AN497" i="9" s="1"/>
  <c r="AM497" i="9" s="1"/>
  <c r="AN500" i="9" a="1"/>
  <c r="AN500" i="9" s="1"/>
  <c r="AM500" i="9" s="1"/>
  <c r="AN504" i="9" a="1"/>
  <c r="AN504" i="9" s="1"/>
  <c r="AM504" i="9" s="1"/>
  <c r="AN510" i="9" a="1"/>
  <c r="AN510" i="9" s="1"/>
  <c r="AM510" i="9" s="1"/>
  <c r="AN12" i="9" a="1"/>
  <c r="AN12" i="9" s="1"/>
  <c r="AM12" i="9" s="1"/>
  <c r="AN26" i="9" a="1"/>
  <c r="AN26" i="9" s="1"/>
  <c r="AM26" i="9" s="1"/>
  <c r="AN40" i="9" a="1"/>
  <c r="AN40" i="9" s="1"/>
  <c r="AM40" i="9" s="1"/>
  <c r="AN54" i="9" a="1"/>
  <c r="AN54" i="9" s="1"/>
  <c r="AM54" i="9" s="1"/>
  <c r="AN69" i="9" a="1"/>
  <c r="AN69" i="9" s="1"/>
  <c r="AM69" i="9" s="1"/>
  <c r="AN83" i="9" a="1"/>
  <c r="AN83" i="9" s="1"/>
  <c r="AM83" i="9" s="1"/>
  <c r="AN97" i="9" a="1"/>
  <c r="AN97" i="9" s="1"/>
  <c r="AM97" i="9" s="1"/>
  <c r="AN122" i="9" a="1"/>
  <c r="AN122" i="9" s="1"/>
  <c r="AM122" i="9" s="1"/>
  <c r="AN135" i="9" a="1"/>
  <c r="AN135" i="9" s="1"/>
  <c r="AM135" i="9" s="1"/>
  <c r="AN148" i="9" a="1"/>
  <c r="AN148" i="9" s="1"/>
  <c r="AM148" i="9" s="1"/>
  <c r="AN161" i="9" a="1"/>
  <c r="AN161" i="9" s="1"/>
  <c r="AM161" i="9" s="1"/>
  <c r="AN189" i="9" a="1"/>
  <c r="AN189" i="9" s="1"/>
  <c r="AM189" i="9" s="1"/>
  <c r="AN205" i="9" a="1"/>
  <c r="AN205" i="9" s="1"/>
  <c r="AM205" i="9" s="1"/>
  <c r="AN221" i="9" a="1"/>
  <c r="AN221" i="9" s="1"/>
  <c r="AM221" i="9" s="1"/>
  <c r="AN237" i="9" a="1"/>
  <c r="AN237" i="9" s="1"/>
  <c r="AM237" i="9" s="1"/>
  <c r="AN253" i="9" a="1"/>
  <c r="AN253" i="9" s="1"/>
  <c r="AM253" i="9" s="1"/>
  <c r="AN269" i="9" a="1"/>
  <c r="AN269" i="9" s="1"/>
  <c r="AM269" i="9" s="1"/>
  <c r="AN285" i="9" a="1"/>
  <c r="AN285" i="9" s="1"/>
  <c r="AM285" i="9" s="1"/>
  <c r="AN301" i="9" a="1"/>
  <c r="AN301" i="9" s="1"/>
  <c r="AM301" i="9" s="1"/>
  <c r="AN308" i="9" a="1"/>
  <c r="AN308" i="9" s="1"/>
  <c r="AM308" i="9" s="1"/>
  <c r="AN315" i="9" a="1"/>
  <c r="AN315" i="9" s="1"/>
  <c r="AM315" i="9" s="1"/>
  <c r="AN319" i="9" a="1"/>
  <c r="AN319" i="9" s="1"/>
  <c r="AM319" i="9" s="1"/>
  <c r="AN322" i="9" a="1"/>
  <c r="AN322" i="9" s="1"/>
  <c r="AM322" i="9" s="1"/>
  <c r="AN325" i="9" a="1"/>
  <c r="AN325" i="9" s="1"/>
  <c r="AM325" i="9" s="1"/>
  <c r="AN331" i="9" a="1"/>
  <c r="AN331" i="9" s="1"/>
  <c r="AM331" i="9" s="1"/>
  <c r="AN335" i="9" a="1"/>
  <c r="AN335" i="9" s="1"/>
  <c r="AM335" i="9" s="1"/>
  <c r="AN338" i="9" a="1"/>
  <c r="AN338" i="9" s="1"/>
  <c r="AM338" i="9" s="1"/>
  <c r="AN341" i="9" a="1"/>
  <c r="AN341" i="9" s="1"/>
  <c r="AM341" i="9" s="1"/>
  <c r="AN347" i="9" a="1"/>
  <c r="AN347" i="9" s="1"/>
  <c r="AM347" i="9" s="1"/>
  <c r="AN351" i="9" a="1"/>
  <c r="AN351" i="9" s="1"/>
  <c r="AM351" i="9" s="1"/>
  <c r="AN354" i="9" a="1"/>
  <c r="AN354" i="9" s="1"/>
  <c r="AM354" i="9" s="1"/>
  <c r="AN357" i="9" a="1"/>
  <c r="AN357" i="9" s="1"/>
  <c r="AM357" i="9" s="1"/>
  <c r="AN363" i="9" a="1"/>
  <c r="AN363" i="9" s="1"/>
  <c r="AM363" i="9" s="1"/>
  <c r="AN367" i="9" a="1"/>
  <c r="AN367" i="9" s="1"/>
  <c r="AM367" i="9" s="1"/>
  <c r="AN370" i="9" a="1"/>
  <c r="AN370" i="9" s="1"/>
  <c r="AM370" i="9" s="1"/>
  <c r="AN373" i="9" a="1"/>
  <c r="AN373" i="9" s="1"/>
  <c r="AM373" i="9" s="1"/>
  <c r="AN379" i="9" a="1"/>
  <c r="AN379" i="9" s="1"/>
  <c r="AM379" i="9" s="1"/>
  <c r="AN383" i="9" a="1"/>
  <c r="AN383" i="9" s="1"/>
  <c r="AM383" i="9" s="1"/>
  <c r="AN386" i="9" a="1"/>
  <c r="AN386" i="9" s="1"/>
  <c r="AM386" i="9" s="1"/>
  <c r="AN389" i="9" a="1"/>
  <c r="AN389" i="9" s="1"/>
  <c r="AM389" i="9" s="1"/>
  <c r="AN395" i="9" a="1"/>
  <c r="AN395" i="9" s="1"/>
  <c r="AM395" i="9" s="1"/>
  <c r="AN399" i="9" a="1"/>
  <c r="AN399" i="9" s="1"/>
  <c r="AM399" i="9" s="1"/>
  <c r="AN402" i="9" a="1"/>
  <c r="AN402" i="9" s="1"/>
  <c r="AM402" i="9" s="1"/>
  <c r="AN405" i="9" a="1"/>
  <c r="AN405" i="9" s="1"/>
  <c r="AM405" i="9" s="1"/>
  <c r="AN411" i="9" a="1"/>
  <c r="AN411" i="9" s="1"/>
  <c r="AM411" i="9" s="1"/>
  <c r="AN415" i="9" a="1"/>
  <c r="AN415" i="9" s="1"/>
  <c r="AM415" i="9" s="1"/>
  <c r="AN418" i="9" a="1"/>
  <c r="AN418" i="9" s="1"/>
  <c r="AM418" i="9" s="1"/>
  <c r="AN421" i="9" a="1"/>
  <c r="AN421" i="9" s="1"/>
  <c r="AM421" i="9" s="1"/>
  <c r="AN427" i="9" a="1"/>
  <c r="AN427" i="9" s="1"/>
  <c r="AM427" i="9" s="1"/>
  <c r="AN431" i="9" a="1"/>
  <c r="AN431" i="9" s="1"/>
  <c r="AM431" i="9" s="1"/>
  <c r="AN434" i="9" a="1"/>
  <c r="AN434" i="9" s="1"/>
  <c r="AM434" i="9" s="1"/>
  <c r="AN437" i="9" a="1"/>
  <c r="AN437" i="9" s="1"/>
  <c r="AM437" i="9" s="1"/>
  <c r="AN443" i="9" a="1"/>
  <c r="AN443" i="9" s="1"/>
  <c r="AM443" i="9" s="1"/>
  <c r="AN447" i="9" a="1"/>
  <c r="AN447" i="9" s="1"/>
  <c r="AM447" i="9" s="1"/>
  <c r="AN450" i="9" a="1"/>
  <c r="AN450" i="9" s="1"/>
  <c r="AM450" i="9" s="1"/>
  <c r="AN453" i="9" a="1"/>
  <c r="AN453" i="9" s="1"/>
  <c r="AM453" i="9" s="1"/>
  <c r="AN459" i="9" a="1"/>
  <c r="AN459" i="9" s="1"/>
  <c r="AM459" i="9" s="1"/>
  <c r="AN463" i="9" a="1"/>
  <c r="AN463" i="9" s="1"/>
  <c r="AM463" i="9" s="1"/>
  <c r="AN466" i="9" a="1"/>
  <c r="AN466" i="9" s="1"/>
  <c r="AM466" i="9" s="1"/>
  <c r="AN469" i="9" a="1"/>
  <c r="AN469" i="9" s="1"/>
  <c r="AM469" i="9" s="1"/>
  <c r="AN475" i="9" a="1"/>
  <c r="AN475" i="9" s="1"/>
  <c r="AM475" i="9" s="1"/>
  <c r="AN479" i="9" a="1"/>
  <c r="AN479" i="9" s="1"/>
  <c r="AM479" i="9" s="1"/>
  <c r="AN482" i="9" a="1"/>
  <c r="AN482" i="9" s="1"/>
  <c r="AM482" i="9" s="1"/>
  <c r="AN485" i="9" a="1"/>
  <c r="AN485" i="9" s="1"/>
  <c r="AM485" i="9" s="1"/>
  <c r="AN491" i="9" a="1"/>
  <c r="AN491" i="9" s="1"/>
  <c r="AM491" i="9" s="1"/>
  <c r="AN495" i="9" a="1"/>
  <c r="AN495" i="9" s="1"/>
  <c r="AM495" i="9" s="1"/>
  <c r="AN498" i="9" a="1"/>
  <c r="AN498" i="9" s="1"/>
  <c r="AM498" i="9" s="1"/>
  <c r="AN501" i="9" a="1"/>
  <c r="AN501" i="9" s="1"/>
  <c r="AM501" i="9" s="1"/>
  <c r="AN507" i="9" a="1"/>
  <c r="AN507" i="9" s="1"/>
  <c r="AM507" i="9" s="1"/>
  <c r="AN511" i="9" a="1"/>
  <c r="AN511" i="9" s="1"/>
  <c r="AM511" i="9" s="1"/>
  <c r="AN514" i="9" a="1"/>
  <c r="AN514" i="9" s="1"/>
  <c r="AM514" i="9" s="1"/>
  <c r="AN517" i="9" a="1"/>
  <c r="AN517" i="9" s="1"/>
  <c r="AM517" i="9" s="1"/>
  <c r="AN523" i="9" a="1"/>
  <c r="AN523" i="9" s="1"/>
  <c r="AM523" i="9" s="1"/>
  <c r="AN527" i="9" a="1"/>
  <c r="AN527" i="9" s="1"/>
  <c r="AM527" i="9" s="1"/>
  <c r="AN530" i="9" a="1"/>
  <c r="AN530" i="9" s="1"/>
  <c r="AM530" i="9" s="1"/>
  <c r="AN533" i="9" a="1"/>
  <c r="AN533" i="9" s="1"/>
  <c r="AM533" i="9" s="1"/>
  <c r="AN540" i="9" a="1"/>
  <c r="AN540" i="9" s="1"/>
  <c r="AM540" i="9" s="1"/>
  <c r="AN544" i="9" a="1"/>
  <c r="AN544" i="9" s="1"/>
  <c r="AM544" i="9" s="1"/>
  <c r="AN547" i="9" a="1"/>
  <c r="AN547" i="9" s="1"/>
  <c r="AM547" i="9" s="1"/>
  <c r="AN551" i="9" a="1"/>
  <c r="AN551" i="9" s="1"/>
  <c r="AM551" i="9" s="1"/>
  <c r="AN554" i="9" a="1"/>
  <c r="AN554" i="9" s="1"/>
  <c r="AM554" i="9" s="1"/>
  <c r="AN558" i="9" a="1"/>
  <c r="AN558" i="9" s="1"/>
  <c r="AM558" i="9" s="1"/>
  <c r="AN561" i="9" a="1"/>
  <c r="AN561" i="9" s="1"/>
  <c r="AM561" i="9" s="1"/>
  <c r="AN565" i="9" a="1"/>
  <c r="AN565" i="9" s="1"/>
  <c r="AM565" i="9" s="1"/>
  <c r="AN572" i="9" a="1"/>
  <c r="AN572" i="9" s="1"/>
  <c r="AM572" i="9" s="1"/>
  <c r="AN576" i="9" a="1"/>
  <c r="AN576" i="9" s="1"/>
  <c r="AM576" i="9" s="1"/>
  <c r="AN579" i="9" a="1"/>
  <c r="AN579" i="9" s="1"/>
  <c r="AM579" i="9" s="1"/>
  <c r="AN583" i="9" a="1"/>
  <c r="AN583" i="9" s="1"/>
  <c r="AM583" i="9" s="1"/>
  <c r="AN586" i="9" a="1"/>
  <c r="AN586" i="9" s="1"/>
  <c r="AM586" i="9" s="1"/>
  <c r="AN590" i="9" a="1"/>
  <c r="AN590" i="9" s="1"/>
  <c r="AM590" i="9" s="1"/>
  <c r="AN593" i="9" a="1"/>
  <c r="AN593" i="9" s="1"/>
  <c r="AM593" i="9" s="1"/>
  <c r="AN597" i="9" a="1"/>
  <c r="AN597" i="9" s="1"/>
  <c r="AM597" i="9" s="1"/>
  <c r="AN604" i="9" a="1"/>
  <c r="AN604" i="9" s="1"/>
  <c r="AM604" i="9" s="1"/>
  <c r="AN608" i="9" a="1"/>
  <c r="AN608" i="9" s="1"/>
  <c r="AM608" i="9" s="1"/>
  <c r="AN611" i="9" a="1"/>
  <c r="AN611" i="9" s="1"/>
  <c r="AM611" i="9" s="1"/>
  <c r="AN615" i="9" a="1"/>
  <c r="AN615" i="9" s="1"/>
  <c r="AM615" i="9" s="1"/>
  <c r="AN618" i="9" a="1"/>
  <c r="AN618" i="9" s="1"/>
  <c r="AM618" i="9" s="1"/>
  <c r="AN622" i="9" a="1"/>
  <c r="AN622" i="9" s="1"/>
  <c r="AM622" i="9" s="1"/>
  <c r="AN625" i="9" a="1"/>
  <c r="AN625" i="9" s="1"/>
  <c r="AM625" i="9" s="1"/>
  <c r="AN632" i="9" a="1"/>
  <c r="AN632" i="9" s="1"/>
  <c r="AM632" i="9" s="1"/>
  <c r="AN635" i="9" a="1"/>
  <c r="AN635" i="9" s="1"/>
  <c r="AM635" i="9" s="1"/>
  <c r="AN638" i="9" a="1"/>
  <c r="AN638" i="9" s="1"/>
  <c r="AM638" i="9" s="1"/>
  <c r="AN641" i="9" a="1"/>
  <c r="AN641" i="9" s="1"/>
  <c r="AM641" i="9" s="1"/>
  <c r="AN647" i="9" a="1"/>
  <c r="AN647" i="9" s="1"/>
  <c r="AM647" i="9" s="1"/>
  <c r="AN652" i="9" a="1"/>
  <c r="AN652" i="9" s="1"/>
  <c r="AM652" i="9" s="1"/>
  <c r="AN655" i="9" a="1"/>
  <c r="AN655" i="9" s="1"/>
  <c r="AM655" i="9" s="1"/>
  <c r="AN660" i="9" a="1"/>
  <c r="AN660" i="9" s="1"/>
  <c r="AM660" i="9" s="1"/>
  <c r="AN663" i="9" a="1"/>
  <c r="AN663" i="9" s="1"/>
  <c r="AM663" i="9" s="1"/>
  <c r="AN668" i="9" a="1"/>
  <c r="AN668" i="9" s="1"/>
  <c r="AM668" i="9" s="1"/>
  <c r="AN671" i="9" a="1"/>
  <c r="AN671" i="9" s="1"/>
  <c r="AM671" i="9" s="1"/>
  <c r="AN676" i="9" a="1"/>
  <c r="AN676" i="9" s="1"/>
  <c r="AM676" i="9" s="1"/>
  <c r="AN679" i="9" a="1"/>
  <c r="AN679" i="9" s="1"/>
  <c r="AM679" i="9" s="1"/>
  <c r="AN684" i="9" a="1"/>
  <c r="AN684" i="9" s="1"/>
  <c r="AM684" i="9" s="1"/>
  <c r="AN687" i="9" a="1"/>
  <c r="AN687" i="9" s="1"/>
  <c r="AM687" i="9" s="1"/>
  <c r="AN692" i="9" a="1"/>
  <c r="AN692" i="9" s="1"/>
  <c r="AM692" i="9" s="1"/>
  <c r="AN695" i="9" a="1"/>
  <c r="AN695" i="9" s="1"/>
  <c r="AM695" i="9" s="1"/>
  <c r="AN700" i="9" a="1"/>
  <c r="AN700" i="9" s="1"/>
  <c r="AM700" i="9" s="1"/>
  <c r="AN703" i="9" a="1"/>
  <c r="AN703" i="9" s="1"/>
  <c r="AM703" i="9" s="1"/>
  <c r="AN708" i="9" a="1"/>
  <c r="AN708" i="9" s="1"/>
  <c r="AM708" i="9" s="1"/>
  <c r="AN711" i="9" a="1"/>
  <c r="AN711" i="9" s="1"/>
  <c r="AM711" i="9" s="1"/>
  <c r="AN716" i="9" a="1"/>
  <c r="AN716" i="9" s="1"/>
  <c r="AM716" i="9" s="1"/>
  <c r="AN719" i="9" a="1"/>
  <c r="AN719" i="9" s="1"/>
  <c r="AM719" i="9" s="1"/>
  <c r="AN724" i="9" a="1"/>
  <c r="AN724" i="9" s="1"/>
  <c r="AM724" i="9" s="1"/>
  <c r="AN727" i="9" a="1"/>
  <c r="AN727" i="9" s="1"/>
  <c r="AM727" i="9" s="1"/>
  <c r="AN732" i="9" a="1"/>
  <c r="AN732" i="9" s="1"/>
  <c r="AM732" i="9" s="1"/>
  <c r="AN735" i="9" a="1"/>
  <c r="AN735" i="9" s="1"/>
  <c r="AM735" i="9" s="1"/>
  <c r="AN740" i="9" a="1"/>
  <c r="AN740" i="9" s="1"/>
  <c r="AM740" i="9" s="1"/>
  <c r="AN743" i="9" a="1"/>
  <c r="AN743" i="9" s="1"/>
  <c r="AM743" i="9" s="1"/>
  <c r="AN748" i="9" a="1"/>
  <c r="AN748" i="9" s="1"/>
  <c r="AM748" i="9" s="1"/>
  <c r="AN15" i="9" a="1"/>
  <c r="AN15" i="9" s="1"/>
  <c r="AM15" i="9" s="1"/>
  <c r="AN44" i="9" a="1"/>
  <c r="AN44" i="9" s="1"/>
  <c r="AM44" i="9" s="1"/>
  <c r="AN72" i="9" a="1"/>
  <c r="AN72" i="9" s="1"/>
  <c r="AM72" i="9" s="1"/>
  <c r="AN100" i="9" a="1"/>
  <c r="AN100" i="9" s="1"/>
  <c r="AM100" i="9" s="1"/>
  <c r="AN151" i="9" a="1"/>
  <c r="AN151" i="9" s="1"/>
  <c r="AM151" i="9" s="1"/>
  <c r="AN177" i="9" a="1"/>
  <c r="AN177" i="9" s="1"/>
  <c r="AM177" i="9" s="1"/>
  <c r="AN209" i="9" a="1"/>
  <c r="AN209" i="9" s="1"/>
  <c r="AM209" i="9" s="1"/>
  <c r="AN241" i="9" a="1"/>
  <c r="AN241" i="9" s="1"/>
  <c r="AM241" i="9" s="1"/>
  <c r="AN273" i="9" a="1"/>
  <c r="AN273" i="9" s="1"/>
  <c r="AM273" i="9" s="1"/>
  <c r="AN313" i="9" a="1"/>
  <c r="AN313" i="9" s="1"/>
  <c r="AM313" i="9" s="1"/>
  <c r="AN320" i="9" a="1"/>
  <c r="AN320" i="9" s="1"/>
  <c r="AM320" i="9" s="1"/>
  <c r="AN326" i="9" a="1"/>
  <c r="AN326" i="9" s="1"/>
  <c r="AM326" i="9" s="1"/>
  <c r="AN332" i="9" a="1"/>
  <c r="AN332" i="9" s="1"/>
  <c r="AM332" i="9" s="1"/>
  <c r="AN345" i="9" a="1"/>
  <c r="AN345" i="9" s="1"/>
  <c r="AM345" i="9" s="1"/>
  <c r="AN352" i="9" a="1"/>
  <c r="AN352" i="9" s="1"/>
  <c r="AM352" i="9" s="1"/>
  <c r="AN358" i="9" a="1"/>
  <c r="AN358" i="9" s="1"/>
  <c r="AM358" i="9" s="1"/>
  <c r="AN364" i="9" a="1"/>
  <c r="AN364" i="9" s="1"/>
  <c r="AM364" i="9" s="1"/>
  <c r="AN377" i="9" a="1"/>
  <c r="AN377" i="9" s="1"/>
  <c r="AM377" i="9" s="1"/>
  <c r="AN384" i="9" a="1"/>
  <c r="AN384" i="9" s="1"/>
  <c r="AM384" i="9" s="1"/>
  <c r="AN390" i="9" a="1"/>
  <c r="AN390" i="9" s="1"/>
  <c r="AM390" i="9" s="1"/>
  <c r="AN396" i="9" a="1"/>
  <c r="AN396" i="9" s="1"/>
  <c r="AM396" i="9" s="1"/>
  <c r="AN409" i="9" a="1"/>
  <c r="AN409" i="9" s="1"/>
  <c r="AM409" i="9" s="1"/>
  <c r="AN416" i="9" a="1"/>
  <c r="AN416" i="9" s="1"/>
  <c r="AM416" i="9" s="1"/>
  <c r="AN422" i="9" a="1"/>
  <c r="AN422" i="9" s="1"/>
  <c r="AM422" i="9" s="1"/>
  <c r="AN428" i="9" a="1"/>
  <c r="AN428" i="9" s="1"/>
  <c r="AM428" i="9" s="1"/>
  <c r="AN441" i="9" a="1"/>
  <c r="AN441" i="9" s="1"/>
  <c r="AM441" i="9" s="1"/>
  <c r="AN448" i="9" a="1"/>
  <c r="AN448" i="9" s="1"/>
  <c r="AM448" i="9" s="1"/>
  <c r="AN454" i="9" a="1"/>
  <c r="AN454" i="9" s="1"/>
  <c r="AM454" i="9" s="1"/>
  <c r="AN460" i="9" a="1"/>
  <c r="AN460" i="9" s="1"/>
  <c r="AM460" i="9" s="1"/>
  <c r="AN473" i="9" a="1"/>
  <c r="AN473" i="9" s="1"/>
  <c r="AM473" i="9" s="1"/>
  <c r="AN480" i="9" a="1"/>
  <c r="AN480" i="9" s="1"/>
  <c r="AM480" i="9" s="1"/>
  <c r="AN486" i="9" a="1"/>
  <c r="AN486" i="9" s="1"/>
  <c r="AM486" i="9" s="1"/>
  <c r="AN492" i="9" a="1"/>
  <c r="AN492" i="9" s="1"/>
  <c r="AM492" i="9" s="1"/>
  <c r="AN505" i="9" a="1"/>
  <c r="AN505" i="9" s="1"/>
  <c r="AM505" i="9" s="1"/>
  <c r="AN512" i="9" a="1"/>
  <c r="AN512" i="9" s="1"/>
  <c r="AM512" i="9" s="1"/>
  <c r="AN515" i="9" a="1"/>
  <c r="AN515" i="9" s="1"/>
  <c r="AM515" i="9" s="1"/>
  <c r="AN520" i="9" a="1"/>
  <c r="AN520" i="9" s="1"/>
  <c r="AM520" i="9" s="1"/>
  <c r="AN524" i="9" a="1"/>
  <c r="AN524" i="9" s="1"/>
  <c r="AM524" i="9" s="1"/>
  <c r="AN532" i="9" a="1"/>
  <c r="AN532" i="9" s="1"/>
  <c r="AM532" i="9" s="1"/>
  <c r="AN537" i="9" a="1"/>
  <c r="AN537" i="9" s="1"/>
  <c r="AM537" i="9" s="1"/>
  <c r="AN542" i="9" a="1"/>
  <c r="AN542" i="9" s="1"/>
  <c r="AM542" i="9" s="1"/>
  <c r="AN546" i="9" a="1"/>
  <c r="AN546" i="9" s="1"/>
  <c r="AM546" i="9" s="1"/>
  <c r="AN552" i="9" a="1"/>
  <c r="AN552" i="9" s="1"/>
  <c r="AM552" i="9" s="1"/>
  <c r="AN556" i="9" a="1"/>
  <c r="AN556" i="9" s="1"/>
  <c r="AM556" i="9" s="1"/>
  <c r="AN566" i="9" a="1"/>
  <c r="AN566" i="9" s="1"/>
  <c r="AM566" i="9" s="1"/>
  <c r="AN570" i="9" a="1"/>
  <c r="AN570" i="9" s="1"/>
  <c r="AM570" i="9" s="1"/>
  <c r="AN575" i="9" a="1"/>
  <c r="AN575" i="9" s="1"/>
  <c r="AM575" i="9" s="1"/>
  <c r="AN580" i="9" a="1"/>
  <c r="AN580" i="9" s="1"/>
  <c r="AM580" i="9" s="1"/>
  <c r="AN589" i="9" a="1"/>
  <c r="AN589" i="9" s="1"/>
  <c r="AM589" i="9" s="1"/>
  <c r="AN594" i="9" a="1"/>
  <c r="AN594" i="9" s="1"/>
  <c r="AM594" i="9" s="1"/>
  <c r="AN599" i="9" a="1"/>
  <c r="AN599" i="9" s="1"/>
  <c r="AM599" i="9" s="1"/>
  <c r="AN603" i="9" a="1"/>
  <c r="AN603" i="9" s="1"/>
  <c r="AM603" i="9" s="1"/>
  <c r="AN613" i="9" a="1"/>
  <c r="AN613" i="9" s="1"/>
  <c r="AM613" i="9" s="1"/>
  <c r="AN617" i="9" a="1"/>
  <c r="AN617" i="9" s="1"/>
  <c r="AM617" i="9" s="1"/>
  <c r="AN623" i="9" a="1"/>
  <c r="AN623" i="9" s="1"/>
  <c r="AM623" i="9" s="1"/>
  <c r="AN627" i="9" a="1"/>
  <c r="AN627" i="9" s="1"/>
  <c r="AM627" i="9" s="1"/>
  <c r="AN631" i="9" a="1"/>
  <c r="AN631" i="9" s="1"/>
  <c r="AM631" i="9" s="1"/>
  <c r="AN636" i="9" a="1"/>
  <c r="AN636" i="9" s="1"/>
  <c r="AM636" i="9" s="1"/>
  <c r="AN640" i="9" a="1"/>
  <c r="AN640" i="9" s="1"/>
  <c r="AM640" i="9" s="1"/>
  <c r="AN644" i="9" a="1"/>
  <c r="AN644" i="9" s="1"/>
  <c r="AM644" i="9" s="1"/>
  <c r="AN651" i="9" a="1"/>
  <c r="AN651" i="9" s="1"/>
  <c r="AM651" i="9" s="1"/>
  <c r="AN654" i="9" a="1"/>
  <c r="AN654" i="9" s="1"/>
  <c r="AM654" i="9" s="1"/>
  <c r="AN658" i="9" a="1"/>
  <c r="AN658" i="9" s="1"/>
  <c r="AM658" i="9" s="1"/>
  <c r="AN665" i="9" a="1"/>
  <c r="AN665" i="9" s="1"/>
  <c r="AM665" i="9" s="1"/>
  <c r="AN669" i="9" a="1"/>
  <c r="AN669" i="9" s="1"/>
  <c r="AM669" i="9" s="1"/>
  <c r="AN672" i="9" a="1"/>
  <c r="AN672" i="9" s="1"/>
  <c r="AM672" i="9" s="1"/>
  <c r="AN683" i="9" a="1"/>
  <c r="AN683" i="9" s="1"/>
  <c r="AM683" i="9" s="1"/>
  <c r="AN686" i="9" a="1"/>
  <c r="AN686" i="9" s="1"/>
  <c r="AM686" i="9" s="1"/>
  <c r="AN690" i="9" a="1"/>
  <c r="AN690" i="9" s="1"/>
  <c r="AM690" i="9" s="1"/>
  <c r="AN697" i="9" a="1"/>
  <c r="AN697" i="9" s="1"/>
  <c r="AM697" i="9" s="1"/>
  <c r="AN701" i="9" a="1"/>
  <c r="AN701" i="9" s="1"/>
  <c r="AM701" i="9" s="1"/>
  <c r="AN704" i="9" a="1"/>
  <c r="AN704" i="9" s="1"/>
  <c r="AM704" i="9" s="1"/>
  <c r="AN715" i="9" a="1"/>
  <c r="AN715" i="9" s="1"/>
  <c r="AM715" i="9" s="1"/>
  <c r="AN718" i="9" a="1"/>
  <c r="AN718" i="9" s="1"/>
  <c r="AM718" i="9" s="1"/>
  <c r="AN722" i="9" a="1"/>
  <c r="AN722" i="9" s="1"/>
  <c r="AM722" i="9" s="1"/>
  <c r="AN729" i="9" a="1"/>
  <c r="AN729" i="9" s="1"/>
  <c r="AM729" i="9" s="1"/>
  <c r="AN733" i="9" a="1"/>
  <c r="AN733" i="9" s="1"/>
  <c r="AM733" i="9" s="1"/>
  <c r="AN736" i="9" a="1"/>
  <c r="AN736" i="9" s="1"/>
  <c r="AM736" i="9" s="1"/>
  <c r="AN747" i="9" a="1"/>
  <c r="AN747" i="9" s="1"/>
  <c r="AM747" i="9" s="1"/>
  <c r="AN753" i="9" a="1"/>
  <c r="AN753" i="9" s="1"/>
  <c r="AM753" i="9" s="1"/>
  <c r="AN761" i="9" a="1"/>
  <c r="AN761" i="9" s="1"/>
  <c r="AM761" i="9" s="1"/>
  <c r="AN769" i="9" a="1"/>
  <c r="AN769" i="9" s="1"/>
  <c r="AM769" i="9" s="1"/>
  <c r="AN785" i="9" a="1"/>
  <c r="AN785" i="9" s="1"/>
  <c r="AM785" i="9" s="1"/>
  <c r="AN801" i="9" a="1"/>
  <c r="AN801" i="9" s="1"/>
  <c r="AM801" i="9" s="1"/>
  <c r="AN814" i="9" a="1"/>
  <c r="AN814" i="9" s="1"/>
  <c r="AM814" i="9" s="1"/>
  <c r="AN825" i="9" a="1"/>
  <c r="AN825" i="9" s="1"/>
  <c r="AM825" i="9" s="1"/>
  <c r="AN830" i="9" a="1"/>
  <c r="AN830" i="9" s="1"/>
  <c r="AM830" i="9" s="1"/>
  <c r="AN833" i="9" a="1"/>
  <c r="AN833" i="9" s="1"/>
  <c r="AM833" i="9" s="1"/>
  <c r="AN374" i="9" a="1"/>
  <c r="AN374" i="9" s="1"/>
  <c r="AM374" i="9" s="1"/>
  <c r="AN425" i="9" a="1"/>
  <c r="AN425" i="9" s="1"/>
  <c r="AM425" i="9" s="1"/>
  <c r="AN438" i="9" a="1"/>
  <c r="AN438" i="9" s="1"/>
  <c r="AM438" i="9" s="1"/>
  <c r="AN464" i="9" a="1"/>
  <c r="AN464" i="9" s="1"/>
  <c r="AM464" i="9" s="1"/>
  <c r="AN476" i="9" a="1"/>
  <c r="AN476" i="9" s="1"/>
  <c r="AM476" i="9" s="1"/>
  <c r="AN496" i="9" a="1"/>
  <c r="AN496" i="9" s="1"/>
  <c r="AM496" i="9" s="1"/>
  <c r="AN508" i="9" a="1"/>
  <c r="AN508" i="9" s="1"/>
  <c r="AM508" i="9" s="1"/>
  <c r="AN522" i="9" a="1"/>
  <c r="AN522" i="9" s="1"/>
  <c r="AM522" i="9" s="1"/>
  <c r="AN549" i="9" a="1"/>
  <c r="AN549" i="9" s="1"/>
  <c r="AM549" i="9" s="1"/>
  <c r="AN559" i="9" a="1"/>
  <c r="AN559" i="9" s="1"/>
  <c r="AM559" i="9" s="1"/>
  <c r="AN568" i="9" a="1"/>
  <c r="AN568" i="9" s="1"/>
  <c r="AM568" i="9" s="1"/>
  <c r="AN573" i="9" a="1"/>
  <c r="AN573" i="9" s="1"/>
  <c r="AM573" i="9" s="1"/>
  <c r="AN582" i="9" a="1"/>
  <c r="AN582" i="9" s="1"/>
  <c r="AM582" i="9" s="1"/>
  <c r="AN592" i="9" a="1"/>
  <c r="AN592" i="9" s="1"/>
  <c r="AM592" i="9" s="1"/>
  <c r="AN596" i="9" a="1"/>
  <c r="AN596" i="9" s="1"/>
  <c r="AM596" i="9" s="1"/>
  <c r="AN606" i="9" a="1"/>
  <c r="AN606" i="9" s="1"/>
  <c r="AM606" i="9" s="1"/>
  <c r="AN616" i="9" a="1"/>
  <c r="AN616" i="9" s="1"/>
  <c r="AM616" i="9" s="1"/>
  <c r="AN19" i="9" a="1"/>
  <c r="AN19" i="9" s="1"/>
  <c r="AM19" i="9" s="1"/>
  <c r="AN47" i="9" a="1"/>
  <c r="AN47" i="9" s="1"/>
  <c r="AM47" i="9" s="1"/>
  <c r="AN76" i="9" a="1"/>
  <c r="AN76" i="9" s="1"/>
  <c r="AM76" i="9" s="1"/>
  <c r="AN103" i="9" a="1"/>
  <c r="AN103" i="9" s="1"/>
  <c r="AM103" i="9" s="1"/>
  <c r="AN129" i="9" a="1"/>
  <c r="AN129" i="9" s="1"/>
  <c r="AM129" i="9" s="1"/>
  <c r="AN154" i="9" a="1"/>
  <c r="AN154" i="9" s="1"/>
  <c r="AM154" i="9" s="1"/>
  <c r="AN181" i="9" a="1"/>
  <c r="AN181" i="9" s="1"/>
  <c r="AM181" i="9" s="1"/>
  <c r="AN213" i="9" a="1"/>
  <c r="AN213" i="9" s="1"/>
  <c r="AM213" i="9" s="1"/>
  <c r="AN245" i="9" a="1"/>
  <c r="AN245" i="9" s="1"/>
  <c r="AM245" i="9" s="1"/>
  <c r="AN277" i="9" a="1"/>
  <c r="AN277" i="9" s="1"/>
  <c r="AM277" i="9" s="1"/>
  <c r="AN314" i="9" a="1"/>
  <c r="AN314" i="9" s="1"/>
  <c r="AM314" i="9" s="1"/>
  <c r="AN327" i="9" a="1"/>
  <c r="AN327" i="9" s="1"/>
  <c r="AM327" i="9" s="1"/>
  <c r="AN333" i="9" a="1"/>
  <c r="AN333" i="9" s="1"/>
  <c r="AM333" i="9" s="1"/>
  <c r="AN339" i="9" a="1"/>
  <c r="AN339" i="9" s="1"/>
  <c r="AM339" i="9" s="1"/>
  <c r="AN346" i="9" a="1"/>
  <c r="AN346" i="9" s="1"/>
  <c r="AM346" i="9" s="1"/>
  <c r="AN359" i="9" a="1"/>
  <c r="AN359" i="9" s="1"/>
  <c r="AM359" i="9" s="1"/>
  <c r="AN365" i="9" a="1"/>
  <c r="AN365" i="9" s="1"/>
  <c r="AM365" i="9" s="1"/>
  <c r="AN371" i="9" a="1"/>
  <c r="AN371" i="9" s="1"/>
  <c r="AM371" i="9" s="1"/>
  <c r="AN378" i="9" a="1"/>
  <c r="AN378" i="9" s="1"/>
  <c r="AM378" i="9" s="1"/>
  <c r="AN391" i="9" a="1"/>
  <c r="AN391" i="9" s="1"/>
  <c r="AM391" i="9" s="1"/>
  <c r="AN397" i="9" a="1"/>
  <c r="AN397" i="9" s="1"/>
  <c r="AM397" i="9" s="1"/>
  <c r="AN403" i="9" a="1"/>
  <c r="AN403" i="9" s="1"/>
  <c r="AM403" i="9" s="1"/>
  <c r="AN410" i="9" a="1"/>
  <c r="AN410" i="9" s="1"/>
  <c r="AM410" i="9" s="1"/>
  <c r="AN423" i="9" a="1"/>
  <c r="AN423" i="9" s="1"/>
  <c r="AM423" i="9" s="1"/>
  <c r="AN429" i="9" a="1"/>
  <c r="AN429" i="9" s="1"/>
  <c r="AM429" i="9" s="1"/>
  <c r="AN435" i="9" a="1"/>
  <c r="AN435" i="9" s="1"/>
  <c r="AM435" i="9" s="1"/>
  <c r="AN442" i="9" a="1"/>
  <c r="AN442" i="9" s="1"/>
  <c r="AM442" i="9" s="1"/>
  <c r="AN455" i="9" a="1"/>
  <c r="AN455" i="9" s="1"/>
  <c r="AM455" i="9" s="1"/>
  <c r="AN461" i="9" a="1"/>
  <c r="AN461" i="9" s="1"/>
  <c r="AM461" i="9" s="1"/>
  <c r="AN467" i="9" a="1"/>
  <c r="AN467" i="9" s="1"/>
  <c r="AM467" i="9" s="1"/>
  <c r="AN474" i="9" a="1"/>
  <c r="AN474" i="9" s="1"/>
  <c r="AM474" i="9" s="1"/>
  <c r="AN487" i="9" a="1"/>
  <c r="AN487" i="9" s="1"/>
  <c r="AM487" i="9" s="1"/>
  <c r="AN493" i="9" a="1"/>
  <c r="AN493" i="9" s="1"/>
  <c r="AM493" i="9" s="1"/>
  <c r="AN499" i="9" a="1"/>
  <c r="AN499" i="9" s="1"/>
  <c r="AM499" i="9" s="1"/>
  <c r="AN506" i="9" a="1"/>
  <c r="AN506" i="9" s="1"/>
  <c r="AM506" i="9" s="1"/>
  <c r="AN516" i="9" a="1"/>
  <c r="AN516" i="9" s="1"/>
  <c r="AM516" i="9" s="1"/>
  <c r="AN521" i="9" a="1"/>
  <c r="AN521" i="9" s="1"/>
  <c r="AM521" i="9" s="1"/>
  <c r="AN525" i="9" a="1"/>
  <c r="AN525" i="9" s="1"/>
  <c r="AM525" i="9" s="1"/>
  <c r="AN529" i="9" a="1"/>
  <c r="AN529" i="9" s="1"/>
  <c r="AM529" i="9" s="1"/>
  <c r="AN534" i="9" a="1"/>
  <c r="AN534" i="9" s="1"/>
  <c r="AM534" i="9" s="1"/>
  <c r="AN538" i="9" a="1"/>
  <c r="AN538" i="9" s="1"/>
  <c r="AM538" i="9" s="1"/>
  <c r="AN543" i="9" a="1"/>
  <c r="AN543" i="9" s="1"/>
  <c r="AM543" i="9" s="1"/>
  <c r="AN548" i="9" a="1"/>
  <c r="AN548" i="9" s="1"/>
  <c r="AM548" i="9" s="1"/>
  <c r="AN557" i="9" a="1"/>
  <c r="AN557" i="9" s="1"/>
  <c r="AM557" i="9" s="1"/>
  <c r="AN562" i="9" a="1"/>
  <c r="AN562" i="9" s="1"/>
  <c r="AM562" i="9" s="1"/>
  <c r="AN567" i="9" a="1"/>
  <c r="AN567" i="9" s="1"/>
  <c r="AM567" i="9" s="1"/>
  <c r="AN571" i="9" a="1"/>
  <c r="AN571" i="9" s="1"/>
  <c r="AM571" i="9" s="1"/>
  <c r="AN581" i="9" a="1"/>
  <c r="AN581" i="9" s="1"/>
  <c r="AM581" i="9" s="1"/>
  <c r="AN585" i="9" a="1"/>
  <c r="AN585" i="9" s="1"/>
  <c r="AM585" i="9" s="1"/>
  <c r="AN591" i="9" a="1"/>
  <c r="AN591" i="9" s="1"/>
  <c r="AM591" i="9" s="1"/>
  <c r="AN595" i="9" a="1"/>
  <c r="AN595" i="9" s="1"/>
  <c r="AM595" i="9" s="1"/>
  <c r="AN600" i="9" a="1"/>
  <c r="AN600" i="9" s="1"/>
  <c r="AM600" i="9" s="1"/>
  <c r="AN605" i="9" a="1"/>
  <c r="AN605" i="9" s="1"/>
  <c r="AM605" i="9" s="1"/>
  <c r="AN609" i="9" a="1"/>
  <c r="AN609" i="9" s="1"/>
  <c r="AM609" i="9" s="1"/>
  <c r="AN614" i="9" a="1"/>
  <c r="AN614" i="9" s="1"/>
  <c r="AM614" i="9" s="1"/>
  <c r="AN619" i="9" a="1"/>
  <c r="AN619" i="9" s="1"/>
  <c r="AM619" i="9" s="1"/>
  <c r="AN624" i="9" a="1"/>
  <c r="AN624" i="9" s="1"/>
  <c r="AM624" i="9" s="1"/>
  <c r="AN628" i="9" a="1"/>
  <c r="AN628" i="9" s="1"/>
  <c r="AM628" i="9" s="1"/>
  <c r="AN645" i="9" a="1"/>
  <c r="AN645" i="9" s="1"/>
  <c r="AM645" i="9" s="1"/>
  <c r="AN648" i="9" a="1"/>
  <c r="AN648" i="9" s="1"/>
  <c r="AM648" i="9" s="1"/>
  <c r="AN659" i="9" a="1"/>
  <c r="AN659" i="9" s="1"/>
  <c r="AM659" i="9" s="1"/>
  <c r="AN662" i="9" a="1"/>
  <c r="AN662" i="9" s="1"/>
  <c r="AM662" i="9" s="1"/>
  <c r="AN666" i="9" a="1"/>
  <c r="AN666" i="9" s="1"/>
  <c r="AM666" i="9" s="1"/>
  <c r="AN673" i="9" a="1"/>
  <c r="AN673" i="9" s="1"/>
  <c r="AM673" i="9" s="1"/>
  <c r="AN677" i="9" a="1"/>
  <c r="AN677" i="9" s="1"/>
  <c r="AM677" i="9" s="1"/>
  <c r="AN680" i="9" a="1"/>
  <c r="AN680" i="9" s="1"/>
  <c r="AM680" i="9" s="1"/>
  <c r="AN691" i="9" a="1"/>
  <c r="AN691" i="9" s="1"/>
  <c r="AM691" i="9" s="1"/>
  <c r="AN694" i="9" a="1"/>
  <c r="AN694" i="9" s="1"/>
  <c r="AM694" i="9" s="1"/>
  <c r="AN698" i="9" a="1"/>
  <c r="AN698" i="9" s="1"/>
  <c r="AM698" i="9" s="1"/>
  <c r="AN705" i="9" a="1"/>
  <c r="AN705" i="9" s="1"/>
  <c r="AM705" i="9" s="1"/>
  <c r="AN709" i="9" a="1"/>
  <c r="AN709" i="9" s="1"/>
  <c r="AM709" i="9" s="1"/>
  <c r="AN712" i="9" a="1"/>
  <c r="AN712" i="9" s="1"/>
  <c r="AM712" i="9" s="1"/>
  <c r="AN723" i="9" a="1"/>
  <c r="AN723" i="9" s="1"/>
  <c r="AM723" i="9" s="1"/>
  <c r="AN726" i="9" a="1"/>
  <c r="AN726" i="9" s="1"/>
  <c r="AM726" i="9" s="1"/>
  <c r="AN730" i="9" a="1"/>
  <c r="AN730" i="9" s="1"/>
  <c r="AM730" i="9" s="1"/>
  <c r="AN737" i="9" a="1"/>
  <c r="AN737" i="9" s="1"/>
  <c r="AM737" i="9" s="1"/>
  <c r="AN741" i="9" a="1"/>
  <c r="AN741" i="9" s="1"/>
  <c r="AM741" i="9" s="1"/>
  <c r="AN744" i="9" a="1"/>
  <c r="AN744" i="9" s="1"/>
  <c r="AM744" i="9" s="1"/>
  <c r="AN751" i="9" a="1"/>
  <c r="AN751" i="9" s="1"/>
  <c r="AM751" i="9" s="1"/>
  <c r="AN772" i="9" a="1"/>
  <c r="AN772" i="9" s="1"/>
  <c r="AM772" i="9" s="1"/>
  <c r="AN775" i="9" a="1"/>
  <c r="AN775" i="9" s="1"/>
  <c r="AM775" i="9" s="1"/>
  <c r="AN780" i="9" a="1"/>
  <c r="AN780" i="9" s="1"/>
  <c r="AM780" i="9" s="1"/>
  <c r="AN783" i="9" a="1"/>
  <c r="AN783" i="9" s="1"/>
  <c r="AM783" i="9" s="1"/>
  <c r="AN788" i="9" a="1"/>
  <c r="AN788" i="9" s="1"/>
  <c r="AM788" i="9" s="1"/>
  <c r="AN799" i="9" a="1"/>
  <c r="AN799" i="9" s="1"/>
  <c r="AM799" i="9" s="1"/>
  <c r="AN804" i="9" a="1"/>
  <c r="AN804" i="9" s="1"/>
  <c r="AM804" i="9" s="1"/>
  <c r="AN807" i="9" a="1"/>
  <c r="AN807" i="9" s="1"/>
  <c r="AM807" i="9" s="1"/>
  <c r="AN820" i="9" a="1"/>
  <c r="AN820" i="9" s="1"/>
  <c r="AM820" i="9" s="1"/>
  <c r="AN831" i="9" a="1"/>
  <c r="AN831" i="9" s="1"/>
  <c r="AM831" i="9" s="1"/>
  <c r="AN836" i="9" a="1"/>
  <c r="AN836" i="9" s="1"/>
  <c r="AM836" i="9" s="1"/>
  <c r="AN58" i="9" a="1"/>
  <c r="AN58" i="9" s="1"/>
  <c r="AM58" i="9" s="1"/>
  <c r="AN86" i="9" a="1"/>
  <c r="AN86" i="9" s="1"/>
  <c r="AM86" i="9" s="1"/>
  <c r="AN113" i="9" a="1"/>
  <c r="AN113" i="9" s="1"/>
  <c r="AM113" i="9" s="1"/>
  <c r="AN138" i="9" a="1"/>
  <c r="AN138" i="9" s="1"/>
  <c r="AM138" i="9" s="1"/>
  <c r="AN164" i="9" a="1"/>
  <c r="AN164" i="9" s="1"/>
  <c r="AM164" i="9" s="1"/>
  <c r="AN193" i="9" a="1"/>
  <c r="AN193" i="9" s="1"/>
  <c r="AM193" i="9" s="1"/>
  <c r="AN225" i="9" a="1"/>
  <c r="AN225" i="9" s="1"/>
  <c r="AM225" i="9" s="1"/>
  <c r="AN257" i="9" a="1"/>
  <c r="AN257" i="9" s="1"/>
  <c r="AM257" i="9" s="1"/>
  <c r="AN289" i="9" a="1"/>
  <c r="AN289" i="9" s="1"/>
  <c r="AM289" i="9" s="1"/>
  <c r="AN310" i="9" a="1"/>
  <c r="AN310" i="9" s="1"/>
  <c r="AM310" i="9" s="1"/>
  <c r="AN316" i="9" a="1"/>
  <c r="AN316" i="9" s="1"/>
  <c r="AM316" i="9" s="1"/>
  <c r="AN329" i="9" a="1"/>
  <c r="AN329" i="9" s="1"/>
  <c r="AM329" i="9" s="1"/>
  <c r="AN336" i="9" a="1"/>
  <c r="AN336" i="9" s="1"/>
  <c r="AM336" i="9" s="1"/>
  <c r="AN342" i="9" a="1"/>
  <c r="AN342" i="9" s="1"/>
  <c r="AM342" i="9" s="1"/>
  <c r="AN348" i="9" a="1"/>
  <c r="AN348" i="9" s="1"/>
  <c r="AM348" i="9" s="1"/>
  <c r="AN361" i="9" a="1"/>
  <c r="AN361" i="9" s="1"/>
  <c r="AM361" i="9" s="1"/>
  <c r="AN368" i="9" a="1"/>
  <c r="AN368" i="9" s="1"/>
  <c r="AM368" i="9" s="1"/>
  <c r="AN380" i="9" a="1"/>
  <c r="AN380" i="9" s="1"/>
  <c r="AM380" i="9" s="1"/>
  <c r="AN393" i="9" a="1"/>
  <c r="AN393" i="9" s="1"/>
  <c r="AM393" i="9" s="1"/>
  <c r="AN400" i="9" a="1"/>
  <c r="AN400" i="9" s="1"/>
  <c r="AM400" i="9" s="1"/>
  <c r="AN406" i="9" a="1"/>
  <c r="AN406" i="9" s="1"/>
  <c r="AM406" i="9" s="1"/>
  <c r="AN412" i="9" a="1"/>
  <c r="AN412" i="9" s="1"/>
  <c r="AM412" i="9" s="1"/>
  <c r="AN432" i="9" a="1"/>
  <c r="AN432" i="9" s="1"/>
  <c r="AM432" i="9" s="1"/>
  <c r="AN444" i="9" a="1"/>
  <c r="AN444" i="9" s="1"/>
  <c r="AM444" i="9" s="1"/>
  <c r="AN457" i="9" a="1"/>
  <c r="AN457" i="9" s="1"/>
  <c r="AM457" i="9" s="1"/>
  <c r="AN470" i="9" a="1"/>
  <c r="AN470" i="9" s="1"/>
  <c r="AM470" i="9" s="1"/>
  <c r="AN489" i="9" a="1"/>
  <c r="AN489" i="9" s="1"/>
  <c r="AM489" i="9" s="1"/>
  <c r="AN502" i="9" a="1"/>
  <c r="AN502" i="9" s="1"/>
  <c r="AM502" i="9" s="1"/>
  <c r="AN513" i="9" a="1"/>
  <c r="AN513" i="9" s="1"/>
  <c r="AM513" i="9" s="1"/>
  <c r="AN518" i="9" a="1"/>
  <c r="AN518" i="9" s="1"/>
  <c r="AM518" i="9" s="1"/>
  <c r="AN526" i="9" a="1"/>
  <c r="AN526" i="9" s="1"/>
  <c r="AM526" i="9" s="1"/>
  <c r="AN535" i="9" a="1"/>
  <c r="AN535" i="9" s="1"/>
  <c r="AM535" i="9" s="1"/>
  <c r="AN539" i="9" a="1"/>
  <c r="AN539" i="9" s="1"/>
  <c r="AM539" i="9" s="1"/>
  <c r="AN553" i="9" a="1"/>
  <c r="AN553" i="9" s="1"/>
  <c r="AM553" i="9" s="1"/>
  <c r="AN563" i="9" a="1"/>
  <c r="AN563" i="9" s="1"/>
  <c r="AM563" i="9" s="1"/>
  <c r="AN577" i="9" a="1"/>
  <c r="AN577" i="9" s="1"/>
  <c r="AM577" i="9" s="1"/>
  <c r="AN587" i="9" a="1"/>
  <c r="AN587" i="9" s="1"/>
  <c r="AM587" i="9" s="1"/>
  <c r="AN601" i="9" a="1"/>
  <c r="AN601" i="9" s="1"/>
  <c r="AM601" i="9" s="1"/>
  <c r="AN610" i="9" a="1"/>
  <c r="AN610" i="9" s="1"/>
  <c r="AM610" i="9" s="1"/>
  <c r="AN33" i="9" a="1"/>
  <c r="AN33" i="9" s="1"/>
  <c r="AM33" i="9" s="1"/>
  <c r="AN261" i="9" a="1"/>
  <c r="AN261" i="9" s="1"/>
  <c r="AM261" i="9" s="1"/>
  <c r="AN323" i="9" a="1"/>
  <c r="AN323" i="9" s="1"/>
  <c r="AM323" i="9" s="1"/>
  <c r="AN349" i="9" a="1"/>
  <c r="AN349" i="9" s="1"/>
  <c r="AM349" i="9" s="1"/>
  <c r="AN375" i="9" a="1"/>
  <c r="AN375" i="9" s="1"/>
  <c r="AM375" i="9" s="1"/>
  <c r="AN426" i="9" a="1"/>
  <c r="AN426" i="9" s="1"/>
  <c r="AM426" i="9" s="1"/>
  <c r="AN451" i="9" a="1"/>
  <c r="AN451" i="9" s="1"/>
  <c r="AM451" i="9" s="1"/>
  <c r="AN477" i="9" a="1"/>
  <c r="AN477" i="9" s="1"/>
  <c r="AM477" i="9" s="1"/>
  <c r="AN503" i="9" a="1"/>
  <c r="AN503" i="9" s="1"/>
  <c r="AM503" i="9" s="1"/>
  <c r="AN541" i="9" a="1"/>
  <c r="AN541" i="9" s="1"/>
  <c r="AM541" i="9" s="1"/>
  <c r="AN560" i="9" a="1"/>
  <c r="AN560" i="9" s="1"/>
  <c r="AM560" i="9" s="1"/>
  <c r="AN578" i="9" a="1"/>
  <c r="AN578" i="9" s="1"/>
  <c r="AM578" i="9" s="1"/>
  <c r="AN598" i="9" a="1"/>
  <c r="AN598" i="9" s="1"/>
  <c r="AM598" i="9" s="1"/>
  <c r="AN626" i="9" a="1"/>
  <c r="AN626" i="9" s="1"/>
  <c r="AM626" i="9" s="1"/>
  <c r="AN634" i="9" a="1"/>
  <c r="AN634" i="9" s="1"/>
  <c r="AM634" i="9" s="1"/>
  <c r="AN643" i="9" a="1"/>
  <c r="AN643" i="9" s="1"/>
  <c r="AM643" i="9" s="1"/>
  <c r="AN650" i="9" a="1"/>
  <c r="AN650" i="9" s="1"/>
  <c r="AM650" i="9" s="1"/>
  <c r="AN657" i="9" a="1"/>
  <c r="AN657" i="9" s="1"/>
  <c r="AM657" i="9" s="1"/>
  <c r="AN664" i="9" a="1"/>
  <c r="AN664" i="9" s="1"/>
  <c r="AM664" i="9" s="1"/>
  <c r="AN678" i="9" a="1"/>
  <c r="AN678" i="9" s="1"/>
  <c r="AM678" i="9" s="1"/>
  <c r="AN693" i="9" a="1"/>
  <c r="AN693" i="9" s="1"/>
  <c r="AM693" i="9" s="1"/>
  <c r="AN707" i="9" a="1"/>
  <c r="AN707" i="9" s="1"/>
  <c r="AM707" i="9" s="1"/>
  <c r="AN714" i="9" a="1"/>
  <c r="AN714" i="9" s="1"/>
  <c r="AM714" i="9" s="1"/>
  <c r="AN721" i="9" a="1"/>
  <c r="AN721" i="9" s="1"/>
  <c r="AM721" i="9" s="1"/>
  <c r="AN728" i="9" a="1"/>
  <c r="AN728" i="9" s="1"/>
  <c r="AM728" i="9" s="1"/>
  <c r="AN742" i="9" a="1"/>
  <c r="AN742" i="9" s="1"/>
  <c r="AM742" i="9" s="1"/>
  <c r="AN754" i="9" a="1"/>
  <c r="AN754" i="9" s="1"/>
  <c r="AM754" i="9" s="1"/>
  <c r="AN760" i="9" a="1"/>
  <c r="AN760" i="9" s="1"/>
  <c r="AM760" i="9" s="1"/>
  <c r="AN765" i="9" a="1"/>
  <c r="AN765" i="9" s="1"/>
  <c r="AM765" i="9" s="1"/>
  <c r="AN808" i="9" a="1"/>
  <c r="AN808" i="9" s="1"/>
  <c r="AM808" i="9" s="1"/>
  <c r="AN827" i="9" a="1"/>
  <c r="AN827" i="9" s="1"/>
  <c r="AM827" i="9" s="1"/>
  <c r="AN837" i="9" a="1"/>
  <c r="AN837" i="9" s="1"/>
  <c r="AM837" i="9" s="1"/>
  <c r="AN768" i="9" a="1"/>
  <c r="AN768" i="9" s="1"/>
  <c r="AM768" i="9" s="1"/>
  <c r="AN821" i="9" a="1"/>
  <c r="AN821" i="9" s="1"/>
  <c r="AM821" i="9" s="1"/>
  <c r="AN90" i="9" a="1"/>
  <c r="AN90" i="9" s="1"/>
  <c r="AM90" i="9" s="1"/>
  <c r="AN311" i="9" a="1"/>
  <c r="AN311" i="9" s="1"/>
  <c r="AM311" i="9" s="1"/>
  <c r="AN387" i="9" a="1"/>
  <c r="AN387" i="9" s="1"/>
  <c r="AM387" i="9" s="1"/>
  <c r="AN439" i="9" a="1"/>
  <c r="AN439" i="9" s="1"/>
  <c r="AM439" i="9" s="1"/>
  <c r="AN490" i="9" a="1"/>
  <c r="AN490" i="9" s="1"/>
  <c r="AM490" i="9" s="1"/>
  <c r="AN550" i="9" a="1"/>
  <c r="AN550" i="9" s="1"/>
  <c r="AM550" i="9" s="1"/>
  <c r="AN588" i="9" a="1"/>
  <c r="AN588" i="9" s="1"/>
  <c r="AM588" i="9" s="1"/>
  <c r="AN621" i="9" a="1"/>
  <c r="AN621" i="9" s="1"/>
  <c r="AM621" i="9" s="1"/>
  <c r="AN639" i="9" a="1"/>
  <c r="AN639" i="9" s="1"/>
  <c r="AM639" i="9" s="1"/>
  <c r="AN661" i="9" a="1"/>
  <c r="AN661" i="9" s="1"/>
  <c r="AM661" i="9" s="1"/>
  <c r="AN675" i="9" a="1"/>
  <c r="AN675" i="9" s="1"/>
  <c r="AM675" i="9" s="1"/>
  <c r="AN689" i="9" a="1"/>
  <c r="AN689" i="9" s="1"/>
  <c r="AM689" i="9" s="1"/>
  <c r="AN710" i="9" a="1"/>
  <c r="AN710" i="9" s="1"/>
  <c r="AM710" i="9" s="1"/>
  <c r="AN739" i="9" a="1"/>
  <c r="AN739" i="9" s="1"/>
  <c r="AM739" i="9" s="1"/>
  <c r="AN787" i="9" a="1"/>
  <c r="AN787" i="9" s="1"/>
  <c r="AM787" i="9" s="1"/>
  <c r="AN834" i="9" a="1"/>
  <c r="AN834" i="9" s="1"/>
  <c r="AM834" i="9" s="1"/>
  <c r="AN116" i="9" a="1"/>
  <c r="AN116" i="9" s="1"/>
  <c r="AM116" i="9" s="1"/>
  <c r="AN317" i="9" a="1"/>
  <c r="AN317" i="9" s="1"/>
  <c r="AM317" i="9" s="1"/>
  <c r="AN394" i="9" a="1"/>
  <c r="AN394" i="9" s="1"/>
  <c r="AM394" i="9" s="1"/>
  <c r="AN445" i="9" a="1"/>
  <c r="AN445" i="9" s="1"/>
  <c r="AM445" i="9" s="1"/>
  <c r="AN519" i="9" a="1"/>
  <c r="AN519" i="9" s="1"/>
  <c r="AM519" i="9" s="1"/>
  <c r="AN536" i="9" a="1"/>
  <c r="AN536" i="9" s="1"/>
  <c r="AM536" i="9" s="1"/>
  <c r="AN574" i="9" a="1"/>
  <c r="AN574" i="9" s="1"/>
  <c r="AM574" i="9" s="1"/>
  <c r="AN633" i="9" a="1"/>
  <c r="AN633" i="9" s="1"/>
  <c r="AM633" i="9" s="1"/>
  <c r="AN649" i="9" a="1"/>
  <c r="AN649" i="9" s="1"/>
  <c r="AM649" i="9" s="1"/>
  <c r="AN670" i="9" a="1"/>
  <c r="AN670" i="9" s="1"/>
  <c r="AM670" i="9" s="1"/>
  <c r="AN685" i="9" a="1"/>
  <c r="AN685" i="9" s="1"/>
  <c r="AM685" i="9" s="1"/>
  <c r="AN706" i="9" a="1"/>
  <c r="AN706" i="9" s="1"/>
  <c r="AM706" i="9" s="1"/>
  <c r="AN720" i="9" a="1"/>
  <c r="AN720" i="9" s="1"/>
  <c r="AM720" i="9" s="1"/>
  <c r="AN749" i="9" a="1"/>
  <c r="AN749" i="9" s="1"/>
  <c r="AM749" i="9" s="1"/>
  <c r="AN757" i="9" a="1"/>
  <c r="AN757" i="9" s="1"/>
  <c r="AM757" i="9" s="1"/>
  <c r="AN789" i="9" a="1"/>
  <c r="AN789" i="9" s="1"/>
  <c r="AM789" i="9" s="1"/>
  <c r="AN811" i="9" a="1"/>
  <c r="AN811" i="9" s="1"/>
  <c r="AM811" i="9" s="1"/>
  <c r="AN167" i="9" a="1"/>
  <c r="AN167" i="9" s="1"/>
  <c r="AM167" i="9" s="1"/>
  <c r="AN293" i="9" a="1"/>
  <c r="AN293" i="9" s="1"/>
  <c r="AM293" i="9" s="1"/>
  <c r="AN330" i="9" a="1"/>
  <c r="AN330" i="9" s="1"/>
  <c r="AM330" i="9" s="1"/>
  <c r="AN355" i="9" a="1"/>
  <c r="AN355" i="9" s="1"/>
  <c r="AM355" i="9" s="1"/>
  <c r="AN381" i="9" a="1"/>
  <c r="AN381" i="9" s="1"/>
  <c r="AM381" i="9" s="1"/>
  <c r="AN407" i="9" a="1"/>
  <c r="AN407" i="9" s="1"/>
  <c r="AM407" i="9" s="1"/>
  <c r="AN458" i="9" a="1"/>
  <c r="AN458" i="9" s="1"/>
  <c r="AM458" i="9" s="1"/>
  <c r="AN483" i="9" a="1"/>
  <c r="AN483" i="9" s="1"/>
  <c r="AM483" i="9" s="1"/>
  <c r="AN509" i="9" a="1"/>
  <c r="AN509" i="9" s="1"/>
  <c r="AM509" i="9" s="1"/>
  <c r="AN528" i="9" a="1"/>
  <c r="AN528" i="9" s="1"/>
  <c r="AM528" i="9" s="1"/>
  <c r="AN545" i="9" a="1"/>
  <c r="AN545" i="9" s="1"/>
  <c r="AM545" i="9" s="1"/>
  <c r="AN564" i="9" a="1"/>
  <c r="AN564" i="9" s="1"/>
  <c r="AM564" i="9" s="1"/>
  <c r="AN584" i="9" a="1"/>
  <c r="AN584" i="9" s="1"/>
  <c r="AM584" i="9" s="1"/>
  <c r="AN602" i="9" a="1"/>
  <c r="AN602" i="9" s="1"/>
  <c r="AM602" i="9" s="1"/>
  <c r="AN620" i="9" a="1"/>
  <c r="AN620" i="9" s="1"/>
  <c r="AM620" i="9" s="1"/>
  <c r="AN629" i="9" a="1"/>
  <c r="AN629" i="9" s="1"/>
  <c r="AM629" i="9" s="1"/>
  <c r="AN637" i="9" a="1"/>
  <c r="AN637" i="9" s="1"/>
  <c r="AM637" i="9" s="1"/>
  <c r="AN653" i="9" a="1"/>
  <c r="AN653" i="9" s="1"/>
  <c r="AM653" i="9" s="1"/>
  <c r="AN667" i="9" a="1"/>
  <c r="AN667" i="9" s="1"/>
  <c r="AM667" i="9" s="1"/>
  <c r="AN674" i="9" a="1"/>
  <c r="AN674" i="9" s="1"/>
  <c r="AM674" i="9" s="1"/>
  <c r="AN681" i="9" a="1"/>
  <c r="AN681" i="9" s="1"/>
  <c r="AM681" i="9" s="1"/>
  <c r="AN688" i="9" a="1"/>
  <c r="AN688" i="9" s="1"/>
  <c r="AM688" i="9" s="1"/>
  <c r="AN702" i="9" a="1"/>
  <c r="AN702" i="9" s="1"/>
  <c r="AM702" i="9" s="1"/>
  <c r="AN717" i="9" a="1"/>
  <c r="AN717" i="9" s="1"/>
  <c r="AM717" i="9" s="1"/>
  <c r="AN731" i="9" a="1"/>
  <c r="AN731" i="9" s="1"/>
  <c r="AM731" i="9" s="1"/>
  <c r="AN738" i="9" a="1"/>
  <c r="AN738" i="9" s="1"/>
  <c r="AM738" i="9" s="1"/>
  <c r="AN745" i="9" a="1"/>
  <c r="AN745" i="9" s="1"/>
  <c r="AM745" i="9" s="1"/>
  <c r="AN786" i="9" a="1"/>
  <c r="AN786" i="9" s="1"/>
  <c r="AM786" i="9" s="1"/>
  <c r="AN832" i="9" a="1"/>
  <c r="AN832" i="9" s="1"/>
  <c r="AM832" i="9" s="1"/>
  <c r="AN197" i="9" a="1"/>
  <c r="AN197" i="9" s="1"/>
  <c r="AM197" i="9" s="1"/>
  <c r="AN362" i="9" a="1"/>
  <c r="AN362" i="9" s="1"/>
  <c r="AM362" i="9" s="1"/>
  <c r="AN413" i="9" a="1"/>
  <c r="AN413" i="9" s="1"/>
  <c r="AM413" i="9" s="1"/>
  <c r="AN531" i="9" a="1"/>
  <c r="AN531" i="9" s="1"/>
  <c r="AM531" i="9" s="1"/>
  <c r="AN569" i="9" a="1"/>
  <c r="AN569" i="9" s="1"/>
  <c r="AM569" i="9" s="1"/>
  <c r="AN607" i="9" a="1"/>
  <c r="AN607" i="9" s="1"/>
  <c r="AM607" i="9" s="1"/>
  <c r="AN630" i="9" a="1"/>
  <c r="AN630" i="9" s="1"/>
  <c r="AM630" i="9" s="1"/>
  <c r="AN646" i="9" a="1"/>
  <c r="AN646" i="9" s="1"/>
  <c r="AM646" i="9" s="1"/>
  <c r="AN682" i="9" a="1"/>
  <c r="AN682" i="9" s="1"/>
  <c r="AM682" i="9" s="1"/>
  <c r="AN696" i="9" a="1"/>
  <c r="AN696" i="9" s="1"/>
  <c r="AM696" i="9" s="1"/>
  <c r="AN725" i="9" a="1"/>
  <c r="AN725" i="9" s="1"/>
  <c r="AM725" i="9" s="1"/>
  <c r="AN746" i="9" a="1"/>
  <c r="AN746" i="9" s="1"/>
  <c r="AM746" i="9" s="1"/>
  <c r="AN824" i="9" a="1"/>
  <c r="AN824" i="9" s="1"/>
  <c r="AM824" i="9" s="1"/>
  <c r="AN229" i="9" a="1"/>
  <c r="AN229" i="9" s="1"/>
  <c r="AM229" i="9" s="1"/>
  <c r="AN343" i="9" a="1"/>
  <c r="AN343" i="9" s="1"/>
  <c r="AM343" i="9" s="1"/>
  <c r="AN419" i="9" a="1"/>
  <c r="AN419" i="9" s="1"/>
  <c r="AM419" i="9" s="1"/>
  <c r="AN471" i="9" a="1"/>
  <c r="AN471" i="9" s="1"/>
  <c r="AM471" i="9" s="1"/>
  <c r="AN555" i="9" a="1"/>
  <c r="AN555" i="9" s="1"/>
  <c r="AM555" i="9" s="1"/>
  <c r="AN612" i="9" a="1"/>
  <c r="AN612" i="9" s="1"/>
  <c r="AM612" i="9" s="1"/>
  <c r="AN642" i="9" a="1"/>
  <c r="AN642" i="9" s="1"/>
  <c r="AM642" i="9" s="1"/>
  <c r="AN656" i="9" a="1"/>
  <c r="AN656" i="9" s="1"/>
  <c r="AM656" i="9" s="1"/>
  <c r="AN699" i="9" a="1"/>
  <c r="AN699" i="9" s="1"/>
  <c r="AM699" i="9" s="1"/>
  <c r="AN713" i="9" a="1"/>
  <c r="AN713" i="9" s="1"/>
  <c r="AM713" i="9" s="1"/>
  <c r="AN734" i="9" a="1"/>
  <c r="AN734" i="9" s="1"/>
  <c r="AM734" i="9" s="1"/>
  <c r="AN779" i="9" a="1"/>
  <c r="AN779" i="9" s="1"/>
  <c r="AM779" i="9" s="1"/>
  <c r="AN803" i="9" a="1"/>
  <c r="AN803" i="9" s="1"/>
  <c r="AM803" i="9" s="1"/>
  <c r="AN835" i="9" a="1"/>
  <c r="AN835" i="9" s="1"/>
  <c r="AM835" i="9" s="1"/>
  <c r="AO250" i="9"/>
  <c r="AO294" i="9"/>
  <c r="AO296" i="9"/>
  <c r="AO470" i="9"/>
  <c r="AO395" i="9"/>
  <c r="AO203" i="9"/>
  <c r="AO373" i="9"/>
  <c r="AO229" i="9"/>
  <c r="AO188" i="9"/>
  <c r="AO421" i="9"/>
  <c r="AO251" i="9"/>
  <c r="AO306" i="9"/>
  <c r="AO122" i="9"/>
  <c r="AO345" i="9"/>
  <c r="AO260" i="9"/>
  <c r="AO205" i="9"/>
  <c r="AO450" i="9"/>
  <c r="AO282" i="9"/>
  <c r="AO518" i="9"/>
  <c r="AO299" i="9"/>
  <c r="AO171" i="9"/>
  <c r="AO357" i="9"/>
  <c r="AO438" i="9"/>
  <c r="AO186" i="9"/>
  <c r="AO338" i="9"/>
  <c r="AO155" i="9"/>
  <c r="AO266" i="9"/>
  <c r="AO218" i="9"/>
  <c r="AO437" i="9"/>
  <c r="AO386" i="9"/>
  <c r="AO244" i="9"/>
  <c r="AO158" i="9"/>
  <c r="AO130" i="9"/>
  <c r="AO262" i="9"/>
  <c r="AO179" i="9"/>
  <c r="AO253" i="9"/>
  <c r="AO168" i="9"/>
  <c r="AO191" i="9"/>
  <c r="AO405" i="9"/>
  <c r="AO212" i="9"/>
  <c r="AO126" i="9"/>
  <c r="AO309" i="9"/>
  <c r="AO164" i="9"/>
  <c r="AO280" i="9"/>
  <c r="AO325" i="9"/>
  <c r="AO222" i="9"/>
  <c r="AO157" i="9"/>
  <c r="AO199" i="9"/>
  <c r="AO135" i="9"/>
  <c r="AO241" i="9"/>
  <c r="AO163" i="9"/>
  <c r="AO278" i="9"/>
  <c r="AO239" i="9"/>
  <c r="AO175" i="9"/>
  <c r="AO361" i="9"/>
  <c r="AO469" i="9"/>
  <c r="AO313" i="9"/>
  <c r="AO228" i="9"/>
  <c r="AO234" i="9"/>
  <c r="AO221" i="9"/>
  <c r="AO435" i="9"/>
  <c r="AO247" i="9"/>
  <c r="AO220" i="9"/>
  <c r="AO210" i="9"/>
  <c r="AO125" i="9"/>
  <c r="AO172" i="9"/>
  <c r="AO223" i="9"/>
  <c r="AO202" i="9"/>
  <c r="AO117" i="9"/>
  <c r="AO489" i="9"/>
  <c r="AO425" i="9"/>
  <c r="AO377" i="9"/>
  <c r="AO237" i="9"/>
  <c r="AO341" i="9"/>
  <c r="AO180" i="9"/>
  <c r="AO152" i="9"/>
  <c r="AO284" i="9"/>
  <c r="AO198" i="9"/>
  <c r="AO387" i="9"/>
  <c r="AO406" i="9"/>
  <c r="AO271" i="9"/>
  <c r="AO207" i="9"/>
  <c r="AO215" i="9"/>
  <c r="W534" i="59"/>
  <c r="X534" i="59" s="1"/>
  <c r="AO209" i="9"/>
  <c r="W600" i="59"/>
  <c r="X600" i="59" s="1"/>
  <c r="AO389" i="9"/>
  <c r="AO466" i="9"/>
  <c r="AO472" i="9"/>
  <c r="G875" i="59"/>
  <c r="AO297" i="9"/>
  <c r="AO317" i="9"/>
  <c r="AO525" i="9"/>
  <c r="AO121" i="9"/>
  <c r="AO149" i="9"/>
  <c r="AO115" i="9"/>
  <c r="AO119" i="9"/>
  <c r="AO147" i="9"/>
  <c r="AO150" i="9"/>
  <c r="AO279" i="9"/>
  <c r="AO133" i="9"/>
  <c r="AO139" i="9"/>
  <c r="AO183" i="9"/>
  <c r="AO116" i="9"/>
  <c r="AO141" i="9"/>
  <c r="AO124" i="9"/>
  <c r="AO132" i="9"/>
  <c r="AO142" i="9"/>
  <c r="Y633" i="60"/>
  <c r="AC638" i="60" s="1"/>
  <c r="Y545" i="60"/>
  <c r="AC550" i="60" s="1"/>
  <c r="Y864" i="60"/>
  <c r="AC870" i="60" s="1"/>
  <c r="Y611" i="60"/>
  <c r="AC616" i="60" s="1"/>
  <c r="Y589" i="60"/>
  <c r="AC594" i="60" s="1"/>
  <c r="Y578" i="60"/>
  <c r="AC584" i="60" s="1"/>
  <c r="Y721" i="60"/>
  <c r="AC726" i="60" s="1"/>
  <c r="Y941" i="60"/>
  <c r="AC947" i="60" s="1"/>
  <c r="Y710" i="60"/>
  <c r="AC716" i="60" s="1"/>
  <c r="Y600" i="60"/>
  <c r="AC606" i="60" s="1"/>
  <c r="Y699" i="60"/>
  <c r="AC704" i="60" s="1"/>
  <c r="AP275" i="9"/>
  <c r="Y622" i="60"/>
  <c r="AC628" i="60" s="1"/>
  <c r="Y567" i="60"/>
  <c r="AC572" i="60" s="1"/>
  <c r="Y512" i="60"/>
  <c r="AC518" i="60" s="1"/>
  <c r="Y523" i="60"/>
  <c r="AC528" i="60" s="1"/>
  <c r="Y534" i="60"/>
  <c r="AC540" i="60" s="1"/>
  <c r="Y501" i="60"/>
  <c r="AC506" i="60" s="1"/>
  <c r="Y556" i="60"/>
  <c r="AC562" i="60" s="1"/>
  <c r="A77" i="9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S19" i="10"/>
  <c r="AS18" i="10"/>
  <c r="AS17" i="10"/>
  <c r="AS16" i="10"/>
  <c r="AS15" i="10"/>
  <c r="N44" i="10" s="1"/>
  <c r="AS14" i="10"/>
  <c r="AS13" i="10"/>
  <c r="AO140" i="9" l="1"/>
  <c r="S798" i="59"/>
  <c r="T798" i="59" s="1"/>
  <c r="K864" i="59"/>
  <c r="L864" i="59" s="1"/>
  <c r="L24" i="10"/>
  <c r="AO109" i="9"/>
  <c r="AO113" i="9"/>
  <c r="AO134" i="9"/>
  <c r="AO144" i="9"/>
  <c r="AO143" i="9"/>
  <c r="G765" i="59"/>
  <c r="H765" i="59" s="1"/>
  <c r="AO148" i="9"/>
  <c r="AO120" i="9"/>
  <c r="AO153" i="9"/>
  <c r="AO123" i="9"/>
  <c r="AO146" i="9"/>
  <c r="AO145" i="9"/>
  <c r="AO114" i="9"/>
  <c r="G776" i="59"/>
  <c r="S831" i="59"/>
  <c r="T831" i="59" s="1"/>
  <c r="Y875" i="59"/>
  <c r="AC881" i="59" s="1"/>
  <c r="H875" i="59"/>
  <c r="K702" i="59"/>
  <c r="L702" i="59" s="1"/>
  <c r="K724" i="59"/>
  <c r="L724" i="59" s="1"/>
  <c r="G842" i="59"/>
  <c r="H842" i="59" s="1"/>
  <c r="G853" i="59"/>
  <c r="H853" i="59" s="1"/>
  <c r="W603" i="59"/>
  <c r="X603" i="59" s="1"/>
  <c r="W647" i="59"/>
  <c r="X647" i="59" s="1"/>
  <c r="W817" i="59"/>
  <c r="X817" i="59" s="1"/>
  <c r="W828" i="59"/>
  <c r="X828" i="59" s="1"/>
  <c r="G843" i="59"/>
  <c r="H843" i="59" s="1"/>
  <c r="S674" i="59"/>
  <c r="T674" i="59" s="1"/>
  <c r="S678" i="59"/>
  <c r="T678" i="59" s="1"/>
  <c r="G809" i="59"/>
  <c r="H809" i="59" s="1"/>
  <c r="S864" i="59"/>
  <c r="T864" i="59" s="1"/>
  <c r="G864" i="59"/>
  <c r="H864" i="59" s="1"/>
  <c r="S776" i="59"/>
  <c r="T776" i="59" s="1"/>
  <c r="S787" i="59"/>
  <c r="T787" i="59" s="1"/>
  <c r="K842" i="59"/>
  <c r="L842" i="59" s="1"/>
  <c r="K853" i="59"/>
  <c r="S765" i="59"/>
  <c r="G832" i="59"/>
  <c r="H832" i="59" s="1"/>
  <c r="S820" i="59"/>
  <c r="T820" i="59" s="1"/>
  <c r="S667" i="59"/>
  <c r="T667" i="59" s="1"/>
  <c r="G798" i="59"/>
  <c r="H798" i="59" s="1"/>
  <c r="J21" i="10"/>
  <c r="G831" i="59"/>
  <c r="W806" i="57"/>
  <c r="X806" i="57" s="1"/>
  <c r="W806" i="59"/>
  <c r="G821" i="59"/>
  <c r="S809" i="59"/>
  <c r="G787" i="59"/>
  <c r="J24" i="10"/>
  <c r="AY1" i="9"/>
  <c r="G920" i="59"/>
  <c r="H920" i="59" s="1"/>
  <c r="G931" i="59"/>
  <c r="H931" i="59" s="1"/>
  <c r="G842" i="57"/>
  <c r="Y842" i="57" s="1"/>
  <c r="AC847" i="57" s="1"/>
  <c r="G853" i="57"/>
  <c r="W636" i="59"/>
  <c r="X636" i="59" s="1"/>
  <c r="W817" i="57"/>
  <c r="X817" i="57" s="1"/>
  <c r="W828" i="57"/>
  <c r="X828" i="57" s="1"/>
  <c r="S656" i="59"/>
  <c r="T656" i="59" s="1"/>
  <c r="S641" i="59"/>
  <c r="T641" i="59" s="1"/>
  <c r="S645" i="59"/>
  <c r="T645" i="59" s="1"/>
  <c r="J53" i="10"/>
  <c r="L53" i="10"/>
  <c r="AP111" i="9"/>
  <c r="L43" i="10"/>
  <c r="L42" i="10"/>
  <c r="L48" i="10"/>
  <c r="L49" i="10"/>
  <c r="J23" i="10"/>
  <c r="L23" i="10"/>
  <c r="L50" i="10"/>
  <c r="L51" i="10"/>
  <c r="L59" i="10"/>
  <c r="L56" i="10"/>
  <c r="J56" i="10"/>
  <c r="L57" i="10"/>
  <c r="J41" i="10"/>
  <c r="L41" i="10"/>
  <c r="J47" i="10"/>
  <c r="L47" i="10"/>
  <c r="AO4" i="9"/>
  <c r="L52" i="10"/>
  <c r="L58" i="10"/>
  <c r="M58" i="10" s="1"/>
  <c r="L46" i="10"/>
  <c r="L39" i="10"/>
  <c r="J39" i="10"/>
  <c r="L35" i="10"/>
  <c r="L22" i="10"/>
  <c r="M22" i="10" s="1"/>
  <c r="N22" i="10" s="1"/>
  <c r="L21" i="10"/>
  <c r="N37" i="10"/>
  <c r="N28" i="10"/>
  <c r="N27" i="10"/>
  <c r="N25" i="10"/>
  <c r="N29" i="10"/>
  <c r="N26" i="10"/>
  <c r="AO691" i="9"/>
  <c r="AO577" i="9"/>
  <c r="AO683" i="9"/>
  <c r="AO633" i="9"/>
  <c r="AO539" i="9"/>
  <c r="AO217" i="9"/>
  <c r="AO693" i="9"/>
  <c r="AO677" i="9"/>
  <c r="AO653" i="9"/>
  <c r="AO621" i="9"/>
  <c r="AO574" i="9"/>
  <c r="AO485" i="9"/>
  <c r="AO302" i="9"/>
  <c r="AO686" i="9"/>
  <c r="AO644" i="9"/>
  <c r="AO564" i="9"/>
  <c r="AO706" i="9"/>
  <c r="AO690" i="9"/>
  <c r="AO674" i="9"/>
  <c r="AO652" i="9"/>
  <c r="AO620" i="9"/>
  <c r="AO571" i="9"/>
  <c r="AO498" i="9"/>
  <c r="AO340" i="9"/>
  <c r="AO700" i="9"/>
  <c r="AO684" i="9"/>
  <c r="AO661" i="9"/>
  <c r="AO629" i="9"/>
  <c r="AO606" i="9"/>
  <c r="AO542" i="9"/>
  <c r="AO474" i="9"/>
  <c r="AO268" i="9"/>
  <c r="AO659" i="9"/>
  <c r="AO643" i="9"/>
  <c r="AO627" i="9"/>
  <c r="AO602" i="9"/>
  <c r="AO586" i="9"/>
  <c r="AO570" i="9"/>
  <c r="AO554" i="9"/>
  <c r="AO538" i="9"/>
  <c r="AO519" i="9"/>
  <c r="AO501" i="9"/>
  <c r="AO484" i="9"/>
  <c r="AO452" i="9"/>
  <c r="AO420" i="9"/>
  <c r="AO363" i="9"/>
  <c r="AO298" i="9"/>
  <c r="AO601" i="9"/>
  <c r="AO585" i="9"/>
  <c r="AO569" i="9"/>
  <c r="AO553" i="9"/>
  <c r="AO537" i="9"/>
  <c r="AO522" i="9"/>
  <c r="AO504" i="9"/>
  <c r="AO471" i="9"/>
  <c r="AO439" i="9"/>
  <c r="AO398" i="9"/>
  <c r="AO334" i="9"/>
  <c r="AO663" i="9"/>
  <c r="AO647" i="9"/>
  <c r="AO631" i="9"/>
  <c r="AO607" i="9"/>
  <c r="AO591" i="9"/>
  <c r="AO575" i="9"/>
  <c r="AO559" i="9"/>
  <c r="AO543" i="9"/>
  <c r="AO495" i="9"/>
  <c r="AO475" i="9"/>
  <c r="AO443" i="9"/>
  <c r="AO331" i="9"/>
  <c r="AO407" i="9"/>
  <c r="AO391" i="9"/>
  <c r="AO375" i="9"/>
  <c r="AO359" i="9"/>
  <c r="AO343" i="9"/>
  <c r="AO327" i="9"/>
  <c r="AO311" i="9"/>
  <c r="AO291" i="9"/>
  <c r="AO274" i="9"/>
  <c r="AO214" i="9"/>
  <c r="AO137" i="9"/>
  <c r="AO524" i="9"/>
  <c r="AO508" i="9"/>
  <c r="AO492" i="9"/>
  <c r="AO476" i="9"/>
  <c r="AO460" i="9"/>
  <c r="AO444" i="9"/>
  <c r="AO428" i="9"/>
  <c r="AO412" i="9"/>
  <c r="AO396" i="9"/>
  <c r="AO380" i="9"/>
  <c r="AO364" i="9"/>
  <c r="AO348" i="9"/>
  <c r="AO332" i="9"/>
  <c r="AO316" i="9"/>
  <c r="AO300" i="9"/>
  <c r="AO236" i="9"/>
  <c r="AO456" i="9"/>
  <c r="AO440" i="9"/>
  <c r="AO424" i="9"/>
  <c r="AO408" i="9"/>
  <c r="AO392" i="9"/>
  <c r="AO376" i="9"/>
  <c r="AO360" i="9"/>
  <c r="AO328" i="9"/>
  <c r="AO312" i="9"/>
  <c r="AO283" i="9"/>
  <c r="AO233" i="9"/>
  <c r="AO170" i="9"/>
  <c r="AO261" i="9"/>
  <c r="AO245" i="9"/>
  <c r="AO213" i="9"/>
  <c r="AO197" i="9"/>
  <c r="AO181" i="9"/>
  <c r="AO166" i="9"/>
  <c r="AO254" i="9"/>
  <c r="AO238" i="9"/>
  <c r="AO206" i="9"/>
  <c r="AO190" i="9"/>
  <c r="AO174" i="9"/>
  <c r="AO159" i="9"/>
  <c r="AO272" i="9"/>
  <c r="AO256" i="9"/>
  <c r="AO240" i="9"/>
  <c r="AO208" i="9"/>
  <c r="AO192" i="9"/>
  <c r="AO176" i="9"/>
  <c r="AO675" i="9"/>
  <c r="AO618" i="9"/>
  <c r="AO490" i="9"/>
  <c r="AO704" i="9"/>
  <c r="AO688" i="9"/>
  <c r="AO672" i="9"/>
  <c r="AO648" i="9"/>
  <c r="AO617" i="9"/>
  <c r="AO561" i="9"/>
  <c r="AO461" i="9"/>
  <c r="AO167" i="9"/>
  <c r="AO678" i="9"/>
  <c r="AO628" i="9"/>
  <c r="AO507" i="9"/>
  <c r="AO703" i="9"/>
  <c r="AO687" i="9"/>
  <c r="AO671" i="9"/>
  <c r="AO641" i="9"/>
  <c r="AO616" i="9"/>
  <c r="AO558" i="9"/>
  <c r="AO480" i="9"/>
  <c r="AO289" i="9"/>
  <c r="AO707" i="9"/>
  <c r="AO697" i="9"/>
  <c r="AO681" i="9"/>
  <c r="AO656" i="9"/>
  <c r="AO624" i="9"/>
  <c r="AO593" i="9"/>
  <c r="AO528" i="9"/>
  <c r="AO448" i="9"/>
  <c r="AO654" i="9"/>
  <c r="AO638" i="9"/>
  <c r="AO622" i="9"/>
  <c r="AO599" i="9"/>
  <c r="AO583" i="9"/>
  <c r="AO567" i="9"/>
  <c r="AO551" i="9"/>
  <c r="AO535" i="9"/>
  <c r="AO514" i="9"/>
  <c r="AO497" i="9"/>
  <c r="AO478" i="9"/>
  <c r="AO446" i="9"/>
  <c r="AO414" i="9"/>
  <c r="AO350" i="9"/>
  <c r="AO286" i="9"/>
  <c r="AO613" i="9"/>
  <c r="AO598" i="9"/>
  <c r="AO582" i="9"/>
  <c r="AO566" i="9"/>
  <c r="AO550" i="9"/>
  <c r="AO534" i="9"/>
  <c r="AO517" i="9"/>
  <c r="AO500" i="9"/>
  <c r="AO464" i="9"/>
  <c r="AO432" i="9"/>
  <c r="AO385" i="9"/>
  <c r="AO321" i="9"/>
  <c r="AO658" i="9"/>
  <c r="AO642" i="9"/>
  <c r="AO626" i="9"/>
  <c r="AO600" i="9"/>
  <c r="AO584" i="9"/>
  <c r="AO568" i="9"/>
  <c r="AO552" i="9"/>
  <c r="AO536" i="9"/>
  <c r="AO520" i="9"/>
  <c r="AO491" i="9"/>
  <c r="AO468" i="9"/>
  <c r="AO436" i="9"/>
  <c r="AO382" i="9"/>
  <c r="AO318" i="9"/>
  <c r="AO230" i="9"/>
  <c r="AO400" i="9"/>
  <c r="AO384" i="9"/>
  <c r="AO368" i="9"/>
  <c r="AO352" i="9"/>
  <c r="AO336" i="9"/>
  <c r="AO320" i="9"/>
  <c r="AO304" i="9"/>
  <c r="AO288" i="9"/>
  <c r="AO265" i="9"/>
  <c r="AO201" i="9"/>
  <c r="AO521" i="9"/>
  <c r="AO505" i="9"/>
  <c r="AO473" i="9"/>
  <c r="AO457" i="9"/>
  <c r="AO441" i="9"/>
  <c r="AO409" i="9"/>
  <c r="AO393" i="9"/>
  <c r="AO160" i="9"/>
  <c r="AO453" i="9"/>
  <c r="AO699" i="9"/>
  <c r="AO665" i="9"/>
  <c r="AO603" i="9"/>
  <c r="AO701" i="9"/>
  <c r="AO685" i="9"/>
  <c r="AO669" i="9"/>
  <c r="AO637" i="9"/>
  <c r="AO612" i="9"/>
  <c r="AO548" i="9"/>
  <c r="AO404" i="9"/>
  <c r="AO702" i="9"/>
  <c r="AO670" i="9"/>
  <c r="AO614" i="9"/>
  <c r="AO442" i="9"/>
  <c r="AO698" i="9"/>
  <c r="AO682" i="9"/>
  <c r="AO668" i="9"/>
  <c r="AO636" i="9"/>
  <c r="AO609" i="9"/>
  <c r="AO545" i="9"/>
  <c r="AO455" i="9"/>
  <c r="AO708" i="9"/>
  <c r="AO692" i="9"/>
  <c r="AO676" i="9"/>
  <c r="AO645" i="9"/>
  <c r="AO619" i="9"/>
  <c r="AO580" i="9"/>
  <c r="AO511" i="9"/>
  <c r="AO423" i="9"/>
  <c r="AO667" i="9"/>
  <c r="AO651" i="9"/>
  <c r="AO635" i="9"/>
  <c r="AO608" i="9"/>
  <c r="AO592" i="9"/>
  <c r="AO576" i="9"/>
  <c r="AO560" i="9"/>
  <c r="AO544" i="9"/>
  <c r="AO527" i="9"/>
  <c r="AO510" i="9"/>
  <c r="AO493" i="9"/>
  <c r="AO465" i="9"/>
  <c r="AO433" i="9"/>
  <c r="AO401" i="9"/>
  <c r="AO337" i="9"/>
  <c r="AO204" i="9"/>
  <c r="AO611" i="9"/>
  <c r="AO595" i="9"/>
  <c r="AO579" i="9"/>
  <c r="AO563" i="9"/>
  <c r="AO547" i="9"/>
  <c r="AO530" i="9"/>
  <c r="AO513" i="9"/>
  <c r="AO496" i="9"/>
  <c r="AO458" i="9"/>
  <c r="AO426" i="9"/>
  <c r="AO372" i="9"/>
  <c r="AO308" i="9"/>
  <c r="AO655" i="9"/>
  <c r="AO639" i="9"/>
  <c r="AO623" i="9"/>
  <c r="AO597" i="9"/>
  <c r="AO581" i="9"/>
  <c r="AO565" i="9"/>
  <c r="AO549" i="9"/>
  <c r="AO533" i="9"/>
  <c r="AO516" i="9"/>
  <c r="AO487" i="9"/>
  <c r="AO462" i="9"/>
  <c r="AO430" i="9"/>
  <c r="AO369" i="9"/>
  <c r="AO305" i="9"/>
  <c r="AO178" i="9"/>
  <c r="AO413" i="9"/>
  <c r="AO397" i="9"/>
  <c r="AO381" i="9"/>
  <c r="AO365" i="9"/>
  <c r="AO349" i="9"/>
  <c r="AO333" i="9"/>
  <c r="AO285" i="9"/>
  <c r="AO252" i="9"/>
  <c r="AO502" i="9"/>
  <c r="AO486" i="9"/>
  <c r="AO454" i="9"/>
  <c r="AO422" i="9"/>
  <c r="AO390" i="9"/>
  <c r="AO374" i="9"/>
  <c r="AO358" i="9"/>
  <c r="AO342" i="9"/>
  <c r="AO326" i="9"/>
  <c r="AO310" i="9"/>
  <c r="AO482" i="9"/>
  <c r="AO434" i="9"/>
  <c r="AO418" i="9"/>
  <c r="AO402" i="9"/>
  <c r="AO370" i="9"/>
  <c r="AO354" i="9"/>
  <c r="AO322" i="9"/>
  <c r="AO293" i="9"/>
  <c r="AO258" i="9"/>
  <c r="AO194" i="9"/>
  <c r="AO235" i="9"/>
  <c r="AO187" i="9"/>
  <c r="AO156" i="9"/>
  <c r="AO276" i="9"/>
  <c r="AO196" i="9"/>
  <c r="AO165" i="9"/>
  <c r="AO118" i="9"/>
  <c r="L34" i="10"/>
  <c r="AO649" i="9"/>
  <c r="AO315" i="9"/>
  <c r="AO696" i="9"/>
  <c r="AO680" i="9"/>
  <c r="AO664" i="9"/>
  <c r="AO632" i="9"/>
  <c r="AO587" i="9"/>
  <c r="AO503" i="9"/>
  <c r="AO353" i="9"/>
  <c r="AO694" i="9"/>
  <c r="AO660" i="9"/>
  <c r="AO590" i="9"/>
  <c r="AO366" i="9"/>
  <c r="AO695" i="9"/>
  <c r="AO679" i="9"/>
  <c r="AO657" i="9"/>
  <c r="AO625" i="9"/>
  <c r="AO596" i="9"/>
  <c r="AO532" i="9"/>
  <c r="AO429" i="9"/>
  <c r="AO705" i="9"/>
  <c r="AO689" i="9"/>
  <c r="AO673" i="9"/>
  <c r="AO640" i="9"/>
  <c r="AO615" i="9"/>
  <c r="AO555" i="9"/>
  <c r="AO494" i="9"/>
  <c r="AO379" i="9"/>
  <c r="AO662" i="9"/>
  <c r="AO646" i="9"/>
  <c r="AO630" i="9"/>
  <c r="AO605" i="9"/>
  <c r="AO589" i="9"/>
  <c r="AO573" i="9"/>
  <c r="AO557" i="9"/>
  <c r="AO541" i="9"/>
  <c r="AO523" i="9"/>
  <c r="AO506" i="9"/>
  <c r="AO488" i="9"/>
  <c r="AO459" i="9"/>
  <c r="AO427" i="9"/>
  <c r="AO388" i="9"/>
  <c r="AO324" i="9"/>
  <c r="AO154" i="9"/>
  <c r="AO604" i="9"/>
  <c r="AO588" i="9"/>
  <c r="AO572" i="9"/>
  <c r="AO556" i="9"/>
  <c r="AO540" i="9"/>
  <c r="AO526" i="9"/>
  <c r="AO509" i="9"/>
  <c r="AO477" i="9"/>
  <c r="AO445" i="9"/>
  <c r="AO411" i="9"/>
  <c r="AO347" i="9"/>
  <c r="AO242" i="9"/>
  <c r="AO666" i="9"/>
  <c r="AO650" i="9"/>
  <c r="AO634" i="9"/>
  <c r="AO610" i="9"/>
  <c r="AO594" i="9"/>
  <c r="AO578" i="9"/>
  <c r="AO562" i="9"/>
  <c r="AO546" i="9"/>
  <c r="AO529" i="9"/>
  <c r="AO512" i="9"/>
  <c r="AO481" i="9"/>
  <c r="AO449" i="9"/>
  <c r="AO417" i="9"/>
  <c r="AO356" i="9"/>
  <c r="AO292" i="9"/>
  <c r="AO410" i="9"/>
  <c r="AO394" i="9"/>
  <c r="AO378" i="9"/>
  <c r="AO362" i="9"/>
  <c r="AO346" i="9"/>
  <c r="AO330" i="9"/>
  <c r="AO314" i="9"/>
  <c r="AO295" i="9"/>
  <c r="AO281" i="9"/>
  <c r="AO226" i="9"/>
  <c r="AO151" i="9"/>
  <c r="AO531" i="9"/>
  <c r="AO515" i="9"/>
  <c r="AO499" i="9"/>
  <c r="AO483" i="9"/>
  <c r="AO467" i="9"/>
  <c r="AO451" i="9"/>
  <c r="AO419" i="9"/>
  <c r="AO403" i="9"/>
  <c r="AO371" i="9"/>
  <c r="AO355" i="9"/>
  <c r="AO339" i="9"/>
  <c r="AO323" i="9"/>
  <c r="AO307" i="9"/>
  <c r="AO290" i="9"/>
  <c r="AO249" i="9"/>
  <c r="AO185" i="9"/>
  <c r="AO479" i="9"/>
  <c r="AO463" i="9"/>
  <c r="AO447" i="9"/>
  <c r="AO431" i="9"/>
  <c r="AO415" i="9"/>
  <c r="AO399" i="9"/>
  <c r="AO383" i="9"/>
  <c r="AO367" i="9"/>
  <c r="AO351" i="9"/>
  <c r="AO335" i="9"/>
  <c r="AO319" i="9"/>
  <c r="AO303" i="9"/>
  <c r="AO287" i="9"/>
  <c r="AO246" i="9"/>
  <c r="AO182" i="9"/>
  <c r="AO131" i="9"/>
  <c r="AO75" i="9"/>
  <c r="AO264" i="9"/>
  <c r="AO248" i="9"/>
  <c r="AO232" i="9"/>
  <c r="AO216" i="9"/>
  <c r="AO200" i="9"/>
  <c r="AO184" i="9"/>
  <c r="AO169" i="9"/>
  <c r="AO136" i="9"/>
  <c r="AO273" i="9"/>
  <c r="AO257" i="9"/>
  <c r="AO225" i="9"/>
  <c r="AO193" i="9"/>
  <c r="AO177" i="9"/>
  <c r="AO162" i="9"/>
  <c r="AO129" i="9"/>
  <c r="AO275" i="9"/>
  <c r="AO259" i="9"/>
  <c r="AO243" i="9"/>
  <c r="AO227" i="9"/>
  <c r="AO211" i="9"/>
  <c r="AO195" i="9"/>
  <c r="AO161" i="9"/>
  <c r="AO128" i="9"/>
  <c r="S831" i="57"/>
  <c r="T831" i="57" s="1"/>
  <c r="S795" i="57"/>
  <c r="T795" i="57" s="1"/>
  <c r="S938" i="59"/>
  <c r="T938" i="59" s="1"/>
  <c r="L33" i="10"/>
  <c r="J33" i="10"/>
  <c r="AO269" i="9"/>
  <c r="K831" i="57"/>
  <c r="L831" i="57" s="1"/>
  <c r="AO270" i="9"/>
  <c r="S820" i="57"/>
  <c r="T820" i="57" s="1"/>
  <c r="AO267" i="9"/>
  <c r="G831" i="57"/>
  <c r="G820" i="57"/>
  <c r="G810" i="57"/>
  <c r="H810" i="57" s="1"/>
  <c r="G755" i="59"/>
  <c r="H755" i="59" s="1"/>
  <c r="W938" i="59"/>
  <c r="X938" i="59" s="1"/>
  <c r="S614" i="59"/>
  <c r="T614" i="59" s="1"/>
  <c r="G755" i="57"/>
  <c r="H755" i="57" s="1"/>
  <c r="G744" i="59"/>
  <c r="H744" i="59" s="1"/>
  <c r="AO263" i="9"/>
  <c r="G799" i="57"/>
  <c r="H799" i="57" s="1"/>
  <c r="AO111" i="9"/>
  <c r="S927" i="59"/>
  <c r="T927" i="59" s="1"/>
  <c r="K713" i="59"/>
  <c r="L713" i="59" s="1"/>
  <c r="W922" i="59"/>
  <c r="X922" i="59" s="1"/>
  <c r="W927" i="59"/>
  <c r="X927" i="59" s="1"/>
  <c r="W644" i="59"/>
  <c r="X644" i="59" s="1"/>
  <c r="S634" i="59"/>
  <c r="T634" i="59" s="1"/>
  <c r="S630" i="59"/>
  <c r="T630" i="59" s="1"/>
  <c r="AO189" i="9"/>
  <c r="S542" i="59"/>
  <c r="T542" i="59" s="1"/>
  <c r="S568" i="59"/>
  <c r="T568" i="59" s="1"/>
  <c r="A110" i="9"/>
  <c r="AO112" i="9"/>
  <c r="AP112" i="9"/>
  <c r="AO110" i="9"/>
  <c r="AP110" i="9"/>
  <c r="AP809" i="9"/>
  <c r="AP813" i="9"/>
  <c r="AP791" i="9"/>
  <c r="AP762" i="9"/>
  <c r="AP818" i="9"/>
  <c r="AP802" i="9"/>
  <c r="AP793" i="9"/>
  <c r="AP761" i="9"/>
  <c r="AO757" i="9"/>
  <c r="AP757" i="9"/>
  <c r="AO741" i="9"/>
  <c r="AP741" i="9"/>
  <c r="AO725" i="9"/>
  <c r="AP725" i="9"/>
  <c r="AO709" i="9"/>
  <c r="AP709" i="9"/>
  <c r="AP788" i="9"/>
  <c r="AP772" i="9"/>
  <c r="AO756" i="9"/>
  <c r="AP756" i="9"/>
  <c r="AO740" i="9"/>
  <c r="AP740" i="9"/>
  <c r="AO724" i="9"/>
  <c r="AP724" i="9"/>
  <c r="AP783" i="9"/>
  <c r="AP767" i="9"/>
  <c r="AO751" i="9"/>
  <c r="AP751" i="9"/>
  <c r="AO735" i="9"/>
  <c r="AP735" i="9"/>
  <c r="AO719" i="9"/>
  <c r="AP719" i="9"/>
  <c r="AO78" i="9"/>
  <c r="AP78" i="9"/>
  <c r="AO77" i="9"/>
  <c r="AP77" i="9"/>
  <c r="AO63" i="9"/>
  <c r="AP63" i="9"/>
  <c r="AO79" i="9"/>
  <c r="AP79" i="9"/>
  <c r="AO61" i="9"/>
  <c r="AP61" i="9"/>
  <c r="AP758" i="9"/>
  <c r="AP766" i="9"/>
  <c r="AP796" i="9"/>
  <c r="AP798" i="9"/>
  <c r="AO722" i="9"/>
  <c r="AP722" i="9"/>
  <c r="AP812" i="9"/>
  <c r="AO742" i="9"/>
  <c r="AP742" i="9"/>
  <c r="AP789" i="9"/>
  <c r="AP822" i="9"/>
  <c r="AP781" i="9"/>
  <c r="AP808" i="9"/>
  <c r="AP786" i="9"/>
  <c r="AO750" i="9"/>
  <c r="AP750" i="9"/>
  <c r="AP815" i="9"/>
  <c r="AP799" i="9"/>
  <c r="AP785" i="9"/>
  <c r="AO746" i="9"/>
  <c r="AP746" i="9"/>
  <c r="AO753" i="9"/>
  <c r="AP753" i="9"/>
  <c r="AO737" i="9"/>
  <c r="AP737" i="9"/>
  <c r="AO721" i="9"/>
  <c r="AP721" i="9"/>
  <c r="AP784" i="9"/>
  <c r="AP768" i="9"/>
  <c r="AO752" i="9"/>
  <c r="AP752" i="9"/>
  <c r="AO736" i="9"/>
  <c r="AP736" i="9"/>
  <c r="AO720" i="9"/>
  <c r="AP720" i="9"/>
  <c r="AP779" i="9"/>
  <c r="AP763" i="9"/>
  <c r="AO747" i="9"/>
  <c r="AP747" i="9"/>
  <c r="AO731" i="9"/>
  <c r="AP731" i="9"/>
  <c r="AO715" i="9"/>
  <c r="AP715" i="9"/>
  <c r="AO76" i="9"/>
  <c r="AP76" i="9"/>
  <c r="AO62" i="9"/>
  <c r="AP62" i="9"/>
  <c r="AO754" i="9"/>
  <c r="AP754" i="9"/>
  <c r="AO726" i="9"/>
  <c r="AP726" i="9"/>
  <c r="AO710" i="9"/>
  <c r="AP710" i="9"/>
  <c r="AP811" i="9"/>
  <c r="AP765" i="9"/>
  <c r="AP821" i="9"/>
  <c r="AP805" i="9"/>
  <c r="AP778" i="9"/>
  <c r="AO734" i="9"/>
  <c r="AP734" i="9"/>
  <c r="AP810" i="9"/>
  <c r="AP797" i="9"/>
  <c r="AP777" i="9"/>
  <c r="AO730" i="9"/>
  <c r="AP730" i="9"/>
  <c r="AO749" i="9"/>
  <c r="AP749" i="9"/>
  <c r="AO733" i="9"/>
  <c r="AP733" i="9"/>
  <c r="AO717" i="9"/>
  <c r="AP717" i="9"/>
  <c r="AP792" i="9"/>
  <c r="AP780" i="9"/>
  <c r="AP764" i="9"/>
  <c r="AO748" i="9"/>
  <c r="AP748" i="9"/>
  <c r="AO732" i="9"/>
  <c r="AP732" i="9"/>
  <c r="AO716" i="9"/>
  <c r="AP716" i="9"/>
  <c r="AP775" i="9"/>
  <c r="AP759" i="9"/>
  <c r="AO743" i="9"/>
  <c r="AP743" i="9"/>
  <c r="AO727" i="9"/>
  <c r="AP727" i="9"/>
  <c r="AO711" i="9"/>
  <c r="AP711" i="9"/>
  <c r="AP820" i="9"/>
  <c r="AP803" i="9"/>
  <c r="AP817" i="9"/>
  <c r="AP774" i="9"/>
  <c r="AP819" i="9"/>
  <c r="AP794" i="9"/>
  <c r="AP801" i="9"/>
  <c r="AP814" i="9"/>
  <c r="AP773" i="9"/>
  <c r="AP804" i="9"/>
  <c r="AP782" i="9"/>
  <c r="AP806" i="9"/>
  <c r="AO738" i="9"/>
  <c r="AP738" i="9"/>
  <c r="AP816" i="9"/>
  <c r="AP800" i="9"/>
  <c r="AP770" i="9"/>
  <c r="AO718" i="9"/>
  <c r="AP718" i="9"/>
  <c r="AP823" i="9"/>
  <c r="AP807" i="9"/>
  <c r="AP795" i="9"/>
  <c r="AP769" i="9"/>
  <c r="AO714" i="9"/>
  <c r="AP714" i="9"/>
  <c r="AO64" i="9"/>
  <c r="AP64" i="9"/>
  <c r="AO745" i="9"/>
  <c r="AP745" i="9"/>
  <c r="AO729" i="9"/>
  <c r="AP729" i="9"/>
  <c r="AO713" i="9"/>
  <c r="AP713" i="9"/>
  <c r="AP790" i="9"/>
  <c r="AP776" i="9"/>
  <c r="AP760" i="9"/>
  <c r="AO744" i="9"/>
  <c r="AP744" i="9"/>
  <c r="AO728" i="9"/>
  <c r="AP728" i="9"/>
  <c r="AO712" i="9"/>
  <c r="AP712" i="9"/>
  <c r="AP787" i="9"/>
  <c r="AP771" i="9"/>
  <c r="AO755" i="9"/>
  <c r="AP755" i="9"/>
  <c r="AO739" i="9"/>
  <c r="AP739" i="9"/>
  <c r="AO723" i="9"/>
  <c r="AP723" i="9"/>
  <c r="AO53" i="9"/>
  <c r="AP53" i="9"/>
  <c r="AO65" i="9"/>
  <c r="AP65" i="9"/>
  <c r="W746" i="59"/>
  <c r="X746" i="59" s="1"/>
  <c r="AO11" i="9"/>
  <c r="AP11" i="9"/>
  <c r="AO10" i="9"/>
  <c r="AP10" i="9"/>
  <c r="AP9" i="9"/>
  <c r="AO8" i="9"/>
  <c r="AP8" i="9"/>
  <c r="AO7" i="9"/>
  <c r="AP7" i="9"/>
  <c r="AP4" i="9"/>
  <c r="S663" i="57"/>
  <c r="T663" i="57" s="1"/>
  <c r="S663" i="59"/>
  <c r="T663" i="59" s="1"/>
  <c r="S590" i="59"/>
  <c r="T590" i="59" s="1"/>
  <c r="W674" i="59"/>
  <c r="X674" i="59" s="1"/>
  <c r="W641" i="59"/>
  <c r="X641" i="59" s="1"/>
  <c r="G634" i="59"/>
  <c r="H634" i="59" s="1"/>
  <c r="G623" i="59"/>
  <c r="H623" i="59" s="1"/>
  <c r="K919" i="59"/>
  <c r="L919" i="59" s="1"/>
  <c r="W740" i="59"/>
  <c r="X740" i="59" s="1"/>
  <c r="K625" i="57"/>
  <c r="L625" i="57" s="1"/>
  <c r="K625" i="59"/>
  <c r="L625" i="59" s="1"/>
  <c r="K633" i="59"/>
  <c r="L633" i="59" s="1"/>
  <c r="K622" i="59"/>
  <c r="L622" i="59" s="1"/>
  <c r="S586" i="59"/>
  <c r="T586" i="59" s="1"/>
  <c r="W751" i="59"/>
  <c r="X751" i="59" s="1"/>
  <c r="AP518" i="9"/>
  <c r="AP516" i="9"/>
  <c r="AP517" i="9"/>
  <c r="AP515" i="9"/>
  <c r="AP514" i="9"/>
  <c r="G688" i="59"/>
  <c r="H688" i="59" s="1"/>
  <c r="S619" i="59"/>
  <c r="T619" i="59" s="1"/>
  <c r="W592" i="59"/>
  <c r="X592" i="59" s="1"/>
  <c r="G930" i="59"/>
  <c r="H930" i="59" s="1"/>
  <c r="W531" i="59"/>
  <c r="X531" i="59" s="1"/>
  <c r="W542" i="59"/>
  <c r="X542" i="59" s="1"/>
  <c r="S623" i="59"/>
  <c r="T623" i="59" s="1"/>
  <c r="S557" i="59"/>
  <c r="T557" i="59" s="1"/>
  <c r="G645" i="59"/>
  <c r="H645" i="59" s="1"/>
  <c r="G656" i="59"/>
  <c r="H656" i="59" s="1"/>
  <c r="W894" i="59"/>
  <c r="X894" i="59" s="1"/>
  <c r="G523" i="59"/>
  <c r="H523" i="59" s="1"/>
  <c r="K691" i="57"/>
  <c r="L691" i="57" s="1"/>
  <c r="K691" i="59"/>
  <c r="L691" i="59" s="1"/>
  <c r="W589" i="59"/>
  <c r="X589" i="59" s="1"/>
  <c r="S930" i="59"/>
  <c r="T930" i="59" s="1"/>
  <c r="S762" i="59"/>
  <c r="T762" i="59" s="1"/>
  <c r="W762" i="59"/>
  <c r="X762" i="59" s="1"/>
  <c r="K680" i="59"/>
  <c r="L680" i="59" s="1"/>
  <c r="K622" i="57"/>
  <c r="K644" i="59"/>
  <c r="L644" i="59" s="1"/>
  <c r="AP75" i="9"/>
  <c r="AO5" i="9"/>
  <c r="AP5" i="9"/>
  <c r="AO6" i="9"/>
  <c r="AP6" i="9"/>
  <c r="AO55" i="9"/>
  <c r="AP55" i="9"/>
  <c r="AP54" i="9"/>
  <c r="AO52" i="9"/>
  <c r="AP52" i="9"/>
  <c r="AO51" i="9"/>
  <c r="AP51" i="9"/>
  <c r="AO80" i="9"/>
  <c r="AP80" i="9"/>
  <c r="AO81" i="9"/>
  <c r="AP81" i="9"/>
  <c r="W581" i="59"/>
  <c r="X581" i="59" s="1"/>
  <c r="G721" i="59"/>
  <c r="H721" i="59" s="1"/>
  <c r="G732" i="59"/>
  <c r="H732" i="59" s="1"/>
  <c r="W578" i="57"/>
  <c r="W578" i="59"/>
  <c r="X578" i="59" s="1"/>
  <c r="K647" i="59"/>
  <c r="L647" i="59" s="1"/>
  <c r="S546" i="59"/>
  <c r="T546" i="59" s="1"/>
  <c r="S608" i="59"/>
  <c r="T608" i="59" s="1"/>
  <c r="S612" i="59"/>
  <c r="T612" i="59" s="1"/>
  <c r="W652" i="59"/>
  <c r="X652" i="59" s="1"/>
  <c r="W663" i="59"/>
  <c r="X663" i="59" s="1"/>
  <c r="K930" i="59"/>
  <c r="K669" i="59"/>
  <c r="L669" i="59" s="1"/>
  <c r="AP276" i="9"/>
  <c r="AP277" i="9"/>
  <c r="AP274" i="9"/>
  <c r="K658" i="59"/>
  <c r="L658" i="59" s="1"/>
  <c r="G655" i="59"/>
  <c r="H655" i="59" s="1"/>
  <c r="W641" i="57"/>
  <c r="S652" i="59"/>
  <c r="T652" i="59" s="1"/>
  <c r="K636" i="59"/>
  <c r="L636" i="59" s="1"/>
  <c r="S597" i="59"/>
  <c r="T597" i="59" s="1"/>
  <c r="S592" i="59"/>
  <c r="T592" i="59" s="1"/>
  <c r="AP279" i="9"/>
  <c r="AP278" i="9"/>
  <c r="AP280" i="9"/>
  <c r="W570" i="59"/>
  <c r="X570" i="59" s="1"/>
  <c r="W520" i="59"/>
  <c r="X520" i="59" s="1"/>
  <c r="AP341" i="9"/>
  <c r="AP329" i="9"/>
  <c r="AP446" i="9"/>
  <c r="AP272" i="9"/>
  <c r="AP398" i="9"/>
  <c r="S743" i="59"/>
  <c r="T743" i="59" s="1"/>
  <c r="S601" i="59"/>
  <c r="T601" i="59" s="1"/>
  <c r="S570" i="59"/>
  <c r="T570" i="59" s="1"/>
  <c r="G666" i="59"/>
  <c r="H666" i="59" s="1"/>
  <c r="AP644" i="9"/>
  <c r="AP273" i="9"/>
  <c r="AP526" i="9"/>
  <c r="AP574" i="9"/>
  <c r="AP510" i="9"/>
  <c r="AP542" i="9"/>
  <c r="AP478" i="9"/>
  <c r="AP633" i="9"/>
  <c r="AP570" i="9"/>
  <c r="AP554" i="9"/>
  <c r="AP522" i="9"/>
  <c r="AP506" i="9"/>
  <c r="AP454" i="9"/>
  <c r="AP373" i="9"/>
  <c r="AP212" i="9"/>
  <c r="AP611" i="9"/>
  <c r="AP579" i="9"/>
  <c r="AP531" i="9"/>
  <c r="AP499" i="9"/>
  <c r="AP383" i="9"/>
  <c r="AP637" i="9"/>
  <c r="AP575" i="9"/>
  <c r="AP543" i="9"/>
  <c r="AP527" i="9"/>
  <c r="AP479" i="9"/>
  <c r="AP451" i="9"/>
  <c r="AP367" i="9"/>
  <c r="AP459" i="9"/>
  <c r="AP363" i="9"/>
  <c r="AP185" i="9"/>
  <c r="AP464" i="9"/>
  <c r="AP416" i="9"/>
  <c r="AP384" i="9"/>
  <c r="AP368" i="9"/>
  <c r="AP352" i="9"/>
  <c r="AP387" i="9"/>
  <c r="AP371" i="9"/>
  <c r="AP355" i="9"/>
  <c r="AP286" i="9"/>
  <c r="AP207" i="9"/>
  <c r="AP264" i="9"/>
  <c r="AP217" i="9"/>
  <c r="AP205" i="9"/>
  <c r="AP186" i="9"/>
  <c r="AP169" i="9"/>
  <c r="AP153" i="9"/>
  <c r="AP121" i="9"/>
  <c r="AO105" i="9"/>
  <c r="AP105" i="9"/>
  <c r="AP210" i="9"/>
  <c r="AP177" i="9"/>
  <c r="AP114" i="9"/>
  <c r="AO37" i="9"/>
  <c r="AP37" i="9"/>
  <c r="AP176" i="9"/>
  <c r="AP126" i="9"/>
  <c r="AP29" i="9"/>
  <c r="AP561" i="9"/>
  <c r="AP497" i="9"/>
  <c r="AP389" i="9"/>
  <c r="AP609" i="9"/>
  <c r="AP545" i="9"/>
  <c r="AP634" i="9"/>
  <c r="AP529" i="9"/>
  <c r="AP463" i="9"/>
  <c r="AO103" i="9"/>
  <c r="AP103" i="9"/>
  <c r="AP599" i="9"/>
  <c r="AP583" i="9"/>
  <c r="AP551" i="9"/>
  <c r="AP535" i="9"/>
  <c r="AP503" i="9"/>
  <c r="AP487" i="9"/>
  <c r="AP471" i="9"/>
  <c r="AP360" i="9"/>
  <c r="AP187" i="9"/>
  <c r="AP572" i="9"/>
  <c r="AP556" i="9"/>
  <c r="AP508" i="9"/>
  <c r="AP453" i="9"/>
  <c r="AP370" i="9"/>
  <c r="AP206" i="9"/>
  <c r="AO32" i="9"/>
  <c r="AP32" i="9"/>
  <c r="AP632" i="9"/>
  <c r="AP600" i="9"/>
  <c r="AP584" i="9"/>
  <c r="AP568" i="9"/>
  <c r="AP552" i="9"/>
  <c r="AP488" i="9"/>
  <c r="AP472" i="9"/>
  <c r="AP354" i="9"/>
  <c r="AP285" i="9"/>
  <c r="AP468" i="9"/>
  <c r="AP452" i="9"/>
  <c r="AP388" i="9"/>
  <c r="AP372" i="9"/>
  <c r="AP356" i="9"/>
  <c r="AP203" i="9"/>
  <c r="AP151" i="9"/>
  <c r="AP461" i="9"/>
  <c r="AP381" i="9"/>
  <c r="AP365" i="9"/>
  <c r="AP349" i="9"/>
  <c r="AP215" i="9"/>
  <c r="AP190" i="9"/>
  <c r="AP380" i="9"/>
  <c r="AP364" i="9"/>
  <c r="AP200" i="9"/>
  <c r="AP214" i="9"/>
  <c r="AP199" i="9"/>
  <c r="AP181" i="9"/>
  <c r="AP150" i="9"/>
  <c r="AP118" i="9"/>
  <c r="AO102" i="9"/>
  <c r="AP102" i="9"/>
  <c r="AO35" i="9"/>
  <c r="AP35" i="9"/>
  <c r="AP204" i="9"/>
  <c r="AP174" i="9"/>
  <c r="AP127" i="9"/>
  <c r="AO66" i="9"/>
  <c r="AP66" i="9"/>
  <c r="AO34" i="9"/>
  <c r="AP34" i="9"/>
  <c r="AP13" i="9"/>
  <c r="AP171" i="9"/>
  <c r="AP155" i="9"/>
  <c r="AP123" i="9"/>
  <c r="AO107" i="9"/>
  <c r="AP107" i="9"/>
  <c r="L19" i="10"/>
  <c r="AP622" i="9"/>
  <c r="AP351" i="9"/>
  <c r="AP647" i="9"/>
  <c r="AP532" i="9"/>
  <c r="AP418" i="9"/>
  <c r="AP624" i="9"/>
  <c r="AP580" i="9"/>
  <c r="AP576" i="9"/>
  <c r="AP560" i="9"/>
  <c r="AP544" i="9"/>
  <c r="AP528" i="9"/>
  <c r="AP635" i="9"/>
  <c r="AP623" i="9"/>
  <c r="AP569" i="9"/>
  <c r="AP553" i="9"/>
  <c r="AP415" i="9"/>
  <c r="AP357" i="9"/>
  <c r="AP178" i="9"/>
  <c r="AP581" i="9"/>
  <c r="AP533" i="9"/>
  <c r="AP501" i="9"/>
  <c r="AP485" i="9"/>
  <c r="AP469" i="9"/>
  <c r="AP268" i="9"/>
  <c r="AP417" i="9"/>
  <c r="AP385" i="9"/>
  <c r="AP369" i="9"/>
  <c r="AP353" i="9"/>
  <c r="AP288" i="9"/>
  <c r="AP266" i="9"/>
  <c r="AP197" i="9"/>
  <c r="AP458" i="9"/>
  <c r="AP362" i="9"/>
  <c r="AP209" i="9"/>
  <c r="AP184" i="9"/>
  <c r="AP122" i="9"/>
  <c r="AP14" i="9"/>
  <c r="AP361" i="9"/>
  <c r="AP269" i="9"/>
  <c r="AP218" i="9"/>
  <c r="AP188" i="9"/>
  <c r="AP119" i="9"/>
  <c r="AP287" i="9"/>
  <c r="AP211" i="9"/>
  <c r="AP175" i="9"/>
  <c r="AP115" i="9"/>
  <c r="AO83" i="9"/>
  <c r="AP83" i="9"/>
  <c r="AO31" i="9"/>
  <c r="AP31" i="9"/>
  <c r="AP219" i="9"/>
  <c r="AP201" i="9"/>
  <c r="AP183" i="9"/>
  <c r="AP168" i="9"/>
  <c r="AP152" i="9"/>
  <c r="AP120" i="9"/>
  <c r="AO104" i="9"/>
  <c r="AP104" i="9"/>
  <c r="AO30" i="9"/>
  <c r="AP30" i="9"/>
  <c r="AP182" i="9"/>
  <c r="AP116" i="9"/>
  <c r="AO36" i="9"/>
  <c r="AP36" i="9"/>
  <c r="AO82" i="9"/>
  <c r="AP82" i="9"/>
  <c r="AP500" i="9"/>
  <c r="AP577" i="9"/>
  <c r="AP648" i="9"/>
  <c r="AP523" i="9"/>
  <c r="AP450" i="9"/>
  <c r="AP571" i="9"/>
  <c r="AP507" i="9"/>
  <c r="AP555" i="9"/>
  <c r="AP636" i="9"/>
  <c r="AP573" i="9"/>
  <c r="AP509" i="9"/>
  <c r="AP477" i="9"/>
  <c r="AP460" i="9"/>
  <c r="AP386" i="9"/>
  <c r="AP621" i="9"/>
  <c r="AP582" i="9"/>
  <c r="AP550" i="9"/>
  <c r="AP534" i="9"/>
  <c r="AP486" i="9"/>
  <c r="AP470" i="9"/>
  <c r="AP128" i="9"/>
  <c r="AP578" i="9"/>
  <c r="AP562" i="9"/>
  <c r="AP546" i="9"/>
  <c r="AP530" i="9"/>
  <c r="AP498" i="9"/>
  <c r="AP462" i="9"/>
  <c r="AP414" i="9"/>
  <c r="AP382" i="9"/>
  <c r="AP366" i="9"/>
  <c r="AP350" i="9"/>
  <c r="AP284" i="9"/>
  <c r="AP125" i="9"/>
  <c r="AP455" i="9"/>
  <c r="AP375" i="9"/>
  <c r="AP359" i="9"/>
  <c r="AP270" i="9"/>
  <c r="AP202" i="9"/>
  <c r="AP173" i="9"/>
  <c r="AP109" i="9"/>
  <c r="AP390" i="9"/>
  <c r="AP374" i="9"/>
  <c r="AP358" i="9"/>
  <c r="AP265" i="9"/>
  <c r="AP213" i="9"/>
  <c r="AP170" i="9"/>
  <c r="AO106" i="9"/>
  <c r="AP106" i="9"/>
  <c r="AP267" i="9"/>
  <c r="AP208" i="9"/>
  <c r="AP172" i="9"/>
  <c r="AP124" i="9"/>
  <c r="AO108" i="9"/>
  <c r="AP108" i="9"/>
  <c r="AP216" i="9"/>
  <c r="AP198" i="9"/>
  <c r="AP180" i="9"/>
  <c r="AP117" i="9"/>
  <c r="L20" i="10"/>
  <c r="AP179" i="9"/>
  <c r="AP113" i="9"/>
  <c r="AO33" i="9"/>
  <c r="AP33" i="9"/>
  <c r="AP12" i="9"/>
  <c r="AP704" i="9"/>
  <c r="AP688" i="9"/>
  <c r="AP695" i="9"/>
  <c r="AP679" i="9"/>
  <c r="AP700" i="9"/>
  <c r="AP684" i="9"/>
  <c r="AP702" i="9"/>
  <c r="AP701" i="9"/>
  <c r="AP685" i="9"/>
  <c r="AP707" i="9"/>
  <c r="AP706" i="9"/>
  <c r="AP690" i="9"/>
  <c r="AP699" i="9"/>
  <c r="AP697" i="9"/>
  <c r="AP681" i="9"/>
  <c r="AP694" i="9"/>
  <c r="AP696" i="9"/>
  <c r="AP680" i="9"/>
  <c r="AP691" i="9"/>
  <c r="AP703" i="9"/>
  <c r="AP687" i="9"/>
  <c r="AP686" i="9"/>
  <c r="AP708" i="9"/>
  <c r="AP692" i="9"/>
  <c r="AP676" i="9"/>
  <c r="AP683" i="9"/>
  <c r="AP693" i="9"/>
  <c r="AP677" i="9"/>
  <c r="AP678" i="9"/>
  <c r="AP698" i="9"/>
  <c r="AP682" i="9"/>
  <c r="AP705" i="9"/>
  <c r="AP689" i="9"/>
  <c r="AP397" i="9"/>
  <c r="AP271" i="9"/>
  <c r="AP401" i="9"/>
  <c r="AP322" i="9"/>
  <c r="AP335" i="9"/>
  <c r="AP638" i="9"/>
  <c r="AP598" i="9"/>
  <c r="AP664" i="9"/>
  <c r="AP645" i="9"/>
  <c r="AP615" i="9"/>
  <c r="AP590" i="9"/>
  <c r="AP547" i="9"/>
  <c r="AP511" i="9"/>
  <c r="AP423" i="9"/>
  <c r="AP313" i="9"/>
  <c r="AP227" i="9"/>
  <c r="AP651" i="9"/>
  <c r="AP476" i="9"/>
  <c r="AP291" i="9"/>
  <c r="AP674" i="9"/>
  <c r="AP658" i="9"/>
  <c r="AP639" i="9"/>
  <c r="AP614" i="9"/>
  <c r="AP596" i="9"/>
  <c r="AP564" i="9"/>
  <c r="AP433" i="9"/>
  <c r="AP337" i="9"/>
  <c r="AP262" i="9"/>
  <c r="AP160" i="9"/>
  <c r="AP675" i="9"/>
  <c r="AP630" i="9"/>
  <c r="AP594" i="9"/>
  <c r="AP548" i="9"/>
  <c r="AP230" i="9"/>
  <c r="AP660" i="9"/>
  <c r="AP620" i="9"/>
  <c r="AP602" i="9"/>
  <c r="AP563" i="9"/>
  <c r="AP502" i="9"/>
  <c r="AP444" i="9"/>
  <c r="AP334" i="9"/>
  <c r="AP281" i="9"/>
  <c r="AP221" i="9"/>
  <c r="AP475" i="9"/>
  <c r="AP440" i="9"/>
  <c r="AP422" i="9"/>
  <c r="AP347" i="9"/>
  <c r="AP315" i="9"/>
  <c r="AP300" i="9"/>
  <c r="AP252" i="9"/>
  <c r="AP236" i="9"/>
  <c r="AP220" i="9"/>
  <c r="AP163" i="9"/>
  <c r="AP84" i="9"/>
  <c r="AP541" i="9"/>
  <c r="AP496" i="9"/>
  <c r="AP467" i="9"/>
  <c r="AP439" i="9"/>
  <c r="AP421" i="9"/>
  <c r="AP400" i="9"/>
  <c r="AP343" i="9"/>
  <c r="AP325" i="9"/>
  <c r="AP305" i="9"/>
  <c r="AP289" i="9"/>
  <c r="AP261" i="9"/>
  <c r="AP245" i="9"/>
  <c r="AP229" i="9"/>
  <c r="AP165" i="9"/>
  <c r="AP146" i="9"/>
  <c r="AP68" i="9"/>
  <c r="AP484" i="9"/>
  <c r="AP445" i="9"/>
  <c r="AP431" i="9"/>
  <c r="AP413" i="9"/>
  <c r="AP399" i="9"/>
  <c r="AP345" i="9"/>
  <c r="AP331" i="9"/>
  <c r="AP314" i="9"/>
  <c r="AP298" i="9"/>
  <c r="AP260" i="9"/>
  <c r="AP244" i="9"/>
  <c r="AP228" i="9"/>
  <c r="AP164" i="9"/>
  <c r="AP145" i="9"/>
  <c r="AP39" i="9"/>
  <c r="AP135" i="9"/>
  <c r="AP87" i="9"/>
  <c r="AP60" i="9"/>
  <c r="AP38" i="9"/>
  <c r="AP19" i="9"/>
  <c r="AP131" i="9"/>
  <c r="AP86" i="9"/>
  <c r="AP50" i="9"/>
  <c r="AP21" i="9"/>
  <c r="AP133" i="9"/>
  <c r="AP95" i="9"/>
  <c r="AP69" i="9"/>
  <c r="AP43" i="9"/>
  <c r="AP670" i="9"/>
  <c r="AP627" i="9"/>
  <c r="AP591" i="9"/>
  <c r="AP661" i="9"/>
  <c r="AP640" i="9"/>
  <c r="AP604" i="9"/>
  <c r="AP586" i="9"/>
  <c r="AP539" i="9"/>
  <c r="AP504" i="9"/>
  <c r="AP394" i="9"/>
  <c r="AP301" i="9"/>
  <c r="AP189" i="9"/>
  <c r="AP512" i="9"/>
  <c r="AP426" i="9"/>
  <c r="AP243" i="9"/>
  <c r="AP671" i="9"/>
  <c r="AP655" i="9"/>
  <c r="AP631" i="9"/>
  <c r="AP610" i="9"/>
  <c r="AP592" i="9"/>
  <c r="AP557" i="9"/>
  <c r="AP495" i="9"/>
  <c r="AP419" i="9"/>
  <c r="AP323" i="9"/>
  <c r="AP249" i="9"/>
  <c r="AP48" i="9"/>
  <c r="AP662" i="9"/>
  <c r="AP619" i="9"/>
  <c r="AP587" i="9"/>
  <c r="AP540" i="9"/>
  <c r="AP139" i="9"/>
  <c r="AP673" i="9"/>
  <c r="AP657" i="9"/>
  <c r="AP641" i="9"/>
  <c r="AP616" i="9"/>
  <c r="AP595" i="9"/>
  <c r="AP549" i="9"/>
  <c r="AP494" i="9"/>
  <c r="AP430" i="9"/>
  <c r="AP320" i="9"/>
  <c r="AP259" i="9"/>
  <c r="AP157" i="9"/>
  <c r="AP457" i="9"/>
  <c r="AP436" i="9"/>
  <c r="AP411" i="9"/>
  <c r="AP393" i="9"/>
  <c r="AP344" i="9"/>
  <c r="AP326" i="9"/>
  <c r="AP312" i="9"/>
  <c r="AP296" i="9"/>
  <c r="AP248" i="9"/>
  <c r="AP232" i="9"/>
  <c r="AP194" i="9"/>
  <c r="AP156" i="9"/>
  <c r="AP58" i="9"/>
  <c r="AP537" i="9"/>
  <c r="AP492" i="9"/>
  <c r="AP449" i="9"/>
  <c r="AP435" i="9"/>
  <c r="AP410" i="9"/>
  <c r="AP396" i="9"/>
  <c r="AP339" i="9"/>
  <c r="AP321" i="9"/>
  <c r="AP302" i="9"/>
  <c r="AP283" i="9"/>
  <c r="AP257" i="9"/>
  <c r="AP241" i="9"/>
  <c r="AP225" i="9"/>
  <c r="AP162" i="9"/>
  <c r="AP142" i="9"/>
  <c r="AP42" i="9"/>
  <c r="AP473" i="9"/>
  <c r="AP441" i="9"/>
  <c r="AP427" i="9"/>
  <c r="AP409" i="9"/>
  <c r="AP395" i="9"/>
  <c r="AP342" i="9"/>
  <c r="AP328" i="9"/>
  <c r="AP311" i="9"/>
  <c r="AP295" i="9"/>
  <c r="AP256" i="9"/>
  <c r="AP240" i="9"/>
  <c r="AP224" i="9"/>
  <c r="AP161" i="9"/>
  <c r="AP140" i="9"/>
  <c r="AP23" i="9"/>
  <c r="AP96" i="9"/>
  <c r="AP74" i="9"/>
  <c r="AP57" i="9"/>
  <c r="AP28" i="9"/>
  <c r="AP16" i="9"/>
  <c r="AP99" i="9"/>
  <c r="AP73" i="9"/>
  <c r="AP47" i="9"/>
  <c r="AP18" i="9"/>
  <c r="AP130" i="9"/>
  <c r="AP88" i="9"/>
  <c r="AP59" i="9"/>
  <c r="AP27" i="9"/>
  <c r="AP659" i="9"/>
  <c r="AP612" i="9"/>
  <c r="AP672" i="9"/>
  <c r="AP656" i="9"/>
  <c r="AP629" i="9"/>
  <c r="AP597" i="9"/>
  <c r="AP565" i="9"/>
  <c r="AP524" i="9"/>
  <c r="AP490" i="9"/>
  <c r="AP154" i="9"/>
  <c r="AP493" i="9"/>
  <c r="AP412" i="9"/>
  <c r="AP167" i="9"/>
  <c r="AP666" i="9"/>
  <c r="AP650" i="9"/>
  <c r="AP626" i="9"/>
  <c r="AP607" i="9"/>
  <c r="AP589" i="9"/>
  <c r="AP538" i="9"/>
  <c r="AP489" i="9"/>
  <c r="AP405" i="9"/>
  <c r="AP310" i="9"/>
  <c r="AP237" i="9"/>
  <c r="AP654" i="9"/>
  <c r="AP608" i="9"/>
  <c r="AP566" i="9"/>
  <c r="AP525" i="9"/>
  <c r="AP316" i="9"/>
  <c r="AP668" i="9"/>
  <c r="AP652" i="9"/>
  <c r="AP628" i="9"/>
  <c r="AP613" i="9"/>
  <c r="AP588" i="9"/>
  <c r="AP536" i="9"/>
  <c r="AP483" i="9"/>
  <c r="AP307" i="9"/>
  <c r="AP246" i="9"/>
  <c r="AP144" i="9"/>
  <c r="AP447" i="9"/>
  <c r="AP429" i="9"/>
  <c r="AP408" i="9"/>
  <c r="AP379" i="9"/>
  <c r="AP340" i="9"/>
  <c r="AP306" i="9"/>
  <c r="AP290" i="9"/>
  <c r="AP258" i="9"/>
  <c r="AP242" i="9"/>
  <c r="AP226" i="9"/>
  <c r="AP191" i="9"/>
  <c r="AP147" i="9"/>
  <c r="AP45" i="9"/>
  <c r="AP481" i="9"/>
  <c r="AP432" i="9"/>
  <c r="AP407" i="9"/>
  <c r="AP378" i="9"/>
  <c r="AP336" i="9"/>
  <c r="AP318" i="9"/>
  <c r="AP299" i="9"/>
  <c r="AP254" i="9"/>
  <c r="AP238" i="9"/>
  <c r="AP222" i="9"/>
  <c r="AP159" i="9"/>
  <c r="AP132" i="9"/>
  <c r="AP26" i="9"/>
  <c r="AP466" i="9"/>
  <c r="AP438" i="9"/>
  <c r="AP424" i="9"/>
  <c r="AP406" i="9"/>
  <c r="AP392" i="9"/>
  <c r="AP338" i="9"/>
  <c r="AP324" i="9"/>
  <c r="AP308" i="9"/>
  <c r="AP292" i="9"/>
  <c r="AP250" i="9"/>
  <c r="AP234" i="9"/>
  <c r="AP196" i="9"/>
  <c r="AP158" i="9"/>
  <c r="AP129" i="9"/>
  <c r="AP141" i="9"/>
  <c r="AP93" i="9"/>
  <c r="AP71" i="9"/>
  <c r="AP44" i="9"/>
  <c r="AP25" i="9"/>
  <c r="AP137" i="9"/>
  <c r="AP92" i="9"/>
  <c r="AP70" i="9"/>
  <c r="AP40" i="9"/>
  <c r="AP143" i="9"/>
  <c r="AP101" i="9"/>
  <c r="AP85" i="9"/>
  <c r="AP49" i="9"/>
  <c r="AP20" i="9"/>
  <c r="AP646" i="9"/>
  <c r="AP605" i="9"/>
  <c r="AP669" i="9"/>
  <c r="AP653" i="9"/>
  <c r="AP618" i="9"/>
  <c r="AP593" i="9"/>
  <c r="AP558" i="9"/>
  <c r="AP520" i="9"/>
  <c r="AP437" i="9"/>
  <c r="AP327" i="9"/>
  <c r="AP253" i="9"/>
  <c r="AP100" i="9"/>
  <c r="AP667" i="9"/>
  <c r="AP480" i="9"/>
  <c r="AP330" i="9"/>
  <c r="AP663" i="9"/>
  <c r="AP642" i="9"/>
  <c r="AP617" i="9"/>
  <c r="AP603" i="9"/>
  <c r="AP585" i="9"/>
  <c r="AP519" i="9"/>
  <c r="AP448" i="9"/>
  <c r="AP391" i="9"/>
  <c r="AP297" i="9"/>
  <c r="AP195" i="9"/>
  <c r="AP643" i="9"/>
  <c r="AP601" i="9"/>
  <c r="AP559" i="9"/>
  <c r="AP521" i="9"/>
  <c r="AP665" i="9"/>
  <c r="AP649" i="9"/>
  <c r="AP625" i="9"/>
  <c r="AP606" i="9"/>
  <c r="AP567" i="9"/>
  <c r="AP505" i="9"/>
  <c r="AP465" i="9"/>
  <c r="AP348" i="9"/>
  <c r="AP294" i="9"/>
  <c r="AP233" i="9"/>
  <c r="AP482" i="9"/>
  <c r="AP443" i="9"/>
  <c r="AP425" i="9"/>
  <c r="AP404" i="9"/>
  <c r="AP376" i="9"/>
  <c r="AP333" i="9"/>
  <c r="AP319" i="9"/>
  <c r="AP303" i="9"/>
  <c r="AP255" i="9"/>
  <c r="AP239" i="9"/>
  <c r="AP223" i="9"/>
  <c r="AP166" i="9"/>
  <c r="AP97" i="9"/>
  <c r="AP17" i="9"/>
  <c r="AP513" i="9"/>
  <c r="AP474" i="9"/>
  <c r="AP442" i="9"/>
  <c r="AP428" i="9"/>
  <c r="AP403" i="9"/>
  <c r="AP346" i="9"/>
  <c r="AP332" i="9"/>
  <c r="AP309" i="9"/>
  <c r="AP293" i="9"/>
  <c r="AP251" i="9"/>
  <c r="AP235" i="9"/>
  <c r="AP193" i="9"/>
  <c r="AP149" i="9"/>
  <c r="AP94" i="9"/>
  <c r="AP491" i="9"/>
  <c r="AP456" i="9"/>
  <c r="AP434" i="9"/>
  <c r="AP420" i="9"/>
  <c r="AP402" i="9"/>
  <c r="AP377" i="9"/>
  <c r="AP317" i="9"/>
  <c r="AP304" i="9"/>
  <c r="AP282" i="9"/>
  <c r="AP263" i="9"/>
  <c r="AP247" i="9"/>
  <c r="AP231" i="9"/>
  <c r="AP192" i="9"/>
  <c r="AP148" i="9"/>
  <c r="AP91" i="9"/>
  <c r="AP138" i="9"/>
  <c r="AP90" i="9"/>
  <c r="AP67" i="9"/>
  <c r="AP41" i="9"/>
  <c r="AP22" i="9"/>
  <c r="AP134" i="9"/>
  <c r="AP89" i="9"/>
  <c r="AP56" i="9"/>
  <c r="AP24" i="9"/>
  <c r="AP136" i="9"/>
  <c r="AP98" i="9"/>
  <c r="AP72" i="9"/>
  <c r="AP46" i="9"/>
  <c r="AP15" i="9"/>
  <c r="W702" i="59"/>
  <c r="X702" i="59" s="1"/>
  <c r="W548" i="59"/>
  <c r="X548" i="59" s="1"/>
  <c r="S578" i="59"/>
  <c r="T578" i="59" s="1"/>
  <c r="W710" i="59"/>
  <c r="X710" i="59" s="1"/>
  <c r="S721" i="59"/>
  <c r="K600" i="59"/>
  <c r="L600" i="59" s="1"/>
  <c r="S548" i="59"/>
  <c r="T548" i="59" s="1"/>
  <c r="G710" i="59"/>
  <c r="H710" i="59" s="1"/>
  <c r="W707" i="59"/>
  <c r="X707" i="59" s="1"/>
  <c r="S575" i="59"/>
  <c r="T575" i="59" s="1"/>
  <c r="W545" i="59"/>
  <c r="X545" i="59" s="1"/>
  <c r="S579" i="59"/>
  <c r="T579" i="59" s="1"/>
  <c r="S677" i="59"/>
  <c r="T677" i="59" s="1"/>
  <c r="G886" i="59"/>
  <c r="H886" i="59" s="1"/>
  <c r="S919" i="59"/>
  <c r="T919" i="59" s="1"/>
  <c r="S886" i="59"/>
  <c r="T886" i="59" s="1"/>
  <c r="W556" i="59"/>
  <c r="X556" i="59" s="1"/>
  <c r="K743" i="59"/>
  <c r="L743" i="59" s="1"/>
  <c r="S754" i="59"/>
  <c r="T754" i="59" s="1"/>
  <c r="G754" i="59"/>
  <c r="S710" i="59"/>
  <c r="G677" i="59"/>
  <c r="K732" i="59"/>
  <c r="G919" i="59"/>
  <c r="G699" i="59"/>
  <c r="G743" i="59"/>
  <c r="K655" i="59"/>
  <c r="S732" i="59"/>
  <c r="T732" i="59" s="1"/>
  <c r="S688" i="59"/>
  <c r="K886" i="59"/>
  <c r="S666" i="59"/>
  <c r="S699" i="59"/>
  <c r="T699" i="59" s="1"/>
  <c r="S655" i="59"/>
  <c r="T655" i="59" s="1"/>
  <c r="W619" i="59"/>
  <c r="X619" i="59" s="1"/>
  <c r="S524" i="59"/>
  <c r="T524" i="59" s="1"/>
  <c r="K548" i="59"/>
  <c r="L548" i="59" s="1"/>
  <c r="W614" i="59"/>
  <c r="X614" i="59" s="1"/>
  <c r="K534" i="59"/>
  <c r="L534" i="59" s="1"/>
  <c r="G633" i="59"/>
  <c r="H633" i="59" s="1"/>
  <c r="S520" i="59"/>
  <c r="T520" i="59" s="1"/>
  <c r="W575" i="59"/>
  <c r="X575" i="59" s="1"/>
  <c r="W564" i="59"/>
  <c r="X564" i="59" s="1"/>
  <c r="G699" i="57"/>
  <c r="H699" i="57" s="1"/>
  <c r="K666" i="57"/>
  <c r="L666" i="57" s="1"/>
  <c r="W633" i="59"/>
  <c r="X633" i="59" s="1"/>
  <c r="W630" i="59"/>
  <c r="X630" i="59" s="1"/>
  <c r="W625" i="59"/>
  <c r="X625" i="59" s="1"/>
  <c r="W622" i="59"/>
  <c r="X622" i="59" s="1"/>
  <c r="W567" i="59"/>
  <c r="X567" i="59" s="1"/>
  <c r="K559" i="59"/>
  <c r="L559" i="59" s="1"/>
  <c r="K545" i="59"/>
  <c r="L545" i="59" s="1"/>
  <c r="S535" i="59"/>
  <c r="T535" i="59" s="1"/>
  <c r="S531" i="59"/>
  <c r="T531" i="59" s="1"/>
  <c r="K515" i="59"/>
  <c r="L515" i="59" s="1"/>
  <c r="G754" i="57"/>
  <c r="H754" i="57" s="1"/>
  <c r="S633" i="59"/>
  <c r="S644" i="59"/>
  <c r="T644" i="59" s="1"/>
  <c r="S515" i="59"/>
  <c r="T515" i="59" s="1"/>
  <c r="S622" i="59"/>
  <c r="T622" i="59" s="1"/>
  <c r="G622" i="59"/>
  <c r="H622" i="59" s="1"/>
  <c r="S556" i="59"/>
  <c r="T556" i="59" s="1"/>
  <c r="W608" i="59"/>
  <c r="X608" i="59" s="1"/>
  <c r="S513" i="59"/>
  <c r="T513" i="59" s="1"/>
  <c r="W553" i="57"/>
  <c r="W553" i="59"/>
  <c r="X553" i="59" s="1"/>
  <c r="S589" i="59"/>
  <c r="T589" i="59" s="1"/>
  <c r="G578" i="59"/>
  <c r="H578" i="59" s="1"/>
  <c r="W611" i="57"/>
  <c r="W611" i="59"/>
  <c r="X611" i="59" s="1"/>
  <c r="W512" i="59"/>
  <c r="X512" i="59" s="1"/>
  <c r="S567" i="59"/>
  <c r="T567" i="59" s="1"/>
  <c r="S545" i="59"/>
  <c r="T545" i="59" s="1"/>
  <c r="K537" i="59"/>
  <c r="L537" i="59" s="1"/>
  <c r="G644" i="59"/>
  <c r="K523" i="59"/>
  <c r="L523" i="59" s="1"/>
  <c r="W608" i="57"/>
  <c r="G534" i="59"/>
  <c r="H534" i="59" s="1"/>
  <c r="S644" i="57"/>
  <c r="T644" i="57" s="1"/>
  <c r="S534" i="59"/>
  <c r="S512" i="59"/>
  <c r="T512" i="59" s="1"/>
  <c r="G622" i="57"/>
  <c r="G512" i="59"/>
  <c r="G578" i="57"/>
  <c r="G545" i="59"/>
  <c r="S611" i="57"/>
  <c r="S611" i="59"/>
  <c r="T611" i="59" s="1"/>
  <c r="G611" i="57"/>
  <c r="G611" i="59"/>
  <c r="G589" i="57"/>
  <c r="G589" i="59"/>
  <c r="S633" i="57"/>
  <c r="S523" i="59"/>
  <c r="K578" i="57"/>
  <c r="K578" i="59"/>
  <c r="G567" i="57"/>
  <c r="G567" i="59"/>
  <c r="S600" i="59"/>
  <c r="T600" i="59" s="1"/>
  <c r="G600" i="57"/>
  <c r="G600" i="59"/>
  <c r="G556" i="57"/>
  <c r="G556" i="59"/>
  <c r="H556" i="59" s="1"/>
  <c r="K556" i="57"/>
  <c r="K556" i="59"/>
  <c r="K545" i="57"/>
  <c r="W597" i="57"/>
  <c r="W586" i="57"/>
  <c r="W592" i="57"/>
  <c r="W581" i="57"/>
  <c r="S589" i="57"/>
  <c r="G545" i="57"/>
  <c r="W600" i="57"/>
  <c r="W589" i="57"/>
  <c r="K589" i="57"/>
  <c r="G633" i="57"/>
  <c r="K611" i="57"/>
  <c r="L363" i="59"/>
  <c r="Q445" i="59"/>
  <c r="Q444" i="59"/>
  <c r="Q442" i="59"/>
  <c r="Q440" i="59"/>
  <c r="Q439" i="59"/>
  <c r="Q437" i="59"/>
  <c r="Q436" i="59"/>
  <c r="Q434" i="59"/>
  <c r="Q433" i="59"/>
  <c r="Q431" i="59"/>
  <c r="Q429" i="59"/>
  <c r="Q428" i="59"/>
  <c r="Q426" i="59"/>
  <c r="Q425" i="59"/>
  <c r="Q423" i="59"/>
  <c r="Q422" i="59"/>
  <c r="Q420" i="59"/>
  <c r="Q418" i="59"/>
  <c r="Q417" i="59"/>
  <c r="Q415" i="59"/>
  <c r="Q414" i="59"/>
  <c r="Q412" i="59"/>
  <c r="Q411" i="59"/>
  <c r="Q409" i="59"/>
  <c r="Q407" i="59"/>
  <c r="Q406" i="59"/>
  <c r="Q404" i="59"/>
  <c r="Q403" i="59"/>
  <c r="Q401" i="59"/>
  <c r="Q400" i="59"/>
  <c r="Q398" i="59"/>
  <c r="Q396" i="59"/>
  <c r="Q395" i="59"/>
  <c r="Q393" i="59"/>
  <c r="Q392" i="59"/>
  <c r="Q390" i="59"/>
  <c r="Q389" i="59"/>
  <c r="Q387" i="59"/>
  <c r="Q385" i="59"/>
  <c r="Q384" i="59"/>
  <c r="Q382" i="59"/>
  <c r="Q381" i="59"/>
  <c r="Q379" i="59"/>
  <c r="Q378" i="59"/>
  <c r="Q376" i="59"/>
  <c r="Q374" i="59"/>
  <c r="Q373" i="59"/>
  <c r="Q371" i="59"/>
  <c r="Q370" i="59"/>
  <c r="Q368" i="59"/>
  <c r="Q367" i="59"/>
  <c r="Q365" i="59"/>
  <c r="Q363" i="59"/>
  <c r="Q362" i="59"/>
  <c r="Q360" i="59"/>
  <c r="Q359" i="59"/>
  <c r="Q357" i="59"/>
  <c r="Q356" i="59"/>
  <c r="Q354" i="59"/>
  <c r="Q352" i="59"/>
  <c r="Q351" i="59"/>
  <c r="Q349" i="59"/>
  <c r="Q348" i="59"/>
  <c r="Q346" i="59"/>
  <c r="Q345" i="59"/>
  <c r="Q343" i="59"/>
  <c r="Q341" i="59"/>
  <c r="Q340" i="59"/>
  <c r="Q338" i="59"/>
  <c r="Q337" i="59"/>
  <c r="Q335" i="59"/>
  <c r="Q334" i="59"/>
  <c r="Q332" i="59"/>
  <c r="Q330" i="59"/>
  <c r="Q329" i="59"/>
  <c r="Q327" i="59"/>
  <c r="Q326" i="59"/>
  <c r="Q324" i="59"/>
  <c r="Q323" i="59"/>
  <c r="Q321" i="59"/>
  <c r="Q319" i="59"/>
  <c r="Q318" i="59"/>
  <c r="Q316" i="59"/>
  <c r="Q315" i="59"/>
  <c r="Q313" i="59"/>
  <c r="Q312" i="59"/>
  <c r="Q310" i="59"/>
  <c r="Q308" i="59"/>
  <c r="Q307" i="59"/>
  <c r="Q305" i="59"/>
  <c r="Q304" i="59"/>
  <c r="Q302" i="59"/>
  <c r="Q301" i="59"/>
  <c r="Q299" i="59"/>
  <c r="Q297" i="59"/>
  <c r="Q296" i="59"/>
  <c r="Q294" i="59"/>
  <c r="Q293" i="59"/>
  <c r="Q291" i="59"/>
  <c r="Q290" i="59"/>
  <c r="Q288" i="59"/>
  <c r="Q286" i="59"/>
  <c r="Q285" i="59"/>
  <c r="Q283" i="59"/>
  <c r="Q282" i="59"/>
  <c r="Q280" i="59"/>
  <c r="Q279" i="59"/>
  <c r="Q277" i="59"/>
  <c r="Q275" i="59"/>
  <c r="Q274" i="59"/>
  <c r="Q272" i="59"/>
  <c r="Q271" i="59"/>
  <c r="Q236" i="59"/>
  <c r="Q235" i="59"/>
  <c r="Q233" i="59"/>
  <c r="Q231" i="59"/>
  <c r="Q230" i="59"/>
  <c r="Q228" i="59"/>
  <c r="Q227" i="59"/>
  <c r="Q225" i="59"/>
  <c r="Q224" i="59"/>
  <c r="Q222" i="59"/>
  <c r="Q220" i="59"/>
  <c r="Q219" i="59"/>
  <c r="Q217" i="59"/>
  <c r="Q216" i="59"/>
  <c r="Q214" i="59"/>
  <c r="Q213" i="59"/>
  <c r="Q211" i="59"/>
  <c r="Q209" i="59"/>
  <c r="Q208" i="59"/>
  <c r="Q206" i="59"/>
  <c r="Q205" i="59"/>
  <c r="Q203" i="59"/>
  <c r="Q202" i="59"/>
  <c r="Q200" i="59"/>
  <c r="Q198" i="59"/>
  <c r="Q197" i="59"/>
  <c r="Q195" i="59"/>
  <c r="Q194" i="59"/>
  <c r="Q192" i="59"/>
  <c r="Q191" i="59"/>
  <c r="Q189" i="59"/>
  <c r="Q187" i="59"/>
  <c r="Q186" i="59"/>
  <c r="Q184" i="59"/>
  <c r="Q183" i="59"/>
  <c r="Q181" i="59"/>
  <c r="Q180" i="59"/>
  <c r="Q178" i="59"/>
  <c r="Q176" i="59"/>
  <c r="Q175" i="59"/>
  <c r="Q173" i="59"/>
  <c r="Q172" i="59"/>
  <c r="Q170" i="59"/>
  <c r="Q169" i="59"/>
  <c r="Q167" i="59"/>
  <c r="Q165" i="59"/>
  <c r="Q164" i="59"/>
  <c r="Q162" i="59"/>
  <c r="Q161" i="59"/>
  <c r="Q159" i="59"/>
  <c r="Q158" i="59"/>
  <c r="Q156" i="59"/>
  <c r="Q154" i="59"/>
  <c r="Q153" i="59"/>
  <c r="Q151" i="59"/>
  <c r="Q150" i="59"/>
  <c r="Q148" i="59"/>
  <c r="Q147" i="59"/>
  <c r="Q145" i="59"/>
  <c r="Q143" i="59"/>
  <c r="Q142" i="59"/>
  <c r="Q140" i="59"/>
  <c r="Q139" i="59"/>
  <c r="Q137" i="59"/>
  <c r="Q136" i="59"/>
  <c r="Q134" i="59"/>
  <c r="Q132" i="59"/>
  <c r="Q131" i="59"/>
  <c r="Q129" i="59"/>
  <c r="Q128" i="59"/>
  <c r="Q126" i="59"/>
  <c r="Q125" i="59"/>
  <c r="Q123" i="59"/>
  <c r="Q121" i="59"/>
  <c r="Q120" i="59"/>
  <c r="Q118" i="59"/>
  <c r="Q117" i="59"/>
  <c r="Q115" i="59"/>
  <c r="Q114" i="59"/>
  <c r="Q112" i="59"/>
  <c r="Q110" i="59"/>
  <c r="Q109" i="59"/>
  <c r="Q107" i="59"/>
  <c r="Q106" i="59"/>
  <c r="Q104" i="59"/>
  <c r="Q103" i="59"/>
  <c r="Q101" i="59"/>
  <c r="Q99" i="59"/>
  <c r="Q98" i="59"/>
  <c r="Q96" i="59"/>
  <c r="Q95" i="59"/>
  <c r="Q93" i="59"/>
  <c r="Q92" i="59"/>
  <c r="Q90" i="59"/>
  <c r="Q88" i="59"/>
  <c r="Q87" i="59"/>
  <c r="Q85" i="59"/>
  <c r="Q84" i="59"/>
  <c r="Q82" i="59"/>
  <c r="Q81" i="59"/>
  <c r="Q79" i="59"/>
  <c r="Q77" i="59"/>
  <c r="Q76" i="59"/>
  <c r="Q74" i="59"/>
  <c r="Q73" i="59"/>
  <c r="Q71" i="59"/>
  <c r="Q70" i="59"/>
  <c r="Q68" i="59"/>
  <c r="Q66" i="59"/>
  <c r="Q65" i="59"/>
  <c r="Q63" i="59"/>
  <c r="Q62" i="59"/>
  <c r="Q60" i="59"/>
  <c r="Q59" i="59"/>
  <c r="Q57" i="59"/>
  <c r="Q55" i="59"/>
  <c r="Q54" i="59"/>
  <c r="Q52" i="59"/>
  <c r="Q51" i="59"/>
  <c r="Q49" i="59"/>
  <c r="Q48" i="59"/>
  <c r="Q46" i="59"/>
  <c r="Q44" i="59"/>
  <c r="Q43" i="59"/>
  <c r="Q41" i="59"/>
  <c r="Q40" i="59"/>
  <c r="Q38" i="59"/>
  <c r="Q37" i="59"/>
  <c r="Q35" i="59"/>
  <c r="Q33" i="59"/>
  <c r="Q32" i="59"/>
  <c r="Q30" i="59"/>
  <c r="Q29" i="59"/>
  <c r="U434" i="60"/>
  <c r="Q434" i="60"/>
  <c r="L434" i="60"/>
  <c r="H434" i="60"/>
  <c r="U433" i="60"/>
  <c r="Q433" i="60"/>
  <c r="L433" i="60"/>
  <c r="H433" i="60"/>
  <c r="L432" i="60"/>
  <c r="H432" i="60"/>
  <c r="U431" i="60"/>
  <c r="Q431" i="60"/>
  <c r="L431" i="60"/>
  <c r="H431" i="60"/>
  <c r="L430" i="60"/>
  <c r="H430" i="60"/>
  <c r="U429" i="60"/>
  <c r="Q429" i="60"/>
  <c r="L429" i="60"/>
  <c r="H429" i="60"/>
  <c r="U428" i="60"/>
  <c r="Q428" i="60"/>
  <c r="I428" i="60"/>
  <c r="H428" i="60"/>
  <c r="I427" i="60"/>
  <c r="H427" i="60"/>
  <c r="U426" i="60"/>
  <c r="Q426" i="60"/>
  <c r="L426" i="60"/>
  <c r="H426" i="60"/>
  <c r="U425" i="60"/>
  <c r="Q425" i="60"/>
  <c r="U423" i="60"/>
  <c r="Q423" i="60"/>
  <c r="L423" i="60"/>
  <c r="H423" i="60"/>
  <c r="U422" i="60"/>
  <c r="Q422" i="60"/>
  <c r="L422" i="60"/>
  <c r="H422" i="60"/>
  <c r="L421" i="60"/>
  <c r="H421" i="60"/>
  <c r="U420" i="60"/>
  <c r="Q420" i="60"/>
  <c r="L420" i="60"/>
  <c r="H420" i="60"/>
  <c r="L419" i="60"/>
  <c r="H419" i="60"/>
  <c r="U418" i="60"/>
  <c r="Q418" i="60"/>
  <c r="L418" i="60"/>
  <c r="H418" i="60"/>
  <c r="U417" i="60"/>
  <c r="Q417" i="60"/>
  <c r="I417" i="60"/>
  <c r="H417" i="60"/>
  <c r="I416" i="60"/>
  <c r="H416" i="60"/>
  <c r="U415" i="60"/>
  <c r="Q415" i="60"/>
  <c r="L415" i="60"/>
  <c r="H415" i="60"/>
  <c r="U414" i="60"/>
  <c r="Q414" i="60"/>
  <c r="U412" i="60"/>
  <c r="Q412" i="60"/>
  <c r="L412" i="60"/>
  <c r="H412" i="60"/>
  <c r="U411" i="60"/>
  <c r="Q411" i="60"/>
  <c r="L411" i="60"/>
  <c r="H411" i="60"/>
  <c r="L410" i="60"/>
  <c r="H410" i="60"/>
  <c r="U409" i="60"/>
  <c r="Q409" i="60"/>
  <c r="L409" i="60"/>
  <c r="H409" i="60"/>
  <c r="L408" i="60"/>
  <c r="H408" i="60"/>
  <c r="U407" i="60"/>
  <c r="Q407" i="60"/>
  <c r="L407" i="60"/>
  <c r="H407" i="60"/>
  <c r="U406" i="60"/>
  <c r="Q406" i="60"/>
  <c r="I406" i="60"/>
  <c r="H406" i="60"/>
  <c r="I405" i="60"/>
  <c r="H405" i="60"/>
  <c r="U404" i="60"/>
  <c r="Q404" i="60"/>
  <c r="L404" i="60"/>
  <c r="H404" i="60"/>
  <c r="U403" i="60"/>
  <c r="Q403" i="60"/>
  <c r="U401" i="60"/>
  <c r="Q401" i="60"/>
  <c r="L401" i="60"/>
  <c r="H401" i="60"/>
  <c r="U400" i="60"/>
  <c r="Q400" i="60"/>
  <c r="L400" i="60"/>
  <c r="H400" i="60"/>
  <c r="L399" i="60"/>
  <c r="H399" i="60"/>
  <c r="U398" i="60"/>
  <c r="Q398" i="60"/>
  <c r="L398" i="60"/>
  <c r="H398" i="60"/>
  <c r="L397" i="60"/>
  <c r="H397" i="60"/>
  <c r="U396" i="60"/>
  <c r="Q396" i="60"/>
  <c r="L396" i="60"/>
  <c r="H396" i="60"/>
  <c r="U395" i="60"/>
  <c r="Q395" i="60"/>
  <c r="I395" i="60"/>
  <c r="H395" i="60"/>
  <c r="I394" i="60"/>
  <c r="H394" i="60"/>
  <c r="U393" i="60"/>
  <c r="Q393" i="60"/>
  <c r="L393" i="60"/>
  <c r="H393" i="60"/>
  <c r="U392" i="60"/>
  <c r="Q392" i="60"/>
  <c r="U390" i="60"/>
  <c r="Q390" i="60"/>
  <c r="L390" i="60"/>
  <c r="H390" i="60"/>
  <c r="U389" i="60"/>
  <c r="Q389" i="60"/>
  <c r="L389" i="60"/>
  <c r="H389" i="60"/>
  <c r="L388" i="60"/>
  <c r="H388" i="60"/>
  <c r="U387" i="60"/>
  <c r="Q387" i="60"/>
  <c r="L387" i="60"/>
  <c r="H387" i="60"/>
  <c r="L386" i="60"/>
  <c r="H386" i="60"/>
  <c r="U385" i="60"/>
  <c r="Q385" i="60"/>
  <c r="L385" i="60"/>
  <c r="H385" i="60"/>
  <c r="U384" i="60"/>
  <c r="Q384" i="60"/>
  <c r="I384" i="60"/>
  <c r="H384" i="60"/>
  <c r="I383" i="60"/>
  <c r="H383" i="60"/>
  <c r="U382" i="60"/>
  <c r="Q382" i="60"/>
  <c r="L382" i="60"/>
  <c r="H382" i="60"/>
  <c r="U381" i="60"/>
  <c r="Q381" i="60"/>
  <c r="U379" i="60"/>
  <c r="Q379" i="60"/>
  <c r="L379" i="60"/>
  <c r="H379" i="60"/>
  <c r="U378" i="60"/>
  <c r="Q378" i="60"/>
  <c r="L378" i="60"/>
  <c r="H378" i="60"/>
  <c r="L377" i="60"/>
  <c r="H377" i="60"/>
  <c r="U376" i="60"/>
  <c r="Q376" i="60"/>
  <c r="L376" i="60"/>
  <c r="H376" i="60"/>
  <c r="L375" i="60"/>
  <c r="H375" i="60"/>
  <c r="U374" i="60"/>
  <c r="Q374" i="60"/>
  <c r="L374" i="60"/>
  <c r="H374" i="60"/>
  <c r="U373" i="60"/>
  <c r="Q373" i="60"/>
  <c r="I373" i="60"/>
  <c r="H373" i="60"/>
  <c r="I372" i="60"/>
  <c r="H372" i="60"/>
  <c r="U371" i="60"/>
  <c r="Q371" i="60"/>
  <c r="L371" i="60"/>
  <c r="H371" i="60"/>
  <c r="U370" i="60"/>
  <c r="Q370" i="60"/>
  <c r="U368" i="60"/>
  <c r="Q368" i="60"/>
  <c r="L368" i="60"/>
  <c r="H368" i="60"/>
  <c r="U367" i="60"/>
  <c r="Q367" i="60"/>
  <c r="L367" i="60"/>
  <c r="H367" i="60"/>
  <c r="L366" i="60"/>
  <c r="H366" i="60"/>
  <c r="U365" i="60"/>
  <c r="Q365" i="60"/>
  <c r="L365" i="60"/>
  <c r="H365" i="60"/>
  <c r="L364" i="60"/>
  <c r="H364" i="60"/>
  <c r="U363" i="60"/>
  <c r="Q363" i="60"/>
  <c r="L363" i="60"/>
  <c r="H363" i="60"/>
  <c r="U362" i="60"/>
  <c r="Q362" i="60"/>
  <c r="I362" i="60"/>
  <c r="H362" i="60"/>
  <c r="I361" i="60"/>
  <c r="H361" i="60"/>
  <c r="U360" i="60"/>
  <c r="Q360" i="60"/>
  <c r="L360" i="60"/>
  <c r="H360" i="60"/>
  <c r="U359" i="60"/>
  <c r="Q359" i="60"/>
  <c r="U357" i="60"/>
  <c r="Q357" i="60"/>
  <c r="L357" i="60"/>
  <c r="H357" i="60"/>
  <c r="U356" i="60"/>
  <c r="Q356" i="60"/>
  <c r="L356" i="60"/>
  <c r="H356" i="60"/>
  <c r="L355" i="60"/>
  <c r="H355" i="60"/>
  <c r="U354" i="60"/>
  <c r="Q354" i="60"/>
  <c r="L354" i="60"/>
  <c r="H354" i="60"/>
  <c r="L353" i="60"/>
  <c r="H353" i="60"/>
  <c r="U352" i="60"/>
  <c r="Q352" i="60"/>
  <c r="L352" i="60"/>
  <c r="H352" i="60"/>
  <c r="U351" i="60"/>
  <c r="Q351" i="60"/>
  <c r="I351" i="60"/>
  <c r="H351" i="60"/>
  <c r="I350" i="60"/>
  <c r="H350" i="60"/>
  <c r="U349" i="60"/>
  <c r="Q349" i="60"/>
  <c r="L349" i="60"/>
  <c r="H349" i="60"/>
  <c r="U348" i="60"/>
  <c r="Q348" i="60"/>
  <c r="U346" i="60"/>
  <c r="Q346" i="60"/>
  <c r="L346" i="60"/>
  <c r="H346" i="60"/>
  <c r="U345" i="60"/>
  <c r="Q345" i="60"/>
  <c r="L345" i="60"/>
  <c r="H345" i="60"/>
  <c r="L344" i="60"/>
  <c r="H344" i="60"/>
  <c r="U343" i="60"/>
  <c r="Q343" i="60"/>
  <c r="L343" i="60"/>
  <c r="H343" i="60"/>
  <c r="L342" i="60"/>
  <c r="H342" i="60"/>
  <c r="U341" i="60"/>
  <c r="Q341" i="60"/>
  <c r="L341" i="60"/>
  <c r="H341" i="60"/>
  <c r="U340" i="60"/>
  <c r="Q340" i="60"/>
  <c r="I340" i="60"/>
  <c r="H340" i="60"/>
  <c r="I339" i="60"/>
  <c r="H339" i="60"/>
  <c r="U338" i="60"/>
  <c r="Q338" i="60"/>
  <c r="L338" i="60"/>
  <c r="H338" i="60"/>
  <c r="U337" i="60"/>
  <c r="Q337" i="60"/>
  <c r="U335" i="60"/>
  <c r="Q335" i="60"/>
  <c r="L335" i="60"/>
  <c r="H335" i="60"/>
  <c r="U334" i="60"/>
  <c r="Q334" i="60"/>
  <c r="L334" i="60"/>
  <c r="H334" i="60"/>
  <c r="L333" i="60"/>
  <c r="H333" i="60"/>
  <c r="U332" i="60"/>
  <c r="Q332" i="60"/>
  <c r="L332" i="60"/>
  <c r="H332" i="60"/>
  <c r="L331" i="60"/>
  <c r="H331" i="60"/>
  <c r="U330" i="60"/>
  <c r="Q330" i="60"/>
  <c r="L330" i="60"/>
  <c r="H330" i="60"/>
  <c r="U329" i="60"/>
  <c r="Q329" i="60"/>
  <c r="I329" i="60"/>
  <c r="H329" i="60"/>
  <c r="I328" i="60"/>
  <c r="H328" i="60"/>
  <c r="U327" i="60"/>
  <c r="Q327" i="60"/>
  <c r="L327" i="60"/>
  <c r="H327" i="60"/>
  <c r="U326" i="60"/>
  <c r="Q326" i="60"/>
  <c r="U324" i="60"/>
  <c r="Q324" i="60"/>
  <c r="L324" i="60"/>
  <c r="H324" i="60"/>
  <c r="U323" i="60"/>
  <c r="Q323" i="60"/>
  <c r="L323" i="60"/>
  <c r="H323" i="60"/>
  <c r="L322" i="60"/>
  <c r="H322" i="60"/>
  <c r="U321" i="60"/>
  <c r="Q321" i="60"/>
  <c r="L321" i="60"/>
  <c r="H321" i="60"/>
  <c r="L320" i="60"/>
  <c r="H320" i="60"/>
  <c r="U319" i="60"/>
  <c r="Q319" i="60"/>
  <c r="L319" i="60"/>
  <c r="H319" i="60"/>
  <c r="U318" i="60"/>
  <c r="Q318" i="60"/>
  <c r="I318" i="60"/>
  <c r="H318" i="60"/>
  <c r="I317" i="60"/>
  <c r="H317" i="60"/>
  <c r="U316" i="60"/>
  <c r="Q316" i="60"/>
  <c r="L316" i="60"/>
  <c r="H316" i="60"/>
  <c r="U315" i="60"/>
  <c r="Q315" i="60"/>
  <c r="U313" i="60"/>
  <c r="Q313" i="60"/>
  <c r="L313" i="60"/>
  <c r="H313" i="60"/>
  <c r="U312" i="60"/>
  <c r="Q312" i="60"/>
  <c r="L312" i="60"/>
  <c r="H312" i="60"/>
  <c r="L311" i="60"/>
  <c r="H311" i="60"/>
  <c r="U310" i="60"/>
  <c r="Q310" i="60"/>
  <c r="L310" i="60"/>
  <c r="H310" i="60"/>
  <c r="L309" i="60"/>
  <c r="H309" i="60"/>
  <c r="U308" i="60"/>
  <c r="Q308" i="60"/>
  <c r="L308" i="60"/>
  <c r="H308" i="60"/>
  <c r="U307" i="60"/>
  <c r="Q307" i="60"/>
  <c r="I307" i="60"/>
  <c r="H307" i="60"/>
  <c r="I306" i="60"/>
  <c r="H306" i="60"/>
  <c r="U305" i="60"/>
  <c r="Q305" i="60"/>
  <c r="L305" i="60"/>
  <c r="H305" i="60"/>
  <c r="U304" i="60"/>
  <c r="Q304" i="60"/>
  <c r="U302" i="60"/>
  <c r="Q302" i="60"/>
  <c r="L302" i="60"/>
  <c r="H302" i="60"/>
  <c r="U301" i="60"/>
  <c r="Q301" i="60"/>
  <c r="L301" i="60"/>
  <c r="H301" i="60"/>
  <c r="L300" i="60"/>
  <c r="H300" i="60"/>
  <c r="U299" i="60"/>
  <c r="Q299" i="60"/>
  <c r="L299" i="60"/>
  <c r="H299" i="60"/>
  <c r="L298" i="60"/>
  <c r="H298" i="60"/>
  <c r="U297" i="60"/>
  <c r="Q297" i="60"/>
  <c r="L297" i="60"/>
  <c r="H297" i="60"/>
  <c r="U296" i="60"/>
  <c r="Q296" i="60"/>
  <c r="I296" i="60"/>
  <c r="H296" i="60"/>
  <c r="I295" i="60"/>
  <c r="H295" i="60"/>
  <c r="U294" i="60"/>
  <c r="Q294" i="60"/>
  <c r="L294" i="60"/>
  <c r="H294" i="60"/>
  <c r="U293" i="60"/>
  <c r="Q293" i="60"/>
  <c r="U291" i="60"/>
  <c r="Q291" i="60"/>
  <c r="L291" i="60"/>
  <c r="H291" i="60"/>
  <c r="U290" i="60"/>
  <c r="Q290" i="60"/>
  <c r="L290" i="60"/>
  <c r="H290" i="60"/>
  <c r="L289" i="60"/>
  <c r="H289" i="60"/>
  <c r="U288" i="60"/>
  <c r="Q288" i="60"/>
  <c r="L288" i="60"/>
  <c r="H288" i="60"/>
  <c r="L287" i="60"/>
  <c r="H287" i="60"/>
  <c r="U286" i="60"/>
  <c r="Q286" i="60"/>
  <c r="L286" i="60"/>
  <c r="H286" i="60"/>
  <c r="U285" i="60"/>
  <c r="Q285" i="60"/>
  <c r="I285" i="60"/>
  <c r="H285" i="60"/>
  <c r="I284" i="60"/>
  <c r="H284" i="60"/>
  <c r="U283" i="60"/>
  <c r="Q283" i="60"/>
  <c r="L283" i="60"/>
  <c r="H283" i="60"/>
  <c r="U282" i="60"/>
  <c r="Q282" i="60"/>
  <c r="U280" i="60"/>
  <c r="Q280" i="60"/>
  <c r="L280" i="60"/>
  <c r="H280" i="60"/>
  <c r="U279" i="60"/>
  <c r="Q279" i="60"/>
  <c r="L279" i="60"/>
  <c r="H279" i="60"/>
  <c r="L278" i="60"/>
  <c r="H278" i="60"/>
  <c r="U277" i="60"/>
  <c r="Q277" i="60"/>
  <c r="L277" i="60"/>
  <c r="H277" i="60"/>
  <c r="L276" i="60"/>
  <c r="H276" i="60"/>
  <c r="U275" i="60"/>
  <c r="Q275" i="60"/>
  <c r="L275" i="60"/>
  <c r="H275" i="60"/>
  <c r="U274" i="60"/>
  <c r="Q274" i="60"/>
  <c r="I274" i="60"/>
  <c r="H274" i="60"/>
  <c r="I273" i="60"/>
  <c r="H273" i="60"/>
  <c r="U272" i="60"/>
  <c r="Q272" i="60"/>
  <c r="L272" i="60"/>
  <c r="H272" i="60"/>
  <c r="U271" i="60"/>
  <c r="Q271" i="60"/>
  <c r="U269" i="60"/>
  <c r="Q269" i="60"/>
  <c r="L269" i="60"/>
  <c r="H269" i="60"/>
  <c r="U268" i="60"/>
  <c r="Q268" i="60"/>
  <c r="L268" i="60"/>
  <c r="H268" i="60"/>
  <c r="L267" i="60"/>
  <c r="H267" i="60"/>
  <c r="U266" i="60"/>
  <c r="Q266" i="60"/>
  <c r="L266" i="60"/>
  <c r="H266" i="60"/>
  <c r="L265" i="60"/>
  <c r="H265" i="60"/>
  <c r="U264" i="60"/>
  <c r="Q264" i="60"/>
  <c r="L264" i="60"/>
  <c r="H264" i="60"/>
  <c r="U263" i="60"/>
  <c r="Q263" i="60"/>
  <c r="I263" i="60"/>
  <c r="H263" i="60"/>
  <c r="I262" i="60"/>
  <c r="H262" i="60"/>
  <c r="U261" i="60"/>
  <c r="Q261" i="60"/>
  <c r="L261" i="60"/>
  <c r="H261" i="60"/>
  <c r="U260" i="60"/>
  <c r="Q260" i="60"/>
  <c r="U258" i="60"/>
  <c r="Q258" i="60"/>
  <c r="L258" i="60"/>
  <c r="H258" i="60"/>
  <c r="U257" i="60"/>
  <c r="Q257" i="60"/>
  <c r="L257" i="60"/>
  <c r="H257" i="60"/>
  <c r="L256" i="60"/>
  <c r="H256" i="60"/>
  <c r="U255" i="60"/>
  <c r="Q255" i="60"/>
  <c r="L255" i="60"/>
  <c r="H255" i="60"/>
  <c r="L254" i="60"/>
  <c r="H254" i="60"/>
  <c r="U253" i="60"/>
  <c r="Q253" i="60"/>
  <c r="L253" i="60"/>
  <c r="H253" i="60"/>
  <c r="U252" i="60"/>
  <c r="Q252" i="60"/>
  <c r="I252" i="60"/>
  <c r="H252" i="60"/>
  <c r="I251" i="60"/>
  <c r="H251" i="60"/>
  <c r="U250" i="60"/>
  <c r="Q250" i="60"/>
  <c r="L250" i="60"/>
  <c r="H250" i="60"/>
  <c r="U249" i="60"/>
  <c r="Q249" i="60"/>
  <c r="U247" i="60"/>
  <c r="Q247" i="60"/>
  <c r="L247" i="60"/>
  <c r="H247" i="60"/>
  <c r="U246" i="60"/>
  <c r="Q246" i="60"/>
  <c r="L246" i="60"/>
  <c r="H246" i="60"/>
  <c r="L245" i="60"/>
  <c r="H245" i="60"/>
  <c r="U244" i="60"/>
  <c r="Q244" i="60"/>
  <c r="L244" i="60"/>
  <c r="H244" i="60"/>
  <c r="L243" i="60"/>
  <c r="H243" i="60"/>
  <c r="U242" i="60"/>
  <c r="Q242" i="60"/>
  <c r="L242" i="60"/>
  <c r="H242" i="60"/>
  <c r="U241" i="60"/>
  <c r="Q241" i="60"/>
  <c r="I241" i="60"/>
  <c r="H241" i="60"/>
  <c r="I240" i="60"/>
  <c r="H240" i="60"/>
  <c r="U239" i="60"/>
  <c r="Q239" i="60"/>
  <c r="L239" i="60"/>
  <c r="H239" i="60"/>
  <c r="U238" i="60"/>
  <c r="Q238" i="60"/>
  <c r="U236" i="60"/>
  <c r="Q236" i="60"/>
  <c r="L236" i="60"/>
  <c r="H236" i="60"/>
  <c r="U235" i="60"/>
  <c r="Q235" i="60"/>
  <c r="L235" i="60"/>
  <c r="H235" i="60"/>
  <c r="L234" i="60"/>
  <c r="H234" i="60"/>
  <c r="U233" i="60"/>
  <c r="Q233" i="60"/>
  <c r="L233" i="60"/>
  <c r="H233" i="60"/>
  <c r="L232" i="60"/>
  <c r="H232" i="60"/>
  <c r="U231" i="60"/>
  <c r="Q231" i="60"/>
  <c r="L231" i="60"/>
  <c r="H231" i="60"/>
  <c r="U230" i="60"/>
  <c r="Q230" i="60"/>
  <c r="I230" i="60"/>
  <c r="H230" i="60"/>
  <c r="I229" i="60"/>
  <c r="H229" i="60"/>
  <c r="U228" i="60"/>
  <c r="Q228" i="60"/>
  <c r="L228" i="60"/>
  <c r="H228" i="60"/>
  <c r="U227" i="60"/>
  <c r="Q227" i="60"/>
  <c r="U225" i="60"/>
  <c r="Q225" i="60"/>
  <c r="L225" i="60"/>
  <c r="H225" i="60"/>
  <c r="U224" i="60"/>
  <c r="Q224" i="60"/>
  <c r="L224" i="60"/>
  <c r="H224" i="60"/>
  <c r="L223" i="60"/>
  <c r="H223" i="60"/>
  <c r="U222" i="60"/>
  <c r="Q222" i="60"/>
  <c r="L222" i="60"/>
  <c r="H222" i="60"/>
  <c r="L221" i="60"/>
  <c r="H221" i="60"/>
  <c r="U220" i="60"/>
  <c r="Q220" i="60"/>
  <c r="L220" i="60"/>
  <c r="H220" i="60"/>
  <c r="U219" i="60"/>
  <c r="Q219" i="60"/>
  <c r="I219" i="60"/>
  <c r="H219" i="60"/>
  <c r="I218" i="60"/>
  <c r="H218" i="60"/>
  <c r="U217" i="60"/>
  <c r="Q217" i="60"/>
  <c r="L217" i="60"/>
  <c r="H217" i="60"/>
  <c r="U216" i="60"/>
  <c r="Q216" i="60"/>
  <c r="U214" i="60"/>
  <c r="Q214" i="60"/>
  <c r="L214" i="60"/>
  <c r="H214" i="60"/>
  <c r="U213" i="60"/>
  <c r="Q213" i="60"/>
  <c r="L213" i="60"/>
  <c r="H213" i="60"/>
  <c r="L212" i="60"/>
  <c r="H212" i="60"/>
  <c r="U211" i="60"/>
  <c r="Q211" i="60"/>
  <c r="L211" i="60"/>
  <c r="H211" i="60"/>
  <c r="L210" i="60"/>
  <c r="H210" i="60"/>
  <c r="U209" i="60"/>
  <c r="Q209" i="60"/>
  <c r="L209" i="60"/>
  <c r="H209" i="60"/>
  <c r="U208" i="60"/>
  <c r="Q208" i="60"/>
  <c r="I208" i="60"/>
  <c r="H208" i="60"/>
  <c r="I207" i="60"/>
  <c r="H207" i="60"/>
  <c r="U206" i="60"/>
  <c r="Q206" i="60"/>
  <c r="L206" i="60"/>
  <c r="H206" i="60"/>
  <c r="U205" i="60"/>
  <c r="Q205" i="60"/>
  <c r="U203" i="60"/>
  <c r="Q203" i="60"/>
  <c r="L203" i="60"/>
  <c r="H203" i="60"/>
  <c r="U202" i="60"/>
  <c r="Q202" i="60"/>
  <c r="L202" i="60"/>
  <c r="H202" i="60"/>
  <c r="L201" i="60"/>
  <c r="H201" i="60"/>
  <c r="U200" i="60"/>
  <c r="Q200" i="60"/>
  <c r="L200" i="60"/>
  <c r="H200" i="60"/>
  <c r="L199" i="60"/>
  <c r="H199" i="60"/>
  <c r="U198" i="60"/>
  <c r="Q198" i="60"/>
  <c r="L198" i="60"/>
  <c r="H198" i="60"/>
  <c r="U197" i="60"/>
  <c r="Q197" i="60"/>
  <c r="I197" i="60"/>
  <c r="H197" i="60"/>
  <c r="I196" i="60"/>
  <c r="H196" i="60"/>
  <c r="U195" i="60"/>
  <c r="Q195" i="60"/>
  <c r="L195" i="60"/>
  <c r="H195" i="60"/>
  <c r="U194" i="60"/>
  <c r="Q194" i="60"/>
  <c r="U192" i="60"/>
  <c r="Q192" i="60"/>
  <c r="L192" i="60"/>
  <c r="H192" i="60"/>
  <c r="U191" i="60"/>
  <c r="Q191" i="60"/>
  <c r="L191" i="60"/>
  <c r="H191" i="60"/>
  <c r="L190" i="60"/>
  <c r="H190" i="60"/>
  <c r="U189" i="60"/>
  <c r="Q189" i="60"/>
  <c r="L189" i="60"/>
  <c r="H189" i="60"/>
  <c r="L188" i="60"/>
  <c r="H188" i="60"/>
  <c r="U187" i="60"/>
  <c r="Q187" i="60"/>
  <c r="L187" i="60"/>
  <c r="H187" i="60"/>
  <c r="U186" i="60"/>
  <c r="Q186" i="60"/>
  <c r="I186" i="60"/>
  <c r="H186" i="60"/>
  <c r="I185" i="60"/>
  <c r="H185" i="60"/>
  <c r="U184" i="60"/>
  <c r="Q184" i="60"/>
  <c r="L184" i="60"/>
  <c r="H184" i="60"/>
  <c r="U183" i="60"/>
  <c r="Q183" i="60"/>
  <c r="U181" i="60"/>
  <c r="Q181" i="60"/>
  <c r="L181" i="60"/>
  <c r="H181" i="60"/>
  <c r="U180" i="60"/>
  <c r="Q180" i="60"/>
  <c r="L180" i="60"/>
  <c r="H180" i="60"/>
  <c r="L179" i="60"/>
  <c r="H179" i="60"/>
  <c r="U178" i="60"/>
  <c r="Q178" i="60"/>
  <c r="L178" i="60"/>
  <c r="H178" i="60"/>
  <c r="L177" i="60"/>
  <c r="H177" i="60"/>
  <c r="U176" i="60"/>
  <c r="Q176" i="60"/>
  <c r="L176" i="60"/>
  <c r="H176" i="60"/>
  <c r="U175" i="60"/>
  <c r="Q175" i="60"/>
  <c r="I175" i="60"/>
  <c r="H175" i="60"/>
  <c r="I174" i="60"/>
  <c r="H174" i="60"/>
  <c r="U173" i="60"/>
  <c r="Q173" i="60"/>
  <c r="L173" i="60"/>
  <c r="H173" i="60"/>
  <c r="U172" i="60"/>
  <c r="Q172" i="60"/>
  <c r="U170" i="60"/>
  <c r="Q170" i="60"/>
  <c r="L170" i="60"/>
  <c r="H170" i="60"/>
  <c r="U169" i="60"/>
  <c r="Q169" i="60"/>
  <c r="L169" i="60"/>
  <c r="H169" i="60"/>
  <c r="L168" i="60"/>
  <c r="H168" i="60"/>
  <c r="U167" i="60"/>
  <c r="Q167" i="60"/>
  <c r="L167" i="60"/>
  <c r="H167" i="60"/>
  <c r="L166" i="60"/>
  <c r="H166" i="60"/>
  <c r="U165" i="60"/>
  <c r="Q165" i="60"/>
  <c r="L165" i="60"/>
  <c r="H165" i="60"/>
  <c r="U164" i="60"/>
  <c r="Q164" i="60"/>
  <c r="I164" i="60"/>
  <c r="H164" i="60"/>
  <c r="I163" i="60"/>
  <c r="H163" i="60"/>
  <c r="U162" i="60"/>
  <c r="Q162" i="60"/>
  <c r="L162" i="60"/>
  <c r="H162" i="60"/>
  <c r="U161" i="60"/>
  <c r="Q161" i="60"/>
  <c r="U159" i="60"/>
  <c r="Q159" i="60"/>
  <c r="L159" i="60"/>
  <c r="H159" i="60"/>
  <c r="U158" i="60"/>
  <c r="Q158" i="60"/>
  <c r="L158" i="60"/>
  <c r="H158" i="60"/>
  <c r="L157" i="60"/>
  <c r="H157" i="60"/>
  <c r="U156" i="60"/>
  <c r="Q156" i="60"/>
  <c r="L156" i="60"/>
  <c r="H156" i="60"/>
  <c r="L155" i="60"/>
  <c r="H155" i="60"/>
  <c r="U154" i="60"/>
  <c r="Q154" i="60"/>
  <c r="L154" i="60"/>
  <c r="H154" i="60"/>
  <c r="U153" i="60"/>
  <c r="Q153" i="60"/>
  <c r="I153" i="60"/>
  <c r="H153" i="60"/>
  <c r="I152" i="60"/>
  <c r="H152" i="60"/>
  <c r="U151" i="60"/>
  <c r="Q151" i="60"/>
  <c r="L151" i="60"/>
  <c r="H151" i="60"/>
  <c r="U150" i="60"/>
  <c r="Q150" i="60"/>
  <c r="U148" i="60"/>
  <c r="Q148" i="60"/>
  <c r="L148" i="60"/>
  <c r="H148" i="60"/>
  <c r="U147" i="60"/>
  <c r="Q147" i="60"/>
  <c r="L147" i="60"/>
  <c r="H147" i="60"/>
  <c r="L146" i="60"/>
  <c r="H146" i="60"/>
  <c r="U145" i="60"/>
  <c r="Q145" i="60"/>
  <c r="L145" i="60"/>
  <c r="H145" i="60"/>
  <c r="L144" i="60"/>
  <c r="H144" i="60"/>
  <c r="U143" i="60"/>
  <c r="Q143" i="60"/>
  <c r="L143" i="60"/>
  <c r="H143" i="60"/>
  <c r="U142" i="60"/>
  <c r="Q142" i="60"/>
  <c r="I142" i="60"/>
  <c r="H142" i="60"/>
  <c r="I141" i="60"/>
  <c r="H141" i="60"/>
  <c r="U140" i="60"/>
  <c r="Q140" i="60"/>
  <c r="L140" i="60"/>
  <c r="H140" i="60"/>
  <c r="U139" i="60"/>
  <c r="Q139" i="60"/>
  <c r="U137" i="60"/>
  <c r="Q137" i="60"/>
  <c r="L137" i="60"/>
  <c r="H137" i="60"/>
  <c r="U136" i="60"/>
  <c r="Q136" i="60"/>
  <c r="L136" i="60"/>
  <c r="H136" i="60"/>
  <c r="L135" i="60"/>
  <c r="H135" i="60"/>
  <c r="U134" i="60"/>
  <c r="Q134" i="60"/>
  <c r="L134" i="60"/>
  <c r="H134" i="60"/>
  <c r="L133" i="60"/>
  <c r="H133" i="60"/>
  <c r="U132" i="60"/>
  <c r="Q132" i="60"/>
  <c r="L132" i="60"/>
  <c r="H132" i="60"/>
  <c r="U131" i="60"/>
  <c r="Q131" i="60"/>
  <c r="I131" i="60"/>
  <c r="H131" i="60"/>
  <c r="I130" i="60"/>
  <c r="H130" i="60"/>
  <c r="U129" i="60"/>
  <c r="Q129" i="60"/>
  <c r="L129" i="60"/>
  <c r="H129" i="60"/>
  <c r="U128" i="60"/>
  <c r="Q128" i="60"/>
  <c r="U126" i="60"/>
  <c r="Q126" i="60"/>
  <c r="L126" i="60"/>
  <c r="H126" i="60"/>
  <c r="U125" i="60"/>
  <c r="Q125" i="60"/>
  <c r="L125" i="60"/>
  <c r="H125" i="60"/>
  <c r="L124" i="60"/>
  <c r="H124" i="60"/>
  <c r="U123" i="60"/>
  <c r="Q123" i="60"/>
  <c r="L123" i="60"/>
  <c r="H123" i="60"/>
  <c r="L122" i="60"/>
  <c r="H122" i="60"/>
  <c r="U121" i="60"/>
  <c r="Q121" i="60"/>
  <c r="L121" i="60"/>
  <c r="H121" i="60"/>
  <c r="U120" i="60"/>
  <c r="Q120" i="60"/>
  <c r="I120" i="60"/>
  <c r="H120" i="60"/>
  <c r="I119" i="60"/>
  <c r="H119" i="60"/>
  <c r="U118" i="60"/>
  <c r="Q118" i="60"/>
  <c r="L118" i="60"/>
  <c r="H118" i="60"/>
  <c r="U117" i="60"/>
  <c r="Q117" i="60"/>
  <c r="U115" i="60"/>
  <c r="Q115" i="60"/>
  <c r="L115" i="60"/>
  <c r="H115" i="60"/>
  <c r="U114" i="60"/>
  <c r="Q114" i="60"/>
  <c r="L114" i="60"/>
  <c r="H114" i="60"/>
  <c r="L113" i="60"/>
  <c r="H113" i="60"/>
  <c r="U112" i="60"/>
  <c r="Q112" i="60"/>
  <c r="L112" i="60"/>
  <c r="H112" i="60"/>
  <c r="L111" i="60"/>
  <c r="H111" i="60"/>
  <c r="U110" i="60"/>
  <c r="Q110" i="60"/>
  <c r="L110" i="60"/>
  <c r="H110" i="60"/>
  <c r="U109" i="60"/>
  <c r="Q109" i="60"/>
  <c r="I109" i="60"/>
  <c r="H109" i="60"/>
  <c r="I108" i="60"/>
  <c r="H108" i="60"/>
  <c r="U107" i="60"/>
  <c r="Q107" i="60"/>
  <c r="L107" i="60"/>
  <c r="H107" i="60"/>
  <c r="U106" i="60"/>
  <c r="Q106" i="60"/>
  <c r="U104" i="60"/>
  <c r="Q104" i="60"/>
  <c r="L104" i="60"/>
  <c r="H104" i="60"/>
  <c r="U103" i="60"/>
  <c r="Q103" i="60"/>
  <c r="L103" i="60"/>
  <c r="H103" i="60"/>
  <c r="L102" i="60"/>
  <c r="H102" i="60"/>
  <c r="U101" i="60"/>
  <c r="Q101" i="60"/>
  <c r="L101" i="60"/>
  <c r="H101" i="60"/>
  <c r="L100" i="60"/>
  <c r="H100" i="60"/>
  <c r="U99" i="60"/>
  <c r="Q99" i="60"/>
  <c r="L99" i="60"/>
  <c r="H99" i="60"/>
  <c r="U98" i="60"/>
  <c r="Q98" i="60"/>
  <c r="I98" i="60"/>
  <c r="H98" i="60"/>
  <c r="I97" i="60"/>
  <c r="H97" i="60"/>
  <c r="U96" i="60"/>
  <c r="Q96" i="60"/>
  <c r="L96" i="60"/>
  <c r="H96" i="60"/>
  <c r="U95" i="60"/>
  <c r="Q95" i="60"/>
  <c r="U93" i="60"/>
  <c r="Q93" i="60"/>
  <c r="L93" i="60"/>
  <c r="H93" i="60"/>
  <c r="U92" i="60"/>
  <c r="Q92" i="60"/>
  <c r="L92" i="60"/>
  <c r="H92" i="60"/>
  <c r="L91" i="60"/>
  <c r="H91" i="60"/>
  <c r="U90" i="60"/>
  <c r="Q90" i="60"/>
  <c r="L90" i="60"/>
  <c r="H90" i="60"/>
  <c r="L89" i="60"/>
  <c r="H89" i="60"/>
  <c r="U88" i="60"/>
  <c r="Q88" i="60"/>
  <c r="L88" i="60"/>
  <c r="H88" i="60"/>
  <c r="U87" i="60"/>
  <c r="Q87" i="60"/>
  <c r="I87" i="60"/>
  <c r="H87" i="60"/>
  <c r="I86" i="60"/>
  <c r="H86" i="60"/>
  <c r="U85" i="60"/>
  <c r="Q85" i="60"/>
  <c r="L85" i="60"/>
  <c r="H85" i="60"/>
  <c r="U84" i="60"/>
  <c r="Q84" i="60"/>
  <c r="U82" i="60"/>
  <c r="Q82" i="60"/>
  <c r="L82" i="60"/>
  <c r="H82" i="60"/>
  <c r="U81" i="60"/>
  <c r="Q81" i="60"/>
  <c r="L81" i="60"/>
  <c r="H81" i="60"/>
  <c r="L80" i="60"/>
  <c r="H80" i="60"/>
  <c r="U79" i="60"/>
  <c r="Q79" i="60"/>
  <c r="L79" i="60"/>
  <c r="H79" i="60"/>
  <c r="L78" i="60"/>
  <c r="H78" i="60"/>
  <c r="U77" i="60"/>
  <c r="Q77" i="60"/>
  <c r="L77" i="60"/>
  <c r="H77" i="60"/>
  <c r="U76" i="60"/>
  <c r="Q76" i="60"/>
  <c r="I76" i="60"/>
  <c r="H76" i="60"/>
  <c r="I75" i="60"/>
  <c r="H75" i="60"/>
  <c r="U74" i="60"/>
  <c r="Q74" i="60"/>
  <c r="L74" i="60"/>
  <c r="H74" i="60"/>
  <c r="U73" i="60"/>
  <c r="Q73" i="60"/>
  <c r="U71" i="60"/>
  <c r="Q71" i="60"/>
  <c r="L71" i="60"/>
  <c r="H71" i="60"/>
  <c r="U70" i="60"/>
  <c r="Q70" i="60"/>
  <c r="L70" i="60"/>
  <c r="H70" i="60"/>
  <c r="L69" i="60"/>
  <c r="H69" i="60"/>
  <c r="U68" i="60"/>
  <c r="Q68" i="60"/>
  <c r="L68" i="60"/>
  <c r="H68" i="60"/>
  <c r="L67" i="60"/>
  <c r="H67" i="60"/>
  <c r="U66" i="60"/>
  <c r="Q66" i="60"/>
  <c r="L66" i="60"/>
  <c r="H66" i="60"/>
  <c r="U65" i="60"/>
  <c r="Q65" i="60"/>
  <c r="I65" i="60"/>
  <c r="H65" i="60"/>
  <c r="I64" i="60"/>
  <c r="H64" i="60"/>
  <c r="U63" i="60"/>
  <c r="Q63" i="60"/>
  <c r="L63" i="60"/>
  <c r="H63" i="60"/>
  <c r="U62" i="60"/>
  <c r="Q62" i="60"/>
  <c r="U60" i="60"/>
  <c r="Q60" i="60"/>
  <c r="L60" i="60"/>
  <c r="H60" i="60"/>
  <c r="U59" i="60"/>
  <c r="Q59" i="60"/>
  <c r="L59" i="60"/>
  <c r="H59" i="60"/>
  <c r="L58" i="60"/>
  <c r="H58" i="60"/>
  <c r="U57" i="60"/>
  <c r="Q57" i="60"/>
  <c r="L57" i="60"/>
  <c r="H57" i="60"/>
  <c r="L56" i="60"/>
  <c r="H56" i="60"/>
  <c r="U55" i="60"/>
  <c r="Q55" i="60"/>
  <c r="L55" i="60"/>
  <c r="H55" i="60"/>
  <c r="U54" i="60"/>
  <c r="Q54" i="60"/>
  <c r="I54" i="60"/>
  <c r="H54" i="60"/>
  <c r="I53" i="60"/>
  <c r="H53" i="60"/>
  <c r="U52" i="60"/>
  <c r="Q52" i="60"/>
  <c r="L52" i="60"/>
  <c r="H52" i="60"/>
  <c r="U51" i="60"/>
  <c r="Q51" i="60"/>
  <c r="U49" i="60"/>
  <c r="Q49" i="60"/>
  <c r="L49" i="60"/>
  <c r="H49" i="60"/>
  <c r="U48" i="60"/>
  <c r="Q48" i="60"/>
  <c r="L48" i="60"/>
  <c r="H48" i="60"/>
  <c r="L47" i="60"/>
  <c r="H47" i="60"/>
  <c r="U46" i="60"/>
  <c r="Q46" i="60"/>
  <c r="L46" i="60"/>
  <c r="H46" i="60"/>
  <c r="L45" i="60"/>
  <c r="H45" i="60"/>
  <c r="U44" i="60"/>
  <c r="Q44" i="60"/>
  <c r="L44" i="60"/>
  <c r="H44" i="60"/>
  <c r="U43" i="60"/>
  <c r="Q43" i="60"/>
  <c r="I43" i="60"/>
  <c r="H43" i="60"/>
  <c r="I42" i="60"/>
  <c r="H42" i="60"/>
  <c r="U41" i="60"/>
  <c r="Q41" i="60"/>
  <c r="L41" i="60"/>
  <c r="H41" i="60"/>
  <c r="U40" i="60"/>
  <c r="Q40" i="60"/>
  <c r="U38" i="60"/>
  <c r="Q38" i="60"/>
  <c r="L38" i="60"/>
  <c r="H38" i="60"/>
  <c r="U37" i="60"/>
  <c r="Q37" i="60"/>
  <c r="L37" i="60"/>
  <c r="H37" i="60"/>
  <c r="L36" i="60"/>
  <c r="H36" i="60"/>
  <c r="U35" i="60"/>
  <c r="Q35" i="60"/>
  <c r="L35" i="60"/>
  <c r="H35" i="60"/>
  <c r="L34" i="60"/>
  <c r="H34" i="60"/>
  <c r="U33" i="60"/>
  <c r="Q33" i="60"/>
  <c r="L33" i="60"/>
  <c r="H33" i="60"/>
  <c r="U32" i="60"/>
  <c r="Q32" i="60"/>
  <c r="I32" i="60"/>
  <c r="H32" i="60"/>
  <c r="I31" i="60"/>
  <c r="H31" i="60"/>
  <c r="U30" i="60"/>
  <c r="Q30" i="60"/>
  <c r="L30" i="60"/>
  <c r="H30" i="60"/>
  <c r="U29" i="60"/>
  <c r="Q29" i="60"/>
  <c r="U27" i="60"/>
  <c r="Q27" i="60"/>
  <c r="L27" i="60"/>
  <c r="H27" i="60"/>
  <c r="U26" i="60"/>
  <c r="Q26" i="60"/>
  <c r="L26" i="60"/>
  <c r="H26" i="60"/>
  <c r="L25" i="60"/>
  <c r="H25" i="60"/>
  <c r="U24" i="60"/>
  <c r="Q24" i="60"/>
  <c r="L24" i="60"/>
  <c r="H24" i="60"/>
  <c r="L23" i="60"/>
  <c r="H23" i="60"/>
  <c r="U22" i="60"/>
  <c r="Q22" i="60"/>
  <c r="L22" i="60"/>
  <c r="H22" i="60"/>
  <c r="U21" i="60"/>
  <c r="Q21" i="60"/>
  <c r="I21" i="60"/>
  <c r="H21" i="60"/>
  <c r="I20" i="60"/>
  <c r="H20" i="60"/>
  <c r="U19" i="60"/>
  <c r="Q19" i="60"/>
  <c r="L19" i="60"/>
  <c r="H19" i="60"/>
  <c r="U18" i="60"/>
  <c r="Q18" i="60"/>
  <c r="L16" i="60"/>
  <c r="L15" i="60"/>
  <c r="L14" i="60"/>
  <c r="L13" i="60"/>
  <c r="L12" i="60"/>
  <c r="L11" i="60"/>
  <c r="L8" i="60"/>
  <c r="H16" i="60"/>
  <c r="H15" i="60"/>
  <c r="H14" i="60"/>
  <c r="H13" i="60"/>
  <c r="H12" i="60"/>
  <c r="H11" i="60"/>
  <c r="H10" i="60"/>
  <c r="H9" i="60"/>
  <c r="H8" i="60"/>
  <c r="Y776" i="59" l="1"/>
  <c r="AC782" i="59" s="1"/>
  <c r="H776" i="59"/>
  <c r="Y765" i="59"/>
  <c r="AC771" i="59" s="1"/>
  <c r="M24" i="10"/>
  <c r="N24" i="10" s="1"/>
  <c r="T765" i="59"/>
  <c r="Y842" i="59"/>
  <c r="AC848" i="59" s="1"/>
  <c r="S678" i="57"/>
  <c r="T678" i="57" s="1"/>
  <c r="G864" i="57"/>
  <c r="H864" i="57" s="1"/>
  <c r="G875" i="57"/>
  <c r="AO54" i="9"/>
  <c r="W647" i="57"/>
  <c r="X647" i="57" s="1"/>
  <c r="Y864" i="59"/>
  <c r="AC870" i="59" s="1"/>
  <c r="M21" i="10"/>
  <c r="N21" i="10" s="1"/>
  <c r="AO173" i="9"/>
  <c r="S864" i="57"/>
  <c r="S667" i="57"/>
  <c r="T667" i="57" s="1"/>
  <c r="Y853" i="59"/>
  <c r="AC859" i="59" s="1"/>
  <c r="L853" i="59"/>
  <c r="Y787" i="59"/>
  <c r="AC793" i="59" s="1"/>
  <c r="H787" i="59"/>
  <c r="Y809" i="59"/>
  <c r="AC815" i="59" s="1"/>
  <c r="T809" i="59"/>
  <c r="Y798" i="59"/>
  <c r="AC804" i="59" s="1"/>
  <c r="X806" i="59"/>
  <c r="Y831" i="59"/>
  <c r="AC837" i="59" s="1"/>
  <c r="H831" i="59"/>
  <c r="Y820" i="59"/>
  <c r="AC826" i="59" s="1"/>
  <c r="H821" i="59"/>
  <c r="J43" i="10"/>
  <c r="M43" i="10" s="1"/>
  <c r="N43" i="10" s="1"/>
  <c r="S568" i="57"/>
  <c r="T568" i="57" s="1"/>
  <c r="W636" i="57"/>
  <c r="W603" i="57"/>
  <c r="H842" i="57"/>
  <c r="S656" i="57"/>
  <c r="T656" i="57" s="1"/>
  <c r="Y853" i="57"/>
  <c r="AC858" i="57" s="1"/>
  <c r="H853" i="57"/>
  <c r="S645" i="57"/>
  <c r="T645" i="57" s="1"/>
  <c r="M53" i="10"/>
  <c r="N53" i="10" s="1"/>
  <c r="J48" i="10"/>
  <c r="M48" i="10" s="1"/>
  <c r="N48" i="10" s="1"/>
  <c r="J42" i="10"/>
  <c r="M42" i="10" s="1"/>
  <c r="N42" i="10" s="1"/>
  <c r="J57" i="10"/>
  <c r="M57" i="10" s="1"/>
  <c r="N57" i="10" s="1"/>
  <c r="J49" i="10"/>
  <c r="M49" i="10" s="1"/>
  <c r="N49" i="10" s="1"/>
  <c r="J51" i="10"/>
  <c r="M51" i="10" s="1"/>
  <c r="N51" i="10" s="1"/>
  <c r="M23" i="10"/>
  <c r="N23" i="10" s="1"/>
  <c r="M39" i="10"/>
  <c r="N39" i="10" s="1"/>
  <c r="M47" i="10"/>
  <c r="N47" i="10" s="1"/>
  <c r="M56" i="10"/>
  <c r="N56" i="10" s="1"/>
  <c r="AO127" i="9"/>
  <c r="J50" i="10"/>
  <c r="M50" i="10" s="1"/>
  <c r="N50" i="10" s="1"/>
  <c r="J52" i="10"/>
  <c r="M52" i="10" s="1"/>
  <c r="J46" i="10"/>
  <c r="M46" i="10" s="1"/>
  <c r="N46" i="10" s="1"/>
  <c r="J59" i="10"/>
  <c r="M59" i="10" s="1"/>
  <c r="N59" i="10" s="1"/>
  <c r="M41" i="10"/>
  <c r="N41" i="10" s="1"/>
  <c r="J35" i="10"/>
  <c r="M35" i="10" s="1"/>
  <c r="N35" i="10" s="1"/>
  <c r="J34" i="10"/>
  <c r="M34" i="10" s="1"/>
  <c r="N34" i="10" s="1"/>
  <c r="N58" i="10"/>
  <c r="M33" i="10"/>
  <c r="N33" i="10" s="1"/>
  <c r="Y820" i="57"/>
  <c r="AC825" i="57" s="1"/>
  <c r="H820" i="57"/>
  <c r="Y831" i="57"/>
  <c r="AC836" i="57" s="1"/>
  <c r="H831" i="57"/>
  <c r="W784" i="57"/>
  <c r="X784" i="57" s="1"/>
  <c r="W795" i="57"/>
  <c r="X795" i="57" s="1"/>
  <c r="AO416" i="9"/>
  <c r="S614" i="57"/>
  <c r="AO255" i="9"/>
  <c r="G744" i="57"/>
  <c r="H744" i="57" s="1"/>
  <c r="AO344" i="9"/>
  <c r="AO329" i="9"/>
  <c r="S784" i="57"/>
  <c r="T784" i="57" s="1"/>
  <c r="AO301" i="9"/>
  <c r="AO277" i="9"/>
  <c r="K713" i="57"/>
  <c r="L713" i="57" s="1"/>
  <c r="A111" i="9"/>
  <c r="A112" i="9" s="1"/>
  <c r="A113" i="9" s="1"/>
  <c r="A114" i="9" s="1"/>
  <c r="A115" i="9" s="1"/>
  <c r="A116" i="9" s="1"/>
  <c r="AO138" i="9"/>
  <c r="AO231" i="9"/>
  <c r="W644" i="57"/>
  <c r="X644" i="57" s="1"/>
  <c r="AO224" i="9"/>
  <c r="AO219" i="9"/>
  <c r="S630" i="57"/>
  <c r="W746" i="57"/>
  <c r="X746" i="57" s="1"/>
  <c r="W779" i="57"/>
  <c r="X779" i="57" s="1"/>
  <c r="AO9" i="9"/>
  <c r="S634" i="57"/>
  <c r="T634" i="57" s="1"/>
  <c r="S655" i="57"/>
  <c r="T655" i="57" s="1"/>
  <c r="W751" i="57"/>
  <c r="X751" i="57" s="1"/>
  <c r="W740" i="57"/>
  <c r="X740" i="57" s="1"/>
  <c r="S590" i="57"/>
  <c r="T590" i="57" s="1"/>
  <c r="S586" i="57"/>
  <c r="K776" i="57"/>
  <c r="L776" i="57" s="1"/>
  <c r="G634" i="57"/>
  <c r="G623" i="57"/>
  <c r="G655" i="57"/>
  <c r="H655" i="57" s="1"/>
  <c r="K644" i="57"/>
  <c r="L644" i="57" s="1"/>
  <c r="K633" i="57"/>
  <c r="K798" i="57"/>
  <c r="L798" i="57" s="1"/>
  <c r="G809" i="57"/>
  <c r="H809" i="57" s="1"/>
  <c r="W773" i="57"/>
  <c r="X773" i="57" s="1"/>
  <c r="S623" i="57"/>
  <c r="T623" i="57" s="1"/>
  <c r="W663" i="57"/>
  <c r="X663" i="57" s="1"/>
  <c r="W674" i="57"/>
  <c r="X674" i="57" s="1"/>
  <c r="K680" i="57"/>
  <c r="L680" i="57" s="1"/>
  <c r="K809" i="57"/>
  <c r="L809" i="57" s="1"/>
  <c r="G645" i="57"/>
  <c r="H645" i="57" s="1"/>
  <c r="G656" i="57"/>
  <c r="H656" i="57" s="1"/>
  <c r="S557" i="57"/>
  <c r="T557" i="57" s="1"/>
  <c r="G798" i="57"/>
  <c r="H798" i="57" s="1"/>
  <c r="S809" i="57"/>
  <c r="S798" i="57"/>
  <c r="G732" i="57"/>
  <c r="H732" i="57" s="1"/>
  <c r="G787" i="57"/>
  <c r="H787" i="57" s="1"/>
  <c r="W762" i="57"/>
  <c r="X762" i="57" s="1"/>
  <c r="S762" i="57"/>
  <c r="T762" i="57" s="1"/>
  <c r="S677" i="57"/>
  <c r="T677" i="57" s="1"/>
  <c r="K658" i="57"/>
  <c r="L658" i="57" s="1"/>
  <c r="K669" i="57"/>
  <c r="L669" i="57" s="1"/>
  <c r="S787" i="57"/>
  <c r="T787" i="57" s="1"/>
  <c r="K787" i="57"/>
  <c r="Y930" i="59"/>
  <c r="AC936" i="59" s="1"/>
  <c r="L930" i="59"/>
  <c r="S592" i="57"/>
  <c r="S608" i="57"/>
  <c r="K636" i="57"/>
  <c r="L636" i="57" s="1"/>
  <c r="K647" i="57"/>
  <c r="L647" i="57" s="1"/>
  <c r="S546" i="57"/>
  <c r="T546" i="57" s="1"/>
  <c r="S612" i="57"/>
  <c r="T612" i="57" s="1"/>
  <c r="S743" i="57"/>
  <c r="T743" i="57" s="1"/>
  <c r="S601" i="57"/>
  <c r="T601" i="57" s="1"/>
  <c r="G666" i="57"/>
  <c r="H666" i="57" s="1"/>
  <c r="AO29" i="9"/>
  <c r="G721" i="57"/>
  <c r="H721" i="57" s="1"/>
  <c r="S652" i="57"/>
  <c r="T652" i="57" s="1"/>
  <c r="W652" i="57"/>
  <c r="X652" i="57" s="1"/>
  <c r="S597" i="57"/>
  <c r="S556" i="57"/>
  <c r="S570" i="57"/>
  <c r="W570" i="57"/>
  <c r="J20" i="10"/>
  <c r="M20" i="10" s="1"/>
  <c r="N20" i="10" s="1"/>
  <c r="AO14" i="9"/>
  <c r="AO12" i="9"/>
  <c r="AO13" i="9"/>
  <c r="J19" i="10"/>
  <c r="M19" i="10" s="1"/>
  <c r="N19" i="10" s="1"/>
  <c r="Y721" i="59"/>
  <c r="AC727" i="59" s="1"/>
  <c r="T721" i="59"/>
  <c r="K614" i="57"/>
  <c r="L614" i="57" s="1"/>
  <c r="W619" i="57"/>
  <c r="K765" i="57"/>
  <c r="L765" i="57" s="1"/>
  <c r="G743" i="57"/>
  <c r="H743" i="57" s="1"/>
  <c r="G765" i="57"/>
  <c r="H765" i="57" s="1"/>
  <c r="G688" i="57"/>
  <c r="H688" i="57" s="1"/>
  <c r="K655" i="57"/>
  <c r="L655" i="57" s="1"/>
  <c r="G677" i="57"/>
  <c r="H677" i="57" s="1"/>
  <c r="K732" i="57"/>
  <c r="L732" i="57" s="1"/>
  <c r="S732" i="57"/>
  <c r="T732" i="57" s="1"/>
  <c r="S754" i="57"/>
  <c r="T754" i="57" s="1"/>
  <c r="G776" i="57"/>
  <c r="S776" i="57"/>
  <c r="T776" i="57" s="1"/>
  <c r="S765" i="57"/>
  <c r="T765" i="57" s="1"/>
  <c r="S619" i="57"/>
  <c r="W564" i="57"/>
  <c r="Y886" i="59"/>
  <c r="AC892" i="59" s="1"/>
  <c r="L886" i="59"/>
  <c r="Y743" i="59"/>
  <c r="AC749" i="59" s="1"/>
  <c r="H743" i="59"/>
  <c r="H919" i="59"/>
  <c r="Y919" i="59"/>
  <c r="AC925" i="59" s="1"/>
  <c r="H677" i="59"/>
  <c r="Y677" i="59"/>
  <c r="AC683" i="59" s="1"/>
  <c r="Y754" i="59"/>
  <c r="AC760" i="59" s="1"/>
  <c r="H754" i="59"/>
  <c r="Y666" i="59"/>
  <c r="AC672" i="59" s="1"/>
  <c r="T666" i="59"/>
  <c r="Y688" i="59"/>
  <c r="AC694" i="59" s="1"/>
  <c r="T688" i="59"/>
  <c r="Y655" i="59"/>
  <c r="AC661" i="59" s="1"/>
  <c r="L655" i="59"/>
  <c r="H699" i="59"/>
  <c r="Y699" i="59"/>
  <c r="AC705" i="59" s="1"/>
  <c r="Y732" i="59"/>
  <c r="AC738" i="59" s="1"/>
  <c r="L732" i="59"/>
  <c r="Y710" i="59"/>
  <c r="AC716" i="59" s="1"/>
  <c r="T710" i="59"/>
  <c r="K743" i="57"/>
  <c r="L743" i="57" s="1"/>
  <c r="W556" i="57"/>
  <c r="W625" i="57"/>
  <c r="W614" i="57"/>
  <c r="S688" i="57"/>
  <c r="T688" i="57" s="1"/>
  <c r="K559" i="57"/>
  <c r="L559" i="57" s="1"/>
  <c r="K548" i="57"/>
  <c r="L548" i="57" s="1"/>
  <c r="S699" i="57"/>
  <c r="Y633" i="59"/>
  <c r="AC639" i="59" s="1"/>
  <c r="W567" i="57"/>
  <c r="W575" i="57"/>
  <c r="W633" i="57"/>
  <c r="W622" i="57"/>
  <c r="T633" i="59"/>
  <c r="G644" i="57"/>
  <c r="Y622" i="59"/>
  <c r="AC628" i="59" s="1"/>
  <c r="Y644" i="59"/>
  <c r="AC650" i="59" s="1"/>
  <c r="H644" i="59"/>
  <c r="Y534" i="59"/>
  <c r="AC540" i="59" s="1"/>
  <c r="T534" i="59"/>
  <c r="Y512" i="59"/>
  <c r="AC518" i="59" s="1"/>
  <c r="H512" i="59"/>
  <c r="Y545" i="59"/>
  <c r="AC551" i="59" s="1"/>
  <c r="H545" i="59"/>
  <c r="Y611" i="59"/>
  <c r="AC617" i="59" s="1"/>
  <c r="H611" i="59"/>
  <c r="Y589" i="59"/>
  <c r="AC595" i="59" s="1"/>
  <c r="H589" i="59"/>
  <c r="Y523" i="59"/>
  <c r="AC529" i="59" s="1"/>
  <c r="T523" i="59"/>
  <c r="Y578" i="59"/>
  <c r="AC584" i="59" s="1"/>
  <c r="L578" i="59"/>
  <c r="Y567" i="59"/>
  <c r="AC573" i="59" s="1"/>
  <c r="H567" i="59"/>
  <c r="Y600" i="59"/>
  <c r="AC606" i="59" s="1"/>
  <c r="H600" i="59"/>
  <c r="Y556" i="59"/>
  <c r="AC562" i="59" s="1"/>
  <c r="L556" i="59"/>
  <c r="E7" i="68"/>
  <c r="D7" i="68"/>
  <c r="Y875" i="57" l="1"/>
  <c r="AC880" i="57" s="1"/>
  <c r="H875" i="57"/>
  <c r="Y864" i="57"/>
  <c r="AC869" i="57" s="1"/>
  <c r="T864" i="57"/>
  <c r="A117" i="9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A213" i="9" s="1"/>
  <c r="A214" i="9" s="1"/>
  <c r="A215" i="9" s="1"/>
  <c r="A216" i="9" s="1"/>
  <c r="A217" i="9" s="1"/>
  <c r="A218" i="9" s="1"/>
  <c r="A219" i="9" s="1"/>
  <c r="A220" i="9" s="1"/>
  <c r="A221" i="9" s="1"/>
  <c r="A222" i="9" s="1"/>
  <c r="A223" i="9" s="1"/>
  <c r="A224" i="9" s="1"/>
  <c r="A225" i="9" s="1"/>
  <c r="A226" i="9" s="1"/>
  <c r="A227" i="9" s="1"/>
  <c r="A228" i="9" s="1"/>
  <c r="A229" i="9" s="1"/>
  <c r="A230" i="9" s="1"/>
  <c r="A231" i="9" s="1"/>
  <c r="A232" i="9" s="1"/>
  <c r="A233" i="9" s="1"/>
  <c r="A234" i="9" s="1"/>
  <c r="A235" i="9" s="1"/>
  <c r="A236" i="9" s="1"/>
  <c r="A237" i="9" s="1"/>
  <c r="A238" i="9" s="1"/>
  <c r="A239" i="9" s="1"/>
  <c r="A240" i="9" s="1"/>
  <c r="A241" i="9" s="1"/>
  <c r="A242" i="9" s="1"/>
  <c r="A243" i="9" s="1"/>
  <c r="A244" i="9" s="1"/>
  <c r="A245" i="9" s="1"/>
  <c r="A246" i="9" s="1"/>
  <c r="A247" i="9" s="1"/>
  <c r="A248" i="9" s="1"/>
  <c r="A249" i="9" s="1"/>
  <c r="A250" i="9" s="1"/>
  <c r="A251" i="9" s="1"/>
  <c r="A252" i="9" s="1"/>
  <c r="A253" i="9" s="1"/>
  <c r="A254" i="9" s="1"/>
  <c r="A255" i="9" s="1"/>
  <c r="A256" i="9" s="1"/>
  <c r="A257" i="9" s="1"/>
  <c r="A258" i="9" s="1"/>
  <c r="A259" i="9" s="1"/>
  <c r="A260" i="9" s="1"/>
  <c r="A261" i="9" s="1"/>
  <c r="A262" i="9" s="1"/>
  <c r="A263" i="9" s="1"/>
  <c r="A264" i="9" s="1"/>
  <c r="A265" i="9" s="1"/>
  <c r="A266" i="9" s="1"/>
  <c r="A267" i="9" s="1"/>
  <c r="A268" i="9" s="1"/>
  <c r="A269" i="9" s="1"/>
  <c r="A270" i="9" s="1"/>
  <c r="A271" i="9" s="1"/>
  <c r="A272" i="9" s="1"/>
  <c r="A273" i="9" s="1"/>
  <c r="A118" i="9"/>
  <c r="Y633" i="57"/>
  <c r="AC638" i="57" s="1"/>
  <c r="Y589" i="57"/>
  <c r="AC594" i="57" s="1"/>
  <c r="Y798" i="57"/>
  <c r="AC803" i="57" s="1"/>
  <c r="T798" i="57"/>
  <c r="Y809" i="57"/>
  <c r="AC814" i="57" s="1"/>
  <c r="T809" i="57"/>
  <c r="Y644" i="57"/>
  <c r="AC649" i="57" s="1"/>
  <c r="Y787" i="57"/>
  <c r="AC792" i="57" s="1"/>
  <c r="L787" i="57"/>
  <c r="Y754" i="57"/>
  <c r="AC759" i="57" s="1"/>
  <c r="Y655" i="57"/>
  <c r="AC660" i="57" s="1"/>
  <c r="H776" i="57"/>
  <c r="Y776" i="57"/>
  <c r="AC781" i="57" s="1"/>
  <c r="Y732" i="57"/>
  <c r="AC737" i="57" s="1"/>
  <c r="Y677" i="57"/>
  <c r="AC682" i="57" s="1"/>
  <c r="Y765" i="57"/>
  <c r="AC770" i="57" s="1"/>
  <c r="Y611" i="57"/>
  <c r="AC616" i="57" s="1"/>
  <c r="Y743" i="57"/>
  <c r="AC748" i="57" s="1"/>
  <c r="Y556" i="57"/>
  <c r="AC561" i="57" s="1"/>
  <c r="Y688" i="57"/>
  <c r="AC693" i="57" s="1"/>
  <c r="T699" i="57"/>
  <c r="H644" i="57"/>
  <c r="U456" i="59"/>
  <c r="Q456" i="59"/>
  <c r="L456" i="59"/>
  <c r="H456" i="59"/>
  <c r="U455" i="59"/>
  <c r="Q455" i="59"/>
  <c r="L455" i="59"/>
  <c r="H455" i="59"/>
  <c r="L454" i="59"/>
  <c r="H454" i="59"/>
  <c r="U453" i="59"/>
  <c r="Q453" i="59"/>
  <c r="L453" i="59"/>
  <c r="H453" i="59"/>
  <c r="L452" i="59"/>
  <c r="H452" i="59"/>
  <c r="U451" i="59"/>
  <c r="Q451" i="59"/>
  <c r="L451" i="59"/>
  <c r="H451" i="59"/>
  <c r="U450" i="59"/>
  <c r="Q450" i="59"/>
  <c r="I450" i="59"/>
  <c r="H450" i="59"/>
  <c r="I449" i="59"/>
  <c r="H449" i="59"/>
  <c r="U448" i="59"/>
  <c r="Q448" i="59"/>
  <c r="L448" i="59"/>
  <c r="H448" i="59"/>
  <c r="U447" i="59"/>
  <c r="Q447" i="59"/>
  <c r="U434" i="59"/>
  <c r="L434" i="59"/>
  <c r="H434" i="59"/>
  <c r="U433" i="59"/>
  <c r="L433" i="59"/>
  <c r="H433" i="59"/>
  <c r="L432" i="59"/>
  <c r="H432" i="59"/>
  <c r="U431" i="59"/>
  <c r="L431" i="59"/>
  <c r="H431" i="59"/>
  <c r="L430" i="59"/>
  <c r="H430" i="59"/>
  <c r="U429" i="59"/>
  <c r="L429" i="59"/>
  <c r="H429" i="59"/>
  <c r="U428" i="59"/>
  <c r="I428" i="59"/>
  <c r="H428" i="59"/>
  <c r="I427" i="59"/>
  <c r="H427" i="59"/>
  <c r="U426" i="59"/>
  <c r="L426" i="59"/>
  <c r="H426" i="59"/>
  <c r="U425" i="59"/>
  <c r="U423" i="59"/>
  <c r="L423" i="59"/>
  <c r="H423" i="59"/>
  <c r="U422" i="59"/>
  <c r="L422" i="59"/>
  <c r="H422" i="59"/>
  <c r="L421" i="59"/>
  <c r="H421" i="59"/>
  <c r="U420" i="59"/>
  <c r="L420" i="59"/>
  <c r="H420" i="59"/>
  <c r="L419" i="59"/>
  <c r="H419" i="59"/>
  <c r="U418" i="59"/>
  <c r="L418" i="59"/>
  <c r="H418" i="59"/>
  <c r="U417" i="59"/>
  <c r="I417" i="59"/>
  <c r="H417" i="59"/>
  <c r="I416" i="59"/>
  <c r="H416" i="59"/>
  <c r="U415" i="59"/>
  <c r="L415" i="59"/>
  <c r="H415" i="59"/>
  <c r="U414" i="59"/>
  <c r="U412" i="59"/>
  <c r="L412" i="59"/>
  <c r="H412" i="59"/>
  <c r="U411" i="59"/>
  <c r="L411" i="59"/>
  <c r="H411" i="59"/>
  <c r="L410" i="59"/>
  <c r="H410" i="59"/>
  <c r="U409" i="59"/>
  <c r="L409" i="59"/>
  <c r="H409" i="59"/>
  <c r="L408" i="59"/>
  <c r="H408" i="59"/>
  <c r="U407" i="59"/>
  <c r="L407" i="59"/>
  <c r="H407" i="59"/>
  <c r="U406" i="59"/>
  <c r="I406" i="59"/>
  <c r="H406" i="59"/>
  <c r="I405" i="59"/>
  <c r="H405" i="59"/>
  <c r="U404" i="59"/>
  <c r="L404" i="59"/>
  <c r="H404" i="59"/>
  <c r="U403" i="59"/>
  <c r="U401" i="59"/>
  <c r="L401" i="59"/>
  <c r="H401" i="59"/>
  <c r="U400" i="59"/>
  <c r="L400" i="59"/>
  <c r="H400" i="59"/>
  <c r="L399" i="59"/>
  <c r="H399" i="59"/>
  <c r="U398" i="59"/>
  <c r="L398" i="59"/>
  <c r="H398" i="59"/>
  <c r="L397" i="59"/>
  <c r="H397" i="59"/>
  <c r="U396" i="59"/>
  <c r="L396" i="59"/>
  <c r="H396" i="59"/>
  <c r="U395" i="59"/>
  <c r="I395" i="59"/>
  <c r="H395" i="59"/>
  <c r="I394" i="59"/>
  <c r="H394" i="59"/>
  <c r="U393" i="59"/>
  <c r="L393" i="59"/>
  <c r="H393" i="59"/>
  <c r="U392" i="59"/>
  <c r="U500" i="59"/>
  <c r="Q500" i="59"/>
  <c r="L500" i="59"/>
  <c r="H500" i="59"/>
  <c r="U499" i="59"/>
  <c r="Q499" i="59"/>
  <c r="L499" i="59"/>
  <c r="H499" i="59"/>
  <c r="L498" i="59"/>
  <c r="H498" i="59"/>
  <c r="U497" i="59"/>
  <c r="Q497" i="59"/>
  <c r="L497" i="59"/>
  <c r="H497" i="59"/>
  <c r="L496" i="59"/>
  <c r="H496" i="59"/>
  <c r="U495" i="59"/>
  <c r="Q495" i="59"/>
  <c r="L495" i="59"/>
  <c r="H495" i="59"/>
  <c r="U494" i="59"/>
  <c r="Q494" i="59"/>
  <c r="I494" i="59"/>
  <c r="H494" i="59"/>
  <c r="I493" i="59"/>
  <c r="H493" i="59"/>
  <c r="U492" i="59"/>
  <c r="Q492" i="59"/>
  <c r="L492" i="59"/>
  <c r="H492" i="59"/>
  <c r="U491" i="59"/>
  <c r="Q491" i="59"/>
  <c r="U445" i="59"/>
  <c r="L445" i="59"/>
  <c r="H445" i="59"/>
  <c r="U444" i="59"/>
  <c r="L444" i="59"/>
  <c r="H444" i="59"/>
  <c r="L443" i="59"/>
  <c r="H443" i="59"/>
  <c r="U442" i="59"/>
  <c r="L442" i="59"/>
  <c r="H442" i="59"/>
  <c r="L441" i="59"/>
  <c r="H441" i="59"/>
  <c r="U440" i="59"/>
  <c r="L440" i="59"/>
  <c r="H440" i="59"/>
  <c r="U439" i="59"/>
  <c r="I439" i="59"/>
  <c r="H439" i="59"/>
  <c r="I438" i="59"/>
  <c r="H438" i="59"/>
  <c r="U437" i="59"/>
  <c r="L437" i="59"/>
  <c r="H437" i="59"/>
  <c r="U436" i="59"/>
  <c r="U390" i="59"/>
  <c r="L390" i="59"/>
  <c r="H390" i="59"/>
  <c r="U389" i="59"/>
  <c r="L389" i="59"/>
  <c r="H389" i="59"/>
  <c r="L388" i="59"/>
  <c r="H388" i="59"/>
  <c r="U387" i="59"/>
  <c r="L387" i="59"/>
  <c r="H387" i="59"/>
  <c r="L386" i="59"/>
  <c r="H386" i="59"/>
  <c r="U385" i="59"/>
  <c r="L385" i="59"/>
  <c r="H385" i="59"/>
  <c r="U384" i="59"/>
  <c r="I384" i="59"/>
  <c r="H384" i="59"/>
  <c r="I383" i="59"/>
  <c r="H383" i="59"/>
  <c r="U382" i="59"/>
  <c r="L382" i="59"/>
  <c r="H382" i="59"/>
  <c r="U381" i="59"/>
  <c r="U379" i="59"/>
  <c r="L379" i="59"/>
  <c r="H379" i="59"/>
  <c r="U378" i="59"/>
  <c r="L378" i="59"/>
  <c r="H378" i="59"/>
  <c r="L377" i="59"/>
  <c r="H377" i="59"/>
  <c r="U376" i="59"/>
  <c r="L376" i="59"/>
  <c r="H376" i="59"/>
  <c r="L375" i="59"/>
  <c r="H375" i="59"/>
  <c r="U374" i="59"/>
  <c r="L374" i="59"/>
  <c r="H374" i="59"/>
  <c r="U373" i="59"/>
  <c r="I373" i="59"/>
  <c r="H373" i="59"/>
  <c r="I372" i="59"/>
  <c r="H372" i="59"/>
  <c r="U371" i="59"/>
  <c r="L371" i="59"/>
  <c r="H371" i="59"/>
  <c r="U370" i="59"/>
  <c r="U368" i="59"/>
  <c r="L368" i="59"/>
  <c r="H368" i="59"/>
  <c r="U367" i="59"/>
  <c r="L367" i="59"/>
  <c r="H367" i="59"/>
  <c r="L366" i="59"/>
  <c r="H366" i="59"/>
  <c r="U365" i="59"/>
  <c r="L365" i="59"/>
  <c r="H365" i="59"/>
  <c r="L364" i="59"/>
  <c r="H364" i="59"/>
  <c r="U363" i="59"/>
  <c r="H363" i="59"/>
  <c r="U362" i="59"/>
  <c r="I362" i="59"/>
  <c r="H362" i="59"/>
  <c r="I361" i="59"/>
  <c r="H361" i="59"/>
  <c r="U360" i="59"/>
  <c r="L360" i="59"/>
  <c r="H360" i="59"/>
  <c r="U359" i="59"/>
  <c r="U357" i="59"/>
  <c r="L357" i="59"/>
  <c r="H357" i="59"/>
  <c r="U356" i="59"/>
  <c r="L356" i="59"/>
  <c r="H356" i="59"/>
  <c r="L355" i="59"/>
  <c r="H355" i="59"/>
  <c r="U354" i="59"/>
  <c r="L354" i="59"/>
  <c r="H354" i="59"/>
  <c r="L353" i="59"/>
  <c r="H353" i="59"/>
  <c r="U352" i="59"/>
  <c r="L352" i="59"/>
  <c r="H352" i="59"/>
  <c r="U351" i="59"/>
  <c r="I351" i="59"/>
  <c r="H351" i="59"/>
  <c r="I350" i="59"/>
  <c r="H350" i="59"/>
  <c r="U349" i="59"/>
  <c r="L349" i="59"/>
  <c r="H349" i="59"/>
  <c r="U348" i="59"/>
  <c r="U346" i="59"/>
  <c r="L346" i="59"/>
  <c r="H346" i="59"/>
  <c r="U345" i="59"/>
  <c r="L345" i="59"/>
  <c r="H345" i="59"/>
  <c r="L344" i="59"/>
  <c r="H344" i="59"/>
  <c r="U343" i="59"/>
  <c r="L343" i="59"/>
  <c r="H343" i="59"/>
  <c r="L342" i="59"/>
  <c r="H342" i="59"/>
  <c r="U341" i="59"/>
  <c r="L341" i="59"/>
  <c r="H341" i="59"/>
  <c r="U340" i="59"/>
  <c r="I340" i="59"/>
  <c r="H340" i="59"/>
  <c r="I339" i="59"/>
  <c r="H339" i="59"/>
  <c r="U338" i="59"/>
  <c r="L338" i="59"/>
  <c r="H338" i="59"/>
  <c r="U337" i="59"/>
  <c r="U335" i="59"/>
  <c r="L335" i="59"/>
  <c r="H335" i="59"/>
  <c r="U334" i="59"/>
  <c r="L334" i="59"/>
  <c r="H334" i="59"/>
  <c r="L333" i="59"/>
  <c r="H333" i="59"/>
  <c r="U332" i="59"/>
  <c r="L332" i="59"/>
  <c r="H332" i="59"/>
  <c r="L331" i="59"/>
  <c r="H331" i="59"/>
  <c r="U330" i="59"/>
  <c r="L330" i="59"/>
  <c r="H330" i="59"/>
  <c r="U329" i="59"/>
  <c r="I329" i="59"/>
  <c r="H329" i="59"/>
  <c r="I328" i="59"/>
  <c r="H328" i="59"/>
  <c r="U327" i="59"/>
  <c r="L327" i="59"/>
  <c r="H327" i="59"/>
  <c r="U326" i="59"/>
  <c r="U324" i="59"/>
  <c r="L324" i="59"/>
  <c r="H324" i="59"/>
  <c r="U323" i="59"/>
  <c r="L323" i="59"/>
  <c r="H323" i="59"/>
  <c r="L322" i="59"/>
  <c r="H322" i="59"/>
  <c r="U321" i="59"/>
  <c r="L321" i="59"/>
  <c r="H321" i="59"/>
  <c r="L320" i="59"/>
  <c r="H320" i="59"/>
  <c r="U319" i="59"/>
  <c r="L319" i="59"/>
  <c r="H319" i="59"/>
  <c r="U318" i="59"/>
  <c r="I318" i="59"/>
  <c r="H318" i="59"/>
  <c r="I317" i="59"/>
  <c r="H317" i="59"/>
  <c r="U316" i="59"/>
  <c r="L316" i="59"/>
  <c r="H316" i="59"/>
  <c r="U315" i="59"/>
  <c r="U313" i="59"/>
  <c r="L313" i="59"/>
  <c r="H313" i="59"/>
  <c r="U312" i="59"/>
  <c r="L312" i="59"/>
  <c r="H312" i="59"/>
  <c r="L311" i="59"/>
  <c r="H311" i="59"/>
  <c r="U310" i="59"/>
  <c r="L310" i="59"/>
  <c r="H310" i="59"/>
  <c r="L309" i="59"/>
  <c r="H309" i="59"/>
  <c r="U308" i="59"/>
  <c r="L308" i="59"/>
  <c r="H308" i="59"/>
  <c r="U307" i="59"/>
  <c r="I307" i="59"/>
  <c r="H307" i="59"/>
  <c r="I306" i="59"/>
  <c r="H306" i="59"/>
  <c r="U305" i="59"/>
  <c r="L305" i="59"/>
  <c r="H305" i="59"/>
  <c r="U304" i="59"/>
  <c r="U302" i="59"/>
  <c r="L302" i="59"/>
  <c r="H302" i="59"/>
  <c r="U301" i="59"/>
  <c r="L301" i="59"/>
  <c r="H301" i="59"/>
  <c r="L300" i="59"/>
  <c r="H300" i="59"/>
  <c r="U299" i="59"/>
  <c r="L299" i="59"/>
  <c r="H299" i="59"/>
  <c r="L298" i="59"/>
  <c r="H298" i="59"/>
  <c r="U297" i="59"/>
  <c r="L297" i="59"/>
  <c r="H297" i="59"/>
  <c r="U296" i="59"/>
  <c r="I296" i="59"/>
  <c r="H296" i="59"/>
  <c r="I295" i="59"/>
  <c r="H295" i="59"/>
  <c r="U294" i="59"/>
  <c r="L294" i="59"/>
  <c r="H294" i="59"/>
  <c r="U293" i="59"/>
  <c r="U291" i="59"/>
  <c r="L291" i="59"/>
  <c r="H291" i="59"/>
  <c r="U290" i="59"/>
  <c r="L290" i="59"/>
  <c r="H290" i="59"/>
  <c r="L289" i="59"/>
  <c r="H289" i="59"/>
  <c r="U288" i="59"/>
  <c r="L288" i="59"/>
  <c r="H288" i="59"/>
  <c r="L287" i="59"/>
  <c r="H287" i="59"/>
  <c r="U286" i="59"/>
  <c r="L286" i="59"/>
  <c r="H286" i="59"/>
  <c r="U285" i="59"/>
  <c r="I285" i="59"/>
  <c r="H285" i="59"/>
  <c r="I284" i="59"/>
  <c r="H284" i="59"/>
  <c r="U283" i="59"/>
  <c r="L283" i="59"/>
  <c r="H283" i="59"/>
  <c r="U282" i="59"/>
  <c r="U280" i="59"/>
  <c r="L280" i="59"/>
  <c r="H280" i="59"/>
  <c r="U279" i="59"/>
  <c r="L279" i="59"/>
  <c r="H279" i="59"/>
  <c r="L278" i="59"/>
  <c r="H278" i="59"/>
  <c r="U277" i="59"/>
  <c r="L277" i="59"/>
  <c r="H277" i="59"/>
  <c r="L276" i="59"/>
  <c r="H276" i="59"/>
  <c r="U275" i="59"/>
  <c r="L275" i="59"/>
  <c r="H275" i="59"/>
  <c r="U274" i="59"/>
  <c r="I274" i="59"/>
  <c r="H274" i="59"/>
  <c r="I273" i="59"/>
  <c r="H273" i="59"/>
  <c r="U272" i="59"/>
  <c r="L272" i="59"/>
  <c r="H272" i="59"/>
  <c r="U271" i="59"/>
  <c r="U423" i="57"/>
  <c r="Q423" i="57"/>
  <c r="U422" i="57"/>
  <c r="Q422" i="57"/>
  <c r="U420" i="57"/>
  <c r="Q420" i="57"/>
  <c r="U418" i="57"/>
  <c r="Q418" i="57"/>
  <c r="U417" i="57"/>
  <c r="Q417" i="57"/>
  <c r="I417" i="57"/>
  <c r="I416" i="57"/>
  <c r="U415" i="57"/>
  <c r="Q415" i="57"/>
  <c r="U414" i="57"/>
  <c r="Q414" i="57"/>
  <c r="U412" i="57"/>
  <c r="Q412" i="57"/>
  <c r="U411" i="57"/>
  <c r="Q411" i="57"/>
  <c r="U409" i="57"/>
  <c r="Q409" i="57"/>
  <c r="U407" i="57"/>
  <c r="Q407" i="57"/>
  <c r="U406" i="57"/>
  <c r="Q406" i="57"/>
  <c r="I406" i="57"/>
  <c r="I405" i="57"/>
  <c r="U404" i="57"/>
  <c r="Q404" i="57"/>
  <c r="U403" i="57"/>
  <c r="Q403" i="57"/>
  <c r="U401" i="57"/>
  <c r="Q401" i="57"/>
  <c r="U400" i="57"/>
  <c r="Q400" i="57"/>
  <c r="U398" i="57"/>
  <c r="Q398" i="57"/>
  <c r="U396" i="57"/>
  <c r="Q396" i="57"/>
  <c r="U395" i="57"/>
  <c r="Q395" i="57"/>
  <c r="I395" i="57"/>
  <c r="I394" i="57"/>
  <c r="U393" i="57"/>
  <c r="Q393" i="57"/>
  <c r="U392" i="57"/>
  <c r="Q392" i="57"/>
  <c r="U390" i="57"/>
  <c r="Q390" i="57"/>
  <c r="U389" i="57"/>
  <c r="Q389" i="57"/>
  <c r="U387" i="57"/>
  <c r="Q387" i="57"/>
  <c r="U385" i="57"/>
  <c r="Q385" i="57"/>
  <c r="U384" i="57"/>
  <c r="Q384" i="57"/>
  <c r="I384" i="57"/>
  <c r="I383" i="57"/>
  <c r="U382" i="57"/>
  <c r="Q382" i="57"/>
  <c r="U381" i="57"/>
  <c r="Q381" i="57"/>
  <c r="U379" i="57"/>
  <c r="Q379" i="57"/>
  <c r="U378" i="57"/>
  <c r="Q378" i="57"/>
  <c r="U376" i="57"/>
  <c r="Q376" i="57"/>
  <c r="U374" i="57"/>
  <c r="Q374" i="57"/>
  <c r="U373" i="57"/>
  <c r="Q373" i="57"/>
  <c r="I373" i="57"/>
  <c r="I372" i="57"/>
  <c r="U371" i="57"/>
  <c r="Q371" i="57"/>
  <c r="U370" i="57"/>
  <c r="Q370" i="57"/>
  <c r="U368" i="57"/>
  <c r="Q368" i="57"/>
  <c r="U367" i="57"/>
  <c r="Q367" i="57"/>
  <c r="U365" i="57"/>
  <c r="Q365" i="57"/>
  <c r="U363" i="57"/>
  <c r="Q363" i="57"/>
  <c r="U362" i="57"/>
  <c r="Q362" i="57"/>
  <c r="I362" i="57"/>
  <c r="I361" i="57"/>
  <c r="U360" i="57"/>
  <c r="Q360" i="57"/>
  <c r="U359" i="57"/>
  <c r="Q359" i="57"/>
  <c r="U357" i="57"/>
  <c r="Q357" i="57"/>
  <c r="U356" i="57"/>
  <c r="Q356" i="57"/>
  <c r="U354" i="57"/>
  <c r="Q354" i="57"/>
  <c r="U352" i="57"/>
  <c r="Q352" i="57"/>
  <c r="U351" i="57"/>
  <c r="Q351" i="57"/>
  <c r="I351" i="57"/>
  <c r="I350" i="57"/>
  <c r="U349" i="57"/>
  <c r="Q349" i="57"/>
  <c r="U348" i="57"/>
  <c r="Q348" i="57"/>
  <c r="U346" i="57"/>
  <c r="Q346" i="57"/>
  <c r="U345" i="57"/>
  <c r="Q345" i="57"/>
  <c r="U343" i="57"/>
  <c r="Q343" i="57"/>
  <c r="U341" i="57"/>
  <c r="Q341" i="57"/>
  <c r="U340" i="57"/>
  <c r="Q340" i="57"/>
  <c r="I340" i="57"/>
  <c r="I339" i="57"/>
  <c r="U338" i="57"/>
  <c r="Q338" i="57"/>
  <c r="U337" i="57"/>
  <c r="Q337" i="57"/>
  <c r="U335" i="57"/>
  <c r="Q335" i="57"/>
  <c r="U334" i="57"/>
  <c r="Q334" i="57"/>
  <c r="U332" i="57"/>
  <c r="Q332" i="57"/>
  <c r="U330" i="57"/>
  <c r="Q330" i="57"/>
  <c r="U329" i="57"/>
  <c r="Q329" i="57"/>
  <c r="I329" i="57"/>
  <c r="I328" i="57"/>
  <c r="U327" i="57"/>
  <c r="Q327" i="57"/>
  <c r="U326" i="57"/>
  <c r="Q326" i="57"/>
  <c r="U324" i="57"/>
  <c r="Q324" i="57"/>
  <c r="U323" i="57"/>
  <c r="Q323" i="57"/>
  <c r="U321" i="57"/>
  <c r="Q321" i="57"/>
  <c r="U319" i="57"/>
  <c r="Q319" i="57"/>
  <c r="U318" i="57"/>
  <c r="Q318" i="57"/>
  <c r="I318" i="57"/>
  <c r="I317" i="57"/>
  <c r="U316" i="57"/>
  <c r="Q316" i="57"/>
  <c r="U315" i="57"/>
  <c r="Q315" i="57"/>
  <c r="U313" i="57"/>
  <c r="Q313" i="57"/>
  <c r="U312" i="57"/>
  <c r="Q312" i="57"/>
  <c r="U310" i="57"/>
  <c r="Q310" i="57"/>
  <c r="U308" i="57"/>
  <c r="Q308" i="57"/>
  <c r="U307" i="57"/>
  <c r="Q307" i="57"/>
  <c r="I307" i="57"/>
  <c r="I306" i="57"/>
  <c r="U305" i="57"/>
  <c r="Q305" i="57"/>
  <c r="U304" i="57"/>
  <c r="Q304" i="57"/>
  <c r="U302" i="57"/>
  <c r="Q302" i="57"/>
  <c r="U301" i="57"/>
  <c r="Q301" i="57"/>
  <c r="U299" i="57"/>
  <c r="Q299" i="57"/>
  <c r="U297" i="57"/>
  <c r="Q297" i="57"/>
  <c r="U296" i="57"/>
  <c r="Q296" i="57"/>
  <c r="I296" i="57"/>
  <c r="I295" i="57"/>
  <c r="U294" i="57"/>
  <c r="Q294" i="57"/>
  <c r="U293" i="57"/>
  <c r="Q293" i="57"/>
  <c r="U291" i="57"/>
  <c r="Q291" i="57"/>
  <c r="U290" i="57"/>
  <c r="Q290" i="57"/>
  <c r="U288" i="57"/>
  <c r="Q288" i="57"/>
  <c r="U286" i="57"/>
  <c r="Q286" i="57"/>
  <c r="U285" i="57"/>
  <c r="Q285" i="57"/>
  <c r="I285" i="57"/>
  <c r="I284" i="57"/>
  <c r="U283" i="57"/>
  <c r="Q283" i="57"/>
  <c r="U282" i="57"/>
  <c r="Q282" i="57"/>
  <c r="U280" i="57"/>
  <c r="Q280" i="57"/>
  <c r="U279" i="57"/>
  <c r="Q279" i="57"/>
  <c r="U277" i="57"/>
  <c r="Q277" i="57"/>
  <c r="U275" i="57"/>
  <c r="Q275" i="57"/>
  <c r="U274" i="57"/>
  <c r="Q274" i="57"/>
  <c r="I274" i="57"/>
  <c r="I273" i="57"/>
  <c r="U272" i="57"/>
  <c r="Q272" i="57"/>
  <c r="U271" i="57"/>
  <c r="Q271" i="57"/>
  <c r="AS3" i="10"/>
  <c r="AS4" i="10"/>
  <c r="N54" i="10" s="1"/>
  <c r="AS5" i="10"/>
  <c r="AS6" i="10"/>
  <c r="AS7" i="10"/>
  <c r="AS8" i="10"/>
  <c r="AS2" i="10"/>
  <c r="N52" i="10" l="1"/>
  <c r="A274" i="9"/>
  <c r="A275" i="9" s="1"/>
  <c r="A276" i="9" s="1"/>
  <c r="A277" i="9" s="1"/>
  <c r="A278" i="9" s="1"/>
  <c r="A279" i="9" s="1"/>
  <c r="A280" i="9" s="1"/>
  <c r="A281" i="9" s="1"/>
  <c r="A282" i="9" s="1"/>
  <c r="A283" i="9" s="1"/>
  <c r="A284" i="9" s="1"/>
  <c r="A285" i="9" s="1"/>
  <c r="A286" i="9" s="1"/>
  <c r="A287" i="9" s="1"/>
  <c r="A288" i="9" s="1"/>
  <c r="A289" i="9" s="1"/>
  <c r="A290" i="9" s="1"/>
  <c r="A291" i="9" s="1"/>
  <c r="A292" i="9" s="1"/>
  <c r="A293" i="9" s="1"/>
  <c r="A294" i="9" s="1"/>
  <c r="A295" i="9" s="1"/>
  <c r="A296" i="9" s="1"/>
  <c r="A297" i="9" s="1"/>
  <c r="A298" i="9" s="1"/>
  <c r="A299" i="9" s="1"/>
  <c r="A300" i="9" s="1"/>
  <c r="A301" i="9" s="1"/>
  <c r="A302" i="9" s="1"/>
  <c r="A303" i="9" s="1"/>
  <c r="A304" i="9" s="1"/>
  <c r="A305" i="9" s="1"/>
  <c r="A306" i="9" s="1"/>
  <c r="A307" i="9" s="1"/>
  <c r="A308" i="9" s="1"/>
  <c r="A309" i="9" s="1"/>
  <c r="A310" i="9" s="1"/>
  <c r="A311" i="9" s="1"/>
  <c r="A312" i="9" s="1"/>
  <c r="A313" i="9" s="1"/>
  <c r="A314" i="9" s="1"/>
  <c r="A315" i="9" s="1"/>
  <c r="A316" i="9" s="1"/>
  <c r="A317" i="9" s="1"/>
  <c r="A318" i="9" s="1"/>
  <c r="A319" i="9" s="1"/>
  <c r="A320" i="9" s="1"/>
  <c r="A321" i="9" s="1"/>
  <c r="A322" i="9" s="1"/>
  <c r="A323" i="9" s="1"/>
  <c r="A324" i="9" s="1"/>
  <c r="A325" i="9" s="1"/>
  <c r="A326" i="9" s="1"/>
  <c r="A327" i="9" s="1"/>
  <c r="A328" i="9" s="1"/>
  <c r="A329" i="9" s="1"/>
  <c r="A330" i="9" s="1"/>
  <c r="A331" i="9" s="1"/>
  <c r="A332" i="9" s="1"/>
  <c r="A333" i="9" s="1"/>
  <c r="B462" i="59"/>
  <c r="B473" i="59"/>
  <c r="B484" i="59"/>
  <c r="B495" i="59"/>
  <c r="B429" i="59"/>
  <c r="B440" i="59"/>
  <c r="B451" i="59"/>
  <c r="A334" i="9" l="1"/>
  <c r="A335" i="9" s="1"/>
  <c r="A336" i="9" s="1"/>
  <c r="A337" i="9" s="1"/>
  <c r="A338" i="9" s="1"/>
  <c r="A339" i="9" s="1"/>
  <c r="A340" i="9" s="1"/>
  <c r="A341" i="9" s="1"/>
  <c r="B418" i="60"/>
  <c r="B418" i="59"/>
  <c r="B396" i="60"/>
  <c r="S396" i="60" s="1"/>
  <c r="T396" i="60" s="1"/>
  <c r="B396" i="59"/>
  <c r="B374" i="60"/>
  <c r="B374" i="59"/>
  <c r="B352" i="60"/>
  <c r="B352" i="59"/>
  <c r="B506" i="57"/>
  <c r="W504" i="57" s="1"/>
  <c r="B506" i="59"/>
  <c r="B407" i="60"/>
  <c r="B407" i="59"/>
  <c r="B385" i="60"/>
  <c r="B385" i="59"/>
  <c r="B363" i="60"/>
  <c r="B363" i="59"/>
  <c r="B517" i="57"/>
  <c r="W514" i="57" s="1"/>
  <c r="X514" i="57" s="1"/>
  <c r="W467" i="59"/>
  <c r="X467" i="59" s="1"/>
  <c r="S461" i="59"/>
  <c r="T461" i="59" s="1"/>
  <c r="S459" i="59"/>
  <c r="T459" i="59" s="1"/>
  <c r="W458" i="59"/>
  <c r="X458" i="59" s="1"/>
  <c r="O458" i="59"/>
  <c r="P458" i="59" s="1"/>
  <c r="S458" i="59"/>
  <c r="T458" i="59" s="1"/>
  <c r="K461" i="59"/>
  <c r="L461" i="59" s="1"/>
  <c r="W461" i="59"/>
  <c r="X461" i="59" s="1"/>
  <c r="W459" i="59"/>
  <c r="X459" i="59" s="1"/>
  <c r="S457" i="59"/>
  <c r="W464" i="59"/>
  <c r="X464" i="59" s="1"/>
  <c r="W462" i="59"/>
  <c r="X462" i="59" s="1"/>
  <c r="O457" i="59"/>
  <c r="P457" i="59" s="1"/>
  <c r="W460" i="59"/>
  <c r="S467" i="59"/>
  <c r="T467" i="59" s="1"/>
  <c r="W465" i="59"/>
  <c r="K457" i="59"/>
  <c r="W466" i="59"/>
  <c r="X466" i="59" s="1"/>
  <c r="W457" i="59"/>
  <c r="S464" i="59"/>
  <c r="T464" i="59" s="1"/>
  <c r="G457" i="59"/>
  <c r="K460" i="59"/>
  <c r="L460" i="59" s="1"/>
  <c r="S466" i="59"/>
  <c r="T466" i="59" s="1"/>
  <c r="G458" i="59"/>
  <c r="K458" i="59"/>
  <c r="S460" i="59"/>
  <c r="S463" i="59"/>
  <c r="W463" i="59"/>
  <c r="S465" i="59"/>
  <c r="S462" i="59"/>
  <c r="T462" i="59" s="1"/>
  <c r="W483" i="59"/>
  <c r="X483" i="59" s="1"/>
  <c r="K483" i="59"/>
  <c r="L483" i="59" s="1"/>
  <c r="S482" i="59"/>
  <c r="W481" i="59"/>
  <c r="X481" i="59" s="1"/>
  <c r="S480" i="59"/>
  <c r="T480" i="59" s="1"/>
  <c r="G480" i="59"/>
  <c r="K479" i="59"/>
  <c r="W489" i="59"/>
  <c r="X489" i="59" s="1"/>
  <c r="K482" i="59"/>
  <c r="L482" i="59" s="1"/>
  <c r="W479" i="59"/>
  <c r="G479" i="59"/>
  <c r="W488" i="59"/>
  <c r="X488" i="59" s="1"/>
  <c r="W486" i="59"/>
  <c r="X486" i="59" s="1"/>
  <c r="W484" i="59"/>
  <c r="X484" i="59" s="1"/>
  <c r="W485" i="59"/>
  <c r="O480" i="59"/>
  <c r="P480" i="59" s="1"/>
  <c r="W487" i="59"/>
  <c r="S483" i="59"/>
  <c r="T483" i="59" s="1"/>
  <c r="W482" i="59"/>
  <c r="S481" i="59"/>
  <c r="T481" i="59" s="1"/>
  <c r="W480" i="59"/>
  <c r="X480" i="59" s="1"/>
  <c r="K480" i="59"/>
  <c r="S479" i="59"/>
  <c r="S489" i="59"/>
  <c r="T489" i="59" s="1"/>
  <c r="O479" i="59"/>
  <c r="P479" i="59" s="1"/>
  <c r="S486" i="59"/>
  <c r="T486" i="59" s="1"/>
  <c r="S485" i="59"/>
  <c r="S487" i="59"/>
  <c r="S488" i="59"/>
  <c r="T488" i="59" s="1"/>
  <c r="S484" i="59"/>
  <c r="T484" i="59" s="1"/>
  <c r="W478" i="59"/>
  <c r="X478" i="59" s="1"/>
  <c r="S472" i="59"/>
  <c r="T472" i="59" s="1"/>
  <c r="S470" i="59"/>
  <c r="T470" i="59" s="1"/>
  <c r="W469" i="59"/>
  <c r="X469" i="59" s="1"/>
  <c r="O469" i="59"/>
  <c r="P469" i="59" s="1"/>
  <c r="W475" i="59"/>
  <c r="X475" i="59" s="1"/>
  <c r="S469" i="59"/>
  <c r="T469" i="59" s="1"/>
  <c r="K472" i="59"/>
  <c r="L472" i="59" s="1"/>
  <c r="W472" i="59"/>
  <c r="X472" i="59" s="1"/>
  <c r="W470" i="59"/>
  <c r="X470" i="59" s="1"/>
  <c r="S468" i="59"/>
  <c r="K468" i="59"/>
  <c r="W477" i="59"/>
  <c r="X477" i="59" s="1"/>
  <c r="O468" i="59"/>
  <c r="P468" i="59" s="1"/>
  <c r="W471" i="59"/>
  <c r="S478" i="59"/>
  <c r="T478" i="59" s="1"/>
  <c r="W476" i="59"/>
  <c r="G469" i="59"/>
  <c r="W468" i="59"/>
  <c r="S475" i="59"/>
  <c r="T475" i="59" s="1"/>
  <c r="W473" i="59"/>
  <c r="X473" i="59" s="1"/>
  <c r="G468" i="59"/>
  <c r="K471" i="59"/>
  <c r="L471" i="59" s="1"/>
  <c r="S474" i="59"/>
  <c r="K469" i="59"/>
  <c r="S476" i="59"/>
  <c r="S477" i="59"/>
  <c r="T477" i="59" s="1"/>
  <c r="S471" i="59"/>
  <c r="W474" i="59"/>
  <c r="S473" i="59"/>
  <c r="T473" i="59" s="1"/>
  <c r="B440" i="57"/>
  <c r="O436" i="57" s="1"/>
  <c r="P436" i="57" s="1"/>
  <c r="B440" i="60"/>
  <c r="B528" i="57"/>
  <c r="B484" i="57"/>
  <c r="O480" i="57" s="1"/>
  <c r="P480" i="57" s="1"/>
  <c r="B462" i="57"/>
  <c r="O458" i="57" s="1"/>
  <c r="P458" i="57" s="1"/>
  <c r="B462" i="60"/>
  <c r="B451" i="57"/>
  <c r="B451" i="60"/>
  <c r="B539" i="57"/>
  <c r="B495" i="57"/>
  <c r="S500" i="57" s="1"/>
  <c r="B473" i="57"/>
  <c r="S478" i="57" s="1"/>
  <c r="B473" i="60"/>
  <c r="G919" i="57"/>
  <c r="K919" i="57"/>
  <c r="O919" i="57"/>
  <c r="P919" i="57" s="1"/>
  <c r="S919" i="57"/>
  <c r="W919" i="57"/>
  <c r="K505" i="57"/>
  <c r="O502" i="57"/>
  <c r="P502" i="57" s="1"/>
  <c r="B429" i="60"/>
  <c r="B429" i="57"/>
  <c r="W416" i="60"/>
  <c r="S416" i="60"/>
  <c r="G414" i="60"/>
  <c r="W413" i="60"/>
  <c r="S419" i="60"/>
  <c r="W415" i="60"/>
  <c r="X415" i="60" s="1"/>
  <c r="S414" i="60"/>
  <c r="T414" i="60" s="1"/>
  <c r="O414" i="60"/>
  <c r="P414" i="60" s="1"/>
  <c r="S423" i="60"/>
  <c r="T423" i="60" s="1"/>
  <c r="W422" i="60"/>
  <c r="X422" i="60" s="1"/>
  <c r="W418" i="60"/>
  <c r="X418" i="60" s="1"/>
  <c r="S418" i="60"/>
  <c r="T418" i="60" s="1"/>
  <c r="K417" i="60"/>
  <c r="L417" i="60" s="1"/>
  <c r="W420" i="60"/>
  <c r="X420" i="60" s="1"/>
  <c r="S400" i="60"/>
  <c r="T400" i="60" s="1"/>
  <c r="G392" i="60"/>
  <c r="W379" i="60"/>
  <c r="X379" i="60" s="1"/>
  <c r="S379" i="60"/>
  <c r="T379" i="60" s="1"/>
  <c r="S378" i="60"/>
  <c r="T378" i="60" s="1"/>
  <c r="S377" i="60"/>
  <c r="W376" i="60"/>
  <c r="X376" i="60" s="1"/>
  <c r="W375" i="60"/>
  <c r="S375" i="60"/>
  <c r="W374" i="60"/>
  <c r="X374" i="60" s="1"/>
  <c r="W373" i="60"/>
  <c r="X373" i="60" s="1"/>
  <c r="S373" i="60"/>
  <c r="T373" i="60" s="1"/>
  <c r="K373" i="60"/>
  <c r="L373" i="60" s="1"/>
  <c r="S371" i="60"/>
  <c r="T371" i="60" s="1"/>
  <c r="W370" i="60"/>
  <c r="X370" i="60" s="1"/>
  <c r="O370" i="60"/>
  <c r="P370" i="60" s="1"/>
  <c r="G369" i="60"/>
  <c r="S372" i="60"/>
  <c r="K370" i="60"/>
  <c r="O369" i="60"/>
  <c r="P369" i="60" s="1"/>
  <c r="W372" i="60"/>
  <c r="G370" i="60"/>
  <c r="S357" i="60"/>
  <c r="T357" i="60" s="1"/>
  <c r="S356" i="60"/>
  <c r="T356" i="60" s="1"/>
  <c r="W354" i="60"/>
  <c r="X354" i="60" s="1"/>
  <c r="S353" i="60"/>
  <c r="S352" i="60"/>
  <c r="T352" i="60" s="1"/>
  <c r="K351" i="60"/>
  <c r="L351" i="60" s="1"/>
  <c r="S349" i="60"/>
  <c r="T349" i="60" s="1"/>
  <c r="S348" i="60"/>
  <c r="T348" i="60" s="1"/>
  <c r="W350" i="60"/>
  <c r="O347" i="60"/>
  <c r="P347" i="60" s="1"/>
  <c r="G348" i="60"/>
  <c r="B418" i="57"/>
  <c r="S416" i="57" s="1"/>
  <c r="B396" i="57"/>
  <c r="S394" i="57" s="1"/>
  <c r="B374" i="57"/>
  <c r="S372" i="57" s="1"/>
  <c r="B352" i="57"/>
  <c r="W353" i="57" s="1"/>
  <c r="B407" i="57"/>
  <c r="S412" i="57" s="1"/>
  <c r="B385" i="57"/>
  <c r="S390" i="57" s="1"/>
  <c r="B363" i="57"/>
  <c r="S368" i="57" s="1"/>
  <c r="B253" i="59"/>
  <c r="W427" i="60" l="1"/>
  <c r="W367" i="60"/>
  <c r="X367" i="60" s="1"/>
  <c r="S408" i="60"/>
  <c r="W357" i="60"/>
  <c r="X357" i="60" s="1"/>
  <c r="S401" i="60"/>
  <c r="T401" i="60" s="1"/>
  <c r="W389" i="60"/>
  <c r="X389" i="60" s="1"/>
  <c r="W378" i="60"/>
  <c r="X378" i="60" s="1"/>
  <c r="K416" i="60"/>
  <c r="L416" i="60" s="1"/>
  <c r="A342" i="9"/>
  <c r="A343" i="9" s="1"/>
  <c r="A344" i="9" s="1"/>
  <c r="A345" i="9" s="1"/>
  <c r="A346" i="9" s="1"/>
  <c r="A347" i="9" s="1"/>
  <c r="A348" i="9" s="1"/>
  <c r="A349" i="9" s="1"/>
  <c r="A350" i="9" s="1"/>
  <c r="A351" i="9" s="1"/>
  <c r="A352" i="9" s="1"/>
  <c r="O392" i="60"/>
  <c r="P392" i="60" s="1"/>
  <c r="W405" i="60"/>
  <c r="S511" i="57"/>
  <c r="T511" i="57" s="1"/>
  <c r="W358" i="60"/>
  <c r="S388" i="60"/>
  <c r="W366" i="60"/>
  <c r="S407" i="60"/>
  <c r="T407" i="60" s="1"/>
  <c r="K348" i="60"/>
  <c r="W348" i="60"/>
  <c r="X348" i="60" s="1"/>
  <c r="S351" i="60"/>
  <c r="T351" i="60" s="1"/>
  <c r="S354" i="60"/>
  <c r="T354" i="60" s="1"/>
  <c r="W356" i="60"/>
  <c r="X356" i="60" s="1"/>
  <c r="W391" i="60"/>
  <c r="S393" i="60"/>
  <c r="T393" i="60" s="1"/>
  <c r="W397" i="60"/>
  <c r="W401" i="60"/>
  <c r="X401" i="60" s="1"/>
  <c r="K358" i="60"/>
  <c r="S367" i="60"/>
  <c r="T367" i="60" s="1"/>
  <c r="S411" i="60"/>
  <c r="T411" i="60" s="1"/>
  <c r="K392" i="60"/>
  <c r="W393" i="60"/>
  <c r="X393" i="60" s="1"/>
  <c r="S398" i="60"/>
  <c r="T398" i="60" s="1"/>
  <c r="S362" i="60"/>
  <c r="T362" i="60" s="1"/>
  <c r="W412" i="60"/>
  <c r="X412" i="60" s="1"/>
  <c r="K350" i="60"/>
  <c r="L350" i="60" s="1"/>
  <c r="G347" i="60"/>
  <c r="S350" i="60"/>
  <c r="W352" i="60"/>
  <c r="X352" i="60" s="1"/>
  <c r="S355" i="60"/>
  <c r="K394" i="60"/>
  <c r="L394" i="60" s="1"/>
  <c r="K391" i="60"/>
  <c r="W395" i="60"/>
  <c r="X395" i="60" s="1"/>
  <c r="W399" i="60"/>
  <c r="W362" i="60"/>
  <c r="X362" i="60" s="1"/>
  <c r="G403" i="60"/>
  <c r="S405" i="60"/>
  <c r="S522" i="57"/>
  <c r="T522" i="57" s="1"/>
  <c r="W501" i="57"/>
  <c r="K504" i="57"/>
  <c r="L504" i="57" s="1"/>
  <c r="S502" i="57"/>
  <c r="T502" i="57" s="1"/>
  <c r="S509" i="57"/>
  <c r="W505" i="57"/>
  <c r="X505" i="57" s="1"/>
  <c r="S508" i="57"/>
  <c r="T508" i="57" s="1"/>
  <c r="K501" i="57"/>
  <c r="S383" i="60"/>
  <c r="W503" i="57"/>
  <c r="X503" i="57" s="1"/>
  <c r="O501" i="57"/>
  <c r="P501" i="57" s="1"/>
  <c r="G502" i="57"/>
  <c r="W394" i="60"/>
  <c r="S394" i="60"/>
  <c r="S392" i="60"/>
  <c r="T392" i="60" s="1"/>
  <c r="K395" i="60"/>
  <c r="L395" i="60" s="1"/>
  <c r="W396" i="60"/>
  <c r="X396" i="60" s="1"/>
  <c r="W398" i="60"/>
  <c r="X398" i="60" s="1"/>
  <c r="W400" i="60"/>
  <c r="X400" i="60" s="1"/>
  <c r="O359" i="60"/>
  <c r="P359" i="60" s="1"/>
  <c r="S364" i="60"/>
  <c r="W407" i="60"/>
  <c r="X407" i="60" s="1"/>
  <c r="W408" i="60"/>
  <c r="W347" i="60"/>
  <c r="O348" i="60"/>
  <c r="P348" i="60" s="1"/>
  <c r="W349" i="60"/>
  <c r="X349" i="60" s="1"/>
  <c r="W351" i="60"/>
  <c r="X351" i="60" s="1"/>
  <c r="W353" i="60"/>
  <c r="W355" i="60"/>
  <c r="O391" i="60"/>
  <c r="P391" i="60" s="1"/>
  <c r="G391" i="60"/>
  <c r="W392" i="60"/>
  <c r="X392" i="60" s="1"/>
  <c r="S395" i="60"/>
  <c r="T395" i="60" s="1"/>
  <c r="S397" i="60"/>
  <c r="S399" i="60"/>
  <c r="O358" i="60"/>
  <c r="P358" i="60" s="1"/>
  <c r="W359" i="60"/>
  <c r="X359" i="60" s="1"/>
  <c r="S365" i="60"/>
  <c r="T365" i="60" s="1"/>
  <c r="W403" i="60"/>
  <c r="X403" i="60" s="1"/>
  <c r="S410" i="60"/>
  <c r="K359" i="60"/>
  <c r="W360" i="60"/>
  <c r="X360" i="60" s="1"/>
  <c r="W364" i="60"/>
  <c r="S368" i="60"/>
  <c r="T368" i="60" s="1"/>
  <c r="W406" i="60"/>
  <c r="X406" i="60" s="1"/>
  <c r="S404" i="60"/>
  <c r="T404" i="60" s="1"/>
  <c r="W409" i="60"/>
  <c r="X409" i="60" s="1"/>
  <c r="G359" i="60"/>
  <c r="G358" i="60"/>
  <c r="S360" i="60"/>
  <c r="T360" i="60" s="1"/>
  <c r="S363" i="60"/>
  <c r="T363" i="60" s="1"/>
  <c r="S366" i="60"/>
  <c r="W368" i="60"/>
  <c r="X368" i="60" s="1"/>
  <c r="K406" i="60"/>
  <c r="L406" i="60" s="1"/>
  <c r="S403" i="60"/>
  <c r="T403" i="60" s="1"/>
  <c r="W411" i="60"/>
  <c r="X411" i="60" s="1"/>
  <c r="K402" i="60"/>
  <c r="W361" i="60"/>
  <c r="S361" i="60"/>
  <c r="S359" i="60"/>
  <c r="T359" i="60" s="1"/>
  <c r="K362" i="60"/>
  <c r="L362" i="60" s="1"/>
  <c r="W363" i="60"/>
  <c r="X363" i="60" s="1"/>
  <c r="W365" i="60"/>
  <c r="X365" i="60" s="1"/>
  <c r="S384" i="60"/>
  <c r="T384" i="60" s="1"/>
  <c r="S406" i="60"/>
  <c r="T406" i="60" s="1"/>
  <c r="O403" i="60"/>
  <c r="P403" i="60" s="1"/>
  <c r="W404" i="60"/>
  <c r="X404" i="60" s="1"/>
  <c r="O402" i="60"/>
  <c r="P402" i="60" s="1"/>
  <c r="K403" i="60"/>
  <c r="S412" i="60"/>
  <c r="T412" i="60" s="1"/>
  <c r="S409" i="60"/>
  <c r="T409" i="60" s="1"/>
  <c r="K405" i="60"/>
  <c r="L405" i="60" s="1"/>
  <c r="G402" i="60"/>
  <c r="T368" i="57"/>
  <c r="T412" i="57"/>
  <c r="T390" i="57"/>
  <c r="T478" i="57"/>
  <c r="L505" i="57"/>
  <c r="T500" i="57"/>
  <c r="K483" i="57"/>
  <c r="O380" i="60"/>
  <c r="P380" i="60" s="1"/>
  <c r="S382" i="60"/>
  <c r="T382" i="60" s="1"/>
  <c r="W386" i="60"/>
  <c r="W390" i="60"/>
  <c r="X390" i="60" s="1"/>
  <c r="W520" i="57"/>
  <c r="K380" i="60"/>
  <c r="W384" i="60"/>
  <c r="X384" i="60" s="1"/>
  <c r="W388" i="60"/>
  <c r="S521" i="57"/>
  <c r="K383" i="60"/>
  <c r="L383" i="60" s="1"/>
  <c r="W381" i="60"/>
  <c r="X381" i="60" s="1"/>
  <c r="S386" i="60"/>
  <c r="S390" i="60"/>
  <c r="T390" i="60" s="1"/>
  <c r="O512" i="57"/>
  <c r="P512" i="57" s="1"/>
  <c r="K512" i="57"/>
  <c r="W517" i="57"/>
  <c r="X517" i="57" s="1"/>
  <c r="O513" i="57"/>
  <c r="P513" i="57" s="1"/>
  <c r="S514" i="57"/>
  <c r="W512" i="57"/>
  <c r="G513" i="57"/>
  <c r="S518" i="57"/>
  <c r="S519" i="57"/>
  <c r="G512" i="57"/>
  <c r="K372" i="60"/>
  <c r="L372" i="60" s="1"/>
  <c r="W369" i="60"/>
  <c r="K369" i="60"/>
  <c r="W371" i="60"/>
  <c r="X371" i="60" s="1"/>
  <c r="S374" i="60"/>
  <c r="T374" i="60" s="1"/>
  <c r="S376" i="60"/>
  <c r="T376" i="60" s="1"/>
  <c r="W419" i="60"/>
  <c r="S417" i="60"/>
  <c r="T417" i="60" s="1"/>
  <c r="W421" i="60"/>
  <c r="W423" i="60"/>
  <c r="X423" i="60" s="1"/>
  <c r="W414" i="60"/>
  <c r="X414" i="60" s="1"/>
  <c r="S421" i="60"/>
  <c r="K414" i="60"/>
  <c r="G381" i="60"/>
  <c r="W380" i="60"/>
  <c r="O381" i="60"/>
  <c r="P381" i="60" s="1"/>
  <c r="W382" i="60"/>
  <c r="X382" i="60" s="1"/>
  <c r="S385" i="60"/>
  <c r="T385" i="60" s="1"/>
  <c r="S387" i="60"/>
  <c r="T387" i="60" s="1"/>
  <c r="S389" i="60"/>
  <c r="T389" i="60" s="1"/>
  <c r="S517" i="57"/>
  <c r="W518" i="57"/>
  <c r="W522" i="57"/>
  <c r="X522" i="57" s="1"/>
  <c r="S515" i="57"/>
  <c r="K515" i="57"/>
  <c r="K516" i="57"/>
  <c r="S512" i="57"/>
  <c r="W507" i="57"/>
  <c r="S507" i="57"/>
  <c r="W508" i="57"/>
  <c r="X508" i="57" s="1"/>
  <c r="W510" i="57"/>
  <c r="X510" i="57" s="1"/>
  <c r="S504" i="57"/>
  <c r="S506" i="57"/>
  <c r="W502" i="57"/>
  <c r="X502" i="57" s="1"/>
  <c r="S420" i="60"/>
  <c r="T420" i="60" s="1"/>
  <c r="W417" i="60"/>
  <c r="X417" i="60" s="1"/>
  <c r="S422" i="60"/>
  <c r="T422" i="60" s="1"/>
  <c r="G413" i="60"/>
  <c r="S415" i="60"/>
  <c r="T415" i="60" s="1"/>
  <c r="O413" i="60"/>
  <c r="P413" i="60" s="1"/>
  <c r="W383" i="60"/>
  <c r="K381" i="60"/>
  <c r="S381" i="60"/>
  <c r="T381" i="60" s="1"/>
  <c r="K384" i="60"/>
  <c r="L384" i="60" s="1"/>
  <c r="W385" i="60"/>
  <c r="X385" i="60" s="1"/>
  <c r="W387" i="60"/>
  <c r="X387" i="60" s="1"/>
  <c r="S520" i="57"/>
  <c r="W519" i="57"/>
  <c r="X519" i="57" s="1"/>
  <c r="W516" i="57"/>
  <c r="X516" i="57" s="1"/>
  <c r="S516" i="57"/>
  <c r="T516" i="57" s="1"/>
  <c r="W515" i="57"/>
  <c r="W521" i="57"/>
  <c r="X521" i="57" s="1"/>
  <c r="W513" i="57"/>
  <c r="X513" i="57" s="1"/>
  <c r="S510" i="57"/>
  <c r="S505" i="57"/>
  <c r="T505" i="57" s="1"/>
  <c r="S503" i="57"/>
  <c r="W511" i="57"/>
  <c r="X511" i="57" s="1"/>
  <c r="W506" i="57"/>
  <c r="X506" i="57" s="1"/>
  <c r="W509" i="57"/>
  <c r="W460" i="57"/>
  <c r="S444" i="57"/>
  <c r="S258" i="59"/>
  <c r="T258" i="59" s="1"/>
  <c r="S253" i="59"/>
  <c r="T253" i="59" s="1"/>
  <c r="S254" i="59"/>
  <c r="S255" i="59"/>
  <c r="T255" i="59" s="1"/>
  <c r="S256" i="59"/>
  <c r="S257" i="59"/>
  <c r="T257" i="59" s="1"/>
  <c r="W252" i="59"/>
  <c r="X252" i="59" s="1"/>
  <c r="W251" i="59"/>
  <c r="W250" i="59"/>
  <c r="X250" i="59" s="1"/>
  <c r="O249" i="59"/>
  <c r="P249" i="59" s="1"/>
  <c r="W248" i="59"/>
  <c r="K248" i="59"/>
  <c r="W257" i="59"/>
  <c r="X257" i="59" s="1"/>
  <c r="W255" i="59"/>
  <c r="X255" i="59" s="1"/>
  <c r="W253" i="59"/>
  <c r="X253" i="59" s="1"/>
  <c r="S251" i="59"/>
  <c r="S249" i="59"/>
  <c r="T249" i="59" s="1"/>
  <c r="G248" i="59"/>
  <c r="K252" i="59"/>
  <c r="L252" i="59" s="1"/>
  <c r="K251" i="59"/>
  <c r="L251" i="59" s="1"/>
  <c r="W249" i="59"/>
  <c r="X249" i="59" s="1"/>
  <c r="K249" i="59"/>
  <c r="O248" i="59"/>
  <c r="P248" i="59" s="1"/>
  <c r="W258" i="59"/>
  <c r="X258" i="59" s="1"/>
  <c r="W256" i="59"/>
  <c r="W254" i="59"/>
  <c r="S252" i="59"/>
  <c r="T252" i="59" s="1"/>
  <c r="S250" i="59"/>
  <c r="T250" i="59" s="1"/>
  <c r="G249" i="59"/>
  <c r="S248" i="59"/>
  <c r="S452" i="57"/>
  <c r="O446" i="57"/>
  <c r="P446" i="57" s="1"/>
  <c r="S487" i="57"/>
  <c r="W447" i="57"/>
  <c r="X447" i="57" s="1"/>
  <c r="W485" i="57"/>
  <c r="W453" i="57"/>
  <c r="X453" i="57" s="1"/>
  <c r="W489" i="57"/>
  <c r="X489" i="57" s="1"/>
  <c r="W449" i="57"/>
  <c r="W451" i="57"/>
  <c r="X451" i="57" s="1"/>
  <c r="S489" i="57"/>
  <c r="S453" i="57"/>
  <c r="W456" i="57"/>
  <c r="X456" i="57" s="1"/>
  <c r="S481" i="57"/>
  <c r="O479" i="57"/>
  <c r="P479" i="57" s="1"/>
  <c r="K479" i="57"/>
  <c r="W454" i="57"/>
  <c r="S449" i="57"/>
  <c r="S450" i="57"/>
  <c r="T450" i="57" s="1"/>
  <c r="S488" i="57"/>
  <c r="S485" i="57"/>
  <c r="S480" i="57"/>
  <c r="T480" i="57" s="1"/>
  <c r="W450" i="57"/>
  <c r="X450" i="57" s="1"/>
  <c r="S454" i="57"/>
  <c r="G447" i="57"/>
  <c r="S448" i="57"/>
  <c r="W446" i="57"/>
  <c r="K450" i="57"/>
  <c r="W488" i="57"/>
  <c r="X488" i="57" s="1"/>
  <c r="S486" i="57"/>
  <c r="S484" i="57"/>
  <c r="K482" i="57"/>
  <c r="W479" i="57"/>
  <c r="G446" i="57"/>
  <c r="K446" i="57"/>
  <c r="O447" i="57"/>
  <c r="P447" i="57" s="1"/>
  <c r="W448" i="57"/>
  <c r="X448" i="57" s="1"/>
  <c r="S451" i="57"/>
  <c r="W487" i="57"/>
  <c r="S482" i="57"/>
  <c r="W486" i="57"/>
  <c r="X486" i="57" s="1"/>
  <c r="W484" i="57"/>
  <c r="X484" i="57" s="1"/>
  <c r="W483" i="57"/>
  <c r="X483" i="57" s="1"/>
  <c r="G479" i="57"/>
  <c r="S475" i="57"/>
  <c r="O468" i="57"/>
  <c r="P468" i="57" s="1"/>
  <c r="S476" i="57"/>
  <c r="O469" i="57"/>
  <c r="P469" i="57" s="1"/>
  <c r="W478" i="57"/>
  <c r="X478" i="57" s="1"/>
  <c r="S470" i="57"/>
  <c r="W471" i="57"/>
  <c r="W468" i="57"/>
  <c r="W467" i="57"/>
  <c r="X467" i="57" s="1"/>
  <c r="S462" i="57"/>
  <c r="W462" i="57"/>
  <c r="X462" i="57" s="1"/>
  <c r="S491" i="57"/>
  <c r="T491" i="57" s="1"/>
  <c r="W493" i="57"/>
  <c r="W491" i="57"/>
  <c r="X491" i="57" s="1"/>
  <c r="O491" i="57"/>
  <c r="P491" i="57" s="1"/>
  <c r="W495" i="57"/>
  <c r="X495" i="57" s="1"/>
  <c r="S499" i="57"/>
  <c r="W494" i="57"/>
  <c r="X494" i="57" s="1"/>
  <c r="S494" i="57"/>
  <c r="T494" i="57" s="1"/>
  <c r="W497" i="57"/>
  <c r="X497" i="57" s="1"/>
  <c r="S493" i="57"/>
  <c r="G490" i="57"/>
  <c r="S492" i="57"/>
  <c r="W496" i="57"/>
  <c r="W500" i="57"/>
  <c r="X500" i="57" s="1"/>
  <c r="W438" i="57"/>
  <c r="W458" i="57"/>
  <c r="X458" i="57" s="1"/>
  <c r="W464" i="57"/>
  <c r="X464" i="57" s="1"/>
  <c r="S465" i="57"/>
  <c r="S463" i="57"/>
  <c r="W472" i="57"/>
  <c r="X472" i="57" s="1"/>
  <c r="W476" i="57"/>
  <c r="S471" i="57"/>
  <c r="W474" i="57"/>
  <c r="G469" i="57"/>
  <c r="S477" i="57"/>
  <c r="S468" i="57"/>
  <c r="K471" i="57"/>
  <c r="S469" i="57"/>
  <c r="T469" i="57" s="1"/>
  <c r="W477" i="57"/>
  <c r="X477" i="57" s="1"/>
  <c r="W469" i="57"/>
  <c r="X469" i="57" s="1"/>
  <c r="S474" i="57"/>
  <c r="S473" i="57"/>
  <c r="K472" i="57"/>
  <c r="K460" i="57"/>
  <c r="G457" i="57"/>
  <c r="S461" i="57"/>
  <c r="T461" i="57" s="1"/>
  <c r="W435" i="57"/>
  <c r="W470" i="57"/>
  <c r="X470" i="57" s="1"/>
  <c r="K468" i="57"/>
  <c r="G468" i="57"/>
  <c r="W475" i="57"/>
  <c r="X475" i="57" s="1"/>
  <c r="S472" i="57"/>
  <c r="T472" i="57" s="1"/>
  <c r="W473" i="57"/>
  <c r="X473" i="57" s="1"/>
  <c r="S498" i="57"/>
  <c r="W492" i="57"/>
  <c r="X492" i="57" s="1"/>
  <c r="G491" i="57"/>
  <c r="K493" i="57"/>
  <c r="S459" i="57"/>
  <c r="W463" i="57"/>
  <c r="K457" i="57"/>
  <c r="S436" i="57"/>
  <c r="T436" i="57" s="1"/>
  <c r="K449" i="57"/>
  <c r="S447" i="57"/>
  <c r="T447" i="57" s="1"/>
  <c r="W455" i="57"/>
  <c r="X455" i="57" s="1"/>
  <c r="W452" i="57"/>
  <c r="S456" i="57"/>
  <c r="S455" i="57"/>
  <c r="G480" i="57"/>
  <c r="S479" i="57"/>
  <c r="W480" i="57"/>
  <c r="X480" i="57" s="1"/>
  <c r="S483" i="57"/>
  <c r="T483" i="57" s="1"/>
  <c r="W481" i="57"/>
  <c r="X481" i="57" s="1"/>
  <c r="W482" i="57"/>
  <c r="O490" i="57"/>
  <c r="P490" i="57" s="1"/>
  <c r="K490" i="57"/>
  <c r="S497" i="57"/>
  <c r="S496" i="57"/>
  <c r="W499" i="57"/>
  <c r="X499" i="57" s="1"/>
  <c r="K494" i="57"/>
  <c r="S495" i="57"/>
  <c r="G435" i="57"/>
  <c r="W440" i="57"/>
  <c r="X440" i="57" s="1"/>
  <c r="K435" i="57"/>
  <c r="G436" i="57"/>
  <c r="S442" i="57"/>
  <c r="S445" i="57"/>
  <c r="W444" i="57"/>
  <c r="X444" i="57" s="1"/>
  <c r="Y468" i="59"/>
  <c r="AC474" i="59" s="1"/>
  <c r="W437" i="57"/>
  <c r="X437" i="57" s="1"/>
  <c r="S439" i="57"/>
  <c r="T439" i="57" s="1"/>
  <c r="S435" i="57"/>
  <c r="S443" i="57"/>
  <c r="K461" i="57"/>
  <c r="W466" i="57"/>
  <c r="X466" i="57" s="1"/>
  <c r="S458" i="57"/>
  <c r="T458" i="57" s="1"/>
  <c r="S467" i="57"/>
  <c r="W461" i="57"/>
  <c r="X461" i="57" s="1"/>
  <c r="W459" i="57"/>
  <c r="X459" i="57" s="1"/>
  <c r="S460" i="57"/>
  <c r="G458" i="57"/>
  <c r="Y457" i="59"/>
  <c r="AC463" i="59" s="1"/>
  <c r="Y479" i="59"/>
  <c r="AC485" i="59" s="1"/>
  <c r="S464" i="57"/>
  <c r="W465" i="57"/>
  <c r="O457" i="57"/>
  <c r="P457" i="57" s="1"/>
  <c r="W457" i="57"/>
  <c r="S466" i="57"/>
  <c r="W442" i="57"/>
  <c r="X442" i="57" s="1"/>
  <c r="O435" i="57"/>
  <c r="P435" i="57" s="1"/>
  <c r="W436" i="57"/>
  <c r="X436" i="57" s="1"/>
  <c r="S441" i="57"/>
  <c r="S440" i="57"/>
  <c r="W441" i="57"/>
  <c r="K439" i="57"/>
  <c r="W445" i="57"/>
  <c r="X445" i="57" s="1"/>
  <c r="K438" i="57"/>
  <c r="W439" i="57"/>
  <c r="X439" i="57" s="1"/>
  <c r="S438" i="57"/>
  <c r="S437" i="57"/>
  <c r="W443" i="57"/>
  <c r="W472" i="60"/>
  <c r="W468" i="60"/>
  <c r="O468" i="60"/>
  <c r="P468" i="60" s="1"/>
  <c r="S471" i="60"/>
  <c r="O469" i="60"/>
  <c r="P469" i="60" s="1"/>
  <c r="W469" i="60"/>
  <c r="W470" i="60"/>
  <c r="T472" i="60"/>
  <c r="X473" i="60"/>
  <c r="X474" i="60"/>
  <c r="X475" i="60"/>
  <c r="X476" i="60"/>
  <c r="X477" i="60"/>
  <c r="X478" i="60"/>
  <c r="G468" i="60"/>
  <c r="S468" i="60"/>
  <c r="G469" i="60"/>
  <c r="S469" i="60"/>
  <c r="S470" i="60"/>
  <c r="K471" i="60"/>
  <c r="W471" i="60"/>
  <c r="S472" i="60"/>
  <c r="T473" i="60"/>
  <c r="T474" i="60"/>
  <c r="T475" i="60"/>
  <c r="T476" i="60"/>
  <c r="T477" i="60"/>
  <c r="T478" i="60"/>
  <c r="K469" i="60"/>
  <c r="K468" i="60"/>
  <c r="L471" i="60"/>
  <c r="S473" i="60"/>
  <c r="S475" i="60"/>
  <c r="S477" i="60"/>
  <c r="X469" i="60"/>
  <c r="T471" i="60"/>
  <c r="X472" i="60"/>
  <c r="W474" i="60"/>
  <c r="W476" i="60"/>
  <c r="W478" i="60"/>
  <c r="H469" i="60"/>
  <c r="T470" i="60"/>
  <c r="K472" i="60"/>
  <c r="S474" i="60"/>
  <c r="S476" i="60"/>
  <c r="S478" i="60"/>
  <c r="L468" i="60"/>
  <c r="L469" i="60"/>
  <c r="X470" i="60"/>
  <c r="L472" i="60"/>
  <c r="W473" i="60"/>
  <c r="W475" i="60"/>
  <c r="W477" i="60"/>
  <c r="T498" i="60"/>
  <c r="W500" i="60"/>
  <c r="T500" i="60"/>
  <c r="W499" i="60"/>
  <c r="T499" i="60"/>
  <c r="W498" i="60"/>
  <c r="T496" i="60"/>
  <c r="W495" i="60"/>
  <c r="T495" i="60"/>
  <c r="X500" i="60"/>
  <c r="W494" i="60"/>
  <c r="T494" i="60"/>
  <c r="K494" i="60"/>
  <c r="X493" i="60"/>
  <c r="T493" i="60"/>
  <c r="W492" i="60"/>
  <c r="T492" i="60"/>
  <c r="W491" i="60"/>
  <c r="T491" i="60"/>
  <c r="L491" i="60"/>
  <c r="H491" i="60"/>
  <c r="O490" i="60"/>
  <c r="P490" i="60" s="1"/>
  <c r="K490" i="60"/>
  <c r="G490" i="60"/>
  <c r="W497" i="60"/>
  <c r="T497" i="60"/>
  <c r="W496" i="60"/>
  <c r="X494" i="60"/>
  <c r="S494" i="60"/>
  <c r="L494" i="60"/>
  <c r="W493" i="60"/>
  <c r="K493" i="60"/>
  <c r="X492" i="60"/>
  <c r="S492" i="60"/>
  <c r="X491" i="60"/>
  <c r="S491" i="60"/>
  <c r="O491" i="60"/>
  <c r="P491" i="60" s="1"/>
  <c r="G491" i="60"/>
  <c r="S490" i="60"/>
  <c r="S493" i="60"/>
  <c r="K491" i="60"/>
  <c r="W490" i="60"/>
  <c r="S495" i="60"/>
  <c r="S496" i="60"/>
  <c r="X496" i="60"/>
  <c r="X497" i="60"/>
  <c r="X498" i="60"/>
  <c r="X499" i="60"/>
  <c r="S498" i="60"/>
  <c r="S500" i="60"/>
  <c r="X495" i="60"/>
  <c r="S497" i="60"/>
  <c r="S499" i="60"/>
  <c r="W456" i="60"/>
  <c r="T454" i="60"/>
  <c r="X450" i="60"/>
  <c r="S450" i="60"/>
  <c r="L450" i="60"/>
  <c r="W449" i="60"/>
  <c r="K449" i="60"/>
  <c r="X448" i="60"/>
  <c r="S448" i="60"/>
  <c r="X447" i="60"/>
  <c r="S447" i="60"/>
  <c r="L447" i="60"/>
  <c r="X446" i="60"/>
  <c r="L446" i="60"/>
  <c r="T452" i="60"/>
  <c r="S449" i="60"/>
  <c r="H447" i="60"/>
  <c r="G446" i="60"/>
  <c r="O446" i="60"/>
  <c r="P446" i="60" s="1"/>
  <c r="W446" i="60"/>
  <c r="K447" i="60"/>
  <c r="T447" i="60"/>
  <c r="T448" i="60"/>
  <c r="X449" i="60"/>
  <c r="T450" i="60"/>
  <c r="X456" i="60"/>
  <c r="W451" i="60"/>
  <c r="T453" i="60"/>
  <c r="W454" i="60"/>
  <c r="W455" i="60"/>
  <c r="X451" i="60"/>
  <c r="S453" i="60"/>
  <c r="S454" i="60"/>
  <c r="S455" i="60"/>
  <c r="S456" i="60"/>
  <c r="K446" i="60"/>
  <c r="G447" i="60"/>
  <c r="W447" i="60"/>
  <c r="T449" i="60"/>
  <c r="W450" i="60"/>
  <c r="W452" i="60"/>
  <c r="T455" i="60"/>
  <c r="S452" i="60"/>
  <c r="X453" i="60"/>
  <c r="X455" i="60"/>
  <c r="S446" i="60"/>
  <c r="O447" i="60"/>
  <c r="P447" i="60" s="1"/>
  <c r="W448" i="60"/>
  <c r="K450" i="60"/>
  <c r="T451" i="60"/>
  <c r="W453" i="60"/>
  <c r="T456" i="60"/>
  <c r="S451" i="60"/>
  <c r="X452" i="60"/>
  <c r="X454" i="60"/>
  <c r="W467" i="60"/>
  <c r="T463" i="60"/>
  <c r="W461" i="60"/>
  <c r="T461" i="60"/>
  <c r="K461" i="60"/>
  <c r="X460" i="60"/>
  <c r="L460" i="60"/>
  <c r="W459" i="60"/>
  <c r="T459" i="60"/>
  <c r="W458" i="60"/>
  <c r="T458" i="60"/>
  <c r="O458" i="60"/>
  <c r="P458" i="60" s="1"/>
  <c r="G458" i="60"/>
  <c r="S457" i="60"/>
  <c r="K457" i="60"/>
  <c r="T465" i="60"/>
  <c r="W462" i="60"/>
  <c r="T462" i="60"/>
  <c r="X467" i="60"/>
  <c r="T460" i="60"/>
  <c r="K458" i="60"/>
  <c r="W457" i="60"/>
  <c r="O457" i="60"/>
  <c r="P457" i="60" s="1"/>
  <c r="G457" i="60"/>
  <c r="L457" i="60"/>
  <c r="X457" i="60"/>
  <c r="L458" i="60"/>
  <c r="X458" i="60"/>
  <c r="X459" i="60"/>
  <c r="S460" i="60"/>
  <c r="L461" i="60"/>
  <c r="X461" i="60"/>
  <c r="T464" i="60"/>
  <c r="W465" i="60"/>
  <c r="W466" i="60"/>
  <c r="S462" i="60"/>
  <c r="S463" i="60"/>
  <c r="X463" i="60"/>
  <c r="X464" i="60"/>
  <c r="X466" i="60"/>
  <c r="H458" i="60"/>
  <c r="S459" i="60"/>
  <c r="W460" i="60"/>
  <c r="W463" i="60"/>
  <c r="T466" i="60"/>
  <c r="S465" i="60"/>
  <c r="S467" i="60"/>
  <c r="S458" i="60"/>
  <c r="K460" i="60"/>
  <c r="S461" i="60"/>
  <c r="W464" i="60"/>
  <c r="T467" i="60"/>
  <c r="X462" i="60"/>
  <c r="S464" i="60"/>
  <c r="S466" i="60"/>
  <c r="W489" i="60"/>
  <c r="T489" i="60"/>
  <c r="W488" i="60"/>
  <c r="T488" i="60"/>
  <c r="W487" i="60"/>
  <c r="W486" i="60"/>
  <c r="T486" i="60"/>
  <c r="W485" i="60"/>
  <c r="X483" i="60"/>
  <c r="S483" i="60"/>
  <c r="L483" i="60"/>
  <c r="W482" i="60"/>
  <c r="S482" i="60"/>
  <c r="K482" i="60"/>
  <c r="X481" i="60"/>
  <c r="S481" i="60"/>
  <c r="X480" i="60"/>
  <c r="T485" i="60"/>
  <c r="W483" i="60"/>
  <c r="T483" i="60"/>
  <c r="K483" i="60"/>
  <c r="L482" i="60"/>
  <c r="W481" i="60"/>
  <c r="T481" i="60"/>
  <c r="W480" i="60"/>
  <c r="T480" i="60"/>
  <c r="O480" i="60"/>
  <c r="P480" i="60" s="1"/>
  <c r="K480" i="60"/>
  <c r="G480" i="60"/>
  <c r="W479" i="60"/>
  <c r="S479" i="60"/>
  <c r="O479" i="60"/>
  <c r="P479" i="60" s="1"/>
  <c r="K479" i="60"/>
  <c r="G479" i="60"/>
  <c r="T487" i="60"/>
  <c r="W484" i="60"/>
  <c r="T484" i="60"/>
  <c r="X489" i="60"/>
  <c r="S480" i="60"/>
  <c r="L480" i="60"/>
  <c r="H480" i="60"/>
  <c r="L479" i="60"/>
  <c r="X484" i="60"/>
  <c r="S486" i="60"/>
  <c r="S487" i="60"/>
  <c r="S488" i="60"/>
  <c r="S489" i="60"/>
  <c r="S485" i="60"/>
  <c r="X486" i="60"/>
  <c r="X488" i="60"/>
  <c r="S484" i="60"/>
  <c r="X485" i="60"/>
  <c r="W533" i="57"/>
  <c r="X533" i="57" s="1"/>
  <c r="W530" i="57"/>
  <c r="X530" i="57" s="1"/>
  <c r="W527" i="57"/>
  <c r="X527" i="57" s="1"/>
  <c r="S527" i="57"/>
  <c r="T527" i="57" s="1"/>
  <c r="K527" i="57"/>
  <c r="W526" i="57"/>
  <c r="S523" i="57"/>
  <c r="W528" i="57"/>
  <c r="X528" i="57" s="1"/>
  <c r="K526" i="57"/>
  <c r="W525" i="57"/>
  <c r="X525" i="57" s="1"/>
  <c r="S525" i="57"/>
  <c r="W524" i="57"/>
  <c r="X524" i="57" s="1"/>
  <c r="S524" i="57"/>
  <c r="T524" i="57" s="1"/>
  <c r="G524" i="57"/>
  <c r="W532" i="57"/>
  <c r="X532" i="57" s="1"/>
  <c r="K523" i="57"/>
  <c r="O523" i="57"/>
  <c r="P523" i="57" s="1"/>
  <c r="O524" i="57"/>
  <c r="P524" i="57" s="1"/>
  <c r="S533" i="57"/>
  <c r="W531" i="57"/>
  <c r="S529" i="57"/>
  <c r="S530" i="57"/>
  <c r="S532" i="57"/>
  <c r="G523" i="57"/>
  <c r="W523" i="57"/>
  <c r="S526" i="57"/>
  <c r="W529" i="57"/>
  <c r="S528" i="57"/>
  <c r="S531" i="57"/>
  <c r="W544" i="57"/>
  <c r="X544" i="57" s="1"/>
  <c r="W542" i="57"/>
  <c r="W540" i="57"/>
  <c r="S544" i="57"/>
  <c r="S537" i="57"/>
  <c r="G535" i="57"/>
  <c r="K534" i="57"/>
  <c r="W543" i="57"/>
  <c r="X543" i="57" s="1"/>
  <c r="W539" i="57"/>
  <c r="X539" i="57" s="1"/>
  <c r="K537" i="57"/>
  <c r="W536" i="57"/>
  <c r="X536" i="57" s="1"/>
  <c r="S536" i="57"/>
  <c r="W535" i="57"/>
  <c r="X535" i="57" s="1"/>
  <c r="S535" i="57"/>
  <c r="T535" i="57" s="1"/>
  <c r="O535" i="57"/>
  <c r="P535" i="57" s="1"/>
  <c r="O534" i="57"/>
  <c r="P534" i="57" s="1"/>
  <c r="W541" i="57"/>
  <c r="X541" i="57" s="1"/>
  <c r="W538" i="57"/>
  <c r="X538" i="57" s="1"/>
  <c r="S538" i="57"/>
  <c r="T538" i="57" s="1"/>
  <c r="K538" i="57"/>
  <c r="W537" i="57"/>
  <c r="W534" i="57"/>
  <c r="G534" i="57"/>
  <c r="S539" i="57"/>
  <c r="S542" i="57"/>
  <c r="S540" i="57"/>
  <c r="S543" i="57"/>
  <c r="S541" i="57"/>
  <c r="W433" i="60"/>
  <c r="X433" i="60" s="1"/>
  <c r="W428" i="60"/>
  <c r="X428" i="60" s="1"/>
  <c r="W431" i="60"/>
  <c r="X431" i="60" s="1"/>
  <c r="S433" i="60"/>
  <c r="T433" i="60" s="1"/>
  <c r="S426" i="60"/>
  <c r="T426" i="60" s="1"/>
  <c r="S432" i="60"/>
  <c r="S429" i="60"/>
  <c r="T429" i="60" s="1"/>
  <c r="W424" i="60"/>
  <c r="K428" i="60"/>
  <c r="L428" i="60" s="1"/>
  <c r="O425" i="60"/>
  <c r="P425" i="60" s="1"/>
  <c r="K425" i="60"/>
  <c r="W434" i="60"/>
  <c r="X434" i="60" s="1"/>
  <c r="S431" i="60"/>
  <c r="T431" i="60" s="1"/>
  <c r="W426" i="60"/>
  <c r="X426" i="60" s="1"/>
  <c r="K427" i="60"/>
  <c r="L427" i="60" s="1"/>
  <c r="W432" i="60"/>
  <c r="K424" i="60"/>
  <c r="W429" i="60"/>
  <c r="X429" i="60" s="1"/>
  <c r="W425" i="60"/>
  <c r="X425" i="60" s="1"/>
  <c r="O424" i="60"/>
  <c r="P424" i="60" s="1"/>
  <c r="S427" i="60"/>
  <c r="S434" i="60"/>
  <c r="T434" i="60" s="1"/>
  <c r="S428" i="60"/>
  <c r="T428" i="60" s="1"/>
  <c r="W430" i="60"/>
  <c r="S425" i="60"/>
  <c r="T425" i="60" s="1"/>
  <c r="S430" i="60"/>
  <c r="G425" i="60"/>
  <c r="W434" i="57"/>
  <c r="X434" i="57" s="1"/>
  <c r="W433" i="57"/>
  <c r="X433" i="57" s="1"/>
  <c r="S431" i="57"/>
  <c r="S430" i="57"/>
  <c r="S427" i="57"/>
  <c r="W426" i="57"/>
  <c r="X426" i="57" s="1"/>
  <c r="W425" i="57"/>
  <c r="X425" i="57" s="1"/>
  <c r="O425" i="57"/>
  <c r="P425" i="57" s="1"/>
  <c r="G424" i="57"/>
  <c r="W432" i="57"/>
  <c r="W431" i="57"/>
  <c r="X431" i="57" s="1"/>
  <c r="S429" i="57"/>
  <c r="S428" i="57"/>
  <c r="T428" i="57" s="1"/>
  <c r="K425" i="57"/>
  <c r="W424" i="57"/>
  <c r="O424" i="57"/>
  <c r="P424" i="57" s="1"/>
  <c r="S434" i="57"/>
  <c r="W430" i="57"/>
  <c r="W429" i="57"/>
  <c r="X429" i="57" s="1"/>
  <c r="W427" i="57"/>
  <c r="K427" i="57"/>
  <c r="S426" i="57"/>
  <c r="S425" i="57"/>
  <c r="T425" i="57" s="1"/>
  <c r="K424" i="57"/>
  <c r="S433" i="57"/>
  <c r="S432" i="57"/>
  <c r="W428" i="57"/>
  <c r="X428" i="57" s="1"/>
  <c r="K428" i="57"/>
  <c r="G425" i="57"/>
  <c r="S424" i="57"/>
  <c r="W422" i="57"/>
  <c r="X422" i="57" s="1"/>
  <c r="O359" i="57"/>
  <c r="P359" i="57" s="1"/>
  <c r="O391" i="57"/>
  <c r="P391" i="57" s="1"/>
  <c r="S403" i="57"/>
  <c r="T403" i="57" s="1"/>
  <c r="W399" i="57"/>
  <c r="S356" i="57"/>
  <c r="W380" i="57"/>
  <c r="G359" i="57"/>
  <c r="W358" i="57"/>
  <c r="W405" i="57"/>
  <c r="S349" i="57"/>
  <c r="W355" i="57"/>
  <c r="G391" i="57"/>
  <c r="W362" i="57"/>
  <c r="X362" i="57" s="1"/>
  <c r="W365" i="57"/>
  <c r="X365" i="57" s="1"/>
  <c r="W408" i="57"/>
  <c r="W409" i="57"/>
  <c r="X409" i="57" s="1"/>
  <c r="K351" i="57"/>
  <c r="S396" i="57"/>
  <c r="S393" i="57"/>
  <c r="S363" i="57"/>
  <c r="W360" i="57"/>
  <c r="X360" i="57" s="1"/>
  <c r="S411" i="57"/>
  <c r="W347" i="57"/>
  <c r="S357" i="57"/>
  <c r="S395" i="57"/>
  <c r="T395" i="57" s="1"/>
  <c r="S401" i="57"/>
  <c r="O369" i="57"/>
  <c r="P369" i="57" s="1"/>
  <c r="W419" i="57"/>
  <c r="G381" i="57"/>
  <c r="W369" i="57"/>
  <c r="K369" i="57"/>
  <c r="S420" i="57"/>
  <c r="S381" i="57"/>
  <c r="T381" i="57" s="1"/>
  <c r="S388" i="57"/>
  <c r="S382" i="57"/>
  <c r="K384" i="57"/>
  <c r="S383" i="57"/>
  <c r="S377" i="57"/>
  <c r="W370" i="57"/>
  <c r="X370" i="57" s="1"/>
  <c r="W372" i="57"/>
  <c r="O370" i="57"/>
  <c r="P370" i="57" s="1"/>
  <c r="K413" i="57"/>
  <c r="W421" i="57"/>
  <c r="O413" i="57"/>
  <c r="P413" i="57" s="1"/>
  <c r="S389" i="57"/>
  <c r="W384" i="57"/>
  <c r="X384" i="57" s="1"/>
  <c r="W387" i="57"/>
  <c r="X387" i="57" s="1"/>
  <c r="S378" i="57"/>
  <c r="W371" i="57"/>
  <c r="X371" i="57" s="1"/>
  <c r="S373" i="57"/>
  <c r="T373" i="57" s="1"/>
  <c r="S379" i="57"/>
  <c r="S414" i="57"/>
  <c r="T414" i="57" s="1"/>
  <c r="W416" i="57"/>
  <c r="O414" i="57"/>
  <c r="P414" i="57" s="1"/>
  <c r="S386" i="57"/>
  <c r="W388" i="57"/>
  <c r="W390" i="57"/>
  <c r="X390" i="57" s="1"/>
  <c r="S375" i="57"/>
  <c r="W374" i="57"/>
  <c r="X374" i="57" s="1"/>
  <c r="W375" i="57"/>
  <c r="W378" i="57"/>
  <c r="X378" i="57" s="1"/>
  <c r="S418" i="57"/>
  <c r="S415" i="57"/>
  <c r="S417" i="57"/>
  <c r="T417" i="57" s="1"/>
  <c r="S423" i="57"/>
  <c r="S367" i="57"/>
  <c r="W361" i="57"/>
  <c r="W364" i="57"/>
  <c r="S359" i="57"/>
  <c r="T359" i="57" s="1"/>
  <c r="K359" i="57"/>
  <c r="W367" i="57"/>
  <c r="X367" i="57" s="1"/>
  <c r="S387" i="57"/>
  <c r="W381" i="57"/>
  <c r="X381" i="57" s="1"/>
  <c r="W385" i="57"/>
  <c r="X385" i="57" s="1"/>
  <c r="W383" i="57"/>
  <c r="W386" i="57"/>
  <c r="K381" i="57"/>
  <c r="W389" i="57"/>
  <c r="X389" i="57" s="1"/>
  <c r="S409" i="57"/>
  <c r="K406" i="57"/>
  <c r="W412" i="57"/>
  <c r="X412" i="57" s="1"/>
  <c r="W403" i="57"/>
  <c r="X403" i="57" s="1"/>
  <c r="W407" i="57"/>
  <c r="X407" i="57" s="1"/>
  <c r="K403" i="57"/>
  <c r="W411" i="57"/>
  <c r="X411" i="57" s="1"/>
  <c r="S354" i="57"/>
  <c r="K348" i="57"/>
  <c r="W349" i="57"/>
  <c r="X349" i="57" s="1"/>
  <c r="S351" i="57"/>
  <c r="T351" i="57" s="1"/>
  <c r="G348" i="57"/>
  <c r="W354" i="57"/>
  <c r="X354" i="57" s="1"/>
  <c r="W357" i="57"/>
  <c r="X357" i="57" s="1"/>
  <c r="S376" i="57"/>
  <c r="K370" i="57"/>
  <c r="W373" i="57"/>
  <c r="X373" i="57" s="1"/>
  <c r="G370" i="57"/>
  <c r="W376" i="57"/>
  <c r="X376" i="57" s="1"/>
  <c r="S400" i="57"/>
  <c r="K392" i="57"/>
  <c r="W395" i="57"/>
  <c r="X395" i="57" s="1"/>
  <c r="W391" i="57"/>
  <c r="W393" i="57"/>
  <c r="X393" i="57" s="1"/>
  <c r="G392" i="57"/>
  <c r="W398" i="57"/>
  <c r="X398" i="57" s="1"/>
  <c r="S422" i="57"/>
  <c r="W413" i="57"/>
  <c r="W415" i="57"/>
  <c r="X415" i="57" s="1"/>
  <c r="K414" i="57"/>
  <c r="W417" i="57"/>
  <c r="X417" i="57" s="1"/>
  <c r="G414" i="57"/>
  <c r="W420" i="57"/>
  <c r="X420" i="57" s="1"/>
  <c r="B253" i="60"/>
  <c r="S365" i="57"/>
  <c r="K362" i="57"/>
  <c r="W368" i="57"/>
  <c r="X368" i="57" s="1"/>
  <c r="W359" i="57"/>
  <c r="X359" i="57" s="1"/>
  <c r="W363" i="57"/>
  <c r="X363" i="57" s="1"/>
  <c r="S361" i="57"/>
  <c r="S410" i="57"/>
  <c r="S408" i="57"/>
  <c r="S406" i="57"/>
  <c r="T406" i="57" s="1"/>
  <c r="S404" i="57"/>
  <c r="S405" i="57"/>
  <c r="S355" i="57"/>
  <c r="S353" i="57"/>
  <c r="S348" i="57"/>
  <c r="T348" i="57" s="1"/>
  <c r="W351" i="57"/>
  <c r="X351" i="57" s="1"/>
  <c r="O348" i="57"/>
  <c r="P348" i="57" s="1"/>
  <c r="W352" i="57"/>
  <c r="X352" i="57" s="1"/>
  <c r="S398" i="57"/>
  <c r="W394" i="57"/>
  <c r="W397" i="57"/>
  <c r="S392" i="57"/>
  <c r="T392" i="57" s="1"/>
  <c r="O392" i="57"/>
  <c r="P392" i="57" s="1"/>
  <c r="W400" i="57"/>
  <c r="X400" i="57" s="1"/>
  <c r="S366" i="57"/>
  <c r="S364" i="57"/>
  <c r="S362" i="57"/>
  <c r="T362" i="57" s="1"/>
  <c r="O358" i="57"/>
  <c r="P358" i="57" s="1"/>
  <c r="S360" i="57"/>
  <c r="W366" i="57"/>
  <c r="S385" i="57"/>
  <c r="O381" i="57"/>
  <c r="P381" i="57" s="1"/>
  <c r="W382" i="57"/>
  <c r="X382" i="57" s="1"/>
  <c r="K380" i="57"/>
  <c r="S384" i="57"/>
  <c r="T384" i="57" s="1"/>
  <c r="O380" i="57"/>
  <c r="P380" i="57" s="1"/>
  <c r="S407" i="57"/>
  <c r="G403" i="57"/>
  <c r="W406" i="57"/>
  <c r="X406" i="57" s="1"/>
  <c r="O403" i="57"/>
  <c r="P403" i="57" s="1"/>
  <c r="W404" i="57"/>
  <c r="X404" i="57" s="1"/>
  <c r="O402" i="57"/>
  <c r="P402" i="57" s="1"/>
  <c r="S352" i="57"/>
  <c r="O347" i="57"/>
  <c r="P347" i="57" s="1"/>
  <c r="W348" i="57"/>
  <c r="X348" i="57" s="1"/>
  <c r="W350" i="57"/>
  <c r="W356" i="57"/>
  <c r="X356" i="57" s="1"/>
  <c r="S350" i="57"/>
  <c r="S374" i="57"/>
  <c r="G369" i="57"/>
  <c r="S371" i="57"/>
  <c r="K373" i="57"/>
  <c r="W379" i="57"/>
  <c r="X379" i="57" s="1"/>
  <c r="S399" i="57"/>
  <c r="S397" i="57"/>
  <c r="K395" i="57"/>
  <c r="W401" i="57"/>
  <c r="X401" i="57" s="1"/>
  <c r="W392" i="57"/>
  <c r="X392" i="57" s="1"/>
  <c r="W396" i="57"/>
  <c r="X396" i="57" s="1"/>
  <c r="S421" i="57"/>
  <c r="S419" i="57"/>
  <c r="W414" i="57"/>
  <c r="X414" i="57" s="1"/>
  <c r="W418" i="57"/>
  <c r="X418" i="57" s="1"/>
  <c r="K417" i="57"/>
  <c r="W423" i="57"/>
  <c r="X423" i="57" s="1"/>
  <c r="W399" i="59"/>
  <c r="W396" i="59"/>
  <c r="X396" i="59" s="1"/>
  <c r="W395" i="59"/>
  <c r="X395" i="59" s="1"/>
  <c r="S395" i="59"/>
  <c r="T395" i="59" s="1"/>
  <c r="K395" i="59"/>
  <c r="L395" i="59" s="1"/>
  <c r="S394" i="59"/>
  <c r="W393" i="59"/>
  <c r="X393" i="59" s="1"/>
  <c r="S393" i="59"/>
  <c r="T393" i="59" s="1"/>
  <c r="W392" i="59"/>
  <c r="X392" i="59" s="1"/>
  <c r="S392" i="59"/>
  <c r="T392" i="59" s="1"/>
  <c r="O392" i="59"/>
  <c r="P392" i="59" s="1"/>
  <c r="G392" i="59"/>
  <c r="K391" i="59"/>
  <c r="W401" i="59"/>
  <c r="X401" i="59" s="1"/>
  <c r="S401" i="59"/>
  <c r="T401" i="59" s="1"/>
  <c r="W391" i="59"/>
  <c r="W397" i="59"/>
  <c r="W394" i="59"/>
  <c r="K392" i="59"/>
  <c r="O391" i="59"/>
  <c r="P391" i="59" s="1"/>
  <c r="W398" i="59"/>
  <c r="X398" i="59" s="1"/>
  <c r="S396" i="59"/>
  <c r="T396" i="59" s="1"/>
  <c r="S398" i="59"/>
  <c r="T398" i="59" s="1"/>
  <c r="S400" i="59"/>
  <c r="T400" i="59" s="1"/>
  <c r="W400" i="59"/>
  <c r="X400" i="59" s="1"/>
  <c r="S397" i="59"/>
  <c r="S399" i="59"/>
  <c r="W423" i="59"/>
  <c r="X423" i="59" s="1"/>
  <c r="W419" i="59"/>
  <c r="S423" i="59"/>
  <c r="T423" i="59" s="1"/>
  <c r="W416" i="59"/>
  <c r="O414" i="59"/>
  <c r="P414" i="59" s="1"/>
  <c r="G414" i="59"/>
  <c r="O413" i="59"/>
  <c r="P413" i="59" s="1"/>
  <c r="W421" i="59"/>
  <c r="W417" i="59"/>
  <c r="X417" i="59" s="1"/>
  <c r="S417" i="59"/>
  <c r="T417" i="59" s="1"/>
  <c r="K417" i="59"/>
  <c r="L417" i="59" s="1"/>
  <c r="W415" i="59"/>
  <c r="X415" i="59" s="1"/>
  <c r="S415" i="59"/>
  <c r="T415" i="59" s="1"/>
  <c r="W414" i="59"/>
  <c r="X414" i="59" s="1"/>
  <c r="S414" i="59"/>
  <c r="T414" i="59" s="1"/>
  <c r="W413" i="59"/>
  <c r="K413" i="59"/>
  <c r="W418" i="59"/>
  <c r="X418" i="59" s="1"/>
  <c r="S416" i="59"/>
  <c r="K414" i="59"/>
  <c r="W422" i="59"/>
  <c r="X422" i="59" s="1"/>
  <c r="S419" i="59"/>
  <c r="S421" i="59"/>
  <c r="W420" i="59"/>
  <c r="X420" i="59" s="1"/>
  <c r="S418" i="59"/>
  <c r="T418" i="59" s="1"/>
  <c r="S422" i="59"/>
  <c r="T422" i="59" s="1"/>
  <c r="S420" i="59"/>
  <c r="T420" i="59" s="1"/>
  <c r="O435" i="59"/>
  <c r="P435" i="59" s="1"/>
  <c r="W444" i="59"/>
  <c r="X444" i="59" s="1"/>
  <c r="G436" i="59"/>
  <c r="W438" i="59"/>
  <c r="S445" i="59"/>
  <c r="T445" i="59" s="1"/>
  <c r="W440" i="59"/>
  <c r="X440" i="59" s="1"/>
  <c r="S439" i="59"/>
  <c r="T439" i="59" s="1"/>
  <c r="S438" i="59"/>
  <c r="S437" i="59"/>
  <c r="T437" i="59" s="1"/>
  <c r="S436" i="59"/>
  <c r="T436" i="59" s="1"/>
  <c r="W442" i="59"/>
  <c r="X442" i="59" s="1"/>
  <c r="S440" i="59"/>
  <c r="T440" i="59" s="1"/>
  <c r="S443" i="59"/>
  <c r="W441" i="59"/>
  <c r="K439" i="59"/>
  <c r="L439" i="59" s="1"/>
  <c r="W436" i="59"/>
  <c r="X436" i="59" s="1"/>
  <c r="K435" i="59"/>
  <c r="S441" i="59"/>
  <c r="S444" i="59"/>
  <c r="T444" i="59" s="1"/>
  <c r="O436" i="59"/>
  <c r="P436" i="59" s="1"/>
  <c r="W445" i="59"/>
  <c r="X445" i="59" s="1"/>
  <c r="W439" i="59"/>
  <c r="X439" i="59" s="1"/>
  <c r="W437" i="59"/>
  <c r="X437" i="59" s="1"/>
  <c r="K436" i="59"/>
  <c r="S442" i="59"/>
  <c r="T442" i="59" s="1"/>
  <c r="S500" i="59"/>
  <c r="T500" i="59" s="1"/>
  <c r="G491" i="59"/>
  <c r="O490" i="59"/>
  <c r="P490" i="59" s="1"/>
  <c r="W493" i="59"/>
  <c r="W499" i="59"/>
  <c r="X499" i="59" s="1"/>
  <c r="W490" i="59"/>
  <c r="S491" i="59"/>
  <c r="T491" i="59" s="1"/>
  <c r="S492" i="59"/>
  <c r="T492" i="59" s="1"/>
  <c r="K494" i="59"/>
  <c r="L494" i="59" s="1"/>
  <c r="W494" i="59"/>
  <c r="X494" i="59" s="1"/>
  <c r="W496" i="59"/>
  <c r="S495" i="59"/>
  <c r="T495" i="59" s="1"/>
  <c r="S497" i="59"/>
  <c r="T497" i="59" s="1"/>
  <c r="S499" i="59"/>
  <c r="T499" i="59" s="1"/>
  <c r="W497" i="59"/>
  <c r="X497" i="59" s="1"/>
  <c r="W491" i="59"/>
  <c r="X491" i="59" s="1"/>
  <c r="S493" i="59"/>
  <c r="W495" i="59"/>
  <c r="X495" i="59" s="1"/>
  <c r="W500" i="59"/>
  <c r="X500" i="59" s="1"/>
  <c r="S496" i="59"/>
  <c r="O491" i="59"/>
  <c r="P491" i="59" s="1"/>
  <c r="K491" i="59"/>
  <c r="W492" i="59"/>
  <c r="X492" i="59" s="1"/>
  <c r="S494" i="59"/>
  <c r="T494" i="59" s="1"/>
  <c r="W498" i="59"/>
  <c r="S498" i="59"/>
  <c r="W380" i="59"/>
  <c r="W382" i="59"/>
  <c r="X382" i="59" s="1"/>
  <c r="K384" i="59"/>
  <c r="L384" i="59" s="1"/>
  <c r="W381" i="59"/>
  <c r="X381" i="59" s="1"/>
  <c r="O380" i="59"/>
  <c r="P380" i="59" s="1"/>
  <c r="W383" i="59"/>
  <c r="S385" i="59"/>
  <c r="T385" i="59" s="1"/>
  <c r="S387" i="59"/>
  <c r="T387" i="59" s="1"/>
  <c r="S389" i="59"/>
  <c r="T389" i="59" s="1"/>
  <c r="G380" i="59"/>
  <c r="G381" i="59"/>
  <c r="S382" i="59"/>
  <c r="T382" i="59" s="1"/>
  <c r="S384" i="59"/>
  <c r="T384" i="59" s="1"/>
  <c r="W386" i="59"/>
  <c r="W388" i="59"/>
  <c r="W390" i="59"/>
  <c r="X390" i="59" s="1"/>
  <c r="K381" i="59"/>
  <c r="S386" i="59"/>
  <c r="S390" i="59"/>
  <c r="T390" i="59" s="1"/>
  <c r="S383" i="59"/>
  <c r="W387" i="59"/>
  <c r="X387" i="59" s="1"/>
  <c r="O381" i="59"/>
  <c r="P381" i="59" s="1"/>
  <c r="W384" i="59"/>
  <c r="X384" i="59" s="1"/>
  <c r="S388" i="59"/>
  <c r="S381" i="59"/>
  <c r="T381" i="59" s="1"/>
  <c r="W385" i="59"/>
  <c r="X385" i="59" s="1"/>
  <c r="W389" i="59"/>
  <c r="X389" i="59" s="1"/>
  <c r="W404" i="59"/>
  <c r="X404" i="59" s="1"/>
  <c r="W405" i="59"/>
  <c r="S412" i="59"/>
  <c r="T412" i="59" s="1"/>
  <c r="O403" i="59"/>
  <c r="P403" i="59" s="1"/>
  <c r="W403" i="59"/>
  <c r="X403" i="59" s="1"/>
  <c r="K402" i="59"/>
  <c r="K403" i="59"/>
  <c r="K406" i="59"/>
  <c r="L406" i="59" s="1"/>
  <c r="S410" i="59"/>
  <c r="W411" i="59"/>
  <c r="X411" i="59" s="1"/>
  <c r="W409" i="59"/>
  <c r="X409" i="59" s="1"/>
  <c r="W407" i="59"/>
  <c r="X407" i="59" s="1"/>
  <c r="S405" i="59"/>
  <c r="S408" i="59"/>
  <c r="W406" i="59"/>
  <c r="X406" i="59" s="1"/>
  <c r="S406" i="59"/>
  <c r="T406" i="59" s="1"/>
  <c r="G403" i="59"/>
  <c r="S407" i="59"/>
  <c r="T407" i="59" s="1"/>
  <c r="O402" i="59"/>
  <c r="P402" i="59" s="1"/>
  <c r="W402" i="59"/>
  <c r="S411" i="59"/>
  <c r="T411" i="59" s="1"/>
  <c r="W412" i="59"/>
  <c r="X412" i="59" s="1"/>
  <c r="W408" i="59"/>
  <c r="S404" i="59"/>
  <c r="T404" i="59" s="1"/>
  <c r="G402" i="59"/>
  <c r="S409" i="59"/>
  <c r="T409" i="59" s="1"/>
  <c r="S434" i="59"/>
  <c r="T434" i="59" s="1"/>
  <c r="W427" i="59"/>
  <c r="O425" i="59"/>
  <c r="P425" i="59" s="1"/>
  <c r="G424" i="59"/>
  <c r="O424" i="59"/>
  <c r="P424" i="59" s="1"/>
  <c r="G425" i="59"/>
  <c r="K425" i="59"/>
  <c r="W425" i="59"/>
  <c r="X425" i="59" s="1"/>
  <c r="W426" i="59"/>
  <c r="X426" i="59" s="1"/>
  <c r="K428" i="59"/>
  <c r="L428" i="59" s="1"/>
  <c r="W428" i="59"/>
  <c r="X428" i="59" s="1"/>
  <c r="W430" i="59"/>
  <c r="W434" i="59"/>
  <c r="X434" i="59" s="1"/>
  <c r="W431" i="59"/>
  <c r="X431" i="59" s="1"/>
  <c r="S429" i="59"/>
  <c r="T429" i="59" s="1"/>
  <c r="S432" i="59"/>
  <c r="S425" i="59"/>
  <c r="T425" i="59" s="1"/>
  <c r="S427" i="59"/>
  <c r="W432" i="59"/>
  <c r="S431" i="59"/>
  <c r="T431" i="59" s="1"/>
  <c r="W424" i="59"/>
  <c r="S426" i="59"/>
  <c r="T426" i="59" s="1"/>
  <c r="S428" i="59"/>
  <c r="T428" i="59" s="1"/>
  <c r="W429" i="59"/>
  <c r="X429" i="59" s="1"/>
  <c r="W433" i="59"/>
  <c r="X433" i="59" s="1"/>
  <c r="S430" i="59"/>
  <c r="S433" i="59"/>
  <c r="T433" i="59" s="1"/>
  <c r="W455" i="59"/>
  <c r="X455" i="59" s="1"/>
  <c r="W449" i="59"/>
  <c r="O447" i="59"/>
  <c r="P447" i="59" s="1"/>
  <c r="G446" i="59"/>
  <c r="S456" i="59"/>
  <c r="T456" i="59" s="1"/>
  <c r="G447" i="59"/>
  <c r="W456" i="59"/>
  <c r="X456" i="59" s="1"/>
  <c r="W453" i="59"/>
  <c r="X453" i="59" s="1"/>
  <c r="O446" i="59"/>
  <c r="P446" i="59" s="1"/>
  <c r="W446" i="59"/>
  <c r="S447" i="59"/>
  <c r="T447" i="59" s="1"/>
  <c r="S448" i="59"/>
  <c r="T448" i="59" s="1"/>
  <c r="K450" i="59"/>
  <c r="L450" i="59" s="1"/>
  <c r="W450" i="59"/>
  <c r="X450" i="59" s="1"/>
  <c r="W452" i="59"/>
  <c r="W454" i="59"/>
  <c r="S452" i="59"/>
  <c r="S453" i="59"/>
  <c r="T453" i="59" s="1"/>
  <c r="S455" i="59"/>
  <c r="T455" i="59" s="1"/>
  <c r="K446" i="59"/>
  <c r="W447" i="59"/>
  <c r="X447" i="59" s="1"/>
  <c r="S449" i="59"/>
  <c r="W451" i="59"/>
  <c r="X451" i="59" s="1"/>
  <c r="K447" i="59"/>
  <c r="W448" i="59"/>
  <c r="X448" i="59" s="1"/>
  <c r="S450" i="59"/>
  <c r="T450" i="59" s="1"/>
  <c r="S451" i="59"/>
  <c r="T451" i="59" s="1"/>
  <c r="S454" i="59"/>
  <c r="A353" i="9" l="1"/>
  <c r="A354" i="9" s="1"/>
  <c r="A355" i="9" s="1"/>
  <c r="A356" i="9" s="1"/>
  <c r="A357" i="9" s="1"/>
  <c r="A358" i="9" s="1"/>
  <c r="A359" i="9" s="1"/>
  <c r="A360" i="9" s="1"/>
  <c r="A361" i="9" s="1"/>
  <c r="A362" i="9" s="1"/>
  <c r="A363" i="9" s="1"/>
  <c r="A364" i="9" s="1"/>
  <c r="A365" i="9" s="1"/>
  <c r="A366" i="9" s="1"/>
  <c r="A367" i="9" s="1"/>
  <c r="A368" i="9" s="1"/>
  <c r="A369" i="9" s="1"/>
  <c r="A370" i="9" s="1"/>
  <c r="A371" i="9" s="1"/>
  <c r="A372" i="9" s="1"/>
  <c r="A373" i="9" s="1"/>
  <c r="A374" i="9" s="1"/>
  <c r="A375" i="9" s="1"/>
  <c r="A376" i="9" s="1"/>
  <c r="A377" i="9" s="1"/>
  <c r="A378" i="9" s="1"/>
  <c r="A379" i="9" s="1"/>
  <c r="A380" i="9" s="1"/>
  <c r="A381" i="9" s="1"/>
  <c r="A382" i="9" s="1"/>
  <c r="A383" i="9" s="1"/>
  <c r="A384" i="9" s="1"/>
  <c r="A385" i="9" s="1"/>
  <c r="A386" i="9" s="1"/>
  <c r="A387" i="9" s="1"/>
  <c r="A388" i="9" s="1"/>
  <c r="A389" i="9" s="1"/>
  <c r="A390" i="9" s="1"/>
  <c r="A391" i="9" s="1"/>
  <c r="A392" i="9" s="1"/>
  <c r="A393" i="9" s="1"/>
  <c r="A394" i="9" s="1"/>
  <c r="A395" i="9" s="1"/>
  <c r="A396" i="9" s="1"/>
  <c r="A397" i="9" s="1"/>
  <c r="A398" i="9" s="1"/>
  <c r="A399" i="9" s="1"/>
  <c r="A400" i="9" s="1"/>
  <c r="A401" i="9" s="1"/>
  <c r="A402" i="9" s="1"/>
  <c r="A403" i="9" s="1"/>
  <c r="A404" i="9" s="1"/>
  <c r="A405" i="9" s="1"/>
  <c r="A406" i="9" s="1"/>
  <c r="A407" i="9" s="1"/>
  <c r="A408" i="9" s="1"/>
  <c r="A409" i="9" s="1"/>
  <c r="A410" i="9" s="1"/>
  <c r="A411" i="9" s="1"/>
  <c r="A412" i="9" s="1"/>
  <c r="A413" i="9" s="1"/>
  <c r="A414" i="9" s="1"/>
  <c r="A415" i="9" s="1"/>
  <c r="A416" i="9" s="1"/>
  <c r="A417" i="9" s="1"/>
  <c r="A418" i="9" s="1"/>
  <c r="A419" i="9" s="1"/>
  <c r="A420" i="9" s="1"/>
  <c r="A421" i="9" s="1"/>
  <c r="A422" i="9" s="1"/>
  <c r="A423" i="9" s="1"/>
  <c r="A424" i="9" s="1"/>
  <c r="A425" i="9" s="1"/>
  <c r="A426" i="9" s="1"/>
  <c r="A427" i="9" s="1"/>
  <c r="A428" i="9" s="1"/>
  <c r="A429" i="9" s="1"/>
  <c r="A430" i="9" s="1"/>
  <c r="A431" i="9" s="1"/>
  <c r="A432" i="9" s="1"/>
  <c r="A433" i="9" s="1"/>
  <c r="A434" i="9" s="1"/>
  <c r="A435" i="9" s="1"/>
  <c r="L417" i="57"/>
  <c r="L395" i="57"/>
  <c r="L373" i="57"/>
  <c r="T409" i="57"/>
  <c r="T415" i="57"/>
  <c r="T379" i="57"/>
  <c r="T382" i="57"/>
  <c r="T393" i="57"/>
  <c r="T426" i="57"/>
  <c r="T532" i="57"/>
  <c r="T533" i="57"/>
  <c r="T525" i="57"/>
  <c r="L438" i="57"/>
  <c r="T440" i="57"/>
  <c r="L461" i="57"/>
  <c r="T442" i="57"/>
  <c r="L472" i="57"/>
  <c r="T477" i="57"/>
  <c r="T499" i="57"/>
  <c r="T475" i="57"/>
  <c r="T519" i="57"/>
  <c r="T514" i="57"/>
  <c r="T371" i="57"/>
  <c r="T352" i="57"/>
  <c r="T385" i="57"/>
  <c r="T398" i="57"/>
  <c r="T404" i="57"/>
  <c r="L362" i="57"/>
  <c r="T400" i="57"/>
  <c r="T354" i="57"/>
  <c r="T367" i="57"/>
  <c r="T418" i="57"/>
  <c r="T401" i="57"/>
  <c r="T411" i="57"/>
  <c r="T396" i="57"/>
  <c r="T349" i="57"/>
  <c r="T433" i="57"/>
  <c r="L427" i="57"/>
  <c r="T434" i="57"/>
  <c r="T541" i="57"/>
  <c r="T539" i="57"/>
  <c r="L538" i="57"/>
  <c r="T536" i="57"/>
  <c r="T530" i="57"/>
  <c r="T437" i="57"/>
  <c r="T466" i="57"/>
  <c r="T467" i="57"/>
  <c r="T495" i="57"/>
  <c r="T497" i="57"/>
  <c r="L493" i="57"/>
  <c r="T473" i="57"/>
  <c r="L482" i="57"/>
  <c r="L450" i="57"/>
  <c r="T488" i="57"/>
  <c r="T453" i="57"/>
  <c r="T510" i="57"/>
  <c r="L516" i="57"/>
  <c r="T365" i="57"/>
  <c r="T422" i="57"/>
  <c r="T376" i="57"/>
  <c r="T423" i="57"/>
  <c r="T389" i="57"/>
  <c r="L351" i="57"/>
  <c r="T356" i="57"/>
  <c r="L428" i="57"/>
  <c r="T429" i="57"/>
  <c r="T543" i="57"/>
  <c r="T544" i="57"/>
  <c r="L526" i="57"/>
  <c r="L527" i="57"/>
  <c r="L439" i="57"/>
  <c r="T464" i="57"/>
  <c r="L494" i="57"/>
  <c r="T455" i="57"/>
  <c r="L471" i="57"/>
  <c r="T492" i="57"/>
  <c r="T484" i="57"/>
  <c r="T489" i="57"/>
  <c r="T444" i="57"/>
  <c r="T506" i="57"/>
  <c r="L515" i="57"/>
  <c r="T517" i="57"/>
  <c r="T521" i="57"/>
  <c r="T374" i="57"/>
  <c r="T407" i="57"/>
  <c r="T360" i="57"/>
  <c r="L406" i="57"/>
  <c r="T387" i="57"/>
  <c r="T378" i="57"/>
  <c r="L384" i="57"/>
  <c r="T420" i="57"/>
  <c r="T357" i="57"/>
  <c r="T363" i="57"/>
  <c r="T431" i="57"/>
  <c r="L537" i="57"/>
  <c r="T528" i="57"/>
  <c r="T445" i="57"/>
  <c r="T456" i="57"/>
  <c r="L449" i="57"/>
  <c r="T459" i="57"/>
  <c r="L460" i="57"/>
  <c r="T462" i="57"/>
  <c r="T470" i="57"/>
  <c r="T451" i="57"/>
  <c r="T486" i="57"/>
  <c r="T448" i="57"/>
  <c r="T481" i="57"/>
  <c r="T503" i="57"/>
  <c r="L483" i="57"/>
  <c r="Y248" i="59"/>
  <c r="AC254" i="59" s="1"/>
  <c r="Y468" i="57"/>
  <c r="AC473" i="57" s="1"/>
  <c r="Y479" i="57"/>
  <c r="AC484" i="57" s="1"/>
  <c r="Y435" i="57"/>
  <c r="AC440" i="57" s="1"/>
  <c r="Y523" i="57"/>
  <c r="AC528" i="57" s="1"/>
  <c r="Y479" i="60"/>
  <c r="AC484" i="60" s="1"/>
  <c r="Y457" i="60"/>
  <c r="AC462" i="60" s="1"/>
  <c r="Y446" i="60"/>
  <c r="AC452" i="60" s="1"/>
  <c r="Y490" i="60"/>
  <c r="AC496" i="60" s="1"/>
  <c r="Y468" i="60"/>
  <c r="AC474" i="60" s="1"/>
  <c r="Y424" i="57"/>
  <c r="AC429" i="57" s="1"/>
  <c r="W258" i="60"/>
  <c r="X258" i="60" s="1"/>
  <c r="S258" i="60"/>
  <c r="T258" i="60" s="1"/>
  <c r="W257" i="60"/>
  <c r="X257" i="60" s="1"/>
  <c r="S257" i="60"/>
  <c r="T257" i="60" s="1"/>
  <c r="W256" i="60"/>
  <c r="S256" i="60"/>
  <c r="W255" i="60"/>
  <c r="X255" i="60" s="1"/>
  <c r="S255" i="60"/>
  <c r="T255" i="60" s="1"/>
  <c r="W254" i="60"/>
  <c r="S254" i="60"/>
  <c r="W253" i="60"/>
  <c r="X253" i="60" s="1"/>
  <c r="S253" i="60"/>
  <c r="T253" i="60" s="1"/>
  <c r="W252" i="60"/>
  <c r="X252" i="60" s="1"/>
  <c r="S252" i="60"/>
  <c r="T252" i="60" s="1"/>
  <c r="K252" i="60"/>
  <c r="L252" i="60" s="1"/>
  <c r="W250" i="60"/>
  <c r="X250" i="60" s="1"/>
  <c r="S250" i="60"/>
  <c r="T250" i="60" s="1"/>
  <c r="W249" i="60"/>
  <c r="X249" i="60" s="1"/>
  <c r="S249" i="60"/>
  <c r="T249" i="60" s="1"/>
  <c r="O249" i="60"/>
  <c r="P249" i="60" s="1"/>
  <c r="K248" i="60"/>
  <c r="G248" i="60"/>
  <c r="S251" i="60"/>
  <c r="K249" i="60"/>
  <c r="O248" i="60"/>
  <c r="P248" i="60" s="1"/>
  <c r="W251" i="60"/>
  <c r="K251" i="60"/>
  <c r="L251" i="60" s="1"/>
  <c r="G249" i="60"/>
  <c r="W248" i="60"/>
  <c r="G424" i="60"/>
  <c r="K413" i="60"/>
  <c r="S370" i="60"/>
  <c r="T370" i="60" s="1"/>
  <c r="W410" i="60"/>
  <c r="K347" i="60"/>
  <c r="S380" i="60"/>
  <c r="W377" i="60"/>
  <c r="S424" i="60"/>
  <c r="S248" i="60"/>
  <c r="A437" i="9" l="1"/>
  <c r="A438" i="9" s="1"/>
  <c r="A439" i="9" s="1"/>
  <c r="A440" i="9" s="1"/>
  <c r="A441" i="9" s="1"/>
  <c r="A442" i="9" s="1"/>
  <c r="A443" i="9" s="1"/>
  <c r="A444" i="9" s="1"/>
  <c r="A445" i="9" s="1"/>
  <c r="A446" i="9" s="1"/>
  <c r="A447" i="9" s="1"/>
  <c r="A436" i="9"/>
  <c r="S402" i="60"/>
  <c r="K361" i="60"/>
  <c r="L361" i="60" s="1"/>
  <c r="S347" i="60"/>
  <c r="S391" i="60"/>
  <c r="A448" i="9" l="1"/>
  <c r="A449" i="9" s="1"/>
  <c r="A450" i="9" s="1"/>
  <c r="A451" i="9" s="1"/>
  <c r="A452" i="9" s="1"/>
  <c r="A453" i="9" s="1"/>
  <c r="A454" i="9" s="1"/>
  <c r="A455" i="9" s="1"/>
  <c r="A456" i="9" s="1"/>
  <c r="A457" i="9" s="1"/>
  <c r="A458" i="9" s="1"/>
  <c r="A459" i="9" s="1"/>
  <c r="A460" i="9" s="1"/>
  <c r="A461" i="9" s="1"/>
  <c r="A462" i="9" s="1"/>
  <c r="A463" i="9" s="1"/>
  <c r="A464" i="9" s="1"/>
  <c r="A465" i="9" s="1"/>
  <c r="A466" i="9" s="1"/>
  <c r="A467" i="9" s="1"/>
  <c r="A468" i="9" s="1"/>
  <c r="A469" i="9" s="1"/>
  <c r="A470" i="9" s="1"/>
  <c r="A471" i="9" s="1"/>
  <c r="A472" i="9" s="1"/>
  <c r="A473" i="9" s="1"/>
  <c r="A474" i="9" s="1"/>
  <c r="A475" i="9" s="1"/>
  <c r="A476" i="9" s="1"/>
  <c r="A477" i="9" s="1"/>
  <c r="A478" i="9" s="1"/>
  <c r="A479" i="9" s="1"/>
  <c r="A480" i="9" s="1"/>
  <c r="A481" i="9" s="1"/>
  <c r="A482" i="9" s="1"/>
  <c r="A483" i="9" s="1"/>
  <c r="A484" i="9" s="1"/>
  <c r="A485" i="9" s="1"/>
  <c r="A486" i="9" s="1"/>
  <c r="A487" i="9" s="1"/>
  <c r="A488" i="9" s="1"/>
  <c r="A489" i="9" s="1"/>
  <c r="A490" i="9" s="1"/>
  <c r="A491" i="9" s="1"/>
  <c r="A492" i="9" s="1"/>
  <c r="A493" i="9" s="1"/>
  <c r="A494" i="9" s="1"/>
  <c r="A495" i="9" s="1"/>
  <c r="A496" i="9" s="1"/>
  <c r="A497" i="9" s="1"/>
  <c r="A498" i="9" s="1"/>
  <c r="A499" i="9" s="1"/>
  <c r="A500" i="9" s="1"/>
  <c r="A501" i="9" s="1"/>
  <c r="A502" i="9" s="1"/>
  <c r="A503" i="9" s="1"/>
  <c r="A504" i="9" s="1"/>
  <c r="A505" i="9" s="1"/>
  <c r="A506" i="9" s="1"/>
  <c r="A507" i="9" s="1"/>
  <c r="A508" i="9" s="1"/>
  <c r="A509" i="9" s="1"/>
  <c r="A510" i="9" s="1"/>
  <c r="A511" i="9" s="1"/>
  <c r="A512" i="9" s="1"/>
  <c r="A513" i="9" s="1"/>
  <c r="A514" i="9" s="1"/>
  <c r="A515" i="9" s="1"/>
  <c r="A516" i="9" s="1"/>
  <c r="A517" i="9" s="1"/>
  <c r="A518" i="9" s="1"/>
  <c r="A519" i="9" s="1"/>
  <c r="A520" i="9" s="1"/>
  <c r="A521" i="9" s="1"/>
  <c r="A522" i="9" s="1"/>
  <c r="A523" i="9" s="1"/>
  <c r="A524" i="9" s="1"/>
  <c r="A525" i="9" s="1"/>
  <c r="A526" i="9" s="1"/>
  <c r="A527" i="9" s="1"/>
  <c r="A528" i="9" s="1"/>
  <c r="A529" i="9" s="1"/>
  <c r="A530" i="9" s="1"/>
  <c r="A531" i="9" s="1"/>
  <c r="A532" i="9" s="1"/>
  <c r="A533" i="9" s="1"/>
  <c r="A534" i="9" s="1"/>
  <c r="A535" i="9" s="1"/>
  <c r="A536" i="9" s="1"/>
  <c r="A537" i="9" s="1"/>
  <c r="A538" i="9" s="1"/>
  <c r="A539" i="9" s="1"/>
  <c r="A540" i="9" s="1"/>
  <c r="A541" i="9" s="1"/>
  <c r="A542" i="9" s="1"/>
  <c r="A543" i="9" s="1"/>
  <c r="A544" i="9" s="1"/>
  <c r="A545" i="9" s="1"/>
  <c r="A546" i="9" s="1"/>
  <c r="A547" i="9" s="1"/>
  <c r="A548" i="9" s="1"/>
  <c r="A549" i="9" s="1"/>
  <c r="A550" i="9" s="1"/>
  <c r="A551" i="9" s="1"/>
  <c r="A552" i="9" s="1"/>
  <c r="A553" i="9" s="1"/>
  <c r="A554" i="9" s="1"/>
  <c r="A555" i="9" s="1"/>
  <c r="A556" i="9" s="1"/>
  <c r="A557" i="9" s="1"/>
  <c r="A558" i="9" s="1"/>
  <c r="A559" i="9" s="1"/>
  <c r="A560" i="9" s="1"/>
  <c r="A561" i="9" s="1"/>
  <c r="A562" i="9" s="1"/>
  <c r="A563" i="9" s="1"/>
  <c r="A564" i="9" s="1"/>
  <c r="A565" i="9" s="1"/>
  <c r="A566" i="9" s="1"/>
  <c r="A567" i="9" s="1"/>
  <c r="A568" i="9" s="1"/>
  <c r="A569" i="9" s="1"/>
  <c r="A570" i="9" s="1"/>
  <c r="A571" i="9" s="1"/>
  <c r="A572" i="9" s="1"/>
  <c r="A573" i="9" s="1"/>
  <c r="A574" i="9" s="1"/>
  <c r="A575" i="9" s="1"/>
  <c r="A576" i="9" s="1"/>
  <c r="A577" i="9" s="1"/>
  <c r="A578" i="9" s="1"/>
  <c r="A579" i="9" s="1"/>
  <c r="A580" i="9" s="1"/>
  <c r="A581" i="9" s="1"/>
  <c r="A582" i="9" s="1"/>
  <c r="A583" i="9" s="1"/>
  <c r="A584" i="9" s="1"/>
  <c r="A585" i="9" s="1"/>
  <c r="A586" i="9" s="1"/>
  <c r="A587" i="9" s="1"/>
  <c r="A588" i="9" s="1"/>
  <c r="A589" i="9" s="1"/>
  <c r="A590" i="9" s="1"/>
  <c r="A591" i="9" s="1"/>
  <c r="A592" i="9" s="1"/>
  <c r="Y391" i="60"/>
  <c r="AC397" i="60" s="1"/>
  <c r="U258" i="57"/>
  <c r="Q258" i="57"/>
  <c r="U257" i="57"/>
  <c r="Q257" i="57"/>
  <c r="U255" i="57"/>
  <c r="Q255" i="57"/>
  <c r="U253" i="57"/>
  <c r="Q253" i="57"/>
  <c r="U252" i="57"/>
  <c r="Q252" i="57"/>
  <c r="I252" i="57"/>
  <c r="I251" i="57"/>
  <c r="U250" i="57"/>
  <c r="Q250" i="57"/>
  <c r="U249" i="57"/>
  <c r="Q249" i="57"/>
  <c r="A691" i="9" l="1"/>
  <c r="A692" i="9" s="1"/>
  <c r="A693" i="9" s="1"/>
  <c r="A694" i="9" s="1"/>
  <c r="A695" i="9" s="1"/>
  <c r="A696" i="9" s="1"/>
  <c r="A697" i="9" s="1"/>
  <c r="A698" i="9" s="1"/>
  <c r="A699" i="9" s="1"/>
  <c r="A700" i="9" s="1"/>
  <c r="A701" i="9" s="1"/>
  <c r="A702" i="9" s="1"/>
  <c r="A703" i="9" s="1"/>
  <c r="A704" i="9" s="1"/>
  <c r="A705" i="9" s="1"/>
  <c r="A706" i="9" s="1"/>
  <c r="A707" i="9" s="1"/>
  <c r="A708" i="9" s="1"/>
  <c r="A709" i="9" s="1"/>
  <c r="A710" i="9" s="1"/>
  <c r="A711" i="9" s="1"/>
  <c r="A712" i="9" s="1"/>
  <c r="A713" i="9" s="1"/>
  <c r="A714" i="9" s="1"/>
  <c r="A715" i="9" s="1"/>
  <c r="A716" i="9" s="1"/>
  <c r="A717" i="9" s="1"/>
  <c r="A718" i="9" s="1"/>
  <c r="A719" i="9" s="1"/>
  <c r="A720" i="9" s="1"/>
  <c r="A721" i="9" s="1"/>
  <c r="A722" i="9" s="1"/>
  <c r="A723" i="9" s="1"/>
  <c r="A724" i="9" s="1"/>
  <c r="A725" i="9" s="1"/>
  <c r="A726" i="9" s="1"/>
  <c r="A727" i="9" s="1"/>
  <c r="A728" i="9" s="1"/>
  <c r="A729" i="9" s="1"/>
  <c r="A730" i="9" s="1"/>
  <c r="A731" i="9" s="1"/>
  <c r="A732" i="9" s="1"/>
  <c r="A733" i="9" s="1"/>
  <c r="A734" i="9" s="1"/>
  <c r="A735" i="9" s="1"/>
  <c r="A736" i="9" s="1"/>
  <c r="A737" i="9" s="1"/>
  <c r="A738" i="9" s="1"/>
  <c r="A739" i="9" s="1"/>
  <c r="A740" i="9" s="1"/>
  <c r="A741" i="9" s="1"/>
  <c r="A742" i="9" s="1"/>
  <c r="A743" i="9" s="1"/>
  <c r="A744" i="9" s="1"/>
  <c r="A745" i="9" s="1"/>
  <c r="A746" i="9" s="1"/>
  <c r="A747" i="9" s="1"/>
  <c r="A748" i="9" s="1"/>
  <c r="A749" i="9" s="1"/>
  <c r="A750" i="9" s="1"/>
  <c r="A751" i="9" s="1"/>
  <c r="A752" i="9" s="1"/>
  <c r="A753" i="9" s="1"/>
  <c r="A754" i="9" s="1"/>
  <c r="A755" i="9" s="1"/>
  <c r="A756" i="9" s="1"/>
  <c r="A757" i="9" s="1"/>
  <c r="A758" i="9" s="1"/>
  <c r="A759" i="9" s="1"/>
  <c r="A760" i="9" s="1"/>
  <c r="A761" i="9" s="1"/>
  <c r="A762" i="9" s="1"/>
  <c r="A763" i="9" s="1"/>
  <c r="A764" i="9" s="1"/>
  <c r="A765" i="9" s="1"/>
  <c r="A766" i="9" s="1"/>
  <c r="A767" i="9" s="1"/>
  <c r="A768" i="9" s="1"/>
  <c r="A769" i="9" s="1"/>
  <c r="A770" i="9" s="1"/>
  <c r="A771" i="9" s="1"/>
  <c r="A772" i="9" s="1"/>
  <c r="A773" i="9" s="1"/>
  <c r="A774" i="9" s="1"/>
  <c r="A775" i="9" s="1"/>
  <c r="A776" i="9" s="1"/>
  <c r="A777" i="9" s="1"/>
  <c r="A778" i="9" s="1"/>
  <c r="A779" i="9" s="1"/>
  <c r="A780" i="9" s="1"/>
  <c r="A781" i="9" s="1"/>
  <c r="A782" i="9" s="1"/>
  <c r="A783" i="9" s="1"/>
  <c r="A784" i="9" s="1"/>
  <c r="A785" i="9" s="1"/>
  <c r="A786" i="9" s="1"/>
  <c r="A787" i="9" s="1"/>
  <c r="A788" i="9" s="1"/>
  <c r="A789" i="9" s="1"/>
  <c r="A790" i="9" s="1"/>
  <c r="A791" i="9" s="1"/>
  <c r="A792" i="9" s="1"/>
  <c r="A793" i="9" s="1"/>
  <c r="A794" i="9" s="1"/>
  <c r="A795" i="9" s="1"/>
  <c r="A796" i="9" s="1"/>
  <c r="A797" i="9" s="1"/>
  <c r="A798" i="9" s="1"/>
  <c r="A799" i="9" s="1"/>
  <c r="A800" i="9" s="1"/>
  <c r="A801" i="9" s="1"/>
  <c r="A802" i="9" s="1"/>
  <c r="A803" i="9" s="1"/>
  <c r="A804" i="9" s="1"/>
  <c r="A805" i="9" s="1"/>
  <c r="A806" i="9" s="1"/>
  <c r="A807" i="9" s="1"/>
  <c r="A808" i="9" s="1"/>
  <c r="A809" i="9" s="1"/>
  <c r="A810" i="9" s="1"/>
  <c r="A811" i="9" s="1"/>
  <c r="A812" i="9" s="1"/>
  <c r="A813" i="9" s="1"/>
  <c r="A814" i="9" s="1"/>
  <c r="A815" i="9" s="1"/>
  <c r="A816" i="9" s="1"/>
  <c r="A817" i="9" s="1"/>
  <c r="A818" i="9" s="1"/>
  <c r="A819" i="9" s="1"/>
  <c r="A820" i="9" s="1"/>
  <c r="A821" i="9" s="1"/>
  <c r="A822" i="9" s="1"/>
  <c r="A823" i="9" s="1"/>
  <c r="A824" i="9" s="1"/>
  <c r="A825" i="9" s="1"/>
  <c r="A826" i="9" s="1"/>
  <c r="A827" i="9" s="1"/>
  <c r="A828" i="9" s="1"/>
  <c r="A829" i="9" s="1"/>
  <c r="A830" i="9" s="1"/>
  <c r="A831" i="9" s="1"/>
  <c r="A832" i="9" s="1"/>
  <c r="A833" i="9" s="1"/>
  <c r="A834" i="9" s="1"/>
  <c r="A835" i="9" s="1"/>
  <c r="A836" i="9" s="1"/>
  <c r="A837" i="9" s="1"/>
  <c r="A593" i="9"/>
  <c r="A594" i="9" s="1"/>
  <c r="A595" i="9" s="1"/>
  <c r="A596" i="9" s="1"/>
  <c r="A597" i="9" s="1"/>
  <c r="A598" i="9" s="1"/>
  <c r="A599" i="9" s="1"/>
  <c r="A600" i="9" s="1"/>
  <c r="A601" i="9" s="1"/>
  <c r="A602" i="9" s="1"/>
  <c r="A603" i="9" s="1"/>
  <c r="A604" i="9" s="1"/>
  <c r="A605" i="9" s="1"/>
  <c r="A606" i="9" s="1"/>
  <c r="A607" i="9" s="1"/>
  <c r="A608" i="9" s="1"/>
  <c r="A609" i="9" s="1"/>
  <c r="A610" i="9" s="1"/>
  <c r="A611" i="9" s="1"/>
  <c r="A612" i="9" s="1"/>
  <c r="A613" i="9" s="1"/>
  <c r="A614" i="9" s="1"/>
  <c r="A615" i="9" s="1"/>
  <c r="A616" i="9" s="1"/>
  <c r="A617" i="9" s="1"/>
  <c r="A618" i="9" s="1"/>
  <c r="A619" i="9" s="1"/>
  <c r="A620" i="9" s="1"/>
  <c r="A621" i="9" s="1"/>
  <c r="A622" i="9" s="1"/>
  <c r="A623" i="9" s="1"/>
  <c r="A624" i="9" s="1"/>
  <c r="A625" i="9" s="1"/>
  <c r="A626" i="9" s="1"/>
  <c r="A627" i="9" s="1"/>
  <c r="A628" i="9" s="1"/>
  <c r="A629" i="9" s="1"/>
  <c r="A630" i="9" s="1"/>
  <c r="A631" i="9" s="1"/>
  <c r="A632" i="9" s="1"/>
  <c r="A633" i="9" s="1"/>
  <c r="A634" i="9" s="1"/>
  <c r="A635" i="9" s="1"/>
  <c r="A636" i="9" s="1"/>
  <c r="A637" i="9" s="1"/>
  <c r="A638" i="9" s="1"/>
  <c r="A639" i="9" s="1"/>
  <c r="A640" i="9" s="1"/>
  <c r="A641" i="9" s="1"/>
  <c r="A642" i="9" s="1"/>
  <c r="A643" i="9" s="1"/>
  <c r="A644" i="9" s="1"/>
  <c r="A645" i="9" s="1"/>
  <c r="A646" i="9" s="1"/>
  <c r="A647" i="9" s="1"/>
  <c r="A648" i="9" s="1"/>
  <c r="A649" i="9" s="1"/>
  <c r="A650" i="9" s="1"/>
  <c r="A651" i="9" s="1"/>
  <c r="A652" i="9" s="1"/>
  <c r="A653" i="9" s="1"/>
  <c r="A654" i="9" s="1"/>
  <c r="A655" i="9" s="1"/>
  <c r="A656" i="9" s="1"/>
  <c r="A657" i="9" s="1"/>
  <c r="A658" i="9" s="1"/>
  <c r="A659" i="9" s="1"/>
  <c r="A660" i="9" s="1"/>
  <c r="A661" i="9" s="1"/>
  <c r="A662" i="9" s="1"/>
  <c r="A663" i="9" s="1"/>
  <c r="A664" i="9" s="1"/>
  <c r="A665" i="9" s="1"/>
  <c r="A666" i="9" s="1"/>
  <c r="A667" i="9" s="1"/>
  <c r="A668" i="9" s="1"/>
  <c r="A669" i="9" s="1"/>
  <c r="A670" i="9" s="1"/>
  <c r="A671" i="9" s="1"/>
  <c r="A672" i="9" s="1"/>
  <c r="A673" i="9" s="1"/>
  <c r="A674" i="9" s="1"/>
  <c r="A675" i="9" s="1"/>
  <c r="A676" i="9" s="1"/>
  <c r="A677" i="9" s="1"/>
  <c r="A678" i="9" s="1"/>
  <c r="A679" i="9" s="1"/>
  <c r="A680" i="9" s="1"/>
  <c r="A681" i="9" s="1"/>
  <c r="A682" i="9" s="1"/>
  <c r="A683" i="9" s="1"/>
  <c r="A684" i="9" s="1"/>
  <c r="A685" i="9" s="1"/>
  <c r="A686" i="9" s="1"/>
  <c r="A687" i="9" s="1"/>
  <c r="A688" i="9" s="1"/>
  <c r="A689" i="9" s="1"/>
  <c r="A690" i="9" s="1"/>
  <c r="A2" i="26"/>
  <c r="A3" i="26" s="1"/>
  <c r="A4" i="26" l="1"/>
  <c r="A5" i="26" s="1"/>
  <c r="A6" i="26" s="1"/>
  <c r="A7" i="26" s="1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G36" i="66"/>
  <c r="J5" i="66"/>
  <c r="P3" i="66"/>
  <c r="G28" i="65"/>
  <c r="J5" i="65"/>
  <c r="P3" i="65"/>
  <c r="A35" i="26" l="1"/>
  <c r="O7" i="65"/>
  <c r="A36" i="26" l="1"/>
  <c r="A37" i="26" l="1"/>
  <c r="G33" i="64"/>
  <c r="J5" i="64"/>
  <c r="Q3" i="64"/>
  <c r="A38" i="26" l="1"/>
  <c r="G36" i="63"/>
  <c r="J5" i="63"/>
  <c r="P3" i="63"/>
  <c r="G36" i="62"/>
  <c r="J5" i="62"/>
  <c r="P3" i="62"/>
  <c r="G36" i="61"/>
  <c r="J5" i="61"/>
  <c r="P3" i="61"/>
  <c r="G29" i="38"/>
  <c r="G36" i="25"/>
  <c r="G33" i="40"/>
  <c r="Q2" i="57"/>
  <c r="Q2" i="60"/>
  <c r="Q2" i="59"/>
  <c r="A39" i="26" l="1"/>
  <c r="J5" i="38"/>
  <c r="J5" i="40"/>
  <c r="J5" i="25"/>
  <c r="A40" i="26" l="1"/>
  <c r="A41" i="26" l="1"/>
  <c r="L107" i="59"/>
  <c r="L110" i="59"/>
  <c r="L111" i="59"/>
  <c r="L112" i="59"/>
  <c r="L113" i="59"/>
  <c r="L114" i="59"/>
  <c r="L115" i="59"/>
  <c r="L118" i="59"/>
  <c r="L121" i="59"/>
  <c r="L122" i="59"/>
  <c r="L123" i="59"/>
  <c r="L124" i="59"/>
  <c r="L125" i="59"/>
  <c r="L126" i="59"/>
  <c r="L129" i="59"/>
  <c r="L132" i="59"/>
  <c r="L133" i="59"/>
  <c r="L134" i="59"/>
  <c r="L135" i="59"/>
  <c r="L136" i="59"/>
  <c r="L137" i="59"/>
  <c r="L140" i="59"/>
  <c r="L143" i="59"/>
  <c r="L144" i="59"/>
  <c r="L145" i="59"/>
  <c r="L146" i="59"/>
  <c r="L147" i="59"/>
  <c r="L148" i="59"/>
  <c r="L151" i="59"/>
  <c r="L154" i="59"/>
  <c r="L155" i="59"/>
  <c r="L156" i="59"/>
  <c r="L157" i="59"/>
  <c r="L158" i="59"/>
  <c r="L159" i="59"/>
  <c r="L162" i="59"/>
  <c r="L165" i="59"/>
  <c r="L166" i="59"/>
  <c r="L167" i="59"/>
  <c r="L168" i="59"/>
  <c r="L169" i="59"/>
  <c r="L170" i="59"/>
  <c r="L173" i="59"/>
  <c r="L176" i="59"/>
  <c r="L177" i="59"/>
  <c r="L178" i="59"/>
  <c r="L179" i="59"/>
  <c r="L180" i="59"/>
  <c r="L181" i="59"/>
  <c r="L184" i="59"/>
  <c r="L187" i="59"/>
  <c r="L188" i="59"/>
  <c r="L189" i="59"/>
  <c r="L190" i="59"/>
  <c r="L191" i="59"/>
  <c r="L192" i="59"/>
  <c r="L195" i="59"/>
  <c r="L198" i="59"/>
  <c r="L199" i="59"/>
  <c r="L200" i="59"/>
  <c r="L201" i="59"/>
  <c r="L202" i="59"/>
  <c r="L203" i="59"/>
  <c r="L206" i="59"/>
  <c r="L209" i="59"/>
  <c r="L210" i="59"/>
  <c r="L211" i="59"/>
  <c r="L212" i="59"/>
  <c r="L213" i="59"/>
  <c r="L214" i="59"/>
  <c r="L217" i="59"/>
  <c r="L220" i="59"/>
  <c r="L221" i="59"/>
  <c r="L222" i="59"/>
  <c r="L223" i="59"/>
  <c r="L224" i="59"/>
  <c r="L225" i="59"/>
  <c r="L228" i="59"/>
  <c r="L231" i="59"/>
  <c r="L232" i="59"/>
  <c r="L233" i="59"/>
  <c r="L234" i="59"/>
  <c r="L235" i="59"/>
  <c r="L236" i="59"/>
  <c r="L503" i="59"/>
  <c r="L506" i="59"/>
  <c r="L507" i="59"/>
  <c r="L508" i="59"/>
  <c r="L509" i="59"/>
  <c r="L510" i="59"/>
  <c r="L511" i="59"/>
  <c r="H85" i="59"/>
  <c r="H86" i="59"/>
  <c r="H87" i="59"/>
  <c r="H88" i="59"/>
  <c r="H89" i="59"/>
  <c r="H90" i="59"/>
  <c r="H91" i="59"/>
  <c r="H92" i="59"/>
  <c r="H93" i="59"/>
  <c r="H96" i="59"/>
  <c r="H97" i="59"/>
  <c r="H98" i="59"/>
  <c r="H99" i="59"/>
  <c r="H100" i="59"/>
  <c r="H101" i="59"/>
  <c r="H102" i="59"/>
  <c r="H103" i="59"/>
  <c r="H104" i="59"/>
  <c r="H107" i="59"/>
  <c r="H108" i="59"/>
  <c r="H109" i="59"/>
  <c r="H110" i="59"/>
  <c r="H111" i="59"/>
  <c r="H112" i="59"/>
  <c r="H113" i="59"/>
  <c r="H114" i="59"/>
  <c r="H115" i="59"/>
  <c r="H118" i="59"/>
  <c r="H119" i="59"/>
  <c r="H120" i="59"/>
  <c r="H121" i="59"/>
  <c r="H122" i="59"/>
  <c r="H123" i="59"/>
  <c r="H124" i="59"/>
  <c r="H125" i="59"/>
  <c r="H126" i="59"/>
  <c r="H129" i="59"/>
  <c r="H130" i="59"/>
  <c r="H131" i="59"/>
  <c r="H132" i="59"/>
  <c r="H133" i="59"/>
  <c r="H134" i="59"/>
  <c r="H135" i="59"/>
  <c r="H136" i="59"/>
  <c r="H137" i="59"/>
  <c r="H140" i="59"/>
  <c r="H141" i="59"/>
  <c r="H142" i="59"/>
  <c r="H143" i="59"/>
  <c r="H144" i="59"/>
  <c r="H145" i="59"/>
  <c r="H146" i="59"/>
  <c r="H147" i="59"/>
  <c r="H148" i="59"/>
  <c r="H151" i="59"/>
  <c r="H152" i="59"/>
  <c r="H153" i="59"/>
  <c r="H154" i="59"/>
  <c r="H155" i="59"/>
  <c r="H156" i="59"/>
  <c r="H157" i="59"/>
  <c r="H158" i="59"/>
  <c r="H159" i="59"/>
  <c r="H162" i="59"/>
  <c r="H163" i="59"/>
  <c r="H164" i="59"/>
  <c r="H165" i="59"/>
  <c r="H166" i="59"/>
  <c r="H167" i="59"/>
  <c r="H168" i="59"/>
  <c r="H169" i="59"/>
  <c r="H170" i="59"/>
  <c r="H173" i="59"/>
  <c r="H174" i="59"/>
  <c r="H175" i="59"/>
  <c r="H176" i="59"/>
  <c r="H177" i="59"/>
  <c r="H178" i="59"/>
  <c r="H179" i="59"/>
  <c r="H180" i="59"/>
  <c r="H181" i="59"/>
  <c r="H184" i="59"/>
  <c r="H185" i="59"/>
  <c r="H186" i="59"/>
  <c r="H187" i="59"/>
  <c r="H188" i="59"/>
  <c r="H189" i="59"/>
  <c r="H190" i="59"/>
  <c r="H191" i="59"/>
  <c r="H192" i="59"/>
  <c r="H195" i="59"/>
  <c r="H196" i="59"/>
  <c r="H197" i="59"/>
  <c r="H198" i="59"/>
  <c r="H199" i="59"/>
  <c r="H200" i="59"/>
  <c r="H201" i="59"/>
  <c r="H202" i="59"/>
  <c r="H203" i="59"/>
  <c r="H206" i="59"/>
  <c r="H207" i="59"/>
  <c r="H208" i="59"/>
  <c r="H209" i="59"/>
  <c r="H210" i="59"/>
  <c r="H211" i="59"/>
  <c r="H212" i="59"/>
  <c r="H213" i="59"/>
  <c r="H214" i="59"/>
  <c r="H217" i="59"/>
  <c r="H218" i="59"/>
  <c r="H219" i="59"/>
  <c r="H220" i="59"/>
  <c r="H221" i="59"/>
  <c r="H222" i="59"/>
  <c r="H223" i="59"/>
  <c r="H224" i="59"/>
  <c r="H225" i="59"/>
  <c r="H228" i="59"/>
  <c r="H229" i="59"/>
  <c r="H230" i="59"/>
  <c r="H231" i="59"/>
  <c r="H232" i="59"/>
  <c r="H233" i="59"/>
  <c r="H234" i="59"/>
  <c r="H235" i="59"/>
  <c r="H236" i="59"/>
  <c r="H503" i="59"/>
  <c r="H504" i="59"/>
  <c r="H505" i="59"/>
  <c r="H506" i="59"/>
  <c r="H507" i="59"/>
  <c r="H508" i="59"/>
  <c r="H509" i="59"/>
  <c r="H510" i="59"/>
  <c r="H511" i="59"/>
  <c r="L85" i="59"/>
  <c r="L88" i="59"/>
  <c r="L89" i="59"/>
  <c r="L90" i="59"/>
  <c r="L91" i="59"/>
  <c r="L92" i="59"/>
  <c r="L93" i="59"/>
  <c r="L96" i="59"/>
  <c r="L99" i="59"/>
  <c r="L100" i="59"/>
  <c r="L101" i="59"/>
  <c r="L102" i="59"/>
  <c r="L103" i="59"/>
  <c r="L104" i="59"/>
  <c r="L63" i="59"/>
  <c r="L66" i="59"/>
  <c r="L67" i="59"/>
  <c r="L68" i="59"/>
  <c r="L69" i="59"/>
  <c r="L70" i="59"/>
  <c r="L71" i="59"/>
  <c r="L74" i="59"/>
  <c r="L77" i="59"/>
  <c r="L78" i="59"/>
  <c r="L79" i="59"/>
  <c r="L80" i="59"/>
  <c r="L81" i="59"/>
  <c r="L82" i="59"/>
  <c r="H63" i="59"/>
  <c r="H64" i="59"/>
  <c r="H65" i="59"/>
  <c r="H66" i="59"/>
  <c r="H67" i="59"/>
  <c r="H68" i="59"/>
  <c r="H69" i="59"/>
  <c r="H70" i="59"/>
  <c r="H71" i="59"/>
  <c r="H74" i="59"/>
  <c r="H75" i="59"/>
  <c r="H76" i="59"/>
  <c r="H77" i="59"/>
  <c r="H78" i="59"/>
  <c r="H79" i="59"/>
  <c r="H80" i="59"/>
  <c r="H81" i="59"/>
  <c r="H82" i="59"/>
  <c r="H41" i="59"/>
  <c r="H42" i="59"/>
  <c r="H43" i="59"/>
  <c r="H44" i="59"/>
  <c r="H45" i="59"/>
  <c r="H46" i="59"/>
  <c r="H47" i="59"/>
  <c r="H48" i="59"/>
  <c r="H49" i="59"/>
  <c r="H52" i="59"/>
  <c r="H53" i="59"/>
  <c r="H54" i="59"/>
  <c r="H55" i="59"/>
  <c r="H56" i="59"/>
  <c r="H57" i="59"/>
  <c r="H58" i="59"/>
  <c r="H59" i="59"/>
  <c r="H60" i="59"/>
  <c r="L41" i="59"/>
  <c r="L44" i="59"/>
  <c r="L45" i="59"/>
  <c r="L46" i="59"/>
  <c r="L47" i="59"/>
  <c r="L48" i="59"/>
  <c r="L49" i="59"/>
  <c r="L52" i="59"/>
  <c r="L55" i="59"/>
  <c r="L56" i="59"/>
  <c r="L57" i="59"/>
  <c r="L58" i="59"/>
  <c r="L59" i="59"/>
  <c r="L60" i="59"/>
  <c r="L30" i="59"/>
  <c r="L33" i="59"/>
  <c r="L34" i="59"/>
  <c r="L35" i="59"/>
  <c r="L36" i="59"/>
  <c r="L37" i="59"/>
  <c r="L38" i="59"/>
  <c r="H30" i="59"/>
  <c r="H31" i="59"/>
  <c r="H32" i="59"/>
  <c r="H33" i="59"/>
  <c r="H34" i="59"/>
  <c r="H35" i="59"/>
  <c r="H36" i="59"/>
  <c r="H37" i="59"/>
  <c r="H38" i="59"/>
  <c r="H19" i="59"/>
  <c r="H20" i="59"/>
  <c r="H21" i="59"/>
  <c r="H22" i="59"/>
  <c r="H23" i="59"/>
  <c r="H24" i="59"/>
  <c r="H25" i="59"/>
  <c r="H26" i="59"/>
  <c r="H27" i="59"/>
  <c r="L19" i="59"/>
  <c r="L22" i="59"/>
  <c r="L23" i="59"/>
  <c r="L24" i="59"/>
  <c r="L25" i="59"/>
  <c r="L26" i="59"/>
  <c r="L27" i="59"/>
  <c r="L8" i="59"/>
  <c r="L11" i="59"/>
  <c r="L12" i="59"/>
  <c r="L13" i="59"/>
  <c r="L14" i="59"/>
  <c r="L15" i="59"/>
  <c r="L16" i="59"/>
  <c r="H8" i="59"/>
  <c r="H9" i="59"/>
  <c r="H10" i="59"/>
  <c r="H11" i="59"/>
  <c r="H12" i="59"/>
  <c r="H13" i="59"/>
  <c r="H14" i="59"/>
  <c r="H15" i="59"/>
  <c r="H16" i="59"/>
  <c r="A42" i="26" l="1"/>
  <c r="U445" i="60"/>
  <c r="Q445" i="60"/>
  <c r="U444" i="60"/>
  <c r="Q444" i="60"/>
  <c r="U442" i="60"/>
  <c r="Q442" i="60"/>
  <c r="U440" i="60"/>
  <c r="Q440" i="60"/>
  <c r="U439" i="60"/>
  <c r="Q439" i="60"/>
  <c r="I439" i="60"/>
  <c r="I438" i="60"/>
  <c r="U437" i="60"/>
  <c r="Q437" i="60"/>
  <c r="U436" i="60"/>
  <c r="Q436" i="60"/>
  <c r="U16" i="60"/>
  <c r="Q16" i="60"/>
  <c r="U15" i="60"/>
  <c r="Q15" i="60"/>
  <c r="U13" i="60"/>
  <c r="Q13" i="60"/>
  <c r="U11" i="60"/>
  <c r="Q11" i="60"/>
  <c r="U10" i="60"/>
  <c r="Q10" i="60"/>
  <c r="I10" i="60"/>
  <c r="I9" i="60"/>
  <c r="U8" i="60"/>
  <c r="Q8" i="60"/>
  <c r="U7" i="60"/>
  <c r="Q7" i="60"/>
  <c r="H1" i="60"/>
  <c r="A43" i="26" l="1"/>
  <c r="U511" i="59"/>
  <c r="Q511" i="59"/>
  <c r="U510" i="59"/>
  <c r="Q510" i="59"/>
  <c r="U508" i="59"/>
  <c r="Q508" i="59"/>
  <c r="U506" i="59"/>
  <c r="Q506" i="59"/>
  <c r="U505" i="59"/>
  <c r="Q505" i="59"/>
  <c r="I505" i="59"/>
  <c r="I504" i="59"/>
  <c r="U503" i="59"/>
  <c r="Q503" i="59"/>
  <c r="U502" i="59"/>
  <c r="Q502" i="59"/>
  <c r="U236" i="59"/>
  <c r="U235" i="59"/>
  <c r="U233" i="59"/>
  <c r="U231" i="59"/>
  <c r="U230" i="59"/>
  <c r="I230" i="59"/>
  <c r="I229" i="59"/>
  <c r="U228" i="59"/>
  <c r="U227" i="59"/>
  <c r="U225" i="59"/>
  <c r="U224" i="59"/>
  <c r="U222" i="59"/>
  <c r="U220" i="59"/>
  <c r="U219" i="59"/>
  <c r="I219" i="59"/>
  <c r="I218" i="59"/>
  <c r="U217" i="59"/>
  <c r="U216" i="59"/>
  <c r="U214" i="59"/>
  <c r="U213" i="59"/>
  <c r="U211" i="59"/>
  <c r="U209" i="59"/>
  <c r="U208" i="59"/>
  <c r="I208" i="59"/>
  <c r="I207" i="59"/>
  <c r="U206" i="59"/>
  <c r="U205" i="59"/>
  <c r="U203" i="59"/>
  <c r="U202" i="59"/>
  <c r="U200" i="59"/>
  <c r="U198" i="59"/>
  <c r="U197" i="59"/>
  <c r="I197" i="59"/>
  <c r="I196" i="59"/>
  <c r="U195" i="59"/>
  <c r="U194" i="59"/>
  <c r="U192" i="59"/>
  <c r="U191" i="59"/>
  <c r="U189" i="59"/>
  <c r="U187" i="59"/>
  <c r="U186" i="59"/>
  <c r="I186" i="59"/>
  <c r="I185" i="59"/>
  <c r="U184" i="59"/>
  <c r="U183" i="59"/>
  <c r="U181" i="59"/>
  <c r="U180" i="59"/>
  <c r="U178" i="59"/>
  <c r="U176" i="59"/>
  <c r="U175" i="59"/>
  <c r="I175" i="59"/>
  <c r="I174" i="59"/>
  <c r="U173" i="59"/>
  <c r="U172" i="59"/>
  <c r="U170" i="59"/>
  <c r="U169" i="59"/>
  <c r="U167" i="59"/>
  <c r="U165" i="59"/>
  <c r="U164" i="59"/>
  <c r="I164" i="59"/>
  <c r="I163" i="59"/>
  <c r="U162" i="59"/>
  <c r="U161" i="59"/>
  <c r="U159" i="59"/>
  <c r="U158" i="59"/>
  <c r="U156" i="59"/>
  <c r="U154" i="59"/>
  <c r="U153" i="59"/>
  <c r="I153" i="59"/>
  <c r="I152" i="59"/>
  <c r="U151" i="59"/>
  <c r="U150" i="59"/>
  <c r="U148" i="59"/>
  <c r="U147" i="59"/>
  <c r="U145" i="59"/>
  <c r="U143" i="59"/>
  <c r="U142" i="59"/>
  <c r="I142" i="59"/>
  <c r="I141" i="59"/>
  <c r="U140" i="59"/>
  <c r="U139" i="59"/>
  <c r="U137" i="59"/>
  <c r="U136" i="59"/>
  <c r="U134" i="59"/>
  <c r="U132" i="59"/>
  <c r="U131" i="59"/>
  <c r="I131" i="59"/>
  <c r="I130" i="59"/>
  <c r="U129" i="59"/>
  <c r="U128" i="59"/>
  <c r="U126" i="59"/>
  <c r="U125" i="59"/>
  <c r="U123" i="59"/>
  <c r="U121" i="59"/>
  <c r="U120" i="59"/>
  <c r="I120" i="59"/>
  <c r="I119" i="59"/>
  <c r="U118" i="59"/>
  <c r="U117" i="59"/>
  <c r="U115" i="59"/>
  <c r="U114" i="59"/>
  <c r="U112" i="59"/>
  <c r="U110" i="59"/>
  <c r="U109" i="59"/>
  <c r="I109" i="59"/>
  <c r="I108" i="59"/>
  <c r="U107" i="59"/>
  <c r="U106" i="59"/>
  <c r="U104" i="59"/>
  <c r="U103" i="59"/>
  <c r="U101" i="59"/>
  <c r="U99" i="59"/>
  <c r="U98" i="59"/>
  <c r="I98" i="59"/>
  <c r="I97" i="59"/>
  <c r="U96" i="59"/>
  <c r="U95" i="59"/>
  <c r="U93" i="59"/>
  <c r="U92" i="59"/>
  <c r="U90" i="59"/>
  <c r="U88" i="59"/>
  <c r="U87" i="59"/>
  <c r="I87" i="59"/>
  <c r="I86" i="59"/>
  <c r="U85" i="59"/>
  <c r="U84" i="59"/>
  <c r="U82" i="59"/>
  <c r="U81" i="59"/>
  <c r="U79" i="59"/>
  <c r="U77" i="59"/>
  <c r="U76" i="59"/>
  <c r="I76" i="59"/>
  <c r="I75" i="59"/>
  <c r="U74" i="59"/>
  <c r="U73" i="59"/>
  <c r="U71" i="59"/>
  <c r="U70" i="59"/>
  <c r="U68" i="59"/>
  <c r="U66" i="59"/>
  <c r="U65" i="59"/>
  <c r="I65" i="59"/>
  <c r="I64" i="59"/>
  <c r="U63" i="59"/>
  <c r="U62" i="59"/>
  <c r="U60" i="59"/>
  <c r="U59" i="59"/>
  <c r="U57" i="59"/>
  <c r="U55" i="59"/>
  <c r="U54" i="59"/>
  <c r="I54" i="59"/>
  <c r="I53" i="59"/>
  <c r="U52" i="59"/>
  <c r="U51" i="59"/>
  <c r="U49" i="59"/>
  <c r="U48" i="59"/>
  <c r="U46" i="59"/>
  <c r="U44" i="59"/>
  <c r="U43" i="59"/>
  <c r="I43" i="59"/>
  <c r="I42" i="59"/>
  <c r="U41" i="59"/>
  <c r="U40" i="59"/>
  <c r="U38" i="59"/>
  <c r="U37" i="59"/>
  <c r="U35" i="59"/>
  <c r="U33" i="59"/>
  <c r="U32" i="59"/>
  <c r="I32" i="59"/>
  <c r="I31" i="59"/>
  <c r="U30" i="59"/>
  <c r="U29" i="59"/>
  <c r="U27" i="59"/>
  <c r="Q27" i="59"/>
  <c r="U26" i="59"/>
  <c r="Q26" i="59"/>
  <c r="U24" i="59"/>
  <c r="Q24" i="59"/>
  <c r="U22" i="59"/>
  <c r="Q22" i="59"/>
  <c r="U21" i="59"/>
  <c r="Q21" i="59"/>
  <c r="I21" i="59"/>
  <c r="I20" i="59"/>
  <c r="U19" i="59"/>
  <c r="Q19" i="59"/>
  <c r="U18" i="59"/>
  <c r="Q18" i="59"/>
  <c r="U16" i="59"/>
  <c r="Q16" i="59"/>
  <c r="U15" i="59"/>
  <c r="Q15" i="59"/>
  <c r="U13" i="59"/>
  <c r="Q13" i="59"/>
  <c r="U11" i="59"/>
  <c r="Q11" i="59"/>
  <c r="U10" i="59"/>
  <c r="Q10" i="59"/>
  <c r="I10" i="59"/>
  <c r="I9" i="59"/>
  <c r="U8" i="59"/>
  <c r="Q8" i="59"/>
  <c r="U7" i="59"/>
  <c r="Q7" i="59"/>
  <c r="H1" i="59"/>
  <c r="A44" i="26" l="1"/>
  <c r="B132" i="57"/>
  <c r="O127" i="57" s="1"/>
  <c r="P127" i="57" s="1"/>
  <c r="Q929" i="57"/>
  <c r="U929" i="57"/>
  <c r="U928" i="57"/>
  <c r="Q928" i="57"/>
  <c r="U926" i="57"/>
  <c r="Q926" i="57"/>
  <c r="U924" i="57"/>
  <c r="Q924" i="57"/>
  <c r="U923" i="57"/>
  <c r="Q923" i="57"/>
  <c r="I923" i="57"/>
  <c r="I922" i="57"/>
  <c r="U921" i="57"/>
  <c r="Q921" i="57"/>
  <c r="U920" i="57"/>
  <c r="Q920" i="57"/>
  <c r="U269" i="57"/>
  <c r="Q269" i="57"/>
  <c r="U268" i="57"/>
  <c r="Q268" i="57"/>
  <c r="U266" i="57"/>
  <c r="Q266" i="57"/>
  <c r="U264" i="57"/>
  <c r="Q264" i="57"/>
  <c r="U263" i="57"/>
  <c r="Q263" i="57"/>
  <c r="I263" i="57"/>
  <c r="I262" i="57"/>
  <c r="U261" i="57"/>
  <c r="Q261" i="57"/>
  <c r="U260" i="57"/>
  <c r="Q260" i="57"/>
  <c r="U247" i="57"/>
  <c r="Q247" i="57"/>
  <c r="U246" i="57"/>
  <c r="Q246" i="57"/>
  <c r="U244" i="57"/>
  <c r="Q244" i="57"/>
  <c r="U242" i="57"/>
  <c r="Q242" i="57"/>
  <c r="U241" i="57"/>
  <c r="Q241" i="57"/>
  <c r="I241" i="57"/>
  <c r="I240" i="57"/>
  <c r="U239" i="57"/>
  <c r="Q239" i="57"/>
  <c r="U238" i="57"/>
  <c r="Q238" i="57"/>
  <c r="U236" i="57"/>
  <c r="Q236" i="57"/>
  <c r="U235" i="57"/>
  <c r="Q235" i="57"/>
  <c r="U233" i="57"/>
  <c r="Q233" i="57"/>
  <c r="U231" i="57"/>
  <c r="Q231" i="57"/>
  <c r="U230" i="57"/>
  <c r="Q230" i="57"/>
  <c r="I230" i="57"/>
  <c r="I229" i="57"/>
  <c r="U228" i="57"/>
  <c r="Q228" i="57"/>
  <c r="U227" i="57"/>
  <c r="Q227" i="57"/>
  <c r="U225" i="57"/>
  <c r="Q225" i="57"/>
  <c r="U224" i="57"/>
  <c r="Q224" i="57"/>
  <c r="U222" i="57"/>
  <c r="Q222" i="57"/>
  <c r="U220" i="57"/>
  <c r="Q220" i="57"/>
  <c r="U219" i="57"/>
  <c r="Q219" i="57"/>
  <c r="I219" i="57"/>
  <c r="I218" i="57"/>
  <c r="U217" i="57"/>
  <c r="Q217" i="57"/>
  <c r="U216" i="57"/>
  <c r="Q216" i="57"/>
  <c r="U214" i="57"/>
  <c r="Q214" i="57"/>
  <c r="U213" i="57"/>
  <c r="Q213" i="57"/>
  <c r="U211" i="57"/>
  <c r="Q211" i="57"/>
  <c r="U209" i="57"/>
  <c r="Q209" i="57"/>
  <c r="U208" i="57"/>
  <c r="Q208" i="57"/>
  <c r="I208" i="57"/>
  <c r="I207" i="57"/>
  <c r="U206" i="57"/>
  <c r="Q206" i="57"/>
  <c r="U205" i="57"/>
  <c r="Q205" i="57"/>
  <c r="U203" i="57"/>
  <c r="Q203" i="57"/>
  <c r="U202" i="57"/>
  <c r="Q202" i="57"/>
  <c r="U200" i="57"/>
  <c r="Q200" i="57"/>
  <c r="U198" i="57"/>
  <c r="Q198" i="57"/>
  <c r="U197" i="57"/>
  <c r="Q197" i="57"/>
  <c r="I197" i="57"/>
  <c r="I196" i="57"/>
  <c r="U195" i="57"/>
  <c r="Q195" i="57"/>
  <c r="U194" i="57"/>
  <c r="Q194" i="57"/>
  <c r="U192" i="57"/>
  <c r="Q192" i="57"/>
  <c r="U191" i="57"/>
  <c r="Q191" i="57"/>
  <c r="U189" i="57"/>
  <c r="Q189" i="57"/>
  <c r="U187" i="57"/>
  <c r="Q187" i="57"/>
  <c r="U186" i="57"/>
  <c r="Q186" i="57"/>
  <c r="I186" i="57"/>
  <c r="I185" i="57"/>
  <c r="U184" i="57"/>
  <c r="Q184" i="57"/>
  <c r="U183" i="57"/>
  <c r="Q183" i="57"/>
  <c r="U181" i="57"/>
  <c r="Q181" i="57"/>
  <c r="U180" i="57"/>
  <c r="Q180" i="57"/>
  <c r="U178" i="57"/>
  <c r="Q178" i="57"/>
  <c r="U176" i="57"/>
  <c r="Q176" i="57"/>
  <c r="U175" i="57"/>
  <c r="Q175" i="57"/>
  <c r="I175" i="57"/>
  <c r="I174" i="57"/>
  <c r="U173" i="57"/>
  <c r="Q173" i="57"/>
  <c r="U172" i="57"/>
  <c r="Q172" i="57"/>
  <c r="U170" i="57"/>
  <c r="Q170" i="57"/>
  <c r="U169" i="57"/>
  <c r="Q169" i="57"/>
  <c r="U167" i="57"/>
  <c r="Q167" i="57"/>
  <c r="U165" i="57"/>
  <c r="Q165" i="57"/>
  <c r="U164" i="57"/>
  <c r="Q164" i="57"/>
  <c r="I164" i="57"/>
  <c r="I163" i="57"/>
  <c r="U162" i="57"/>
  <c r="Q162" i="57"/>
  <c r="U161" i="57"/>
  <c r="Q161" i="57"/>
  <c r="U159" i="57"/>
  <c r="Q159" i="57"/>
  <c r="U158" i="57"/>
  <c r="Q158" i="57"/>
  <c r="U156" i="57"/>
  <c r="Q156" i="57"/>
  <c r="U154" i="57"/>
  <c r="Q154" i="57"/>
  <c r="U153" i="57"/>
  <c r="Q153" i="57"/>
  <c r="I153" i="57"/>
  <c r="I152" i="57"/>
  <c r="U151" i="57"/>
  <c r="Q151" i="57"/>
  <c r="U150" i="57"/>
  <c r="Q150" i="57"/>
  <c r="U148" i="57"/>
  <c r="Q148" i="57"/>
  <c r="U147" i="57"/>
  <c r="Q147" i="57"/>
  <c r="U145" i="57"/>
  <c r="Q145" i="57"/>
  <c r="U143" i="57"/>
  <c r="Q143" i="57"/>
  <c r="U142" i="57"/>
  <c r="Q142" i="57"/>
  <c r="I142" i="57"/>
  <c r="I141" i="57"/>
  <c r="U140" i="57"/>
  <c r="Q140" i="57"/>
  <c r="U139" i="57"/>
  <c r="Q139" i="57"/>
  <c r="U137" i="57"/>
  <c r="Q137" i="57"/>
  <c r="U136" i="57"/>
  <c r="Q136" i="57"/>
  <c r="U134" i="57"/>
  <c r="Q134" i="57"/>
  <c r="U132" i="57"/>
  <c r="Q132" i="57"/>
  <c r="U131" i="57"/>
  <c r="Q131" i="57"/>
  <c r="I131" i="57"/>
  <c r="I130" i="57"/>
  <c r="U129" i="57"/>
  <c r="Q129" i="57"/>
  <c r="U128" i="57"/>
  <c r="Q128" i="57"/>
  <c r="U126" i="57"/>
  <c r="Q126" i="57"/>
  <c r="U125" i="57"/>
  <c r="Q125" i="57"/>
  <c r="U123" i="57"/>
  <c r="Q123" i="57"/>
  <c r="U121" i="57"/>
  <c r="Q121" i="57"/>
  <c r="U120" i="57"/>
  <c r="Q120" i="57"/>
  <c r="I120" i="57"/>
  <c r="I119" i="57"/>
  <c r="U118" i="57"/>
  <c r="Q118" i="57"/>
  <c r="U117" i="57"/>
  <c r="Q117" i="57"/>
  <c r="U115" i="57"/>
  <c r="Q115" i="57"/>
  <c r="U114" i="57"/>
  <c r="Q114" i="57"/>
  <c r="U112" i="57"/>
  <c r="Q112" i="57"/>
  <c r="U110" i="57"/>
  <c r="Q110" i="57"/>
  <c r="U109" i="57"/>
  <c r="Q109" i="57"/>
  <c r="I109" i="57"/>
  <c r="I108" i="57"/>
  <c r="U107" i="57"/>
  <c r="Q107" i="57"/>
  <c r="U106" i="57"/>
  <c r="Q106" i="57"/>
  <c r="U104" i="57"/>
  <c r="Q104" i="57"/>
  <c r="U103" i="57"/>
  <c r="Q103" i="57"/>
  <c r="U101" i="57"/>
  <c r="Q101" i="57"/>
  <c r="U99" i="57"/>
  <c r="Q99" i="57"/>
  <c r="U98" i="57"/>
  <c r="Q98" i="57"/>
  <c r="I98" i="57"/>
  <c r="I97" i="57"/>
  <c r="U96" i="57"/>
  <c r="Q96" i="57"/>
  <c r="U95" i="57"/>
  <c r="Q95" i="57"/>
  <c r="U93" i="57"/>
  <c r="Q93" i="57"/>
  <c r="U92" i="57"/>
  <c r="Q92" i="57"/>
  <c r="U90" i="57"/>
  <c r="Q90" i="57"/>
  <c r="U88" i="57"/>
  <c r="Q88" i="57"/>
  <c r="U87" i="57"/>
  <c r="Q87" i="57"/>
  <c r="I87" i="57"/>
  <c r="I86" i="57"/>
  <c r="U85" i="57"/>
  <c r="Q85" i="57"/>
  <c r="U84" i="57"/>
  <c r="Q84" i="57"/>
  <c r="U82" i="57"/>
  <c r="Q82" i="57"/>
  <c r="U81" i="57"/>
  <c r="Q81" i="57"/>
  <c r="U79" i="57"/>
  <c r="Q79" i="57"/>
  <c r="U77" i="57"/>
  <c r="Q77" i="57"/>
  <c r="U76" i="57"/>
  <c r="Q76" i="57"/>
  <c r="I76" i="57"/>
  <c r="I75" i="57"/>
  <c r="U74" i="57"/>
  <c r="Q74" i="57"/>
  <c r="U73" i="57"/>
  <c r="Q73" i="57"/>
  <c r="U71" i="57"/>
  <c r="Q71" i="57"/>
  <c r="U70" i="57"/>
  <c r="Q70" i="57"/>
  <c r="U68" i="57"/>
  <c r="Q68" i="57"/>
  <c r="U66" i="57"/>
  <c r="Q66" i="57"/>
  <c r="U65" i="57"/>
  <c r="Q65" i="57"/>
  <c r="I65" i="57"/>
  <c r="I64" i="57"/>
  <c r="U63" i="57"/>
  <c r="Q63" i="57"/>
  <c r="U62" i="57"/>
  <c r="Q62" i="57"/>
  <c r="U60" i="57"/>
  <c r="Q60" i="57"/>
  <c r="U59" i="57"/>
  <c r="Q59" i="57"/>
  <c r="U57" i="57"/>
  <c r="Q57" i="57"/>
  <c r="U55" i="57"/>
  <c r="Q55" i="57"/>
  <c r="U54" i="57"/>
  <c r="Q54" i="57"/>
  <c r="I54" i="57"/>
  <c r="I53" i="57"/>
  <c r="U52" i="57"/>
  <c r="Q52" i="57"/>
  <c r="U51" i="57"/>
  <c r="Q51" i="57"/>
  <c r="U49" i="57"/>
  <c r="Q49" i="57"/>
  <c r="U48" i="57"/>
  <c r="Q48" i="57"/>
  <c r="U46" i="57"/>
  <c r="Q46" i="57"/>
  <c r="U44" i="57"/>
  <c r="Q44" i="57"/>
  <c r="U43" i="57"/>
  <c r="Q43" i="57"/>
  <c r="I43" i="57"/>
  <c r="I42" i="57"/>
  <c r="U41" i="57"/>
  <c r="Q41" i="57"/>
  <c r="U40" i="57"/>
  <c r="Q40" i="57"/>
  <c r="U38" i="57"/>
  <c r="Q38" i="57"/>
  <c r="U37" i="57"/>
  <c r="Q37" i="57"/>
  <c r="U35" i="57"/>
  <c r="Q35" i="57"/>
  <c r="U33" i="57"/>
  <c r="Q33" i="57"/>
  <c r="U32" i="57"/>
  <c r="Q32" i="57"/>
  <c r="I32" i="57"/>
  <c r="I31" i="57"/>
  <c r="U30" i="57"/>
  <c r="Q30" i="57"/>
  <c r="U29" i="57"/>
  <c r="Q29" i="57"/>
  <c r="U27" i="57"/>
  <c r="Q27" i="57"/>
  <c r="U26" i="57"/>
  <c r="Q26" i="57"/>
  <c r="U24" i="57"/>
  <c r="Q24" i="57"/>
  <c r="U22" i="57"/>
  <c r="Q22" i="57"/>
  <c r="U21" i="57"/>
  <c r="Q21" i="57"/>
  <c r="I21" i="57"/>
  <c r="I20" i="57"/>
  <c r="U19" i="57"/>
  <c r="Q19" i="57"/>
  <c r="U18" i="57"/>
  <c r="Q18" i="57"/>
  <c r="Q10" i="57"/>
  <c r="Q7" i="57"/>
  <c r="A45" i="26" l="1"/>
  <c r="B132" i="59"/>
  <c r="W137" i="59" s="1"/>
  <c r="X137" i="59" s="1"/>
  <c r="B132" i="60"/>
  <c r="S128" i="57"/>
  <c r="T128" i="57" s="1"/>
  <c r="S136" i="57"/>
  <c r="O128" i="57"/>
  <c r="P128" i="57" s="1"/>
  <c r="S131" i="57"/>
  <c r="T131" i="57" s="1"/>
  <c r="G128" i="57"/>
  <c r="W133" i="57"/>
  <c r="W137" i="57"/>
  <c r="X137" i="57" s="1"/>
  <c r="S133" i="57"/>
  <c r="S135" i="57"/>
  <c r="S129" i="57"/>
  <c r="W130" i="57"/>
  <c r="W132" i="57"/>
  <c r="X132" i="57" s="1"/>
  <c r="W134" i="57"/>
  <c r="X134" i="57" s="1"/>
  <c r="W136" i="57"/>
  <c r="X136" i="57" s="1"/>
  <c r="W129" i="57"/>
  <c r="X129" i="57" s="1"/>
  <c r="K131" i="57"/>
  <c r="S137" i="57"/>
  <c r="K127" i="57"/>
  <c r="K128" i="57"/>
  <c r="W128" i="57"/>
  <c r="X128" i="57" s="1"/>
  <c r="S130" i="57"/>
  <c r="W131" i="57"/>
  <c r="X131" i="57" s="1"/>
  <c r="S132" i="57"/>
  <c r="S134" i="57"/>
  <c r="U13" i="57"/>
  <c r="Q13" i="57"/>
  <c r="U16" i="57"/>
  <c r="U15" i="57"/>
  <c r="U10" i="57"/>
  <c r="Q8" i="57"/>
  <c r="T137" i="57" l="1"/>
  <c r="T134" i="57"/>
  <c r="L131" i="57"/>
  <c r="T132" i="57"/>
  <c r="T129" i="57"/>
  <c r="T136" i="57"/>
  <c r="W130" i="60"/>
  <c r="S130" i="60"/>
  <c r="K130" i="60"/>
  <c r="L130" i="60" s="1"/>
  <c r="K128" i="60"/>
  <c r="G128" i="60"/>
  <c r="W127" i="60"/>
  <c r="O127" i="60"/>
  <c r="P127" i="60" s="1"/>
  <c r="W137" i="60"/>
  <c r="X137" i="60" s="1"/>
  <c r="S137" i="60"/>
  <c r="T137" i="60" s="1"/>
  <c r="W136" i="60"/>
  <c r="X136" i="60" s="1"/>
  <c r="S136" i="60"/>
  <c r="T136" i="60" s="1"/>
  <c r="W135" i="60"/>
  <c r="W134" i="60"/>
  <c r="X134" i="60" s="1"/>
  <c r="S134" i="60"/>
  <c r="T134" i="60" s="1"/>
  <c r="W133" i="60"/>
  <c r="W132" i="60"/>
  <c r="X132" i="60" s="1"/>
  <c r="S132" i="60"/>
  <c r="T132" i="60" s="1"/>
  <c r="W131" i="60"/>
  <c r="X131" i="60" s="1"/>
  <c r="S131" i="60"/>
  <c r="T131" i="60" s="1"/>
  <c r="K131" i="60"/>
  <c r="L131" i="60" s="1"/>
  <c r="K127" i="60"/>
  <c r="S135" i="60"/>
  <c r="S133" i="60"/>
  <c r="W129" i="60"/>
  <c r="X129" i="60" s="1"/>
  <c r="S129" i="60"/>
  <c r="T129" i="60" s="1"/>
  <c r="W128" i="60"/>
  <c r="X128" i="60" s="1"/>
  <c r="S128" i="60"/>
  <c r="T128" i="60" s="1"/>
  <c r="O128" i="60"/>
  <c r="P128" i="60" s="1"/>
  <c r="G127" i="60"/>
  <c r="A46" i="26"/>
  <c r="W128" i="59"/>
  <c r="X128" i="59" s="1"/>
  <c r="O127" i="59"/>
  <c r="P127" i="59" s="1"/>
  <c r="S132" i="59"/>
  <c r="T132" i="59" s="1"/>
  <c r="W131" i="59"/>
  <c r="X131" i="59" s="1"/>
  <c r="S137" i="59"/>
  <c r="T137" i="59" s="1"/>
  <c r="O128" i="59"/>
  <c r="P128" i="59" s="1"/>
  <c r="S128" i="59"/>
  <c r="T128" i="59" s="1"/>
  <c r="K128" i="59"/>
  <c r="W134" i="59"/>
  <c r="X134" i="59" s="1"/>
  <c r="W130" i="59"/>
  <c r="S135" i="59"/>
  <c r="K131" i="59"/>
  <c r="L131" i="59" s="1"/>
  <c r="G128" i="59"/>
  <c r="S134" i="59"/>
  <c r="T134" i="59" s="1"/>
  <c r="S131" i="59"/>
  <c r="T131" i="59" s="1"/>
  <c r="K127" i="59"/>
  <c r="W129" i="59"/>
  <c r="X129" i="59" s="1"/>
  <c r="W132" i="59"/>
  <c r="X132" i="59" s="1"/>
  <c r="W136" i="59"/>
  <c r="X136" i="59" s="1"/>
  <c r="S129" i="59"/>
  <c r="T129" i="59" s="1"/>
  <c r="S136" i="59"/>
  <c r="T136" i="59" s="1"/>
  <c r="S133" i="59"/>
  <c r="S130" i="59"/>
  <c r="W133" i="59"/>
  <c r="B22" i="60"/>
  <c r="B33" i="60"/>
  <c r="B44" i="60"/>
  <c r="B55" i="60"/>
  <c r="B66" i="60"/>
  <c r="B77" i="60"/>
  <c r="B88" i="60"/>
  <c r="B99" i="60"/>
  <c r="B110" i="60"/>
  <c r="B121" i="60"/>
  <c r="B143" i="60"/>
  <c r="B154" i="60"/>
  <c r="B165" i="60"/>
  <c r="B176" i="60"/>
  <c r="B187" i="60"/>
  <c r="B209" i="59"/>
  <c r="B264" i="59"/>
  <c r="AO6" i="26" l="1"/>
  <c r="AN6" i="26" s="1"/>
  <c r="AO10" i="26"/>
  <c r="AN10" i="26" s="1"/>
  <c r="AO14" i="26"/>
  <c r="AN14" i="26" s="1"/>
  <c r="AO18" i="26"/>
  <c r="AN18" i="26" s="1"/>
  <c r="AO22" i="26"/>
  <c r="AN22" i="26" s="1"/>
  <c r="AO26" i="26"/>
  <c r="AN26" i="26" s="1"/>
  <c r="AO30" i="26"/>
  <c r="AN30" i="26" s="1"/>
  <c r="AO34" i="26"/>
  <c r="AN34" i="26" s="1"/>
  <c r="AO38" i="26"/>
  <c r="AN38" i="26" s="1"/>
  <c r="AO42" i="26"/>
  <c r="AN42" i="26" s="1"/>
  <c r="AO46" i="26"/>
  <c r="AN46" i="26" s="1"/>
  <c r="AO50" i="26"/>
  <c r="AN50" i="26" s="1"/>
  <c r="H843" i="60" s="1"/>
  <c r="AO54" i="26"/>
  <c r="AN54" i="26" s="1"/>
  <c r="AO58" i="26"/>
  <c r="AN58" i="26" s="1"/>
  <c r="AO62" i="26"/>
  <c r="AN62" i="26" s="1"/>
  <c r="AO66" i="26"/>
  <c r="AN66" i="26" s="1"/>
  <c r="AO70" i="26"/>
  <c r="AN70" i="26" s="1"/>
  <c r="AO74" i="26"/>
  <c r="AN74" i="26" s="1"/>
  <c r="AO78" i="26"/>
  <c r="AN78" i="26" s="1"/>
  <c r="AO82" i="26"/>
  <c r="AN82" i="26" s="1"/>
  <c r="AO86" i="26"/>
  <c r="AN86" i="26" s="1"/>
  <c r="AO90" i="26"/>
  <c r="AN90" i="26" s="1"/>
  <c r="AO94" i="26"/>
  <c r="AN94" i="26" s="1"/>
  <c r="AO98" i="26"/>
  <c r="AN98" i="26" s="1"/>
  <c r="AO102" i="26"/>
  <c r="AN102" i="26" s="1"/>
  <c r="AO106" i="26"/>
  <c r="AN106" i="26" s="1"/>
  <c r="AO110" i="26"/>
  <c r="AN110" i="26" s="1"/>
  <c r="AO114" i="26"/>
  <c r="AN114" i="26" s="1"/>
  <c r="AO118" i="26"/>
  <c r="AN118" i="26" s="1"/>
  <c r="AO122" i="26"/>
  <c r="AN122" i="26" s="1"/>
  <c r="AO126" i="26"/>
  <c r="AN126" i="26" s="1"/>
  <c r="AO130" i="26"/>
  <c r="AN130" i="26" s="1"/>
  <c r="AO134" i="26"/>
  <c r="AN134" i="26" s="1"/>
  <c r="AO138" i="26"/>
  <c r="AN138" i="26" s="1"/>
  <c r="AO142" i="26"/>
  <c r="AN142" i="26" s="1"/>
  <c r="AO146" i="26"/>
  <c r="AN146" i="26" s="1"/>
  <c r="AO150" i="26"/>
  <c r="AN150" i="26" s="1"/>
  <c r="AO154" i="26"/>
  <c r="AN154" i="26" s="1"/>
  <c r="AO158" i="26"/>
  <c r="AN158" i="26" s="1"/>
  <c r="AO162" i="26"/>
  <c r="AN162" i="26" s="1"/>
  <c r="AO166" i="26"/>
  <c r="AN166" i="26" s="1"/>
  <c r="AO170" i="26"/>
  <c r="AN170" i="26" s="1"/>
  <c r="AO174" i="26"/>
  <c r="AN174" i="26" s="1"/>
  <c r="AO178" i="26"/>
  <c r="AN178" i="26" s="1"/>
  <c r="AO186" i="26"/>
  <c r="AN186" i="26" s="1"/>
  <c r="AO190" i="26"/>
  <c r="AN190" i="26" s="1"/>
  <c r="AO194" i="26"/>
  <c r="AN194" i="26" s="1"/>
  <c r="AO305" i="26"/>
  <c r="AN305" i="26" s="1"/>
  <c r="AO309" i="26"/>
  <c r="AN309" i="26" s="1"/>
  <c r="AO313" i="26"/>
  <c r="AN313" i="26" s="1"/>
  <c r="AO3" i="26"/>
  <c r="AN3" i="26" s="1"/>
  <c r="AO7" i="26"/>
  <c r="AN7" i="26" s="1"/>
  <c r="AO11" i="26"/>
  <c r="AN11" i="26" s="1"/>
  <c r="AO15" i="26"/>
  <c r="AN15" i="26" s="1"/>
  <c r="AO19" i="26"/>
  <c r="AN19" i="26" s="1"/>
  <c r="AO23" i="26"/>
  <c r="AN23" i="26" s="1"/>
  <c r="X647" i="60" s="1"/>
  <c r="AO27" i="26"/>
  <c r="AN27" i="26" s="1"/>
  <c r="AO31" i="26"/>
  <c r="AO35" i="26"/>
  <c r="AN35" i="26" s="1"/>
  <c r="AO39" i="26"/>
  <c r="AO43" i="26"/>
  <c r="AN43" i="26" s="1"/>
  <c r="AO47" i="26"/>
  <c r="AO51" i="26"/>
  <c r="AN51" i="26" s="1"/>
  <c r="T674" i="60" s="1"/>
  <c r="AO55" i="26"/>
  <c r="AN55" i="26" s="1"/>
  <c r="AO59" i="26"/>
  <c r="AN59" i="26" s="1"/>
  <c r="AO63" i="26"/>
  <c r="AN63" i="26" s="1"/>
  <c r="AO67" i="26"/>
  <c r="AN67" i="26" s="1"/>
  <c r="AO71" i="26"/>
  <c r="AN71" i="26" s="1"/>
  <c r="AO75" i="26"/>
  <c r="AN75" i="26" s="1"/>
  <c r="AO79" i="26"/>
  <c r="AN79" i="26" s="1"/>
  <c r="AO83" i="26"/>
  <c r="AN83" i="26" s="1"/>
  <c r="AO87" i="26"/>
  <c r="AN87" i="26" s="1"/>
  <c r="AO91" i="26"/>
  <c r="AN91" i="26" s="1"/>
  <c r="T776" i="60" s="1"/>
  <c r="Z776" i="60" s="1"/>
  <c r="AC781" i="60" s="1"/>
  <c r="AO95" i="26"/>
  <c r="AO99" i="26"/>
  <c r="AN99" i="26" s="1"/>
  <c r="AO103" i="26"/>
  <c r="AO107" i="26"/>
  <c r="AN107" i="26" s="1"/>
  <c r="AO111" i="26"/>
  <c r="AN111" i="26" s="1"/>
  <c r="AO115" i="26"/>
  <c r="AN115" i="26" s="1"/>
  <c r="AO119" i="26"/>
  <c r="AN119" i="26" s="1"/>
  <c r="AO123" i="26"/>
  <c r="AN123" i="26" s="1"/>
  <c r="AO127" i="26"/>
  <c r="AN127" i="26" s="1"/>
  <c r="AO131" i="26"/>
  <c r="AN131" i="26" s="1"/>
  <c r="AO135" i="26"/>
  <c r="AN135" i="26" s="1"/>
  <c r="AO139" i="26"/>
  <c r="AN139" i="26" s="1"/>
  <c r="AO143" i="26"/>
  <c r="AN143" i="26" s="1"/>
  <c r="AO147" i="26"/>
  <c r="AN147" i="26" s="1"/>
  <c r="AO151" i="26"/>
  <c r="AN151" i="26" s="1"/>
  <c r="AO155" i="26"/>
  <c r="AN155" i="26" s="1"/>
  <c r="AO159" i="26"/>
  <c r="AN159" i="26" s="1"/>
  <c r="AO163" i="26"/>
  <c r="AN163" i="26" s="1"/>
  <c r="AO167" i="26"/>
  <c r="AN167" i="26" s="1"/>
  <c r="AO171" i="26"/>
  <c r="AN171" i="26" s="1"/>
  <c r="AO175" i="26"/>
  <c r="AO179" i="26"/>
  <c r="AN179" i="26" s="1"/>
  <c r="AO187" i="26"/>
  <c r="AN187" i="26" s="1"/>
  <c r="AO191" i="26"/>
  <c r="AN191" i="26" s="1"/>
  <c r="AO195" i="26"/>
  <c r="AN195" i="26" s="1"/>
  <c r="X608" i="60"/>
  <c r="AO306" i="26"/>
  <c r="AN306" i="26" s="1"/>
  <c r="AO310" i="26"/>
  <c r="AN310" i="26" s="1"/>
  <c r="AO314" i="26"/>
  <c r="AN314" i="26" s="1"/>
  <c r="AO318" i="26"/>
  <c r="AN318" i="26" s="1"/>
  <c r="AO322" i="26"/>
  <c r="AN322" i="26" s="1"/>
  <c r="AO326" i="26"/>
  <c r="AN326" i="26" s="1"/>
  <c r="AO330" i="26"/>
  <c r="AN330" i="26" s="1"/>
  <c r="AO334" i="26"/>
  <c r="AN334" i="26" s="1"/>
  <c r="AO338" i="26"/>
  <c r="AN338" i="26" s="1"/>
  <c r="AO342" i="26"/>
  <c r="AN342" i="26" s="1"/>
  <c r="AO346" i="26"/>
  <c r="AN346" i="26" s="1"/>
  <c r="AO350" i="26"/>
  <c r="AN350" i="26" s="1"/>
  <c r="AO354" i="26"/>
  <c r="AN354" i="26" s="1"/>
  <c r="AO358" i="26"/>
  <c r="AN358" i="26" s="1"/>
  <c r="AO362" i="26"/>
  <c r="AN362" i="26" s="1"/>
  <c r="AO366" i="26"/>
  <c r="AN366" i="26" s="1"/>
  <c r="AO370" i="26"/>
  <c r="AN370" i="26" s="1"/>
  <c r="AO374" i="26"/>
  <c r="AN374" i="26" s="1"/>
  <c r="AO378" i="26"/>
  <c r="AN378" i="26" s="1"/>
  <c r="AO382" i="26"/>
  <c r="AN382" i="26" s="1"/>
  <c r="AO386" i="26"/>
  <c r="AN386" i="26" s="1"/>
  <c r="AO390" i="26"/>
  <c r="AN390" i="26" s="1"/>
  <c r="AO4" i="26"/>
  <c r="AN4" i="26" s="1"/>
  <c r="AO8" i="26"/>
  <c r="AN8" i="26" s="1"/>
  <c r="AO12" i="26"/>
  <c r="AN12" i="26" s="1"/>
  <c r="AO16" i="26"/>
  <c r="AO20" i="26"/>
  <c r="AN20" i="26" s="1"/>
  <c r="AO24" i="26"/>
  <c r="AN24" i="26" s="1"/>
  <c r="AO28" i="26"/>
  <c r="AN28" i="26" s="1"/>
  <c r="AO32" i="26"/>
  <c r="AN32" i="26" s="1"/>
  <c r="AO36" i="26"/>
  <c r="AN36" i="26" s="1"/>
  <c r="AO40" i="26"/>
  <c r="AN40" i="26" s="1"/>
  <c r="AO44" i="26"/>
  <c r="AN44" i="26" s="1"/>
  <c r="AO48" i="26"/>
  <c r="AN48" i="26" s="1"/>
  <c r="AO52" i="26"/>
  <c r="AN52" i="26" s="1"/>
  <c r="AO56" i="26"/>
  <c r="AN56" i="26" s="1"/>
  <c r="AO60" i="26"/>
  <c r="AN60" i="26" s="1"/>
  <c r="AO64" i="26"/>
  <c r="AN64" i="26" s="1"/>
  <c r="AO68" i="26"/>
  <c r="AN68" i="26" s="1"/>
  <c r="AO72" i="26"/>
  <c r="AN72" i="26" s="1"/>
  <c r="AO76" i="26"/>
  <c r="AN76" i="26" s="1"/>
  <c r="AO80" i="26"/>
  <c r="AN80" i="26" s="1"/>
  <c r="AO84" i="26"/>
  <c r="AN84" i="26" s="1"/>
  <c r="AO88" i="26"/>
  <c r="AO92" i="26"/>
  <c r="AN92" i="26" s="1"/>
  <c r="AO96" i="26"/>
  <c r="AN96" i="26" s="1"/>
  <c r="AO100" i="26"/>
  <c r="AN100" i="26" s="1"/>
  <c r="AO104" i="26"/>
  <c r="AN104" i="26" s="1"/>
  <c r="AO108" i="26"/>
  <c r="AN108" i="26" s="1"/>
  <c r="AO112" i="26"/>
  <c r="AN112" i="26" s="1"/>
  <c r="AO116" i="26"/>
  <c r="AN116" i="26" s="1"/>
  <c r="AO120" i="26"/>
  <c r="AN120" i="26" s="1"/>
  <c r="AO124" i="26"/>
  <c r="AN124" i="26" s="1"/>
  <c r="AO128" i="26"/>
  <c r="AO132" i="26"/>
  <c r="AN132" i="26" s="1"/>
  <c r="AO136" i="26"/>
  <c r="AN136" i="26" s="1"/>
  <c r="AO140" i="26"/>
  <c r="AN140" i="26" s="1"/>
  <c r="AO144" i="26"/>
  <c r="AN144" i="26" s="1"/>
  <c r="AO148" i="26"/>
  <c r="AN148" i="26" s="1"/>
  <c r="AO152" i="26"/>
  <c r="AN152" i="26" s="1"/>
  <c r="AO156" i="26"/>
  <c r="AN156" i="26" s="1"/>
  <c r="AO160" i="26"/>
  <c r="AN160" i="26" s="1"/>
  <c r="AO164" i="26"/>
  <c r="AN164" i="26" s="1"/>
  <c r="AO168" i="26"/>
  <c r="AN168" i="26" s="1"/>
  <c r="AO172" i="26"/>
  <c r="AN172" i="26" s="1"/>
  <c r="AO176" i="26"/>
  <c r="AN176" i="26" s="1"/>
  <c r="AO180" i="26"/>
  <c r="AN180" i="26" s="1"/>
  <c r="AO188" i="26"/>
  <c r="AN188" i="26" s="1"/>
  <c r="AO192" i="26"/>
  <c r="AN192" i="26" s="1"/>
  <c r="AO196" i="26"/>
  <c r="AN196" i="26" s="1"/>
  <c r="AO307" i="26"/>
  <c r="AN307" i="26" s="1"/>
  <c r="AO311" i="26"/>
  <c r="AN311" i="26" s="1"/>
  <c r="AO315" i="26"/>
  <c r="AN315" i="26" s="1"/>
  <c r="AO5" i="26"/>
  <c r="AN5" i="26" s="1"/>
  <c r="AO9" i="26"/>
  <c r="AN9" i="26" s="1"/>
  <c r="AO13" i="26"/>
  <c r="AN13" i="26" s="1"/>
  <c r="AO17" i="26"/>
  <c r="AN17" i="26" s="1"/>
  <c r="AO21" i="26"/>
  <c r="AO25" i="26"/>
  <c r="AN25" i="26" s="1"/>
  <c r="T798" i="60" s="1"/>
  <c r="Z798" i="60" s="1"/>
  <c r="AC803" i="60" s="1"/>
  <c r="AO29" i="26"/>
  <c r="AN29" i="26" s="1"/>
  <c r="AO33" i="26"/>
  <c r="AN33" i="26" s="1"/>
  <c r="AO37" i="26"/>
  <c r="AN37" i="26" s="1"/>
  <c r="AO41" i="26"/>
  <c r="AN41" i="26" s="1"/>
  <c r="AO45" i="26"/>
  <c r="AN45" i="26" s="1"/>
  <c r="AO49" i="26"/>
  <c r="AN49" i="26" s="1"/>
  <c r="AO53" i="26"/>
  <c r="AN53" i="26" s="1"/>
  <c r="AO57" i="26"/>
  <c r="AN57" i="26" s="1"/>
  <c r="AO61" i="26"/>
  <c r="AN61" i="26" s="1"/>
  <c r="AO65" i="26"/>
  <c r="AN65" i="26" s="1"/>
  <c r="AO69" i="26"/>
  <c r="AN69" i="26" s="1"/>
  <c r="AO73" i="26"/>
  <c r="AN73" i="26" s="1"/>
  <c r="AO77" i="26"/>
  <c r="AN77" i="26" s="1"/>
  <c r="AO81" i="26"/>
  <c r="AN81" i="26" s="1"/>
  <c r="AO85" i="26"/>
  <c r="AN85" i="26" s="1"/>
  <c r="AO89" i="26"/>
  <c r="AN89" i="26" s="1"/>
  <c r="AO93" i="26"/>
  <c r="AN93" i="26" s="1"/>
  <c r="AO97" i="26"/>
  <c r="AO101" i="26"/>
  <c r="AN101" i="26" s="1"/>
  <c r="AO105" i="26"/>
  <c r="AN105" i="26" s="1"/>
  <c r="AO109" i="26"/>
  <c r="AN109" i="26" s="1"/>
  <c r="AO113" i="26"/>
  <c r="AN113" i="26" s="1"/>
  <c r="AO117" i="26"/>
  <c r="AN117" i="26" s="1"/>
  <c r="AO121" i="26"/>
  <c r="AN121" i="26" s="1"/>
  <c r="AO125" i="26"/>
  <c r="AN125" i="26" s="1"/>
  <c r="AO129" i="26"/>
  <c r="AN129" i="26" s="1"/>
  <c r="AO133" i="26"/>
  <c r="AN133" i="26" s="1"/>
  <c r="AO137" i="26"/>
  <c r="AN137" i="26" s="1"/>
  <c r="AO141" i="26"/>
  <c r="AO145" i="26"/>
  <c r="AN145" i="26" s="1"/>
  <c r="AO149" i="26"/>
  <c r="AO153" i="26"/>
  <c r="AN153" i="26" s="1"/>
  <c r="AO157" i="26"/>
  <c r="AN157" i="26" s="1"/>
  <c r="AO161" i="26"/>
  <c r="AN161" i="26" s="1"/>
  <c r="AO165" i="26"/>
  <c r="AN165" i="26" s="1"/>
  <c r="AO169" i="26"/>
  <c r="AN169" i="26" s="1"/>
  <c r="AO173" i="26"/>
  <c r="AN173" i="26" s="1"/>
  <c r="AO177" i="26"/>
  <c r="AN177" i="26" s="1"/>
  <c r="AO189" i="26"/>
  <c r="AN189" i="26" s="1"/>
  <c r="AO193" i="26"/>
  <c r="AN193" i="26" s="1"/>
  <c r="AO197" i="26"/>
  <c r="AN197" i="26" s="1"/>
  <c r="AO308" i="26"/>
  <c r="AO312" i="26"/>
  <c r="AN312" i="26" s="1"/>
  <c r="AO316" i="26"/>
  <c r="AN316" i="26" s="1"/>
  <c r="AO320" i="26"/>
  <c r="AN320" i="26" s="1"/>
  <c r="AO324" i="26"/>
  <c r="AN324" i="26" s="1"/>
  <c r="AO328" i="26"/>
  <c r="AN328" i="26" s="1"/>
  <c r="AO332" i="26"/>
  <c r="AN332" i="26" s="1"/>
  <c r="AO336" i="26"/>
  <c r="AN336" i="26" s="1"/>
  <c r="AO340" i="26"/>
  <c r="AN340" i="26" s="1"/>
  <c r="AO344" i="26"/>
  <c r="AN344" i="26" s="1"/>
  <c r="AO348" i="26"/>
  <c r="AN348" i="26" s="1"/>
  <c r="AO352" i="26"/>
  <c r="AN352" i="26" s="1"/>
  <c r="AO356" i="26"/>
  <c r="AN356" i="26" s="1"/>
  <c r="AO360" i="26"/>
  <c r="AN360" i="26" s="1"/>
  <c r="AO364" i="26"/>
  <c r="AN364" i="26" s="1"/>
  <c r="AO368" i="26"/>
  <c r="AN368" i="26" s="1"/>
  <c r="AO372" i="26"/>
  <c r="AN372" i="26" s="1"/>
  <c r="AO376" i="26"/>
  <c r="AN376" i="26" s="1"/>
  <c r="AO380" i="26"/>
  <c r="AN380" i="26" s="1"/>
  <c r="AO384" i="26"/>
  <c r="AN384" i="26" s="1"/>
  <c r="AO388" i="26"/>
  <c r="AN388" i="26" s="1"/>
  <c r="AO392" i="26"/>
  <c r="AN392" i="26" s="1"/>
  <c r="AO323" i="26"/>
  <c r="AN323" i="26" s="1"/>
  <c r="AO331" i="26"/>
  <c r="AN331" i="26" s="1"/>
  <c r="AO339" i="26"/>
  <c r="AN339" i="26" s="1"/>
  <c r="AO347" i="26"/>
  <c r="AN347" i="26" s="1"/>
  <c r="AO355" i="26"/>
  <c r="AN355" i="26" s="1"/>
  <c r="AO363" i="26"/>
  <c r="AN363" i="26" s="1"/>
  <c r="AO371" i="26"/>
  <c r="AN371" i="26" s="1"/>
  <c r="AO379" i="26"/>
  <c r="AN379" i="26" s="1"/>
  <c r="AO387" i="26"/>
  <c r="AN387" i="26" s="1"/>
  <c r="AO394" i="26"/>
  <c r="AN394" i="26" s="1"/>
  <c r="AO398" i="26"/>
  <c r="AN398" i="26" s="1"/>
  <c r="AO402" i="26"/>
  <c r="AN402" i="26" s="1"/>
  <c r="AO406" i="26"/>
  <c r="AN406" i="26" s="1"/>
  <c r="AO410" i="26"/>
  <c r="AN410" i="26" s="1"/>
  <c r="AO414" i="26"/>
  <c r="AN414" i="26" s="1"/>
  <c r="AO418" i="26"/>
  <c r="AN418" i="26" s="1"/>
  <c r="AO422" i="26"/>
  <c r="AN422" i="26" s="1"/>
  <c r="AO426" i="26"/>
  <c r="AN426" i="26" s="1"/>
  <c r="AO430" i="26"/>
  <c r="AN430" i="26" s="1"/>
  <c r="AO434" i="26"/>
  <c r="AN434" i="26" s="1"/>
  <c r="AO438" i="26"/>
  <c r="AN438" i="26" s="1"/>
  <c r="AO442" i="26"/>
  <c r="AN442" i="26" s="1"/>
  <c r="AO446" i="26"/>
  <c r="AN446" i="26" s="1"/>
  <c r="AO450" i="26"/>
  <c r="AN450" i="26" s="1"/>
  <c r="AO454" i="26"/>
  <c r="AN454" i="26" s="1"/>
  <c r="AO458" i="26"/>
  <c r="AN458" i="26" s="1"/>
  <c r="AO462" i="26"/>
  <c r="AN462" i="26" s="1"/>
  <c r="AO329" i="26"/>
  <c r="AN329" i="26" s="1"/>
  <c r="AO345" i="26"/>
  <c r="AN345" i="26" s="1"/>
  <c r="AO361" i="26"/>
  <c r="AN361" i="26" s="1"/>
  <c r="AO393" i="26"/>
  <c r="AN393" i="26" s="1"/>
  <c r="AO401" i="26"/>
  <c r="AN401" i="26" s="1"/>
  <c r="AO413" i="26"/>
  <c r="AN413" i="26" s="1"/>
  <c r="AO425" i="26"/>
  <c r="AN425" i="26" s="1"/>
  <c r="AO437" i="26"/>
  <c r="AN437" i="26" s="1"/>
  <c r="AO449" i="26"/>
  <c r="AN449" i="26" s="1"/>
  <c r="AO461" i="26"/>
  <c r="AN461" i="26" s="1"/>
  <c r="AO317" i="26"/>
  <c r="AN317" i="26" s="1"/>
  <c r="AO325" i="26"/>
  <c r="AN325" i="26" s="1"/>
  <c r="AO333" i="26"/>
  <c r="AN333" i="26" s="1"/>
  <c r="AO341" i="26"/>
  <c r="AN341" i="26" s="1"/>
  <c r="AO349" i="26"/>
  <c r="AN349" i="26" s="1"/>
  <c r="AO357" i="26"/>
  <c r="AN357" i="26" s="1"/>
  <c r="AO365" i="26"/>
  <c r="AN365" i="26" s="1"/>
  <c r="AO373" i="26"/>
  <c r="AN373" i="26" s="1"/>
  <c r="AO381" i="26"/>
  <c r="AN381" i="26" s="1"/>
  <c r="AO389" i="26"/>
  <c r="AN389" i="26" s="1"/>
  <c r="AO395" i="26"/>
  <c r="AN395" i="26" s="1"/>
  <c r="AO399" i="26"/>
  <c r="AN399" i="26" s="1"/>
  <c r="AO403" i="26"/>
  <c r="AN403" i="26" s="1"/>
  <c r="AO407" i="26"/>
  <c r="AN407" i="26" s="1"/>
  <c r="AO411" i="26"/>
  <c r="AN411" i="26" s="1"/>
  <c r="AO415" i="26"/>
  <c r="AN415" i="26" s="1"/>
  <c r="AO419" i="26"/>
  <c r="AN419" i="26" s="1"/>
  <c r="AO423" i="26"/>
  <c r="AN423" i="26" s="1"/>
  <c r="AO427" i="26"/>
  <c r="AN427" i="26" s="1"/>
  <c r="AO431" i="26"/>
  <c r="AN431" i="26" s="1"/>
  <c r="AO435" i="26"/>
  <c r="AN435" i="26" s="1"/>
  <c r="AO439" i="26"/>
  <c r="AN439" i="26" s="1"/>
  <c r="AO443" i="26"/>
  <c r="AN443" i="26" s="1"/>
  <c r="AO447" i="26"/>
  <c r="AN447" i="26" s="1"/>
  <c r="AO451" i="26"/>
  <c r="AN451" i="26" s="1"/>
  <c r="AO455" i="26"/>
  <c r="AN455" i="26" s="1"/>
  <c r="AO459" i="26"/>
  <c r="AN459" i="26" s="1"/>
  <c r="AO463" i="26"/>
  <c r="AN463" i="26" s="1"/>
  <c r="AO337" i="26"/>
  <c r="AN337" i="26" s="1"/>
  <c r="AO377" i="26"/>
  <c r="AN377" i="26" s="1"/>
  <c r="AO405" i="26"/>
  <c r="AN405" i="26" s="1"/>
  <c r="AO417" i="26"/>
  <c r="AN417" i="26" s="1"/>
  <c r="AO429" i="26"/>
  <c r="AN429" i="26" s="1"/>
  <c r="AO441" i="26"/>
  <c r="AN441" i="26" s="1"/>
  <c r="AO457" i="26"/>
  <c r="AN457" i="26" s="1"/>
  <c r="AO319" i="26"/>
  <c r="AN319" i="26" s="1"/>
  <c r="AO327" i="26"/>
  <c r="AN327" i="26" s="1"/>
  <c r="AO335" i="26"/>
  <c r="AN335" i="26" s="1"/>
  <c r="AO343" i="26"/>
  <c r="AN343" i="26" s="1"/>
  <c r="AO351" i="26"/>
  <c r="AN351" i="26" s="1"/>
  <c r="AO359" i="26"/>
  <c r="AN359" i="26" s="1"/>
  <c r="AO367" i="26"/>
  <c r="AN367" i="26" s="1"/>
  <c r="AO375" i="26"/>
  <c r="AN375" i="26" s="1"/>
  <c r="AO383" i="26"/>
  <c r="AN383" i="26" s="1"/>
  <c r="AO391" i="26"/>
  <c r="AN391" i="26" s="1"/>
  <c r="AO396" i="26"/>
  <c r="AN396" i="26" s="1"/>
  <c r="AO400" i="26"/>
  <c r="AN400" i="26" s="1"/>
  <c r="AO404" i="26"/>
  <c r="AN404" i="26" s="1"/>
  <c r="AO408" i="26"/>
  <c r="AN408" i="26" s="1"/>
  <c r="AO412" i="26"/>
  <c r="AN412" i="26" s="1"/>
  <c r="AO416" i="26"/>
  <c r="AN416" i="26" s="1"/>
  <c r="AO420" i="26"/>
  <c r="AN420" i="26" s="1"/>
  <c r="AO424" i="26"/>
  <c r="AN424" i="26" s="1"/>
  <c r="AO428" i="26"/>
  <c r="AN428" i="26" s="1"/>
  <c r="AO432" i="26"/>
  <c r="AN432" i="26" s="1"/>
  <c r="AO436" i="26"/>
  <c r="AN436" i="26" s="1"/>
  <c r="AO440" i="26"/>
  <c r="AN440" i="26" s="1"/>
  <c r="AO444" i="26"/>
  <c r="AN444" i="26" s="1"/>
  <c r="AO448" i="26"/>
  <c r="AN448" i="26" s="1"/>
  <c r="AO452" i="26"/>
  <c r="AN452" i="26" s="1"/>
  <c r="AO456" i="26"/>
  <c r="AN456" i="26" s="1"/>
  <c r="AO460" i="26"/>
  <c r="AN460" i="26" s="1"/>
  <c r="AN2" i="26"/>
  <c r="AO321" i="26"/>
  <c r="AO353" i="26"/>
  <c r="AN353" i="26" s="1"/>
  <c r="AO369" i="26"/>
  <c r="AN369" i="26" s="1"/>
  <c r="AO385" i="26"/>
  <c r="AN385" i="26" s="1"/>
  <c r="AO397" i="26"/>
  <c r="AN397" i="26" s="1"/>
  <c r="AO409" i="26"/>
  <c r="AN409" i="26" s="1"/>
  <c r="AO421" i="26"/>
  <c r="AN421" i="26" s="1"/>
  <c r="AO433" i="26"/>
  <c r="AN433" i="26" s="1"/>
  <c r="AO445" i="26"/>
  <c r="AN445" i="26" s="1"/>
  <c r="AO453" i="26"/>
  <c r="AN453" i="26" s="1"/>
  <c r="D490" i="60"/>
  <c r="C490" i="60"/>
  <c r="D501" i="59"/>
  <c r="C501" i="59"/>
  <c r="B341" i="60"/>
  <c r="B341" i="59"/>
  <c r="B319" i="60"/>
  <c r="B319" i="59"/>
  <c r="B297" i="60"/>
  <c r="B297" i="59"/>
  <c r="W302" i="59" s="1"/>
  <c r="X302" i="59" s="1"/>
  <c r="B275" i="60"/>
  <c r="B275" i="59"/>
  <c r="B242" i="60"/>
  <c r="B242" i="59"/>
  <c r="C248" i="59"/>
  <c r="D248" i="59"/>
  <c r="B330" i="60"/>
  <c r="B330" i="59"/>
  <c r="B308" i="60"/>
  <c r="B308" i="59"/>
  <c r="B286" i="60"/>
  <c r="B286" i="59"/>
  <c r="C281" i="59" s="1"/>
  <c r="C259" i="59"/>
  <c r="S268" i="59"/>
  <c r="T268" i="59" s="1"/>
  <c r="S269" i="59"/>
  <c r="T269" i="59" s="1"/>
  <c r="S267" i="59"/>
  <c r="S265" i="59"/>
  <c r="W263" i="59"/>
  <c r="X263" i="59" s="1"/>
  <c r="K262" i="59"/>
  <c r="L262" i="59" s="1"/>
  <c r="W269" i="59"/>
  <c r="X269" i="59" s="1"/>
  <c r="W267" i="59"/>
  <c r="W265" i="59"/>
  <c r="S263" i="59"/>
  <c r="T263" i="59" s="1"/>
  <c r="S261" i="59"/>
  <c r="T261" i="59" s="1"/>
  <c r="G260" i="59"/>
  <c r="K263" i="59"/>
  <c r="L263" i="59" s="1"/>
  <c r="O260" i="59"/>
  <c r="P260" i="59" s="1"/>
  <c r="O259" i="59"/>
  <c r="P259" i="59" s="1"/>
  <c r="S266" i="59"/>
  <c r="T266" i="59" s="1"/>
  <c r="S264" i="59"/>
  <c r="T264" i="59" s="1"/>
  <c r="W262" i="59"/>
  <c r="W261" i="59"/>
  <c r="X261" i="59" s="1"/>
  <c r="W268" i="59"/>
  <c r="X268" i="59" s="1"/>
  <c r="W266" i="59"/>
  <c r="X266" i="59" s="1"/>
  <c r="W264" i="59"/>
  <c r="X264" i="59" s="1"/>
  <c r="S262" i="59"/>
  <c r="S260" i="59"/>
  <c r="T260" i="59" s="1"/>
  <c r="D259" i="59"/>
  <c r="W260" i="59"/>
  <c r="X260" i="59" s="1"/>
  <c r="K259" i="59"/>
  <c r="K260" i="59"/>
  <c r="W259" i="59"/>
  <c r="S259" i="59"/>
  <c r="G259" i="59"/>
  <c r="D545" i="57"/>
  <c r="C556" i="57"/>
  <c r="AD561" i="57" s="1"/>
  <c r="D556" i="57"/>
  <c r="C545" i="57"/>
  <c r="AD550" i="57" s="1"/>
  <c r="C457" i="59"/>
  <c r="D479" i="59"/>
  <c r="D468" i="59"/>
  <c r="C468" i="59"/>
  <c r="D457" i="59"/>
  <c r="C479" i="59"/>
  <c r="D446" i="60"/>
  <c r="D479" i="60"/>
  <c r="C468" i="60"/>
  <c r="D468" i="60"/>
  <c r="C446" i="60"/>
  <c r="C457" i="60"/>
  <c r="D457" i="60"/>
  <c r="C479" i="60"/>
  <c r="D523" i="57"/>
  <c r="C523" i="57"/>
  <c r="AD528" i="57" s="1"/>
  <c r="D534" i="57"/>
  <c r="C534" i="57"/>
  <c r="AD539" i="57" s="1"/>
  <c r="D435" i="57"/>
  <c r="C501" i="57"/>
  <c r="AD506" i="57" s="1"/>
  <c r="C479" i="57"/>
  <c r="AD484" i="57" s="1"/>
  <c r="C490" i="57"/>
  <c r="AD495" i="57" s="1"/>
  <c r="D501" i="57"/>
  <c r="C446" i="57"/>
  <c r="AD451" i="57" s="1"/>
  <c r="D512" i="57"/>
  <c r="D468" i="57"/>
  <c r="C435" i="57"/>
  <c r="AD440" i="57" s="1"/>
  <c r="C457" i="57"/>
  <c r="AD462" i="57" s="1"/>
  <c r="D479" i="57"/>
  <c r="D457" i="57"/>
  <c r="D490" i="57"/>
  <c r="D446" i="57"/>
  <c r="C512" i="57"/>
  <c r="AD517" i="57" s="1"/>
  <c r="C468" i="57"/>
  <c r="AD473" i="57" s="1"/>
  <c r="D424" i="57"/>
  <c r="C424" i="57"/>
  <c r="AD429" i="57" s="1"/>
  <c r="W185" i="60"/>
  <c r="S185" i="60"/>
  <c r="K185" i="60"/>
  <c r="L185" i="60" s="1"/>
  <c r="K183" i="60"/>
  <c r="G183" i="60"/>
  <c r="W182" i="60"/>
  <c r="S182" i="60"/>
  <c r="O182" i="60"/>
  <c r="P182" i="60" s="1"/>
  <c r="W192" i="60"/>
  <c r="X192" i="60" s="1"/>
  <c r="S192" i="60"/>
  <c r="T192" i="60" s="1"/>
  <c r="W191" i="60"/>
  <c r="X191" i="60" s="1"/>
  <c r="S191" i="60"/>
  <c r="T191" i="60" s="1"/>
  <c r="W190" i="60"/>
  <c r="S190" i="60"/>
  <c r="W189" i="60"/>
  <c r="X189" i="60" s="1"/>
  <c r="S189" i="60"/>
  <c r="T189" i="60" s="1"/>
  <c r="W188" i="60"/>
  <c r="S188" i="60"/>
  <c r="W187" i="60"/>
  <c r="X187" i="60" s="1"/>
  <c r="S187" i="60"/>
  <c r="T187" i="60" s="1"/>
  <c r="W186" i="60"/>
  <c r="X186" i="60" s="1"/>
  <c r="S186" i="60"/>
  <c r="T186" i="60" s="1"/>
  <c r="K186" i="60"/>
  <c r="L186" i="60" s="1"/>
  <c r="W184" i="60"/>
  <c r="X184" i="60" s="1"/>
  <c r="S184" i="60"/>
  <c r="T184" i="60" s="1"/>
  <c r="W183" i="60"/>
  <c r="X183" i="60" s="1"/>
  <c r="S183" i="60"/>
  <c r="T183" i="60" s="1"/>
  <c r="O183" i="60"/>
  <c r="P183" i="60" s="1"/>
  <c r="K182" i="60"/>
  <c r="G182" i="60"/>
  <c r="W141" i="60"/>
  <c r="S141" i="60"/>
  <c r="K139" i="60"/>
  <c r="G139" i="60"/>
  <c r="W138" i="60"/>
  <c r="S138" i="60"/>
  <c r="O138" i="60"/>
  <c r="P138" i="60" s="1"/>
  <c r="W148" i="60"/>
  <c r="X148" i="60" s="1"/>
  <c r="S148" i="60"/>
  <c r="T148" i="60" s="1"/>
  <c r="W147" i="60"/>
  <c r="X147" i="60" s="1"/>
  <c r="S147" i="60"/>
  <c r="T147" i="60" s="1"/>
  <c r="W146" i="60"/>
  <c r="W145" i="60"/>
  <c r="X145" i="60" s="1"/>
  <c r="S145" i="60"/>
  <c r="T145" i="60" s="1"/>
  <c r="W144" i="60"/>
  <c r="W143" i="60"/>
  <c r="X143" i="60" s="1"/>
  <c r="S143" i="60"/>
  <c r="T143" i="60" s="1"/>
  <c r="W142" i="60"/>
  <c r="X142" i="60" s="1"/>
  <c r="S142" i="60"/>
  <c r="T142" i="60" s="1"/>
  <c r="K142" i="60"/>
  <c r="L142" i="60" s="1"/>
  <c r="K138" i="60"/>
  <c r="S146" i="60"/>
  <c r="S144" i="60"/>
  <c r="W140" i="60"/>
  <c r="X140" i="60" s="1"/>
  <c r="S140" i="60"/>
  <c r="T140" i="60" s="1"/>
  <c r="W139" i="60"/>
  <c r="X139" i="60" s="1"/>
  <c r="S139" i="60"/>
  <c r="T139" i="60" s="1"/>
  <c r="O139" i="60"/>
  <c r="P139" i="60" s="1"/>
  <c r="G138" i="60"/>
  <c r="W86" i="60"/>
  <c r="S86" i="60"/>
  <c r="K86" i="60"/>
  <c r="L86" i="60" s="1"/>
  <c r="K84" i="60"/>
  <c r="G84" i="60"/>
  <c r="W83" i="60"/>
  <c r="S83" i="60"/>
  <c r="O83" i="60"/>
  <c r="P83" i="60" s="1"/>
  <c r="W93" i="60"/>
  <c r="X93" i="60" s="1"/>
  <c r="S93" i="60"/>
  <c r="T93" i="60" s="1"/>
  <c r="W92" i="60"/>
  <c r="X92" i="60" s="1"/>
  <c r="S92" i="60"/>
  <c r="T92" i="60" s="1"/>
  <c r="W91" i="60"/>
  <c r="W90" i="60"/>
  <c r="X90" i="60" s="1"/>
  <c r="S90" i="60"/>
  <c r="T90" i="60" s="1"/>
  <c r="W89" i="60"/>
  <c r="W88" i="60"/>
  <c r="X88" i="60" s="1"/>
  <c r="S88" i="60"/>
  <c r="T88" i="60" s="1"/>
  <c r="W87" i="60"/>
  <c r="X87" i="60" s="1"/>
  <c r="S87" i="60"/>
  <c r="T87" i="60" s="1"/>
  <c r="K87" i="60"/>
  <c r="L87" i="60" s="1"/>
  <c r="K83" i="60"/>
  <c r="S91" i="60"/>
  <c r="S89" i="60"/>
  <c r="W85" i="60"/>
  <c r="X85" i="60" s="1"/>
  <c r="S85" i="60"/>
  <c r="T85" i="60" s="1"/>
  <c r="W84" i="60"/>
  <c r="X84" i="60" s="1"/>
  <c r="S84" i="60"/>
  <c r="T84" i="60" s="1"/>
  <c r="O84" i="60"/>
  <c r="P84" i="60" s="1"/>
  <c r="G83" i="60"/>
  <c r="W64" i="60"/>
  <c r="S64" i="60"/>
  <c r="K64" i="60"/>
  <c r="L64" i="60" s="1"/>
  <c r="K62" i="60"/>
  <c r="G62" i="60"/>
  <c r="W61" i="60"/>
  <c r="O61" i="60"/>
  <c r="P61" i="60" s="1"/>
  <c r="W71" i="60"/>
  <c r="X71" i="60" s="1"/>
  <c r="S71" i="60"/>
  <c r="T71" i="60" s="1"/>
  <c r="W70" i="60"/>
  <c r="X70" i="60" s="1"/>
  <c r="S70" i="60"/>
  <c r="T70" i="60" s="1"/>
  <c r="W69" i="60"/>
  <c r="W68" i="60"/>
  <c r="X68" i="60" s="1"/>
  <c r="S68" i="60"/>
  <c r="T68" i="60" s="1"/>
  <c r="W67" i="60"/>
  <c r="W66" i="60"/>
  <c r="X66" i="60" s="1"/>
  <c r="S66" i="60"/>
  <c r="T66" i="60" s="1"/>
  <c r="W65" i="60"/>
  <c r="X65" i="60" s="1"/>
  <c r="S65" i="60"/>
  <c r="T65" i="60" s="1"/>
  <c r="K65" i="60"/>
  <c r="L65" i="60" s="1"/>
  <c r="K61" i="60"/>
  <c r="S69" i="60"/>
  <c r="S67" i="60"/>
  <c r="W63" i="60"/>
  <c r="X63" i="60" s="1"/>
  <c r="S63" i="60"/>
  <c r="T63" i="60" s="1"/>
  <c r="W62" i="60"/>
  <c r="X62" i="60" s="1"/>
  <c r="S62" i="60"/>
  <c r="T62" i="60" s="1"/>
  <c r="O62" i="60"/>
  <c r="P62" i="60" s="1"/>
  <c r="G61" i="60"/>
  <c r="W20" i="60"/>
  <c r="S20" i="60"/>
  <c r="K20" i="60"/>
  <c r="L20" i="60" s="1"/>
  <c r="K18" i="60"/>
  <c r="G18" i="60"/>
  <c r="W17" i="60"/>
  <c r="O17" i="60"/>
  <c r="P17" i="60" s="1"/>
  <c r="W27" i="60"/>
  <c r="X27" i="60" s="1"/>
  <c r="S27" i="60"/>
  <c r="T27" i="60" s="1"/>
  <c r="W26" i="60"/>
  <c r="X26" i="60" s="1"/>
  <c r="S26" i="60"/>
  <c r="T26" i="60" s="1"/>
  <c r="W25" i="60"/>
  <c r="W24" i="60"/>
  <c r="X24" i="60" s="1"/>
  <c r="S24" i="60"/>
  <c r="T24" i="60" s="1"/>
  <c r="W23" i="60"/>
  <c r="W22" i="60"/>
  <c r="X22" i="60" s="1"/>
  <c r="S22" i="60"/>
  <c r="T22" i="60" s="1"/>
  <c r="W21" i="60"/>
  <c r="X21" i="60" s="1"/>
  <c r="S21" i="60"/>
  <c r="T21" i="60" s="1"/>
  <c r="K21" i="60"/>
  <c r="L21" i="60" s="1"/>
  <c r="K17" i="60"/>
  <c r="S25" i="60"/>
  <c r="S23" i="60"/>
  <c r="W19" i="60"/>
  <c r="X19" i="60" s="1"/>
  <c r="S19" i="60"/>
  <c r="T19" i="60" s="1"/>
  <c r="W18" i="60"/>
  <c r="X18" i="60" s="1"/>
  <c r="S18" i="60"/>
  <c r="T18" i="60" s="1"/>
  <c r="O18" i="60"/>
  <c r="P18" i="60" s="1"/>
  <c r="G17" i="60"/>
  <c r="W174" i="60"/>
  <c r="S174" i="60"/>
  <c r="K174" i="60"/>
  <c r="L174" i="60" s="1"/>
  <c r="K172" i="60"/>
  <c r="G172" i="60"/>
  <c r="W171" i="60"/>
  <c r="O171" i="60"/>
  <c r="P171" i="60" s="1"/>
  <c r="W181" i="60"/>
  <c r="X181" i="60" s="1"/>
  <c r="S181" i="60"/>
  <c r="T181" i="60" s="1"/>
  <c r="W180" i="60"/>
  <c r="X180" i="60" s="1"/>
  <c r="S180" i="60"/>
  <c r="T180" i="60" s="1"/>
  <c r="W179" i="60"/>
  <c r="S179" i="60"/>
  <c r="W178" i="60"/>
  <c r="X178" i="60" s="1"/>
  <c r="S178" i="60"/>
  <c r="T178" i="60" s="1"/>
  <c r="W177" i="60"/>
  <c r="S177" i="60"/>
  <c r="W176" i="60"/>
  <c r="X176" i="60" s="1"/>
  <c r="S176" i="60"/>
  <c r="T176" i="60" s="1"/>
  <c r="W175" i="60"/>
  <c r="X175" i="60" s="1"/>
  <c r="S175" i="60"/>
  <c r="T175" i="60" s="1"/>
  <c r="K175" i="60"/>
  <c r="L175" i="60" s="1"/>
  <c r="W173" i="60"/>
  <c r="X173" i="60" s="1"/>
  <c r="S173" i="60"/>
  <c r="T173" i="60" s="1"/>
  <c r="W172" i="60"/>
  <c r="X172" i="60" s="1"/>
  <c r="S172" i="60"/>
  <c r="T172" i="60" s="1"/>
  <c r="O172" i="60"/>
  <c r="P172" i="60" s="1"/>
  <c r="K171" i="60"/>
  <c r="G171" i="60"/>
  <c r="W152" i="60"/>
  <c r="S152" i="60"/>
  <c r="K152" i="60"/>
  <c r="L152" i="60" s="1"/>
  <c r="K150" i="60"/>
  <c r="G150" i="60"/>
  <c r="W149" i="60"/>
  <c r="O149" i="60"/>
  <c r="P149" i="60" s="1"/>
  <c r="W159" i="60"/>
  <c r="X159" i="60" s="1"/>
  <c r="S159" i="60"/>
  <c r="T159" i="60" s="1"/>
  <c r="W158" i="60"/>
  <c r="X158" i="60" s="1"/>
  <c r="S158" i="60"/>
  <c r="T158" i="60" s="1"/>
  <c r="W157" i="60"/>
  <c r="W156" i="60"/>
  <c r="X156" i="60" s="1"/>
  <c r="S156" i="60"/>
  <c r="T156" i="60" s="1"/>
  <c r="W155" i="60"/>
  <c r="W154" i="60"/>
  <c r="X154" i="60" s="1"/>
  <c r="S154" i="60"/>
  <c r="T154" i="60" s="1"/>
  <c r="W153" i="60"/>
  <c r="X153" i="60" s="1"/>
  <c r="S153" i="60"/>
  <c r="T153" i="60" s="1"/>
  <c r="K153" i="60"/>
  <c r="L153" i="60" s="1"/>
  <c r="K149" i="60"/>
  <c r="S157" i="60"/>
  <c r="S155" i="60"/>
  <c r="W151" i="60"/>
  <c r="X151" i="60" s="1"/>
  <c r="S151" i="60"/>
  <c r="T151" i="60" s="1"/>
  <c r="W150" i="60"/>
  <c r="X150" i="60" s="1"/>
  <c r="S150" i="60"/>
  <c r="T150" i="60" s="1"/>
  <c r="O150" i="60"/>
  <c r="P150" i="60" s="1"/>
  <c r="G149" i="60"/>
  <c r="W119" i="60"/>
  <c r="S119" i="60"/>
  <c r="K119" i="60"/>
  <c r="L119" i="60" s="1"/>
  <c r="K117" i="60"/>
  <c r="G117" i="60"/>
  <c r="O116" i="60"/>
  <c r="P116" i="60" s="1"/>
  <c r="W126" i="60"/>
  <c r="X126" i="60" s="1"/>
  <c r="S126" i="60"/>
  <c r="T126" i="60" s="1"/>
  <c r="W125" i="60"/>
  <c r="X125" i="60" s="1"/>
  <c r="S125" i="60"/>
  <c r="T125" i="60" s="1"/>
  <c r="W124" i="60"/>
  <c r="W123" i="60"/>
  <c r="X123" i="60" s="1"/>
  <c r="S123" i="60"/>
  <c r="T123" i="60" s="1"/>
  <c r="W122" i="60"/>
  <c r="W121" i="60"/>
  <c r="X121" i="60" s="1"/>
  <c r="S121" i="60"/>
  <c r="T121" i="60" s="1"/>
  <c r="W120" i="60"/>
  <c r="X120" i="60" s="1"/>
  <c r="S120" i="60"/>
  <c r="T120" i="60" s="1"/>
  <c r="K120" i="60"/>
  <c r="L120" i="60" s="1"/>
  <c r="K116" i="60"/>
  <c r="S124" i="60"/>
  <c r="S122" i="60"/>
  <c r="W118" i="60"/>
  <c r="X118" i="60" s="1"/>
  <c r="S118" i="60"/>
  <c r="T118" i="60" s="1"/>
  <c r="W117" i="60"/>
  <c r="X117" i="60" s="1"/>
  <c r="S117" i="60"/>
  <c r="T117" i="60" s="1"/>
  <c r="O117" i="60"/>
  <c r="P117" i="60" s="1"/>
  <c r="G116" i="60"/>
  <c r="W97" i="60"/>
  <c r="S97" i="60"/>
  <c r="K95" i="60"/>
  <c r="G95" i="60"/>
  <c r="W94" i="60"/>
  <c r="S94" i="60"/>
  <c r="O94" i="60"/>
  <c r="P94" i="60" s="1"/>
  <c r="W104" i="60"/>
  <c r="X104" i="60" s="1"/>
  <c r="S104" i="60"/>
  <c r="T104" i="60" s="1"/>
  <c r="W103" i="60"/>
  <c r="X103" i="60" s="1"/>
  <c r="S103" i="60"/>
  <c r="T103" i="60" s="1"/>
  <c r="W102" i="60"/>
  <c r="W101" i="60"/>
  <c r="X101" i="60" s="1"/>
  <c r="S101" i="60"/>
  <c r="T101" i="60" s="1"/>
  <c r="W100" i="60"/>
  <c r="W99" i="60"/>
  <c r="X99" i="60" s="1"/>
  <c r="S99" i="60"/>
  <c r="T99" i="60" s="1"/>
  <c r="W98" i="60"/>
  <c r="X98" i="60" s="1"/>
  <c r="S98" i="60"/>
  <c r="T98" i="60" s="1"/>
  <c r="K98" i="60"/>
  <c r="L98" i="60" s="1"/>
  <c r="K94" i="60"/>
  <c r="S102" i="60"/>
  <c r="S100" i="60"/>
  <c r="W96" i="60"/>
  <c r="X96" i="60" s="1"/>
  <c r="S96" i="60"/>
  <c r="T96" i="60" s="1"/>
  <c r="W95" i="60"/>
  <c r="X95" i="60" s="1"/>
  <c r="S95" i="60"/>
  <c r="T95" i="60" s="1"/>
  <c r="O95" i="60"/>
  <c r="P95" i="60" s="1"/>
  <c r="G94" i="60"/>
  <c r="W75" i="60"/>
  <c r="S75" i="60"/>
  <c r="K73" i="60"/>
  <c r="G73" i="60"/>
  <c r="W72" i="60"/>
  <c r="S72" i="60"/>
  <c r="O72" i="60"/>
  <c r="P72" i="60" s="1"/>
  <c r="W82" i="60"/>
  <c r="X82" i="60" s="1"/>
  <c r="S82" i="60"/>
  <c r="T82" i="60" s="1"/>
  <c r="W81" i="60"/>
  <c r="X81" i="60" s="1"/>
  <c r="S81" i="60"/>
  <c r="T81" i="60" s="1"/>
  <c r="W80" i="60"/>
  <c r="W79" i="60"/>
  <c r="X79" i="60" s="1"/>
  <c r="S79" i="60"/>
  <c r="T79" i="60" s="1"/>
  <c r="W78" i="60"/>
  <c r="W77" i="60"/>
  <c r="X77" i="60" s="1"/>
  <c r="S77" i="60"/>
  <c r="T77" i="60" s="1"/>
  <c r="W76" i="60"/>
  <c r="X76" i="60" s="1"/>
  <c r="S76" i="60"/>
  <c r="T76" i="60" s="1"/>
  <c r="K76" i="60"/>
  <c r="L76" i="60" s="1"/>
  <c r="K72" i="60"/>
  <c r="S80" i="60"/>
  <c r="S78" i="60"/>
  <c r="W74" i="60"/>
  <c r="X74" i="60" s="1"/>
  <c r="S74" i="60"/>
  <c r="T74" i="60" s="1"/>
  <c r="W73" i="60"/>
  <c r="X73" i="60" s="1"/>
  <c r="S73" i="60"/>
  <c r="T73" i="60" s="1"/>
  <c r="O73" i="60"/>
  <c r="P73" i="60" s="1"/>
  <c r="G72" i="60"/>
  <c r="W53" i="60"/>
  <c r="S53" i="60"/>
  <c r="K53" i="60"/>
  <c r="L53" i="60" s="1"/>
  <c r="K51" i="60"/>
  <c r="G51" i="60"/>
  <c r="W50" i="60"/>
  <c r="S50" i="60"/>
  <c r="O50" i="60"/>
  <c r="P50" i="60" s="1"/>
  <c r="W60" i="60"/>
  <c r="X60" i="60" s="1"/>
  <c r="S60" i="60"/>
  <c r="T60" i="60" s="1"/>
  <c r="W59" i="60"/>
  <c r="X59" i="60" s="1"/>
  <c r="S59" i="60"/>
  <c r="T59" i="60" s="1"/>
  <c r="W58" i="60"/>
  <c r="W57" i="60"/>
  <c r="X57" i="60" s="1"/>
  <c r="S57" i="60"/>
  <c r="T57" i="60" s="1"/>
  <c r="W56" i="60"/>
  <c r="W55" i="60"/>
  <c r="X55" i="60" s="1"/>
  <c r="S55" i="60"/>
  <c r="T55" i="60" s="1"/>
  <c r="W54" i="60"/>
  <c r="X54" i="60" s="1"/>
  <c r="S54" i="60"/>
  <c r="T54" i="60" s="1"/>
  <c r="K54" i="60"/>
  <c r="L54" i="60" s="1"/>
  <c r="K50" i="60"/>
  <c r="S58" i="60"/>
  <c r="S56" i="60"/>
  <c r="W52" i="60"/>
  <c r="X52" i="60" s="1"/>
  <c r="S52" i="60"/>
  <c r="T52" i="60" s="1"/>
  <c r="W51" i="60"/>
  <c r="X51" i="60" s="1"/>
  <c r="S51" i="60"/>
  <c r="T51" i="60" s="1"/>
  <c r="O51" i="60"/>
  <c r="P51" i="60" s="1"/>
  <c r="G50" i="60"/>
  <c r="W31" i="60"/>
  <c r="S31" i="60"/>
  <c r="K31" i="60"/>
  <c r="L31" i="60" s="1"/>
  <c r="K29" i="60"/>
  <c r="G29" i="60"/>
  <c r="W28" i="60"/>
  <c r="O28" i="60"/>
  <c r="P28" i="60" s="1"/>
  <c r="W38" i="60"/>
  <c r="X38" i="60" s="1"/>
  <c r="S38" i="60"/>
  <c r="T38" i="60" s="1"/>
  <c r="W37" i="60"/>
  <c r="X37" i="60" s="1"/>
  <c r="S37" i="60"/>
  <c r="T37" i="60" s="1"/>
  <c r="W36" i="60"/>
  <c r="W35" i="60"/>
  <c r="X35" i="60" s="1"/>
  <c r="S35" i="60"/>
  <c r="T35" i="60" s="1"/>
  <c r="W34" i="60"/>
  <c r="W33" i="60"/>
  <c r="X33" i="60" s="1"/>
  <c r="S33" i="60"/>
  <c r="T33" i="60" s="1"/>
  <c r="W32" i="60"/>
  <c r="X32" i="60" s="1"/>
  <c r="S32" i="60"/>
  <c r="T32" i="60" s="1"/>
  <c r="K32" i="60"/>
  <c r="L32" i="60" s="1"/>
  <c r="K28" i="60"/>
  <c r="S36" i="60"/>
  <c r="S34" i="60"/>
  <c r="W30" i="60"/>
  <c r="X30" i="60" s="1"/>
  <c r="S30" i="60"/>
  <c r="T30" i="60" s="1"/>
  <c r="W29" i="60"/>
  <c r="X29" i="60" s="1"/>
  <c r="S29" i="60"/>
  <c r="T29" i="60" s="1"/>
  <c r="O29" i="60"/>
  <c r="P29" i="60" s="1"/>
  <c r="G28" i="60"/>
  <c r="W163" i="60"/>
  <c r="S163" i="60"/>
  <c r="K163" i="60"/>
  <c r="L163" i="60" s="1"/>
  <c r="K161" i="60"/>
  <c r="G161" i="60"/>
  <c r="W160" i="60"/>
  <c r="S160" i="60"/>
  <c r="O160" i="60"/>
  <c r="P160" i="60" s="1"/>
  <c r="W170" i="60"/>
  <c r="X170" i="60" s="1"/>
  <c r="S170" i="60"/>
  <c r="T170" i="60" s="1"/>
  <c r="W169" i="60"/>
  <c r="X169" i="60" s="1"/>
  <c r="S169" i="60"/>
  <c r="T169" i="60" s="1"/>
  <c r="W168" i="60"/>
  <c r="W167" i="60"/>
  <c r="X167" i="60" s="1"/>
  <c r="S167" i="60"/>
  <c r="T167" i="60" s="1"/>
  <c r="W166" i="60"/>
  <c r="W165" i="60"/>
  <c r="X165" i="60" s="1"/>
  <c r="S165" i="60"/>
  <c r="T165" i="60" s="1"/>
  <c r="W164" i="60"/>
  <c r="X164" i="60" s="1"/>
  <c r="S164" i="60"/>
  <c r="T164" i="60" s="1"/>
  <c r="K164" i="60"/>
  <c r="L164" i="60" s="1"/>
  <c r="K160" i="60"/>
  <c r="S168" i="60"/>
  <c r="S166" i="60"/>
  <c r="W162" i="60"/>
  <c r="X162" i="60" s="1"/>
  <c r="S162" i="60"/>
  <c r="T162" i="60" s="1"/>
  <c r="W161" i="60"/>
  <c r="X161" i="60" s="1"/>
  <c r="S161" i="60"/>
  <c r="T161" i="60" s="1"/>
  <c r="O161" i="60"/>
  <c r="P161" i="60" s="1"/>
  <c r="G160" i="60"/>
  <c r="W108" i="60"/>
  <c r="S108" i="60"/>
  <c r="K108" i="60"/>
  <c r="L108" i="60" s="1"/>
  <c r="K106" i="60"/>
  <c r="G106" i="60"/>
  <c r="W105" i="60"/>
  <c r="O105" i="60"/>
  <c r="P105" i="60" s="1"/>
  <c r="W115" i="60"/>
  <c r="X115" i="60" s="1"/>
  <c r="S115" i="60"/>
  <c r="T115" i="60" s="1"/>
  <c r="W114" i="60"/>
  <c r="X114" i="60" s="1"/>
  <c r="S114" i="60"/>
  <c r="T114" i="60" s="1"/>
  <c r="W113" i="60"/>
  <c r="W112" i="60"/>
  <c r="X112" i="60" s="1"/>
  <c r="S112" i="60"/>
  <c r="T112" i="60" s="1"/>
  <c r="W111" i="60"/>
  <c r="W110" i="60"/>
  <c r="X110" i="60" s="1"/>
  <c r="S110" i="60"/>
  <c r="T110" i="60" s="1"/>
  <c r="W109" i="60"/>
  <c r="X109" i="60" s="1"/>
  <c r="S109" i="60"/>
  <c r="T109" i="60" s="1"/>
  <c r="K109" i="60"/>
  <c r="L109" i="60" s="1"/>
  <c r="K105" i="60"/>
  <c r="S113" i="60"/>
  <c r="S111" i="60"/>
  <c r="W107" i="60"/>
  <c r="X107" i="60" s="1"/>
  <c r="S107" i="60"/>
  <c r="T107" i="60" s="1"/>
  <c r="W106" i="60"/>
  <c r="X106" i="60" s="1"/>
  <c r="S106" i="60"/>
  <c r="T106" i="60" s="1"/>
  <c r="O106" i="60"/>
  <c r="P106" i="60" s="1"/>
  <c r="G105" i="60"/>
  <c r="W42" i="60"/>
  <c r="S42" i="60"/>
  <c r="K42" i="60"/>
  <c r="L42" i="60" s="1"/>
  <c r="K40" i="60"/>
  <c r="G40" i="60"/>
  <c r="S39" i="60"/>
  <c r="O39" i="60"/>
  <c r="P39" i="60" s="1"/>
  <c r="W49" i="60"/>
  <c r="X49" i="60" s="1"/>
  <c r="S49" i="60"/>
  <c r="T49" i="60" s="1"/>
  <c r="W48" i="60"/>
  <c r="X48" i="60" s="1"/>
  <c r="S48" i="60"/>
  <c r="T48" i="60" s="1"/>
  <c r="W47" i="60"/>
  <c r="W46" i="60"/>
  <c r="X46" i="60" s="1"/>
  <c r="S46" i="60"/>
  <c r="T46" i="60" s="1"/>
  <c r="W45" i="60"/>
  <c r="W44" i="60"/>
  <c r="X44" i="60" s="1"/>
  <c r="S44" i="60"/>
  <c r="T44" i="60" s="1"/>
  <c r="W43" i="60"/>
  <c r="X43" i="60" s="1"/>
  <c r="S43" i="60"/>
  <c r="T43" i="60" s="1"/>
  <c r="K43" i="60"/>
  <c r="L43" i="60" s="1"/>
  <c r="K39" i="60"/>
  <c r="S47" i="60"/>
  <c r="S45" i="60"/>
  <c r="W41" i="60"/>
  <c r="X41" i="60" s="1"/>
  <c r="S41" i="60"/>
  <c r="T41" i="60" s="1"/>
  <c r="W40" i="60"/>
  <c r="X40" i="60" s="1"/>
  <c r="S40" i="60"/>
  <c r="T40" i="60" s="1"/>
  <c r="O40" i="60"/>
  <c r="P40" i="60" s="1"/>
  <c r="G39" i="60"/>
  <c r="D413" i="60"/>
  <c r="C402" i="60"/>
  <c r="C358" i="60"/>
  <c r="D358" i="60"/>
  <c r="D380" i="60"/>
  <c r="C413" i="60"/>
  <c r="D369" i="60"/>
  <c r="C369" i="60"/>
  <c r="D402" i="60"/>
  <c r="D391" i="60"/>
  <c r="C391" i="60"/>
  <c r="D347" i="60"/>
  <c r="C347" i="60"/>
  <c r="C380" i="60"/>
  <c r="D248" i="60"/>
  <c r="C248" i="60"/>
  <c r="B264" i="60"/>
  <c r="B341" i="57"/>
  <c r="W341" i="57" s="1"/>
  <c r="X341" i="57" s="1"/>
  <c r="B319" i="57"/>
  <c r="W322" i="57" s="1"/>
  <c r="B297" i="57"/>
  <c r="W299" i="57" s="1"/>
  <c r="X299" i="57" s="1"/>
  <c r="B275" i="57"/>
  <c r="K271" i="57" s="1"/>
  <c r="B220" i="60"/>
  <c r="B198" i="60"/>
  <c r="D391" i="59"/>
  <c r="C391" i="59"/>
  <c r="C413" i="59"/>
  <c r="D413" i="59"/>
  <c r="C490" i="59"/>
  <c r="D490" i="59"/>
  <c r="Q496" i="59" s="1"/>
  <c r="C380" i="59"/>
  <c r="D380" i="59"/>
  <c r="D402" i="59"/>
  <c r="C424" i="59"/>
  <c r="D424" i="59"/>
  <c r="D446" i="59"/>
  <c r="Q452" i="59" s="1"/>
  <c r="C435" i="59"/>
  <c r="D435" i="59"/>
  <c r="C402" i="59"/>
  <c r="C446" i="59"/>
  <c r="B330" i="57"/>
  <c r="W332" i="57" s="1"/>
  <c r="X332" i="57" s="1"/>
  <c r="B308" i="57"/>
  <c r="S306" i="57" s="1"/>
  <c r="B286" i="57"/>
  <c r="W291" i="57" s="1"/>
  <c r="X291" i="57" s="1"/>
  <c r="B231" i="60"/>
  <c r="B209" i="60"/>
  <c r="D413" i="57"/>
  <c r="C413" i="57"/>
  <c r="AD418" i="57" s="1"/>
  <c r="D391" i="57"/>
  <c r="C391" i="57"/>
  <c r="AD396" i="57" s="1"/>
  <c r="C369" i="57"/>
  <c r="AD374" i="57" s="1"/>
  <c r="D402" i="57"/>
  <c r="C402" i="57"/>
  <c r="AD407" i="57" s="1"/>
  <c r="C358" i="57"/>
  <c r="AD363" i="57" s="1"/>
  <c r="D358" i="57"/>
  <c r="D369" i="57"/>
  <c r="C347" i="57"/>
  <c r="AD352" i="57" s="1"/>
  <c r="D347" i="57"/>
  <c r="D380" i="57"/>
  <c r="C380" i="57"/>
  <c r="AD385" i="57" s="1"/>
  <c r="A47" i="26"/>
  <c r="B264" i="57"/>
  <c r="S266" i="57" s="1"/>
  <c r="T445" i="60"/>
  <c r="B253" i="57"/>
  <c r="B11" i="60"/>
  <c r="D171" i="60"/>
  <c r="C171" i="60"/>
  <c r="D72" i="60"/>
  <c r="C72" i="60"/>
  <c r="D424" i="60"/>
  <c r="C424" i="60"/>
  <c r="D149" i="60"/>
  <c r="C149" i="60"/>
  <c r="D116" i="60"/>
  <c r="C116" i="60"/>
  <c r="C94" i="60"/>
  <c r="D94" i="60"/>
  <c r="D50" i="60"/>
  <c r="C50" i="60"/>
  <c r="C28" i="60"/>
  <c r="D28" i="60"/>
  <c r="C127" i="60"/>
  <c r="C182" i="60"/>
  <c r="D182" i="60"/>
  <c r="C160" i="60"/>
  <c r="D160" i="60"/>
  <c r="C138" i="60"/>
  <c r="D138" i="60"/>
  <c r="C105" i="60"/>
  <c r="D105" i="60"/>
  <c r="C83" i="60"/>
  <c r="D83" i="60"/>
  <c r="C61" i="60"/>
  <c r="D61" i="60"/>
  <c r="D39" i="60"/>
  <c r="C39" i="60"/>
  <c r="C17" i="60"/>
  <c r="D17" i="60"/>
  <c r="D127" i="60"/>
  <c r="B11" i="59"/>
  <c r="K10" i="59" s="1"/>
  <c r="D127" i="59"/>
  <c r="C127" i="59"/>
  <c r="W927" i="57"/>
  <c r="B220" i="57"/>
  <c r="S225" i="57" s="1"/>
  <c r="B220" i="59"/>
  <c r="B176" i="57"/>
  <c r="W179" i="57" s="1"/>
  <c r="B176" i="59"/>
  <c r="B121" i="57"/>
  <c r="B121" i="59"/>
  <c r="B77" i="57"/>
  <c r="B77" i="59"/>
  <c r="B33" i="57"/>
  <c r="B33" i="59"/>
  <c r="B242" i="57"/>
  <c r="B198" i="57"/>
  <c r="W203" i="57" s="1"/>
  <c r="X203" i="57" s="1"/>
  <c r="B198" i="59"/>
  <c r="B154" i="57"/>
  <c r="W150" i="57" s="1"/>
  <c r="X150" i="57" s="1"/>
  <c r="B154" i="59"/>
  <c r="B99" i="57"/>
  <c r="W102" i="57" s="1"/>
  <c r="B99" i="59"/>
  <c r="B55" i="57"/>
  <c r="B55" i="59"/>
  <c r="B231" i="57"/>
  <c r="O226" i="57" s="1"/>
  <c r="P226" i="57" s="1"/>
  <c r="B231" i="59"/>
  <c r="B209" i="57"/>
  <c r="S213" i="57" s="1"/>
  <c r="B187" i="57"/>
  <c r="S183" i="57" s="1"/>
  <c r="T183" i="57" s="1"/>
  <c r="B187" i="59"/>
  <c r="B165" i="57"/>
  <c r="K161" i="57" s="1"/>
  <c r="B165" i="59"/>
  <c r="B143" i="57"/>
  <c r="B143" i="59"/>
  <c r="B110" i="57"/>
  <c r="B110" i="59"/>
  <c r="B88" i="57"/>
  <c r="W91" i="57" s="1"/>
  <c r="B88" i="59"/>
  <c r="B66" i="57"/>
  <c r="B66" i="59"/>
  <c r="B44" i="57"/>
  <c r="B44" i="59"/>
  <c r="B17" i="57"/>
  <c r="B22" i="59"/>
  <c r="C127" i="57"/>
  <c r="AD132" i="57" s="1"/>
  <c r="D127" i="57"/>
  <c r="H1" i="57"/>
  <c r="T842" i="60" l="1"/>
  <c r="H754" i="60"/>
  <c r="Z754" i="60" s="1"/>
  <c r="AC759" i="60" s="1"/>
  <c r="H765" i="60"/>
  <c r="Z765" i="60" s="1"/>
  <c r="AC770" i="60" s="1"/>
  <c r="T663" i="60"/>
  <c r="H821" i="60"/>
  <c r="H832" i="60"/>
  <c r="L930" i="60"/>
  <c r="Z930" i="60" s="1"/>
  <c r="AC935" i="60" s="1"/>
  <c r="L842" i="60"/>
  <c r="T919" i="60"/>
  <c r="Z919" i="60" s="1"/>
  <c r="AC924" i="60" s="1"/>
  <c r="T787" i="60"/>
  <c r="Z787" i="60" s="1"/>
  <c r="AC792" i="60" s="1"/>
  <c r="T875" i="60"/>
  <c r="Z875" i="60" s="1"/>
  <c r="AC880" i="60" s="1"/>
  <c r="H446" i="60"/>
  <c r="AN308" i="26"/>
  <c r="X487" i="60"/>
  <c r="AN97" i="26"/>
  <c r="H941" i="60"/>
  <c r="AN103" i="26"/>
  <c r="AN39" i="26"/>
  <c r="H457" i="60" s="1"/>
  <c r="X465" i="60"/>
  <c r="AN141" i="26"/>
  <c r="AN88" i="26"/>
  <c r="H655" i="60" s="1"/>
  <c r="L669" i="60"/>
  <c r="AN321" i="26"/>
  <c r="L523" i="60"/>
  <c r="AN175" i="26"/>
  <c r="X644" i="60"/>
  <c r="AN95" i="26"/>
  <c r="T667" i="60" s="1"/>
  <c r="T482" i="60"/>
  <c r="AN47" i="26"/>
  <c r="L501" i="60"/>
  <c r="AN31" i="26"/>
  <c r="T809" i="60" s="1"/>
  <c r="Z809" i="60" s="1"/>
  <c r="AC814" i="60" s="1"/>
  <c r="L490" i="60"/>
  <c r="AN149" i="26"/>
  <c r="AN21" i="26"/>
  <c r="H578" i="60" s="1"/>
  <c r="L614" i="60"/>
  <c r="AN128" i="26"/>
  <c r="L589" i="60"/>
  <c r="AN16" i="26"/>
  <c r="C226" i="60"/>
  <c r="D193" i="60"/>
  <c r="Q199" i="60" s="1"/>
  <c r="W312" i="60"/>
  <c r="X312" i="60" s="1"/>
  <c r="W280" i="60"/>
  <c r="X280" i="60" s="1"/>
  <c r="S323" i="60"/>
  <c r="T323" i="60" s="1"/>
  <c r="D204" i="60"/>
  <c r="Q210" i="60" s="1"/>
  <c r="W291" i="60"/>
  <c r="X291" i="60" s="1"/>
  <c r="W334" i="60"/>
  <c r="X334" i="60" s="1"/>
  <c r="S246" i="60"/>
  <c r="T246" i="60" s="1"/>
  <c r="W301" i="60"/>
  <c r="X301" i="60" s="1"/>
  <c r="S345" i="60"/>
  <c r="T345" i="60" s="1"/>
  <c r="X633" i="60"/>
  <c r="X600" i="60"/>
  <c r="X636" i="60"/>
  <c r="X603" i="60"/>
  <c r="T656" i="60"/>
  <c r="T641" i="60"/>
  <c r="T652" i="60"/>
  <c r="H479" i="60"/>
  <c r="T645" i="60"/>
  <c r="T614" i="60"/>
  <c r="X625" i="60"/>
  <c r="C61" i="57"/>
  <c r="AD66" i="57" s="1"/>
  <c r="G61" i="57"/>
  <c r="G62" i="57"/>
  <c r="S25" i="57"/>
  <c r="W25" i="57"/>
  <c r="W17" i="57"/>
  <c r="S18" i="57"/>
  <c r="T18" i="57" s="1"/>
  <c r="S17" i="57"/>
  <c r="W36" i="57"/>
  <c r="S36" i="57"/>
  <c r="H853" i="60"/>
  <c r="H677" i="60"/>
  <c r="H711" i="60"/>
  <c r="T568" i="60"/>
  <c r="H743" i="60"/>
  <c r="X614" i="60"/>
  <c r="X501" i="60"/>
  <c r="H666" i="60"/>
  <c r="H688" i="60"/>
  <c r="L622" i="60"/>
  <c r="L644" i="60"/>
  <c r="T630" i="60"/>
  <c r="H644" i="60"/>
  <c r="X592" i="60"/>
  <c r="T619" i="60"/>
  <c r="T586" i="60"/>
  <c r="T590" i="60"/>
  <c r="L864" i="60"/>
  <c r="T557" i="60"/>
  <c r="T644" i="60"/>
  <c r="X512" i="60"/>
  <c r="H567" i="60"/>
  <c r="H721" i="60"/>
  <c r="H732" i="60"/>
  <c r="H622" i="60"/>
  <c r="H633" i="60"/>
  <c r="T623" i="60"/>
  <c r="T864" i="60"/>
  <c r="X578" i="60"/>
  <c r="X589" i="60"/>
  <c r="T941" i="60"/>
  <c r="L941" i="60"/>
  <c r="X581" i="60"/>
  <c r="T597" i="60"/>
  <c r="T608" i="60"/>
  <c r="T535" i="60"/>
  <c r="T546" i="60"/>
  <c r="T677" i="60"/>
  <c r="H512" i="60"/>
  <c r="T612" i="60"/>
  <c r="X490" i="60"/>
  <c r="T601" i="60"/>
  <c r="H501" i="60"/>
  <c r="H523" i="60"/>
  <c r="T732" i="60"/>
  <c r="X570" i="60"/>
  <c r="H534" i="60"/>
  <c r="H545" i="60"/>
  <c r="T666" i="60"/>
  <c r="H699" i="60"/>
  <c r="H710" i="60"/>
  <c r="H600" i="60"/>
  <c r="H611" i="60"/>
  <c r="T743" i="60"/>
  <c r="X556" i="60"/>
  <c r="X567" i="60"/>
  <c r="T853" i="60"/>
  <c r="L853" i="60"/>
  <c r="T559" i="60"/>
  <c r="X559" i="60"/>
  <c r="T688" i="60"/>
  <c r="T699" i="60"/>
  <c r="T578" i="60"/>
  <c r="T655" i="60"/>
  <c r="T721" i="60"/>
  <c r="T710" i="60"/>
  <c r="X564" i="60"/>
  <c r="X630" i="60"/>
  <c r="L655" i="60"/>
  <c r="L732" i="60"/>
  <c r="X622" i="60"/>
  <c r="X710" i="60"/>
  <c r="T579" i="60"/>
  <c r="X548" i="60"/>
  <c r="T567" i="60"/>
  <c r="X545" i="60"/>
  <c r="T589" i="60"/>
  <c r="H589" i="60"/>
  <c r="T512" i="60"/>
  <c r="H490" i="60"/>
  <c r="W80" i="57"/>
  <c r="C72" i="57"/>
  <c r="AD77" i="57" s="1"/>
  <c r="D72" i="57"/>
  <c r="D50" i="57"/>
  <c r="C50" i="57"/>
  <c r="AD55" i="57" s="1"/>
  <c r="D17" i="57"/>
  <c r="C17" i="57"/>
  <c r="AD22" i="57" s="1"/>
  <c r="D39" i="57"/>
  <c r="C39" i="57"/>
  <c r="AD44" i="57" s="1"/>
  <c r="D28" i="57"/>
  <c r="C28" i="57"/>
  <c r="AD33" i="57" s="1"/>
  <c r="L548" i="60"/>
  <c r="T524" i="60"/>
  <c r="X479" i="60"/>
  <c r="X482" i="60"/>
  <c r="L534" i="60"/>
  <c r="T545" i="60"/>
  <c r="L493" i="60"/>
  <c r="T611" i="60"/>
  <c r="H556" i="60"/>
  <c r="X611" i="60"/>
  <c r="T523" i="60"/>
  <c r="T622" i="60"/>
  <c r="T600" i="60"/>
  <c r="T556" i="60"/>
  <c r="L537" i="60"/>
  <c r="T534" i="60"/>
  <c r="X471" i="60"/>
  <c r="W322" i="60"/>
  <c r="T225" i="57"/>
  <c r="T213" i="57"/>
  <c r="T266" i="57"/>
  <c r="T501" i="60"/>
  <c r="S312" i="60"/>
  <c r="T312" i="60" s="1"/>
  <c r="H468" i="60"/>
  <c r="D281" i="59"/>
  <c r="Q289" i="59" s="1"/>
  <c r="L449" i="60"/>
  <c r="W281" i="60"/>
  <c r="G325" i="60"/>
  <c r="S274" i="60"/>
  <c r="T274" i="60" s="1"/>
  <c r="K314" i="60"/>
  <c r="T490" i="60"/>
  <c r="C292" i="60"/>
  <c r="S288" i="60"/>
  <c r="T288" i="60" s="1"/>
  <c r="O292" i="60"/>
  <c r="P292" i="60" s="1"/>
  <c r="W343" i="60"/>
  <c r="X343" i="60" s="1"/>
  <c r="O304" i="60"/>
  <c r="P304" i="60" s="1"/>
  <c r="S300" i="60"/>
  <c r="S333" i="60"/>
  <c r="K240" i="60"/>
  <c r="L240" i="60" s="1"/>
  <c r="X468" i="60"/>
  <c r="G270" i="60"/>
  <c r="S278" i="60"/>
  <c r="G315" i="60"/>
  <c r="W318" i="60"/>
  <c r="X318" i="60" s="1"/>
  <c r="G304" i="60"/>
  <c r="S308" i="60"/>
  <c r="T308" i="60" s="1"/>
  <c r="T469" i="60"/>
  <c r="W271" i="60"/>
  <c r="X271" i="60" s="1"/>
  <c r="S280" i="60"/>
  <c r="T280" i="60" s="1"/>
  <c r="W314" i="60"/>
  <c r="W320" i="60"/>
  <c r="K304" i="60"/>
  <c r="S310" i="60"/>
  <c r="T310" i="60" s="1"/>
  <c r="D270" i="60"/>
  <c r="U273" i="60" s="1"/>
  <c r="O270" i="60"/>
  <c r="P270" i="60" s="1"/>
  <c r="S276" i="60"/>
  <c r="S316" i="60"/>
  <c r="T316" i="60" s="1"/>
  <c r="W324" i="60"/>
  <c r="X324" i="60" s="1"/>
  <c r="W305" i="60"/>
  <c r="X305" i="60" s="1"/>
  <c r="T446" i="60"/>
  <c r="T457" i="60"/>
  <c r="C325" i="60"/>
  <c r="O282" i="60"/>
  <c r="P282" i="60" s="1"/>
  <c r="S290" i="60"/>
  <c r="T290" i="60" s="1"/>
  <c r="W326" i="60"/>
  <c r="X326" i="60" s="1"/>
  <c r="S335" i="60"/>
  <c r="T335" i="60" s="1"/>
  <c r="S238" i="60"/>
  <c r="T238" i="60" s="1"/>
  <c r="W242" i="60"/>
  <c r="X242" i="60" s="1"/>
  <c r="G292" i="60"/>
  <c r="K339" i="60"/>
  <c r="L339" i="60" s="1"/>
  <c r="W283" i="60"/>
  <c r="X283" i="60" s="1"/>
  <c r="S325" i="60"/>
  <c r="S329" i="60"/>
  <c r="T329" i="60" s="1"/>
  <c r="K241" i="60"/>
  <c r="L241" i="60" s="1"/>
  <c r="W244" i="60"/>
  <c r="X244" i="60" s="1"/>
  <c r="S296" i="60"/>
  <c r="T296" i="60" s="1"/>
  <c r="S339" i="60"/>
  <c r="D325" i="60"/>
  <c r="U328" i="60" s="1"/>
  <c r="D292" i="60"/>
  <c r="U295" i="60" s="1"/>
  <c r="G282" i="60"/>
  <c r="S286" i="60"/>
  <c r="T286" i="60" s="1"/>
  <c r="O325" i="60"/>
  <c r="P325" i="60" s="1"/>
  <c r="S331" i="60"/>
  <c r="S237" i="60"/>
  <c r="W246" i="60"/>
  <c r="X246" i="60" s="1"/>
  <c r="S292" i="60"/>
  <c r="S298" i="60"/>
  <c r="W341" i="60"/>
  <c r="X341" i="60" s="1"/>
  <c r="D314" i="60"/>
  <c r="I315" i="60" s="1"/>
  <c r="C303" i="60"/>
  <c r="K273" i="60"/>
  <c r="L273" i="60" s="1"/>
  <c r="K271" i="60"/>
  <c r="O271" i="60"/>
  <c r="P271" i="60" s="1"/>
  <c r="W272" i="60"/>
  <c r="X272" i="60" s="1"/>
  <c r="S275" i="60"/>
  <c r="T275" i="60" s="1"/>
  <c r="S277" i="60"/>
  <c r="T277" i="60" s="1"/>
  <c r="S279" i="60"/>
  <c r="T279" i="60" s="1"/>
  <c r="W317" i="60"/>
  <c r="S317" i="60"/>
  <c r="S315" i="60"/>
  <c r="T315" i="60" s="1"/>
  <c r="K318" i="60"/>
  <c r="L318" i="60" s="1"/>
  <c r="W319" i="60"/>
  <c r="X319" i="60" s="1"/>
  <c r="W321" i="60"/>
  <c r="X321" i="60" s="1"/>
  <c r="W323" i="60"/>
  <c r="X323" i="60" s="1"/>
  <c r="W306" i="60"/>
  <c r="G303" i="60"/>
  <c r="W304" i="60"/>
  <c r="X304" i="60" s="1"/>
  <c r="S307" i="60"/>
  <c r="T307" i="60" s="1"/>
  <c r="S309" i="60"/>
  <c r="S311" i="60"/>
  <c r="S313" i="60"/>
  <c r="T313" i="60" s="1"/>
  <c r="C270" i="60"/>
  <c r="W273" i="60"/>
  <c r="S273" i="60"/>
  <c r="S271" i="60"/>
  <c r="T271" i="60" s="1"/>
  <c r="K274" i="60"/>
  <c r="L274" i="60" s="1"/>
  <c r="W275" i="60"/>
  <c r="X275" i="60" s="1"/>
  <c r="W277" i="60"/>
  <c r="X277" i="60" s="1"/>
  <c r="W279" i="60"/>
  <c r="X279" i="60" s="1"/>
  <c r="O314" i="60"/>
  <c r="P314" i="60" s="1"/>
  <c r="G314" i="60"/>
  <c r="W315" i="60"/>
  <c r="X315" i="60" s="1"/>
  <c r="S318" i="60"/>
  <c r="T318" i="60" s="1"/>
  <c r="S320" i="60"/>
  <c r="S322" i="60"/>
  <c r="S324" i="60"/>
  <c r="T324" i="60" s="1"/>
  <c r="O303" i="60"/>
  <c r="P303" i="60" s="1"/>
  <c r="K303" i="60"/>
  <c r="S305" i="60"/>
  <c r="T305" i="60" s="1"/>
  <c r="W307" i="60"/>
  <c r="X307" i="60" s="1"/>
  <c r="W309" i="60"/>
  <c r="W311" i="60"/>
  <c r="W313" i="60"/>
  <c r="X313" i="60" s="1"/>
  <c r="C314" i="60"/>
  <c r="D303" i="60"/>
  <c r="U306" i="60" s="1"/>
  <c r="G271" i="60"/>
  <c r="W270" i="60"/>
  <c r="K270" i="60"/>
  <c r="S272" i="60"/>
  <c r="T272" i="60" s="1"/>
  <c r="W274" i="60"/>
  <c r="X274" i="60" s="1"/>
  <c r="W276" i="60"/>
  <c r="W278" i="60"/>
  <c r="K317" i="60"/>
  <c r="L317" i="60" s="1"/>
  <c r="K315" i="60"/>
  <c r="O315" i="60"/>
  <c r="P315" i="60" s="1"/>
  <c r="W316" i="60"/>
  <c r="X316" i="60" s="1"/>
  <c r="S319" i="60"/>
  <c r="T319" i="60" s="1"/>
  <c r="S321" i="60"/>
  <c r="T321" i="60" s="1"/>
  <c r="K306" i="60"/>
  <c r="L306" i="60" s="1"/>
  <c r="S306" i="60"/>
  <c r="S304" i="60"/>
  <c r="T304" i="60" s="1"/>
  <c r="K307" i="60"/>
  <c r="L307" i="60" s="1"/>
  <c r="W308" i="60"/>
  <c r="X308" i="60" s="1"/>
  <c r="W310" i="60"/>
  <c r="X310" i="60" s="1"/>
  <c r="W293" i="60"/>
  <c r="X293" i="60" s="1"/>
  <c r="S302" i="60"/>
  <c r="T302" i="60" s="1"/>
  <c r="S337" i="60"/>
  <c r="T337" i="60" s="1"/>
  <c r="W345" i="60"/>
  <c r="X345" i="60" s="1"/>
  <c r="K340" i="60"/>
  <c r="L340" i="60" s="1"/>
  <c r="D281" i="60"/>
  <c r="I282" i="60" s="1"/>
  <c r="D237" i="60"/>
  <c r="Q243" i="60" s="1"/>
  <c r="D336" i="60"/>
  <c r="U339" i="60" s="1"/>
  <c r="K284" i="60"/>
  <c r="L284" i="60" s="1"/>
  <c r="K282" i="60"/>
  <c r="S282" i="60"/>
  <c r="T282" i="60" s="1"/>
  <c r="K285" i="60"/>
  <c r="L285" i="60" s="1"/>
  <c r="W286" i="60"/>
  <c r="X286" i="60" s="1"/>
  <c r="W288" i="60"/>
  <c r="X288" i="60" s="1"/>
  <c r="W290" i="60"/>
  <c r="X290" i="60" s="1"/>
  <c r="G326" i="60"/>
  <c r="W325" i="60"/>
  <c r="K325" i="60"/>
  <c r="S327" i="60"/>
  <c r="T327" i="60" s="1"/>
  <c r="W329" i="60"/>
  <c r="X329" i="60" s="1"/>
  <c r="W331" i="60"/>
  <c r="W333" i="60"/>
  <c r="W335" i="60"/>
  <c r="X335" i="60" s="1"/>
  <c r="G237" i="60"/>
  <c r="W238" i="60"/>
  <c r="X238" i="60" s="1"/>
  <c r="S241" i="60"/>
  <c r="T241" i="60" s="1"/>
  <c r="W237" i="60"/>
  <c r="S240" i="60"/>
  <c r="S243" i="60"/>
  <c r="S245" i="60"/>
  <c r="S247" i="60"/>
  <c r="T247" i="60" s="1"/>
  <c r="G293" i="60"/>
  <c r="W292" i="60"/>
  <c r="K292" i="60"/>
  <c r="S294" i="60"/>
  <c r="T294" i="60" s="1"/>
  <c r="W296" i="60"/>
  <c r="X296" i="60" s="1"/>
  <c r="W298" i="60"/>
  <c r="W300" i="60"/>
  <c r="W302" i="60"/>
  <c r="X302" i="60" s="1"/>
  <c r="W339" i="60"/>
  <c r="G336" i="60"/>
  <c r="W337" i="60"/>
  <c r="X337" i="60" s="1"/>
  <c r="S340" i="60"/>
  <c r="T340" i="60" s="1"/>
  <c r="S342" i="60"/>
  <c r="S344" i="60"/>
  <c r="S346" i="60"/>
  <c r="T346" i="60" s="1"/>
  <c r="C281" i="60"/>
  <c r="C237" i="60"/>
  <c r="C336" i="60"/>
  <c r="W284" i="60"/>
  <c r="S284" i="60"/>
  <c r="W282" i="60"/>
  <c r="X282" i="60" s="1"/>
  <c r="S285" i="60"/>
  <c r="T285" i="60" s="1"/>
  <c r="S287" i="60"/>
  <c r="S289" i="60"/>
  <c r="S291" i="60"/>
  <c r="T291" i="60" s="1"/>
  <c r="K328" i="60"/>
  <c r="L328" i="60" s="1"/>
  <c r="K326" i="60"/>
  <c r="O326" i="60"/>
  <c r="P326" i="60" s="1"/>
  <c r="W327" i="60"/>
  <c r="X327" i="60" s="1"/>
  <c r="S330" i="60"/>
  <c r="T330" i="60" s="1"/>
  <c r="S332" i="60"/>
  <c r="T332" i="60" s="1"/>
  <c r="S334" i="60"/>
  <c r="T334" i="60" s="1"/>
  <c r="K237" i="60"/>
  <c r="S239" i="60"/>
  <c r="T239" i="60" s="1"/>
  <c r="W241" i="60"/>
  <c r="X241" i="60" s="1"/>
  <c r="G238" i="60"/>
  <c r="W240" i="60"/>
  <c r="W243" i="60"/>
  <c r="W245" i="60"/>
  <c r="W247" i="60"/>
  <c r="X247" i="60" s="1"/>
  <c r="K295" i="60"/>
  <c r="L295" i="60" s="1"/>
  <c r="K293" i="60"/>
  <c r="O293" i="60"/>
  <c r="P293" i="60" s="1"/>
  <c r="W294" i="60"/>
  <c r="X294" i="60" s="1"/>
  <c r="S297" i="60"/>
  <c r="T297" i="60" s="1"/>
  <c r="S299" i="60"/>
  <c r="T299" i="60" s="1"/>
  <c r="S301" i="60"/>
  <c r="T301" i="60" s="1"/>
  <c r="O336" i="60"/>
  <c r="P336" i="60" s="1"/>
  <c r="K336" i="60"/>
  <c r="S338" i="60"/>
  <c r="T338" i="60" s="1"/>
  <c r="W340" i="60"/>
  <c r="X340" i="60" s="1"/>
  <c r="W342" i="60"/>
  <c r="W344" i="60"/>
  <c r="W346" i="60"/>
  <c r="X346" i="60" s="1"/>
  <c r="O281" i="60"/>
  <c r="P281" i="60" s="1"/>
  <c r="K281" i="60"/>
  <c r="S283" i="60"/>
  <c r="T283" i="60" s="1"/>
  <c r="W285" i="60"/>
  <c r="X285" i="60" s="1"/>
  <c r="W287" i="60"/>
  <c r="W289" i="60"/>
  <c r="W328" i="60"/>
  <c r="S328" i="60"/>
  <c r="S326" i="60"/>
  <c r="T326" i="60" s="1"/>
  <c r="K329" i="60"/>
  <c r="L329" i="60" s="1"/>
  <c r="W330" i="60"/>
  <c r="X330" i="60" s="1"/>
  <c r="W332" i="60"/>
  <c r="X332" i="60" s="1"/>
  <c r="O238" i="60"/>
  <c r="P238" i="60" s="1"/>
  <c r="W239" i="60"/>
  <c r="X239" i="60" s="1"/>
  <c r="O237" i="60"/>
  <c r="P237" i="60" s="1"/>
  <c r="K238" i="60"/>
  <c r="S242" i="60"/>
  <c r="T242" i="60" s="1"/>
  <c r="S244" i="60"/>
  <c r="T244" i="60" s="1"/>
  <c r="W295" i="60"/>
  <c r="S295" i="60"/>
  <c r="S293" i="60"/>
  <c r="T293" i="60" s="1"/>
  <c r="K296" i="60"/>
  <c r="L296" i="60" s="1"/>
  <c r="W297" i="60"/>
  <c r="X297" i="60" s="1"/>
  <c r="W299" i="60"/>
  <c r="X299" i="60" s="1"/>
  <c r="G337" i="60"/>
  <c r="K337" i="60"/>
  <c r="O337" i="60"/>
  <c r="P337" i="60" s="1"/>
  <c r="W338" i="60"/>
  <c r="X338" i="60" s="1"/>
  <c r="S341" i="60"/>
  <c r="T341" i="60" s="1"/>
  <c r="S343" i="60"/>
  <c r="T343" i="60" s="1"/>
  <c r="T479" i="60"/>
  <c r="Y259" i="59"/>
  <c r="AC265" i="59" s="1"/>
  <c r="Q259" i="59"/>
  <c r="T259" i="59" s="1"/>
  <c r="Q262" i="59"/>
  <c r="T262" i="59" s="1"/>
  <c r="U259" i="59"/>
  <c r="X259" i="59" s="1"/>
  <c r="U262" i="59"/>
  <c r="X262" i="59" s="1"/>
  <c r="Q267" i="59"/>
  <c r="T267" i="59" s="1"/>
  <c r="U267" i="59"/>
  <c r="X267" i="59" s="1"/>
  <c r="E259" i="59"/>
  <c r="H259" i="59" s="1"/>
  <c r="E260" i="59"/>
  <c r="H260" i="59" s="1"/>
  <c r="I259" i="59"/>
  <c r="L259" i="59" s="1"/>
  <c r="I260" i="59"/>
  <c r="L260" i="59" s="1"/>
  <c r="Q265" i="59"/>
  <c r="T265" i="59" s="1"/>
  <c r="U265" i="59"/>
  <c r="X265" i="59" s="1"/>
  <c r="W288" i="59"/>
  <c r="X288" i="59" s="1"/>
  <c r="S283" i="59"/>
  <c r="T283" i="59" s="1"/>
  <c r="S290" i="59"/>
  <c r="T290" i="59" s="1"/>
  <c r="W290" i="59"/>
  <c r="X290" i="59" s="1"/>
  <c r="S288" i="59"/>
  <c r="T288" i="59" s="1"/>
  <c r="O282" i="59"/>
  <c r="P282" i="59" s="1"/>
  <c r="W285" i="59"/>
  <c r="X285" i="59" s="1"/>
  <c r="S287" i="59"/>
  <c r="S284" i="59"/>
  <c r="S289" i="59"/>
  <c r="S286" i="59"/>
  <c r="T286" i="59" s="1"/>
  <c r="K285" i="59"/>
  <c r="L285" i="59" s="1"/>
  <c r="O281" i="59"/>
  <c r="P281" i="59" s="1"/>
  <c r="S285" i="59"/>
  <c r="T285" i="59" s="1"/>
  <c r="W284" i="59"/>
  <c r="G282" i="59"/>
  <c r="S291" i="59"/>
  <c r="T291" i="59" s="1"/>
  <c r="W283" i="59"/>
  <c r="X283" i="59" s="1"/>
  <c r="W291" i="59"/>
  <c r="X291" i="59" s="1"/>
  <c r="W287" i="59"/>
  <c r="W286" i="59"/>
  <c r="X286" i="59" s="1"/>
  <c r="K282" i="59"/>
  <c r="W282" i="59"/>
  <c r="X282" i="59" s="1"/>
  <c r="I248" i="59"/>
  <c r="L248" i="59" s="1"/>
  <c r="I249" i="59"/>
  <c r="L249" i="59" s="1"/>
  <c r="Q254" i="59"/>
  <c r="T254" i="59" s="1"/>
  <c r="E248" i="59"/>
  <c r="H248" i="59" s="1"/>
  <c r="E249" i="59"/>
  <c r="H249" i="59" s="1"/>
  <c r="U254" i="59"/>
  <c r="X254" i="59" s="1"/>
  <c r="U248" i="59"/>
  <c r="X248" i="59" s="1"/>
  <c r="U251" i="59"/>
  <c r="X251" i="59" s="1"/>
  <c r="Q256" i="59"/>
  <c r="T256" i="59" s="1"/>
  <c r="Q248" i="59"/>
  <c r="T248" i="59" s="1"/>
  <c r="Q251" i="59"/>
  <c r="T251" i="59" s="1"/>
  <c r="U256" i="59"/>
  <c r="X256" i="59" s="1"/>
  <c r="D237" i="59"/>
  <c r="G237" i="59"/>
  <c r="S239" i="59"/>
  <c r="T239" i="59" s="1"/>
  <c r="S240" i="59"/>
  <c r="S241" i="59"/>
  <c r="T241" i="59" s="1"/>
  <c r="C237" i="59"/>
  <c r="S242" i="59"/>
  <c r="T242" i="59" s="1"/>
  <c r="W242" i="59"/>
  <c r="X242" i="59" s="1"/>
  <c r="W243" i="59"/>
  <c r="S244" i="59"/>
  <c r="T244" i="59" s="1"/>
  <c r="W244" i="59"/>
  <c r="X244" i="59" s="1"/>
  <c r="W245" i="59"/>
  <c r="S246" i="59"/>
  <c r="T246" i="59" s="1"/>
  <c r="W246" i="59"/>
  <c r="X246" i="59" s="1"/>
  <c r="S247" i="59"/>
  <c r="T247" i="59" s="1"/>
  <c r="W247" i="59"/>
  <c r="X247" i="59" s="1"/>
  <c r="G238" i="59"/>
  <c r="S238" i="59"/>
  <c r="T238" i="59" s="1"/>
  <c r="S243" i="59"/>
  <c r="S245" i="59"/>
  <c r="W241" i="59"/>
  <c r="X241" i="59" s="1"/>
  <c r="W240" i="59"/>
  <c r="K240" i="59"/>
  <c r="L240" i="59" s="1"/>
  <c r="W238" i="59"/>
  <c r="X238" i="59" s="1"/>
  <c r="K238" i="59"/>
  <c r="W237" i="59"/>
  <c r="O237" i="59"/>
  <c r="P237" i="59" s="1"/>
  <c r="K241" i="59"/>
  <c r="L241" i="59" s="1"/>
  <c r="W239" i="59"/>
  <c r="X239" i="59" s="1"/>
  <c r="O238" i="59"/>
  <c r="P238" i="59" s="1"/>
  <c r="K237" i="59"/>
  <c r="S237" i="59"/>
  <c r="U619" i="57"/>
  <c r="X619" i="57" s="1"/>
  <c r="E611" i="57"/>
  <c r="H611" i="57" s="1"/>
  <c r="E612" i="57"/>
  <c r="H612" i="57" s="1"/>
  <c r="U614" i="57"/>
  <c r="X614" i="57" s="1"/>
  <c r="Q614" i="57"/>
  <c r="T614" i="57" s="1"/>
  <c r="I611" i="57"/>
  <c r="L611" i="57" s="1"/>
  <c r="U617" i="57"/>
  <c r="X617" i="57" s="1"/>
  <c r="Q611" i="57"/>
  <c r="T611" i="57" s="1"/>
  <c r="U611" i="57"/>
  <c r="X611" i="57" s="1"/>
  <c r="I612" i="57"/>
  <c r="L612" i="57" s="1"/>
  <c r="Q619" i="57"/>
  <c r="T619" i="57" s="1"/>
  <c r="U564" i="57"/>
  <c r="X564" i="57" s="1"/>
  <c r="U556" i="57"/>
  <c r="X556" i="57" s="1"/>
  <c r="E557" i="57"/>
  <c r="H557" i="57" s="1"/>
  <c r="Q559" i="57"/>
  <c r="T559" i="57" s="1"/>
  <c r="U562" i="57"/>
  <c r="X562" i="57" s="1"/>
  <c r="I557" i="57"/>
  <c r="L557" i="57" s="1"/>
  <c r="Q564" i="57"/>
  <c r="T564" i="57" s="1"/>
  <c r="E556" i="57"/>
  <c r="H556" i="57" s="1"/>
  <c r="U559" i="57"/>
  <c r="X559" i="57" s="1"/>
  <c r="Q556" i="57"/>
  <c r="T556" i="57" s="1"/>
  <c r="I556" i="57"/>
  <c r="L556" i="57" s="1"/>
  <c r="U630" i="57"/>
  <c r="E623" i="57"/>
  <c r="H623" i="57" s="1"/>
  <c r="I622" i="57"/>
  <c r="L622" i="57" s="1"/>
  <c r="E622" i="57"/>
  <c r="H622" i="57" s="1"/>
  <c r="U622" i="57"/>
  <c r="X622" i="57" s="1"/>
  <c r="Q625" i="57"/>
  <c r="T625" i="57" s="1"/>
  <c r="U628" i="57"/>
  <c r="X628" i="57" s="1"/>
  <c r="Q622" i="57"/>
  <c r="U625" i="57"/>
  <c r="X625" i="57" s="1"/>
  <c r="Q630" i="57"/>
  <c r="T630" i="57" s="1"/>
  <c r="I623" i="57"/>
  <c r="L623" i="57" s="1"/>
  <c r="U608" i="57"/>
  <c r="X608" i="57" s="1"/>
  <c r="I600" i="57"/>
  <c r="E601" i="57"/>
  <c r="H601" i="57" s="1"/>
  <c r="U600" i="57"/>
  <c r="X600" i="57" s="1"/>
  <c r="E600" i="57"/>
  <c r="H600" i="57" s="1"/>
  <c r="U603" i="57"/>
  <c r="X603" i="57" s="1"/>
  <c r="Q603" i="57"/>
  <c r="T603" i="57" s="1"/>
  <c r="U606" i="57"/>
  <c r="X606" i="57" s="1"/>
  <c r="Q600" i="57"/>
  <c r="Q608" i="57"/>
  <c r="T608" i="57" s="1"/>
  <c r="I601" i="57"/>
  <c r="L601" i="57" s="1"/>
  <c r="U487" i="59"/>
  <c r="X487" i="59" s="1"/>
  <c r="I480" i="59"/>
  <c r="L480" i="59" s="1"/>
  <c r="U479" i="59"/>
  <c r="X479" i="59" s="1"/>
  <c r="E480" i="59"/>
  <c r="H480" i="59" s="1"/>
  <c r="U485" i="59"/>
  <c r="X485" i="59" s="1"/>
  <c r="U482" i="59"/>
  <c r="X482" i="59" s="1"/>
  <c r="Q482" i="59"/>
  <c r="T482" i="59" s="1"/>
  <c r="Q487" i="59"/>
  <c r="T487" i="59" s="1"/>
  <c r="E479" i="59"/>
  <c r="H479" i="59" s="1"/>
  <c r="I479" i="59"/>
  <c r="L479" i="59" s="1"/>
  <c r="Q479" i="59"/>
  <c r="T479" i="59" s="1"/>
  <c r="Q485" i="59"/>
  <c r="T485" i="59" s="1"/>
  <c r="U586" i="57"/>
  <c r="X586" i="57" s="1"/>
  <c r="E579" i="57"/>
  <c r="H579" i="57" s="1"/>
  <c r="U581" i="57"/>
  <c r="X581" i="57" s="1"/>
  <c r="Q578" i="57"/>
  <c r="Q586" i="57"/>
  <c r="T586" i="57" s="1"/>
  <c r="U578" i="57"/>
  <c r="X578" i="57" s="1"/>
  <c r="I579" i="57"/>
  <c r="L579" i="57" s="1"/>
  <c r="Q581" i="57"/>
  <c r="T581" i="57" s="1"/>
  <c r="I578" i="57"/>
  <c r="L578" i="57" s="1"/>
  <c r="U584" i="57"/>
  <c r="X584" i="57" s="1"/>
  <c r="E578" i="57"/>
  <c r="H578" i="57" s="1"/>
  <c r="U575" i="57"/>
  <c r="X575" i="57" s="1"/>
  <c r="U567" i="57"/>
  <c r="X567" i="57" s="1"/>
  <c r="E568" i="57"/>
  <c r="H568" i="57" s="1"/>
  <c r="I568" i="57"/>
  <c r="L568" i="57" s="1"/>
  <c r="Q570" i="57"/>
  <c r="T570" i="57" s="1"/>
  <c r="U573" i="57"/>
  <c r="X573" i="57" s="1"/>
  <c r="Q567" i="57"/>
  <c r="I567" i="57"/>
  <c r="L567" i="57" s="1"/>
  <c r="U570" i="57"/>
  <c r="X570" i="57" s="1"/>
  <c r="E567" i="57"/>
  <c r="H567" i="57" s="1"/>
  <c r="Q575" i="57"/>
  <c r="U641" i="57"/>
  <c r="X641" i="57" s="1"/>
  <c r="Q641" i="57"/>
  <c r="T641" i="57" s="1"/>
  <c r="I634" i="57"/>
  <c r="L634" i="57" s="1"/>
  <c r="U639" i="57"/>
  <c r="X639" i="57" s="1"/>
  <c r="E633" i="57"/>
  <c r="H633" i="57" s="1"/>
  <c r="Q633" i="57"/>
  <c r="T633" i="57" s="1"/>
  <c r="U636" i="57"/>
  <c r="X636" i="57" s="1"/>
  <c r="U633" i="57"/>
  <c r="X633" i="57" s="1"/>
  <c r="E634" i="57"/>
  <c r="H634" i="57" s="1"/>
  <c r="Q636" i="57"/>
  <c r="T636" i="57" s="1"/>
  <c r="I633" i="57"/>
  <c r="L633" i="57" s="1"/>
  <c r="U476" i="59"/>
  <c r="X476" i="59" s="1"/>
  <c r="U468" i="59"/>
  <c r="X468" i="59" s="1"/>
  <c r="Q476" i="59"/>
  <c r="T476" i="59" s="1"/>
  <c r="E469" i="59"/>
  <c r="H469" i="59" s="1"/>
  <c r="U474" i="59"/>
  <c r="X474" i="59" s="1"/>
  <c r="I469" i="59"/>
  <c r="L469" i="59" s="1"/>
  <c r="I468" i="59"/>
  <c r="L468" i="59" s="1"/>
  <c r="Q471" i="59"/>
  <c r="T471" i="59" s="1"/>
  <c r="U471" i="59"/>
  <c r="X471" i="59" s="1"/>
  <c r="E468" i="59"/>
  <c r="H468" i="59" s="1"/>
  <c r="Q474" i="59"/>
  <c r="T474" i="59" s="1"/>
  <c r="Q468" i="59"/>
  <c r="T468" i="59" s="1"/>
  <c r="U597" i="57"/>
  <c r="X597" i="57" s="1"/>
  <c r="Q589" i="57"/>
  <c r="T589" i="57" s="1"/>
  <c r="U589" i="57"/>
  <c r="X589" i="57" s="1"/>
  <c r="Q592" i="57"/>
  <c r="T592" i="57" s="1"/>
  <c r="I590" i="57"/>
  <c r="L590" i="57" s="1"/>
  <c r="U595" i="57"/>
  <c r="X595" i="57" s="1"/>
  <c r="E589" i="57"/>
  <c r="H589" i="57" s="1"/>
  <c r="I589" i="57"/>
  <c r="L589" i="57" s="1"/>
  <c r="Q597" i="57"/>
  <c r="T597" i="57" s="1"/>
  <c r="U592" i="57"/>
  <c r="X592" i="57" s="1"/>
  <c r="E590" i="57"/>
  <c r="H590" i="57" s="1"/>
  <c r="U465" i="59"/>
  <c r="X465" i="59" s="1"/>
  <c r="U457" i="59"/>
  <c r="X457" i="59" s="1"/>
  <c r="I457" i="59"/>
  <c r="L457" i="59" s="1"/>
  <c r="E458" i="59"/>
  <c r="H458" i="59" s="1"/>
  <c r="U463" i="59"/>
  <c r="X463" i="59" s="1"/>
  <c r="U460" i="59"/>
  <c r="X460" i="59" s="1"/>
  <c r="I458" i="59"/>
  <c r="L458" i="59" s="1"/>
  <c r="Q460" i="59"/>
  <c r="T460" i="59" s="1"/>
  <c r="Q457" i="59"/>
  <c r="T457" i="59" s="1"/>
  <c r="Q463" i="59"/>
  <c r="T463" i="59" s="1"/>
  <c r="Q465" i="59"/>
  <c r="T465" i="59" s="1"/>
  <c r="E457" i="59"/>
  <c r="H457" i="59" s="1"/>
  <c r="U454" i="60"/>
  <c r="I446" i="60"/>
  <c r="I447" i="60"/>
  <c r="Q454" i="60"/>
  <c r="Q446" i="60"/>
  <c r="U449" i="60"/>
  <c r="U452" i="60"/>
  <c r="Q449" i="60"/>
  <c r="E447" i="60"/>
  <c r="U446" i="60"/>
  <c r="E446" i="60"/>
  <c r="E919" i="57"/>
  <c r="H919" i="57" s="1"/>
  <c r="Q919" i="57"/>
  <c r="T919" i="57" s="1"/>
  <c r="I919" i="57"/>
  <c r="L919" i="57" s="1"/>
  <c r="U919" i="57"/>
  <c r="X919" i="57" s="1"/>
  <c r="U553" i="57"/>
  <c r="X553" i="57" s="1"/>
  <c r="Q545" i="57"/>
  <c r="E545" i="57"/>
  <c r="H545" i="57" s="1"/>
  <c r="I545" i="57"/>
  <c r="L545" i="57" s="1"/>
  <c r="I546" i="57"/>
  <c r="L546" i="57" s="1"/>
  <c r="U551" i="57"/>
  <c r="X551" i="57" s="1"/>
  <c r="E546" i="57"/>
  <c r="H546" i="57" s="1"/>
  <c r="Q548" i="57"/>
  <c r="Q553" i="57"/>
  <c r="T553" i="57" s="1"/>
  <c r="U545" i="57"/>
  <c r="U548" i="57"/>
  <c r="T468" i="60"/>
  <c r="U542" i="57"/>
  <c r="X542" i="57" s="1"/>
  <c r="E534" i="57"/>
  <c r="H534" i="57" s="1"/>
  <c r="I534" i="57"/>
  <c r="L534" i="57" s="1"/>
  <c r="I535" i="57"/>
  <c r="L535" i="57" s="1"/>
  <c r="U540" i="57"/>
  <c r="X540" i="57" s="1"/>
  <c r="Q534" i="57"/>
  <c r="E535" i="57"/>
  <c r="H535" i="57" s="1"/>
  <c r="Q537" i="57"/>
  <c r="T537" i="57" s="1"/>
  <c r="Q542" i="57"/>
  <c r="T542" i="57" s="1"/>
  <c r="U534" i="57"/>
  <c r="X534" i="57" s="1"/>
  <c r="U537" i="57"/>
  <c r="X537" i="57" s="1"/>
  <c r="U531" i="57"/>
  <c r="X531" i="57" s="1"/>
  <c r="E523" i="57"/>
  <c r="H523" i="57" s="1"/>
  <c r="U523" i="57"/>
  <c r="X523" i="57" s="1"/>
  <c r="U526" i="57"/>
  <c r="X526" i="57" s="1"/>
  <c r="E524" i="57"/>
  <c r="H524" i="57" s="1"/>
  <c r="Q531" i="57"/>
  <c r="T531" i="57" s="1"/>
  <c r="I524" i="57"/>
  <c r="L524" i="57" s="1"/>
  <c r="U529" i="57"/>
  <c r="X529" i="57" s="1"/>
  <c r="Q523" i="57"/>
  <c r="T523" i="57" s="1"/>
  <c r="Q526" i="57"/>
  <c r="T526" i="57" s="1"/>
  <c r="I523" i="57"/>
  <c r="L523" i="57" s="1"/>
  <c r="U465" i="60"/>
  <c r="U457" i="60"/>
  <c r="Q460" i="60"/>
  <c r="E457" i="60"/>
  <c r="E458" i="60"/>
  <c r="I457" i="60"/>
  <c r="Q465" i="60"/>
  <c r="U460" i="60"/>
  <c r="U463" i="60"/>
  <c r="I458" i="60"/>
  <c r="Q457" i="60"/>
  <c r="Q471" i="60"/>
  <c r="U468" i="60"/>
  <c r="U476" i="60"/>
  <c r="U471" i="60"/>
  <c r="Q468" i="60"/>
  <c r="Q476" i="60"/>
  <c r="I469" i="60"/>
  <c r="I468" i="60"/>
  <c r="U474" i="60"/>
  <c r="E469" i="60"/>
  <c r="E468" i="60"/>
  <c r="U487" i="60"/>
  <c r="I479" i="60"/>
  <c r="U479" i="60"/>
  <c r="Q487" i="60"/>
  <c r="Q479" i="60"/>
  <c r="U482" i="60"/>
  <c r="U485" i="60"/>
  <c r="Q482" i="60"/>
  <c r="E480" i="60"/>
  <c r="I480" i="60"/>
  <c r="E479" i="60"/>
  <c r="U498" i="60"/>
  <c r="U490" i="60"/>
  <c r="Q493" i="60"/>
  <c r="E490" i="60"/>
  <c r="E491" i="60"/>
  <c r="I490" i="60"/>
  <c r="Q498" i="60"/>
  <c r="U493" i="60"/>
  <c r="U496" i="60"/>
  <c r="I491" i="60"/>
  <c r="Q490" i="60"/>
  <c r="Q457" i="57"/>
  <c r="I458" i="57"/>
  <c r="L458" i="57" s="1"/>
  <c r="U465" i="57"/>
  <c r="X465" i="57" s="1"/>
  <c r="E458" i="57"/>
  <c r="H458" i="57" s="1"/>
  <c r="Q460" i="57"/>
  <c r="T460" i="57" s="1"/>
  <c r="U460" i="57"/>
  <c r="X460" i="57" s="1"/>
  <c r="E457" i="57"/>
  <c r="H457" i="57" s="1"/>
  <c r="U457" i="57"/>
  <c r="X457" i="57" s="1"/>
  <c r="Q465" i="57"/>
  <c r="T465" i="57" s="1"/>
  <c r="I457" i="57"/>
  <c r="L457" i="57" s="1"/>
  <c r="U463" i="57"/>
  <c r="X463" i="57" s="1"/>
  <c r="I468" i="57"/>
  <c r="L468" i="57" s="1"/>
  <c r="I469" i="57"/>
  <c r="L469" i="57" s="1"/>
  <c r="U474" i="57"/>
  <c r="X474" i="57" s="1"/>
  <c r="E468" i="57"/>
  <c r="H468" i="57" s="1"/>
  <c r="E469" i="57"/>
  <c r="H469" i="57" s="1"/>
  <c r="Q471" i="57"/>
  <c r="T471" i="57" s="1"/>
  <c r="Q468" i="57"/>
  <c r="T468" i="57" s="1"/>
  <c r="U468" i="57"/>
  <c r="X468" i="57" s="1"/>
  <c r="U476" i="57"/>
  <c r="X476" i="57" s="1"/>
  <c r="Q476" i="57"/>
  <c r="T476" i="57" s="1"/>
  <c r="U471" i="57"/>
  <c r="X471" i="57" s="1"/>
  <c r="Q479" i="57"/>
  <c r="T479" i="57" s="1"/>
  <c r="U479" i="57"/>
  <c r="X479" i="57" s="1"/>
  <c r="U482" i="57"/>
  <c r="X482" i="57" s="1"/>
  <c r="E480" i="57"/>
  <c r="H480" i="57" s="1"/>
  <c r="I480" i="57"/>
  <c r="L480" i="57" s="1"/>
  <c r="Q482" i="57"/>
  <c r="T482" i="57" s="1"/>
  <c r="U487" i="57"/>
  <c r="X487" i="57" s="1"/>
  <c r="I479" i="57"/>
  <c r="L479" i="57" s="1"/>
  <c r="Q487" i="57"/>
  <c r="T487" i="57" s="1"/>
  <c r="U485" i="57"/>
  <c r="X485" i="57" s="1"/>
  <c r="E479" i="57"/>
  <c r="H479" i="57" s="1"/>
  <c r="U515" i="57"/>
  <c r="X515" i="57" s="1"/>
  <c r="Q515" i="57"/>
  <c r="T515" i="57" s="1"/>
  <c r="I513" i="57"/>
  <c r="L513" i="57" s="1"/>
  <c r="U518" i="57"/>
  <c r="X518" i="57" s="1"/>
  <c r="Q512" i="57"/>
  <c r="T512" i="57" s="1"/>
  <c r="Q520" i="57"/>
  <c r="T520" i="57" s="1"/>
  <c r="I512" i="57"/>
  <c r="L512" i="57" s="1"/>
  <c r="U520" i="57"/>
  <c r="X520" i="57" s="1"/>
  <c r="E512" i="57"/>
  <c r="H512" i="57" s="1"/>
  <c r="E513" i="57"/>
  <c r="H513" i="57" s="1"/>
  <c r="U512" i="57"/>
  <c r="X512" i="57" s="1"/>
  <c r="U449" i="57"/>
  <c r="X449" i="57" s="1"/>
  <c r="U446" i="57"/>
  <c r="X446" i="57" s="1"/>
  <c r="I447" i="57"/>
  <c r="L447" i="57" s="1"/>
  <c r="U452" i="57"/>
  <c r="X452" i="57" s="1"/>
  <c r="E446" i="57"/>
  <c r="H446" i="57" s="1"/>
  <c r="E447" i="57"/>
  <c r="H447" i="57" s="1"/>
  <c r="Q449" i="57"/>
  <c r="T449" i="57" s="1"/>
  <c r="Q454" i="57"/>
  <c r="T454" i="57" s="1"/>
  <c r="Q446" i="57"/>
  <c r="I446" i="57"/>
  <c r="L446" i="57" s="1"/>
  <c r="U454" i="57"/>
  <c r="X454" i="57" s="1"/>
  <c r="Q498" i="57"/>
  <c r="T498" i="57" s="1"/>
  <c r="I491" i="57"/>
  <c r="L491" i="57" s="1"/>
  <c r="Q490" i="57"/>
  <c r="Q493" i="57"/>
  <c r="T493" i="57" s="1"/>
  <c r="U496" i="57"/>
  <c r="X496" i="57" s="1"/>
  <c r="U493" i="57"/>
  <c r="X493" i="57" s="1"/>
  <c r="I490" i="57"/>
  <c r="L490" i="57" s="1"/>
  <c r="E490" i="57"/>
  <c r="H490" i="57" s="1"/>
  <c r="E491" i="57"/>
  <c r="H491" i="57" s="1"/>
  <c r="U498" i="57"/>
  <c r="U490" i="57"/>
  <c r="Q509" i="57"/>
  <c r="T509" i="57" s="1"/>
  <c r="U507" i="57"/>
  <c r="X507" i="57" s="1"/>
  <c r="U504" i="57"/>
  <c r="X504" i="57" s="1"/>
  <c r="I501" i="57"/>
  <c r="L501" i="57" s="1"/>
  <c r="Q501" i="57"/>
  <c r="E502" i="57"/>
  <c r="H502" i="57" s="1"/>
  <c r="U501" i="57"/>
  <c r="X501" i="57" s="1"/>
  <c r="U509" i="57"/>
  <c r="X509" i="57" s="1"/>
  <c r="Q504" i="57"/>
  <c r="T504" i="57" s="1"/>
  <c r="I502" i="57"/>
  <c r="L502" i="57" s="1"/>
  <c r="E501" i="57"/>
  <c r="U443" i="57"/>
  <c r="X443" i="57" s="1"/>
  <c r="I435" i="57"/>
  <c r="L435" i="57" s="1"/>
  <c r="E436" i="57"/>
  <c r="H436" i="57" s="1"/>
  <c r="Q435" i="57"/>
  <c r="T435" i="57" s="1"/>
  <c r="U435" i="57"/>
  <c r="X435" i="57" s="1"/>
  <c r="U441" i="57"/>
  <c r="X441" i="57" s="1"/>
  <c r="U438" i="57"/>
  <c r="X438" i="57" s="1"/>
  <c r="E435" i="57"/>
  <c r="H435" i="57" s="1"/>
  <c r="I436" i="57"/>
  <c r="L436" i="57" s="1"/>
  <c r="Q443" i="57"/>
  <c r="T443" i="57" s="1"/>
  <c r="Q438" i="57"/>
  <c r="T438" i="57" s="1"/>
  <c r="Y182" i="60"/>
  <c r="AC187" i="60" s="1"/>
  <c r="Q432" i="57"/>
  <c r="T432" i="57" s="1"/>
  <c r="E425" i="57"/>
  <c r="H425" i="57" s="1"/>
  <c r="Q424" i="57"/>
  <c r="T424" i="57" s="1"/>
  <c r="Q427" i="57"/>
  <c r="T427" i="57" s="1"/>
  <c r="E424" i="57"/>
  <c r="H424" i="57" s="1"/>
  <c r="U432" i="57"/>
  <c r="X432" i="57" s="1"/>
  <c r="I425" i="57"/>
  <c r="L425" i="57" s="1"/>
  <c r="U424" i="57"/>
  <c r="X424" i="57" s="1"/>
  <c r="U430" i="57"/>
  <c r="X430" i="57" s="1"/>
  <c r="U427" i="57"/>
  <c r="X427" i="57" s="1"/>
  <c r="I424" i="57"/>
  <c r="L424" i="57" s="1"/>
  <c r="C193" i="60"/>
  <c r="D226" i="60"/>
  <c r="Q234" i="60" s="1"/>
  <c r="S297" i="59"/>
  <c r="T297" i="59" s="1"/>
  <c r="G293" i="59"/>
  <c r="D292" i="59"/>
  <c r="Q298" i="59" s="1"/>
  <c r="W297" i="59"/>
  <c r="X297" i="59" s="1"/>
  <c r="K296" i="59"/>
  <c r="L296" i="59" s="1"/>
  <c r="K293" i="59"/>
  <c r="W299" i="59"/>
  <c r="X299" i="59" s="1"/>
  <c r="C204" i="60"/>
  <c r="W293" i="59"/>
  <c r="X293" i="59" s="1"/>
  <c r="C292" i="59"/>
  <c r="S293" i="59"/>
  <c r="T293" i="59" s="1"/>
  <c r="W295" i="59"/>
  <c r="S301" i="59"/>
  <c r="T301" i="59" s="1"/>
  <c r="S296" i="59"/>
  <c r="T296" i="59" s="1"/>
  <c r="W298" i="59"/>
  <c r="U25" i="60"/>
  <c r="X25" i="60" s="1"/>
  <c r="Q25" i="60"/>
  <c r="T25" i="60" s="1"/>
  <c r="U23" i="60"/>
  <c r="X23" i="60" s="1"/>
  <c r="Q23" i="60"/>
  <c r="T23" i="60" s="1"/>
  <c r="I17" i="60"/>
  <c r="L17" i="60" s="1"/>
  <c r="E17" i="60"/>
  <c r="H17" i="60" s="1"/>
  <c r="Q20" i="60"/>
  <c r="T20" i="60" s="1"/>
  <c r="I18" i="60"/>
  <c r="L18" i="60" s="1"/>
  <c r="U17" i="60"/>
  <c r="X17" i="60" s="1"/>
  <c r="U20" i="60"/>
  <c r="X20" i="60" s="1"/>
  <c r="E18" i="60"/>
  <c r="H18" i="60" s="1"/>
  <c r="Q17" i="60"/>
  <c r="U69" i="60"/>
  <c r="X69" i="60" s="1"/>
  <c r="Q69" i="60"/>
  <c r="T69" i="60" s="1"/>
  <c r="U67" i="60"/>
  <c r="X67" i="60" s="1"/>
  <c r="Q67" i="60"/>
  <c r="T67" i="60" s="1"/>
  <c r="I61" i="60"/>
  <c r="L61" i="60" s="1"/>
  <c r="E61" i="60"/>
  <c r="H61" i="60" s="1"/>
  <c r="Q64" i="60"/>
  <c r="T64" i="60" s="1"/>
  <c r="I62" i="60"/>
  <c r="L62" i="60" s="1"/>
  <c r="U61" i="60"/>
  <c r="X61" i="60" s="1"/>
  <c r="U64" i="60"/>
  <c r="X64" i="60" s="1"/>
  <c r="E62" i="60"/>
  <c r="H62" i="60" s="1"/>
  <c r="Q61" i="60"/>
  <c r="U146" i="60"/>
  <c r="X146" i="60" s="1"/>
  <c r="Q146" i="60"/>
  <c r="T146" i="60" s="1"/>
  <c r="U144" i="60"/>
  <c r="X144" i="60" s="1"/>
  <c r="Q144" i="60"/>
  <c r="T144" i="60" s="1"/>
  <c r="I138" i="60"/>
  <c r="L138" i="60" s="1"/>
  <c r="E138" i="60"/>
  <c r="H138" i="60" s="1"/>
  <c r="Q141" i="60"/>
  <c r="T141" i="60" s="1"/>
  <c r="I139" i="60"/>
  <c r="L139" i="60" s="1"/>
  <c r="U138" i="60"/>
  <c r="X138" i="60" s="1"/>
  <c r="U141" i="60"/>
  <c r="X141" i="60" s="1"/>
  <c r="E139" i="60"/>
  <c r="H139" i="60" s="1"/>
  <c r="Q138" i="60"/>
  <c r="T138" i="60" s="1"/>
  <c r="U168" i="60"/>
  <c r="X168" i="60" s="1"/>
  <c r="Q168" i="60"/>
  <c r="T168" i="60" s="1"/>
  <c r="U166" i="60"/>
  <c r="X166" i="60" s="1"/>
  <c r="Q166" i="60"/>
  <c r="T166" i="60" s="1"/>
  <c r="I160" i="60"/>
  <c r="L160" i="60" s="1"/>
  <c r="E160" i="60"/>
  <c r="H160" i="60" s="1"/>
  <c r="Q163" i="60"/>
  <c r="T163" i="60" s="1"/>
  <c r="I161" i="60"/>
  <c r="L161" i="60" s="1"/>
  <c r="U160" i="60"/>
  <c r="X160" i="60" s="1"/>
  <c r="U163" i="60"/>
  <c r="X163" i="60" s="1"/>
  <c r="E161" i="60"/>
  <c r="H161" i="60" s="1"/>
  <c r="Q160" i="60"/>
  <c r="T160" i="60" s="1"/>
  <c r="U124" i="60"/>
  <c r="X124" i="60" s="1"/>
  <c r="Q124" i="60"/>
  <c r="T124" i="60" s="1"/>
  <c r="U122" i="60"/>
  <c r="X122" i="60" s="1"/>
  <c r="Q122" i="60"/>
  <c r="T122" i="60" s="1"/>
  <c r="I116" i="60"/>
  <c r="L116" i="60" s="1"/>
  <c r="E116" i="60"/>
  <c r="H116" i="60" s="1"/>
  <c r="Q119" i="60"/>
  <c r="T119" i="60" s="1"/>
  <c r="I117" i="60"/>
  <c r="L117" i="60" s="1"/>
  <c r="U116" i="60"/>
  <c r="U119" i="60"/>
  <c r="X119" i="60" s="1"/>
  <c r="E117" i="60"/>
  <c r="H117" i="60" s="1"/>
  <c r="Q116" i="60"/>
  <c r="U157" i="60"/>
  <c r="X157" i="60" s="1"/>
  <c r="Q157" i="60"/>
  <c r="T157" i="60" s="1"/>
  <c r="U155" i="60"/>
  <c r="X155" i="60" s="1"/>
  <c r="Q155" i="60"/>
  <c r="T155" i="60" s="1"/>
  <c r="I149" i="60"/>
  <c r="L149" i="60" s="1"/>
  <c r="E149" i="60"/>
  <c r="H149" i="60" s="1"/>
  <c r="Q152" i="60"/>
  <c r="T152" i="60" s="1"/>
  <c r="I150" i="60"/>
  <c r="L150" i="60" s="1"/>
  <c r="U149" i="60"/>
  <c r="X149" i="60" s="1"/>
  <c r="U152" i="60"/>
  <c r="X152" i="60" s="1"/>
  <c r="E150" i="60"/>
  <c r="H150" i="60" s="1"/>
  <c r="Q149" i="60"/>
  <c r="U199" i="60"/>
  <c r="U196" i="60"/>
  <c r="U193" i="60"/>
  <c r="U80" i="60"/>
  <c r="X80" i="60" s="1"/>
  <c r="Q80" i="60"/>
  <c r="T80" i="60" s="1"/>
  <c r="U78" i="60"/>
  <c r="X78" i="60" s="1"/>
  <c r="Q78" i="60"/>
  <c r="T78" i="60" s="1"/>
  <c r="I72" i="60"/>
  <c r="L72" i="60" s="1"/>
  <c r="E72" i="60"/>
  <c r="H72" i="60" s="1"/>
  <c r="Q75" i="60"/>
  <c r="T75" i="60" s="1"/>
  <c r="I73" i="60"/>
  <c r="L73" i="60" s="1"/>
  <c r="U72" i="60"/>
  <c r="X72" i="60" s="1"/>
  <c r="U75" i="60"/>
  <c r="X75" i="60" s="1"/>
  <c r="E73" i="60"/>
  <c r="H73" i="60" s="1"/>
  <c r="Q72" i="60"/>
  <c r="T72" i="60" s="1"/>
  <c r="U410" i="60"/>
  <c r="X410" i="60" s="1"/>
  <c r="Q410" i="60"/>
  <c r="T410" i="60" s="1"/>
  <c r="U408" i="60"/>
  <c r="X408" i="60" s="1"/>
  <c r="Q408" i="60"/>
  <c r="T408" i="60" s="1"/>
  <c r="U405" i="60"/>
  <c r="X405" i="60" s="1"/>
  <c r="E403" i="60"/>
  <c r="H403" i="60" s="1"/>
  <c r="U402" i="60"/>
  <c r="Q402" i="60"/>
  <c r="T402" i="60" s="1"/>
  <c r="Q405" i="60"/>
  <c r="T405" i="60" s="1"/>
  <c r="I403" i="60"/>
  <c r="L403" i="60" s="1"/>
  <c r="E402" i="60"/>
  <c r="H402" i="60" s="1"/>
  <c r="I402" i="60"/>
  <c r="L402" i="60" s="1"/>
  <c r="U372" i="60"/>
  <c r="X372" i="60" s="1"/>
  <c r="Q372" i="60"/>
  <c r="T372" i="60" s="1"/>
  <c r="I370" i="60"/>
  <c r="L370" i="60" s="1"/>
  <c r="E370" i="60"/>
  <c r="H370" i="60" s="1"/>
  <c r="U369" i="60"/>
  <c r="X369" i="60" s="1"/>
  <c r="Q369" i="60"/>
  <c r="Q377" i="60"/>
  <c r="T377" i="60" s="1"/>
  <c r="Q375" i="60"/>
  <c r="T375" i="60" s="1"/>
  <c r="E369" i="60"/>
  <c r="H369" i="60" s="1"/>
  <c r="U377" i="60"/>
  <c r="X377" i="60" s="1"/>
  <c r="I369" i="60"/>
  <c r="L369" i="60" s="1"/>
  <c r="U375" i="60"/>
  <c r="X375" i="60" s="1"/>
  <c r="U421" i="60"/>
  <c r="X421" i="60" s="1"/>
  <c r="Q421" i="60"/>
  <c r="T421" i="60" s="1"/>
  <c r="U419" i="60"/>
  <c r="X419" i="60" s="1"/>
  <c r="Q419" i="60"/>
  <c r="T419" i="60" s="1"/>
  <c r="I413" i="60"/>
  <c r="L413" i="60" s="1"/>
  <c r="E413" i="60"/>
  <c r="H413" i="60" s="1"/>
  <c r="U416" i="60"/>
  <c r="X416" i="60" s="1"/>
  <c r="E414" i="60"/>
  <c r="H414" i="60" s="1"/>
  <c r="Q413" i="60"/>
  <c r="I414" i="60"/>
  <c r="L414" i="60" s="1"/>
  <c r="Q416" i="60"/>
  <c r="T416" i="60" s="1"/>
  <c r="U413" i="60"/>
  <c r="X413" i="60" s="1"/>
  <c r="U91" i="60"/>
  <c r="X91" i="60" s="1"/>
  <c r="Q91" i="60"/>
  <c r="T91" i="60" s="1"/>
  <c r="U89" i="60"/>
  <c r="X89" i="60" s="1"/>
  <c r="Q89" i="60"/>
  <c r="T89" i="60" s="1"/>
  <c r="I83" i="60"/>
  <c r="L83" i="60" s="1"/>
  <c r="E83" i="60"/>
  <c r="H83" i="60" s="1"/>
  <c r="Q86" i="60"/>
  <c r="T86" i="60" s="1"/>
  <c r="I84" i="60"/>
  <c r="L84" i="60" s="1"/>
  <c r="U83" i="60"/>
  <c r="X83" i="60" s="1"/>
  <c r="U86" i="60"/>
  <c r="X86" i="60" s="1"/>
  <c r="E84" i="60"/>
  <c r="H84" i="60" s="1"/>
  <c r="Q83" i="60"/>
  <c r="T83" i="60" s="1"/>
  <c r="U113" i="60"/>
  <c r="X113" i="60" s="1"/>
  <c r="Q113" i="60"/>
  <c r="T113" i="60" s="1"/>
  <c r="U111" i="60"/>
  <c r="X111" i="60" s="1"/>
  <c r="Q111" i="60"/>
  <c r="T111" i="60" s="1"/>
  <c r="I105" i="60"/>
  <c r="L105" i="60" s="1"/>
  <c r="E105" i="60"/>
  <c r="H105" i="60" s="1"/>
  <c r="Q108" i="60"/>
  <c r="T108" i="60" s="1"/>
  <c r="I106" i="60"/>
  <c r="L106" i="60" s="1"/>
  <c r="U105" i="60"/>
  <c r="X105" i="60" s="1"/>
  <c r="U108" i="60"/>
  <c r="X108" i="60" s="1"/>
  <c r="E106" i="60"/>
  <c r="H106" i="60" s="1"/>
  <c r="Q105" i="60"/>
  <c r="U190" i="60"/>
  <c r="X190" i="60" s="1"/>
  <c r="Q190" i="60"/>
  <c r="T190" i="60" s="1"/>
  <c r="U188" i="60"/>
  <c r="X188" i="60" s="1"/>
  <c r="Q188" i="60"/>
  <c r="T188" i="60" s="1"/>
  <c r="I182" i="60"/>
  <c r="L182" i="60" s="1"/>
  <c r="E182" i="60"/>
  <c r="H182" i="60" s="1"/>
  <c r="U185" i="60"/>
  <c r="X185" i="60" s="1"/>
  <c r="Q185" i="60"/>
  <c r="T185" i="60" s="1"/>
  <c r="I183" i="60"/>
  <c r="L183" i="60" s="1"/>
  <c r="E183" i="60"/>
  <c r="H183" i="60" s="1"/>
  <c r="U182" i="60"/>
  <c r="X182" i="60" s="1"/>
  <c r="Q182" i="60"/>
  <c r="T182" i="60" s="1"/>
  <c r="U58" i="60"/>
  <c r="X58" i="60" s="1"/>
  <c r="Q58" i="60"/>
  <c r="T58" i="60" s="1"/>
  <c r="U56" i="60"/>
  <c r="X56" i="60" s="1"/>
  <c r="Q56" i="60"/>
  <c r="T56" i="60" s="1"/>
  <c r="I50" i="60"/>
  <c r="L50" i="60" s="1"/>
  <c r="E50" i="60"/>
  <c r="H50" i="60" s="1"/>
  <c r="Q53" i="60"/>
  <c r="T53" i="60" s="1"/>
  <c r="I51" i="60"/>
  <c r="L51" i="60" s="1"/>
  <c r="U50" i="60"/>
  <c r="X50" i="60" s="1"/>
  <c r="U53" i="60"/>
  <c r="X53" i="60" s="1"/>
  <c r="E51" i="60"/>
  <c r="H51" i="60" s="1"/>
  <c r="Q50" i="60"/>
  <c r="T50" i="60" s="1"/>
  <c r="U432" i="60"/>
  <c r="X432" i="60" s="1"/>
  <c r="Q432" i="60"/>
  <c r="T432" i="60" s="1"/>
  <c r="U430" i="60"/>
  <c r="X430" i="60" s="1"/>
  <c r="Q430" i="60"/>
  <c r="T430" i="60" s="1"/>
  <c r="I424" i="60"/>
  <c r="L424" i="60" s="1"/>
  <c r="E424" i="60"/>
  <c r="H424" i="60" s="1"/>
  <c r="U427" i="60"/>
  <c r="X427" i="60" s="1"/>
  <c r="E425" i="60"/>
  <c r="H425" i="60" s="1"/>
  <c r="Q424" i="60"/>
  <c r="T424" i="60" s="1"/>
  <c r="Q427" i="60"/>
  <c r="T427" i="60" s="1"/>
  <c r="U424" i="60"/>
  <c r="X424" i="60" s="1"/>
  <c r="I425" i="60"/>
  <c r="L425" i="60" s="1"/>
  <c r="U179" i="60"/>
  <c r="X179" i="60" s="1"/>
  <c r="Q179" i="60"/>
  <c r="T179" i="60" s="1"/>
  <c r="U177" i="60"/>
  <c r="X177" i="60" s="1"/>
  <c r="Q177" i="60"/>
  <c r="T177" i="60" s="1"/>
  <c r="I171" i="60"/>
  <c r="L171" i="60" s="1"/>
  <c r="E171" i="60"/>
  <c r="H171" i="60" s="1"/>
  <c r="U174" i="60"/>
  <c r="X174" i="60" s="1"/>
  <c r="Q174" i="60"/>
  <c r="T174" i="60" s="1"/>
  <c r="I172" i="60"/>
  <c r="L172" i="60" s="1"/>
  <c r="U171" i="60"/>
  <c r="X171" i="60" s="1"/>
  <c r="E172" i="60"/>
  <c r="H172" i="60" s="1"/>
  <c r="Q171" i="60"/>
  <c r="U251" i="60"/>
  <c r="X251" i="60" s="1"/>
  <c r="Q251" i="60"/>
  <c r="T251" i="60" s="1"/>
  <c r="I249" i="60"/>
  <c r="L249" i="60" s="1"/>
  <c r="E249" i="60"/>
  <c r="H249" i="60" s="1"/>
  <c r="U248" i="60"/>
  <c r="X248" i="60" s="1"/>
  <c r="Q248" i="60"/>
  <c r="T248" i="60" s="1"/>
  <c r="Q256" i="60"/>
  <c r="T256" i="60" s="1"/>
  <c r="Q254" i="60"/>
  <c r="T254" i="60" s="1"/>
  <c r="E248" i="60"/>
  <c r="H248" i="60" s="1"/>
  <c r="U256" i="60"/>
  <c r="X256" i="60" s="1"/>
  <c r="U254" i="60"/>
  <c r="X254" i="60" s="1"/>
  <c r="I248" i="60"/>
  <c r="L248" i="60" s="1"/>
  <c r="U383" i="60"/>
  <c r="X383" i="60" s="1"/>
  <c r="Q383" i="60"/>
  <c r="T383" i="60" s="1"/>
  <c r="I381" i="60"/>
  <c r="L381" i="60" s="1"/>
  <c r="E381" i="60"/>
  <c r="H381" i="60" s="1"/>
  <c r="U380" i="60"/>
  <c r="X380" i="60" s="1"/>
  <c r="Q380" i="60"/>
  <c r="T380" i="60" s="1"/>
  <c r="Q388" i="60"/>
  <c r="T388" i="60" s="1"/>
  <c r="Q386" i="60"/>
  <c r="T386" i="60" s="1"/>
  <c r="E380" i="60"/>
  <c r="U386" i="60"/>
  <c r="X386" i="60" s="1"/>
  <c r="U388" i="60"/>
  <c r="X388" i="60" s="1"/>
  <c r="I380" i="60"/>
  <c r="L380" i="60" s="1"/>
  <c r="U135" i="60"/>
  <c r="X135" i="60" s="1"/>
  <c r="Q135" i="60"/>
  <c r="T135" i="60" s="1"/>
  <c r="U133" i="60"/>
  <c r="X133" i="60" s="1"/>
  <c r="Q133" i="60"/>
  <c r="T133" i="60" s="1"/>
  <c r="I127" i="60"/>
  <c r="L127" i="60" s="1"/>
  <c r="E127" i="60"/>
  <c r="H127" i="60" s="1"/>
  <c r="Q130" i="60"/>
  <c r="T130" i="60" s="1"/>
  <c r="I128" i="60"/>
  <c r="L128" i="60" s="1"/>
  <c r="U127" i="60"/>
  <c r="X127" i="60" s="1"/>
  <c r="U130" i="60"/>
  <c r="X130" i="60" s="1"/>
  <c r="E128" i="60"/>
  <c r="H128" i="60" s="1"/>
  <c r="Q127" i="60"/>
  <c r="U47" i="60"/>
  <c r="X47" i="60" s="1"/>
  <c r="Q47" i="60"/>
  <c r="T47" i="60" s="1"/>
  <c r="U45" i="60"/>
  <c r="X45" i="60" s="1"/>
  <c r="Q45" i="60"/>
  <c r="T45" i="60" s="1"/>
  <c r="I39" i="60"/>
  <c r="L39" i="60" s="1"/>
  <c r="E39" i="60"/>
  <c r="H39" i="60" s="1"/>
  <c r="Q42" i="60"/>
  <c r="T42" i="60" s="1"/>
  <c r="I40" i="60"/>
  <c r="L40" i="60" s="1"/>
  <c r="U39" i="60"/>
  <c r="U42" i="60"/>
  <c r="X42" i="60" s="1"/>
  <c r="E40" i="60"/>
  <c r="H40" i="60" s="1"/>
  <c r="Q39" i="60"/>
  <c r="T39" i="60" s="1"/>
  <c r="U210" i="60"/>
  <c r="U207" i="60"/>
  <c r="U204" i="60"/>
  <c r="U36" i="60"/>
  <c r="X36" i="60" s="1"/>
  <c r="Q36" i="60"/>
  <c r="T36" i="60" s="1"/>
  <c r="U34" i="60"/>
  <c r="X34" i="60" s="1"/>
  <c r="Q34" i="60"/>
  <c r="T34" i="60" s="1"/>
  <c r="I28" i="60"/>
  <c r="L28" i="60" s="1"/>
  <c r="E28" i="60"/>
  <c r="H28" i="60" s="1"/>
  <c r="Q31" i="60"/>
  <c r="T31" i="60" s="1"/>
  <c r="I29" i="60"/>
  <c r="L29" i="60" s="1"/>
  <c r="U28" i="60"/>
  <c r="X28" i="60" s="1"/>
  <c r="U31" i="60"/>
  <c r="X31" i="60" s="1"/>
  <c r="E29" i="60"/>
  <c r="H29" i="60" s="1"/>
  <c r="Q28" i="60"/>
  <c r="U102" i="60"/>
  <c r="X102" i="60" s="1"/>
  <c r="Q102" i="60"/>
  <c r="T102" i="60" s="1"/>
  <c r="U100" i="60"/>
  <c r="X100" i="60" s="1"/>
  <c r="Q100" i="60"/>
  <c r="T100" i="60" s="1"/>
  <c r="I94" i="60"/>
  <c r="L94" i="60" s="1"/>
  <c r="E94" i="60"/>
  <c r="H94" i="60" s="1"/>
  <c r="Q97" i="60"/>
  <c r="T97" i="60" s="1"/>
  <c r="I95" i="60"/>
  <c r="L95" i="60" s="1"/>
  <c r="U94" i="60"/>
  <c r="X94" i="60" s="1"/>
  <c r="U97" i="60"/>
  <c r="X97" i="60" s="1"/>
  <c r="E95" i="60"/>
  <c r="H95" i="60" s="1"/>
  <c r="Q94" i="60"/>
  <c r="T94" i="60" s="1"/>
  <c r="W207" i="60"/>
  <c r="S207" i="60"/>
  <c r="K207" i="60"/>
  <c r="L207" i="60" s="1"/>
  <c r="K205" i="60"/>
  <c r="G205" i="60"/>
  <c r="W204" i="60"/>
  <c r="O204" i="60"/>
  <c r="P204" i="60" s="1"/>
  <c r="W214" i="60"/>
  <c r="X214" i="60" s="1"/>
  <c r="S214" i="60"/>
  <c r="T214" i="60" s="1"/>
  <c r="W213" i="60"/>
  <c r="X213" i="60" s="1"/>
  <c r="S213" i="60"/>
  <c r="T213" i="60" s="1"/>
  <c r="W212" i="60"/>
  <c r="S212" i="60"/>
  <c r="W211" i="60"/>
  <c r="X211" i="60" s="1"/>
  <c r="S211" i="60"/>
  <c r="T211" i="60" s="1"/>
  <c r="W210" i="60"/>
  <c r="S210" i="60"/>
  <c r="W209" i="60"/>
  <c r="X209" i="60" s="1"/>
  <c r="S209" i="60"/>
  <c r="T209" i="60" s="1"/>
  <c r="W208" i="60"/>
  <c r="X208" i="60" s="1"/>
  <c r="S208" i="60"/>
  <c r="T208" i="60" s="1"/>
  <c r="K208" i="60"/>
  <c r="L208" i="60" s="1"/>
  <c r="W206" i="60"/>
  <c r="X206" i="60" s="1"/>
  <c r="S206" i="60"/>
  <c r="T206" i="60" s="1"/>
  <c r="W205" i="60"/>
  <c r="X205" i="60" s="1"/>
  <c r="S205" i="60"/>
  <c r="T205" i="60" s="1"/>
  <c r="O205" i="60"/>
  <c r="P205" i="60" s="1"/>
  <c r="K204" i="60"/>
  <c r="G204" i="60"/>
  <c r="W229" i="60"/>
  <c r="S229" i="60"/>
  <c r="K229" i="60"/>
  <c r="L229" i="60" s="1"/>
  <c r="K227" i="60"/>
  <c r="G227" i="60"/>
  <c r="W226" i="60"/>
  <c r="S226" i="60"/>
  <c r="O226" i="60"/>
  <c r="P226" i="60" s="1"/>
  <c r="W236" i="60"/>
  <c r="X236" i="60" s="1"/>
  <c r="S236" i="60"/>
  <c r="T236" i="60" s="1"/>
  <c r="W235" i="60"/>
  <c r="X235" i="60" s="1"/>
  <c r="S235" i="60"/>
  <c r="T235" i="60" s="1"/>
  <c r="W234" i="60"/>
  <c r="S234" i="60"/>
  <c r="W233" i="60"/>
  <c r="X233" i="60" s="1"/>
  <c r="S233" i="60"/>
  <c r="T233" i="60" s="1"/>
  <c r="W232" i="60"/>
  <c r="S232" i="60"/>
  <c r="W231" i="60"/>
  <c r="X231" i="60" s="1"/>
  <c r="S231" i="60"/>
  <c r="T231" i="60" s="1"/>
  <c r="W230" i="60"/>
  <c r="X230" i="60" s="1"/>
  <c r="S230" i="60"/>
  <c r="T230" i="60" s="1"/>
  <c r="K230" i="60"/>
  <c r="L230" i="60" s="1"/>
  <c r="W228" i="60"/>
  <c r="X228" i="60" s="1"/>
  <c r="S228" i="60"/>
  <c r="T228" i="60" s="1"/>
  <c r="W227" i="60"/>
  <c r="X227" i="60" s="1"/>
  <c r="S227" i="60"/>
  <c r="T227" i="60" s="1"/>
  <c r="O227" i="60"/>
  <c r="P227" i="60" s="1"/>
  <c r="K226" i="60"/>
  <c r="G226" i="60"/>
  <c r="S298" i="59"/>
  <c r="S295" i="59"/>
  <c r="K292" i="59"/>
  <c r="S299" i="59"/>
  <c r="T299" i="59" s="1"/>
  <c r="W294" i="59"/>
  <c r="X294" i="59" s="1"/>
  <c r="S302" i="59"/>
  <c r="T302" i="59" s="1"/>
  <c r="S300" i="59"/>
  <c r="W300" i="59"/>
  <c r="W296" i="59"/>
  <c r="X296" i="59" s="1"/>
  <c r="S294" i="59"/>
  <c r="T294" i="59" s="1"/>
  <c r="W292" i="59"/>
  <c r="W301" i="59"/>
  <c r="X301" i="59" s="1"/>
  <c r="O292" i="59"/>
  <c r="P292" i="59" s="1"/>
  <c r="O293" i="59"/>
  <c r="P293" i="59" s="1"/>
  <c r="W196" i="60"/>
  <c r="S196" i="60"/>
  <c r="K196" i="60"/>
  <c r="L196" i="60" s="1"/>
  <c r="K194" i="60"/>
  <c r="G194" i="60"/>
  <c r="W193" i="60"/>
  <c r="S193" i="60"/>
  <c r="O193" i="60"/>
  <c r="P193" i="60" s="1"/>
  <c r="W203" i="60"/>
  <c r="X203" i="60" s="1"/>
  <c r="S203" i="60"/>
  <c r="T203" i="60" s="1"/>
  <c r="W202" i="60"/>
  <c r="X202" i="60" s="1"/>
  <c r="S202" i="60"/>
  <c r="T202" i="60" s="1"/>
  <c r="W201" i="60"/>
  <c r="S201" i="60"/>
  <c r="W200" i="60"/>
  <c r="X200" i="60" s="1"/>
  <c r="S200" i="60"/>
  <c r="T200" i="60" s="1"/>
  <c r="W199" i="60"/>
  <c r="S199" i="60"/>
  <c r="W198" i="60"/>
  <c r="X198" i="60" s="1"/>
  <c r="S198" i="60"/>
  <c r="T198" i="60" s="1"/>
  <c r="W197" i="60"/>
  <c r="X197" i="60" s="1"/>
  <c r="S197" i="60"/>
  <c r="T197" i="60" s="1"/>
  <c r="K197" i="60"/>
  <c r="L197" i="60" s="1"/>
  <c r="W195" i="60"/>
  <c r="X195" i="60" s="1"/>
  <c r="S195" i="60"/>
  <c r="T195" i="60" s="1"/>
  <c r="W194" i="60"/>
  <c r="X194" i="60" s="1"/>
  <c r="S194" i="60"/>
  <c r="T194" i="60" s="1"/>
  <c r="O194" i="60"/>
  <c r="P194" i="60" s="1"/>
  <c r="K193" i="60"/>
  <c r="G193" i="60"/>
  <c r="C215" i="60"/>
  <c r="W218" i="60"/>
  <c r="S218" i="60"/>
  <c r="K218" i="60"/>
  <c r="L218" i="60" s="1"/>
  <c r="K216" i="60"/>
  <c r="G216" i="60"/>
  <c r="W215" i="60"/>
  <c r="O215" i="60"/>
  <c r="P215" i="60" s="1"/>
  <c r="W225" i="60"/>
  <c r="X225" i="60" s="1"/>
  <c r="S225" i="60"/>
  <c r="T225" i="60" s="1"/>
  <c r="W224" i="60"/>
  <c r="X224" i="60" s="1"/>
  <c r="S224" i="60"/>
  <c r="T224" i="60" s="1"/>
  <c r="W223" i="60"/>
  <c r="S223" i="60"/>
  <c r="W222" i="60"/>
  <c r="X222" i="60" s="1"/>
  <c r="S222" i="60"/>
  <c r="T222" i="60" s="1"/>
  <c r="W221" i="60"/>
  <c r="S221" i="60"/>
  <c r="W220" i="60"/>
  <c r="X220" i="60" s="1"/>
  <c r="S220" i="60"/>
  <c r="T220" i="60" s="1"/>
  <c r="W219" i="60"/>
  <c r="X219" i="60" s="1"/>
  <c r="S219" i="60"/>
  <c r="T219" i="60" s="1"/>
  <c r="K219" i="60"/>
  <c r="L219" i="60" s="1"/>
  <c r="W217" i="60"/>
  <c r="X217" i="60" s="1"/>
  <c r="S217" i="60"/>
  <c r="T217" i="60" s="1"/>
  <c r="W216" i="60"/>
  <c r="X216" i="60" s="1"/>
  <c r="S216" i="60"/>
  <c r="T216" i="60" s="1"/>
  <c r="O216" i="60"/>
  <c r="P216" i="60" s="1"/>
  <c r="K215" i="60"/>
  <c r="G215" i="60"/>
  <c r="W269" i="60"/>
  <c r="X269" i="60" s="1"/>
  <c r="S269" i="60"/>
  <c r="T269" i="60" s="1"/>
  <c r="W268" i="60"/>
  <c r="X268" i="60" s="1"/>
  <c r="S268" i="60"/>
  <c r="T268" i="60" s="1"/>
  <c r="W267" i="60"/>
  <c r="S267" i="60"/>
  <c r="W266" i="60"/>
  <c r="X266" i="60" s="1"/>
  <c r="S266" i="60"/>
  <c r="T266" i="60" s="1"/>
  <c r="W265" i="60"/>
  <c r="S265" i="60"/>
  <c r="W264" i="60"/>
  <c r="X264" i="60" s="1"/>
  <c r="S264" i="60"/>
  <c r="T264" i="60" s="1"/>
  <c r="W263" i="60"/>
  <c r="X263" i="60" s="1"/>
  <c r="S263" i="60"/>
  <c r="T263" i="60" s="1"/>
  <c r="K263" i="60"/>
  <c r="L263" i="60" s="1"/>
  <c r="W261" i="60"/>
  <c r="X261" i="60" s="1"/>
  <c r="S261" i="60"/>
  <c r="T261" i="60" s="1"/>
  <c r="W260" i="60"/>
  <c r="X260" i="60" s="1"/>
  <c r="S260" i="60"/>
  <c r="T260" i="60" s="1"/>
  <c r="O260" i="60"/>
  <c r="P260" i="60" s="1"/>
  <c r="K259" i="60"/>
  <c r="G259" i="60"/>
  <c r="S262" i="60"/>
  <c r="K260" i="60"/>
  <c r="W259" i="60"/>
  <c r="O259" i="60"/>
  <c r="P259" i="60" s="1"/>
  <c r="W262" i="60"/>
  <c r="K262" i="60"/>
  <c r="L262" i="60" s="1"/>
  <c r="G260" i="60"/>
  <c r="U350" i="60"/>
  <c r="X350" i="60" s="1"/>
  <c r="Q350" i="60"/>
  <c r="T350" i="60" s="1"/>
  <c r="Q355" i="60"/>
  <c r="T355" i="60" s="1"/>
  <c r="Q353" i="60"/>
  <c r="T353" i="60" s="1"/>
  <c r="I348" i="60"/>
  <c r="L348" i="60" s="1"/>
  <c r="E348" i="60"/>
  <c r="H348" i="60" s="1"/>
  <c r="U347" i="60"/>
  <c r="X347" i="60" s="1"/>
  <c r="Q347" i="60"/>
  <c r="T347" i="60" s="1"/>
  <c r="U355" i="60"/>
  <c r="X355" i="60" s="1"/>
  <c r="E347" i="60"/>
  <c r="H347" i="60" s="1"/>
  <c r="U353" i="60"/>
  <c r="X353" i="60" s="1"/>
  <c r="I347" i="60"/>
  <c r="L347" i="60" s="1"/>
  <c r="U394" i="60"/>
  <c r="X394" i="60" s="1"/>
  <c r="Q394" i="60"/>
  <c r="T394" i="60" s="1"/>
  <c r="I392" i="60"/>
  <c r="L392" i="60" s="1"/>
  <c r="E392" i="60"/>
  <c r="H392" i="60" s="1"/>
  <c r="U391" i="60"/>
  <c r="X391" i="60" s="1"/>
  <c r="Q391" i="60"/>
  <c r="T391" i="60" s="1"/>
  <c r="Q399" i="60"/>
  <c r="T399" i="60" s="1"/>
  <c r="Q397" i="60"/>
  <c r="T397" i="60" s="1"/>
  <c r="E391" i="60"/>
  <c r="H391" i="60" s="1"/>
  <c r="U399" i="60"/>
  <c r="X399" i="60" s="1"/>
  <c r="I391" i="60"/>
  <c r="L391" i="60" s="1"/>
  <c r="U397" i="60"/>
  <c r="X397" i="60" s="1"/>
  <c r="U361" i="60"/>
  <c r="X361" i="60" s="1"/>
  <c r="Q361" i="60"/>
  <c r="T361" i="60" s="1"/>
  <c r="I359" i="60"/>
  <c r="L359" i="60" s="1"/>
  <c r="E359" i="60"/>
  <c r="H359" i="60" s="1"/>
  <c r="U358" i="60"/>
  <c r="X358" i="60" s="1"/>
  <c r="Q358" i="60"/>
  <c r="Q366" i="60"/>
  <c r="T366" i="60" s="1"/>
  <c r="Q364" i="60"/>
  <c r="T364" i="60" s="1"/>
  <c r="E358" i="60"/>
  <c r="H358" i="60" s="1"/>
  <c r="U364" i="60"/>
  <c r="X364" i="60" s="1"/>
  <c r="U366" i="60"/>
  <c r="X366" i="60" s="1"/>
  <c r="I358" i="60"/>
  <c r="L358" i="60" s="1"/>
  <c r="Q443" i="59"/>
  <c r="T443" i="59" s="1"/>
  <c r="Q441" i="59"/>
  <c r="Q435" i="59"/>
  <c r="Q438" i="59"/>
  <c r="T438" i="59" s="1"/>
  <c r="Q383" i="59"/>
  <c r="T383" i="59" s="1"/>
  <c r="Q388" i="59"/>
  <c r="T388" i="59" s="1"/>
  <c r="Q386" i="59"/>
  <c r="Q380" i="59"/>
  <c r="Q421" i="59"/>
  <c r="T421" i="59" s="1"/>
  <c r="Q419" i="59"/>
  <c r="Q413" i="59"/>
  <c r="Q416" i="59"/>
  <c r="T416" i="59" s="1"/>
  <c r="Q135" i="59"/>
  <c r="T135" i="59" s="1"/>
  <c r="Q133" i="59"/>
  <c r="Q127" i="59"/>
  <c r="Q130" i="59"/>
  <c r="T130" i="59" s="1"/>
  <c r="Q427" i="59"/>
  <c r="T427" i="59" s="1"/>
  <c r="Q432" i="59"/>
  <c r="T432" i="59" s="1"/>
  <c r="Q430" i="59"/>
  <c r="Q424" i="59"/>
  <c r="Q405" i="59"/>
  <c r="T405" i="59" s="1"/>
  <c r="Q410" i="59"/>
  <c r="T410" i="59" s="1"/>
  <c r="Q408" i="59"/>
  <c r="Q402" i="59"/>
  <c r="Q399" i="59"/>
  <c r="T399" i="59" s="1"/>
  <c r="Q397" i="59"/>
  <c r="Q391" i="59"/>
  <c r="Q394" i="59"/>
  <c r="T394" i="59" s="1"/>
  <c r="W43" i="57"/>
  <c r="X43" i="57" s="1"/>
  <c r="B6" i="68"/>
  <c r="S71" i="57"/>
  <c r="B8" i="68"/>
  <c r="S54" i="57"/>
  <c r="T54" i="57" s="1"/>
  <c r="B7" i="68"/>
  <c r="W38" i="57"/>
  <c r="X38" i="57" s="1"/>
  <c r="B5" i="68"/>
  <c r="S19" i="57"/>
  <c r="B4" i="68"/>
  <c r="W346" i="57"/>
  <c r="X346" i="57" s="1"/>
  <c r="C303" i="57"/>
  <c r="AD308" i="57" s="1"/>
  <c r="W311" i="57"/>
  <c r="S283" i="57"/>
  <c r="C281" i="57"/>
  <c r="AD286" i="57" s="1"/>
  <c r="S310" i="57"/>
  <c r="S307" i="57"/>
  <c r="T307" i="57" s="1"/>
  <c r="K304" i="57"/>
  <c r="G304" i="57"/>
  <c r="W305" i="57"/>
  <c r="X305" i="57" s="1"/>
  <c r="W310" i="57"/>
  <c r="X310" i="57" s="1"/>
  <c r="O293" i="57"/>
  <c r="P293" i="57" s="1"/>
  <c r="S312" i="57"/>
  <c r="S308" i="57"/>
  <c r="S305" i="57"/>
  <c r="K307" i="57"/>
  <c r="W309" i="57"/>
  <c r="K303" i="57"/>
  <c r="S313" i="57"/>
  <c r="D215" i="60"/>
  <c r="S309" i="57"/>
  <c r="G303" i="57"/>
  <c r="W307" i="57"/>
  <c r="X307" i="57" s="1"/>
  <c r="W313" i="57"/>
  <c r="X313" i="57" s="1"/>
  <c r="O304" i="57"/>
  <c r="P304" i="57" s="1"/>
  <c r="W312" i="57"/>
  <c r="X312" i="57" s="1"/>
  <c r="S311" i="57"/>
  <c r="O303" i="57"/>
  <c r="P303" i="57" s="1"/>
  <c r="W304" i="57"/>
  <c r="X304" i="57" s="1"/>
  <c r="W306" i="57"/>
  <c r="W308" i="57"/>
  <c r="X308" i="57" s="1"/>
  <c r="D303" i="57"/>
  <c r="U311" i="57" s="1"/>
  <c r="S320" i="57"/>
  <c r="S284" i="57"/>
  <c r="K329" i="57"/>
  <c r="W286" i="57"/>
  <c r="X286" i="57" s="1"/>
  <c r="O326" i="57"/>
  <c r="P326" i="57" s="1"/>
  <c r="S286" i="57"/>
  <c r="K281" i="57"/>
  <c r="S277" i="57"/>
  <c r="G293" i="57"/>
  <c r="S296" i="57"/>
  <c r="T296" i="57" s="1"/>
  <c r="W301" i="57"/>
  <c r="X301" i="57" s="1"/>
  <c r="W287" i="57"/>
  <c r="S282" i="57"/>
  <c r="T282" i="57" s="1"/>
  <c r="W284" i="57"/>
  <c r="S291" i="57"/>
  <c r="G282" i="57"/>
  <c r="S332" i="57"/>
  <c r="S326" i="57"/>
  <c r="T326" i="57" s="1"/>
  <c r="W329" i="57"/>
  <c r="X329" i="57" s="1"/>
  <c r="S335" i="57"/>
  <c r="W285" i="57"/>
  <c r="X285" i="57" s="1"/>
  <c r="W281" i="57"/>
  <c r="S288" i="57"/>
  <c r="W283" i="57"/>
  <c r="X283" i="57" s="1"/>
  <c r="O282" i="57"/>
  <c r="P282" i="57" s="1"/>
  <c r="S333" i="57"/>
  <c r="S327" i="57"/>
  <c r="W331" i="57"/>
  <c r="W334" i="57"/>
  <c r="X334" i="57" s="1"/>
  <c r="S289" i="57"/>
  <c r="K285" i="57"/>
  <c r="W290" i="57"/>
  <c r="X290" i="57" s="1"/>
  <c r="S287" i="57"/>
  <c r="W282" i="57"/>
  <c r="X282" i="57" s="1"/>
  <c r="O281" i="57"/>
  <c r="P281" i="57" s="1"/>
  <c r="D325" i="57"/>
  <c r="E325" i="57" s="1"/>
  <c r="C325" i="57"/>
  <c r="AD330" i="57" s="1"/>
  <c r="O314" i="57"/>
  <c r="P314" i="57" s="1"/>
  <c r="K270" i="57"/>
  <c r="W318" i="57"/>
  <c r="X318" i="57" s="1"/>
  <c r="W275" i="57"/>
  <c r="X275" i="57" s="1"/>
  <c r="S315" i="57"/>
  <c r="T315" i="57" s="1"/>
  <c r="W319" i="57"/>
  <c r="X319" i="57" s="1"/>
  <c r="W272" i="57"/>
  <c r="X272" i="57" s="1"/>
  <c r="S274" i="57"/>
  <c r="T274" i="57" s="1"/>
  <c r="C270" i="57"/>
  <c r="AD275" i="57" s="1"/>
  <c r="S317" i="57"/>
  <c r="W315" i="57"/>
  <c r="X315" i="57" s="1"/>
  <c r="W279" i="57"/>
  <c r="X279" i="57" s="1"/>
  <c r="D270" i="57"/>
  <c r="E270" i="57" s="1"/>
  <c r="W273" i="57"/>
  <c r="S321" i="57"/>
  <c r="S324" i="57"/>
  <c r="W317" i="57"/>
  <c r="W276" i="57"/>
  <c r="O270" i="57"/>
  <c r="P270" i="57" s="1"/>
  <c r="S298" i="57"/>
  <c r="W294" i="57"/>
  <c r="X294" i="57" s="1"/>
  <c r="W300" i="57"/>
  <c r="K293" i="57"/>
  <c r="S300" i="57"/>
  <c r="W302" i="57"/>
  <c r="X302" i="57" s="1"/>
  <c r="S295" i="57"/>
  <c r="S293" i="57"/>
  <c r="T293" i="57" s="1"/>
  <c r="W296" i="57"/>
  <c r="X296" i="57" s="1"/>
  <c r="D292" i="57"/>
  <c r="U300" i="57" s="1"/>
  <c r="C314" i="57"/>
  <c r="AD319" i="57" s="1"/>
  <c r="D314" i="57"/>
  <c r="E314" i="57" s="1"/>
  <c r="W324" i="57"/>
  <c r="X324" i="57" s="1"/>
  <c r="S273" i="57"/>
  <c r="S278" i="57"/>
  <c r="S322" i="57"/>
  <c r="W314" i="57"/>
  <c r="W321" i="57"/>
  <c r="X321" i="57" s="1"/>
  <c r="G315" i="57"/>
  <c r="S316" i="57"/>
  <c r="K318" i="57"/>
  <c r="W320" i="57"/>
  <c r="W278" i="57"/>
  <c r="W274" i="57"/>
  <c r="X274" i="57" s="1"/>
  <c r="W271" i="57"/>
  <c r="X271" i="57" s="1"/>
  <c r="S280" i="57"/>
  <c r="S276" i="57"/>
  <c r="G271" i="57"/>
  <c r="W280" i="57"/>
  <c r="X280" i="57" s="1"/>
  <c r="S323" i="57"/>
  <c r="S319" i="57"/>
  <c r="K315" i="57"/>
  <c r="W323" i="57"/>
  <c r="X323" i="57" s="1"/>
  <c r="O315" i="57"/>
  <c r="P315" i="57" s="1"/>
  <c r="W316" i="57"/>
  <c r="X316" i="57" s="1"/>
  <c r="S318" i="57"/>
  <c r="T318" i="57" s="1"/>
  <c r="W277" i="57"/>
  <c r="X277" i="57" s="1"/>
  <c r="K274" i="57"/>
  <c r="O271" i="57"/>
  <c r="P271" i="57" s="1"/>
  <c r="S279" i="57"/>
  <c r="S275" i="57"/>
  <c r="S272" i="57"/>
  <c r="W289" i="57"/>
  <c r="D281" i="57"/>
  <c r="U281" i="57" s="1"/>
  <c r="S290" i="57"/>
  <c r="S285" i="57"/>
  <c r="T285" i="57" s="1"/>
  <c r="K282" i="57"/>
  <c r="W288" i="57"/>
  <c r="X288" i="57" s="1"/>
  <c r="S334" i="57"/>
  <c r="S330" i="57"/>
  <c r="K326" i="57"/>
  <c r="W327" i="57"/>
  <c r="X327" i="57" s="1"/>
  <c r="S329" i="57"/>
  <c r="T329" i="57" s="1"/>
  <c r="W333" i="57"/>
  <c r="S328" i="57"/>
  <c r="W335" i="57"/>
  <c r="X335" i="57" s="1"/>
  <c r="S331" i="57"/>
  <c r="O325" i="57"/>
  <c r="P325" i="57" s="1"/>
  <c r="W326" i="57"/>
  <c r="X326" i="57" s="1"/>
  <c r="W328" i="57"/>
  <c r="W330" i="57"/>
  <c r="X330" i="57" s="1"/>
  <c r="G326" i="57"/>
  <c r="C336" i="57"/>
  <c r="AD341" i="57" s="1"/>
  <c r="S301" i="57"/>
  <c r="S297" i="57"/>
  <c r="W293" i="57"/>
  <c r="X293" i="57" s="1"/>
  <c r="W295" i="57"/>
  <c r="W297" i="57"/>
  <c r="X297" i="57" s="1"/>
  <c r="C292" i="57"/>
  <c r="AD297" i="57" s="1"/>
  <c r="K292" i="57"/>
  <c r="S302" i="57"/>
  <c r="K336" i="57"/>
  <c r="S299" i="57"/>
  <c r="G292" i="57"/>
  <c r="S294" i="57"/>
  <c r="K296" i="57"/>
  <c r="W298" i="57"/>
  <c r="O292" i="57"/>
  <c r="P292" i="57" s="1"/>
  <c r="W292" i="57"/>
  <c r="D336" i="57"/>
  <c r="U336" i="57" s="1"/>
  <c r="W340" i="57"/>
  <c r="X340" i="57" s="1"/>
  <c r="S341" i="57"/>
  <c r="S343" i="57"/>
  <c r="S339" i="57"/>
  <c r="W343" i="57"/>
  <c r="X343" i="57" s="1"/>
  <c r="G337" i="57"/>
  <c r="S338" i="57"/>
  <c r="K340" i="57"/>
  <c r="W342" i="57"/>
  <c r="S344" i="57"/>
  <c r="S342" i="57"/>
  <c r="S346" i="57"/>
  <c r="W345" i="57"/>
  <c r="X345" i="57" s="1"/>
  <c r="O337" i="57"/>
  <c r="P337" i="57" s="1"/>
  <c r="W338" i="57"/>
  <c r="X338" i="57" s="1"/>
  <c r="S340" i="57"/>
  <c r="T340" i="57" s="1"/>
  <c r="W344" i="57"/>
  <c r="S345" i="57"/>
  <c r="K337" i="57"/>
  <c r="O336" i="57"/>
  <c r="P336" i="57" s="1"/>
  <c r="W337" i="57"/>
  <c r="X337" i="57" s="1"/>
  <c r="W339" i="57"/>
  <c r="C259" i="60"/>
  <c r="D259" i="60"/>
  <c r="W319" i="59"/>
  <c r="X319" i="59" s="1"/>
  <c r="W322" i="59"/>
  <c r="W317" i="59"/>
  <c r="O315" i="59"/>
  <c r="P315" i="59" s="1"/>
  <c r="O314" i="59"/>
  <c r="P314" i="59" s="1"/>
  <c r="S324" i="59"/>
  <c r="T324" i="59" s="1"/>
  <c r="G315" i="59"/>
  <c r="C314" i="59"/>
  <c r="D314" i="59"/>
  <c r="W314" i="59"/>
  <c r="S315" i="59"/>
  <c r="T315" i="59" s="1"/>
  <c r="S316" i="59"/>
  <c r="T316" i="59" s="1"/>
  <c r="K318" i="59"/>
  <c r="L318" i="59" s="1"/>
  <c r="W318" i="59"/>
  <c r="X318" i="59" s="1"/>
  <c r="W320" i="59"/>
  <c r="W323" i="59"/>
  <c r="X323" i="59" s="1"/>
  <c r="S320" i="59"/>
  <c r="S321" i="59"/>
  <c r="T321" i="59" s="1"/>
  <c r="S323" i="59"/>
  <c r="T323" i="59" s="1"/>
  <c r="K314" i="59"/>
  <c r="W315" i="59"/>
  <c r="X315" i="59" s="1"/>
  <c r="S317" i="59"/>
  <c r="W324" i="59"/>
  <c r="X324" i="59" s="1"/>
  <c r="K315" i="59"/>
  <c r="W316" i="59"/>
  <c r="X316" i="59" s="1"/>
  <c r="S318" i="59"/>
  <c r="T318" i="59" s="1"/>
  <c r="W321" i="59"/>
  <c r="X321" i="59" s="1"/>
  <c r="S319" i="59"/>
  <c r="T319" i="59" s="1"/>
  <c r="S322" i="59"/>
  <c r="S346" i="59"/>
  <c r="T346" i="59" s="1"/>
  <c r="G337" i="59"/>
  <c r="O336" i="59"/>
  <c r="P336" i="59" s="1"/>
  <c r="C336" i="59"/>
  <c r="W339" i="59"/>
  <c r="W341" i="59"/>
  <c r="X341" i="59" s="1"/>
  <c r="O337" i="59"/>
  <c r="P337" i="59" s="1"/>
  <c r="G336" i="59"/>
  <c r="K336" i="59"/>
  <c r="K337" i="59"/>
  <c r="W337" i="59"/>
  <c r="X337" i="59" s="1"/>
  <c r="W338" i="59"/>
  <c r="X338" i="59" s="1"/>
  <c r="S339" i="59"/>
  <c r="S340" i="59"/>
  <c r="T340" i="59" s="1"/>
  <c r="W346" i="59"/>
  <c r="X346" i="59" s="1"/>
  <c r="W345" i="59"/>
  <c r="X345" i="59" s="1"/>
  <c r="S341" i="59"/>
  <c r="T341" i="59" s="1"/>
  <c r="S344" i="59"/>
  <c r="D336" i="59"/>
  <c r="W340" i="59"/>
  <c r="X340" i="59" s="1"/>
  <c r="W344" i="59"/>
  <c r="W342" i="59"/>
  <c r="S342" i="59"/>
  <c r="S345" i="59"/>
  <c r="T345" i="59" s="1"/>
  <c r="S338" i="59"/>
  <c r="T338" i="59" s="1"/>
  <c r="K340" i="59"/>
  <c r="L340" i="59" s="1"/>
  <c r="W343" i="59"/>
  <c r="X343" i="59" s="1"/>
  <c r="S343" i="59"/>
  <c r="T343" i="59" s="1"/>
  <c r="S367" i="59"/>
  <c r="T367" i="59" s="1"/>
  <c r="W359" i="59"/>
  <c r="X359" i="59" s="1"/>
  <c r="S366" i="59"/>
  <c r="W362" i="59"/>
  <c r="X362" i="59" s="1"/>
  <c r="W360" i="59"/>
  <c r="X360" i="59" s="1"/>
  <c r="W358" i="59"/>
  <c r="W368" i="59"/>
  <c r="X368" i="59" s="1"/>
  <c r="W366" i="59"/>
  <c r="W364" i="59"/>
  <c r="S362" i="59"/>
  <c r="T362" i="59" s="1"/>
  <c r="S360" i="59"/>
  <c r="T360" i="59" s="1"/>
  <c r="G359" i="59"/>
  <c r="G358" i="59"/>
  <c r="S363" i="59"/>
  <c r="T363" i="59" s="1"/>
  <c r="S365" i="59"/>
  <c r="T365" i="59" s="1"/>
  <c r="O358" i="59"/>
  <c r="P358" i="59" s="1"/>
  <c r="W361" i="59"/>
  <c r="W367" i="59"/>
  <c r="X367" i="59" s="1"/>
  <c r="W363" i="59"/>
  <c r="X363" i="59" s="1"/>
  <c r="S359" i="59"/>
  <c r="T359" i="59" s="1"/>
  <c r="D358" i="59"/>
  <c r="K359" i="59"/>
  <c r="C358" i="59"/>
  <c r="K362" i="59"/>
  <c r="L362" i="59" s="1"/>
  <c r="S368" i="59"/>
  <c r="T368" i="59" s="1"/>
  <c r="O359" i="59"/>
  <c r="P359" i="59" s="1"/>
  <c r="W365" i="59"/>
  <c r="X365" i="59" s="1"/>
  <c r="S361" i="59"/>
  <c r="S364" i="59"/>
  <c r="U443" i="59"/>
  <c r="I435" i="59"/>
  <c r="L435" i="59" s="1"/>
  <c r="I436" i="59"/>
  <c r="L436" i="59" s="1"/>
  <c r="E435" i="59"/>
  <c r="E436" i="59"/>
  <c r="H436" i="59" s="1"/>
  <c r="U441" i="59"/>
  <c r="X441" i="59" s="1"/>
  <c r="U438" i="59"/>
  <c r="X438" i="59" s="1"/>
  <c r="U435" i="59"/>
  <c r="U454" i="59"/>
  <c r="X454" i="59" s="1"/>
  <c r="U446" i="59"/>
  <c r="X446" i="59" s="1"/>
  <c r="Q454" i="59"/>
  <c r="T454" i="59" s="1"/>
  <c r="I447" i="59"/>
  <c r="L447" i="59" s="1"/>
  <c r="Q446" i="59"/>
  <c r="Q449" i="59"/>
  <c r="T449" i="59" s="1"/>
  <c r="I446" i="59"/>
  <c r="L446" i="59" s="1"/>
  <c r="E447" i="59"/>
  <c r="H447" i="59" s="1"/>
  <c r="U452" i="59"/>
  <c r="X452" i="59" s="1"/>
  <c r="U449" i="59"/>
  <c r="X449" i="59" s="1"/>
  <c r="E446" i="59"/>
  <c r="H446" i="59" s="1"/>
  <c r="U383" i="59"/>
  <c r="X383" i="59" s="1"/>
  <c r="U380" i="59"/>
  <c r="X380" i="59" s="1"/>
  <c r="U386" i="59"/>
  <c r="X386" i="59" s="1"/>
  <c r="I381" i="59"/>
  <c r="L381" i="59" s="1"/>
  <c r="I380" i="59"/>
  <c r="U388" i="59"/>
  <c r="X388" i="59" s="1"/>
  <c r="E381" i="59"/>
  <c r="H381" i="59" s="1"/>
  <c r="E380" i="59"/>
  <c r="H380" i="59" s="1"/>
  <c r="U498" i="59"/>
  <c r="X498" i="59" s="1"/>
  <c r="I491" i="59"/>
  <c r="L491" i="59" s="1"/>
  <c r="Q490" i="59"/>
  <c r="Q498" i="59"/>
  <c r="T498" i="59" s="1"/>
  <c r="I490" i="59"/>
  <c r="Q493" i="59"/>
  <c r="T493" i="59" s="1"/>
  <c r="U496" i="59"/>
  <c r="X496" i="59" s="1"/>
  <c r="E490" i="59"/>
  <c r="U490" i="59"/>
  <c r="X490" i="59" s="1"/>
  <c r="E491" i="59"/>
  <c r="H491" i="59" s="1"/>
  <c r="U493" i="59"/>
  <c r="X493" i="59" s="1"/>
  <c r="U421" i="59"/>
  <c r="X421" i="59" s="1"/>
  <c r="I413" i="59"/>
  <c r="L413" i="59" s="1"/>
  <c r="U416" i="59"/>
  <c r="X416" i="59" s="1"/>
  <c r="U419" i="59"/>
  <c r="X419" i="59" s="1"/>
  <c r="E413" i="59"/>
  <c r="I414" i="59"/>
  <c r="L414" i="59" s="1"/>
  <c r="E414" i="59"/>
  <c r="H414" i="59" s="1"/>
  <c r="U413" i="59"/>
  <c r="X413" i="59" s="1"/>
  <c r="W280" i="59"/>
  <c r="X280" i="59" s="1"/>
  <c r="W277" i="59"/>
  <c r="X277" i="59" s="1"/>
  <c r="W273" i="59"/>
  <c r="O271" i="59"/>
  <c r="P271" i="59" s="1"/>
  <c r="W279" i="59"/>
  <c r="X279" i="59" s="1"/>
  <c r="S280" i="59"/>
  <c r="T280" i="59" s="1"/>
  <c r="G271" i="59"/>
  <c r="O270" i="59"/>
  <c r="P270" i="59" s="1"/>
  <c r="C270" i="59"/>
  <c r="D270" i="59"/>
  <c r="S271" i="59"/>
  <c r="T271" i="59" s="1"/>
  <c r="S272" i="59"/>
  <c r="T272" i="59" s="1"/>
  <c r="K274" i="59"/>
  <c r="L274" i="59" s="1"/>
  <c r="W274" i="59"/>
  <c r="X274" i="59" s="1"/>
  <c r="W276" i="59"/>
  <c r="K270" i="59"/>
  <c r="W271" i="59"/>
  <c r="X271" i="59" s="1"/>
  <c r="S273" i="59"/>
  <c r="W275" i="59"/>
  <c r="X275" i="59" s="1"/>
  <c r="S275" i="59"/>
  <c r="T275" i="59" s="1"/>
  <c r="S278" i="59"/>
  <c r="K271" i="59"/>
  <c r="W272" i="59"/>
  <c r="X272" i="59" s="1"/>
  <c r="S274" i="59"/>
  <c r="T274" i="59" s="1"/>
  <c r="S276" i="59"/>
  <c r="S277" i="59"/>
  <c r="T277" i="59" s="1"/>
  <c r="S279" i="59"/>
  <c r="T279" i="59" s="1"/>
  <c r="W310" i="59"/>
  <c r="X310" i="59" s="1"/>
  <c r="G304" i="59"/>
  <c r="S313" i="59"/>
  <c r="T313" i="59" s="1"/>
  <c r="O303" i="59"/>
  <c r="P303" i="59" s="1"/>
  <c r="W311" i="59"/>
  <c r="W308" i="59"/>
  <c r="X308" i="59" s="1"/>
  <c r="S307" i="59"/>
  <c r="T307" i="59" s="1"/>
  <c r="S306" i="59"/>
  <c r="S305" i="59"/>
  <c r="T305" i="59" s="1"/>
  <c r="C303" i="59"/>
  <c r="W306" i="59"/>
  <c r="S309" i="59"/>
  <c r="S310" i="59"/>
  <c r="T310" i="59" s="1"/>
  <c r="S312" i="59"/>
  <c r="T312" i="59" s="1"/>
  <c r="W309" i="59"/>
  <c r="K307" i="59"/>
  <c r="L307" i="59" s="1"/>
  <c r="W304" i="59"/>
  <c r="X304" i="59" s="1"/>
  <c r="K303" i="59"/>
  <c r="W312" i="59"/>
  <c r="X312" i="59" s="1"/>
  <c r="S308" i="59"/>
  <c r="T308" i="59" s="1"/>
  <c r="S311" i="59"/>
  <c r="D303" i="59"/>
  <c r="W313" i="59"/>
  <c r="X313" i="59" s="1"/>
  <c r="W307" i="59"/>
  <c r="X307" i="59" s="1"/>
  <c r="W305" i="59"/>
  <c r="X305" i="59" s="1"/>
  <c r="K304" i="59"/>
  <c r="O304" i="59"/>
  <c r="P304" i="59" s="1"/>
  <c r="O325" i="59"/>
  <c r="P325" i="59" s="1"/>
  <c r="S335" i="59"/>
  <c r="T335" i="59" s="1"/>
  <c r="C325" i="59"/>
  <c r="G326" i="59"/>
  <c r="W328" i="59"/>
  <c r="W331" i="59"/>
  <c r="D325" i="59"/>
  <c r="W325" i="59"/>
  <c r="S326" i="59"/>
  <c r="T326" i="59" s="1"/>
  <c r="S327" i="59"/>
  <c r="T327" i="59" s="1"/>
  <c r="K329" i="59"/>
  <c r="L329" i="59" s="1"/>
  <c r="W329" i="59"/>
  <c r="X329" i="59" s="1"/>
  <c r="W333" i="59"/>
  <c r="W334" i="59"/>
  <c r="X334" i="59" s="1"/>
  <c r="S330" i="59"/>
  <c r="T330" i="59" s="1"/>
  <c r="S333" i="59"/>
  <c r="G325" i="59"/>
  <c r="K326" i="59"/>
  <c r="W327" i="59"/>
  <c r="X327" i="59" s="1"/>
  <c r="S329" i="59"/>
  <c r="T329" i="59" s="1"/>
  <c r="W332" i="59"/>
  <c r="X332" i="59" s="1"/>
  <c r="S331" i="59"/>
  <c r="S334" i="59"/>
  <c r="T334" i="59" s="1"/>
  <c r="O326" i="59"/>
  <c r="P326" i="59" s="1"/>
  <c r="W335" i="59"/>
  <c r="X335" i="59" s="1"/>
  <c r="K325" i="59"/>
  <c r="W326" i="59"/>
  <c r="X326" i="59" s="1"/>
  <c r="S328" i="59"/>
  <c r="W330" i="59"/>
  <c r="X330" i="59" s="1"/>
  <c r="S332" i="59"/>
  <c r="T332" i="59" s="1"/>
  <c r="W356" i="59"/>
  <c r="X356" i="59" s="1"/>
  <c r="D347" i="59"/>
  <c r="W347" i="59"/>
  <c r="K348" i="59"/>
  <c r="C347" i="59"/>
  <c r="O347" i="59"/>
  <c r="P347" i="59" s="1"/>
  <c r="G348" i="59"/>
  <c r="W350" i="59"/>
  <c r="W357" i="59"/>
  <c r="X357" i="59" s="1"/>
  <c r="W353" i="59"/>
  <c r="W351" i="59"/>
  <c r="X351" i="59" s="1"/>
  <c r="K351" i="59"/>
  <c r="L351" i="59" s="1"/>
  <c r="W349" i="59"/>
  <c r="X349" i="59" s="1"/>
  <c r="W348" i="59"/>
  <c r="X348" i="59" s="1"/>
  <c r="W354" i="59"/>
  <c r="X354" i="59" s="1"/>
  <c r="S352" i="59"/>
  <c r="T352" i="59" s="1"/>
  <c r="S355" i="59"/>
  <c r="S348" i="59"/>
  <c r="T348" i="59" s="1"/>
  <c r="S357" i="59"/>
  <c r="T357" i="59" s="1"/>
  <c r="W352" i="59"/>
  <c r="X352" i="59" s="1"/>
  <c r="S350" i="59"/>
  <c r="S353" i="59"/>
  <c r="S356" i="59"/>
  <c r="T356" i="59" s="1"/>
  <c r="O348" i="59"/>
  <c r="P348" i="59" s="1"/>
  <c r="W355" i="59"/>
  <c r="S351" i="59"/>
  <c r="T351" i="59" s="1"/>
  <c r="S349" i="59"/>
  <c r="T349" i="59" s="1"/>
  <c r="S354" i="59"/>
  <c r="T354" i="59" s="1"/>
  <c r="S379" i="59"/>
  <c r="T379" i="59" s="1"/>
  <c r="W372" i="59"/>
  <c r="O370" i="59"/>
  <c r="P370" i="59" s="1"/>
  <c r="G370" i="59"/>
  <c r="O369" i="59"/>
  <c r="P369" i="59" s="1"/>
  <c r="C369" i="59"/>
  <c r="W373" i="59"/>
  <c r="X373" i="59" s="1"/>
  <c r="S373" i="59"/>
  <c r="T373" i="59" s="1"/>
  <c r="K373" i="59"/>
  <c r="L373" i="59" s="1"/>
  <c r="W371" i="59"/>
  <c r="X371" i="59" s="1"/>
  <c r="S371" i="59"/>
  <c r="T371" i="59" s="1"/>
  <c r="W370" i="59"/>
  <c r="X370" i="59" s="1"/>
  <c r="K369" i="59"/>
  <c r="W374" i="59"/>
  <c r="X374" i="59" s="1"/>
  <c r="S372" i="59"/>
  <c r="K370" i="59"/>
  <c r="D369" i="59"/>
  <c r="W377" i="59"/>
  <c r="W379" i="59"/>
  <c r="X379" i="59" s="1"/>
  <c r="W376" i="59"/>
  <c r="X376" i="59" s="1"/>
  <c r="S375" i="59"/>
  <c r="S376" i="59"/>
  <c r="T376" i="59" s="1"/>
  <c r="S378" i="59"/>
  <c r="T378" i="59" s="1"/>
  <c r="W375" i="59"/>
  <c r="S374" i="59"/>
  <c r="T374" i="59" s="1"/>
  <c r="S377" i="59"/>
  <c r="W378" i="59"/>
  <c r="X378" i="59" s="1"/>
  <c r="U432" i="59"/>
  <c r="X432" i="59" s="1"/>
  <c r="I425" i="59"/>
  <c r="L425" i="59" s="1"/>
  <c r="E424" i="59"/>
  <c r="H424" i="59" s="1"/>
  <c r="U430" i="59"/>
  <c r="X430" i="59" s="1"/>
  <c r="E425" i="59"/>
  <c r="H425" i="59" s="1"/>
  <c r="U427" i="59"/>
  <c r="X427" i="59" s="1"/>
  <c r="U424" i="59"/>
  <c r="X424" i="59" s="1"/>
  <c r="I424" i="59"/>
  <c r="U405" i="59"/>
  <c r="X405" i="59" s="1"/>
  <c r="U402" i="59"/>
  <c r="X402" i="59" s="1"/>
  <c r="U410" i="59"/>
  <c r="U408" i="59"/>
  <c r="X408" i="59" s="1"/>
  <c r="I403" i="59"/>
  <c r="L403" i="59" s="1"/>
  <c r="I402" i="59"/>
  <c r="L402" i="59" s="1"/>
  <c r="E403" i="59"/>
  <c r="H403" i="59" s="1"/>
  <c r="E402" i="59"/>
  <c r="H402" i="59" s="1"/>
  <c r="I391" i="59"/>
  <c r="L391" i="59" s="1"/>
  <c r="U397" i="59"/>
  <c r="X397" i="59" s="1"/>
  <c r="E392" i="59"/>
  <c r="H392" i="59" s="1"/>
  <c r="E391" i="59"/>
  <c r="U394" i="59"/>
  <c r="X394" i="59" s="1"/>
  <c r="U399" i="59"/>
  <c r="X399" i="59" s="1"/>
  <c r="U391" i="59"/>
  <c r="X391" i="59" s="1"/>
  <c r="I392" i="59"/>
  <c r="L392" i="59" s="1"/>
  <c r="U388" i="57"/>
  <c r="X388" i="57" s="1"/>
  <c r="I380" i="57"/>
  <c r="L380" i="57" s="1"/>
  <c r="I381" i="57"/>
  <c r="L381" i="57" s="1"/>
  <c r="Q388" i="57"/>
  <c r="T388" i="57" s="1"/>
  <c r="Q380" i="57"/>
  <c r="U383" i="57"/>
  <c r="X383" i="57" s="1"/>
  <c r="U380" i="57"/>
  <c r="X380" i="57" s="1"/>
  <c r="Q383" i="57"/>
  <c r="T383" i="57" s="1"/>
  <c r="E380" i="57"/>
  <c r="E381" i="57"/>
  <c r="H381" i="57" s="1"/>
  <c r="U386" i="57"/>
  <c r="X386" i="57" s="1"/>
  <c r="U366" i="57"/>
  <c r="X366" i="57" s="1"/>
  <c r="I358" i="57"/>
  <c r="I359" i="57"/>
  <c r="L359" i="57" s="1"/>
  <c r="Q366" i="57"/>
  <c r="T366" i="57" s="1"/>
  <c r="Q358" i="57"/>
  <c r="U361" i="57"/>
  <c r="X361" i="57" s="1"/>
  <c r="U358" i="57"/>
  <c r="X358" i="57" s="1"/>
  <c r="Q361" i="57"/>
  <c r="T361" i="57" s="1"/>
  <c r="E358" i="57"/>
  <c r="E359" i="57"/>
  <c r="H359" i="57" s="1"/>
  <c r="U364" i="57"/>
  <c r="X364" i="57" s="1"/>
  <c r="U399" i="57"/>
  <c r="X399" i="57" s="1"/>
  <c r="I391" i="57"/>
  <c r="I392" i="57"/>
  <c r="L392" i="57" s="1"/>
  <c r="Q399" i="57"/>
  <c r="T399" i="57" s="1"/>
  <c r="Q391" i="57"/>
  <c r="U394" i="57"/>
  <c r="X394" i="57" s="1"/>
  <c r="U391" i="57"/>
  <c r="X391" i="57" s="1"/>
  <c r="Q394" i="57"/>
  <c r="T394" i="57" s="1"/>
  <c r="E391" i="57"/>
  <c r="H391" i="57" s="1"/>
  <c r="E392" i="57"/>
  <c r="H392" i="57" s="1"/>
  <c r="U397" i="57"/>
  <c r="X397" i="57" s="1"/>
  <c r="U421" i="57"/>
  <c r="X421" i="57" s="1"/>
  <c r="I413" i="57"/>
  <c r="L413" i="57" s="1"/>
  <c r="U413" i="57"/>
  <c r="X413" i="57" s="1"/>
  <c r="Q421" i="57"/>
  <c r="T421" i="57" s="1"/>
  <c r="Q413" i="57"/>
  <c r="U416" i="57"/>
  <c r="X416" i="57" s="1"/>
  <c r="I414" i="57"/>
  <c r="L414" i="57" s="1"/>
  <c r="Q416" i="57"/>
  <c r="T416" i="57" s="1"/>
  <c r="E413" i="57"/>
  <c r="E414" i="57"/>
  <c r="H414" i="57" s="1"/>
  <c r="U419" i="57"/>
  <c r="X419" i="57" s="1"/>
  <c r="U355" i="57"/>
  <c r="X355" i="57" s="1"/>
  <c r="I347" i="57"/>
  <c r="I348" i="57"/>
  <c r="L348" i="57" s="1"/>
  <c r="Q355" i="57"/>
  <c r="T355" i="57" s="1"/>
  <c r="Q347" i="57"/>
  <c r="U350" i="57"/>
  <c r="X350" i="57" s="1"/>
  <c r="U347" i="57"/>
  <c r="X347" i="57" s="1"/>
  <c r="Q350" i="57"/>
  <c r="T350" i="57" s="1"/>
  <c r="E347" i="57"/>
  <c r="E348" i="57"/>
  <c r="H348" i="57" s="1"/>
  <c r="U353" i="57"/>
  <c r="X353" i="57" s="1"/>
  <c r="U377" i="57"/>
  <c r="I369" i="57"/>
  <c r="L369" i="57" s="1"/>
  <c r="I370" i="57"/>
  <c r="L370" i="57" s="1"/>
  <c r="Q377" i="57"/>
  <c r="T377" i="57" s="1"/>
  <c r="Q369" i="57"/>
  <c r="U372" i="57"/>
  <c r="X372" i="57" s="1"/>
  <c r="U369" i="57"/>
  <c r="X369" i="57" s="1"/>
  <c r="Q372" i="57"/>
  <c r="T372" i="57" s="1"/>
  <c r="E369" i="57"/>
  <c r="H369" i="57" s="1"/>
  <c r="E370" i="57"/>
  <c r="H370" i="57" s="1"/>
  <c r="U375" i="57"/>
  <c r="X375" i="57" s="1"/>
  <c r="U410" i="57"/>
  <c r="I402" i="57"/>
  <c r="I403" i="57"/>
  <c r="L403" i="57" s="1"/>
  <c r="Q410" i="57"/>
  <c r="T410" i="57" s="1"/>
  <c r="Q402" i="57"/>
  <c r="U405" i="57"/>
  <c r="X405" i="57" s="1"/>
  <c r="U402" i="57"/>
  <c r="Q405" i="57"/>
  <c r="T405" i="57" s="1"/>
  <c r="E402" i="57"/>
  <c r="E403" i="57"/>
  <c r="H403" i="57" s="1"/>
  <c r="U408" i="57"/>
  <c r="X408" i="57" s="1"/>
  <c r="X440" i="60"/>
  <c r="L438" i="60"/>
  <c r="G435" i="60"/>
  <c r="K439" i="60"/>
  <c r="S439" i="60"/>
  <c r="W439" i="60"/>
  <c r="S444" i="60"/>
  <c r="O436" i="60"/>
  <c r="P436" i="60" s="1"/>
  <c r="X439" i="60"/>
  <c r="K436" i="60"/>
  <c r="T438" i="60"/>
  <c r="W441" i="60"/>
  <c r="T440" i="60"/>
  <c r="W438" i="60"/>
  <c r="X444" i="60"/>
  <c r="X442" i="60"/>
  <c r="X445" i="60"/>
  <c r="T437" i="60"/>
  <c r="S445" i="60"/>
  <c r="T442" i="60"/>
  <c r="L435" i="60"/>
  <c r="C435" i="60"/>
  <c r="W444" i="60"/>
  <c r="X435" i="60"/>
  <c r="T441" i="60"/>
  <c r="S436" i="60"/>
  <c r="S443" i="60"/>
  <c r="W437" i="60"/>
  <c r="L439" i="60"/>
  <c r="D435" i="60"/>
  <c r="I436" i="60" s="1"/>
  <c r="O435" i="60"/>
  <c r="P435" i="60" s="1"/>
  <c r="W435" i="60"/>
  <c r="X441" i="60"/>
  <c r="X436" i="60"/>
  <c r="W443" i="60"/>
  <c r="G436" i="60"/>
  <c r="X438" i="60"/>
  <c r="S442" i="60"/>
  <c r="K435" i="60"/>
  <c r="S437" i="60"/>
  <c r="S440" i="60"/>
  <c r="T444" i="60"/>
  <c r="W440" i="60"/>
  <c r="W442" i="60"/>
  <c r="L436" i="60"/>
  <c r="X437" i="60"/>
  <c r="W436" i="60"/>
  <c r="X443" i="60"/>
  <c r="S438" i="60"/>
  <c r="W445" i="60"/>
  <c r="T436" i="60"/>
  <c r="T439" i="60"/>
  <c r="T443" i="60"/>
  <c r="K438" i="60"/>
  <c r="S441" i="60"/>
  <c r="A48" i="26"/>
  <c r="O248" i="57"/>
  <c r="P248" i="57" s="1"/>
  <c r="W258" i="57"/>
  <c r="X258" i="57" s="1"/>
  <c r="S256" i="57"/>
  <c r="W251" i="57"/>
  <c r="O249" i="57"/>
  <c r="P249" i="57" s="1"/>
  <c r="W252" i="57"/>
  <c r="X252" i="57" s="1"/>
  <c r="S250" i="57"/>
  <c r="S251" i="57"/>
  <c r="S258" i="57"/>
  <c r="W253" i="57"/>
  <c r="X253" i="57" s="1"/>
  <c r="W250" i="57"/>
  <c r="X250" i="57" s="1"/>
  <c r="K249" i="57"/>
  <c r="S253" i="57"/>
  <c r="S252" i="57"/>
  <c r="T252" i="57" s="1"/>
  <c r="C248" i="57"/>
  <c r="AD253" i="57" s="1"/>
  <c r="D248" i="57"/>
  <c r="W255" i="57"/>
  <c r="X255" i="57" s="1"/>
  <c r="K252" i="57"/>
  <c r="W249" i="57"/>
  <c r="X249" i="57" s="1"/>
  <c r="S255" i="57"/>
  <c r="W254" i="57"/>
  <c r="S254" i="57"/>
  <c r="W257" i="57"/>
  <c r="X257" i="57" s="1"/>
  <c r="S257" i="57"/>
  <c r="S15" i="60"/>
  <c r="T15" i="60" s="1"/>
  <c r="W15" i="60"/>
  <c r="X15" i="60" s="1"/>
  <c r="W6" i="60"/>
  <c r="W13" i="60"/>
  <c r="X13" i="60" s="1"/>
  <c r="C6" i="60"/>
  <c r="K10" i="60"/>
  <c r="L10" i="60" s="1"/>
  <c r="S8" i="60"/>
  <c r="T8" i="60" s="1"/>
  <c r="W8" i="60"/>
  <c r="X8" i="60" s="1"/>
  <c r="W7" i="60"/>
  <c r="X7" i="60" s="1"/>
  <c r="D6" i="60"/>
  <c r="W9" i="60"/>
  <c r="G7" i="60"/>
  <c r="S11" i="60"/>
  <c r="T11" i="60" s="1"/>
  <c r="S13" i="60"/>
  <c r="T13" i="60" s="1"/>
  <c r="O7" i="60"/>
  <c r="P7" i="60" s="1"/>
  <c r="S10" i="60"/>
  <c r="T10" i="60" s="1"/>
  <c r="W11" i="60"/>
  <c r="X11" i="60" s="1"/>
  <c r="S16" i="60"/>
  <c r="T16" i="60" s="1"/>
  <c r="W12" i="60"/>
  <c r="G6" i="60"/>
  <c r="W14" i="60"/>
  <c r="S9" i="60"/>
  <c r="O6" i="60"/>
  <c r="P6" i="60" s="1"/>
  <c r="S14" i="60"/>
  <c r="S12" i="60"/>
  <c r="K7" i="60"/>
  <c r="S7" i="60"/>
  <c r="T7" i="60" s="1"/>
  <c r="K6" i="60"/>
  <c r="W16" i="60"/>
  <c r="X16" i="60" s="1"/>
  <c r="W10" i="60"/>
  <c r="X10" i="60" s="1"/>
  <c r="W264" i="57"/>
  <c r="X264" i="57" s="1"/>
  <c r="S124" i="57"/>
  <c r="S224" i="57"/>
  <c r="S172" i="57"/>
  <c r="T172" i="57" s="1"/>
  <c r="W73" i="57"/>
  <c r="X73" i="57" s="1"/>
  <c r="S928" i="57"/>
  <c r="W32" i="57"/>
  <c r="X32" i="57" s="1"/>
  <c r="W120" i="57"/>
  <c r="X120" i="57" s="1"/>
  <c r="S929" i="57"/>
  <c r="W188" i="57"/>
  <c r="W77" i="57"/>
  <c r="X77" i="57" s="1"/>
  <c r="C171" i="57"/>
  <c r="AD176" i="57" s="1"/>
  <c r="C5" i="68"/>
  <c r="G73" i="57"/>
  <c r="K117" i="57"/>
  <c r="W176" i="57"/>
  <c r="X176" i="57" s="1"/>
  <c r="S218" i="57"/>
  <c r="W64" i="57"/>
  <c r="S31" i="57"/>
  <c r="W75" i="57"/>
  <c r="S120" i="57"/>
  <c r="T120" i="57" s="1"/>
  <c r="W225" i="57"/>
  <c r="X225" i="57" s="1"/>
  <c r="O920" i="57"/>
  <c r="P920" i="57" s="1"/>
  <c r="S32" i="57"/>
  <c r="W33" i="57"/>
  <c r="X33" i="57" s="1"/>
  <c r="W30" i="57"/>
  <c r="X30" i="57" s="1"/>
  <c r="O28" i="57"/>
  <c r="P28" i="57" s="1"/>
  <c r="W82" i="57"/>
  <c r="X82" i="57" s="1"/>
  <c r="S76" i="57"/>
  <c r="T76" i="57" s="1"/>
  <c r="S73" i="57"/>
  <c r="T73" i="57" s="1"/>
  <c r="W117" i="57"/>
  <c r="X117" i="57" s="1"/>
  <c r="K116" i="57"/>
  <c r="D116" i="57"/>
  <c r="Q124" i="57" s="1"/>
  <c r="S178" i="57"/>
  <c r="K172" i="57"/>
  <c r="K175" i="57"/>
  <c r="W221" i="57"/>
  <c r="S927" i="57"/>
  <c r="S923" i="57"/>
  <c r="T923" i="57" s="1"/>
  <c r="G920" i="57"/>
  <c r="S106" i="57"/>
  <c r="T106" i="57" s="1"/>
  <c r="S158" i="57"/>
  <c r="G84" i="57"/>
  <c r="S233" i="57"/>
  <c r="W42" i="57"/>
  <c r="G50" i="57"/>
  <c r="S238" i="57"/>
  <c r="T238" i="57" s="1"/>
  <c r="W37" i="57"/>
  <c r="X37" i="57" s="1"/>
  <c r="W35" i="57"/>
  <c r="X35" i="57" s="1"/>
  <c r="W34" i="57"/>
  <c r="K28" i="57"/>
  <c r="W31" i="57"/>
  <c r="K73" i="57"/>
  <c r="W81" i="57"/>
  <c r="X81" i="57" s="1"/>
  <c r="W79" i="57"/>
  <c r="X79" i="57" s="1"/>
  <c r="W76" i="57"/>
  <c r="X76" i="57" s="1"/>
  <c r="O73" i="57"/>
  <c r="P73" i="57" s="1"/>
  <c r="S75" i="57"/>
  <c r="O72" i="57"/>
  <c r="P72" i="57" s="1"/>
  <c r="S126" i="57"/>
  <c r="W125" i="57"/>
  <c r="X125" i="57" s="1"/>
  <c r="W126" i="57"/>
  <c r="X126" i="57" s="1"/>
  <c r="S118" i="57"/>
  <c r="K120" i="57"/>
  <c r="O116" i="57"/>
  <c r="P116" i="57" s="1"/>
  <c r="W172" i="57"/>
  <c r="X172" i="57" s="1"/>
  <c r="S173" i="57"/>
  <c r="W177" i="57"/>
  <c r="O171" i="57"/>
  <c r="P171" i="57" s="1"/>
  <c r="O172" i="57"/>
  <c r="P172" i="57" s="1"/>
  <c r="S222" i="57"/>
  <c r="S221" i="57"/>
  <c r="S219" i="57"/>
  <c r="T219" i="57" s="1"/>
  <c r="K219" i="57"/>
  <c r="O215" i="57"/>
  <c r="P215" i="57" s="1"/>
  <c r="S220" i="57"/>
  <c r="C215" i="57"/>
  <c r="AD220" i="57" s="1"/>
  <c r="S926" i="57"/>
  <c r="W928" i="57"/>
  <c r="X928" i="57" s="1"/>
  <c r="W926" i="57"/>
  <c r="X926" i="57" s="1"/>
  <c r="S924" i="57"/>
  <c r="W925" i="57"/>
  <c r="W922" i="57"/>
  <c r="S920" i="57"/>
  <c r="T920" i="57" s="1"/>
  <c r="S90" i="57"/>
  <c r="S187" i="57"/>
  <c r="W230" i="57"/>
  <c r="X230" i="57" s="1"/>
  <c r="S112" i="57"/>
  <c r="D204" i="57"/>
  <c r="E204" i="57" s="1"/>
  <c r="K138" i="57"/>
  <c r="W161" i="57"/>
  <c r="X161" i="57" s="1"/>
  <c r="W97" i="57"/>
  <c r="S20" i="57"/>
  <c r="W93" i="57"/>
  <c r="X93" i="57" s="1"/>
  <c r="K87" i="57"/>
  <c r="S188" i="57"/>
  <c r="G183" i="57"/>
  <c r="K230" i="57"/>
  <c r="K109" i="57"/>
  <c r="S111" i="57"/>
  <c r="K205" i="57"/>
  <c r="S139" i="57"/>
  <c r="T139" i="57" s="1"/>
  <c r="O62" i="57"/>
  <c r="P62" i="57" s="1"/>
  <c r="S57" i="57"/>
  <c r="S96" i="57"/>
  <c r="S154" i="57"/>
  <c r="S241" i="57"/>
  <c r="T241" i="57" s="1"/>
  <c r="S24" i="57"/>
  <c r="S262" i="57"/>
  <c r="W88" i="57"/>
  <c r="X88" i="57" s="1"/>
  <c r="W87" i="57"/>
  <c r="X87" i="57" s="1"/>
  <c r="S85" i="57"/>
  <c r="S92" i="57"/>
  <c r="W186" i="57"/>
  <c r="X186" i="57" s="1"/>
  <c r="S189" i="57"/>
  <c r="S231" i="57"/>
  <c r="S227" i="57"/>
  <c r="T227" i="57" s="1"/>
  <c r="O227" i="57"/>
  <c r="P227" i="57" s="1"/>
  <c r="W232" i="57"/>
  <c r="W112" i="57"/>
  <c r="X112" i="57" s="1"/>
  <c r="W114" i="57"/>
  <c r="X114" i="57" s="1"/>
  <c r="G106" i="57"/>
  <c r="S109" i="57"/>
  <c r="T109" i="57" s="1"/>
  <c r="S208" i="57"/>
  <c r="T208" i="57" s="1"/>
  <c r="S42" i="57"/>
  <c r="W142" i="57"/>
  <c r="X142" i="57" s="1"/>
  <c r="S70" i="57"/>
  <c r="C160" i="57"/>
  <c r="AD165" i="57" s="1"/>
  <c r="W59" i="57"/>
  <c r="X59" i="57" s="1"/>
  <c r="S100" i="57"/>
  <c r="S155" i="57"/>
  <c r="S199" i="57"/>
  <c r="K21" i="57"/>
  <c r="W269" i="57"/>
  <c r="X269" i="57" s="1"/>
  <c r="C4" i="68"/>
  <c r="W20" i="57"/>
  <c r="W26" i="57"/>
  <c r="X26" i="57" s="1"/>
  <c r="S22" i="57"/>
  <c r="W22" i="57"/>
  <c r="X22" i="57" s="1"/>
  <c r="W19" i="57"/>
  <c r="X19" i="57" s="1"/>
  <c r="W49" i="57"/>
  <c r="X49" i="57" s="1"/>
  <c r="G40" i="57"/>
  <c r="S43" i="57"/>
  <c r="T43" i="57" s="1"/>
  <c r="W44" i="57"/>
  <c r="X44" i="57" s="1"/>
  <c r="W48" i="57"/>
  <c r="X48" i="57" s="1"/>
  <c r="S44" i="57"/>
  <c r="S46" i="57"/>
  <c r="W40" i="57"/>
  <c r="X40" i="57" s="1"/>
  <c r="W68" i="57"/>
  <c r="X68" i="57" s="1"/>
  <c r="W63" i="57"/>
  <c r="X63" i="57" s="1"/>
  <c r="W66" i="57"/>
  <c r="X66" i="57" s="1"/>
  <c r="W67" i="57"/>
  <c r="W61" i="57"/>
  <c r="S66" i="57"/>
  <c r="W69" i="57"/>
  <c r="W146" i="57"/>
  <c r="W144" i="57"/>
  <c r="S146" i="57"/>
  <c r="W147" i="57"/>
  <c r="X147" i="57" s="1"/>
  <c r="K142" i="57"/>
  <c r="S147" i="57"/>
  <c r="W143" i="57"/>
  <c r="X143" i="57" s="1"/>
  <c r="S142" i="57"/>
  <c r="T142" i="57" s="1"/>
  <c r="O160" i="57"/>
  <c r="P160" i="57" s="1"/>
  <c r="W168" i="57"/>
  <c r="S168" i="57"/>
  <c r="S162" i="57"/>
  <c r="S164" i="57"/>
  <c r="T164" i="57" s="1"/>
  <c r="S163" i="57"/>
  <c r="D160" i="57"/>
  <c r="U166" i="57" s="1"/>
  <c r="S166" i="57"/>
  <c r="W214" i="57"/>
  <c r="X214" i="57" s="1"/>
  <c r="W206" i="57"/>
  <c r="X206" i="57" s="1"/>
  <c r="S206" i="57"/>
  <c r="W262" i="57"/>
  <c r="S264" i="57"/>
  <c r="W266" i="57"/>
  <c r="X266" i="57" s="1"/>
  <c r="S267" i="57"/>
  <c r="D259" i="57"/>
  <c r="I259" i="57" s="1"/>
  <c r="W267" i="57"/>
  <c r="S269" i="57"/>
  <c r="W52" i="57"/>
  <c r="X52" i="57" s="1"/>
  <c r="W58" i="57"/>
  <c r="Q50" i="57"/>
  <c r="S56" i="57"/>
  <c r="S58" i="57"/>
  <c r="O50" i="57"/>
  <c r="P50" i="57" s="1"/>
  <c r="S59" i="57"/>
  <c r="W56" i="57"/>
  <c r="S98" i="57"/>
  <c r="T98" i="57" s="1"/>
  <c r="C94" i="57"/>
  <c r="AD99" i="57" s="1"/>
  <c r="W98" i="57"/>
  <c r="X98" i="57" s="1"/>
  <c r="S101" i="57"/>
  <c r="W95" i="57"/>
  <c r="X95" i="57" s="1"/>
  <c r="O95" i="57"/>
  <c r="P95" i="57" s="1"/>
  <c r="S97" i="57"/>
  <c r="W159" i="57"/>
  <c r="X159" i="57" s="1"/>
  <c r="W151" i="57"/>
  <c r="X151" i="57" s="1"/>
  <c r="S159" i="57"/>
  <c r="G150" i="57"/>
  <c r="K150" i="57"/>
  <c r="O150" i="57"/>
  <c r="P150" i="57" s="1"/>
  <c r="O194" i="57"/>
  <c r="P194" i="57" s="1"/>
  <c r="G194" i="57"/>
  <c r="K194" i="57"/>
  <c r="O193" i="57"/>
  <c r="P193" i="57" s="1"/>
  <c r="C193" i="57"/>
  <c r="AD198" i="57" s="1"/>
  <c r="S197" i="57"/>
  <c r="T197" i="57" s="1"/>
  <c r="K197" i="57"/>
  <c r="W194" i="57"/>
  <c r="X194" i="57" s="1"/>
  <c r="D237" i="57"/>
  <c r="Q245" i="57" s="1"/>
  <c r="W244" i="57"/>
  <c r="X244" i="57" s="1"/>
  <c r="S240" i="57"/>
  <c r="S245" i="57"/>
  <c r="S242" i="57"/>
  <c r="W246" i="57"/>
  <c r="X246" i="57" s="1"/>
  <c r="O237" i="57"/>
  <c r="P237" i="57" s="1"/>
  <c r="W238" i="57"/>
  <c r="X238" i="57" s="1"/>
  <c r="W84" i="57"/>
  <c r="X84" i="57" s="1"/>
  <c r="S93" i="57"/>
  <c r="W86" i="57"/>
  <c r="S86" i="57"/>
  <c r="C83" i="57"/>
  <c r="AD88" i="57" s="1"/>
  <c r="W85" i="57"/>
  <c r="X85" i="57" s="1"/>
  <c r="D182" i="57"/>
  <c r="U185" i="57" s="1"/>
  <c r="W191" i="57"/>
  <c r="X191" i="57" s="1"/>
  <c r="O182" i="57"/>
  <c r="P182" i="57" s="1"/>
  <c r="W185" i="57"/>
  <c r="K183" i="57"/>
  <c r="K186" i="57"/>
  <c r="W187" i="57"/>
  <c r="X187" i="57" s="1"/>
  <c r="W190" i="57"/>
  <c r="W231" i="57"/>
  <c r="X231" i="57" s="1"/>
  <c r="W229" i="57"/>
  <c r="W227" i="57"/>
  <c r="X227" i="57" s="1"/>
  <c r="K227" i="57"/>
  <c r="D226" i="57"/>
  <c r="U226" i="57" s="1"/>
  <c r="W233" i="57"/>
  <c r="X233" i="57" s="1"/>
  <c r="W236" i="57"/>
  <c r="X236" i="57" s="1"/>
  <c r="C105" i="57"/>
  <c r="AD110" i="57" s="1"/>
  <c r="W110" i="57"/>
  <c r="X110" i="57" s="1"/>
  <c r="S107" i="57"/>
  <c r="O106" i="57"/>
  <c r="P106" i="57" s="1"/>
  <c r="O105" i="57"/>
  <c r="P105" i="57" s="1"/>
  <c r="W210" i="57"/>
  <c r="K204" i="57"/>
  <c r="S207" i="57"/>
  <c r="G205" i="57"/>
  <c r="W211" i="57"/>
  <c r="X211" i="57" s="1"/>
  <c r="O205" i="57"/>
  <c r="P205" i="57" s="1"/>
  <c r="S45" i="57"/>
  <c r="S41" i="57"/>
  <c r="K43" i="57"/>
  <c r="S148" i="57"/>
  <c r="S145" i="57"/>
  <c r="K139" i="57"/>
  <c r="W71" i="57"/>
  <c r="X71" i="57" s="1"/>
  <c r="S68" i="57"/>
  <c r="S62" i="57"/>
  <c r="T62" i="57" s="1"/>
  <c r="C8" i="68"/>
  <c r="W166" i="57"/>
  <c r="W163" i="57"/>
  <c r="W162" i="57"/>
  <c r="X162" i="57" s="1"/>
  <c r="S161" i="57"/>
  <c r="T161" i="57" s="1"/>
  <c r="K50" i="57"/>
  <c r="W51" i="57"/>
  <c r="X51" i="57" s="1"/>
  <c r="K51" i="57"/>
  <c r="K54" i="57"/>
  <c r="W96" i="57"/>
  <c r="X96" i="57" s="1"/>
  <c r="S95" i="57"/>
  <c r="T95" i="57" s="1"/>
  <c r="W99" i="57"/>
  <c r="X99" i="57" s="1"/>
  <c r="W152" i="57"/>
  <c r="O149" i="57"/>
  <c r="P149" i="57" s="1"/>
  <c r="C149" i="57"/>
  <c r="AD154" i="57" s="1"/>
  <c r="W200" i="57"/>
  <c r="X200" i="57" s="1"/>
  <c r="S203" i="57"/>
  <c r="W199" i="57"/>
  <c r="S195" i="57"/>
  <c r="W243" i="57"/>
  <c r="S243" i="57"/>
  <c r="S239" i="57"/>
  <c r="C237" i="57"/>
  <c r="AD242" i="57" s="1"/>
  <c r="W24" i="57"/>
  <c r="X24" i="57" s="1"/>
  <c r="O18" i="57"/>
  <c r="P18" i="57" s="1"/>
  <c r="S23" i="57"/>
  <c r="S27" i="57"/>
  <c r="S261" i="57"/>
  <c r="O260" i="57"/>
  <c r="P260" i="57" s="1"/>
  <c r="O259" i="57"/>
  <c r="P259" i="57" s="1"/>
  <c r="O29" i="57"/>
  <c r="P29" i="57" s="1"/>
  <c r="W29" i="57"/>
  <c r="X29" i="57" s="1"/>
  <c r="S38" i="57"/>
  <c r="S29" i="57"/>
  <c r="T29" i="57" s="1"/>
  <c r="K29" i="57"/>
  <c r="K32" i="57"/>
  <c r="S33" i="57"/>
  <c r="S30" i="57"/>
  <c r="S37" i="57"/>
  <c r="I28" i="57"/>
  <c r="S34" i="57"/>
  <c r="G29" i="57"/>
  <c r="S74" i="57"/>
  <c r="Q80" i="57"/>
  <c r="S79" i="57"/>
  <c r="K76" i="57"/>
  <c r="S77" i="57"/>
  <c r="W74" i="57"/>
  <c r="X74" i="57" s="1"/>
  <c r="S80" i="57"/>
  <c r="W78" i="57"/>
  <c r="S81" i="57"/>
  <c r="K72" i="57"/>
  <c r="S78" i="57"/>
  <c r="S82" i="57"/>
  <c r="S122" i="57"/>
  <c r="S119" i="57"/>
  <c r="C116" i="57"/>
  <c r="AD121" i="57" s="1"/>
  <c r="W121" i="57"/>
  <c r="X121" i="57" s="1"/>
  <c r="S123" i="57"/>
  <c r="W118" i="57"/>
  <c r="X118" i="57" s="1"/>
  <c r="S121" i="57"/>
  <c r="O117" i="57"/>
  <c r="P117" i="57" s="1"/>
  <c r="W122" i="57"/>
  <c r="W123" i="57"/>
  <c r="X123" i="57" s="1"/>
  <c r="S125" i="57"/>
  <c r="G117" i="57"/>
  <c r="S117" i="57"/>
  <c r="T117" i="57" s="1"/>
  <c r="W180" i="57"/>
  <c r="X180" i="57" s="1"/>
  <c r="W181" i="57"/>
  <c r="X181" i="57" s="1"/>
  <c r="S176" i="57"/>
  <c r="W178" i="57"/>
  <c r="X178" i="57" s="1"/>
  <c r="D171" i="57"/>
  <c r="E171" i="57" s="1"/>
  <c r="W175" i="57"/>
  <c r="X175" i="57" s="1"/>
  <c r="S181" i="57"/>
  <c r="S180" i="57"/>
  <c r="W173" i="57"/>
  <c r="X173" i="57" s="1"/>
  <c r="S175" i="57"/>
  <c r="T175" i="57" s="1"/>
  <c r="W218" i="57"/>
  <c r="D215" i="57"/>
  <c r="I215" i="57" s="1"/>
  <c r="W217" i="57"/>
  <c r="X217" i="57" s="1"/>
  <c r="W219" i="57"/>
  <c r="X219" i="57" s="1"/>
  <c r="O216" i="57"/>
  <c r="P216" i="57" s="1"/>
  <c r="W224" i="57"/>
  <c r="X224" i="57" s="1"/>
  <c r="W222" i="57"/>
  <c r="X222" i="57" s="1"/>
  <c r="K216" i="57"/>
  <c r="S217" i="57"/>
  <c r="W220" i="57"/>
  <c r="X220" i="57" s="1"/>
  <c r="W216" i="57"/>
  <c r="X216" i="57" s="1"/>
  <c r="G216" i="57"/>
  <c r="S922" i="57"/>
  <c r="W920" i="57"/>
  <c r="X920" i="57" s="1"/>
  <c r="S921" i="57"/>
  <c r="S925" i="57"/>
  <c r="W924" i="57"/>
  <c r="X924" i="57" s="1"/>
  <c r="W923" i="57"/>
  <c r="X923" i="57" s="1"/>
  <c r="W929" i="57"/>
  <c r="X929" i="57" s="1"/>
  <c r="W921" i="57"/>
  <c r="X921" i="57" s="1"/>
  <c r="K923" i="57"/>
  <c r="W90" i="57"/>
  <c r="X90" i="57" s="1"/>
  <c r="S88" i="57"/>
  <c r="O83" i="57"/>
  <c r="P83" i="57" s="1"/>
  <c r="D83" i="57"/>
  <c r="I83" i="57" s="1"/>
  <c r="K84" i="57"/>
  <c r="S87" i="57"/>
  <c r="T87" i="57" s="1"/>
  <c r="K83" i="57"/>
  <c r="S91" i="57"/>
  <c r="W92" i="57"/>
  <c r="X92" i="57" s="1"/>
  <c r="S89" i="57"/>
  <c r="O84" i="57"/>
  <c r="P84" i="57" s="1"/>
  <c r="W89" i="57"/>
  <c r="S84" i="57"/>
  <c r="T84" i="57" s="1"/>
  <c r="S192" i="57"/>
  <c r="S190" i="57"/>
  <c r="W189" i="57"/>
  <c r="X189" i="57" s="1"/>
  <c r="O183" i="57"/>
  <c r="P183" i="57" s="1"/>
  <c r="S185" i="57"/>
  <c r="C182" i="57"/>
  <c r="AD187" i="57" s="1"/>
  <c r="S191" i="57"/>
  <c r="S184" i="57"/>
  <c r="W192" i="57"/>
  <c r="X192" i="57" s="1"/>
  <c r="W184" i="57"/>
  <c r="X184" i="57" s="1"/>
  <c r="W183" i="57"/>
  <c r="X183" i="57" s="1"/>
  <c r="S186" i="57"/>
  <c r="T186" i="57" s="1"/>
  <c r="S234" i="57"/>
  <c r="W228" i="57"/>
  <c r="X228" i="57" s="1"/>
  <c r="S232" i="57"/>
  <c r="S236" i="57"/>
  <c r="S235" i="57"/>
  <c r="C226" i="57"/>
  <c r="AD231" i="57" s="1"/>
  <c r="W235" i="57"/>
  <c r="X235" i="57" s="1"/>
  <c r="S230" i="57"/>
  <c r="T230" i="57" s="1"/>
  <c r="S229" i="57"/>
  <c r="S228" i="57"/>
  <c r="S108" i="57"/>
  <c r="W106" i="57"/>
  <c r="X106" i="57" s="1"/>
  <c r="S113" i="57"/>
  <c r="S114" i="57"/>
  <c r="W111" i="57"/>
  <c r="K106" i="57"/>
  <c r="S110" i="57"/>
  <c r="D105" i="57"/>
  <c r="Q105" i="57" s="1"/>
  <c r="S115" i="57"/>
  <c r="W109" i="57"/>
  <c r="X109" i="57" s="1"/>
  <c r="W108" i="57"/>
  <c r="W107" i="57"/>
  <c r="X107" i="57" s="1"/>
  <c r="W113" i="57"/>
  <c r="W115" i="57"/>
  <c r="X115" i="57" s="1"/>
  <c r="W209" i="57"/>
  <c r="X209" i="57" s="1"/>
  <c r="S211" i="57"/>
  <c r="W208" i="57"/>
  <c r="X208" i="57" s="1"/>
  <c r="W207" i="57"/>
  <c r="S210" i="57"/>
  <c r="K208" i="57"/>
  <c r="O204" i="57"/>
  <c r="P204" i="57" s="1"/>
  <c r="S205" i="57"/>
  <c r="T205" i="57" s="1"/>
  <c r="W205" i="57"/>
  <c r="X205" i="57" s="1"/>
  <c r="S209" i="57"/>
  <c r="W213" i="57"/>
  <c r="X213" i="57" s="1"/>
  <c r="S214" i="57"/>
  <c r="C204" i="57"/>
  <c r="AD209" i="57" s="1"/>
  <c r="E39" i="57"/>
  <c r="W46" i="57"/>
  <c r="X46" i="57" s="1"/>
  <c r="S48" i="57"/>
  <c r="K40" i="57"/>
  <c r="W41" i="57"/>
  <c r="X41" i="57" s="1"/>
  <c r="K39" i="57"/>
  <c r="S40" i="57"/>
  <c r="T40" i="57" s="1"/>
  <c r="W45" i="57"/>
  <c r="S49" i="57"/>
  <c r="W47" i="57"/>
  <c r="C6" i="68"/>
  <c r="O40" i="57"/>
  <c r="P40" i="57" s="1"/>
  <c r="O39" i="57"/>
  <c r="P39" i="57" s="1"/>
  <c r="C138" i="57"/>
  <c r="AD143" i="57" s="1"/>
  <c r="S144" i="57"/>
  <c r="O139" i="57"/>
  <c r="P139" i="57" s="1"/>
  <c r="S141" i="57"/>
  <c r="W141" i="57"/>
  <c r="O138" i="57"/>
  <c r="P138" i="57" s="1"/>
  <c r="W139" i="57"/>
  <c r="X139" i="57" s="1"/>
  <c r="S140" i="57"/>
  <c r="W140" i="57"/>
  <c r="X140" i="57" s="1"/>
  <c r="S143" i="57"/>
  <c r="W145" i="57"/>
  <c r="X145" i="57" s="1"/>
  <c r="D138" i="57"/>
  <c r="Q138" i="57" s="1"/>
  <c r="W148" i="57"/>
  <c r="X148" i="57" s="1"/>
  <c r="K61" i="57"/>
  <c r="W65" i="57"/>
  <c r="X65" i="57" s="1"/>
  <c r="K62" i="57"/>
  <c r="S69" i="57"/>
  <c r="S64" i="57"/>
  <c r="D61" i="57"/>
  <c r="U61" i="57" s="1"/>
  <c r="S67" i="57"/>
  <c r="W62" i="57"/>
  <c r="X62" i="57" s="1"/>
  <c r="O61" i="57"/>
  <c r="P61" i="57" s="1"/>
  <c r="K65" i="57"/>
  <c r="W70" i="57"/>
  <c r="X70" i="57" s="1"/>
  <c r="S63" i="57"/>
  <c r="S65" i="57"/>
  <c r="T65" i="57" s="1"/>
  <c r="W165" i="57"/>
  <c r="X165" i="57" s="1"/>
  <c r="W164" i="57"/>
  <c r="X164" i="57" s="1"/>
  <c r="S169" i="57"/>
  <c r="S170" i="57"/>
  <c r="S167" i="57"/>
  <c r="W169" i="57"/>
  <c r="X169" i="57" s="1"/>
  <c r="K164" i="57"/>
  <c r="W170" i="57"/>
  <c r="X170" i="57" s="1"/>
  <c r="S165" i="57"/>
  <c r="W167" i="57"/>
  <c r="X167" i="57" s="1"/>
  <c r="G161" i="57"/>
  <c r="O161" i="57"/>
  <c r="P161" i="57" s="1"/>
  <c r="W53" i="57"/>
  <c r="W54" i="57"/>
  <c r="X54" i="57" s="1"/>
  <c r="S52" i="57"/>
  <c r="S53" i="57"/>
  <c r="S60" i="57"/>
  <c r="O51" i="57"/>
  <c r="P51" i="57" s="1"/>
  <c r="W55" i="57"/>
  <c r="X55" i="57" s="1"/>
  <c r="G51" i="57"/>
  <c r="S55" i="57"/>
  <c r="W57" i="57"/>
  <c r="X57" i="57" s="1"/>
  <c r="C7" i="68"/>
  <c r="W60" i="57"/>
  <c r="X60" i="57" s="1"/>
  <c r="S51" i="57"/>
  <c r="T51" i="57" s="1"/>
  <c r="S99" i="57"/>
  <c r="S102" i="57"/>
  <c r="D94" i="57"/>
  <c r="Q102" i="57" s="1"/>
  <c r="K94" i="57"/>
  <c r="W103" i="57"/>
  <c r="X103" i="57" s="1"/>
  <c r="S103" i="57"/>
  <c r="W101" i="57"/>
  <c r="X101" i="57" s="1"/>
  <c r="K98" i="57"/>
  <c r="K95" i="57"/>
  <c r="O94" i="57"/>
  <c r="P94" i="57" s="1"/>
  <c r="W94" i="57"/>
  <c r="W104" i="57"/>
  <c r="X104" i="57" s="1"/>
  <c r="W100" i="57"/>
  <c r="S104" i="57"/>
  <c r="G95" i="57"/>
  <c r="W158" i="57"/>
  <c r="X158" i="57" s="1"/>
  <c r="W157" i="57"/>
  <c r="W156" i="57"/>
  <c r="X156" i="57" s="1"/>
  <c r="W153" i="57"/>
  <c r="X153" i="57" s="1"/>
  <c r="S151" i="57"/>
  <c r="W155" i="57"/>
  <c r="D149" i="57"/>
  <c r="I149" i="57" s="1"/>
  <c r="S152" i="57"/>
  <c r="K153" i="57"/>
  <c r="S153" i="57"/>
  <c r="T153" i="57" s="1"/>
  <c r="S156" i="57"/>
  <c r="W154" i="57"/>
  <c r="X154" i="57" s="1"/>
  <c r="S201" i="57"/>
  <c r="S200" i="57"/>
  <c r="W198" i="57"/>
  <c r="X198" i="57" s="1"/>
  <c r="W197" i="57"/>
  <c r="X197" i="57" s="1"/>
  <c r="W196" i="57"/>
  <c r="S196" i="57"/>
  <c r="D193" i="57"/>
  <c r="U201" i="57" s="1"/>
  <c r="S202" i="57"/>
  <c r="S198" i="57"/>
  <c r="W202" i="57"/>
  <c r="X202" i="57" s="1"/>
  <c r="W195" i="57"/>
  <c r="X195" i="57" s="1"/>
  <c r="K241" i="57"/>
  <c r="W240" i="57"/>
  <c r="K238" i="57"/>
  <c r="O238" i="57"/>
  <c r="P238" i="57" s="1"/>
  <c r="S244" i="57"/>
  <c r="W242" i="57"/>
  <c r="X242" i="57" s="1"/>
  <c r="W247" i="57"/>
  <c r="X247" i="57" s="1"/>
  <c r="W241" i="57"/>
  <c r="X241" i="57" s="1"/>
  <c r="S247" i="57"/>
  <c r="W239" i="57"/>
  <c r="X239" i="57" s="1"/>
  <c r="S246" i="57"/>
  <c r="K237" i="57"/>
  <c r="W21" i="57"/>
  <c r="X21" i="57" s="1"/>
  <c r="W23" i="57"/>
  <c r="W18" i="57"/>
  <c r="X18" i="57" s="1"/>
  <c r="O17" i="57"/>
  <c r="P17" i="57" s="1"/>
  <c r="S21" i="57"/>
  <c r="T21" i="57" s="1"/>
  <c r="K18" i="57"/>
  <c r="U20" i="57"/>
  <c r="W27" i="57"/>
  <c r="X27" i="57" s="1"/>
  <c r="S26" i="57"/>
  <c r="K17" i="57"/>
  <c r="S263" i="57"/>
  <c r="T263" i="57" s="1"/>
  <c r="W261" i="57"/>
  <c r="X261" i="57" s="1"/>
  <c r="W263" i="57"/>
  <c r="X263" i="57" s="1"/>
  <c r="W259" i="57"/>
  <c r="S260" i="57"/>
  <c r="T260" i="57" s="1"/>
  <c r="S268" i="57"/>
  <c r="K259" i="57"/>
  <c r="C259" i="57"/>
  <c r="AD264" i="57" s="1"/>
  <c r="W265" i="57"/>
  <c r="W260" i="57"/>
  <c r="X260" i="57" s="1"/>
  <c r="W268" i="57"/>
  <c r="X268" i="57" s="1"/>
  <c r="S265" i="57"/>
  <c r="K263" i="57"/>
  <c r="W27" i="59"/>
  <c r="X27" i="59" s="1"/>
  <c r="W26" i="59"/>
  <c r="X26" i="59" s="1"/>
  <c r="W25" i="59"/>
  <c r="W24" i="59"/>
  <c r="X24" i="59" s="1"/>
  <c r="W23" i="59"/>
  <c r="W22" i="59"/>
  <c r="X22" i="59" s="1"/>
  <c r="W21" i="59"/>
  <c r="X21" i="59" s="1"/>
  <c r="K21" i="59"/>
  <c r="L21" i="59" s="1"/>
  <c r="K17" i="59"/>
  <c r="W20" i="59"/>
  <c r="S19" i="59"/>
  <c r="T19" i="59" s="1"/>
  <c r="S18" i="59"/>
  <c r="T18" i="59" s="1"/>
  <c r="S26" i="59"/>
  <c r="T26" i="59" s="1"/>
  <c r="S24" i="59"/>
  <c r="T24" i="59" s="1"/>
  <c r="S22" i="59"/>
  <c r="T22" i="59" s="1"/>
  <c r="S20" i="59"/>
  <c r="W18" i="59"/>
  <c r="X18" i="59" s="1"/>
  <c r="W17" i="59"/>
  <c r="S27" i="59"/>
  <c r="T27" i="59" s="1"/>
  <c r="S23" i="59"/>
  <c r="S21" i="59"/>
  <c r="T21" i="59" s="1"/>
  <c r="W19" i="59"/>
  <c r="X19" i="59" s="1"/>
  <c r="K18" i="59"/>
  <c r="W49" i="59"/>
  <c r="X49" i="59" s="1"/>
  <c r="W48" i="59"/>
  <c r="X48" i="59" s="1"/>
  <c r="W47" i="59"/>
  <c r="W46" i="59"/>
  <c r="X46" i="59" s="1"/>
  <c r="W45" i="59"/>
  <c r="W44" i="59"/>
  <c r="X44" i="59" s="1"/>
  <c r="W43" i="59"/>
  <c r="X43" i="59" s="1"/>
  <c r="K43" i="59"/>
  <c r="L43" i="59" s="1"/>
  <c r="S42" i="59"/>
  <c r="W41" i="59"/>
  <c r="X41" i="59" s="1"/>
  <c r="W40" i="59"/>
  <c r="X40" i="59" s="1"/>
  <c r="K40" i="59"/>
  <c r="K39" i="59"/>
  <c r="S48" i="59"/>
  <c r="T48" i="59" s="1"/>
  <c r="S46" i="59"/>
  <c r="T46" i="59" s="1"/>
  <c r="S44" i="59"/>
  <c r="T44" i="59" s="1"/>
  <c r="W42" i="59"/>
  <c r="S41" i="59"/>
  <c r="T41" i="59" s="1"/>
  <c r="G40" i="59"/>
  <c r="S49" i="59"/>
  <c r="T49" i="59" s="1"/>
  <c r="S45" i="59"/>
  <c r="S43" i="59"/>
  <c r="T43" i="59" s="1"/>
  <c r="S40" i="59"/>
  <c r="T40" i="59" s="1"/>
  <c r="W71" i="59"/>
  <c r="X71" i="59" s="1"/>
  <c r="W70" i="59"/>
  <c r="X70" i="59" s="1"/>
  <c r="W69" i="59"/>
  <c r="W68" i="59"/>
  <c r="X68" i="59" s="1"/>
  <c r="W67" i="59"/>
  <c r="W66" i="59"/>
  <c r="X66" i="59" s="1"/>
  <c r="W65" i="59"/>
  <c r="X65" i="59" s="1"/>
  <c r="K65" i="59"/>
  <c r="L65" i="59" s="1"/>
  <c r="S64" i="59"/>
  <c r="W63" i="59"/>
  <c r="X63" i="59" s="1"/>
  <c r="W62" i="59"/>
  <c r="X62" i="59" s="1"/>
  <c r="K62" i="59"/>
  <c r="W61" i="59"/>
  <c r="K61" i="59"/>
  <c r="S71" i="59"/>
  <c r="T71" i="59" s="1"/>
  <c r="S70" i="59"/>
  <c r="T70" i="59" s="1"/>
  <c r="S69" i="59"/>
  <c r="S68" i="59"/>
  <c r="T68" i="59" s="1"/>
  <c r="S67" i="59"/>
  <c r="S66" i="59"/>
  <c r="T66" i="59" s="1"/>
  <c r="S65" i="59"/>
  <c r="T65" i="59" s="1"/>
  <c r="W64" i="59"/>
  <c r="S63" i="59"/>
  <c r="T63" i="59" s="1"/>
  <c r="G61" i="59"/>
  <c r="S62" i="59"/>
  <c r="T62" i="59" s="1"/>
  <c r="W93" i="59"/>
  <c r="X93" i="59" s="1"/>
  <c r="W92" i="59"/>
  <c r="X92" i="59" s="1"/>
  <c r="W91" i="59"/>
  <c r="W90" i="59"/>
  <c r="X90" i="59" s="1"/>
  <c r="W89" i="59"/>
  <c r="W88" i="59"/>
  <c r="X88" i="59" s="1"/>
  <c r="W87" i="59"/>
  <c r="X87" i="59" s="1"/>
  <c r="K87" i="59"/>
  <c r="L87" i="59" s="1"/>
  <c r="S86" i="59"/>
  <c r="W85" i="59"/>
  <c r="X85" i="59" s="1"/>
  <c r="W84" i="59"/>
  <c r="X84" i="59" s="1"/>
  <c r="K84" i="59"/>
  <c r="K83" i="59"/>
  <c r="S93" i="59"/>
  <c r="T93" i="59" s="1"/>
  <c r="S92" i="59"/>
  <c r="T92" i="59" s="1"/>
  <c r="S91" i="59"/>
  <c r="S90" i="59"/>
  <c r="T90" i="59" s="1"/>
  <c r="S89" i="59"/>
  <c r="S88" i="59"/>
  <c r="T88" i="59" s="1"/>
  <c r="S87" i="59"/>
  <c r="T87" i="59" s="1"/>
  <c r="W86" i="59"/>
  <c r="S85" i="59"/>
  <c r="T85" i="59" s="1"/>
  <c r="S84" i="59"/>
  <c r="T84" i="59" s="1"/>
  <c r="G84" i="59"/>
  <c r="W115" i="59"/>
  <c r="X115" i="59" s="1"/>
  <c r="W114" i="59"/>
  <c r="X114" i="59" s="1"/>
  <c r="W113" i="59"/>
  <c r="W112" i="59"/>
  <c r="X112" i="59" s="1"/>
  <c r="W111" i="59"/>
  <c r="W110" i="59"/>
  <c r="X110" i="59" s="1"/>
  <c r="W109" i="59"/>
  <c r="X109" i="59" s="1"/>
  <c r="K109" i="59"/>
  <c r="L109" i="59" s="1"/>
  <c r="S108" i="59"/>
  <c r="W107" i="59"/>
  <c r="X107" i="59" s="1"/>
  <c r="W106" i="59"/>
  <c r="X106" i="59" s="1"/>
  <c r="K106" i="59"/>
  <c r="S115" i="59"/>
  <c r="T115" i="59" s="1"/>
  <c r="S113" i="59"/>
  <c r="S111" i="59"/>
  <c r="S109" i="59"/>
  <c r="T109" i="59" s="1"/>
  <c r="S106" i="59"/>
  <c r="T106" i="59" s="1"/>
  <c r="S114" i="59"/>
  <c r="T114" i="59" s="1"/>
  <c r="S112" i="59"/>
  <c r="T112" i="59" s="1"/>
  <c r="S110" i="59"/>
  <c r="T110" i="59" s="1"/>
  <c r="W108" i="59"/>
  <c r="S107" i="59"/>
  <c r="T107" i="59" s="1"/>
  <c r="G106" i="59"/>
  <c r="W148" i="59"/>
  <c r="X148" i="59" s="1"/>
  <c r="W147" i="59"/>
  <c r="X147" i="59" s="1"/>
  <c r="W146" i="59"/>
  <c r="W145" i="59"/>
  <c r="X145" i="59" s="1"/>
  <c r="W144" i="59"/>
  <c r="W143" i="59"/>
  <c r="X143" i="59" s="1"/>
  <c r="W142" i="59"/>
  <c r="X142" i="59" s="1"/>
  <c r="K142" i="59"/>
  <c r="L142" i="59" s="1"/>
  <c r="S141" i="59"/>
  <c r="W140" i="59"/>
  <c r="X140" i="59" s="1"/>
  <c r="W139" i="59"/>
  <c r="X139" i="59" s="1"/>
  <c r="K139" i="59"/>
  <c r="K138" i="59"/>
  <c r="S148" i="59"/>
  <c r="T148" i="59" s="1"/>
  <c r="S146" i="59"/>
  <c r="S144" i="59"/>
  <c r="S142" i="59"/>
  <c r="T142" i="59" s="1"/>
  <c r="S139" i="59"/>
  <c r="T139" i="59" s="1"/>
  <c r="S147" i="59"/>
  <c r="T147" i="59" s="1"/>
  <c r="S145" i="59"/>
  <c r="T145" i="59" s="1"/>
  <c r="S143" i="59"/>
  <c r="T143" i="59" s="1"/>
  <c r="W141" i="59"/>
  <c r="S140" i="59"/>
  <c r="T140" i="59" s="1"/>
  <c r="W170" i="59"/>
  <c r="X170" i="59" s="1"/>
  <c r="W169" i="59"/>
  <c r="X169" i="59" s="1"/>
  <c r="W168" i="59"/>
  <c r="W167" i="59"/>
  <c r="X167" i="59" s="1"/>
  <c r="W166" i="59"/>
  <c r="W165" i="59"/>
  <c r="X165" i="59" s="1"/>
  <c r="W164" i="59"/>
  <c r="X164" i="59" s="1"/>
  <c r="K164" i="59"/>
  <c r="L164" i="59" s="1"/>
  <c r="S163" i="59"/>
  <c r="W162" i="59"/>
  <c r="X162" i="59" s="1"/>
  <c r="W161" i="59"/>
  <c r="X161" i="59" s="1"/>
  <c r="K161" i="59"/>
  <c r="S170" i="59"/>
  <c r="T170" i="59" s="1"/>
  <c r="S168" i="59"/>
  <c r="S166" i="59"/>
  <c r="S164" i="59"/>
  <c r="T164" i="59" s="1"/>
  <c r="S161" i="59"/>
  <c r="T161" i="59" s="1"/>
  <c r="S169" i="59"/>
  <c r="T169" i="59" s="1"/>
  <c r="S167" i="59"/>
  <c r="T167" i="59" s="1"/>
  <c r="S165" i="59"/>
  <c r="T165" i="59" s="1"/>
  <c r="W163" i="59"/>
  <c r="S162" i="59"/>
  <c r="T162" i="59" s="1"/>
  <c r="G161" i="59"/>
  <c r="W192" i="59"/>
  <c r="X192" i="59" s="1"/>
  <c r="W191" i="59"/>
  <c r="X191" i="59" s="1"/>
  <c r="W190" i="59"/>
  <c r="W189" i="59"/>
  <c r="X189" i="59" s="1"/>
  <c r="W188" i="59"/>
  <c r="W187" i="59"/>
  <c r="X187" i="59" s="1"/>
  <c r="W186" i="59"/>
  <c r="X186" i="59" s="1"/>
  <c r="K186" i="59"/>
  <c r="L186" i="59" s="1"/>
  <c r="S185" i="59"/>
  <c r="W184" i="59"/>
  <c r="X184" i="59" s="1"/>
  <c r="W183" i="59"/>
  <c r="X183" i="59" s="1"/>
  <c r="K183" i="59"/>
  <c r="S192" i="59"/>
  <c r="T192" i="59" s="1"/>
  <c r="S190" i="59"/>
  <c r="S188" i="59"/>
  <c r="S186" i="59"/>
  <c r="T186" i="59" s="1"/>
  <c r="S183" i="59"/>
  <c r="T183" i="59" s="1"/>
  <c r="S191" i="59"/>
  <c r="T191" i="59" s="1"/>
  <c r="S189" i="59"/>
  <c r="T189" i="59" s="1"/>
  <c r="S187" i="59"/>
  <c r="T187" i="59" s="1"/>
  <c r="W185" i="59"/>
  <c r="S184" i="59"/>
  <c r="T184" i="59" s="1"/>
  <c r="G183" i="59"/>
  <c r="S214" i="59"/>
  <c r="T214" i="59" s="1"/>
  <c r="S213" i="59"/>
  <c r="T213" i="59" s="1"/>
  <c r="S211" i="59"/>
  <c r="T211" i="59" s="1"/>
  <c r="S210" i="59"/>
  <c r="S209" i="59"/>
  <c r="T209" i="59" s="1"/>
  <c r="S208" i="59"/>
  <c r="T208" i="59" s="1"/>
  <c r="W207" i="59"/>
  <c r="S206" i="59"/>
  <c r="T206" i="59" s="1"/>
  <c r="G205" i="59"/>
  <c r="W214" i="59"/>
  <c r="X214" i="59" s="1"/>
  <c r="W210" i="59"/>
  <c r="W208" i="59"/>
  <c r="X208" i="59" s="1"/>
  <c r="S207" i="59"/>
  <c r="W205" i="59"/>
  <c r="X205" i="59" s="1"/>
  <c r="W211" i="59"/>
  <c r="X211" i="59" s="1"/>
  <c r="K208" i="59"/>
  <c r="L208" i="59" s="1"/>
  <c r="K205" i="59"/>
  <c r="W213" i="59"/>
  <c r="X213" i="59" s="1"/>
  <c r="W209" i="59"/>
  <c r="X209" i="59" s="1"/>
  <c r="W206" i="59"/>
  <c r="X206" i="59" s="1"/>
  <c r="K204" i="59"/>
  <c r="S236" i="59"/>
  <c r="T236" i="59" s="1"/>
  <c r="S235" i="59"/>
  <c r="T235" i="59" s="1"/>
  <c r="S234" i="59"/>
  <c r="S233" i="59"/>
  <c r="T233" i="59" s="1"/>
  <c r="S232" i="59"/>
  <c r="S231" i="59"/>
  <c r="T231" i="59" s="1"/>
  <c r="S230" i="59"/>
  <c r="T230" i="59" s="1"/>
  <c r="W229" i="59"/>
  <c r="S228" i="59"/>
  <c r="T228" i="59" s="1"/>
  <c r="S227" i="59"/>
  <c r="T227" i="59" s="1"/>
  <c r="W236" i="59"/>
  <c r="X236" i="59" s="1"/>
  <c r="W232" i="59"/>
  <c r="W230" i="59"/>
  <c r="X230" i="59" s="1"/>
  <c r="S229" i="59"/>
  <c r="W227" i="59"/>
  <c r="X227" i="59" s="1"/>
  <c r="W233" i="59"/>
  <c r="X233" i="59" s="1"/>
  <c r="K230" i="59"/>
  <c r="L230" i="59" s="1"/>
  <c r="K227" i="59"/>
  <c r="W235" i="59"/>
  <c r="X235" i="59" s="1"/>
  <c r="W231" i="59"/>
  <c r="X231" i="59" s="1"/>
  <c r="W228" i="59"/>
  <c r="X228" i="59" s="1"/>
  <c r="S511" i="59"/>
  <c r="T511" i="59" s="1"/>
  <c r="S510" i="59"/>
  <c r="T510" i="59" s="1"/>
  <c r="S509" i="59"/>
  <c r="S508" i="59"/>
  <c r="T508" i="59" s="1"/>
  <c r="S507" i="59"/>
  <c r="S506" i="59"/>
  <c r="T506" i="59" s="1"/>
  <c r="S505" i="59"/>
  <c r="T505" i="59" s="1"/>
  <c r="W504" i="59"/>
  <c r="S503" i="59"/>
  <c r="T503" i="59" s="1"/>
  <c r="W511" i="59"/>
  <c r="X511" i="59" s="1"/>
  <c r="W507" i="59"/>
  <c r="W505" i="59"/>
  <c r="X505" i="59" s="1"/>
  <c r="S504" i="59"/>
  <c r="W502" i="59"/>
  <c r="X502" i="59" s="1"/>
  <c r="W508" i="59"/>
  <c r="X508" i="59" s="1"/>
  <c r="K505" i="59"/>
  <c r="L505" i="59" s="1"/>
  <c r="K502" i="59"/>
  <c r="W510" i="59"/>
  <c r="X510" i="59" s="1"/>
  <c r="W506" i="59"/>
  <c r="X506" i="59" s="1"/>
  <c r="W503" i="59"/>
  <c r="X503" i="59" s="1"/>
  <c r="W60" i="59"/>
  <c r="X60" i="59" s="1"/>
  <c r="W59" i="59"/>
  <c r="X59" i="59" s="1"/>
  <c r="W58" i="59"/>
  <c r="W57" i="59"/>
  <c r="X57" i="59" s="1"/>
  <c r="W56" i="59"/>
  <c r="W55" i="59"/>
  <c r="X55" i="59" s="1"/>
  <c r="W54" i="59"/>
  <c r="X54" i="59" s="1"/>
  <c r="K54" i="59"/>
  <c r="L54" i="59" s="1"/>
  <c r="S53" i="59"/>
  <c r="W52" i="59"/>
  <c r="X52" i="59" s="1"/>
  <c r="W51" i="59"/>
  <c r="X51" i="59" s="1"/>
  <c r="K51" i="59"/>
  <c r="K50" i="59"/>
  <c r="S59" i="59"/>
  <c r="T59" i="59" s="1"/>
  <c r="S57" i="59"/>
  <c r="T57" i="59" s="1"/>
  <c r="S55" i="59"/>
  <c r="T55" i="59" s="1"/>
  <c r="W53" i="59"/>
  <c r="S52" i="59"/>
  <c r="T52" i="59" s="1"/>
  <c r="G51" i="59"/>
  <c r="G50" i="59"/>
  <c r="S60" i="59"/>
  <c r="T60" i="59" s="1"/>
  <c r="S58" i="59"/>
  <c r="S56" i="59"/>
  <c r="S54" i="59"/>
  <c r="T54" i="59" s="1"/>
  <c r="S51" i="59"/>
  <c r="T51" i="59" s="1"/>
  <c r="W104" i="59"/>
  <c r="X104" i="59" s="1"/>
  <c r="W103" i="59"/>
  <c r="X103" i="59" s="1"/>
  <c r="S104" i="59"/>
  <c r="T104" i="59" s="1"/>
  <c r="W102" i="59"/>
  <c r="W101" i="59"/>
  <c r="X101" i="59" s="1"/>
  <c r="W100" i="59"/>
  <c r="W99" i="59"/>
  <c r="X99" i="59" s="1"/>
  <c r="W98" i="59"/>
  <c r="X98" i="59" s="1"/>
  <c r="K98" i="59"/>
  <c r="L98" i="59" s="1"/>
  <c r="S97" i="59"/>
  <c r="W96" i="59"/>
  <c r="X96" i="59" s="1"/>
  <c r="W95" i="59"/>
  <c r="X95" i="59" s="1"/>
  <c r="K95" i="59"/>
  <c r="W94" i="59"/>
  <c r="K94" i="59"/>
  <c r="S103" i="59"/>
  <c r="T103" i="59" s="1"/>
  <c r="S102" i="59"/>
  <c r="S101" i="59"/>
  <c r="T101" i="59" s="1"/>
  <c r="S100" i="59"/>
  <c r="S99" i="59"/>
  <c r="T99" i="59" s="1"/>
  <c r="S98" i="59"/>
  <c r="T98" i="59" s="1"/>
  <c r="W97" i="59"/>
  <c r="S96" i="59"/>
  <c r="T96" i="59" s="1"/>
  <c r="S95" i="59"/>
  <c r="T95" i="59" s="1"/>
  <c r="G95" i="59"/>
  <c r="W159" i="59"/>
  <c r="X159" i="59" s="1"/>
  <c r="W158" i="59"/>
  <c r="X158" i="59" s="1"/>
  <c r="W157" i="59"/>
  <c r="W156" i="59"/>
  <c r="X156" i="59" s="1"/>
  <c r="W155" i="59"/>
  <c r="W154" i="59"/>
  <c r="X154" i="59" s="1"/>
  <c r="W153" i="59"/>
  <c r="X153" i="59" s="1"/>
  <c r="K153" i="59"/>
  <c r="L153" i="59" s="1"/>
  <c r="S152" i="59"/>
  <c r="W151" i="59"/>
  <c r="X151" i="59" s="1"/>
  <c r="W150" i="59"/>
  <c r="X150" i="59" s="1"/>
  <c r="K150" i="59"/>
  <c r="S159" i="59"/>
  <c r="T159" i="59" s="1"/>
  <c r="S155" i="59"/>
  <c r="S153" i="59"/>
  <c r="T153" i="59" s="1"/>
  <c r="S158" i="59"/>
  <c r="T158" i="59" s="1"/>
  <c r="S156" i="59"/>
  <c r="T156" i="59" s="1"/>
  <c r="S154" i="59"/>
  <c r="T154" i="59" s="1"/>
  <c r="W152" i="59"/>
  <c r="S151" i="59"/>
  <c r="T151" i="59" s="1"/>
  <c r="G150" i="59"/>
  <c r="W203" i="59"/>
  <c r="X203" i="59" s="1"/>
  <c r="W202" i="59"/>
  <c r="X202" i="59" s="1"/>
  <c r="W200" i="59"/>
  <c r="X200" i="59" s="1"/>
  <c r="W199" i="59"/>
  <c r="W198" i="59"/>
  <c r="X198" i="59" s="1"/>
  <c r="W197" i="59"/>
  <c r="X197" i="59" s="1"/>
  <c r="K197" i="59"/>
  <c r="L197" i="59" s="1"/>
  <c r="S196" i="59"/>
  <c r="W195" i="59"/>
  <c r="X195" i="59" s="1"/>
  <c r="W194" i="59"/>
  <c r="X194" i="59" s="1"/>
  <c r="K194" i="59"/>
  <c r="K193" i="59"/>
  <c r="S203" i="59"/>
  <c r="T203" i="59" s="1"/>
  <c r="S201" i="59"/>
  <c r="S199" i="59"/>
  <c r="S197" i="59"/>
  <c r="T197" i="59" s="1"/>
  <c r="S202" i="59"/>
  <c r="T202" i="59" s="1"/>
  <c r="S200" i="59"/>
  <c r="T200" i="59" s="1"/>
  <c r="S198" i="59"/>
  <c r="T198" i="59" s="1"/>
  <c r="W196" i="59"/>
  <c r="S195" i="59"/>
  <c r="T195" i="59" s="1"/>
  <c r="G194" i="59"/>
  <c r="W38" i="59"/>
  <c r="X38" i="59" s="1"/>
  <c r="W37" i="59"/>
  <c r="X37" i="59" s="1"/>
  <c r="W35" i="59"/>
  <c r="X35" i="59" s="1"/>
  <c r="W34" i="59"/>
  <c r="W33" i="59"/>
  <c r="X33" i="59" s="1"/>
  <c r="W32" i="59"/>
  <c r="X32" i="59" s="1"/>
  <c r="K32" i="59"/>
  <c r="L32" i="59" s="1"/>
  <c r="S31" i="59"/>
  <c r="W30" i="59"/>
  <c r="X30" i="59" s="1"/>
  <c r="W29" i="59"/>
  <c r="X29" i="59" s="1"/>
  <c r="K29" i="59"/>
  <c r="K28" i="59"/>
  <c r="S37" i="59"/>
  <c r="T37" i="59" s="1"/>
  <c r="S35" i="59"/>
  <c r="T35" i="59" s="1"/>
  <c r="S33" i="59"/>
  <c r="T33" i="59" s="1"/>
  <c r="W31" i="59"/>
  <c r="S30" i="59"/>
  <c r="T30" i="59" s="1"/>
  <c r="G29" i="59"/>
  <c r="S38" i="59"/>
  <c r="T38" i="59" s="1"/>
  <c r="S34" i="59"/>
  <c r="S32" i="59"/>
  <c r="T32" i="59" s="1"/>
  <c r="S29" i="59"/>
  <c r="T29" i="59" s="1"/>
  <c r="W82" i="59"/>
  <c r="X82" i="59" s="1"/>
  <c r="W81" i="59"/>
  <c r="X81" i="59" s="1"/>
  <c r="W80" i="59"/>
  <c r="W79" i="59"/>
  <c r="X79" i="59" s="1"/>
  <c r="W78" i="59"/>
  <c r="W77" i="59"/>
  <c r="X77" i="59" s="1"/>
  <c r="W76" i="59"/>
  <c r="X76" i="59" s="1"/>
  <c r="K76" i="59"/>
  <c r="L76" i="59" s="1"/>
  <c r="S75" i="59"/>
  <c r="W74" i="59"/>
  <c r="X74" i="59" s="1"/>
  <c r="W73" i="59"/>
  <c r="X73" i="59" s="1"/>
  <c r="K73" i="59"/>
  <c r="K72" i="59"/>
  <c r="S82" i="59"/>
  <c r="T82" i="59" s="1"/>
  <c r="S81" i="59"/>
  <c r="T81" i="59" s="1"/>
  <c r="S80" i="59"/>
  <c r="S79" i="59"/>
  <c r="T79" i="59" s="1"/>
  <c r="S78" i="59"/>
  <c r="S77" i="59"/>
  <c r="T77" i="59" s="1"/>
  <c r="S76" i="59"/>
  <c r="T76" i="59" s="1"/>
  <c r="W75" i="59"/>
  <c r="S74" i="59"/>
  <c r="T74" i="59" s="1"/>
  <c r="S73" i="59"/>
  <c r="T73" i="59" s="1"/>
  <c r="G73" i="59"/>
  <c r="W126" i="59"/>
  <c r="X126" i="59" s="1"/>
  <c r="W125" i="59"/>
  <c r="X125" i="59" s="1"/>
  <c r="W123" i="59"/>
  <c r="X123" i="59" s="1"/>
  <c r="W122" i="59"/>
  <c r="W121" i="59"/>
  <c r="X121" i="59" s="1"/>
  <c r="W120" i="59"/>
  <c r="X120" i="59" s="1"/>
  <c r="K120" i="59"/>
  <c r="L120" i="59" s="1"/>
  <c r="S119" i="59"/>
  <c r="W118" i="59"/>
  <c r="X118" i="59" s="1"/>
  <c r="W117" i="59"/>
  <c r="X117" i="59" s="1"/>
  <c r="K117" i="59"/>
  <c r="K116" i="59"/>
  <c r="S126" i="59"/>
  <c r="T126" i="59" s="1"/>
  <c r="S124" i="59"/>
  <c r="S122" i="59"/>
  <c r="S120" i="59"/>
  <c r="T120" i="59" s="1"/>
  <c r="S117" i="59"/>
  <c r="T117" i="59" s="1"/>
  <c r="S125" i="59"/>
  <c r="T125" i="59" s="1"/>
  <c r="S123" i="59"/>
  <c r="T123" i="59" s="1"/>
  <c r="S121" i="59"/>
  <c r="T121" i="59" s="1"/>
  <c r="W119" i="59"/>
  <c r="S118" i="59"/>
  <c r="T118" i="59" s="1"/>
  <c r="G117" i="59"/>
  <c r="W181" i="59"/>
  <c r="X181" i="59" s="1"/>
  <c r="W180" i="59"/>
  <c r="X180" i="59" s="1"/>
  <c r="W179" i="59"/>
  <c r="W178" i="59"/>
  <c r="X178" i="59" s="1"/>
  <c r="W177" i="59"/>
  <c r="W176" i="59"/>
  <c r="X176" i="59" s="1"/>
  <c r="W175" i="59"/>
  <c r="X175" i="59" s="1"/>
  <c r="K175" i="59"/>
  <c r="L175" i="59" s="1"/>
  <c r="W173" i="59"/>
  <c r="X173" i="59" s="1"/>
  <c r="W172" i="59"/>
  <c r="X172" i="59" s="1"/>
  <c r="K172" i="59"/>
  <c r="S181" i="59"/>
  <c r="T181" i="59" s="1"/>
  <c r="S175" i="59"/>
  <c r="T175" i="59" s="1"/>
  <c r="S172" i="59"/>
  <c r="T172" i="59" s="1"/>
  <c r="S180" i="59"/>
  <c r="T180" i="59" s="1"/>
  <c r="S178" i="59"/>
  <c r="T178" i="59" s="1"/>
  <c r="S176" i="59"/>
  <c r="T176" i="59" s="1"/>
  <c r="S173" i="59"/>
  <c r="T173" i="59" s="1"/>
  <c r="S225" i="59"/>
  <c r="T225" i="59" s="1"/>
  <c r="S224" i="59"/>
  <c r="T224" i="59" s="1"/>
  <c r="S222" i="59"/>
  <c r="T222" i="59" s="1"/>
  <c r="S221" i="59"/>
  <c r="S220" i="59"/>
  <c r="T220" i="59" s="1"/>
  <c r="S219" i="59"/>
  <c r="T219" i="59" s="1"/>
  <c r="W218" i="59"/>
  <c r="S217" i="59"/>
  <c r="T217" i="59" s="1"/>
  <c r="G216" i="59"/>
  <c r="W225" i="59"/>
  <c r="X225" i="59" s="1"/>
  <c r="W221" i="59"/>
  <c r="W219" i="59"/>
  <c r="X219" i="59" s="1"/>
  <c r="S218" i="59"/>
  <c r="W216" i="59"/>
  <c r="X216" i="59" s="1"/>
  <c r="W224" i="59"/>
  <c r="X224" i="59" s="1"/>
  <c r="W220" i="59"/>
  <c r="X220" i="59" s="1"/>
  <c r="W217" i="59"/>
  <c r="X217" i="59" s="1"/>
  <c r="W222" i="59"/>
  <c r="X222" i="59" s="1"/>
  <c r="K219" i="59"/>
  <c r="L219" i="59" s="1"/>
  <c r="K216" i="59"/>
  <c r="W16" i="59"/>
  <c r="X16" i="59" s="1"/>
  <c r="W14" i="59"/>
  <c r="W12" i="59"/>
  <c r="W10" i="59"/>
  <c r="X10" i="59" s="1"/>
  <c r="W8" i="59"/>
  <c r="X8" i="59" s="1"/>
  <c r="W6" i="59"/>
  <c r="G6" i="59"/>
  <c r="K6" i="59"/>
  <c r="S15" i="59"/>
  <c r="T15" i="59" s="1"/>
  <c r="S13" i="59"/>
  <c r="S11" i="59"/>
  <c r="T11" i="59" s="1"/>
  <c r="S9" i="59"/>
  <c r="S7" i="59"/>
  <c r="T7" i="59" s="1"/>
  <c r="W13" i="59"/>
  <c r="X13" i="59" s="1"/>
  <c r="W9" i="59"/>
  <c r="K7" i="59"/>
  <c r="S14" i="59"/>
  <c r="S10" i="59"/>
  <c r="W15" i="59"/>
  <c r="X15" i="59" s="1"/>
  <c r="W11" i="59"/>
  <c r="X11" i="59" s="1"/>
  <c r="W7" i="59"/>
  <c r="X7" i="59" s="1"/>
  <c r="L10" i="59"/>
  <c r="S16" i="59"/>
  <c r="T16" i="59" s="1"/>
  <c r="S12" i="59"/>
  <c r="S8" i="59"/>
  <c r="U135" i="59"/>
  <c r="I127" i="59"/>
  <c r="L127" i="59" s="1"/>
  <c r="I128" i="59"/>
  <c r="L128" i="59" s="1"/>
  <c r="E127" i="59"/>
  <c r="E128" i="59"/>
  <c r="H128" i="59" s="1"/>
  <c r="U133" i="59"/>
  <c r="X133" i="59" s="1"/>
  <c r="U127" i="59"/>
  <c r="U130" i="59"/>
  <c r="X130" i="59" s="1"/>
  <c r="K260" i="57"/>
  <c r="O17" i="59"/>
  <c r="P17" i="59" s="1"/>
  <c r="C17" i="59"/>
  <c r="O18" i="59"/>
  <c r="P18" i="59" s="1"/>
  <c r="D17" i="59"/>
  <c r="Q23" i="59" s="1"/>
  <c r="D39" i="59"/>
  <c r="O40" i="59"/>
  <c r="P40" i="59" s="1"/>
  <c r="O39" i="59"/>
  <c r="P39" i="59" s="1"/>
  <c r="C39" i="59"/>
  <c r="O62" i="59"/>
  <c r="P62" i="59" s="1"/>
  <c r="O61" i="59"/>
  <c r="P61" i="59" s="1"/>
  <c r="C61" i="59"/>
  <c r="D61" i="59"/>
  <c r="D83" i="59"/>
  <c r="O84" i="59"/>
  <c r="P84" i="59" s="1"/>
  <c r="O83" i="59"/>
  <c r="P83" i="59" s="1"/>
  <c r="C83" i="59"/>
  <c r="O106" i="59"/>
  <c r="P106" i="59" s="1"/>
  <c r="O105" i="59"/>
  <c r="P105" i="59" s="1"/>
  <c r="C105" i="59"/>
  <c r="D105" i="59"/>
  <c r="O139" i="59"/>
  <c r="P139" i="59" s="1"/>
  <c r="C138" i="59"/>
  <c r="O138" i="59"/>
  <c r="P138" i="59" s="1"/>
  <c r="D138" i="59"/>
  <c r="O161" i="59"/>
  <c r="P161" i="59" s="1"/>
  <c r="C160" i="59"/>
  <c r="O160" i="59"/>
  <c r="P160" i="59" s="1"/>
  <c r="D160" i="59"/>
  <c r="O182" i="59"/>
  <c r="P182" i="59" s="1"/>
  <c r="C182" i="59"/>
  <c r="O183" i="59"/>
  <c r="P183" i="59" s="1"/>
  <c r="D182" i="59"/>
  <c r="O205" i="59"/>
  <c r="P205" i="59" s="1"/>
  <c r="C204" i="59"/>
  <c r="O204" i="59"/>
  <c r="P204" i="59" s="1"/>
  <c r="D204" i="59"/>
  <c r="O227" i="59"/>
  <c r="P227" i="59" s="1"/>
  <c r="O226" i="59"/>
  <c r="P226" i="59" s="1"/>
  <c r="C226" i="59"/>
  <c r="D226" i="59"/>
  <c r="O502" i="59"/>
  <c r="P502" i="59" s="1"/>
  <c r="O501" i="59"/>
  <c r="P501" i="59" s="1"/>
  <c r="O50" i="59"/>
  <c r="P50" i="59" s="1"/>
  <c r="C50" i="59"/>
  <c r="O51" i="59"/>
  <c r="P51" i="59" s="1"/>
  <c r="D50" i="59"/>
  <c r="O94" i="59"/>
  <c r="P94" i="59" s="1"/>
  <c r="C94" i="59"/>
  <c r="O95" i="59"/>
  <c r="P95" i="59" s="1"/>
  <c r="D94" i="59"/>
  <c r="O150" i="59"/>
  <c r="P150" i="59" s="1"/>
  <c r="O149" i="59"/>
  <c r="P149" i="59" s="1"/>
  <c r="C149" i="59"/>
  <c r="D149" i="59"/>
  <c r="O194" i="59"/>
  <c r="P194" i="59" s="1"/>
  <c r="O193" i="59"/>
  <c r="P193" i="59" s="1"/>
  <c r="C193" i="59"/>
  <c r="D193" i="59"/>
  <c r="D28" i="59"/>
  <c r="C28" i="59"/>
  <c r="O29" i="59"/>
  <c r="P29" i="59" s="1"/>
  <c r="O28" i="59"/>
  <c r="P28" i="59" s="1"/>
  <c r="O73" i="59"/>
  <c r="P73" i="59" s="1"/>
  <c r="O72" i="59"/>
  <c r="P72" i="59" s="1"/>
  <c r="C72" i="59"/>
  <c r="D72" i="59"/>
  <c r="O117" i="59"/>
  <c r="P117" i="59" s="1"/>
  <c r="O116" i="59"/>
  <c r="P116" i="59" s="1"/>
  <c r="C116" i="59"/>
  <c r="D116" i="59"/>
  <c r="D171" i="59"/>
  <c r="O172" i="59"/>
  <c r="P172" i="59" s="1"/>
  <c r="O171" i="59"/>
  <c r="P171" i="59" s="1"/>
  <c r="C171" i="59"/>
  <c r="O216" i="59"/>
  <c r="P216" i="59" s="1"/>
  <c r="D215" i="59"/>
  <c r="O215" i="59"/>
  <c r="P215" i="59" s="1"/>
  <c r="C215" i="59"/>
  <c r="O6" i="59"/>
  <c r="P6" i="59" s="1"/>
  <c r="C6" i="59"/>
  <c r="O7" i="59"/>
  <c r="P7" i="59" s="1"/>
  <c r="D6" i="59"/>
  <c r="U133" i="57"/>
  <c r="X133" i="57" s="1"/>
  <c r="U130" i="57"/>
  <c r="X130" i="57" s="1"/>
  <c r="I127" i="57"/>
  <c r="L127" i="57" s="1"/>
  <c r="E128" i="57"/>
  <c r="H128" i="57" s="1"/>
  <c r="Q130" i="57"/>
  <c r="T130" i="57" s="1"/>
  <c r="U135" i="57"/>
  <c r="U127" i="57"/>
  <c r="Q135" i="57"/>
  <c r="T135" i="57" s="1"/>
  <c r="Q127" i="57"/>
  <c r="I128" i="57"/>
  <c r="L128" i="57" s="1"/>
  <c r="E127" i="57"/>
  <c r="E205" i="60" l="1"/>
  <c r="E204" i="60"/>
  <c r="Q212" i="60"/>
  <c r="E194" i="60"/>
  <c r="E193" i="60"/>
  <c r="Q201" i="60"/>
  <c r="I205" i="60"/>
  <c r="I204" i="60"/>
  <c r="U212" i="60"/>
  <c r="I194" i="60"/>
  <c r="I193" i="60"/>
  <c r="U201" i="60"/>
  <c r="Q204" i="60"/>
  <c r="Q207" i="60"/>
  <c r="Q193" i="60"/>
  <c r="Q196" i="60"/>
  <c r="Z842" i="60"/>
  <c r="AC847" i="60" s="1"/>
  <c r="T678" i="60"/>
  <c r="Z677" i="60" s="1"/>
  <c r="AC681" i="60" s="1"/>
  <c r="T831" i="60"/>
  <c r="Z831" i="60" s="1"/>
  <c r="AC836" i="60" s="1"/>
  <c r="T820" i="60"/>
  <c r="Z820" i="60" s="1"/>
  <c r="AC825" i="60" s="1"/>
  <c r="Q826" i="60"/>
  <c r="Q837" i="60"/>
  <c r="Q848" i="60"/>
  <c r="Q804" i="60"/>
  <c r="Q793" i="60"/>
  <c r="Q815" i="60"/>
  <c r="Q771" i="60"/>
  <c r="Q782" i="60"/>
  <c r="Q760" i="60"/>
  <c r="Q826" i="59"/>
  <c r="T826" i="59" s="1"/>
  <c r="Z820" i="59" s="1"/>
  <c r="AC825" i="59" s="1"/>
  <c r="Q848" i="59"/>
  <c r="T848" i="59" s="1"/>
  <c r="Z842" i="59" s="1"/>
  <c r="AC847" i="59" s="1"/>
  <c r="Q771" i="59"/>
  <c r="T771" i="59" s="1"/>
  <c r="Z765" i="59" s="1"/>
  <c r="AC770" i="59" s="1"/>
  <c r="Q793" i="59"/>
  <c r="T793" i="59" s="1"/>
  <c r="Z787" i="59" s="1"/>
  <c r="AC792" i="59" s="1"/>
  <c r="Q837" i="59"/>
  <c r="T837" i="59" s="1"/>
  <c r="Z831" i="59" s="1"/>
  <c r="AC836" i="59" s="1"/>
  <c r="Q804" i="59"/>
  <c r="T804" i="59" s="1"/>
  <c r="Z798" i="59" s="1"/>
  <c r="AC803" i="59" s="1"/>
  <c r="Q782" i="59"/>
  <c r="T782" i="59" s="1"/>
  <c r="Z776" i="59" s="1"/>
  <c r="AC781" i="59" s="1"/>
  <c r="Q815" i="59"/>
  <c r="T815" i="59" s="1"/>
  <c r="Z809" i="59" s="1"/>
  <c r="AC814" i="59" s="1"/>
  <c r="Q903" i="59"/>
  <c r="T903" i="59" s="1"/>
  <c r="Z897" i="59" s="1"/>
  <c r="AC902" i="59" s="1"/>
  <c r="Q914" i="59"/>
  <c r="T914" i="59" s="1"/>
  <c r="Z908" i="59" s="1"/>
  <c r="AC913" i="59" s="1"/>
  <c r="Q870" i="59"/>
  <c r="T870" i="59" s="1"/>
  <c r="Z864" i="59" s="1"/>
  <c r="AC869" i="59" s="1"/>
  <c r="Q881" i="59"/>
  <c r="T881" i="59" s="1"/>
  <c r="Z875" i="59" s="1"/>
  <c r="AC880" i="59" s="1"/>
  <c r="Q859" i="59"/>
  <c r="T859" i="59" s="1"/>
  <c r="Z853" i="59" s="1"/>
  <c r="AC858" i="59" s="1"/>
  <c r="Q892" i="60"/>
  <c r="Q903" i="60"/>
  <c r="Q914" i="60"/>
  <c r="Z457" i="60"/>
  <c r="AC461" i="60" s="1"/>
  <c r="Q936" i="60"/>
  <c r="Q881" i="60"/>
  <c r="Q925" i="60"/>
  <c r="Z743" i="60"/>
  <c r="AC748" i="60" s="1"/>
  <c r="Z666" i="60"/>
  <c r="AC671" i="60" s="1"/>
  <c r="Z688" i="60"/>
  <c r="AC693" i="60" s="1"/>
  <c r="Z644" i="60"/>
  <c r="AC649" i="60" s="1"/>
  <c r="Z864" i="60"/>
  <c r="AC869" i="60" s="1"/>
  <c r="Z721" i="60"/>
  <c r="AC725" i="60" s="1"/>
  <c r="Z941" i="60"/>
  <c r="AC946" i="60" s="1"/>
  <c r="Z600" i="60"/>
  <c r="AC605" i="60" s="1"/>
  <c r="Z732" i="60"/>
  <c r="AC737" i="60" s="1"/>
  <c r="Z699" i="60"/>
  <c r="AC703" i="60" s="1"/>
  <c r="Z622" i="60"/>
  <c r="AC627" i="60" s="1"/>
  <c r="Z567" i="60"/>
  <c r="AC571" i="60" s="1"/>
  <c r="Z853" i="60"/>
  <c r="AC858" i="60" s="1"/>
  <c r="Z655" i="60"/>
  <c r="AC659" i="60" s="1"/>
  <c r="Z578" i="60"/>
  <c r="AC583" i="60" s="1"/>
  <c r="Z710" i="60"/>
  <c r="AC715" i="60" s="1"/>
  <c r="Z479" i="60"/>
  <c r="AC483" i="60" s="1"/>
  <c r="Q925" i="59"/>
  <c r="T925" i="59" s="1"/>
  <c r="Z919" i="59" s="1"/>
  <c r="AC924" i="59" s="1"/>
  <c r="Q760" i="59"/>
  <c r="T760" i="59" s="1"/>
  <c r="Z754" i="59" s="1"/>
  <c r="AC759" i="59" s="1"/>
  <c r="Q892" i="59"/>
  <c r="T892" i="59" s="1"/>
  <c r="Z886" i="59" s="1"/>
  <c r="AC891" i="59" s="1"/>
  <c r="Q936" i="59"/>
  <c r="T936" i="59" s="1"/>
  <c r="Z930" i="59" s="1"/>
  <c r="AC935" i="59" s="1"/>
  <c r="Q859" i="60"/>
  <c r="Q870" i="60"/>
  <c r="Q738" i="60"/>
  <c r="Q749" i="60"/>
  <c r="Q716" i="60"/>
  <c r="Q727" i="60"/>
  <c r="Q694" i="60"/>
  <c r="Q705" i="60"/>
  <c r="Q672" i="60"/>
  <c r="Q683" i="60"/>
  <c r="Q947" i="60"/>
  <c r="Q661" i="60"/>
  <c r="Q738" i="59"/>
  <c r="T738" i="59" s="1"/>
  <c r="Z732" i="59" s="1"/>
  <c r="AC737" i="59" s="1"/>
  <c r="Q749" i="59"/>
  <c r="T749" i="59" s="1"/>
  <c r="Z743" i="59" s="1"/>
  <c r="AC748" i="59" s="1"/>
  <c r="Q716" i="59"/>
  <c r="T716" i="59" s="1"/>
  <c r="Z710" i="59" s="1"/>
  <c r="AC715" i="59" s="1"/>
  <c r="Q727" i="59"/>
  <c r="T727" i="59" s="1"/>
  <c r="Z721" i="59" s="1"/>
  <c r="AC726" i="59" s="1"/>
  <c r="Q694" i="59"/>
  <c r="T694" i="59" s="1"/>
  <c r="Z688" i="59" s="1"/>
  <c r="AC693" i="59" s="1"/>
  <c r="Q705" i="59"/>
  <c r="T705" i="59" s="1"/>
  <c r="Z699" i="59" s="1"/>
  <c r="AC704" i="59" s="1"/>
  <c r="Q672" i="59"/>
  <c r="T672" i="59" s="1"/>
  <c r="Z666" i="59" s="1"/>
  <c r="AC671" i="59" s="1"/>
  <c r="Q683" i="59"/>
  <c r="T683" i="59" s="1"/>
  <c r="Z677" i="59" s="1"/>
  <c r="AC682" i="59" s="1"/>
  <c r="Q650" i="59"/>
  <c r="T650" i="59" s="1"/>
  <c r="Z644" i="59" s="1"/>
  <c r="AC649" i="59" s="1"/>
  <c r="Q661" i="59"/>
  <c r="T661" i="59" s="1"/>
  <c r="Z655" i="59" s="1"/>
  <c r="AC660" i="59" s="1"/>
  <c r="Z490" i="60"/>
  <c r="AC495" i="60" s="1"/>
  <c r="Z589" i="60"/>
  <c r="AC593" i="60" s="1"/>
  <c r="Z545" i="60"/>
  <c r="AC549" i="60" s="1"/>
  <c r="Z523" i="60"/>
  <c r="AC527" i="60" s="1"/>
  <c r="Z556" i="60"/>
  <c r="AC561" i="60" s="1"/>
  <c r="Z611" i="60"/>
  <c r="AC615" i="60" s="1"/>
  <c r="Z534" i="60"/>
  <c r="AC539" i="60" s="1"/>
  <c r="Q639" i="60"/>
  <c r="Q650" i="60"/>
  <c r="Q617" i="60"/>
  <c r="Q628" i="60"/>
  <c r="Q595" i="60"/>
  <c r="Q606" i="60"/>
  <c r="Q573" i="60"/>
  <c r="Q584" i="60"/>
  <c r="Q551" i="60"/>
  <c r="Q562" i="60"/>
  <c r="Q529" i="60"/>
  <c r="Q540" i="60"/>
  <c r="Q507" i="60"/>
  <c r="Q518" i="60"/>
  <c r="Q628" i="59"/>
  <c r="T628" i="59" s="1"/>
  <c r="Z622" i="59" s="1"/>
  <c r="AC627" i="59" s="1"/>
  <c r="Q639" i="59"/>
  <c r="T639" i="59" s="1"/>
  <c r="Z633" i="59" s="1"/>
  <c r="Q606" i="59"/>
  <c r="T606" i="59" s="1"/>
  <c r="Z600" i="59" s="1"/>
  <c r="AC605" i="59" s="1"/>
  <c r="Q617" i="59"/>
  <c r="T617" i="59" s="1"/>
  <c r="Z611" i="59" s="1"/>
  <c r="Q584" i="59"/>
  <c r="T584" i="59" s="1"/>
  <c r="Z578" i="59" s="1"/>
  <c r="AC583" i="59" s="1"/>
  <c r="Q595" i="59"/>
  <c r="T595" i="59" s="1"/>
  <c r="Z589" i="59" s="1"/>
  <c r="AC594" i="59" s="1"/>
  <c r="Q562" i="59"/>
  <c r="T562" i="59" s="1"/>
  <c r="Z556" i="59" s="1"/>
  <c r="AC561" i="59" s="1"/>
  <c r="Q573" i="59"/>
  <c r="T573" i="59" s="1"/>
  <c r="Z567" i="59" s="1"/>
  <c r="AC572" i="59" s="1"/>
  <c r="Q540" i="59"/>
  <c r="T540" i="59" s="1"/>
  <c r="Z534" i="59" s="1"/>
  <c r="AC539" i="59" s="1"/>
  <c r="Q551" i="59"/>
  <c r="T551" i="59" s="1"/>
  <c r="Z545" i="59" s="1"/>
  <c r="AC550" i="59" s="1"/>
  <c r="Q518" i="59"/>
  <c r="T518" i="59" s="1"/>
  <c r="Z512" i="59" s="1"/>
  <c r="AC517" i="59" s="1"/>
  <c r="Q529" i="59"/>
  <c r="T529" i="59" s="1"/>
  <c r="Z523" i="59" s="1"/>
  <c r="AC528" i="59" s="1"/>
  <c r="T268" i="57"/>
  <c r="T198" i="57"/>
  <c r="L153" i="57"/>
  <c r="T151" i="57"/>
  <c r="L98" i="57"/>
  <c r="T55" i="57"/>
  <c r="T60" i="57"/>
  <c r="T165" i="57"/>
  <c r="T167" i="57"/>
  <c r="L65" i="57"/>
  <c r="T140" i="57"/>
  <c r="T49" i="57"/>
  <c r="T209" i="57"/>
  <c r="L208" i="57"/>
  <c r="T211" i="57"/>
  <c r="T114" i="57"/>
  <c r="T228" i="57"/>
  <c r="T125" i="57"/>
  <c r="T121" i="57"/>
  <c r="L76" i="57"/>
  <c r="T30" i="57"/>
  <c r="T239" i="57"/>
  <c r="L43" i="57"/>
  <c r="L197" i="57"/>
  <c r="T101" i="57"/>
  <c r="T269" i="57"/>
  <c r="T147" i="57"/>
  <c r="L21" i="57"/>
  <c r="T92" i="57"/>
  <c r="T96" i="57"/>
  <c r="T90" i="57"/>
  <c r="T924" i="57"/>
  <c r="T158" i="57"/>
  <c r="T178" i="57"/>
  <c r="T928" i="57"/>
  <c r="T257" i="57"/>
  <c r="T255" i="57"/>
  <c r="T338" i="57"/>
  <c r="T343" i="57"/>
  <c r="T294" i="57"/>
  <c r="T302" i="57"/>
  <c r="T319" i="57"/>
  <c r="L285" i="57"/>
  <c r="T327" i="57"/>
  <c r="T288" i="57"/>
  <c r="T291" i="57"/>
  <c r="L329" i="57"/>
  <c r="L307" i="57"/>
  <c r="T283" i="57"/>
  <c r="T99" i="57"/>
  <c r="L263" i="57"/>
  <c r="T247" i="57"/>
  <c r="L241" i="57"/>
  <c r="T110" i="57"/>
  <c r="T235" i="57"/>
  <c r="T192" i="57"/>
  <c r="T88" i="57"/>
  <c r="T921" i="57"/>
  <c r="T79" i="57"/>
  <c r="T33" i="57"/>
  <c r="T38" i="57"/>
  <c r="T203" i="57"/>
  <c r="L54" i="57"/>
  <c r="T41" i="57"/>
  <c r="T93" i="57"/>
  <c r="T59" i="57"/>
  <c r="T264" i="57"/>
  <c r="L142" i="57"/>
  <c r="T231" i="57"/>
  <c r="T85" i="57"/>
  <c r="T24" i="57"/>
  <c r="T57" i="57"/>
  <c r="T112" i="57"/>
  <c r="T220" i="57"/>
  <c r="L120" i="57"/>
  <c r="T929" i="57"/>
  <c r="T250" i="57"/>
  <c r="T345" i="57"/>
  <c r="T341" i="57"/>
  <c r="T330" i="57"/>
  <c r="T272" i="57"/>
  <c r="L274" i="57"/>
  <c r="T323" i="57"/>
  <c r="T280" i="57"/>
  <c r="T286" i="57"/>
  <c r="T313" i="57"/>
  <c r="T305" i="57"/>
  <c r="T19" i="57"/>
  <c r="T246" i="57"/>
  <c r="T200" i="57"/>
  <c r="T244" i="57"/>
  <c r="T202" i="57"/>
  <c r="T170" i="57"/>
  <c r="T26" i="57"/>
  <c r="T156" i="57"/>
  <c r="T104" i="57"/>
  <c r="T103" i="57"/>
  <c r="T52" i="57"/>
  <c r="L164" i="57"/>
  <c r="T169" i="57"/>
  <c r="T63" i="57"/>
  <c r="T143" i="57"/>
  <c r="T48" i="57"/>
  <c r="T214" i="57"/>
  <c r="T236" i="57"/>
  <c r="T184" i="57"/>
  <c r="T180" i="57"/>
  <c r="T123" i="57"/>
  <c r="T81" i="57"/>
  <c r="L32" i="57"/>
  <c r="T261" i="57"/>
  <c r="T145" i="57"/>
  <c r="T242" i="57"/>
  <c r="T159" i="57"/>
  <c r="T162" i="57"/>
  <c r="T46" i="57"/>
  <c r="T70" i="57"/>
  <c r="T189" i="57"/>
  <c r="L109" i="57"/>
  <c r="L87" i="57"/>
  <c r="T222" i="57"/>
  <c r="T173" i="57"/>
  <c r="T118" i="57"/>
  <c r="T126" i="57"/>
  <c r="L175" i="57"/>
  <c r="L252" i="57"/>
  <c r="T299" i="57"/>
  <c r="T297" i="57"/>
  <c r="T334" i="57"/>
  <c r="T290" i="57"/>
  <c r="T275" i="57"/>
  <c r="L318" i="57"/>
  <c r="T324" i="57"/>
  <c r="T332" i="57"/>
  <c r="T308" i="57"/>
  <c r="T310" i="57"/>
  <c r="T115" i="57"/>
  <c r="T191" i="57"/>
  <c r="L923" i="57"/>
  <c r="T217" i="57"/>
  <c r="T181" i="57"/>
  <c r="T176" i="57"/>
  <c r="T82" i="57"/>
  <c r="T77" i="57"/>
  <c r="T74" i="57"/>
  <c r="T37" i="57"/>
  <c r="T27" i="57"/>
  <c r="T195" i="57"/>
  <c r="T68" i="57"/>
  <c r="T148" i="57"/>
  <c r="T107" i="57"/>
  <c r="L186" i="57"/>
  <c r="T206" i="57"/>
  <c r="T66" i="57"/>
  <c r="T44" i="57"/>
  <c r="T22" i="57"/>
  <c r="T154" i="57"/>
  <c r="L230" i="57"/>
  <c r="T187" i="57"/>
  <c r="T926" i="57"/>
  <c r="L219" i="57"/>
  <c r="T233" i="57"/>
  <c r="T224" i="57"/>
  <c r="T253" i="57"/>
  <c r="T258" i="57"/>
  <c r="T346" i="57"/>
  <c r="L340" i="57"/>
  <c r="L296" i="57"/>
  <c r="T301" i="57"/>
  <c r="T279" i="57"/>
  <c r="T316" i="57"/>
  <c r="T321" i="57"/>
  <c r="T335" i="57"/>
  <c r="T277" i="57"/>
  <c r="T312" i="57"/>
  <c r="T71" i="57"/>
  <c r="I281" i="59"/>
  <c r="U287" i="59"/>
  <c r="X287" i="59" s="1"/>
  <c r="Q284" i="59"/>
  <c r="T284" i="59" s="1"/>
  <c r="E282" i="59"/>
  <c r="H282" i="59" s="1"/>
  <c r="U289" i="59"/>
  <c r="Q281" i="59"/>
  <c r="E281" i="59"/>
  <c r="U284" i="59"/>
  <c r="X284" i="59" s="1"/>
  <c r="Q287" i="59"/>
  <c r="T287" i="59" s="1"/>
  <c r="U281" i="59"/>
  <c r="I282" i="59"/>
  <c r="L282" i="59" s="1"/>
  <c r="U331" i="60"/>
  <c r="X331" i="60" s="1"/>
  <c r="I326" i="60"/>
  <c r="L326" i="60" s="1"/>
  <c r="E337" i="60"/>
  <c r="Q278" i="60"/>
  <c r="T278" i="60" s="1"/>
  <c r="U311" i="60"/>
  <c r="X311" i="60" s="1"/>
  <c r="I238" i="60"/>
  <c r="L238" i="60" s="1"/>
  <c r="Q314" i="60"/>
  <c r="U245" i="60"/>
  <c r="X245" i="60" s="1"/>
  <c r="Q317" i="60"/>
  <c r="T317" i="60" s="1"/>
  <c r="Q245" i="60"/>
  <c r="T245" i="60" s="1"/>
  <c r="U322" i="60"/>
  <c r="X322" i="60" s="1"/>
  <c r="U234" i="60"/>
  <c r="X234" i="60" s="1"/>
  <c r="Q237" i="60"/>
  <c r="T237" i="60" s="1"/>
  <c r="Q240" i="60"/>
  <c r="T240" i="60" s="1"/>
  <c r="E237" i="60"/>
  <c r="H237" i="60" s="1"/>
  <c r="E314" i="60"/>
  <c r="H314" i="60" s="1"/>
  <c r="U314" i="60"/>
  <c r="X314" i="60" s="1"/>
  <c r="U317" i="60"/>
  <c r="X317" i="60" s="1"/>
  <c r="U237" i="60"/>
  <c r="X237" i="60" s="1"/>
  <c r="U240" i="60"/>
  <c r="X240" i="60" s="1"/>
  <c r="I237" i="60"/>
  <c r="L237" i="60" s="1"/>
  <c r="I314" i="60"/>
  <c r="L314" i="60" s="1"/>
  <c r="Q320" i="60"/>
  <c r="T320" i="60" s="1"/>
  <c r="E315" i="60"/>
  <c r="H315" i="60" s="1"/>
  <c r="E238" i="60"/>
  <c r="H238" i="60" s="1"/>
  <c r="U243" i="60"/>
  <c r="X243" i="60" s="1"/>
  <c r="U320" i="60"/>
  <c r="X320" i="60" s="1"/>
  <c r="Q322" i="60"/>
  <c r="T322" i="60" s="1"/>
  <c r="Z446" i="60"/>
  <c r="AC451" i="60" s="1"/>
  <c r="X306" i="60"/>
  <c r="Q331" i="60"/>
  <c r="T331" i="60" s="1"/>
  <c r="I270" i="60"/>
  <c r="L270" i="60" s="1"/>
  <c r="E271" i="60"/>
  <c r="H271" i="60" s="1"/>
  <c r="Q333" i="60"/>
  <c r="T333" i="60" s="1"/>
  <c r="U276" i="60"/>
  <c r="X276" i="60" s="1"/>
  <c r="I271" i="60"/>
  <c r="L271" i="60" s="1"/>
  <c r="Q342" i="60"/>
  <c r="T342" i="60" s="1"/>
  <c r="I325" i="60"/>
  <c r="L325" i="60" s="1"/>
  <c r="E326" i="60"/>
  <c r="H326" i="60" s="1"/>
  <c r="Q276" i="60"/>
  <c r="T276" i="60" s="1"/>
  <c r="X273" i="60"/>
  <c r="U333" i="60"/>
  <c r="X333" i="60" s="1"/>
  <c r="Q325" i="60"/>
  <c r="T325" i="60" s="1"/>
  <c r="Q328" i="60"/>
  <c r="T328" i="60" s="1"/>
  <c r="U278" i="60"/>
  <c r="X278" i="60" s="1"/>
  <c r="Q270" i="60"/>
  <c r="Q273" i="60"/>
  <c r="T273" i="60" s="1"/>
  <c r="I336" i="60"/>
  <c r="L336" i="60" s="1"/>
  <c r="E325" i="60"/>
  <c r="H325" i="60" s="1"/>
  <c r="U325" i="60"/>
  <c r="X325" i="60" s="1"/>
  <c r="E270" i="60"/>
  <c r="H270" i="60" s="1"/>
  <c r="U270" i="60"/>
  <c r="X270" i="60" s="1"/>
  <c r="Q292" i="60"/>
  <c r="T292" i="60" s="1"/>
  <c r="Q303" i="60"/>
  <c r="Q295" i="60"/>
  <c r="T295" i="60" s="1"/>
  <c r="Q306" i="60"/>
  <c r="T306" i="60" s="1"/>
  <c r="Z468" i="60"/>
  <c r="AC473" i="60" s="1"/>
  <c r="U300" i="60"/>
  <c r="X300" i="60" s="1"/>
  <c r="I303" i="60"/>
  <c r="L303" i="60" s="1"/>
  <c r="Q309" i="60"/>
  <c r="T309" i="60" s="1"/>
  <c r="E304" i="60"/>
  <c r="H304" i="60" s="1"/>
  <c r="I292" i="60"/>
  <c r="L292" i="60" s="1"/>
  <c r="Q298" i="60"/>
  <c r="T298" i="60" s="1"/>
  <c r="E293" i="60"/>
  <c r="H293" i="60" s="1"/>
  <c r="U309" i="60"/>
  <c r="X309" i="60" s="1"/>
  <c r="Q311" i="60"/>
  <c r="T311" i="60" s="1"/>
  <c r="I304" i="60"/>
  <c r="L304" i="60" s="1"/>
  <c r="U298" i="60"/>
  <c r="X298" i="60" s="1"/>
  <c r="Q300" i="60"/>
  <c r="T300" i="60" s="1"/>
  <c r="I293" i="60"/>
  <c r="L293" i="60" s="1"/>
  <c r="E303" i="60"/>
  <c r="H303" i="60" s="1"/>
  <c r="U303" i="60"/>
  <c r="E292" i="60"/>
  <c r="H292" i="60" s="1"/>
  <c r="U292" i="60"/>
  <c r="X292" i="60" s="1"/>
  <c r="U289" i="60"/>
  <c r="X289" i="60" s="1"/>
  <c r="Q281" i="60"/>
  <c r="Q284" i="60"/>
  <c r="T284" i="60" s="1"/>
  <c r="L282" i="60"/>
  <c r="H337" i="60"/>
  <c r="E281" i="60"/>
  <c r="U281" i="60"/>
  <c r="X281" i="60" s="1"/>
  <c r="U284" i="60"/>
  <c r="X284" i="60" s="1"/>
  <c r="L315" i="60"/>
  <c r="I281" i="60"/>
  <c r="L281" i="60" s="1"/>
  <c r="Q287" i="60"/>
  <c r="T287" i="60" s="1"/>
  <c r="E282" i="60"/>
  <c r="H282" i="60" s="1"/>
  <c r="U287" i="60"/>
  <c r="X287" i="60" s="1"/>
  <c r="Q289" i="60"/>
  <c r="T289" i="60" s="1"/>
  <c r="Y292" i="60"/>
  <c r="AC297" i="60" s="1"/>
  <c r="X339" i="60"/>
  <c r="U342" i="60"/>
  <c r="X342" i="60" s="1"/>
  <c r="Q344" i="60"/>
  <c r="T344" i="60" s="1"/>
  <c r="I337" i="60"/>
  <c r="L337" i="60" s="1"/>
  <c r="X328" i="60"/>
  <c r="U344" i="60"/>
  <c r="X344" i="60" s="1"/>
  <c r="Q336" i="60"/>
  <c r="Q339" i="60"/>
  <c r="T339" i="60" s="1"/>
  <c r="E336" i="60"/>
  <c r="H336" i="60" s="1"/>
  <c r="U336" i="60"/>
  <c r="X295" i="60"/>
  <c r="Y237" i="60"/>
  <c r="AC243" i="60" s="1"/>
  <c r="Y325" i="60"/>
  <c r="AC331" i="60" s="1"/>
  <c r="T243" i="60"/>
  <c r="T289" i="59"/>
  <c r="E237" i="59"/>
  <c r="H237" i="59" s="1"/>
  <c r="I238" i="59"/>
  <c r="L238" i="59" s="1"/>
  <c r="Q245" i="59"/>
  <c r="T245" i="59" s="1"/>
  <c r="Q243" i="59"/>
  <c r="T243" i="59" s="1"/>
  <c r="U237" i="59"/>
  <c r="X237" i="59" s="1"/>
  <c r="U240" i="59"/>
  <c r="X240" i="59" s="1"/>
  <c r="I237" i="59"/>
  <c r="L237" i="59" s="1"/>
  <c r="U245" i="59"/>
  <c r="X245" i="59" s="1"/>
  <c r="U243" i="59"/>
  <c r="X243" i="59" s="1"/>
  <c r="Q240" i="59"/>
  <c r="T240" i="59" s="1"/>
  <c r="E238" i="59"/>
  <c r="H238" i="59" s="1"/>
  <c r="Q237" i="59"/>
  <c r="T237" i="59" s="1"/>
  <c r="Y237" i="59"/>
  <c r="AC243" i="59" s="1"/>
  <c r="Z248" i="59"/>
  <c r="AC253" i="59" s="1"/>
  <c r="Z259" i="59"/>
  <c r="AC264" i="59" s="1"/>
  <c r="Z457" i="59"/>
  <c r="AC462" i="59" s="1"/>
  <c r="Z468" i="59"/>
  <c r="AC473" i="59" s="1"/>
  <c r="Z479" i="59"/>
  <c r="AC484" i="59" s="1"/>
  <c r="Q485" i="60"/>
  <c r="Q496" i="60"/>
  <c r="Q12" i="60"/>
  <c r="T12" i="60" s="1"/>
  <c r="Q474" i="60"/>
  <c r="Q463" i="60"/>
  <c r="Q452" i="60"/>
  <c r="Q333" i="57"/>
  <c r="T333" i="57" s="1"/>
  <c r="I227" i="60"/>
  <c r="L227" i="60" s="1"/>
  <c r="I226" i="60"/>
  <c r="L226" i="60" s="1"/>
  <c r="U270" i="57"/>
  <c r="U278" i="57"/>
  <c r="X278" i="57" s="1"/>
  <c r="U298" i="57"/>
  <c r="X298" i="57" s="1"/>
  <c r="U317" i="57"/>
  <c r="X317" i="57" s="1"/>
  <c r="Q281" i="57"/>
  <c r="I314" i="57"/>
  <c r="E281" i="57"/>
  <c r="Q317" i="57"/>
  <c r="T317" i="57" s="1"/>
  <c r="U344" i="57"/>
  <c r="X344" i="57" s="1"/>
  <c r="U229" i="60"/>
  <c r="X229" i="60" s="1"/>
  <c r="U226" i="60"/>
  <c r="X226" i="60" s="1"/>
  <c r="U232" i="60"/>
  <c r="X232" i="60" s="1"/>
  <c r="U273" i="57"/>
  <c r="X273" i="57" s="1"/>
  <c r="E271" i="57"/>
  <c r="H271" i="57" s="1"/>
  <c r="Q270" i="57"/>
  <c r="Q295" i="57"/>
  <c r="T295" i="57" s="1"/>
  <c r="Q278" i="57"/>
  <c r="T278" i="57" s="1"/>
  <c r="Q273" i="57"/>
  <c r="T273" i="57" s="1"/>
  <c r="I271" i="57"/>
  <c r="L271" i="57" s="1"/>
  <c r="I270" i="57"/>
  <c r="L270" i="57" s="1"/>
  <c r="U276" i="57"/>
  <c r="X276" i="57" s="1"/>
  <c r="Q292" i="57"/>
  <c r="E336" i="57"/>
  <c r="Q226" i="60"/>
  <c r="T226" i="60" s="1"/>
  <c r="Q229" i="60"/>
  <c r="T229" i="60" s="1"/>
  <c r="Q232" i="60"/>
  <c r="T232" i="60" s="1"/>
  <c r="Q289" i="57"/>
  <c r="T289" i="57" s="1"/>
  <c r="Q336" i="57"/>
  <c r="E227" i="60"/>
  <c r="H227" i="60" s="1"/>
  <c r="E226" i="60"/>
  <c r="H226" i="60" s="1"/>
  <c r="I304" i="57"/>
  <c r="L304" i="57" s="1"/>
  <c r="E303" i="57"/>
  <c r="H303" i="57" s="1"/>
  <c r="I293" i="59"/>
  <c r="L293" i="59" s="1"/>
  <c r="E292" i="59"/>
  <c r="U306" i="57"/>
  <c r="X306" i="57" s="1"/>
  <c r="I303" i="57"/>
  <c r="L303" i="57" s="1"/>
  <c r="Q306" i="57"/>
  <c r="T306" i="57" s="1"/>
  <c r="I292" i="59"/>
  <c r="L292" i="59" s="1"/>
  <c r="U295" i="59"/>
  <c r="X295" i="59" s="1"/>
  <c r="Q303" i="57"/>
  <c r="U309" i="57"/>
  <c r="X309" i="57" s="1"/>
  <c r="U303" i="57"/>
  <c r="U298" i="59"/>
  <c r="X298" i="59" s="1"/>
  <c r="U292" i="59"/>
  <c r="X292" i="59" s="1"/>
  <c r="Q311" i="57"/>
  <c r="T311" i="57" s="1"/>
  <c r="E304" i="57"/>
  <c r="H304" i="57" s="1"/>
  <c r="E293" i="59"/>
  <c r="H293" i="59" s="1"/>
  <c r="U300" i="59"/>
  <c r="X300" i="59" s="1"/>
  <c r="Q300" i="59"/>
  <c r="T300" i="59" s="1"/>
  <c r="X311" i="57"/>
  <c r="Q314" i="57"/>
  <c r="U320" i="57"/>
  <c r="X320" i="57" s="1"/>
  <c r="U314" i="57"/>
  <c r="X314" i="57" s="1"/>
  <c r="U284" i="57"/>
  <c r="X284" i="57" s="1"/>
  <c r="Q284" i="57"/>
  <c r="T284" i="57" s="1"/>
  <c r="U289" i="57"/>
  <c r="X289" i="57" s="1"/>
  <c r="I336" i="57"/>
  <c r="L336" i="57" s="1"/>
  <c r="I337" i="57"/>
  <c r="L337" i="57" s="1"/>
  <c r="E326" i="57"/>
  <c r="H326" i="57" s="1"/>
  <c r="Q322" i="57"/>
  <c r="T322" i="57" s="1"/>
  <c r="E315" i="57"/>
  <c r="H315" i="57" s="1"/>
  <c r="U322" i="57"/>
  <c r="X322" i="57" s="1"/>
  <c r="E282" i="57"/>
  <c r="H282" i="57" s="1"/>
  <c r="U287" i="57"/>
  <c r="X287" i="57" s="1"/>
  <c r="U342" i="57"/>
  <c r="X342" i="57" s="1"/>
  <c r="Q339" i="57"/>
  <c r="T339" i="57" s="1"/>
  <c r="Q344" i="57"/>
  <c r="T344" i="57" s="1"/>
  <c r="U333" i="57"/>
  <c r="X333" i="57" s="1"/>
  <c r="I315" i="57"/>
  <c r="L315" i="57" s="1"/>
  <c r="I281" i="57"/>
  <c r="L281" i="57" s="1"/>
  <c r="I282" i="57"/>
  <c r="L282" i="57" s="1"/>
  <c r="E337" i="57"/>
  <c r="H337" i="57" s="1"/>
  <c r="U339" i="57"/>
  <c r="X339" i="57" s="1"/>
  <c r="Q443" i="60"/>
  <c r="X300" i="57"/>
  <c r="I292" i="57"/>
  <c r="L292" i="57" s="1"/>
  <c r="E292" i="57"/>
  <c r="H292" i="57" s="1"/>
  <c r="U328" i="57"/>
  <c r="X328" i="57" s="1"/>
  <c r="I325" i="57"/>
  <c r="Q328" i="57"/>
  <c r="T328" i="57" s="1"/>
  <c r="U295" i="57"/>
  <c r="X295" i="57" s="1"/>
  <c r="U292" i="57"/>
  <c r="X292" i="57" s="1"/>
  <c r="I293" i="57"/>
  <c r="L293" i="57" s="1"/>
  <c r="Q325" i="57"/>
  <c r="U331" i="57"/>
  <c r="X331" i="57" s="1"/>
  <c r="U325" i="57"/>
  <c r="Q300" i="57"/>
  <c r="T300" i="57" s="1"/>
  <c r="E293" i="57"/>
  <c r="H293" i="57" s="1"/>
  <c r="I326" i="57"/>
  <c r="L326" i="57" s="1"/>
  <c r="Q295" i="59"/>
  <c r="T295" i="59" s="1"/>
  <c r="Q292" i="59"/>
  <c r="U262" i="60"/>
  <c r="X262" i="60" s="1"/>
  <c r="Q262" i="60"/>
  <c r="T262" i="60" s="1"/>
  <c r="I260" i="60"/>
  <c r="L260" i="60" s="1"/>
  <c r="E260" i="60"/>
  <c r="H260" i="60" s="1"/>
  <c r="U259" i="60"/>
  <c r="X259" i="60" s="1"/>
  <c r="Q259" i="60"/>
  <c r="Q267" i="60"/>
  <c r="T267" i="60" s="1"/>
  <c r="Q265" i="60"/>
  <c r="T265" i="60" s="1"/>
  <c r="E259" i="60"/>
  <c r="H259" i="60" s="1"/>
  <c r="U267" i="60"/>
  <c r="X267" i="60" s="1"/>
  <c r="U265" i="60"/>
  <c r="X265" i="60" s="1"/>
  <c r="I259" i="60"/>
  <c r="L259" i="60" s="1"/>
  <c r="T234" i="60"/>
  <c r="H205" i="60"/>
  <c r="T207" i="60"/>
  <c r="H204" i="60"/>
  <c r="T210" i="60"/>
  <c r="T212" i="60"/>
  <c r="T193" i="60"/>
  <c r="H194" i="60"/>
  <c r="T196" i="60"/>
  <c r="H193" i="60"/>
  <c r="T199" i="60"/>
  <c r="T201" i="60"/>
  <c r="U223" i="60"/>
  <c r="X223" i="60" s="1"/>
  <c r="Q223" i="60"/>
  <c r="T223" i="60" s="1"/>
  <c r="U221" i="60"/>
  <c r="X221" i="60" s="1"/>
  <c r="Q221" i="60"/>
  <c r="T221" i="60" s="1"/>
  <c r="I215" i="60"/>
  <c r="L215" i="60" s="1"/>
  <c r="E215" i="60"/>
  <c r="H215" i="60" s="1"/>
  <c r="U218" i="60"/>
  <c r="X218" i="60" s="1"/>
  <c r="Q218" i="60"/>
  <c r="T218" i="60" s="1"/>
  <c r="I216" i="60"/>
  <c r="L216" i="60" s="1"/>
  <c r="E216" i="60"/>
  <c r="H216" i="60" s="1"/>
  <c r="U215" i="60"/>
  <c r="X215" i="60" s="1"/>
  <c r="Q215" i="60"/>
  <c r="X204" i="60"/>
  <c r="L205" i="60"/>
  <c r="X207" i="60"/>
  <c r="L204" i="60"/>
  <c r="X210" i="60"/>
  <c r="X212" i="60"/>
  <c r="X193" i="60"/>
  <c r="L194" i="60"/>
  <c r="X196" i="60"/>
  <c r="L193" i="60"/>
  <c r="X199" i="60"/>
  <c r="X201" i="60"/>
  <c r="Q179" i="59"/>
  <c r="Q177" i="59"/>
  <c r="Q171" i="59"/>
  <c r="Q174" i="59"/>
  <c r="T452" i="59"/>
  <c r="Q12" i="59"/>
  <c r="Q223" i="59"/>
  <c r="Q221" i="59"/>
  <c r="T221" i="59" s="1"/>
  <c r="Q215" i="59"/>
  <c r="Q218" i="59"/>
  <c r="T218" i="59" s="1"/>
  <c r="Q119" i="59"/>
  <c r="T119" i="59" s="1"/>
  <c r="Q124" i="59"/>
  <c r="T124" i="59" s="1"/>
  <c r="Q122" i="59"/>
  <c r="T122" i="59" s="1"/>
  <c r="Q116" i="59"/>
  <c r="Q75" i="59"/>
  <c r="T75" i="59" s="1"/>
  <c r="Q80" i="59"/>
  <c r="T80" i="59" s="1"/>
  <c r="Q78" i="59"/>
  <c r="T78" i="59" s="1"/>
  <c r="Q72" i="59"/>
  <c r="Q201" i="59"/>
  <c r="T201" i="59" s="1"/>
  <c r="Q199" i="59"/>
  <c r="T199" i="59" s="1"/>
  <c r="Q193" i="59"/>
  <c r="Q196" i="59"/>
  <c r="T196" i="59" s="1"/>
  <c r="Q157" i="59"/>
  <c r="Q155" i="59"/>
  <c r="T155" i="59" s="1"/>
  <c r="Q149" i="59"/>
  <c r="Q152" i="59"/>
  <c r="T152" i="59" s="1"/>
  <c r="Q97" i="59"/>
  <c r="T97" i="59" s="1"/>
  <c r="Q102" i="59"/>
  <c r="T102" i="59" s="1"/>
  <c r="Q100" i="59"/>
  <c r="T100" i="59" s="1"/>
  <c r="Q94" i="59"/>
  <c r="Q53" i="59"/>
  <c r="T53" i="59" s="1"/>
  <c r="Q58" i="59"/>
  <c r="T58" i="59" s="1"/>
  <c r="Q56" i="59"/>
  <c r="T56" i="59" s="1"/>
  <c r="Q50" i="59"/>
  <c r="Q229" i="59"/>
  <c r="T229" i="59" s="1"/>
  <c r="Q234" i="59"/>
  <c r="T234" i="59" s="1"/>
  <c r="Q232" i="59"/>
  <c r="T232" i="59" s="1"/>
  <c r="Q226" i="59"/>
  <c r="Q207" i="59"/>
  <c r="T207" i="59" s="1"/>
  <c r="Q212" i="59"/>
  <c r="Q210" i="59"/>
  <c r="T210" i="59" s="1"/>
  <c r="Q204" i="59"/>
  <c r="Q185" i="59"/>
  <c r="T185" i="59" s="1"/>
  <c r="Q190" i="59"/>
  <c r="T190" i="59" s="1"/>
  <c r="Q188" i="59"/>
  <c r="T188" i="59" s="1"/>
  <c r="Q182" i="59"/>
  <c r="Q163" i="59"/>
  <c r="T163" i="59" s="1"/>
  <c r="Q168" i="59"/>
  <c r="T168" i="59" s="1"/>
  <c r="Q166" i="59"/>
  <c r="T166" i="59" s="1"/>
  <c r="Q160" i="59"/>
  <c r="Q141" i="59"/>
  <c r="T141" i="59" s="1"/>
  <c r="Q146" i="59"/>
  <c r="T146" i="59" s="1"/>
  <c r="Q144" i="59"/>
  <c r="T144" i="59" s="1"/>
  <c r="Q138" i="59"/>
  <c r="Q113" i="59"/>
  <c r="T113" i="59" s="1"/>
  <c r="Q111" i="59"/>
  <c r="T111" i="59" s="1"/>
  <c r="Q105" i="59"/>
  <c r="Q108" i="59"/>
  <c r="T108" i="59" s="1"/>
  <c r="Q69" i="59"/>
  <c r="T69" i="59" s="1"/>
  <c r="Q67" i="59"/>
  <c r="T67" i="59" s="1"/>
  <c r="Q61" i="59"/>
  <c r="Q64" i="59"/>
  <c r="T64" i="59" s="1"/>
  <c r="Q377" i="59"/>
  <c r="T377" i="59" s="1"/>
  <c r="Q375" i="59"/>
  <c r="T375" i="59" s="1"/>
  <c r="Q369" i="59"/>
  <c r="Q372" i="59"/>
  <c r="T372" i="59" s="1"/>
  <c r="Q333" i="59"/>
  <c r="T333" i="59" s="1"/>
  <c r="Q331" i="59"/>
  <c r="T331" i="59" s="1"/>
  <c r="Q325" i="59"/>
  <c r="Q328" i="59"/>
  <c r="T328" i="59" s="1"/>
  <c r="Q311" i="59"/>
  <c r="T311" i="59" s="1"/>
  <c r="Q309" i="59"/>
  <c r="T309" i="59" s="1"/>
  <c r="Q303" i="59"/>
  <c r="Q306" i="59"/>
  <c r="T306" i="59" s="1"/>
  <c r="Q339" i="59"/>
  <c r="T339" i="59" s="1"/>
  <c r="Q344" i="59"/>
  <c r="T344" i="59" s="1"/>
  <c r="Q342" i="59"/>
  <c r="T342" i="59" s="1"/>
  <c r="Q336" i="59"/>
  <c r="Q317" i="59"/>
  <c r="T317" i="59" s="1"/>
  <c r="Q322" i="59"/>
  <c r="T322" i="59" s="1"/>
  <c r="Q320" i="59"/>
  <c r="T320" i="59" s="1"/>
  <c r="Q314" i="59"/>
  <c r="Q31" i="59"/>
  <c r="T31" i="59" s="1"/>
  <c r="Q36" i="59"/>
  <c r="Q34" i="59"/>
  <c r="T34" i="59" s="1"/>
  <c r="Q28" i="59"/>
  <c r="Q91" i="59"/>
  <c r="T91" i="59" s="1"/>
  <c r="Q89" i="59"/>
  <c r="T89" i="59" s="1"/>
  <c r="Q83" i="59"/>
  <c r="Q86" i="59"/>
  <c r="T86" i="59" s="1"/>
  <c r="Q47" i="59"/>
  <c r="Q45" i="59"/>
  <c r="T45" i="59" s="1"/>
  <c r="Q39" i="59"/>
  <c r="Q42" i="59"/>
  <c r="T42" i="59" s="1"/>
  <c r="Q355" i="59"/>
  <c r="T355" i="59" s="1"/>
  <c r="Q353" i="59"/>
  <c r="T353" i="59" s="1"/>
  <c r="Q347" i="59"/>
  <c r="Q350" i="59"/>
  <c r="T350" i="59" s="1"/>
  <c r="Q273" i="59"/>
  <c r="T273" i="59" s="1"/>
  <c r="Q278" i="59"/>
  <c r="T278" i="59" s="1"/>
  <c r="Q276" i="59"/>
  <c r="T276" i="59" s="1"/>
  <c r="Q270" i="59"/>
  <c r="Q361" i="59"/>
  <c r="T361" i="59" s="1"/>
  <c r="Q366" i="59"/>
  <c r="T366" i="59" s="1"/>
  <c r="Q364" i="59"/>
  <c r="T364" i="59" s="1"/>
  <c r="Q358" i="59"/>
  <c r="X281" i="57"/>
  <c r="U333" i="59"/>
  <c r="X333" i="59" s="1"/>
  <c r="U325" i="59"/>
  <c r="X325" i="59" s="1"/>
  <c r="U328" i="59"/>
  <c r="X328" i="59" s="1"/>
  <c r="E325" i="59"/>
  <c r="H325" i="59" s="1"/>
  <c r="E326" i="59"/>
  <c r="H326" i="59" s="1"/>
  <c r="U331" i="59"/>
  <c r="X331" i="59" s="1"/>
  <c r="I326" i="59"/>
  <c r="L326" i="59" s="1"/>
  <c r="I325" i="59"/>
  <c r="L325" i="59" s="1"/>
  <c r="U278" i="59"/>
  <c r="U270" i="59"/>
  <c r="U273" i="59"/>
  <c r="X273" i="59" s="1"/>
  <c r="E270" i="59"/>
  <c r="E271" i="59"/>
  <c r="H271" i="59" s="1"/>
  <c r="U276" i="59"/>
  <c r="X276" i="59" s="1"/>
  <c r="I270" i="59"/>
  <c r="L270" i="59" s="1"/>
  <c r="I271" i="59"/>
  <c r="L271" i="59" s="1"/>
  <c r="U322" i="59"/>
  <c r="X322" i="59" s="1"/>
  <c r="U317" i="59"/>
  <c r="X317" i="59" s="1"/>
  <c r="E315" i="59"/>
  <c r="H315" i="59" s="1"/>
  <c r="E314" i="59"/>
  <c r="U320" i="59"/>
  <c r="X320" i="59" s="1"/>
  <c r="U314" i="59"/>
  <c r="X314" i="59" s="1"/>
  <c r="I314" i="59"/>
  <c r="L314" i="59" s="1"/>
  <c r="I315" i="59"/>
  <c r="L315" i="59" s="1"/>
  <c r="U377" i="59"/>
  <c r="X377" i="59" s="1"/>
  <c r="I369" i="59"/>
  <c r="L369" i="59" s="1"/>
  <c r="I370" i="59"/>
  <c r="L370" i="59" s="1"/>
  <c r="U369" i="59"/>
  <c r="E369" i="59"/>
  <c r="U372" i="59"/>
  <c r="X372" i="59" s="1"/>
  <c r="E370" i="59"/>
  <c r="H370" i="59" s="1"/>
  <c r="U375" i="59"/>
  <c r="X375" i="59" s="1"/>
  <c r="U355" i="59"/>
  <c r="X355" i="59" s="1"/>
  <c r="U347" i="59"/>
  <c r="X347" i="59" s="1"/>
  <c r="U350" i="59"/>
  <c r="X350" i="59" s="1"/>
  <c r="E347" i="59"/>
  <c r="E348" i="59"/>
  <c r="H348" i="59" s="1"/>
  <c r="U353" i="59"/>
  <c r="X353" i="59" s="1"/>
  <c r="I348" i="59"/>
  <c r="L348" i="59" s="1"/>
  <c r="I347" i="59"/>
  <c r="U311" i="59"/>
  <c r="X311" i="59" s="1"/>
  <c r="I303" i="59"/>
  <c r="L303" i="59" s="1"/>
  <c r="I304" i="59"/>
  <c r="L304" i="59" s="1"/>
  <c r="U303" i="59"/>
  <c r="E303" i="59"/>
  <c r="U306" i="59"/>
  <c r="X306" i="59" s="1"/>
  <c r="E304" i="59"/>
  <c r="H304" i="59" s="1"/>
  <c r="U309" i="59"/>
  <c r="X309" i="59" s="1"/>
  <c r="I359" i="59"/>
  <c r="L359" i="59" s="1"/>
  <c r="I358" i="59"/>
  <c r="E358" i="59"/>
  <c r="H358" i="59" s="1"/>
  <c r="U361" i="59"/>
  <c r="X361" i="59" s="1"/>
  <c r="U358" i="59"/>
  <c r="X358" i="59" s="1"/>
  <c r="U366" i="59"/>
  <c r="X366" i="59" s="1"/>
  <c r="E359" i="59"/>
  <c r="H359" i="59" s="1"/>
  <c r="U364" i="59"/>
  <c r="X364" i="59" s="1"/>
  <c r="U344" i="59"/>
  <c r="X344" i="59" s="1"/>
  <c r="U336" i="59"/>
  <c r="U339" i="59"/>
  <c r="X339" i="59" s="1"/>
  <c r="E336" i="59"/>
  <c r="H336" i="59" s="1"/>
  <c r="E337" i="59"/>
  <c r="H337" i="59" s="1"/>
  <c r="U342" i="59"/>
  <c r="X342" i="59" s="1"/>
  <c r="I337" i="59"/>
  <c r="L337" i="59" s="1"/>
  <c r="I336" i="59"/>
  <c r="L336" i="59" s="1"/>
  <c r="T430" i="59"/>
  <c r="T419" i="59"/>
  <c r="T397" i="59"/>
  <c r="T408" i="59"/>
  <c r="T386" i="59"/>
  <c r="T496" i="59"/>
  <c r="T441" i="59"/>
  <c r="T298" i="59"/>
  <c r="Q28" i="57"/>
  <c r="Q438" i="60"/>
  <c r="U438" i="60"/>
  <c r="U443" i="60"/>
  <c r="U441" i="60"/>
  <c r="E435" i="60"/>
  <c r="U435" i="60"/>
  <c r="E436" i="60"/>
  <c r="Q435" i="60"/>
  <c r="I435" i="60"/>
  <c r="A49" i="26"/>
  <c r="Q256" i="57"/>
  <c r="T256" i="57" s="1"/>
  <c r="Q248" i="57"/>
  <c r="I249" i="57"/>
  <c r="L249" i="57" s="1"/>
  <c r="U256" i="57"/>
  <c r="E248" i="57"/>
  <c r="U248" i="57"/>
  <c r="U254" i="57"/>
  <c r="X254" i="57" s="1"/>
  <c r="U251" i="57"/>
  <c r="X251" i="57" s="1"/>
  <c r="I248" i="57"/>
  <c r="E249" i="57"/>
  <c r="Q251" i="57"/>
  <c r="T251" i="57" s="1"/>
  <c r="U47" i="57"/>
  <c r="X47" i="57" s="1"/>
  <c r="U927" i="57"/>
  <c r="X927" i="57" s="1"/>
  <c r="Q927" i="57"/>
  <c r="T927" i="57" s="1"/>
  <c r="U925" i="57"/>
  <c r="X925" i="57" s="1"/>
  <c r="E920" i="57"/>
  <c r="H920" i="57" s="1"/>
  <c r="U116" i="57"/>
  <c r="I920" i="57"/>
  <c r="L920" i="57" s="1"/>
  <c r="E117" i="57"/>
  <c r="H117" i="57" s="1"/>
  <c r="U124" i="57"/>
  <c r="U119" i="57"/>
  <c r="I51" i="57"/>
  <c r="L51" i="57" s="1"/>
  <c r="E205" i="57"/>
  <c r="H205" i="57" s="1"/>
  <c r="I116" i="57"/>
  <c r="L116" i="57" s="1"/>
  <c r="Q119" i="57"/>
  <c r="T119" i="57" s="1"/>
  <c r="Q212" i="57"/>
  <c r="Q17" i="57"/>
  <c r="T17" i="57" s="1"/>
  <c r="I138" i="57"/>
  <c r="L138" i="57" s="1"/>
  <c r="Q207" i="57"/>
  <c r="T207" i="57" s="1"/>
  <c r="E18" i="57"/>
  <c r="U31" i="57"/>
  <c r="X31" i="57" s="1"/>
  <c r="U28" i="57"/>
  <c r="U100" i="57"/>
  <c r="X100" i="57" s="1"/>
  <c r="E28" i="57"/>
  <c r="E29" i="57"/>
  <c r="H29" i="57" s="1"/>
  <c r="Q14" i="60"/>
  <c r="T14" i="60" s="1"/>
  <c r="U34" i="57"/>
  <c r="X34" i="57" s="1"/>
  <c r="I7" i="60"/>
  <c r="L7" i="60" s="1"/>
  <c r="I238" i="57"/>
  <c r="L238" i="57" s="1"/>
  <c r="U174" i="57"/>
  <c r="U45" i="57"/>
  <c r="X45" i="57" s="1"/>
  <c r="U102" i="57"/>
  <c r="X102" i="57" s="1"/>
  <c r="I117" i="57"/>
  <c r="L117" i="57" s="1"/>
  <c r="E40" i="57"/>
  <c r="H40" i="57" s="1"/>
  <c r="U14" i="60"/>
  <c r="X14" i="60" s="1"/>
  <c r="I172" i="57"/>
  <c r="L172" i="57" s="1"/>
  <c r="E17" i="57"/>
  <c r="I94" i="57"/>
  <c r="L94" i="57" s="1"/>
  <c r="U138" i="57"/>
  <c r="Q47" i="57"/>
  <c r="Q6" i="60"/>
  <c r="E7" i="60"/>
  <c r="H7" i="60" s="1"/>
  <c r="U6" i="60"/>
  <c r="X6" i="60" s="1"/>
  <c r="U12" i="60"/>
  <c r="X12" i="60" s="1"/>
  <c r="Q441" i="60"/>
  <c r="E6" i="60"/>
  <c r="H6" i="60" s="1"/>
  <c r="U97" i="57"/>
  <c r="X97" i="57" s="1"/>
  <c r="Q94" i="57"/>
  <c r="U39" i="57"/>
  <c r="I39" i="57"/>
  <c r="L39" i="57" s="1"/>
  <c r="Q9" i="60"/>
  <c r="T9" i="60" s="1"/>
  <c r="I6" i="60"/>
  <c r="L6" i="60" s="1"/>
  <c r="U9" i="60"/>
  <c r="X9" i="60" s="1"/>
  <c r="U23" i="57"/>
  <c r="X23" i="57" s="1"/>
  <c r="Q20" i="57"/>
  <c r="T20" i="57" s="1"/>
  <c r="U149" i="57"/>
  <c r="E226" i="57"/>
  <c r="U199" i="57"/>
  <c r="X199" i="57" s="1"/>
  <c r="U75" i="57"/>
  <c r="X75" i="57" s="1"/>
  <c r="I61" i="57"/>
  <c r="L61" i="57" s="1"/>
  <c r="Q223" i="57"/>
  <c r="E182" i="57"/>
  <c r="Q240" i="57"/>
  <c r="T240" i="57" s="1"/>
  <c r="U221" i="57"/>
  <c r="X221" i="57" s="1"/>
  <c r="Q163" i="57"/>
  <c r="T163" i="57" s="1"/>
  <c r="Q75" i="57"/>
  <c r="T75" i="57" s="1"/>
  <c r="Q226" i="57"/>
  <c r="U78" i="57"/>
  <c r="X78" i="57" s="1"/>
  <c r="U152" i="57"/>
  <c r="X152" i="57" s="1"/>
  <c r="E61" i="57"/>
  <c r="H61" i="57" s="1"/>
  <c r="E215" i="57"/>
  <c r="U193" i="57"/>
  <c r="U163" i="57"/>
  <c r="X163" i="57" s="1"/>
  <c r="U190" i="57"/>
  <c r="X190" i="57" s="1"/>
  <c r="Q149" i="57"/>
  <c r="Q61" i="57"/>
  <c r="Q185" i="57"/>
  <c r="T185" i="57" s="1"/>
  <c r="T80" i="57"/>
  <c r="X185" i="57"/>
  <c r="I237" i="57"/>
  <c r="L237" i="57" s="1"/>
  <c r="E149" i="57"/>
  <c r="Q69" i="57"/>
  <c r="T69" i="57" s="1"/>
  <c r="U229" i="57"/>
  <c r="X229" i="57" s="1"/>
  <c r="U223" i="57"/>
  <c r="Q193" i="57"/>
  <c r="I193" i="57"/>
  <c r="Q160" i="57"/>
  <c r="E161" i="57"/>
  <c r="H161" i="57" s="1"/>
  <c r="U182" i="57"/>
  <c r="U188" i="57"/>
  <c r="X188" i="57" s="1"/>
  <c r="U72" i="57"/>
  <c r="I73" i="57"/>
  <c r="L73" i="57" s="1"/>
  <c r="Q922" i="57"/>
  <c r="T922" i="57" s="1"/>
  <c r="U922" i="57"/>
  <c r="X922" i="57" s="1"/>
  <c r="Q237" i="57"/>
  <c r="E237" i="57"/>
  <c r="U243" i="57"/>
  <c r="X243" i="57" s="1"/>
  <c r="I150" i="57"/>
  <c r="L150" i="57" s="1"/>
  <c r="U157" i="57"/>
  <c r="X157" i="57" s="1"/>
  <c r="Q157" i="57"/>
  <c r="U69" i="57"/>
  <c r="X69" i="57" s="1"/>
  <c r="Q64" i="57"/>
  <c r="T64" i="57" s="1"/>
  <c r="U64" i="57"/>
  <c r="X64" i="57" s="1"/>
  <c r="E227" i="57"/>
  <c r="U232" i="57"/>
  <c r="X232" i="57" s="1"/>
  <c r="Q234" i="57"/>
  <c r="T234" i="57" s="1"/>
  <c r="Q215" i="57"/>
  <c r="Q218" i="57"/>
  <c r="T218" i="57" s="1"/>
  <c r="I216" i="57"/>
  <c r="L216" i="57" s="1"/>
  <c r="I194" i="57"/>
  <c r="L194" i="57" s="1"/>
  <c r="U196" i="57"/>
  <c r="X196" i="57" s="1"/>
  <c r="E193" i="57"/>
  <c r="U160" i="57"/>
  <c r="I160" i="57"/>
  <c r="U168" i="57"/>
  <c r="X168" i="57" s="1"/>
  <c r="Q182" i="57"/>
  <c r="E183" i="57"/>
  <c r="H183" i="57" s="1"/>
  <c r="E72" i="57"/>
  <c r="Q72" i="57"/>
  <c r="E73" i="57"/>
  <c r="H73" i="57" s="1"/>
  <c r="U245" i="57"/>
  <c r="I62" i="57"/>
  <c r="L62" i="57" s="1"/>
  <c r="Q229" i="57"/>
  <c r="T229" i="57" s="1"/>
  <c r="U215" i="57"/>
  <c r="Q201" i="57"/>
  <c r="T201" i="57" s="1"/>
  <c r="I183" i="57"/>
  <c r="L183" i="57" s="1"/>
  <c r="I72" i="57"/>
  <c r="L72" i="57" s="1"/>
  <c r="E238" i="57"/>
  <c r="U237" i="57"/>
  <c r="U240" i="57"/>
  <c r="X240" i="57" s="1"/>
  <c r="E150" i="57"/>
  <c r="H150" i="57" s="1"/>
  <c r="Q152" i="57"/>
  <c r="T152" i="57" s="1"/>
  <c r="E62" i="57"/>
  <c r="U67" i="57"/>
  <c r="X67" i="57" s="1"/>
  <c r="I226" i="57"/>
  <c r="I227" i="57"/>
  <c r="L227" i="57" s="1"/>
  <c r="U234" i="57"/>
  <c r="E216" i="57"/>
  <c r="H216" i="57" s="1"/>
  <c r="U218" i="57"/>
  <c r="X218" i="57" s="1"/>
  <c r="E194" i="57"/>
  <c r="H194" i="57" s="1"/>
  <c r="Q196" i="57"/>
  <c r="T196" i="57" s="1"/>
  <c r="Q168" i="57"/>
  <c r="T168" i="57" s="1"/>
  <c r="E160" i="57"/>
  <c r="I161" i="57"/>
  <c r="L161" i="57" s="1"/>
  <c r="I182" i="57"/>
  <c r="Q190" i="57"/>
  <c r="T190" i="57" s="1"/>
  <c r="U80" i="57"/>
  <c r="X80" i="57" s="1"/>
  <c r="U155" i="57"/>
  <c r="X155" i="57" s="1"/>
  <c r="I50" i="57"/>
  <c r="L50" i="57" s="1"/>
  <c r="U212" i="57"/>
  <c r="U122" i="57"/>
  <c r="X122" i="57" s="1"/>
  <c r="Q116" i="57"/>
  <c r="U50" i="57"/>
  <c r="Q113" i="57"/>
  <c r="T113" i="57" s="1"/>
  <c r="T124" i="57"/>
  <c r="Q146" i="57"/>
  <c r="T146" i="57" s="1"/>
  <c r="U141" i="57"/>
  <c r="X141" i="57" s="1"/>
  <c r="Q171" i="57"/>
  <c r="E172" i="57"/>
  <c r="U58" i="57"/>
  <c r="X58" i="57" s="1"/>
  <c r="Q141" i="57"/>
  <c r="T141" i="57" s="1"/>
  <c r="Q174" i="57"/>
  <c r="U56" i="57"/>
  <c r="X56" i="57" s="1"/>
  <c r="Q58" i="57"/>
  <c r="T58" i="57" s="1"/>
  <c r="U204" i="57"/>
  <c r="I204" i="57"/>
  <c r="L204" i="57" s="1"/>
  <c r="E116" i="57"/>
  <c r="U179" i="57"/>
  <c r="X179" i="57" s="1"/>
  <c r="X20" i="57"/>
  <c r="U265" i="57"/>
  <c r="X265" i="57" s="1"/>
  <c r="I84" i="57"/>
  <c r="L84" i="57" s="1"/>
  <c r="E105" i="57"/>
  <c r="I260" i="57"/>
  <c r="L260" i="57" s="1"/>
  <c r="Q86" i="57"/>
  <c r="T86" i="57" s="1"/>
  <c r="U267" i="57"/>
  <c r="X267" i="57" s="1"/>
  <c r="E83" i="57"/>
  <c r="Q108" i="57"/>
  <c r="T108" i="57" s="1"/>
  <c r="Q259" i="57"/>
  <c r="U262" i="57"/>
  <c r="X262" i="57" s="1"/>
  <c r="E84" i="57"/>
  <c r="H84" i="57" s="1"/>
  <c r="U91" i="57"/>
  <c r="X91" i="57" s="1"/>
  <c r="U111" i="57"/>
  <c r="X111" i="57" s="1"/>
  <c r="U113" i="57"/>
  <c r="X113" i="57" s="1"/>
  <c r="Q267" i="57"/>
  <c r="T267" i="57" s="1"/>
  <c r="U89" i="57"/>
  <c r="X89" i="57" s="1"/>
  <c r="Q262" i="57"/>
  <c r="T262" i="57" s="1"/>
  <c r="E260" i="57"/>
  <c r="U86" i="57"/>
  <c r="X86" i="57" s="1"/>
  <c r="Q91" i="57"/>
  <c r="T91" i="57" s="1"/>
  <c r="I106" i="57"/>
  <c r="L106" i="57" s="1"/>
  <c r="E106" i="57"/>
  <c r="H106" i="57" s="1"/>
  <c r="U105" i="57"/>
  <c r="U259" i="57"/>
  <c r="X259" i="57" s="1"/>
  <c r="E259" i="57"/>
  <c r="U83" i="57"/>
  <c r="Q83" i="57"/>
  <c r="U108" i="57"/>
  <c r="X108" i="57" s="1"/>
  <c r="I105" i="57"/>
  <c r="L28" i="57"/>
  <c r="T102" i="57"/>
  <c r="L259" i="57"/>
  <c r="T245" i="57"/>
  <c r="I95" i="57"/>
  <c r="L95" i="57" s="1"/>
  <c r="Q97" i="57"/>
  <c r="T97" i="57" s="1"/>
  <c r="E95" i="57"/>
  <c r="H95" i="57" s="1"/>
  <c r="E94" i="57"/>
  <c r="U94" i="57"/>
  <c r="X94" i="57" s="1"/>
  <c r="X61" i="57"/>
  <c r="U146" i="57"/>
  <c r="X146" i="57" s="1"/>
  <c r="I139" i="57"/>
  <c r="L139" i="57" s="1"/>
  <c r="E138" i="57"/>
  <c r="E139" i="57"/>
  <c r="U144" i="57"/>
  <c r="X144" i="57" s="1"/>
  <c r="L83" i="57"/>
  <c r="I171" i="57"/>
  <c r="U177" i="57"/>
  <c r="X177" i="57" s="1"/>
  <c r="Q179" i="57"/>
  <c r="U171" i="57"/>
  <c r="Q53" i="57"/>
  <c r="T53" i="57" s="1"/>
  <c r="E51" i="57"/>
  <c r="H51" i="57" s="1"/>
  <c r="E50" i="57"/>
  <c r="H50" i="57" s="1"/>
  <c r="U53" i="57"/>
  <c r="X53" i="57" s="1"/>
  <c r="X166" i="57"/>
  <c r="Q204" i="57"/>
  <c r="I205" i="57"/>
  <c r="L205" i="57" s="1"/>
  <c r="U207" i="57"/>
  <c r="X207" i="57" s="1"/>
  <c r="U210" i="57"/>
  <c r="X210" i="57" s="1"/>
  <c r="I29" i="57"/>
  <c r="L29" i="57" s="1"/>
  <c r="U36" i="57"/>
  <c r="Q31" i="57"/>
  <c r="T31" i="57" s="1"/>
  <c r="Q36" i="57"/>
  <c r="T36" i="57" s="1"/>
  <c r="I17" i="57"/>
  <c r="L17" i="57" s="1"/>
  <c r="U25" i="57"/>
  <c r="X25" i="57" s="1"/>
  <c r="U17" i="57"/>
  <c r="X17" i="57" s="1"/>
  <c r="Q25" i="57"/>
  <c r="I18" i="57"/>
  <c r="L18" i="57" s="1"/>
  <c r="I40" i="57"/>
  <c r="L40" i="57" s="1"/>
  <c r="U42" i="57"/>
  <c r="X42" i="57" s="1"/>
  <c r="Q42" i="57"/>
  <c r="T42" i="57" s="1"/>
  <c r="Q39" i="57"/>
  <c r="U116" i="59"/>
  <c r="U124" i="59"/>
  <c r="U119" i="59"/>
  <c r="X119" i="59" s="1"/>
  <c r="I117" i="59"/>
  <c r="L117" i="59" s="1"/>
  <c r="I116" i="59"/>
  <c r="L116" i="59" s="1"/>
  <c r="U122" i="59"/>
  <c r="X122" i="59" s="1"/>
  <c r="E117" i="59"/>
  <c r="H117" i="59" s="1"/>
  <c r="E116" i="59"/>
  <c r="I28" i="59"/>
  <c r="L28" i="59" s="1"/>
  <c r="I29" i="59"/>
  <c r="L29" i="59" s="1"/>
  <c r="U34" i="59"/>
  <c r="X34" i="59" s="1"/>
  <c r="E29" i="59"/>
  <c r="H29" i="59" s="1"/>
  <c r="U31" i="59"/>
  <c r="X31" i="59" s="1"/>
  <c r="U36" i="59"/>
  <c r="U28" i="59"/>
  <c r="E28" i="59"/>
  <c r="U199" i="59"/>
  <c r="X199" i="59" s="1"/>
  <c r="E194" i="59"/>
  <c r="H194" i="59" s="1"/>
  <c r="E193" i="59"/>
  <c r="I193" i="59"/>
  <c r="L193" i="59" s="1"/>
  <c r="U201" i="59"/>
  <c r="U196" i="59"/>
  <c r="X196" i="59" s="1"/>
  <c r="I194" i="59"/>
  <c r="L194" i="59" s="1"/>
  <c r="U193" i="59"/>
  <c r="U155" i="59"/>
  <c r="X155" i="59" s="1"/>
  <c r="E150" i="59"/>
  <c r="H150" i="59" s="1"/>
  <c r="E149" i="59"/>
  <c r="U149" i="59"/>
  <c r="U157" i="59"/>
  <c r="X157" i="59" s="1"/>
  <c r="U152" i="59"/>
  <c r="X152" i="59" s="1"/>
  <c r="I149" i="59"/>
  <c r="I150" i="59"/>
  <c r="L150" i="59" s="1"/>
  <c r="I95" i="59"/>
  <c r="L95" i="59" s="1"/>
  <c r="I94" i="59"/>
  <c r="L94" i="59" s="1"/>
  <c r="U100" i="59"/>
  <c r="X100" i="59" s="1"/>
  <c r="E95" i="59"/>
  <c r="H95" i="59" s="1"/>
  <c r="E94" i="59"/>
  <c r="U94" i="59"/>
  <c r="X94" i="59" s="1"/>
  <c r="U102" i="59"/>
  <c r="X102" i="59" s="1"/>
  <c r="U97" i="59"/>
  <c r="X97" i="59" s="1"/>
  <c r="Q509" i="59"/>
  <c r="T509" i="59" s="1"/>
  <c r="E501" i="59"/>
  <c r="Q501" i="59"/>
  <c r="U504" i="59"/>
  <c r="X504" i="59" s="1"/>
  <c r="U509" i="59"/>
  <c r="U501" i="59"/>
  <c r="Q504" i="59"/>
  <c r="T504" i="59" s="1"/>
  <c r="E502" i="59"/>
  <c r="U507" i="59"/>
  <c r="X507" i="59" s="1"/>
  <c r="I501" i="59"/>
  <c r="I502" i="59"/>
  <c r="L502" i="59" s="1"/>
  <c r="U226" i="59"/>
  <c r="U234" i="59"/>
  <c r="U229" i="59"/>
  <c r="X229" i="59" s="1"/>
  <c r="I227" i="59"/>
  <c r="L227" i="59" s="1"/>
  <c r="I226" i="59"/>
  <c r="U232" i="59"/>
  <c r="X232" i="59" s="1"/>
  <c r="E227" i="59"/>
  <c r="E226" i="59"/>
  <c r="U190" i="59"/>
  <c r="X190" i="59" s="1"/>
  <c r="I182" i="59"/>
  <c r="U188" i="59"/>
  <c r="X188" i="59" s="1"/>
  <c r="I183" i="59"/>
  <c r="L183" i="59" s="1"/>
  <c r="U182" i="59"/>
  <c r="U185" i="59"/>
  <c r="X185" i="59" s="1"/>
  <c r="E183" i="59"/>
  <c r="H183" i="59" s="1"/>
  <c r="E182" i="59"/>
  <c r="Q25" i="59"/>
  <c r="I18" i="59"/>
  <c r="L18" i="59" s="1"/>
  <c r="I17" i="59"/>
  <c r="L17" i="59" s="1"/>
  <c r="U23" i="59"/>
  <c r="X23" i="59" s="1"/>
  <c r="Q17" i="59"/>
  <c r="E18" i="59"/>
  <c r="Q20" i="59"/>
  <c r="T20" i="59" s="1"/>
  <c r="U17" i="59"/>
  <c r="X17" i="59" s="1"/>
  <c r="U25" i="59"/>
  <c r="X25" i="59" s="1"/>
  <c r="U20" i="59"/>
  <c r="X20" i="59" s="1"/>
  <c r="E17" i="59"/>
  <c r="T133" i="59"/>
  <c r="U6" i="59"/>
  <c r="X6" i="59" s="1"/>
  <c r="Q9" i="59"/>
  <c r="T9" i="59" s="1"/>
  <c r="E6" i="59"/>
  <c r="H6" i="59" s="1"/>
  <c r="E7" i="59"/>
  <c r="U12" i="59"/>
  <c r="X12" i="59" s="1"/>
  <c r="Q507" i="59"/>
  <c r="T507" i="59" s="1"/>
  <c r="I6" i="59"/>
  <c r="L6" i="59" s="1"/>
  <c r="I7" i="59"/>
  <c r="L7" i="59" s="1"/>
  <c r="Q14" i="59"/>
  <c r="T14" i="59" s="1"/>
  <c r="Q6" i="59"/>
  <c r="U9" i="59"/>
  <c r="X9" i="59" s="1"/>
  <c r="U14" i="59"/>
  <c r="X14" i="59" s="1"/>
  <c r="T23" i="59"/>
  <c r="U221" i="59"/>
  <c r="X221" i="59" s="1"/>
  <c r="E216" i="59"/>
  <c r="H216" i="59" s="1"/>
  <c r="E215" i="59"/>
  <c r="U215" i="59"/>
  <c r="U223" i="59"/>
  <c r="U218" i="59"/>
  <c r="X218" i="59" s="1"/>
  <c r="I216" i="59"/>
  <c r="L216" i="59" s="1"/>
  <c r="I215" i="59"/>
  <c r="U174" i="59"/>
  <c r="U177" i="59"/>
  <c r="X177" i="59" s="1"/>
  <c r="U171" i="59"/>
  <c r="E171" i="59"/>
  <c r="E172" i="59"/>
  <c r="U179" i="59"/>
  <c r="X179" i="59" s="1"/>
  <c r="I171" i="59"/>
  <c r="I172" i="59"/>
  <c r="L172" i="59" s="1"/>
  <c r="I73" i="59"/>
  <c r="L73" i="59" s="1"/>
  <c r="I72" i="59"/>
  <c r="L72" i="59" s="1"/>
  <c r="E73" i="59"/>
  <c r="H73" i="59" s="1"/>
  <c r="E72" i="59"/>
  <c r="U75" i="59"/>
  <c r="X75" i="59" s="1"/>
  <c r="U72" i="59"/>
  <c r="U80" i="59"/>
  <c r="X80" i="59" s="1"/>
  <c r="U78" i="59"/>
  <c r="X78" i="59" s="1"/>
  <c r="I51" i="59"/>
  <c r="L51" i="59" s="1"/>
  <c r="I50" i="59"/>
  <c r="L50" i="59" s="1"/>
  <c r="U53" i="59"/>
  <c r="X53" i="59" s="1"/>
  <c r="E51" i="59"/>
  <c r="H51" i="59" s="1"/>
  <c r="E50" i="59"/>
  <c r="H50" i="59" s="1"/>
  <c r="U50" i="59"/>
  <c r="U56" i="59"/>
  <c r="X56" i="59" s="1"/>
  <c r="U58" i="59"/>
  <c r="X58" i="59" s="1"/>
  <c r="U204" i="59"/>
  <c r="U212" i="59"/>
  <c r="U210" i="59"/>
  <c r="X210" i="59" s="1"/>
  <c r="I205" i="59"/>
  <c r="L205" i="59" s="1"/>
  <c r="I204" i="59"/>
  <c r="L204" i="59" s="1"/>
  <c r="E205" i="59"/>
  <c r="H205" i="59" s="1"/>
  <c r="E204" i="59"/>
  <c r="U207" i="59"/>
  <c r="X207" i="59" s="1"/>
  <c r="U168" i="59"/>
  <c r="X168" i="59" s="1"/>
  <c r="U163" i="59"/>
  <c r="X163" i="59" s="1"/>
  <c r="U160" i="59"/>
  <c r="E160" i="59"/>
  <c r="U166" i="59"/>
  <c r="X166" i="59" s="1"/>
  <c r="E161" i="59"/>
  <c r="H161" i="59" s="1"/>
  <c r="I161" i="59"/>
  <c r="L161" i="59" s="1"/>
  <c r="I160" i="59"/>
  <c r="U138" i="59"/>
  <c r="U146" i="59"/>
  <c r="X146" i="59" s="1"/>
  <c r="U144" i="59"/>
  <c r="X144" i="59" s="1"/>
  <c r="I139" i="59"/>
  <c r="L139" i="59" s="1"/>
  <c r="I138" i="59"/>
  <c r="L138" i="59" s="1"/>
  <c r="E139" i="59"/>
  <c r="E138" i="59"/>
  <c r="U141" i="59"/>
  <c r="X141" i="59" s="1"/>
  <c r="U113" i="59"/>
  <c r="X113" i="59" s="1"/>
  <c r="U105" i="59"/>
  <c r="E105" i="59"/>
  <c r="E106" i="59"/>
  <c r="H106" i="59" s="1"/>
  <c r="U111" i="59"/>
  <c r="X111" i="59" s="1"/>
  <c r="I105" i="59"/>
  <c r="I106" i="59"/>
  <c r="L106" i="59" s="1"/>
  <c r="U108" i="59"/>
  <c r="X108" i="59" s="1"/>
  <c r="U89" i="59"/>
  <c r="X89" i="59" s="1"/>
  <c r="E84" i="59"/>
  <c r="H84" i="59" s="1"/>
  <c r="E83" i="59"/>
  <c r="U83" i="59"/>
  <c r="U91" i="59"/>
  <c r="X91" i="59" s="1"/>
  <c r="U86" i="59"/>
  <c r="X86" i="59" s="1"/>
  <c r="I84" i="59"/>
  <c r="L84" i="59" s="1"/>
  <c r="I83" i="59"/>
  <c r="L83" i="59" s="1"/>
  <c r="I62" i="59"/>
  <c r="L62" i="59" s="1"/>
  <c r="U69" i="59"/>
  <c r="X69" i="59" s="1"/>
  <c r="U64" i="59"/>
  <c r="X64" i="59" s="1"/>
  <c r="I61" i="59"/>
  <c r="L61" i="59" s="1"/>
  <c r="U67" i="59"/>
  <c r="X67" i="59" s="1"/>
  <c r="E62" i="59"/>
  <c r="E61" i="59"/>
  <c r="H61" i="59" s="1"/>
  <c r="U61" i="59"/>
  <c r="X61" i="59" s="1"/>
  <c r="U47" i="59"/>
  <c r="X47" i="59" s="1"/>
  <c r="U42" i="59"/>
  <c r="X42" i="59" s="1"/>
  <c r="I39" i="59"/>
  <c r="L39" i="59" s="1"/>
  <c r="U45" i="59"/>
  <c r="X45" i="59" s="1"/>
  <c r="E40" i="59"/>
  <c r="H40" i="59" s="1"/>
  <c r="E39" i="59"/>
  <c r="U39" i="59"/>
  <c r="I40" i="59"/>
  <c r="L40" i="59" s="1"/>
  <c r="Z325" i="60" l="1"/>
  <c r="AC330" i="60" s="1"/>
  <c r="Z237" i="59"/>
  <c r="AC242" i="59" s="1"/>
  <c r="K31" i="59"/>
  <c r="L31" i="59" s="1"/>
  <c r="K372" i="59"/>
  <c r="L372" i="59" s="1"/>
  <c r="K416" i="59"/>
  <c r="L416" i="59" s="1"/>
  <c r="K427" i="59"/>
  <c r="L427" i="59" s="1"/>
  <c r="K42" i="59"/>
  <c r="L42" i="59" s="1"/>
  <c r="K339" i="59"/>
  <c r="L339" i="59" s="1"/>
  <c r="K306" i="59"/>
  <c r="L306" i="59" s="1"/>
  <c r="K350" i="59"/>
  <c r="L350" i="59" s="1"/>
  <c r="S490" i="59"/>
  <c r="T490" i="59" s="1"/>
  <c r="K438" i="59"/>
  <c r="L438" i="59" s="1"/>
  <c r="K196" i="59"/>
  <c r="L196" i="59" s="1"/>
  <c r="K317" i="59"/>
  <c r="L317" i="59" s="1"/>
  <c r="K361" i="59"/>
  <c r="L361" i="59" s="1"/>
  <c r="K405" i="59"/>
  <c r="L405" i="59" s="1"/>
  <c r="K449" i="59"/>
  <c r="L449" i="59" s="1"/>
  <c r="K493" i="59"/>
  <c r="L493" i="59" s="1"/>
  <c r="G28" i="59"/>
  <c r="H28" i="59" s="1"/>
  <c r="G182" i="59"/>
  <c r="H182" i="59" s="1"/>
  <c r="A50" i="26"/>
  <c r="G172" i="59"/>
  <c r="H172" i="59" s="1"/>
  <c r="W182" i="59"/>
  <c r="X182" i="59" s="1"/>
  <c r="W127" i="59"/>
  <c r="X127" i="59" s="1"/>
  <c r="W278" i="59"/>
  <c r="X278" i="59" s="1"/>
  <c r="K149" i="59"/>
  <c r="L149" i="59" s="1"/>
  <c r="S150" i="59"/>
  <c r="T150" i="59" s="1"/>
  <c r="G94" i="59"/>
  <c r="H94" i="59" s="1"/>
  <c r="W36" i="59"/>
  <c r="X36" i="59" s="1"/>
  <c r="G105" i="59"/>
  <c r="H105" i="59" s="1"/>
  <c r="W204" i="59"/>
  <c r="X204" i="59" s="1"/>
  <c r="S174" i="59"/>
  <c r="T174" i="59" s="1"/>
  <c r="P3" i="38"/>
  <c r="K262" i="57" l="1"/>
  <c r="K229" i="57"/>
  <c r="K218" i="57"/>
  <c r="K251" i="57"/>
  <c r="S336" i="59"/>
  <c r="T336" i="59" s="1"/>
  <c r="S380" i="59"/>
  <c r="T380" i="59" s="1"/>
  <c r="K328" i="59"/>
  <c r="L328" i="59" s="1"/>
  <c r="W443" i="59"/>
  <c r="X443" i="59" s="1"/>
  <c r="W369" i="59"/>
  <c r="X369" i="59" s="1"/>
  <c r="G281" i="59"/>
  <c r="H281" i="59" s="1"/>
  <c r="K152" i="59"/>
  <c r="L152" i="59" s="1"/>
  <c r="K383" i="59"/>
  <c r="L383" i="59" s="1"/>
  <c r="K273" i="59"/>
  <c r="L273" i="59" s="1"/>
  <c r="K295" i="59"/>
  <c r="L295" i="59" s="1"/>
  <c r="K20" i="59"/>
  <c r="L20" i="59" s="1"/>
  <c r="K229" i="59"/>
  <c r="L229" i="59" s="1"/>
  <c r="K218" i="59"/>
  <c r="L218" i="59" s="1"/>
  <c r="K284" i="59"/>
  <c r="L284" i="59" s="1"/>
  <c r="K504" i="59"/>
  <c r="L504" i="59" s="1"/>
  <c r="S424" i="59"/>
  <c r="T424" i="59" s="1"/>
  <c r="K160" i="59"/>
  <c r="L160" i="59" s="1"/>
  <c r="W39" i="59"/>
  <c r="X39" i="59" s="1"/>
  <c r="G413" i="59"/>
  <c r="H413" i="59" s="1"/>
  <c r="W50" i="59"/>
  <c r="X50" i="59" s="1"/>
  <c r="G490" i="59"/>
  <c r="H490" i="59" s="1"/>
  <c r="W435" i="59"/>
  <c r="X435" i="59" s="1"/>
  <c r="S403" i="59"/>
  <c r="T403" i="59" s="1"/>
  <c r="W410" i="59"/>
  <c r="X410" i="59" s="1"/>
  <c r="K394" i="59"/>
  <c r="L394" i="59" s="1"/>
  <c r="K380" i="59"/>
  <c r="L380" i="59" s="1"/>
  <c r="G314" i="59"/>
  <c r="H314" i="59" s="1"/>
  <c r="K141" i="59"/>
  <c r="L141" i="59" s="1"/>
  <c r="S304" i="59"/>
  <c r="T304" i="59" s="1"/>
  <c r="W281" i="59"/>
  <c r="X281" i="59" s="1"/>
  <c r="W501" i="59"/>
  <c r="X501" i="59" s="1"/>
  <c r="W289" i="59"/>
  <c r="X289" i="59" s="1"/>
  <c r="W509" i="59"/>
  <c r="X509" i="59" s="1"/>
  <c r="S358" i="59"/>
  <c r="T358" i="59" s="1"/>
  <c r="S337" i="59"/>
  <c r="T337" i="59" s="1"/>
  <c r="S370" i="59"/>
  <c r="T370" i="59" s="1"/>
  <c r="K163" i="59"/>
  <c r="L163" i="59" s="1"/>
  <c r="K174" i="59"/>
  <c r="L174" i="59" s="1"/>
  <c r="W116" i="59"/>
  <c r="X116" i="59" s="1"/>
  <c r="K347" i="59"/>
  <c r="L347" i="59" s="1"/>
  <c r="W336" i="59"/>
  <c r="X336" i="59" s="1"/>
  <c r="W303" i="59"/>
  <c r="X303" i="59" s="1"/>
  <c r="G292" i="59"/>
  <c r="H292" i="59" s="1"/>
  <c r="S282" i="59"/>
  <c r="T282" i="59" s="1"/>
  <c r="S502" i="59"/>
  <c r="T502" i="59" s="1"/>
  <c r="W226" i="59"/>
  <c r="X226" i="59" s="1"/>
  <c r="W234" i="59"/>
  <c r="X234" i="59" s="1"/>
  <c r="G171" i="59"/>
  <c r="H171" i="59" s="1"/>
  <c r="K130" i="59"/>
  <c r="L130" i="59" s="1"/>
  <c r="K86" i="59"/>
  <c r="L86" i="59" s="1"/>
  <c r="K9" i="59"/>
  <c r="L9" i="59" s="1"/>
  <c r="G435" i="59"/>
  <c r="H435" i="59" s="1"/>
  <c r="S292" i="59"/>
  <c r="T292" i="59" s="1"/>
  <c r="S435" i="59"/>
  <c r="T435" i="59" s="1"/>
  <c r="S391" i="59"/>
  <c r="T391" i="59" s="1"/>
  <c r="S281" i="59"/>
  <c r="T281" i="59" s="1"/>
  <c r="G39" i="59"/>
  <c r="H39" i="59" s="1"/>
  <c r="S223" i="59"/>
  <c r="T223" i="59" s="1"/>
  <c r="G270" i="59"/>
  <c r="K490" i="59"/>
  <c r="S270" i="59"/>
  <c r="T270" i="59" s="1"/>
  <c r="G369" i="59"/>
  <c r="G391" i="59"/>
  <c r="S216" i="59"/>
  <c r="T216" i="59" s="1"/>
  <c r="S325" i="59"/>
  <c r="K358" i="59"/>
  <c r="G303" i="59"/>
  <c r="W270" i="59"/>
  <c r="X270" i="59" s="1"/>
  <c r="K281" i="59"/>
  <c r="S413" i="59"/>
  <c r="S446" i="59"/>
  <c r="S314" i="59"/>
  <c r="S369" i="59"/>
  <c r="T369" i="59" s="1"/>
  <c r="K207" i="59"/>
  <c r="L207" i="59" s="1"/>
  <c r="S194" i="59"/>
  <c r="T194" i="59" s="1"/>
  <c r="S205" i="59"/>
  <c r="T205" i="59" s="1"/>
  <c r="S402" i="59"/>
  <c r="S347" i="59"/>
  <c r="T347" i="59" s="1"/>
  <c r="G347" i="59"/>
  <c r="K424" i="59"/>
  <c r="S303" i="59"/>
  <c r="T303" i="59" s="1"/>
  <c r="K501" i="59"/>
  <c r="L501" i="59" s="1"/>
  <c r="W135" i="59"/>
  <c r="X135" i="59" s="1"/>
  <c r="K105" i="59"/>
  <c r="L105" i="59" s="1"/>
  <c r="W193" i="59"/>
  <c r="X193" i="59" s="1"/>
  <c r="G502" i="59"/>
  <c r="H502" i="59" s="1"/>
  <c r="G402" i="57"/>
  <c r="K185" i="59"/>
  <c r="L185" i="59" s="1"/>
  <c r="G139" i="59"/>
  <c r="H139" i="59" s="1"/>
  <c r="S501" i="59"/>
  <c r="T501" i="59" s="1"/>
  <c r="G138" i="59"/>
  <c r="H138" i="59" s="1"/>
  <c r="G227" i="59"/>
  <c r="H227" i="59" s="1"/>
  <c r="W212" i="59"/>
  <c r="X212" i="59" s="1"/>
  <c r="W72" i="59"/>
  <c r="X72" i="59" s="1"/>
  <c r="W124" i="59"/>
  <c r="X124" i="59" s="1"/>
  <c r="W138" i="59"/>
  <c r="X138" i="59" s="1"/>
  <c r="K215" i="59"/>
  <c r="L215" i="59" s="1"/>
  <c r="G116" i="59"/>
  <c r="H116" i="59" s="1"/>
  <c r="G72" i="59"/>
  <c r="H72" i="59" s="1"/>
  <c r="G7" i="59"/>
  <c r="H7" i="59" s="1"/>
  <c r="G501" i="59"/>
  <c r="H501" i="59" s="1"/>
  <c r="G215" i="59"/>
  <c r="H215" i="59" s="1"/>
  <c r="S212" i="59"/>
  <c r="T212" i="59" s="1"/>
  <c r="G193" i="59"/>
  <c r="H193" i="59" s="1"/>
  <c r="K53" i="59"/>
  <c r="L53" i="59" s="1"/>
  <c r="A51" i="26"/>
  <c r="W160" i="59"/>
  <c r="X160" i="59" s="1"/>
  <c r="S157" i="59"/>
  <c r="T157" i="59" s="1"/>
  <c r="S105" i="59"/>
  <c r="T105" i="59" s="1"/>
  <c r="K97" i="59"/>
  <c r="L97" i="59" s="1"/>
  <c r="S36" i="59"/>
  <c r="T36" i="59" s="1"/>
  <c r="S413" i="57"/>
  <c r="T413" i="57" s="1"/>
  <c r="K325" i="57"/>
  <c r="L325" i="57" s="1"/>
  <c r="G17" i="59"/>
  <c r="H17" i="59" s="1"/>
  <c r="S380" i="57"/>
  <c r="T380" i="57" s="1"/>
  <c r="W149" i="59"/>
  <c r="X149" i="59" s="1"/>
  <c r="K226" i="59"/>
  <c r="L226" i="59" s="1"/>
  <c r="G83" i="59"/>
  <c r="H83" i="59" s="1"/>
  <c r="G62" i="59"/>
  <c r="H62" i="59" s="1"/>
  <c r="G18" i="59"/>
  <c r="H18" i="59" s="1"/>
  <c r="W174" i="57"/>
  <c r="X174" i="57" s="1"/>
  <c r="W174" i="59"/>
  <c r="X174" i="59" s="1"/>
  <c r="S179" i="57"/>
  <c r="S179" i="59"/>
  <c r="T179" i="59" s="1"/>
  <c r="S177" i="57"/>
  <c r="S177" i="59"/>
  <c r="T177" i="59" s="1"/>
  <c r="W215" i="59"/>
  <c r="X215" i="59" s="1"/>
  <c r="W105" i="59"/>
  <c r="X105" i="59" s="1"/>
  <c r="W223" i="59"/>
  <c r="X223" i="59" s="1"/>
  <c r="W171" i="59"/>
  <c r="X171" i="59" s="1"/>
  <c r="S149" i="59"/>
  <c r="T149" i="59" s="1"/>
  <c r="G127" i="59"/>
  <c r="H127" i="59" s="1"/>
  <c r="K108" i="59"/>
  <c r="L108" i="59" s="1"/>
  <c r="S72" i="59"/>
  <c r="T72" i="59" s="1"/>
  <c r="S50" i="59"/>
  <c r="T50" i="59" s="1"/>
  <c r="S28" i="59"/>
  <c r="T28" i="59" s="1"/>
  <c r="S215" i="59"/>
  <c r="S204" i="59"/>
  <c r="T204" i="59" s="1"/>
  <c r="S174" i="57"/>
  <c r="T174" i="57" s="1"/>
  <c r="S171" i="59"/>
  <c r="T171" i="59" s="1"/>
  <c r="G149" i="59"/>
  <c r="H149" i="59" s="1"/>
  <c r="S127" i="59"/>
  <c r="T127" i="59" s="1"/>
  <c r="K75" i="59"/>
  <c r="L75" i="59" s="1"/>
  <c r="S25" i="59"/>
  <c r="T25" i="59" s="1"/>
  <c r="S6" i="59"/>
  <c r="K182" i="59"/>
  <c r="L182" i="59" s="1"/>
  <c r="S160" i="59"/>
  <c r="T160" i="59" s="1"/>
  <c r="S83" i="59"/>
  <c r="T83" i="59" s="1"/>
  <c r="W28" i="59"/>
  <c r="X28" i="59" s="1"/>
  <c r="W201" i="59"/>
  <c r="X201" i="59" s="1"/>
  <c r="S138" i="59"/>
  <c r="T138" i="59" s="1"/>
  <c r="S116" i="59"/>
  <c r="T116" i="59" s="1"/>
  <c r="G226" i="59"/>
  <c r="H226" i="59" s="1"/>
  <c r="S47" i="59"/>
  <c r="T47" i="59" s="1"/>
  <c r="G204" i="59"/>
  <c r="H204" i="59" s="1"/>
  <c r="S226" i="59"/>
  <c r="T226" i="59" s="1"/>
  <c r="S182" i="59"/>
  <c r="T182" i="59" s="1"/>
  <c r="G160" i="59"/>
  <c r="H160" i="59" s="1"/>
  <c r="K64" i="59"/>
  <c r="L64" i="59" s="1"/>
  <c r="S17" i="59"/>
  <c r="T17" i="59" s="1"/>
  <c r="S94" i="59"/>
  <c r="T94" i="59" s="1"/>
  <c r="S193" i="59"/>
  <c r="T193" i="59" s="1"/>
  <c r="K171" i="59"/>
  <c r="L171" i="59" s="1"/>
  <c r="K119" i="59"/>
  <c r="L119" i="59" s="1"/>
  <c r="W83" i="59"/>
  <c r="X83" i="59" s="1"/>
  <c r="S61" i="59"/>
  <c r="T61" i="59" s="1"/>
  <c r="S39" i="59"/>
  <c r="T39" i="59" s="1"/>
  <c r="K193" i="57"/>
  <c r="L193" i="57" s="1"/>
  <c r="K119" i="57"/>
  <c r="W212" i="57"/>
  <c r="X212" i="57" s="1"/>
  <c r="L218" i="57" l="1"/>
  <c r="T179" i="57"/>
  <c r="L229" i="57"/>
  <c r="H402" i="57"/>
  <c r="L262" i="57"/>
  <c r="L119" i="57"/>
  <c r="L251" i="57"/>
  <c r="Z292" i="59"/>
  <c r="AC297" i="59" s="1"/>
  <c r="G336" i="57"/>
  <c r="K42" i="57"/>
  <c r="K361" i="57"/>
  <c r="S370" i="57"/>
  <c r="K174" i="57"/>
  <c r="W336" i="57"/>
  <c r="X336" i="57" s="1"/>
  <c r="W410" i="57"/>
  <c r="K20" i="57"/>
  <c r="K240" i="57"/>
  <c r="K152" i="57"/>
  <c r="K31" i="57"/>
  <c r="W377" i="57"/>
  <c r="W402" i="57"/>
  <c r="X402" i="57" s="1"/>
  <c r="S271" i="57"/>
  <c r="Y380" i="59"/>
  <c r="AC386" i="59" s="1"/>
  <c r="W50" i="57"/>
  <c r="X50" i="57" s="1"/>
  <c r="K284" i="57"/>
  <c r="K306" i="57"/>
  <c r="K328" i="57"/>
  <c r="K405" i="57"/>
  <c r="K394" i="57"/>
  <c r="K273" i="57"/>
  <c r="K295" i="57"/>
  <c r="K317" i="57"/>
  <c r="K339" i="57"/>
  <c r="K383" i="57"/>
  <c r="K922" i="57"/>
  <c r="K416" i="57"/>
  <c r="K372" i="57"/>
  <c r="Z380" i="59"/>
  <c r="AC385" i="59" s="1"/>
  <c r="K347" i="57"/>
  <c r="L347" i="57" s="1"/>
  <c r="K141" i="57"/>
  <c r="Z336" i="59"/>
  <c r="AC341" i="59" s="1"/>
  <c r="Y292" i="59"/>
  <c r="AC298" i="59" s="1"/>
  <c r="S61" i="57"/>
  <c r="G281" i="57"/>
  <c r="W248" i="57"/>
  <c r="X248" i="57" s="1"/>
  <c r="W256" i="57"/>
  <c r="S304" i="57"/>
  <c r="S337" i="57"/>
  <c r="G182" i="57"/>
  <c r="K314" i="57"/>
  <c r="L314" i="57" s="1"/>
  <c r="W303" i="57"/>
  <c r="X303" i="57" s="1"/>
  <c r="Y336" i="59"/>
  <c r="AC342" i="59" s="1"/>
  <c r="G259" i="57"/>
  <c r="W270" i="57"/>
  <c r="X270" i="57" s="1"/>
  <c r="W226" i="57"/>
  <c r="X226" i="57" s="1"/>
  <c r="S249" i="57"/>
  <c r="T249" i="57" s="1"/>
  <c r="W234" i="57"/>
  <c r="K163" i="57"/>
  <c r="K149" i="57"/>
  <c r="L149" i="57" s="1"/>
  <c r="K130" i="57"/>
  <c r="K86" i="57"/>
  <c r="G28" i="57"/>
  <c r="Z435" i="59"/>
  <c r="AC440" i="59" s="1"/>
  <c r="Y435" i="59"/>
  <c r="AC441" i="59" s="1"/>
  <c r="S402" i="57"/>
  <c r="T402" i="57" s="1"/>
  <c r="W127" i="57"/>
  <c r="X127" i="57" s="1"/>
  <c r="W182" i="57"/>
  <c r="X182" i="57" s="1"/>
  <c r="S259" i="57"/>
  <c r="T259" i="57" s="1"/>
  <c r="G160" i="57"/>
  <c r="W28" i="57"/>
  <c r="X28" i="57" s="1"/>
  <c r="X36" i="57"/>
  <c r="Y347" i="59"/>
  <c r="AC353" i="59" s="1"/>
  <c r="H347" i="59"/>
  <c r="Z347" i="59" s="1"/>
  <c r="AC352" i="59" s="1"/>
  <c r="Y402" i="59"/>
  <c r="AC408" i="59" s="1"/>
  <c r="T402" i="59"/>
  <c r="Z402" i="59" s="1"/>
  <c r="Y446" i="59"/>
  <c r="AC452" i="59" s="1"/>
  <c r="T446" i="59"/>
  <c r="Z446" i="59" s="1"/>
  <c r="AC451" i="59" s="1"/>
  <c r="Y281" i="59"/>
  <c r="AC287" i="59" s="1"/>
  <c r="L281" i="59"/>
  <c r="Z281" i="59" s="1"/>
  <c r="AC286" i="59" s="1"/>
  <c r="Y303" i="59"/>
  <c r="AC309" i="59" s="1"/>
  <c r="H303" i="59"/>
  <c r="Z303" i="59" s="1"/>
  <c r="AC308" i="59" s="1"/>
  <c r="Y358" i="59"/>
  <c r="AC364" i="59" s="1"/>
  <c r="L358" i="59"/>
  <c r="Z358" i="59" s="1"/>
  <c r="AC363" i="59" s="1"/>
  <c r="Y369" i="59"/>
  <c r="AC375" i="59" s="1"/>
  <c r="H369" i="59"/>
  <c r="Z369" i="59" s="1"/>
  <c r="AC374" i="59" s="1"/>
  <c r="Y490" i="59"/>
  <c r="AC496" i="59" s="1"/>
  <c r="L490" i="59"/>
  <c r="Z490" i="59" s="1"/>
  <c r="AC495" i="59" s="1"/>
  <c r="Y270" i="59"/>
  <c r="AC276" i="59" s="1"/>
  <c r="H270" i="59"/>
  <c r="Z270" i="59" s="1"/>
  <c r="AC275" i="59" s="1"/>
  <c r="Y424" i="59"/>
  <c r="AC430" i="59" s="1"/>
  <c r="L424" i="59"/>
  <c r="Z424" i="59" s="1"/>
  <c r="Y314" i="59"/>
  <c r="AC320" i="59" s="1"/>
  <c r="T314" i="59"/>
  <c r="Z314" i="59" s="1"/>
  <c r="AC319" i="59" s="1"/>
  <c r="Y413" i="59"/>
  <c r="AC419" i="59" s="1"/>
  <c r="T413" i="59"/>
  <c r="Z413" i="59" s="1"/>
  <c r="Y325" i="59"/>
  <c r="AC331" i="59" s="1"/>
  <c r="T325" i="59"/>
  <c r="Z325" i="59" s="1"/>
  <c r="AC330" i="59" s="1"/>
  <c r="Y391" i="59"/>
  <c r="AC397" i="59" s="1"/>
  <c r="H391" i="59"/>
  <c r="Z391" i="59" s="1"/>
  <c r="AC396" i="59" s="1"/>
  <c r="G358" i="57"/>
  <c r="K391" i="57"/>
  <c r="G270" i="57"/>
  <c r="G380" i="57"/>
  <c r="G347" i="57"/>
  <c r="G325" i="57"/>
  <c r="K402" i="57"/>
  <c r="S336" i="57"/>
  <c r="G171" i="57"/>
  <c r="K358" i="57"/>
  <c r="G314" i="57"/>
  <c r="S391" i="57"/>
  <c r="S281" i="57"/>
  <c r="S358" i="57"/>
  <c r="T358" i="57" s="1"/>
  <c r="G204" i="57"/>
  <c r="S270" i="57"/>
  <c r="S369" i="57"/>
  <c r="G413" i="57"/>
  <c r="S314" i="57"/>
  <c r="T314" i="57" s="1"/>
  <c r="K248" i="57"/>
  <c r="L248" i="57" s="1"/>
  <c r="S216" i="57"/>
  <c r="S223" i="57"/>
  <c r="K207" i="57"/>
  <c r="S194" i="57"/>
  <c r="W135" i="57"/>
  <c r="S150" i="57"/>
  <c r="K185" i="57"/>
  <c r="S248" i="57"/>
  <c r="T248" i="57" s="1"/>
  <c r="W193" i="57"/>
  <c r="X193" i="57" s="1"/>
  <c r="Z138" i="59"/>
  <c r="AC143" i="59" s="1"/>
  <c r="W124" i="57"/>
  <c r="W204" i="57"/>
  <c r="X204" i="57" s="1"/>
  <c r="K160" i="57"/>
  <c r="L160" i="57" s="1"/>
  <c r="W160" i="57"/>
  <c r="X160" i="57" s="1"/>
  <c r="W138" i="57"/>
  <c r="X138" i="57" s="1"/>
  <c r="K105" i="57"/>
  <c r="L105" i="57" s="1"/>
  <c r="G39" i="57"/>
  <c r="Z501" i="59"/>
  <c r="AC506" i="59" s="1"/>
  <c r="G248" i="57"/>
  <c r="Y501" i="59"/>
  <c r="AC507" i="59" s="1"/>
  <c r="S212" i="57"/>
  <c r="G94" i="57"/>
  <c r="K53" i="57"/>
  <c r="A52" i="26"/>
  <c r="G249" i="57"/>
  <c r="G238" i="57"/>
  <c r="G227" i="57"/>
  <c r="G260" i="57"/>
  <c r="K215" i="57"/>
  <c r="L215" i="57" s="1"/>
  <c r="G193" i="57"/>
  <c r="G172" i="57"/>
  <c r="S157" i="57"/>
  <c r="G139" i="57"/>
  <c r="G116" i="57"/>
  <c r="G105" i="57"/>
  <c r="K97" i="57"/>
  <c r="G72" i="57"/>
  <c r="W72" i="57"/>
  <c r="X72" i="57" s="1"/>
  <c r="S105" i="57"/>
  <c r="T105" i="57" s="1"/>
  <c r="AL34" i="66"/>
  <c r="G17" i="57"/>
  <c r="W105" i="57"/>
  <c r="X105" i="57" s="1"/>
  <c r="S28" i="57"/>
  <c r="W83" i="57"/>
  <c r="X83" i="57" s="1"/>
  <c r="K75" i="57"/>
  <c r="K182" i="57"/>
  <c r="L182" i="57" s="1"/>
  <c r="K171" i="57"/>
  <c r="L171" i="57" s="1"/>
  <c r="W223" i="57"/>
  <c r="X223" i="57" s="1"/>
  <c r="S47" i="57"/>
  <c r="W201" i="57"/>
  <c r="S171" i="57"/>
  <c r="T171" i="57" s="1"/>
  <c r="G149" i="57"/>
  <c r="S160" i="57"/>
  <c r="T160" i="57" s="1"/>
  <c r="G226" i="57"/>
  <c r="W171" i="57"/>
  <c r="X171" i="57" s="1"/>
  <c r="S72" i="57"/>
  <c r="T72" i="57" s="1"/>
  <c r="S127" i="57"/>
  <c r="T127" i="57" s="1"/>
  <c r="S94" i="57"/>
  <c r="S226" i="57"/>
  <c r="T226" i="57" s="1"/>
  <c r="K108" i="57"/>
  <c r="K64" i="57"/>
  <c r="AL34" i="62"/>
  <c r="S50" i="57"/>
  <c r="S193" i="57"/>
  <c r="T193" i="57" s="1"/>
  <c r="G237" i="57"/>
  <c r="G127" i="57"/>
  <c r="W149" i="57"/>
  <c r="X149" i="57" s="1"/>
  <c r="AL34" i="63"/>
  <c r="AL38" i="64"/>
  <c r="G18" i="57"/>
  <c r="K226" i="57"/>
  <c r="L226" i="57" s="1"/>
  <c r="Y105" i="59"/>
  <c r="AC111" i="59" s="1"/>
  <c r="T215" i="59"/>
  <c r="Y215" i="59"/>
  <c r="AC221" i="59" s="1"/>
  <c r="Y171" i="59"/>
  <c r="AC177" i="59" s="1"/>
  <c r="Y6" i="59"/>
  <c r="AC12" i="59" s="1"/>
  <c r="T6" i="59"/>
  <c r="Z6" i="59" s="1"/>
  <c r="Y204" i="59"/>
  <c r="AC210" i="59" s="1"/>
  <c r="Y138" i="59"/>
  <c r="AC144" i="59" s="1"/>
  <c r="Z105" i="59"/>
  <c r="AC110" i="59" s="1"/>
  <c r="Z171" i="59"/>
  <c r="AC176" i="59" s="1"/>
  <c r="Z204" i="59"/>
  <c r="Y39" i="59"/>
  <c r="AC45" i="59" s="1"/>
  <c r="Z39" i="59"/>
  <c r="AC44" i="59" s="1"/>
  <c r="Y193" i="59"/>
  <c r="AC199" i="59" s="1"/>
  <c r="Z193" i="59"/>
  <c r="AC198" i="59" s="1"/>
  <c r="Y17" i="59"/>
  <c r="AC23" i="59" s="1"/>
  <c r="Z17" i="59"/>
  <c r="Y160" i="59"/>
  <c r="AC166" i="59" s="1"/>
  <c r="Z160" i="59"/>
  <c r="AC165" i="59" s="1"/>
  <c r="Z72" i="59"/>
  <c r="AC77" i="59" s="1"/>
  <c r="Y72" i="59"/>
  <c r="AC78" i="59" s="1"/>
  <c r="Y149" i="59"/>
  <c r="AC155" i="59" s="1"/>
  <c r="Z149" i="59"/>
  <c r="AC154" i="59" s="1"/>
  <c r="Y50" i="59"/>
  <c r="AC56" i="59" s="1"/>
  <c r="Z50" i="59"/>
  <c r="AC55" i="59" s="1"/>
  <c r="Y127" i="59"/>
  <c r="AC133" i="59" s="1"/>
  <c r="Z127" i="59"/>
  <c r="AC132" i="59" s="1"/>
  <c r="Z116" i="59"/>
  <c r="AC121" i="59" s="1"/>
  <c r="Y116" i="59"/>
  <c r="AC122" i="59" s="1"/>
  <c r="Y94" i="59"/>
  <c r="AC100" i="59" s="1"/>
  <c r="Z94" i="59"/>
  <c r="AC99" i="59" s="1"/>
  <c r="Z61" i="59"/>
  <c r="Y61" i="59"/>
  <c r="AC67" i="59" s="1"/>
  <c r="Y226" i="59"/>
  <c r="AC232" i="59" s="1"/>
  <c r="Z226" i="59"/>
  <c r="AC231" i="59" s="1"/>
  <c r="Y83" i="59"/>
  <c r="AC89" i="59" s="1"/>
  <c r="Z83" i="59"/>
  <c r="AC88" i="59" s="1"/>
  <c r="Y182" i="59"/>
  <c r="AC188" i="59" s="1"/>
  <c r="Z182" i="59"/>
  <c r="Y28" i="59"/>
  <c r="AC34" i="59" s="1"/>
  <c r="Z28" i="59"/>
  <c r="AC33" i="59" s="1"/>
  <c r="Q3" i="40"/>
  <c r="P3" i="25"/>
  <c r="O7" i="38"/>
  <c r="S127" i="60"/>
  <c r="T127" i="60" s="1"/>
  <c r="S204" i="60"/>
  <c r="T204" i="60" s="1"/>
  <c r="S358" i="60"/>
  <c r="T358" i="60" s="1"/>
  <c r="W303" i="60"/>
  <c r="X303" i="60" s="1"/>
  <c r="W402" i="60"/>
  <c r="K97" i="60"/>
  <c r="L97" i="60" s="1"/>
  <c r="S28" i="60"/>
  <c r="G281" i="60"/>
  <c r="H281" i="60" s="1"/>
  <c r="U11" i="57"/>
  <c r="Q11" i="57"/>
  <c r="U8" i="57"/>
  <c r="Q16" i="57"/>
  <c r="Q15" i="57"/>
  <c r="I10" i="57"/>
  <c r="I9" i="57"/>
  <c r="U7" i="57"/>
  <c r="Y248" i="57" l="1"/>
  <c r="AC253" i="57" s="1"/>
  <c r="Y281" i="57"/>
  <c r="AC286" i="57" s="1"/>
  <c r="Y270" i="57"/>
  <c r="AC275" i="57" s="1"/>
  <c r="Y226" i="57"/>
  <c r="AC231" i="57" s="1"/>
  <c r="Y259" i="57"/>
  <c r="AC264" i="57" s="1"/>
  <c r="Y941" i="59"/>
  <c r="AZ1" i="9" s="1"/>
  <c r="AY3" i="9" s="1"/>
  <c r="T25" i="57"/>
  <c r="H105" i="57"/>
  <c r="H172" i="57"/>
  <c r="H227" i="57"/>
  <c r="H39" i="57"/>
  <c r="L185" i="57"/>
  <c r="X135" i="57"/>
  <c r="T216" i="57"/>
  <c r="H171" i="57"/>
  <c r="L391" i="57"/>
  <c r="H160" i="57"/>
  <c r="L86" i="57"/>
  <c r="X234" i="57"/>
  <c r="H259" i="57"/>
  <c r="H182" i="57"/>
  <c r="X256" i="57"/>
  <c r="L383" i="57"/>
  <c r="L273" i="57"/>
  <c r="L328" i="57"/>
  <c r="L240" i="57"/>
  <c r="L174" i="57"/>
  <c r="H336" i="57"/>
  <c r="H237" i="57"/>
  <c r="L64" i="57"/>
  <c r="X201" i="57"/>
  <c r="L75" i="57"/>
  <c r="H17" i="57"/>
  <c r="H116" i="57"/>
  <c r="H193" i="57"/>
  <c r="H238" i="57"/>
  <c r="L53" i="57"/>
  <c r="T194" i="57"/>
  <c r="H204" i="57"/>
  <c r="H358" i="57"/>
  <c r="L130" i="57"/>
  <c r="L372" i="57"/>
  <c r="L339" i="57"/>
  <c r="L306" i="57"/>
  <c r="X377" i="57"/>
  <c r="L20" i="57"/>
  <c r="T370" i="57"/>
  <c r="H226" i="57"/>
  <c r="T47" i="57"/>
  <c r="H72" i="57"/>
  <c r="H139" i="57"/>
  <c r="H94" i="57"/>
  <c r="H248" i="57"/>
  <c r="X124" i="57"/>
  <c r="L207" i="57"/>
  <c r="T337" i="57"/>
  <c r="H281" i="57"/>
  <c r="L141" i="57"/>
  <c r="L416" i="57"/>
  <c r="L317" i="57"/>
  <c r="L394" i="57"/>
  <c r="L284" i="57"/>
  <c r="L31" i="57"/>
  <c r="X410" i="57"/>
  <c r="L361" i="57"/>
  <c r="H62" i="57"/>
  <c r="H18" i="57"/>
  <c r="H149" i="57"/>
  <c r="L97" i="57"/>
  <c r="T157" i="57"/>
  <c r="H260" i="57"/>
  <c r="T212" i="57"/>
  <c r="T150" i="57"/>
  <c r="T223" i="57"/>
  <c r="H270" i="57"/>
  <c r="H28" i="57"/>
  <c r="L163" i="57"/>
  <c r="T304" i="57"/>
  <c r="T61" i="57"/>
  <c r="L295" i="57"/>
  <c r="L405" i="57"/>
  <c r="T271" i="57"/>
  <c r="L152" i="57"/>
  <c r="L42" i="57"/>
  <c r="L922" i="57"/>
  <c r="Y919" i="57"/>
  <c r="AC924" i="57" s="1"/>
  <c r="T28" i="60"/>
  <c r="Y28" i="60"/>
  <c r="AC33" i="60" s="1"/>
  <c r="W336" i="60"/>
  <c r="X336" i="60" s="1"/>
  <c r="Y358" i="60"/>
  <c r="AC363" i="60" s="1"/>
  <c r="S171" i="60"/>
  <c r="T171" i="60" s="1"/>
  <c r="G380" i="60"/>
  <c r="Y402" i="60"/>
  <c r="AC407" i="60" s="1"/>
  <c r="X402" i="60"/>
  <c r="S413" i="60"/>
  <c r="Y413" i="60" s="1"/>
  <c r="AC419" i="60" s="1"/>
  <c r="S116" i="60"/>
  <c r="T116" i="60" s="1"/>
  <c r="K9" i="60"/>
  <c r="L9" i="60" s="1"/>
  <c r="S149" i="60"/>
  <c r="T149" i="60" s="1"/>
  <c r="S281" i="60"/>
  <c r="T281" i="60" s="1"/>
  <c r="K75" i="60"/>
  <c r="L75" i="60" s="1"/>
  <c r="S17" i="60"/>
  <c r="S336" i="60"/>
  <c r="T336" i="60" s="1"/>
  <c r="S369" i="60"/>
  <c r="S270" i="60"/>
  <c r="K141" i="60"/>
  <c r="L141" i="60" s="1"/>
  <c r="S61" i="60"/>
  <c r="T61" i="60" s="1"/>
  <c r="S259" i="60"/>
  <c r="W116" i="60"/>
  <c r="W39" i="60"/>
  <c r="X39" i="60" s="1"/>
  <c r="S303" i="60"/>
  <c r="T303" i="60" s="1"/>
  <c r="S314" i="60"/>
  <c r="S105" i="60"/>
  <c r="T105" i="60" s="1"/>
  <c r="S215" i="60"/>
  <c r="Y347" i="60"/>
  <c r="AC353" i="60" s="1"/>
  <c r="Y248" i="60"/>
  <c r="AC253" i="60" s="1"/>
  <c r="Y413" i="57"/>
  <c r="AC418" i="57" s="1"/>
  <c r="H413" i="57"/>
  <c r="T369" i="57"/>
  <c r="Y369" i="57"/>
  <c r="AC374" i="57" s="1"/>
  <c r="Y391" i="57"/>
  <c r="AC396" i="57" s="1"/>
  <c r="T391" i="57"/>
  <c r="L402" i="57"/>
  <c r="Y402" i="57"/>
  <c r="AC407" i="57" s="1"/>
  <c r="H325" i="57"/>
  <c r="H347" i="57"/>
  <c r="H380" i="57"/>
  <c r="Y380" i="57"/>
  <c r="AC385" i="57" s="1"/>
  <c r="T270" i="57"/>
  <c r="T281" i="57"/>
  <c r="H314" i="57"/>
  <c r="Y314" i="57"/>
  <c r="AC319" i="57" s="1"/>
  <c r="L358" i="57"/>
  <c r="Y358" i="57"/>
  <c r="AC363" i="57" s="1"/>
  <c r="T336" i="57"/>
  <c r="Y336" i="57"/>
  <c r="AC341" i="57" s="1"/>
  <c r="S435" i="60"/>
  <c r="Y435" i="60" s="1"/>
  <c r="AC441" i="60" s="1"/>
  <c r="Y50" i="57"/>
  <c r="AC55" i="57" s="1"/>
  <c r="Y94" i="57"/>
  <c r="AC99" i="57" s="1"/>
  <c r="Y127" i="60"/>
  <c r="AC133" i="60" s="1"/>
  <c r="A53" i="26"/>
  <c r="H249" i="57"/>
  <c r="Y28" i="57"/>
  <c r="Y105" i="57"/>
  <c r="AC110" i="57" s="1"/>
  <c r="T28" i="57"/>
  <c r="Y72" i="57"/>
  <c r="AC77" i="57" s="1"/>
  <c r="Y160" i="57"/>
  <c r="AC165" i="57" s="1"/>
  <c r="Y171" i="57"/>
  <c r="AC176" i="57" s="1"/>
  <c r="L108" i="57"/>
  <c r="Y127" i="57"/>
  <c r="AC132" i="57" s="1"/>
  <c r="T50" i="57"/>
  <c r="T94" i="57"/>
  <c r="H127" i="57"/>
  <c r="Y61" i="57"/>
  <c r="S6" i="60"/>
  <c r="Y424" i="60"/>
  <c r="AC429" i="60" s="1"/>
  <c r="Z215" i="59"/>
  <c r="AC220" i="59" s="1"/>
  <c r="B6" i="57"/>
  <c r="K9" i="57" s="1"/>
  <c r="AP3" i="9"/>
  <c r="AC187" i="59" s="1"/>
  <c r="AC638" i="59" l="1"/>
  <c r="AY2" i="9"/>
  <c r="AC209" i="59"/>
  <c r="T633" i="60"/>
  <c r="T634" i="60"/>
  <c r="AC407" i="59"/>
  <c r="AC418" i="59"/>
  <c r="AC429" i="59"/>
  <c r="AC22" i="59"/>
  <c r="AC11" i="59"/>
  <c r="AC616" i="59"/>
  <c r="AC66" i="59"/>
  <c r="D8" i="68"/>
  <c r="AC66" i="57"/>
  <c r="Z941" i="59"/>
  <c r="AZ2" i="9" s="1"/>
  <c r="D5" i="68"/>
  <c r="AC33" i="57"/>
  <c r="B3" i="68"/>
  <c r="D6" i="57"/>
  <c r="C6" i="57"/>
  <c r="T513" i="60"/>
  <c r="Z512" i="60" s="1"/>
  <c r="AC517" i="60" s="1"/>
  <c r="L504" i="60"/>
  <c r="Z501" i="60" s="1"/>
  <c r="AC505" i="60" s="1"/>
  <c r="T17" i="60"/>
  <c r="Y17" i="60"/>
  <c r="AC23" i="60" s="1"/>
  <c r="T215" i="60"/>
  <c r="Y215" i="60"/>
  <c r="AC221" i="60" s="1"/>
  <c r="AO3" i="9"/>
  <c r="T413" i="60"/>
  <c r="Y380" i="60"/>
  <c r="AC385" i="60" s="1"/>
  <c r="H380" i="60"/>
  <c r="Y281" i="60"/>
  <c r="AC287" i="60" s="1"/>
  <c r="Y149" i="60"/>
  <c r="AC155" i="60" s="1"/>
  <c r="Y138" i="60"/>
  <c r="AC143" i="60" s="1"/>
  <c r="Y336" i="60"/>
  <c r="AC341" i="60" s="1"/>
  <c r="Y369" i="60"/>
  <c r="AC375" i="60" s="1"/>
  <c r="T369" i="60"/>
  <c r="Z369" i="60" s="1"/>
  <c r="AC374" i="60" s="1"/>
  <c r="Y270" i="60"/>
  <c r="AC275" i="60" s="1"/>
  <c r="T270" i="60"/>
  <c r="Y259" i="60"/>
  <c r="AC265" i="60" s="1"/>
  <c r="T259" i="60"/>
  <c r="Y116" i="60"/>
  <c r="AC121" i="60" s="1"/>
  <c r="X116" i="60"/>
  <c r="Y303" i="60"/>
  <c r="AC309" i="60" s="1"/>
  <c r="Y314" i="60"/>
  <c r="AC319" i="60" s="1"/>
  <c r="T314" i="60"/>
  <c r="Y6" i="60"/>
  <c r="AC11" i="60" s="1"/>
  <c r="T6" i="60"/>
  <c r="Y94" i="60"/>
  <c r="AC99" i="60" s="1"/>
  <c r="Y160" i="60"/>
  <c r="AC165" i="60" s="1"/>
  <c r="Y72" i="60"/>
  <c r="AC77" i="60" s="1"/>
  <c r="Y50" i="60"/>
  <c r="AC55" i="60" s="1"/>
  <c r="Y39" i="60"/>
  <c r="AC45" i="60" s="1"/>
  <c r="Y193" i="60"/>
  <c r="AC199" i="60" s="1"/>
  <c r="Y226" i="60"/>
  <c r="AC231" i="60" s="1"/>
  <c r="A54" i="26"/>
  <c r="A55" i="26" s="1"/>
  <c r="A56" i="26" s="1"/>
  <c r="A57" i="26" s="1"/>
  <c r="A58" i="26" s="1"/>
  <c r="Y61" i="60"/>
  <c r="AC67" i="60" s="1"/>
  <c r="Y105" i="60"/>
  <c r="AC111" i="60" s="1"/>
  <c r="Y204" i="60"/>
  <c r="AC209" i="60" s="1"/>
  <c r="Y83" i="60"/>
  <c r="AC89" i="60" s="1"/>
  <c r="Y171" i="60"/>
  <c r="AC177" i="60" s="1"/>
  <c r="W14" i="57"/>
  <c r="S10" i="57"/>
  <c r="O6" i="57"/>
  <c r="P6" i="57" s="1"/>
  <c r="W13" i="57"/>
  <c r="X13" i="57" s="1"/>
  <c r="W12" i="57"/>
  <c r="S15" i="57"/>
  <c r="O7" i="57"/>
  <c r="P7" i="57" s="1"/>
  <c r="K10" i="57"/>
  <c r="S12" i="57"/>
  <c r="W16" i="57"/>
  <c r="X16" i="57" s="1"/>
  <c r="W8" i="57"/>
  <c r="X8" i="57" s="1"/>
  <c r="W15" i="57"/>
  <c r="X15" i="57" s="1"/>
  <c r="W10" i="57"/>
  <c r="X10" i="57" s="1"/>
  <c r="S13" i="57"/>
  <c r="S8" i="57"/>
  <c r="S16" i="57"/>
  <c r="S11" i="57"/>
  <c r="W9" i="57"/>
  <c r="S6" i="57"/>
  <c r="S9" i="57"/>
  <c r="S7" i="57"/>
  <c r="T7" i="57" s="1"/>
  <c r="W6" i="57"/>
  <c r="K6" i="57"/>
  <c r="G7" i="57"/>
  <c r="G6" i="57"/>
  <c r="W11" i="57"/>
  <c r="X11" i="57" s="1"/>
  <c r="S14" i="57"/>
  <c r="W7" i="57"/>
  <c r="X7" i="57" s="1"/>
  <c r="K7" i="57"/>
  <c r="AL34" i="25"/>
  <c r="Q881" i="57" l="1"/>
  <c r="T881" i="57" s="1"/>
  <c r="Z875" i="57" s="1"/>
  <c r="AC879" i="57" s="1"/>
  <c r="Q892" i="57"/>
  <c r="T892" i="57" s="1"/>
  <c r="Z886" i="57" s="1"/>
  <c r="AC890" i="57" s="1"/>
  <c r="Q870" i="57"/>
  <c r="T870" i="57" s="1"/>
  <c r="Z864" i="57" s="1"/>
  <c r="C3" i="68"/>
  <c r="AD11" i="57"/>
  <c r="AZ3" i="9"/>
  <c r="Z633" i="60"/>
  <c r="AC637" i="60" s="1"/>
  <c r="Q914" i="57"/>
  <c r="T914" i="57" s="1"/>
  <c r="Z908" i="57" s="1"/>
  <c r="AC912" i="57" s="1"/>
  <c r="Q903" i="57"/>
  <c r="T903" i="57" s="1"/>
  <c r="Z897" i="57" s="1"/>
  <c r="Q859" i="57"/>
  <c r="T859" i="57" s="1"/>
  <c r="Z853" i="57" s="1"/>
  <c r="Q837" i="57"/>
  <c r="T837" i="57" s="1"/>
  <c r="Z831" i="57" s="1"/>
  <c r="Q826" i="57"/>
  <c r="T826" i="57" s="1"/>
  <c r="Z820" i="57" s="1"/>
  <c r="Q804" i="57"/>
  <c r="T804" i="57" s="1"/>
  <c r="Z798" i="57" s="1"/>
  <c r="Q848" i="57"/>
  <c r="T848" i="57" s="1"/>
  <c r="Z842" i="57" s="1"/>
  <c r="Q760" i="57"/>
  <c r="T760" i="57" s="1"/>
  <c r="Z754" i="57" s="1"/>
  <c r="Y952" i="60"/>
  <c r="AT1" i="26" s="1"/>
  <c r="AS2" i="26" s="1"/>
  <c r="Q815" i="57"/>
  <c r="T815" i="57" s="1"/>
  <c r="Z809" i="57" s="1"/>
  <c r="Q793" i="57"/>
  <c r="T793" i="57" s="1"/>
  <c r="Z787" i="57" s="1"/>
  <c r="Q782" i="57"/>
  <c r="T782" i="57" s="1"/>
  <c r="Z776" i="57" s="1"/>
  <c r="Q771" i="57"/>
  <c r="T771" i="57" s="1"/>
  <c r="Z765" i="57" s="1"/>
  <c r="T16" i="57"/>
  <c r="L10" i="57"/>
  <c r="T8" i="57"/>
  <c r="T13" i="57"/>
  <c r="T15" i="57"/>
  <c r="L9" i="57"/>
  <c r="T11" i="57"/>
  <c r="Q738" i="57"/>
  <c r="T738" i="57" s="1"/>
  <c r="Z732" i="57" s="1"/>
  <c r="Q749" i="57"/>
  <c r="T749" i="57" s="1"/>
  <c r="Z743" i="57" s="1"/>
  <c r="Q705" i="57"/>
  <c r="T705" i="57" s="1"/>
  <c r="Q694" i="57"/>
  <c r="T694" i="57" s="1"/>
  <c r="Z688" i="57" s="1"/>
  <c r="Q727" i="57"/>
  <c r="T727" i="57" s="1"/>
  <c r="Q716" i="57"/>
  <c r="T716" i="57" s="1"/>
  <c r="Q672" i="57"/>
  <c r="T672" i="57" s="1"/>
  <c r="Q650" i="57"/>
  <c r="T650" i="57" s="1"/>
  <c r="Z644" i="57" s="1"/>
  <c r="Q661" i="57"/>
  <c r="T661" i="57" s="1"/>
  <c r="Z655" i="57" s="1"/>
  <c r="Q683" i="57"/>
  <c r="T683" i="57" s="1"/>
  <c r="Z677" i="57" s="1"/>
  <c r="Q628" i="57"/>
  <c r="T628" i="57" s="1"/>
  <c r="Q639" i="57"/>
  <c r="T639" i="57" s="1"/>
  <c r="Z633" i="57" s="1"/>
  <c r="Q606" i="57"/>
  <c r="T606" i="57" s="1"/>
  <c r="Q617" i="57"/>
  <c r="T617" i="57" s="1"/>
  <c r="Z611" i="57" s="1"/>
  <c r="Q584" i="57"/>
  <c r="T584" i="57" s="1"/>
  <c r="Q595" i="57"/>
  <c r="T595" i="57" s="1"/>
  <c r="Z589" i="57" s="1"/>
  <c r="Q562" i="57"/>
  <c r="T562" i="57" s="1"/>
  <c r="Z556" i="57" s="1"/>
  <c r="Q573" i="57"/>
  <c r="T573" i="57" s="1"/>
  <c r="Q540" i="57"/>
  <c r="T540" i="57" s="1"/>
  <c r="Q551" i="57"/>
  <c r="T551" i="57" s="1"/>
  <c r="Q518" i="57"/>
  <c r="T518" i="57" s="1"/>
  <c r="Q529" i="57"/>
  <c r="T529" i="57" s="1"/>
  <c r="Z523" i="57" s="1"/>
  <c r="Q496" i="57"/>
  <c r="T496" i="57" s="1"/>
  <c r="Q507" i="57"/>
  <c r="T507" i="57" s="1"/>
  <c r="Q474" i="57"/>
  <c r="T474" i="57" s="1"/>
  <c r="Z468" i="57" s="1"/>
  <c r="Q485" i="57"/>
  <c r="T485" i="57" s="1"/>
  <c r="Z479" i="57" s="1"/>
  <c r="Q452" i="57"/>
  <c r="T452" i="57" s="1"/>
  <c r="Q463" i="57"/>
  <c r="T463" i="57" s="1"/>
  <c r="Q430" i="57"/>
  <c r="T430" i="57" s="1"/>
  <c r="Z424" i="57" s="1"/>
  <c r="Q441" i="57"/>
  <c r="T441" i="57" s="1"/>
  <c r="Z435" i="57" s="1"/>
  <c r="Z292" i="60"/>
  <c r="AC296" i="60" s="1"/>
  <c r="H435" i="60"/>
  <c r="Q419" i="57"/>
  <c r="T419" i="57" s="1"/>
  <c r="Z413" i="57" s="1"/>
  <c r="Q408" i="57"/>
  <c r="T408" i="57" s="1"/>
  <c r="Z402" i="57" s="1"/>
  <c r="Q397" i="57"/>
  <c r="T397" i="57" s="1"/>
  <c r="Z391" i="57" s="1"/>
  <c r="Q386" i="57"/>
  <c r="T386" i="57" s="1"/>
  <c r="Z380" i="57" s="1"/>
  <c r="Q375" i="57"/>
  <c r="T375" i="57" s="1"/>
  <c r="Z369" i="57" s="1"/>
  <c r="Q364" i="57"/>
  <c r="T364" i="57" s="1"/>
  <c r="Z358" i="57" s="1"/>
  <c r="Q353" i="57"/>
  <c r="T353" i="57" s="1"/>
  <c r="Q342" i="57"/>
  <c r="T342" i="57" s="1"/>
  <c r="Z336" i="57" s="1"/>
  <c r="AC340" i="57" s="1"/>
  <c r="Q331" i="57"/>
  <c r="T331" i="57" s="1"/>
  <c r="Q309" i="57"/>
  <c r="T309" i="57" s="1"/>
  <c r="Q298" i="57"/>
  <c r="T298" i="57" s="1"/>
  <c r="Q320" i="57"/>
  <c r="T320" i="57" s="1"/>
  <c r="Z314" i="57" s="1"/>
  <c r="Q254" i="57"/>
  <c r="T254" i="57" s="1"/>
  <c r="Z248" i="57" s="1"/>
  <c r="Q287" i="57"/>
  <c r="T287" i="57" s="1"/>
  <c r="Z281" i="57" s="1"/>
  <c r="Q276" i="57"/>
  <c r="T276" i="57" s="1"/>
  <c r="Z270" i="57" s="1"/>
  <c r="AL38" i="40"/>
  <c r="Q925" i="57"/>
  <c r="T925" i="57" s="1"/>
  <c r="Z919" i="57" s="1"/>
  <c r="AC923" i="57" s="1"/>
  <c r="Q265" i="57"/>
  <c r="T265" i="57" s="1"/>
  <c r="Z259" i="57" s="1"/>
  <c r="Y6" i="57"/>
  <c r="Q232" i="57"/>
  <c r="T232" i="57" s="1"/>
  <c r="Z226" i="57" s="1"/>
  <c r="Q210" i="57"/>
  <c r="T210" i="57" s="1"/>
  <c r="Q199" i="57"/>
  <c r="T199" i="57" s="1"/>
  <c r="Q188" i="57"/>
  <c r="T188" i="57" s="1"/>
  <c r="Q133" i="57"/>
  <c r="T133" i="57" s="1"/>
  <c r="Z127" i="57" s="1"/>
  <c r="Q243" i="57"/>
  <c r="T243" i="57" s="1"/>
  <c r="Q221" i="57"/>
  <c r="T221" i="57" s="1"/>
  <c r="Q166" i="57"/>
  <c r="T166" i="57" s="1"/>
  <c r="Z160" i="57" s="1"/>
  <c r="Q89" i="57"/>
  <c r="T89" i="57" s="1"/>
  <c r="Q100" i="57"/>
  <c r="T100" i="57" s="1"/>
  <c r="Z94" i="57" s="1"/>
  <c r="Q155" i="57"/>
  <c r="T155" i="57" s="1"/>
  <c r="Q144" i="57"/>
  <c r="T144" i="57" s="1"/>
  <c r="Q56" i="57"/>
  <c r="T56" i="57" s="1"/>
  <c r="Z50" i="57" s="1"/>
  <c r="Q45" i="57"/>
  <c r="T45" i="57" s="1"/>
  <c r="Q34" i="57"/>
  <c r="T34" i="57" s="1"/>
  <c r="Z28" i="57" s="1"/>
  <c r="Q78" i="57"/>
  <c r="T78" i="57" s="1"/>
  <c r="Z72" i="57" s="1"/>
  <c r="Q67" i="57"/>
  <c r="T67" i="57" s="1"/>
  <c r="Z61" i="57" s="1"/>
  <c r="Q177" i="57"/>
  <c r="T177" i="57" s="1"/>
  <c r="Z171" i="57" s="1"/>
  <c r="Q122" i="57"/>
  <c r="T122" i="57" s="1"/>
  <c r="Q111" i="57"/>
  <c r="T111" i="57" s="1"/>
  <c r="Z105" i="57" s="1"/>
  <c r="U12" i="57"/>
  <c r="X12" i="57" s="1"/>
  <c r="Q6" i="57"/>
  <c r="T6" i="57" s="1"/>
  <c r="E6" i="57"/>
  <c r="H6" i="57" s="1"/>
  <c r="Q23" i="57"/>
  <c r="T23" i="57" s="1"/>
  <c r="U9" i="57"/>
  <c r="X9" i="57" s="1"/>
  <c r="I7" i="57"/>
  <c r="L7" i="57" s="1"/>
  <c r="U6" i="57"/>
  <c r="X6" i="57" s="1"/>
  <c r="I6" i="57"/>
  <c r="L6" i="57" s="1"/>
  <c r="U14" i="57"/>
  <c r="X14" i="57" s="1"/>
  <c r="Q14" i="57"/>
  <c r="T14" i="57" s="1"/>
  <c r="Q9" i="57"/>
  <c r="T9" i="57" s="1"/>
  <c r="E7" i="57"/>
  <c r="H7" i="57" s="1"/>
  <c r="Q12" i="57"/>
  <c r="T12" i="57" s="1"/>
  <c r="T10" i="57"/>
  <c r="H436" i="60"/>
  <c r="E8" i="68" l="1"/>
  <c r="AC11" i="57"/>
  <c r="E5" i="68"/>
  <c r="AC32" i="57"/>
  <c r="D3" i="68"/>
  <c r="Z402" i="60"/>
  <c r="AC406" i="60" s="1"/>
  <c r="Z391" i="60"/>
  <c r="AC396" i="60" s="1"/>
  <c r="Z116" i="60"/>
  <c r="AC120" i="60" s="1"/>
  <c r="Z347" i="60"/>
  <c r="AC352" i="60" s="1"/>
  <c r="Z380" i="60"/>
  <c r="AC384" i="60" s="1"/>
  <c r="Z413" i="60"/>
  <c r="AC418" i="60" s="1"/>
  <c r="Z270" i="60"/>
  <c r="AC274" i="60" s="1"/>
  <c r="Z358" i="60"/>
  <c r="AC362" i="60" s="1"/>
  <c r="Z336" i="60"/>
  <c r="AC340" i="60" s="1"/>
  <c r="Z259" i="60"/>
  <c r="AC264" i="60" s="1"/>
  <c r="Z281" i="60"/>
  <c r="AC286" i="60" s="1"/>
  <c r="Z248" i="60"/>
  <c r="AC252" i="60" s="1"/>
  <c r="Z303" i="60"/>
  <c r="AC308" i="60" s="1"/>
  <c r="T435" i="60"/>
  <c r="Z435" i="60" s="1"/>
  <c r="AC440" i="60" s="1"/>
  <c r="AM27" i="65"/>
  <c r="Z149" i="60"/>
  <c r="AC154" i="60" s="1"/>
  <c r="Z138" i="60"/>
  <c r="AC142" i="60" s="1"/>
  <c r="Z215" i="60"/>
  <c r="AC220" i="60" s="1"/>
  <c r="Z6" i="57"/>
  <c r="Z6" i="60"/>
  <c r="AC10" i="60" s="1"/>
  <c r="AM28" i="38"/>
  <c r="E3" i="68" l="1"/>
  <c r="Z314" i="60"/>
  <c r="AC318" i="60" s="1"/>
  <c r="Z237" i="60"/>
  <c r="AC242" i="60" s="1"/>
  <c r="Z424" i="60"/>
  <c r="AC428" i="60" s="1"/>
  <c r="Z127" i="60"/>
  <c r="AC132" i="60" s="1"/>
  <c r="Z193" i="60"/>
  <c r="AC198" i="60" s="1"/>
  <c r="Z50" i="60"/>
  <c r="AC54" i="60" s="1"/>
  <c r="Z72" i="60"/>
  <c r="AC76" i="60" s="1"/>
  <c r="Z226" i="60"/>
  <c r="AC230" i="60" s="1"/>
  <c r="Z160" i="60"/>
  <c r="AC164" i="60" s="1"/>
  <c r="Z83" i="60"/>
  <c r="AC88" i="60" s="1"/>
  <c r="Z61" i="60"/>
  <c r="AC66" i="60" s="1"/>
  <c r="Z28" i="60"/>
  <c r="AC32" i="60" s="1"/>
  <c r="Z94" i="60"/>
  <c r="AC98" i="60" s="1"/>
  <c r="Z17" i="60"/>
  <c r="AC22" i="60" s="1"/>
  <c r="Z182" i="60"/>
  <c r="AC186" i="60" s="1"/>
  <c r="Z204" i="60"/>
  <c r="AC208" i="60" s="1"/>
  <c r="AN494" i="26"/>
  <c r="AQ1" i="26" s="1"/>
  <c r="Z171" i="60"/>
  <c r="AC176" i="60" s="1"/>
  <c r="Z39" i="60"/>
  <c r="AC44" i="60" s="1"/>
  <c r="Z105" i="60"/>
  <c r="AC110" i="60" s="1"/>
  <c r="Z952" i="60" l="1"/>
  <c r="AR1" i="26" s="1"/>
  <c r="AQ2" i="26" s="1"/>
  <c r="A59" i="26" l="1"/>
  <c r="A60" i="26" l="1"/>
  <c r="A61" i="26" l="1"/>
  <c r="A62" i="26" l="1"/>
  <c r="A63" i="26" l="1"/>
  <c r="A64" i="26" l="1"/>
  <c r="A65" i="26" l="1"/>
  <c r="A66" i="26" l="1"/>
  <c r="A67" i="26" l="1"/>
  <c r="A68" i="26" l="1"/>
  <c r="A69" i="26" l="1"/>
  <c r="A70" i="26" l="1"/>
  <c r="A71" i="26" l="1"/>
  <c r="A72" i="26" l="1"/>
  <c r="A73" i="26" l="1"/>
  <c r="A74" i="26" l="1"/>
  <c r="A75" i="26" l="1"/>
  <c r="A76" i="26" l="1"/>
  <c r="A77" i="26" l="1"/>
  <c r="A78" i="26" l="1"/>
  <c r="A79" i="26" l="1"/>
  <c r="A80" i="26" l="1"/>
  <c r="A81" i="26" l="1"/>
  <c r="A82" i="26" l="1"/>
  <c r="A83" i="26" l="1"/>
  <c r="A84" i="26" l="1"/>
  <c r="A85" i="26" l="1"/>
  <c r="A86" i="26" l="1"/>
  <c r="A87" i="26" l="1"/>
  <c r="A88" i="26" l="1"/>
  <c r="A89" i="26" l="1"/>
  <c r="A90" i="26" l="1"/>
  <c r="A91" i="26" l="1"/>
  <c r="A92" i="26" l="1"/>
  <c r="A93" i="26" l="1"/>
  <c r="A94" i="26" l="1"/>
  <c r="A95" i="26" l="1"/>
  <c r="A96" i="26" l="1"/>
  <c r="A97" i="26" l="1"/>
  <c r="A98" i="26" l="1"/>
  <c r="A99" i="26" l="1"/>
  <c r="A100" i="26" l="1"/>
  <c r="A101" i="26" l="1"/>
  <c r="A102" i="26" l="1"/>
  <c r="A103" i="26" l="1"/>
  <c r="A104" i="26" l="1"/>
  <c r="A105" i="26" l="1"/>
  <c r="A106" i="26" l="1"/>
  <c r="A107" i="26" l="1"/>
  <c r="A108" i="26" l="1"/>
  <c r="A109" i="26" l="1"/>
  <c r="A110" i="26" l="1"/>
  <c r="A111" i="26" l="1"/>
  <c r="A112" i="26" l="1"/>
  <c r="A113" i="26" l="1"/>
  <c r="A114" i="26" l="1"/>
  <c r="A115" i="26" l="1"/>
  <c r="A116" i="26" l="1"/>
  <c r="A117" i="26" l="1"/>
  <c r="A118" i="26" l="1"/>
  <c r="A119" i="26" l="1"/>
  <c r="A120" i="26" l="1"/>
  <c r="A121" i="26" l="1"/>
  <c r="A122" i="26" l="1"/>
  <c r="A123" i="26" l="1"/>
  <c r="A124" i="26" l="1"/>
  <c r="A125" i="26" l="1"/>
  <c r="A126" i="26" l="1"/>
  <c r="A127" i="26" l="1"/>
  <c r="A128" i="26" l="1"/>
  <c r="A129" i="26" l="1"/>
  <c r="A130" i="26" l="1"/>
  <c r="A131" i="26" l="1"/>
  <c r="A132" i="26" l="1"/>
  <c r="A133" i="26" l="1"/>
  <c r="A134" i="26" l="1"/>
  <c r="A135" i="26" l="1"/>
  <c r="A136" i="26" l="1"/>
  <c r="A137" i="26" l="1"/>
  <c r="A138" i="26" l="1"/>
  <c r="A139" i="26" l="1"/>
  <c r="A140" i="26" l="1"/>
  <c r="A141" i="26" l="1"/>
  <c r="A142" i="26" l="1"/>
  <c r="A143" i="26" l="1"/>
  <c r="A144" i="26" l="1"/>
  <c r="A145" i="26" l="1"/>
  <c r="A146" i="26" l="1"/>
  <c r="A147" i="26" l="1"/>
  <c r="A148" i="26" l="1"/>
  <c r="A149" i="26" l="1"/>
  <c r="A150" i="26" l="1"/>
  <c r="A151" i="26" l="1"/>
  <c r="A152" i="26" l="1"/>
  <c r="A153" i="26" l="1"/>
  <c r="A154" i="26" l="1"/>
  <c r="A155" i="26" l="1"/>
  <c r="A156" i="26" l="1"/>
  <c r="A157" i="26" l="1"/>
  <c r="A158" i="26" l="1"/>
  <c r="A159" i="26" l="1"/>
  <c r="A160" i="26" l="1"/>
  <c r="A161" i="26" l="1"/>
  <c r="A162" i="26" l="1"/>
  <c r="A163" i="26" l="1"/>
  <c r="A164" i="26" l="1"/>
  <c r="A165" i="26" l="1"/>
  <c r="A166" i="26" l="1"/>
  <c r="A167" i="26" l="1"/>
  <c r="A181" i="26" l="1"/>
  <c r="A168" i="26"/>
  <c r="A169" i="26" l="1"/>
  <c r="A182" i="26"/>
  <c r="A183" i="26" l="1"/>
  <c r="A170" i="26"/>
  <c r="A171" i="26" l="1"/>
  <c r="A184" i="26"/>
  <c r="A185" i="26" l="1"/>
  <c r="A172" i="26"/>
  <c r="A173" i="26" l="1"/>
  <c r="A186" i="26"/>
  <c r="X10" i="25" l="1"/>
  <c r="Z33" i="66"/>
  <c r="X12" i="64"/>
  <c r="M29" i="66"/>
  <c r="R18" i="40"/>
  <c r="P18" i="25"/>
  <c r="W25" i="25"/>
  <c r="L24" i="25"/>
  <c r="J10" i="64"/>
  <c r="AB20" i="25"/>
  <c r="AH15" i="40"/>
  <c r="O12" i="25"/>
  <c r="N13" i="66"/>
  <c r="B20" i="66"/>
  <c r="S33" i="66"/>
  <c r="R29" i="66"/>
  <c r="AE24" i="66"/>
  <c r="AD33" i="66"/>
  <c r="Y27" i="66"/>
  <c r="U17" i="66"/>
  <c r="AB17" i="40"/>
  <c r="U16" i="25"/>
  <c r="H23" i="64"/>
  <c r="Z31" i="66"/>
  <c r="AA10" i="25"/>
  <c r="S8" i="40"/>
  <c r="G13" i="25"/>
  <c r="I10" i="40"/>
  <c r="AE28" i="25"/>
  <c r="AB9" i="25"/>
  <c r="T12" i="25"/>
  <c r="C20" i="40"/>
  <c r="H12" i="40"/>
  <c r="AF8" i="66"/>
  <c r="AC23" i="66"/>
  <c r="X32" i="66"/>
  <c r="G28" i="66"/>
  <c r="C28" i="66"/>
  <c r="N24" i="40"/>
  <c r="AH12" i="66"/>
  <c r="C31" i="66"/>
  <c r="P18" i="66"/>
  <c r="V18" i="25"/>
  <c r="D31" i="25"/>
  <c r="AH26" i="66"/>
  <c r="Z16" i="25"/>
  <c r="Z11" i="25"/>
  <c r="N10" i="66"/>
  <c r="U13" i="40"/>
  <c r="R10" i="40"/>
  <c r="L19" i="25"/>
  <c r="V29" i="66"/>
  <c r="K11" i="64"/>
  <c r="K25" i="25"/>
  <c r="S21" i="25"/>
  <c r="AI14" i="25"/>
  <c r="B24" i="25"/>
  <c r="AA28" i="25"/>
  <c r="G11" i="40"/>
  <c r="P21" i="40"/>
  <c r="X12" i="25"/>
  <c r="AF32" i="25"/>
  <c r="AE18" i="25"/>
  <c r="K17" i="40"/>
  <c r="R16" i="25"/>
  <c r="R23" i="25"/>
  <c r="D14" i="25"/>
  <c r="K19" i="40"/>
  <c r="R23" i="40"/>
  <c r="Z22" i="64"/>
  <c r="L20" i="40"/>
  <c r="AE15" i="25"/>
  <c r="AC30" i="25"/>
  <c r="C27" i="25"/>
  <c r="E26" i="64"/>
  <c r="M8" i="64"/>
  <c r="D12" i="25"/>
  <c r="AI12" i="40"/>
  <c r="AI26" i="25"/>
  <c r="O21" i="25"/>
  <c r="N20" i="25"/>
  <c r="R21" i="64"/>
  <c r="L27" i="25"/>
  <c r="AG25" i="64"/>
  <c r="O17" i="25"/>
  <c r="J8" i="25"/>
  <c r="T15" i="64"/>
  <c r="U25" i="40"/>
  <c r="C23" i="25"/>
  <c r="Q17" i="40"/>
  <c r="O13" i="25"/>
  <c r="X21" i="25"/>
  <c r="Q11" i="40"/>
  <c r="Z23" i="40"/>
  <c r="AH29" i="25"/>
  <c r="X33" i="25"/>
  <c r="W18" i="25"/>
  <c r="F16" i="40"/>
  <c r="Z14" i="25"/>
  <c r="J25" i="64"/>
  <c r="R7" i="25"/>
  <c r="Y26" i="40"/>
  <c r="AG9" i="25"/>
  <c r="O24" i="25"/>
  <c r="V25" i="25"/>
  <c r="AD11" i="64"/>
  <c r="C10" i="25"/>
  <c r="U31" i="25"/>
  <c r="T14" i="40"/>
  <c r="S19" i="64"/>
  <c r="H9" i="40"/>
  <c r="N25" i="40"/>
  <c r="N18" i="40"/>
  <c r="N24" i="25"/>
  <c r="T24" i="40"/>
  <c r="B10" i="25"/>
  <c r="AB12" i="40"/>
  <c r="J7" i="25"/>
  <c r="I10" i="64"/>
  <c r="X28" i="25"/>
  <c r="B30" i="64"/>
  <c r="E10" i="25"/>
  <c r="U15" i="40"/>
  <c r="B32" i="25"/>
  <c r="K18" i="25"/>
  <c r="AI19" i="25"/>
  <c r="E8" i="64"/>
  <c r="T31" i="25"/>
  <c r="X8" i="25"/>
  <c r="G7" i="40"/>
  <c r="Y8" i="66"/>
  <c r="L18" i="66"/>
  <c r="N27" i="66"/>
  <c r="AE18" i="66"/>
  <c r="AD11" i="66"/>
  <c r="AA23" i="66"/>
  <c r="D15" i="66"/>
  <c r="X9" i="66"/>
  <c r="AC23" i="64"/>
  <c r="F11" i="66"/>
  <c r="J23" i="66"/>
  <c r="O8" i="40"/>
  <c r="Z12" i="25"/>
  <c r="L15" i="25"/>
  <c r="K14" i="40"/>
  <c r="T28" i="25"/>
  <c r="H30" i="64"/>
  <c r="J24" i="40"/>
  <c r="D7" i="25"/>
  <c r="Y21" i="25"/>
  <c r="Z13" i="66"/>
  <c r="X26" i="66"/>
  <c r="O21" i="66"/>
  <c r="AE19" i="66"/>
  <c r="O18" i="66"/>
  <c r="Z30" i="66"/>
  <c r="K26" i="66"/>
  <c r="AD25" i="40"/>
  <c r="J13" i="66"/>
  <c r="H22" i="66"/>
  <c r="Q14" i="66"/>
  <c r="R23" i="66"/>
  <c r="Y12" i="40"/>
  <c r="AC9" i="64"/>
  <c r="AG26" i="40"/>
  <c r="C10" i="40"/>
  <c r="M13" i="40"/>
  <c r="B28" i="66"/>
  <c r="I26" i="66"/>
  <c r="U24" i="64"/>
  <c r="D22" i="40"/>
  <c r="Y27" i="25"/>
  <c r="K12" i="40"/>
  <c r="D32" i="66"/>
  <c r="P14" i="66"/>
  <c r="T11" i="66"/>
  <c r="AI18" i="66"/>
  <c r="V12" i="66"/>
  <c r="K29" i="66"/>
  <c r="F28" i="66"/>
  <c r="S18" i="66"/>
  <c r="L22" i="66"/>
  <c r="D22" i="66"/>
  <c r="N23" i="64"/>
  <c r="AE27" i="64"/>
  <c r="AA22" i="64"/>
  <c r="G18" i="40"/>
  <c r="AG17" i="25"/>
  <c r="P8" i="40"/>
  <c r="K7" i="40"/>
  <c r="W14" i="40"/>
  <c r="C15" i="40"/>
  <c r="F14" i="40"/>
  <c r="AF22" i="25"/>
  <c r="P29" i="66"/>
  <c r="W16" i="66"/>
  <c r="AE15" i="66"/>
  <c r="T7" i="66"/>
  <c r="L12" i="66"/>
  <c r="Y21" i="66"/>
  <c r="AB22" i="66"/>
  <c r="U14" i="66"/>
  <c r="E19" i="66"/>
  <c r="F13" i="25"/>
  <c r="Z19" i="25"/>
  <c r="P12" i="66"/>
  <c r="Z8" i="66"/>
  <c r="AF10" i="66"/>
  <c r="AD9" i="25"/>
  <c r="E24" i="64"/>
  <c r="J13" i="25"/>
  <c r="J14" i="40"/>
  <c r="Z17" i="25"/>
  <c r="AD19" i="40"/>
  <c r="AG21" i="40"/>
  <c r="Y30" i="25"/>
  <c r="AG9" i="40"/>
  <c r="AH10" i="64"/>
  <c r="AD30" i="25"/>
  <c r="AB31" i="25"/>
  <c r="AH22" i="40"/>
  <c r="V14" i="40"/>
  <c r="AA11" i="25"/>
  <c r="Y24" i="64"/>
  <c r="D21" i="64"/>
  <c r="J30" i="25"/>
  <c r="AD17" i="25"/>
  <c r="AG22" i="25"/>
  <c r="Y12" i="25"/>
  <c r="H8" i="25"/>
  <c r="T30" i="25"/>
  <c r="AI20" i="40"/>
  <c r="Q13" i="40"/>
  <c r="D25" i="40"/>
  <c r="U23" i="40"/>
  <c r="T28" i="64"/>
  <c r="M8" i="40"/>
  <c r="M30" i="25"/>
  <c r="AA17" i="25"/>
  <c r="AB21" i="25"/>
  <c r="I20" i="64"/>
  <c r="AA23" i="40"/>
  <c r="AG22" i="40"/>
  <c r="U26" i="25"/>
  <c r="J25" i="40"/>
  <c r="AE14" i="25"/>
  <c r="E22" i="64"/>
  <c r="AG25" i="25"/>
  <c r="E16" i="40"/>
  <c r="AF8" i="64"/>
  <c r="N30" i="64"/>
  <c r="H13" i="25"/>
  <c r="P14" i="40"/>
  <c r="F29" i="25"/>
  <c r="Z13" i="64"/>
  <c r="T11" i="40"/>
  <c r="J19" i="25"/>
  <c r="M23" i="40"/>
  <c r="AF17" i="40"/>
  <c r="G14" i="25"/>
  <c r="H16" i="40"/>
  <c r="I8" i="25"/>
  <c r="V22" i="64"/>
  <c r="T17" i="40"/>
  <c r="W22" i="25"/>
  <c r="AA24" i="25"/>
  <c r="S10" i="40"/>
  <c r="AE15" i="40"/>
  <c r="AC24" i="25"/>
  <c r="K14" i="25"/>
  <c r="H24" i="25"/>
  <c r="T21" i="40"/>
  <c r="Y15" i="40"/>
  <c r="AB12" i="25"/>
  <c r="AD18" i="40"/>
  <c r="R17" i="64"/>
  <c r="AA9" i="25"/>
  <c r="I9" i="40"/>
  <c r="AF7" i="25"/>
  <c r="AC10" i="25"/>
  <c r="AH19" i="64"/>
  <c r="Y32" i="25"/>
  <c r="L31" i="25"/>
  <c r="C11" i="25"/>
  <c r="Z26" i="64"/>
  <c r="U28" i="25"/>
  <c r="AE16" i="40"/>
  <c r="AB24" i="64"/>
  <c r="AH25" i="25"/>
  <c r="M17" i="64"/>
  <c r="F15" i="25"/>
  <c r="AI30" i="25"/>
  <c r="AD27" i="25"/>
  <c r="AI11" i="40"/>
  <c r="D17" i="66"/>
  <c r="X25" i="66"/>
  <c r="AF7" i="66"/>
  <c r="Z11" i="66"/>
  <c r="AC17" i="66"/>
  <c r="E12" i="66"/>
  <c r="C17" i="66"/>
  <c r="N29" i="66"/>
  <c r="T16" i="40"/>
  <c r="T17" i="66"/>
  <c r="J30" i="66"/>
  <c r="N19" i="64"/>
  <c r="AC28" i="64"/>
  <c r="AH26" i="40"/>
  <c r="M20" i="40"/>
  <c r="S11" i="25"/>
  <c r="O16" i="40"/>
  <c r="AA14" i="25"/>
  <c r="AC19" i="66"/>
  <c r="H27" i="64"/>
  <c r="E29" i="64"/>
  <c r="AD22" i="66"/>
  <c r="AG8" i="66"/>
  <c r="AH14" i="66"/>
  <c r="AA13" i="66"/>
  <c r="W21" i="66"/>
  <c r="U13" i="66"/>
  <c r="I25" i="40"/>
  <c r="C33" i="66"/>
  <c r="W11" i="66"/>
  <c r="T32" i="66"/>
  <c r="Y29" i="66"/>
  <c r="AH19" i="25"/>
  <c r="AI30" i="64"/>
  <c r="H25" i="40"/>
  <c r="B10" i="40"/>
  <c r="W15" i="40"/>
  <c r="X13" i="25"/>
  <c r="AB10" i="40"/>
  <c r="X15" i="25"/>
  <c r="M14" i="25"/>
  <c r="X8" i="40"/>
  <c r="AF23" i="40"/>
  <c r="T29" i="66"/>
  <c r="AH22" i="66"/>
  <c r="R19" i="66"/>
  <c r="AD16" i="66"/>
  <c r="F32" i="66"/>
  <c r="O14" i="66"/>
  <c r="AA30" i="66"/>
  <c r="E25" i="66"/>
  <c r="O17" i="66"/>
  <c r="U23" i="64"/>
  <c r="M18" i="40"/>
  <c r="H12" i="66"/>
  <c r="W30" i="66"/>
  <c r="AB20" i="66"/>
  <c r="O31" i="25"/>
  <c r="S15" i="25"/>
  <c r="AI24" i="25"/>
  <c r="AC19" i="40"/>
  <c r="AH18" i="40"/>
  <c r="E25" i="40"/>
  <c r="G26" i="64"/>
  <c r="R28" i="66"/>
  <c r="AF23" i="66"/>
  <c r="AI8" i="66"/>
  <c r="X15" i="66"/>
  <c r="AH24" i="66"/>
  <c r="V30" i="66"/>
  <c r="U18" i="66"/>
  <c r="AG25" i="66"/>
  <c r="F23" i="66"/>
  <c r="V22" i="25"/>
  <c r="S33" i="25"/>
  <c r="C30" i="66"/>
  <c r="G19" i="40"/>
  <c r="Z9" i="25"/>
  <c r="AG18" i="40"/>
  <c r="W14" i="64"/>
  <c r="AG16" i="25"/>
  <c r="K12" i="25"/>
  <c r="AG20" i="25"/>
  <c r="U7" i="25"/>
  <c r="M12" i="25"/>
  <c r="X9" i="40"/>
  <c r="AG30" i="25"/>
  <c r="F11" i="25"/>
  <c r="R12" i="40"/>
  <c r="AH8" i="40"/>
  <c r="E10" i="40"/>
  <c r="M18" i="25"/>
  <c r="AE33" i="25"/>
  <c r="AB16" i="40"/>
  <c r="P12" i="40"/>
  <c r="B12" i="25"/>
  <c r="L14" i="25"/>
  <c r="Q8" i="25"/>
  <c r="M14" i="40"/>
  <c r="AD28" i="25"/>
  <c r="AI13" i="25"/>
  <c r="E20" i="40"/>
  <c r="W21" i="40"/>
  <c r="N31" i="25"/>
  <c r="Z23" i="64"/>
  <c r="AG11" i="40"/>
  <c r="G17" i="25"/>
  <c r="J11" i="40"/>
  <c r="AB27" i="25"/>
  <c r="E24" i="40"/>
  <c r="J20" i="25"/>
  <c r="AE7" i="40"/>
  <c r="AE26" i="25"/>
  <c r="AI27" i="64"/>
  <c r="M27" i="64"/>
  <c r="E31" i="25"/>
  <c r="AE10" i="25"/>
  <c r="Q14" i="25"/>
  <c r="Z22" i="25"/>
  <c r="Z18" i="40"/>
  <c r="V21" i="40"/>
  <c r="Y11" i="40"/>
  <c r="B15" i="64"/>
  <c r="X11" i="40"/>
  <c r="Z10" i="64"/>
  <c r="L11" i="25"/>
  <c r="Y10" i="25"/>
  <c r="F22" i="25"/>
  <c r="D28" i="25"/>
  <c r="AF10" i="40"/>
  <c r="E18" i="40"/>
  <c r="U9" i="40"/>
  <c r="G30" i="25"/>
  <c r="V19" i="64"/>
  <c r="S7" i="64"/>
  <c r="Y19" i="40"/>
  <c r="R17" i="25"/>
  <c r="Q8" i="40"/>
  <c r="B17" i="25"/>
  <c r="AD20" i="25"/>
  <c r="W23" i="40"/>
  <c r="W21" i="25"/>
  <c r="E12" i="25"/>
  <c r="U19" i="40"/>
  <c r="Q22" i="40"/>
  <c r="AC16" i="64"/>
  <c r="F12" i="40"/>
  <c r="AD24" i="25"/>
  <c r="Q10" i="40"/>
  <c r="B16" i="25"/>
  <c r="V20" i="25"/>
  <c r="W16" i="25"/>
  <c r="J15" i="25"/>
  <c r="P26" i="25"/>
  <c r="U25" i="64"/>
  <c r="R27" i="25"/>
  <c r="I24" i="64"/>
  <c r="J20" i="40"/>
  <c r="W18" i="40"/>
  <c r="AD17" i="40"/>
  <c r="Q20" i="25"/>
  <c r="Y17" i="64"/>
  <c r="AF24" i="64"/>
  <c r="G26" i="40"/>
  <c r="U25" i="66"/>
  <c r="AE17" i="66"/>
  <c r="AI28" i="66"/>
  <c r="D31" i="66"/>
  <c r="H7" i="66"/>
  <c r="T16" i="64"/>
  <c r="F9" i="66"/>
  <c r="K17" i="66"/>
  <c r="D20" i="40"/>
  <c r="B11" i="25"/>
  <c r="F18" i="25"/>
  <c r="D27" i="66"/>
  <c r="W26" i="25"/>
  <c r="M25" i="40"/>
  <c r="AA16" i="40"/>
  <c r="D27" i="64"/>
  <c r="B22" i="25"/>
  <c r="D11" i="40"/>
  <c r="D10" i="40"/>
  <c r="P16" i="64"/>
  <c r="V24" i="25"/>
  <c r="C19" i="66"/>
  <c r="P15" i="66"/>
  <c r="K27" i="66"/>
  <c r="Z26" i="66"/>
  <c r="H20" i="66"/>
  <c r="AF22" i="66"/>
  <c r="Z28" i="66"/>
  <c r="T32" i="25"/>
  <c r="AD21" i="66"/>
  <c r="O19" i="66"/>
  <c r="AH24" i="64"/>
  <c r="M16" i="40"/>
  <c r="C21" i="25"/>
  <c r="AF15" i="25"/>
  <c r="I15" i="66"/>
  <c r="U19" i="25"/>
  <c r="AH26" i="64"/>
  <c r="O28" i="66"/>
  <c r="H31" i="25"/>
  <c r="AA8" i="25"/>
  <c r="AI26" i="64"/>
  <c r="AI33" i="66"/>
  <c r="X29" i="66"/>
  <c r="AA17" i="66"/>
  <c r="C25" i="66"/>
  <c r="N8" i="66"/>
  <c r="AE21" i="66"/>
  <c r="V25" i="40"/>
  <c r="Y31" i="66"/>
  <c r="Z19" i="66"/>
  <c r="C11" i="66"/>
  <c r="AD14" i="66"/>
  <c r="AA30" i="25"/>
  <c r="AI23" i="25"/>
  <c r="S15" i="64"/>
  <c r="W24" i="40"/>
  <c r="T23" i="25"/>
  <c r="B9" i="25"/>
  <c r="H16" i="25"/>
  <c r="K22" i="64"/>
  <c r="H17" i="25"/>
  <c r="W22" i="40"/>
  <c r="AA25" i="66"/>
  <c r="V16" i="66"/>
  <c r="AG20" i="66"/>
  <c r="AB14" i="66"/>
  <c r="S24" i="66"/>
  <c r="G29" i="66"/>
  <c r="X21" i="66"/>
  <c r="O16" i="66"/>
  <c r="AI9" i="66"/>
  <c r="AG17" i="66"/>
  <c r="P13" i="66"/>
  <c r="U11" i="66"/>
  <c r="G10" i="25"/>
  <c r="AD15" i="66"/>
  <c r="G24" i="25"/>
  <c r="L13" i="25"/>
  <c r="AG32" i="25"/>
  <c r="W12" i="40"/>
  <c r="W19" i="64"/>
  <c r="AI17" i="40"/>
  <c r="H14" i="40"/>
  <c r="T18" i="40"/>
  <c r="D26" i="25"/>
  <c r="F10" i="64"/>
  <c r="E13" i="64"/>
  <c r="T23" i="40"/>
  <c r="AH11" i="25"/>
  <c r="E29" i="25"/>
  <c r="M28" i="64"/>
  <c r="H9" i="25"/>
  <c r="AG15" i="25"/>
  <c r="AE18" i="40"/>
  <c r="Q13" i="64"/>
  <c r="Q20" i="40"/>
  <c r="L16" i="25"/>
  <c r="N25" i="25"/>
  <c r="Z11" i="40"/>
  <c r="J29" i="25"/>
  <c r="G25" i="25"/>
  <c r="N13" i="25"/>
  <c r="J28" i="64"/>
  <c r="E14" i="40"/>
  <c r="U17" i="25"/>
  <c r="Y33" i="25"/>
  <c r="F16" i="25"/>
  <c r="S29" i="25"/>
  <c r="AB30" i="64"/>
  <c r="X16" i="25"/>
  <c r="G23" i="25"/>
  <c r="G7" i="64"/>
  <c r="G26" i="25"/>
  <c r="V16" i="40"/>
  <c r="O33" i="25"/>
  <c r="G14" i="40"/>
  <c r="G7" i="25"/>
  <c r="H15" i="40"/>
  <c r="B21" i="25"/>
  <c r="AB11" i="25"/>
  <c r="I9" i="64"/>
  <c r="W10" i="40"/>
  <c r="T20" i="40"/>
  <c r="I13" i="25"/>
  <c r="J33" i="25"/>
  <c r="S28" i="25"/>
  <c r="AI16" i="25"/>
  <c r="M8" i="25"/>
  <c r="F30" i="64"/>
  <c r="E13" i="40"/>
  <c r="V23" i="40"/>
  <c r="R26" i="40"/>
  <c r="AD7" i="40"/>
  <c r="AG13" i="64"/>
  <c r="R32" i="25"/>
  <c r="I19" i="25"/>
  <c r="V19" i="25"/>
  <c r="H13" i="40"/>
  <c r="L9" i="40"/>
  <c r="AG12" i="40"/>
  <c r="AE7" i="64"/>
  <c r="I29" i="64"/>
  <c r="R14" i="40"/>
  <c r="K23" i="40"/>
  <c r="G27" i="25"/>
  <c r="D16" i="40"/>
  <c r="X25" i="40"/>
  <c r="G9" i="25"/>
  <c r="B25" i="40"/>
  <c r="C8" i="25"/>
  <c r="P7" i="40"/>
  <c r="AF16" i="25"/>
  <c r="AG15" i="40"/>
  <c r="AA7" i="40"/>
  <c r="AD13" i="25"/>
  <c r="AC27" i="25"/>
  <c r="V8" i="25"/>
  <c r="AA13" i="25"/>
  <c r="AB7" i="40"/>
  <c r="Q23" i="25"/>
  <c r="E20" i="25"/>
  <c r="X30" i="64"/>
  <c r="F25" i="25"/>
  <c r="D9" i="40"/>
  <c r="AF18" i="40"/>
  <c r="F17" i="40"/>
  <c r="G8" i="25"/>
  <c r="N11" i="40"/>
  <c r="W24" i="64"/>
  <c r="Y10" i="40"/>
  <c r="AE12" i="25"/>
  <c r="Z26" i="25"/>
  <c r="Z31" i="25"/>
  <c r="H33" i="25"/>
  <c r="AH28" i="25"/>
  <c r="K20" i="40"/>
  <c r="R15" i="40"/>
  <c r="S29" i="64"/>
  <c r="AA11" i="64"/>
  <c r="AD8" i="40"/>
  <c r="AF26" i="40"/>
  <c r="C24" i="40"/>
  <c r="N21" i="64"/>
  <c r="AE29" i="66"/>
  <c r="AD7" i="66"/>
  <c r="R12" i="66"/>
  <c r="C29" i="66"/>
  <c r="Z21" i="66"/>
  <c r="AC33" i="25"/>
  <c r="N22" i="66"/>
  <c r="AB16" i="66"/>
  <c r="I14" i="66"/>
  <c r="U8" i="66"/>
  <c r="AC18" i="40"/>
  <c r="AC16" i="25"/>
  <c r="O22" i="40"/>
  <c r="M22" i="64"/>
  <c r="S9" i="66"/>
  <c r="AH13" i="64"/>
  <c r="AC28" i="66"/>
  <c r="AA24" i="40"/>
  <c r="F27" i="66"/>
  <c r="AD30" i="64"/>
  <c r="H10" i="25"/>
  <c r="C13" i="66"/>
  <c r="C26" i="66"/>
  <c r="W7" i="66"/>
  <c r="AC31" i="66"/>
  <c r="X28" i="66"/>
  <c r="H25" i="66"/>
  <c r="B25" i="66"/>
  <c r="D25" i="66"/>
  <c r="AH11" i="40"/>
  <c r="E18" i="66"/>
  <c r="AD20" i="40"/>
  <c r="L8" i="25"/>
  <c r="W24" i="66"/>
  <c r="T12" i="40"/>
  <c r="X8" i="66"/>
  <c r="AI27" i="25"/>
  <c r="AD26" i="25"/>
  <c r="M26" i="64"/>
  <c r="D15" i="25"/>
  <c r="U24" i="40"/>
  <c r="AG19" i="25"/>
  <c r="Y25" i="66"/>
  <c r="Q17" i="66"/>
  <c r="J16" i="66"/>
  <c r="AA11" i="66"/>
  <c r="V14" i="66"/>
  <c r="AB11" i="66"/>
  <c r="AC15" i="66"/>
  <c r="M26" i="66"/>
  <c r="F16" i="66"/>
  <c r="K30" i="66"/>
  <c r="U26" i="66"/>
  <c r="Y12" i="66"/>
  <c r="R8" i="40"/>
  <c r="W9" i="66"/>
  <c r="P13" i="40"/>
  <c r="U30" i="25"/>
  <c r="K7" i="25"/>
  <c r="B19" i="40"/>
  <c r="C15" i="64"/>
  <c r="V13" i="40"/>
  <c r="S24" i="40"/>
  <c r="AI10" i="66"/>
  <c r="Y26" i="66"/>
  <c r="F8" i="66"/>
  <c r="AF19" i="66"/>
  <c r="E10" i="66"/>
  <c r="W12" i="66"/>
  <c r="AF29" i="66"/>
  <c r="J25" i="25"/>
  <c r="N33" i="66"/>
  <c r="B32" i="66"/>
  <c r="C32" i="25"/>
  <c r="S17" i="40"/>
  <c r="AH23" i="40"/>
  <c r="Y9" i="66"/>
  <c r="AE31" i="25"/>
  <c r="G15" i="40"/>
  <c r="Q7" i="40"/>
  <c r="U25" i="25"/>
  <c r="AB20" i="40"/>
  <c r="V9" i="25"/>
  <c r="T30" i="66"/>
  <c r="B23" i="40"/>
  <c r="J23" i="25"/>
  <c r="N19" i="40"/>
  <c r="AI9" i="40"/>
  <c r="H17" i="40"/>
  <c r="Q9" i="64"/>
  <c r="L12" i="64"/>
  <c r="G12" i="40"/>
  <c r="J18" i="25"/>
  <c r="O32" i="25"/>
  <c r="Z14" i="64"/>
  <c r="U22" i="64"/>
  <c r="I22" i="25"/>
  <c r="M17" i="40"/>
  <c r="K16" i="40"/>
  <c r="K16" i="25"/>
  <c r="E7" i="40"/>
  <c r="AD11" i="40"/>
  <c r="U20" i="40"/>
  <c r="AB26" i="40"/>
  <c r="E28" i="25"/>
  <c r="AD20" i="64"/>
  <c r="F21" i="25"/>
  <c r="I11" i="25"/>
  <c r="X12" i="40"/>
  <c r="N10" i="64"/>
  <c r="K8" i="40"/>
  <c r="N7" i="64"/>
  <c r="AE19" i="40"/>
  <c r="S23" i="40"/>
  <c r="R9" i="40"/>
  <c r="B22" i="40"/>
  <c r="X7" i="40"/>
  <c r="R18" i="64"/>
  <c r="C19" i="40"/>
  <c r="Y15" i="25"/>
  <c r="U20" i="64"/>
  <c r="AF20" i="40"/>
  <c r="Q16" i="40"/>
  <c r="T16" i="25"/>
  <c r="T25" i="25"/>
  <c r="I19" i="40"/>
  <c r="Q25" i="64"/>
  <c r="D9" i="25"/>
  <c r="W30" i="64"/>
  <c r="AA23" i="25"/>
  <c r="O17" i="40"/>
  <c r="W8" i="25"/>
  <c r="W8" i="40"/>
  <c r="C8" i="64"/>
  <c r="AC13" i="40"/>
  <c r="U22" i="25"/>
  <c r="AC27" i="64"/>
  <c r="AE26" i="40"/>
  <c r="F33" i="25"/>
  <c r="O15" i="64"/>
  <c r="L9" i="25"/>
  <c r="R28" i="64"/>
  <c r="Z20" i="25"/>
  <c r="P9" i="25"/>
  <c r="V21" i="64"/>
  <c r="Y16" i="25"/>
  <c r="C16" i="40"/>
  <c r="AG17" i="64"/>
  <c r="Z8" i="40"/>
  <c r="H8" i="64"/>
  <c r="W14" i="25"/>
  <c r="F31" i="25"/>
  <c r="D33" i="25"/>
  <c r="AI26" i="40"/>
  <c r="X13" i="64"/>
  <c r="F20" i="64"/>
  <c r="S11" i="64"/>
  <c r="W20" i="40"/>
  <c r="AD16" i="40"/>
  <c r="Y20" i="64"/>
  <c r="L22" i="25"/>
  <c r="AE33" i="66"/>
  <c r="AI12" i="66"/>
  <c r="X17" i="66"/>
  <c r="AB19" i="66"/>
  <c r="AC22" i="66"/>
  <c r="W18" i="66"/>
  <c r="M16" i="66"/>
  <c r="AG23" i="66"/>
  <c r="C15" i="66"/>
  <c r="Z28" i="64"/>
  <c r="Y29" i="25"/>
  <c r="K20" i="66"/>
  <c r="F15" i="66"/>
  <c r="Y7" i="66"/>
  <c r="X18" i="25"/>
  <c r="Y18" i="40"/>
  <c r="AF28" i="25"/>
  <c r="C21" i="64"/>
  <c r="AC28" i="25"/>
  <c r="Y23" i="25"/>
  <c r="P14" i="25"/>
  <c r="AG11" i="66"/>
  <c r="AA32" i="66"/>
  <c r="AD31" i="66"/>
  <c r="L16" i="66"/>
  <c r="B26" i="66"/>
  <c r="G18" i="66"/>
  <c r="G26" i="66"/>
  <c r="AB13" i="40"/>
  <c r="B19" i="66"/>
  <c r="K33" i="66"/>
  <c r="AG10" i="25"/>
  <c r="U11" i="25"/>
  <c r="T18" i="25"/>
  <c r="M11" i="66"/>
  <c r="AE24" i="40"/>
  <c r="AE24" i="25"/>
  <c r="AD7" i="25"/>
  <c r="M21" i="40"/>
  <c r="W29" i="64"/>
  <c r="D7" i="64"/>
  <c r="O25" i="40"/>
  <c r="R11" i="40"/>
  <c r="D14" i="66"/>
  <c r="K24" i="66"/>
  <c r="L10" i="66"/>
  <c r="P8" i="66"/>
  <c r="Z32" i="66"/>
  <c r="U9" i="64"/>
  <c r="I19" i="66"/>
  <c r="J12" i="66"/>
  <c r="Z29" i="66"/>
  <c r="R24" i="64"/>
  <c r="AE12" i="40"/>
  <c r="AH23" i="66"/>
  <c r="Q26" i="64"/>
  <c r="U15" i="25"/>
  <c r="E9" i="66"/>
  <c r="I28" i="25"/>
  <c r="AC29" i="25"/>
  <c r="J18" i="64"/>
  <c r="AG30" i="66"/>
  <c r="Y15" i="66"/>
  <c r="W15" i="66"/>
  <c r="AI30" i="66"/>
  <c r="D18" i="66"/>
  <c r="C16" i="66"/>
  <c r="Z10" i="66"/>
  <c r="AD12" i="66"/>
  <c r="AD8" i="25"/>
  <c r="J7" i="66"/>
  <c r="AE22" i="66"/>
  <c r="AG7" i="66"/>
  <c r="AF26" i="66"/>
  <c r="E15" i="25"/>
  <c r="I22" i="40"/>
  <c r="AI33" i="25"/>
  <c r="AD21" i="40"/>
  <c r="K33" i="25"/>
  <c r="AH17" i="66"/>
  <c r="T23" i="66"/>
  <c r="S24" i="25"/>
  <c r="V11" i="25"/>
  <c r="O25" i="25"/>
  <c r="AF12" i="40"/>
  <c r="AA10" i="40"/>
  <c r="U7" i="40"/>
  <c r="K27" i="25"/>
  <c r="N33" i="25"/>
  <c r="N25" i="64"/>
  <c r="AG23" i="25"/>
  <c r="L33" i="25"/>
  <c r="D27" i="25"/>
  <c r="AC13" i="64"/>
  <c r="S31" i="25"/>
  <c r="W9" i="25"/>
  <c r="U18" i="25"/>
  <c r="H22" i="64"/>
  <c r="M11" i="25"/>
  <c r="R29" i="64"/>
  <c r="Z19" i="40"/>
  <c r="AC11" i="25"/>
  <c r="H26" i="40"/>
  <c r="Z24" i="40"/>
  <c r="V10" i="40"/>
  <c r="T25" i="64"/>
  <c r="AA20" i="25"/>
  <c r="AG30" i="64"/>
  <c r="B19" i="25"/>
  <c r="G25" i="64"/>
  <c r="R21" i="40"/>
  <c r="D25" i="64"/>
  <c r="AB20" i="64"/>
  <c r="U22" i="40"/>
  <c r="AD23" i="25"/>
  <c r="U16" i="64"/>
  <c r="P28" i="25"/>
  <c r="V26" i="25"/>
  <c r="C18" i="25"/>
  <c r="AD31" i="25"/>
  <c r="C31" i="25"/>
  <c r="I11" i="40"/>
  <c r="P11" i="40"/>
  <c r="L32" i="25"/>
  <c r="Y28" i="64"/>
  <c r="AA19" i="40"/>
  <c r="AG19" i="64"/>
  <c r="F24" i="40"/>
  <c r="M24" i="64"/>
  <c r="AD26" i="64"/>
  <c r="AA7" i="25"/>
  <c r="L19" i="40"/>
  <c r="W26" i="40"/>
  <c r="S13" i="25"/>
  <c r="T30" i="64"/>
  <c r="E17" i="64"/>
  <c r="V24" i="40"/>
  <c r="Z23" i="25"/>
  <c r="M26" i="25"/>
  <c r="D25" i="25"/>
  <c r="L23" i="40"/>
  <c r="U33" i="25"/>
  <c r="T24" i="64"/>
  <c r="D26" i="40"/>
  <c r="R22" i="25"/>
  <c r="P11" i="25"/>
  <c r="AC19" i="25"/>
  <c r="AI11" i="64"/>
  <c r="J23" i="64"/>
  <c r="U18" i="40"/>
  <c r="M29" i="25"/>
  <c r="AH8" i="25"/>
  <c r="AI11" i="25"/>
  <c r="AA26" i="64"/>
  <c r="F32" i="25"/>
  <c r="U14" i="25"/>
  <c r="D24" i="25"/>
  <c r="Z19" i="64"/>
  <c r="D18" i="25"/>
  <c r="D18" i="40"/>
  <c r="AD18" i="25"/>
  <c r="AB30" i="25"/>
  <c r="AA21" i="40"/>
  <c r="X30" i="25"/>
  <c r="AA27" i="66"/>
  <c r="J8" i="66"/>
  <c r="N17" i="66"/>
  <c r="V25" i="66"/>
  <c r="M27" i="66"/>
  <c r="AH30" i="66"/>
  <c r="R9" i="66"/>
  <c r="AE25" i="66"/>
  <c r="AA20" i="66"/>
  <c r="X21" i="40"/>
  <c r="AG10" i="40"/>
  <c r="AH27" i="66"/>
  <c r="E17" i="40"/>
  <c r="F23" i="40"/>
  <c r="Z33" i="25"/>
  <c r="I7" i="25"/>
  <c r="R7" i="40"/>
  <c r="K29" i="25"/>
  <c r="P29" i="25"/>
  <c r="Q12" i="40"/>
  <c r="AB17" i="25"/>
  <c r="AH19" i="66"/>
  <c r="O13" i="66"/>
  <c r="E30" i="66"/>
  <c r="G21" i="66"/>
  <c r="E21" i="66"/>
  <c r="AH28" i="66"/>
  <c r="U9" i="66"/>
  <c r="L26" i="25"/>
  <c r="J29" i="66"/>
  <c r="C12" i="66"/>
  <c r="N23" i="40"/>
  <c r="V7" i="40"/>
  <c r="J21" i="25"/>
  <c r="AB19" i="25"/>
  <c r="X16" i="66"/>
  <c r="E13" i="66"/>
  <c r="AB14" i="40"/>
  <c r="AB11" i="64"/>
  <c r="J11" i="25"/>
  <c r="F26" i="25"/>
  <c r="AD9" i="40"/>
  <c r="L23" i="66"/>
  <c r="M9" i="66"/>
  <c r="E16" i="66"/>
  <c r="AG24" i="66"/>
  <c r="AC10" i="66"/>
  <c r="W28" i="66"/>
  <c r="Z17" i="40"/>
  <c r="AF14" i="66"/>
  <c r="L14" i="66"/>
  <c r="AB18" i="66"/>
  <c r="AD32" i="66"/>
  <c r="F23" i="64"/>
  <c r="AH16" i="40"/>
  <c r="I31" i="25"/>
  <c r="U12" i="64"/>
  <c r="Q28" i="25"/>
  <c r="X10" i="66"/>
  <c r="Q23" i="66"/>
  <c r="C12" i="25"/>
  <c r="U12" i="25"/>
  <c r="N11" i="25"/>
  <c r="R13" i="66"/>
  <c r="AB33" i="66"/>
  <c r="F33" i="66"/>
  <c r="F20" i="66"/>
  <c r="R21" i="66"/>
  <c r="K11" i="66"/>
  <c r="S25" i="40"/>
  <c r="R31" i="66"/>
  <c r="D29" i="66"/>
  <c r="R10" i="66"/>
  <c r="AC32" i="66"/>
  <c r="Y16" i="40"/>
  <c r="X27" i="25"/>
  <c r="AG31" i="66"/>
  <c r="AC29" i="66"/>
  <c r="J9" i="40"/>
  <c r="K20" i="25"/>
  <c r="J24" i="64"/>
  <c r="I20" i="25"/>
  <c r="Q13" i="25"/>
  <c r="U21" i="40"/>
  <c r="V30" i="25"/>
  <c r="X16" i="40"/>
  <c r="Q12" i="25"/>
  <c r="AH31" i="25"/>
  <c r="V18" i="40"/>
  <c r="N17" i="25"/>
  <c r="B27" i="25"/>
  <c r="AH10" i="25"/>
  <c r="P30" i="64"/>
  <c r="AI13" i="40"/>
  <c r="E8" i="40"/>
  <c r="AF16" i="40"/>
  <c r="AA20" i="64"/>
  <c r="I8" i="40"/>
  <c r="AG14" i="40"/>
  <c r="I25" i="64"/>
  <c r="Q28" i="64"/>
  <c r="M21" i="64"/>
  <c r="T26" i="40"/>
  <c r="X8" i="64"/>
  <c r="P18" i="40"/>
  <c r="AI29" i="25"/>
  <c r="L12" i="40"/>
  <c r="AH7" i="25"/>
  <c r="L23" i="25"/>
  <c r="J26" i="40"/>
  <c r="X18" i="40"/>
  <c r="W7" i="25"/>
  <c r="G29" i="25"/>
  <c r="AG14" i="64"/>
  <c r="B18" i="64"/>
  <c r="M12" i="40"/>
  <c r="AB13" i="25"/>
  <c r="S22" i="64"/>
  <c r="AE11" i="40"/>
  <c r="Y9" i="25"/>
  <c r="C12" i="40"/>
  <c r="AH14" i="40"/>
  <c r="W29" i="25"/>
  <c r="L30" i="25"/>
  <c r="S22" i="40"/>
  <c r="S21" i="64"/>
  <c r="M19" i="40"/>
  <c r="B7" i="40"/>
  <c r="AI7" i="25"/>
  <c r="E9" i="25"/>
  <c r="Z29" i="25"/>
  <c r="AD15" i="40"/>
  <c r="AF26" i="25"/>
  <c r="O9" i="40"/>
  <c r="AF8" i="25"/>
  <c r="N20" i="40"/>
  <c r="O9" i="25"/>
  <c r="K17" i="25"/>
  <c r="P12" i="64"/>
  <c r="AI24" i="40"/>
  <c r="AE11" i="64"/>
  <c r="R30" i="64"/>
  <c r="AI29" i="64"/>
  <c r="K28" i="25"/>
  <c r="R20" i="40"/>
  <c r="B25" i="64"/>
  <c r="V18" i="64"/>
  <c r="AB24" i="40"/>
  <c r="AA19" i="25"/>
  <c r="W20" i="64"/>
  <c r="AG28" i="64"/>
  <c r="S22" i="25"/>
  <c r="R26" i="25"/>
  <c r="AA25" i="40"/>
  <c r="D30" i="64"/>
  <c r="AD14" i="25"/>
  <c r="C11" i="40"/>
  <c r="J17" i="40"/>
  <c r="W10" i="25"/>
  <c r="H21" i="40"/>
  <c r="AI31" i="25"/>
  <c r="AA12" i="40"/>
  <c r="Y31" i="25"/>
  <c r="I16" i="40"/>
  <c r="K31" i="66"/>
  <c r="Y28" i="66"/>
  <c r="M20" i="66"/>
  <c r="M7" i="66"/>
  <c r="X24" i="66"/>
  <c r="J21" i="66"/>
  <c r="Y32" i="66"/>
  <c r="AI27" i="66"/>
  <c r="V11" i="66"/>
  <c r="AB28" i="66"/>
  <c r="B16" i="40"/>
  <c r="Y13" i="25"/>
  <c r="AB21" i="66"/>
  <c r="H22" i="25"/>
  <c r="J29" i="64"/>
  <c r="C11" i="64"/>
  <c r="M13" i="25"/>
  <c r="AG21" i="25"/>
  <c r="P12" i="25"/>
  <c r="AD25" i="64"/>
  <c r="F9" i="25"/>
  <c r="P26" i="66"/>
  <c r="I16" i="66"/>
  <c r="S23" i="66"/>
  <c r="I10" i="66"/>
  <c r="D24" i="66"/>
  <c r="G25" i="66"/>
  <c r="J25" i="66"/>
  <c r="AB23" i="66"/>
  <c r="C29" i="25"/>
  <c r="AE9" i="66"/>
  <c r="H21" i="66"/>
  <c r="P20" i="25"/>
  <c r="O11" i="40"/>
  <c r="AI21" i="40"/>
  <c r="F29" i="64"/>
  <c r="Y13" i="40"/>
  <c r="AF27" i="25"/>
  <c r="D28" i="64"/>
  <c r="L25" i="66"/>
  <c r="U24" i="25"/>
  <c r="AD29" i="25"/>
  <c r="M25" i="66"/>
  <c r="E27" i="66"/>
  <c r="F30" i="66"/>
  <c r="AG10" i="66"/>
  <c r="AE26" i="66"/>
  <c r="AA24" i="66"/>
  <c r="Z16" i="66"/>
  <c r="H7" i="25"/>
  <c r="AI29" i="66"/>
  <c r="W27" i="66"/>
  <c r="AA27" i="25"/>
  <c r="S13" i="40"/>
  <c r="K24" i="40"/>
  <c r="Q19" i="25"/>
  <c r="Q24" i="66"/>
  <c r="B33" i="66"/>
  <c r="W27" i="64"/>
  <c r="K30" i="64"/>
  <c r="AF22" i="40"/>
  <c r="T7" i="25"/>
  <c r="AA32" i="25"/>
  <c r="AE20" i="66"/>
  <c r="Q18" i="66"/>
  <c r="G23" i="66"/>
  <c r="W31" i="66"/>
  <c r="G8" i="66"/>
  <c r="AI11" i="66"/>
  <c r="Q8" i="66"/>
  <c r="AC22" i="25"/>
  <c r="AC16" i="66"/>
  <c r="C21" i="66"/>
  <c r="B24" i="40"/>
  <c r="S20" i="40"/>
  <c r="AD21" i="25"/>
  <c r="AD33" i="25"/>
  <c r="W14" i="66"/>
  <c r="R10" i="25"/>
  <c r="J23" i="40"/>
  <c r="T13" i="25"/>
  <c r="X25" i="25"/>
  <c r="R11" i="25"/>
  <c r="H33" i="66"/>
  <c r="C29" i="64"/>
  <c r="L10" i="40"/>
  <c r="F11" i="64"/>
  <c r="AC32" i="25"/>
  <c r="F18" i="64"/>
  <c r="W20" i="25"/>
  <c r="AB22" i="40"/>
  <c r="M25" i="25"/>
  <c r="Y18" i="25"/>
  <c r="O21" i="40"/>
  <c r="W23" i="25"/>
  <c r="Z25" i="40"/>
  <c r="AF17" i="25"/>
  <c r="V33" i="25"/>
  <c r="AA30" i="64"/>
  <c r="AG24" i="64"/>
  <c r="AE17" i="40"/>
  <c r="AG27" i="64"/>
  <c r="J10" i="25"/>
  <c r="I21" i="25"/>
  <c r="G11" i="64"/>
  <c r="F7" i="25"/>
  <c r="C18" i="40"/>
  <c r="AD10" i="40"/>
  <c r="AG16" i="64"/>
  <c r="J24" i="25"/>
  <c r="AH26" i="25"/>
  <c r="AF13" i="25"/>
  <c r="K18" i="40"/>
  <c r="AI15" i="64"/>
  <c r="C14" i="25"/>
  <c r="B23" i="64"/>
  <c r="M28" i="25"/>
  <c r="G20" i="64"/>
  <c r="E19" i="25"/>
  <c r="I20" i="40"/>
  <c r="C20" i="25"/>
  <c r="X20" i="25"/>
  <c r="G23" i="64"/>
  <c r="T9" i="25"/>
  <c r="H30" i="25"/>
  <c r="J7" i="40"/>
  <c r="AF29" i="25"/>
  <c r="M15" i="40"/>
  <c r="N9" i="40"/>
  <c r="M9" i="64"/>
  <c r="X21" i="64"/>
  <c r="K15" i="64"/>
  <c r="F21" i="64"/>
  <c r="AD27" i="66"/>
  <c r="AF33" i="66"/>
  <c r="B23" i="66"/>
  <c r="E32" i="66"/>
  <c r="M10" i="66"/>
  <c r="AC13" i="66"/>
  <c r="AA13" i="40"/>
  <c r="M8" i="66"/>
  <c r="U29" i="66"/>
  <c r="H10" i="40"/>
  <c r="AF7" i="40"/>
  <c r="C7" i="40"/>
  <c r="O8" i="66"/>
  <c r="AE20" i="25"/>
  <c r="Q23" i="40"/>
  <c r="E9" i="64"/>
  <c r="D21" i="25"/>
  <c r="AB18" i="40"/>
  <c r="V23" i="25"/>
  <c r="S29" i="66"/>
  <c r="O10" i="25"/>
  <c r="X22" i="66"/>
  <c r="Z7" i="66"/>
  <c r="Z23" i="66"/>
  <c r="P25" i="66"/>
  <c r="E26" i="66"/>
  <c r="AA22" i="66"/>
  <c r="AD20" i="66"/>
  <c r="P17" i="66"/>
  <c r="D23" i="66"/>
  <c r="K22" i="66"/>
  <c r="AD10" i="64"/>
  <c r="N18" i="25"/>
  <c r="AB29" i="25"/>
  <c r="J27" i="64"/>
  <c r="Y17" i="25"/>
  <c r="G27" i="66"/>
  <c r="T19" i="25"/>
  <c r="X19" i="40"/>
  <c r="N32" i="25"/>
  <c r="P13" i="25"/>
  <c r="AD11" i="25"/>
  <c r="AH16" i="66"/>
  <c r="Y23" i="66"/>
  <c r="AA10" i="66"/>
  <c r="W23" i="66"/>
  <c r="S22" i="66"/>
  <c r="V23" i="66"/>
  <c r="G14" i="66"/>
  <c r="M23" i="25"/>
  <c r="Z20" i="66"/>
  <c r="E11" i="66"/>
  <c r="U11" i="40"/>
  <c r="AI15" i="40"/>
  <c r="I17" i="40"/>
  <c r="N26" i="64"/>
  <c r="G31" i="66"/>
  <c r="O23" i="64"/>
  <c r="Q15" i="25"/>
  <c r="S21" i="40"/>
  <c r="M21" i="25"/>
  <c r="U17" i="40"/>
  <c r="P31" i="25"/>
  <c r="U30" i="66"/>
  <c r="AG18" i="66"/>
  <c r="L26" i="66"/>
  <c r="J20" i="66"/>
  <c r="AI7" i="66"/>
  <c r="U10" i="66"/>
  <c r="AA14" i="66"/>
  <c r="Z22" i="66"/>
  <c r="M24" i="25"/>
  <c r="N12" i="66"/>
  <c r="C20" i="66"/>
  <c r="C9" i="66"/>
  <c r="W33" i="66"/>
  <c r="L18" i="25"/>
  <c r="E29" i="66"/>
  <c r="AE21" i="40"/>
  <c r="Q19" i="40"/>
  <c r="AE27" i="25"/>
  <c r="AF30" i="64"/>
  <c r="U10" i="25"/>
  <c r="M22" i="40"/>
  <c r="V13" i="25"/>
  <c r="U12" i="40"/>
  <c r="S9" i="40"/>
  <c r="AG33" i="25"/>
  <c r="L20" i="64"/>
  <c r="Q24" i="64"/>
  <c r="O28" i="25"/>
  <c r="Q25" i="40"/>
  <c r="K30" i="25"/>
  <c r="AI25" i="25"/>
  <c r="Q21" i="25"/>
  <c r="Z15" i="25"/>
  <c r="F19" i="40"/>
  <c r="B14" i="25"/>
  <c r="Y26" i="25"/>
  <c r="H12" i="25"/>
  <c r="C17" i="25"/>
  <c r="F10" i="25"/>
  <c r="K10" i="40"/>
  <c r="L21" i="40"/>
  <c r="AB23" i="25"/>
  <c r="D22" i="25"/>
  <c r="N22" i="25"/>
  <c r="AE29" i="25"/>
  <c r="I10" i="25"/>
  <c r="M7" i="40"/>
  <c r="N14" i="64"/>
  <c r="Q27" i="25"/>
  <c r="AH25" i="64"/>
  <c r="N15" i="40"/>
  <c r="L21" i="25"/>
  <c r="G18" i="25"/>
  <c r="Q17" i="64"/>
  <c r="B26" i="25"/>
  <c r="AF14" i="25"/>
  <c r="T29" i="25"/>
  <c r="P27" i="64"/>
  <c r="W9" i="40"/>
  <c r="R17" i="40"/>
  <c r="Y8" i="40"/>
  <c r="AD26" i="40"/>
  <c r="R21" i="25"/>
  <c r="S30" i="64"/>
  <c r="H16" i="64"/>
  <c r="Z30" i="64"/>
  <c r="Q15" i="40"/>
  <c r="AG19" i="40"/>
  <c r="G19" i="64"/>
  <c r="E21" i="40"/>
  <c r="D29" i="25"/>
  <c r="X23" i="64"/>
  <c r="G22" i="40"/>
  <c r="AA18" i="25"/>
  <c r="B11" i="40"/>
  <c r="L28" i="64"/>
  <c r="F24" i="25"/>
  <c r="J14" i="25"/>
  <c r="S16" i="64"/>
  <c r="Y24" i="25"/>
  <c r="B29" i="25"/>
  <c r="X23" i="40"/>
  <c r="AE23" i="40"/>
  <c r="L18" i="40"/>
  <c r="I26" i="64"/>
  <c r="AB8" i="40"/>
  <c r="H18" i="25"/>
  <c r="Y25" i="40"/>
  <c r="Z22" i="40"/>
  <c r="AC8" i="25"/>
  <c r="L12" i="25"/>
  <c r="AI32" i="25"/>
  <c r="Y17" i="40"/>
  <c r="AF25" i="40"/>
  <c r="Y18" i="64"/>
  <c r="T8" i="64"/>
  <c r="P7" i="25"/>
  <c r="W25" i="64"/>
  <c r="K28" i="66"/>
  <c r="V32" i="66"/>
  <c r="M22" i="66"/>
  <c r="J22" i="66"/>
  <c r="F24" i="66"/>
  <c r="V22" i="40"/>
  <c r="L17" i="66"/>
  <c r="AI25" i="66"/>
  <c r="T28" i="66"/>
  <c r="T27" i="66"/>
  <c r="E13" i="25"/>
  <c r="H7" i="40"/>
  <c r="C9" i="25"/>
  <c r="Q16" i="25"/>
  <c r="X14" i="40"/>
  <c r="D23" i="40"/>
  <c r="AC12" i="25"/>
  <c r="F27" i="25"/>
  <c r="AA12" i="25"/>
  <c r="Q14" i="40"/>
  <c r="T33" i="25"/>
  <c r="B16" i="66"/>
  <c r="O32" i="66"/>
  <c r="P16" i="66"/>
  <c r="F7" i="66"/>
  <c r="P32" i="66"/>
  <c r="I13" i="66"/>
  <c r="AE13" i="66"/>
  <c r="AF12" i="66"/>
  <c r="M17" i="25"/>
  <c r="Q22" i="66"/>
  <c r="H24" i="66"/>
  <c r="H17" i="66"/>
  <c r="AF33" i="25"/>
  <c r="AE7" i="25"/>
  <c r="AF8" i="40"/>
  <c r="X10" i="40"/>
  <c r="AI22" i="25"/>
  <c r="AC26" i="64"/>
  <c r="C22" i="25"/>
  <c r="P10" i="40"/>
  <c r="F13" i="40"/>
  <c r="E20" i="66"/>
  <c r="K10" i="66"/>
  <c r="P33" i="66"/>
  <c r="B27" i="66"/>
  <c r="AC11" i="66"/>
  <c r="U24" i="66"/>
  <c r="O25" i="66"/>
  <c r="R27" i="66"/>
  <c r="AI20" i="66"/>
  <c r="Z17" i="66"/>
  <c r="AF21" i="40"/>
  <c r="E27" i="64"/>
  <c r="E11" i="25"/>
  <c r="Q28" i="66"/>
  <c r="H28" i="25"/>
  <c r="V12" i="40"/>
  <c r="AG13" i="40"/>
  <c r="AG23" i="40"/>
  <c r="C25" i="40"/>
  <c r="I13" i="40"/>
  <c r="S30" i="66"/>
  <c r="AC24" i="66"/>
  <c r="U33" i="66"/>
  <c r="E31" i="66"/>
  <c r="R33" i="66"/>
  <c r="K19" i="66"/>
  <c r="I30" i="66"/>
  <c r="P30" i="66"/>
  <c r="W25" i="40"/>
  <c r="AD23" i="66"/>
  <c r="F17" i="66"/>
  <c r="K10" i="25"/>
  <c r="AB7" i="25"/>
  <c r="L10" i="25"/>
  <c r="N15" i="66"/>
  <c r="D21" i="66"/>
  <c r="F28" i="64"/>
  <c r="G29" i="64"/>
  <c r="H12" i="64"/>
  <c r="X32" i="25"/>
  <c r="AG26" i="25"/>
  <c r="K21" i="40"/>
  <c r="AH17" i="25"/>
  <c r="AE11" i="25"/>
  <c r="AB18" i="25"/>
  <c r="Q21" i="40"/>
  <c r="AE8" i="25"/>
  <c r="O10" i="40"/>
  <c r="C13" i="25"/>
  <c r="N22" i="40"/>
  <c r="B31" i="25"/>
  <c r="Z12" i="40"/>
  <c r="X14" i="25"/>
  <c r="AF12" i="25"/>
  <c r="D13" i="25"/>
  <c r="O26" i="40"/>
  <c r="V25" i="64"/>
  <c r="AG12" i="25"/>
  <c r="F23" i="25"/>
  <c r="AA14" i="40"/>
  <c r="AI16" i="40"/>
  <c r="G17" i="40"/>
  <c r="D12" i="40"/>
  <c r="J9" i="25"/>
  <c r="S26" i="64"/>
  <c r="E11" i="40"/>
  <c r="P22" i="40"/>
  <c r="K24" i="25"/>
  <c r="L11" i="40"/>
  <c r="AI19" i="40"/>
  <c r="L14" i="40"/>
  <c r="L24" i="64"/>
  <c r="D10" i="25"/>
  <c r="AC8" i="40"/>
  <c r="X23" i="25"/>
  <c r="W31" i="25"/>
  <c r="K27" i="64"/>
  <c r="Z9" i="40"/>
  <c r="X16" i="64"/>
  <c r="R13" i="25"/>
  <c r="AB21" i="40"/>
  <c r="AF11" i="40"/>
  <c r="AH13" i="25"/>
  <c r="M11" i="40"/>
  <c r="C21" i="40"/>
  <c r="AG29" i="64"/>
  <c r="P33" i="25"/>
  <c r="I23" i="40"/>
  <c r="AC14" i="40"/>
  <c r="H32" i="25"/>
  <c r="Y11" i="25"/>
  <c r="W7" i="40"/>
  <c r="E22" i="40"/>
  <c r="O27" i="64"/>
  <c r="H15" i="25"/>
  <c r="T21" i="25"/>
  <c r="P9" i="40"/>
  <c r="AG20" i="40"/>
  <c r="S17" i="25"/>
  <c r="P26" i="40"/>
  <c r="N14" i="40"/>
  <c r="AG8" i="25"/>
  <c r="B21" i="40"/>
  <c r="AB24" i="25"/>
  <c r="M10" i="40"/>
  <c r="D20" i="25"/>
  <c r="N17" i="40"/>
  <c r="P22" i="25"/>
  <c r="W32" i="25"/>
  <c r="AI25" i="40"/>
  <c r="K22" i="25"/>
  <c r="S9" i="25"/>
  <c r="D15" i="40"/>
  <c r="Y9" i="40"/>
  <c r="AH16" i="25"/>
  <c r="S18" i="40"/>
  <c r="K31" i="25"/>
  <c r="Z18" i="25"/>
  <c r="T15" i="40"/>
  <c r="P27" i="25"/>
  <c r="S24" i="64"/>
  <c r="Q29" i="25"/>
  <c r="AH7" i="66"/>
  <c r="B10" i="66"/>
  <c r="U7" i="66"/>
  <c r="J9" i="66"/>
  <c r="I31" i="66"/>
  <c r="AB16" i="25"/>
  <c r="Q20" i="66"/>
  <c r="AE23" i="66"/>
  <c r="N9" i="66"/>
  <c r="H31" i="66"/>
  <c r="AE8" i="40"/>
  <c r="K7" i="64"/>
  <c r="I32" i="66"/>
  <c r="AH13" i="40"/>
  <c r="K19" i="25"/>
  <c r="S14" i="25"/>
  <c r="AA23" i="64"/>
  <c r="I30" i="25"/>
  <c r="E26" i="40"/>
  <c r="P24" i="25"/>
  <c r="AG14" i="25"/>
  <c r="L15" i="66"/>
  <c r="T14" i="66"/>
  <c r="W22" i="66"/>
  <c r="AB32" i="66"/>
  <c r="W25" i="66"/>
  <c r="N31" i="66"/>
  <c r="F18" i="66"/>
  <c r="O31" i="66"/>
  <c r="D11" i="25"/>
  <c r="T19" i="66"/>
  <c r="D30" i="66"/>
  <c r="N27" i="25"/>
  <c r="K29" i="64"/>
  <c r="AE29" i="64"/>
  <c r="G21" i="25"/>
  <c r="R19" i="40"/>
  <c r="M22" i="25"/>
  <c r="C23" i="40"/>
  <c r="X13" i="40"/>
  <c r="AC17" i="64"/>
  <c r="I28" i="66"/>
  <c r="J33" i="66"/>
  <c r="G22" i="66"/>
  <c r="K16" i="66"/>
  <c r="N11" i="66"/>
  <c r="G15" i="66"/>
  <c r="N20" i="66"/>
  <c r="L31" i="66"/>
  <c r="S25" i="25"/>
  <c r="S10" i="66"/>
  <c r="AG9" i="66"/>
  <c r="L8" i="64"/>
  <c r="AH22" i="25"/>
  <c r="AF23" i="25"/>
  <c r="T10" i="66"/>
  <c r="AG29" i="25"/>
  <c r="AD24" i="40"/>
  <c r="L23" i="64"/>
  <c r="T13" i="40"/>
  <c r="F28" i="25"/>
  <c r="AA25" i="25"/>
  <c r="B9" i="40"/>
  <c r="AF21" i="66"/>
  <c r="AF24" i="66"/>
  <c r="N25" i="66"/>
  <c r="J26" i="66"/>
  <c r="AA19" i="66"/>
  <c r="I11" i="66"/>
  <c r="AB12" i="66"/>
  <c r="C9" i="40"/>
  <c r="AD29" i="66"/>
  <c r="B18" i="66"/>
  <c r="R30" i="25"/>
  <c r="O16" i="25"/>
  <c r="O11" i="25"/>
  <c r="E27" i="25"/>
  <c r="H13" i="66"/>
  <c r="AF13" i="40"/>
  <c r="Z32" i="25"/>
  <c r="B30" i="66"/>
  <c r="AG29" i="66"/>
  <c r="Z13" i="25"/>
  <c r="V27" i="25"/>
  <c r="B28" i="64"/>
  <c r="D16" i="64"/>
  <c r="X24" i="40"/>
  <c r="AD16" i="25"/>
  <c r="AC18" i="64"/>
  <c r="C30" i="64"/>
  <c r="AH18" i="64"/>
  <c r="W11" i="64"/>
  <c r="AG7" i="40"/>
  <c r="K26" i="64"/>
  <c r="Y9" i="64"/>
  <c r="N16" i="25"/>
  <c r="AH21" i="40"/>
  <c r="L26" i="40"/>
  <c r="AC23" i="25"/>
  <c r="W13" i="40"/>
  <c r="H11" i="25"/>
  <c r="AD14" i="40"/>
  <c r="AF9" i="64"/>
  <c r="AE10" i="40"/>
  <c r="AB32" i="25"/>
  <c r="AF24" i="40"/>
  <c r="AG24" i="40"/>
  <c r="T22" i="25"/>
  <c r="D19" i="25"/>
  <c r="AG18" i="25"/>
  <c r="X15" i="40"/>
  <c r="V31" i="25"/>
  <c r="E30" i="25"/>
  <c r="B14" i="64"/>
  <c r="M9" i="25"/>
  <c r="AH23" i="25"/>
  <c r="AA16" i="25"/>
  <c r="AF28" i="64"/>
  <c r="N12" i="40"/>
  <c r="B13" i="64"/>
  <c r="T24" i="25"/>
  <c r="AH25" i="40"/>
  <c r="AG27" i="25"/>
  <c r="B18" i="25"/>
  <c r="H19" i="25"/>
  <c r="M7" i="25"/>
  <c r="L25" i="64"/>
  <c r="AB25" i="25"/>
  <c r="AA19" i="64"/>
  <c r="G11" i="25"/>
  <c r="AD15" i="64"/>
  <c r="AF10" i="25"/>
  <c r="AB11" i="40"/>
  <c r="O7" i="40"/>
  <c r="AE25" i="25"/>
  <c r="Q26" i="25"/>
  <c r="N23" i="25"/>
  <c r="P19" i="40"/>
  <c r="L22" i="40"/>
  <c r="S12" i="40"/>
  <c r="AI14" i="40"/>
  <c r="Q18" i="25"/>
  <c r="D32" i="25"/>
  <c r="D29" i="64"/>
  <c r="N7" i="40"/>
  <c r="AH20" i="25"/>
  <c r="W12" i="25"/>
  <c r="Q9" i="40"/>
  <c r="AI22" i="40"/>
  <c r="AD10" i="25"/>
  <c r="AH10" i="40"/>
  <c r="AA22" i="25"/>
  <c r="AH23" i="64"/>
  <c r="Y8" i="25"/>
  <c r="R23" i="64"/>
  <c r="W13" i="25"/>
  <c r="I15" i="25"/>
  <c r="AG7" i="25"/>
  <c r="Q7" i="25"/>
  <c r="J16" i="40"/>
  <c r="L29" i="25"/>
  <c r="O24" i="64"/>
  <c r="B13" i="40"/>
  <c r="AB29" i="66"/>
  <c r="B14" i="66"/>
  <c r="P10" i="66"/>
  <c r="AB25" i="66"/>
  <c r="G7" i="66"/>
  <c r="I8" i="66"/>
  <c r="H23" i="66"/>
  <c r="C8" i="66"/>
  <c r="X20" i="66"/>
  <c r="D33" i="66"/>
  <c r="B7" i="25"/>
  <c r="Y14" i="64"/>
  <c r="C24" i="66"/>
  <c r="AD32" i="25"/>
  <c r="E14" i="66"/>
  <c r="B30" i="25"/>
  <c r="P17" i="40"/>
  <c r="AI17" i="25"/>
  <c r="J17" i="25"/>
  <c r="F25" i="40"/>
  <c r="N15" i="25"/>
  <c r="G20" i="25"/>
  <c r="C22" i="66"/>
  <c r="B13" i="66"/>
  <c r="D26" i="66"/>
  <c r="AH13" i="66"/>
  <c r="M18" i="66"/>
  <c r="N14" i="66"/>
  <c r="Q25" i="66"/>
  <c r="H18" i="66"/>
  <c r="AE20" i="40"/>
  <c r="C15" i="25"/>
  <c r="F7" i="40"/>
  <c r="T26" i="66"/>
  <c r="J8" i="40"/>
  <c r="Y14" i="40"/>
  <c r="AD15" i="25"/>
  <c r="AB23" i="40"/>
  <c r="X24" i="25"/>
  <c r="K15" i="25"/>
  <c r="AA31" i="25"/>
  <c r="AC10" i="40"/>
  <c r="AE24" i="64"/>
  <c r="AE12" i="66"/>
  <c r="AE16" i="66"/>
  <c r="AF30" i="66"/>
  <c r="B21" i="66"/>
  <c r="AI31" i="66"/>
  <c r="AB8" i="66"/>
  <c r="X27" i="66"/>
  <c r="Q30" i="66"/>
  <c r="D16" i="25"/>
  <c r="V28" i="66"/>
  <c r="N21" i="66"/>
  <c r="V9" i="66"/>
  <c r="AH24" i="25"/>
  <c r="AC7" i="25"/>
  <c r="W15" i="25"/>
  <c r="O19" i="25"/>
  <c r="T19" i="40"/>
  <c r="G10" i="40"/>
  <c r="AF19" i="40"/>
  <c r="B23" i="25"/>
  <c r="M30" i="66"/>
  <c r="F31" i="66"/>
  <c r="AB7" i="66"/>
  <c r="AH29" i="66"/>
  <c r="T13" i="66"/>
  <c r="C32" i="66"/>
  <c r="AC25" i="66"/>
  <c r="AI13" i="66"/>
  <c r="X31" i="66"/>
  <c r="R18" i="66"/>
  <c r="L29" i="66"/>
  <c r="T25" i="66"/>
  <c r="X29" i="25"/>
  <c r="O20" i="25"/>
  <c r="I32" i="25"/>
  <c r="P15" i="40"/>
  <c r="O29" i="66"/>
  <c r="AI18" i="40"/>
  <c r="R24" i="25"/>
  <c r="X31" i="25"/>
  <c r="E23" i="25"/>
  <c r="O30" i="25"/>
  <c r="O13" i="40"/>
  <c r="AF21" i="25"/>
  <c r="B10" i="64"/>
  <c r="AA18" i="40"/>
  <c r="R25" i="40"/>
  <c r="C7" i="25"/>
  <c r="O18" i="25"/>
  <c r="O20" i="40"/>
  <c r="P16" i="40"/>
  <c r="AB33" i="25"/>
  <c r="V21" i="25"/>
  <c r="N21" i="40"/>
  <c r="X19" i="25"/>
  <c r="S7" i="25"/>
  <c r="F26" i="40"/>
  <c r="D8" i="25"/>
  <c r="Q30" i="25"/>
  <c r="AF23" i="64"/>
  <c r="AC9" i="25"/>
  <c r="AH12" i="40"/>
  <c r="AB15" i="25"/>
  <c r="Z7" i="25"/>
  <c r="K26" i="25"/>
  <c r="H18" i="40"/>
  <c r="AC16" i="40"/>
  <c r="AF14" i="40"/>
  <c r="H14" i="25"/>
  <c r="AH19" i="40"/>
  <c r="O8" i="25"/>
  <c r="AB25" i="40"/>
  <c r="N28" i="25"/>
  <c r="AD21" i="64"/>
  <c r="U32" i="25"/>
  <c r="D23" i="25"/>
  <c r="L17" i="40"/>
  <c r="V8" i="40"/>
  <c r="V32" i="25"/>
  <c r="F30" i="25"/>
  <c r="L16" i="40"/>
  <c r="G16" i="40"/>
  <c r="AC24" i="40"/>
  <c r="G16" i="25"/>
  <c r="E22" i="25"/>
  <c r="M20" i="25"/>
  <c r="AA15" i="40"/>
  <c r="U26" i="64"/>
  <c r="N9" i="25"/>
  <c r="AI7" i="64"/>
  <c r="L25" i="40"/>
  <c r="AI12" i="25"/>
  <c r="S20" i="25"/>
  <c r="U8" i="40"/>
  <c r="N30" i="25"/>
  <c r="AD18" i="64"/>
  <c r="S19" i="40"/>
  <c r="R26" i="64"/>
  <c r="G22" i="25"/>
  <c r="K25" i="40"/>
  <c r="I12" i="25"/>
  <c r="Q25" i="25"/>
  <c r="K22" i="40"/>
  <c r="R16" i="40"/>
  <c r="V15" i="64"/>
  <c r="F8" i="40"/>
  <c r="H8" i="40"/>
  <c r="F19" i="25"/>
  <c r="K9" i="40"/>
  <c r="U26" i="40"/>
  <c r="B17" i="40"/>
  <c r="AE13" i="40"/>
  <c r="C26" i="40"/>
  <c r="F14" i="25"/>
  <c r="R29" i="25"/>
  <c r="AC20" i="40"/>
  <c r="AG9" i="64"/>
  <c r="I18" i="25"/>
  <c r="G15" i="25"/>
  <c r="AB15" i="40"/>
  <c r="I21" i="40"/>
  <c r="AF25" i="66"/>
  <c r="F20" i="40"/>
  <c r="S30" i="25"/>
  <c r="Z20" i="40"/>
  <c r="Z7" i="40"/>
  <c r="F14" i="64"/>
  <c r="AE21" i="25"/>
  <c r="W11" i="40"/>
  <c r="AG28" i="25"/>
  <c r="T11" i="25"/>
  <c r="O29" i="25"/>
  <c r="V30" i="64"/>
  <c r="AB8" i="25"/>
  <c r="L28" i="25"/>
  <c r="H22" i="40"/>
  <c r="AE15" i="64"/>
  <c r="T26" i="25"/>
  <c r="P8" i="25"/>
  <c r="X17" i="25"/>
  <c r="AC14" i="66"/>
  <c r="AA8" i="66"/>
  <c r="M31" i="66"/>
  <c r="K32" i="66"/>
  <c r="Q10" i="66"/>
  <c r="F29" i="66"/>
  <c r="T15" i="66"/>
  <c r="C14" i="66"/>
  <c r="T25" i="40"/>
  <c r="O7" i="66"/>
  <c r="C7" i="66"/>
  <c r="X18" i="66"/>
  <c r="X26" i="25"/>
  <c r="E7" i="25"/>
  <c r="Y10" i="66"/>
  <c r="J13" i="40"/>
  <c r="U20" i="25"/>
  <c r="AE9" i="40"/>
  <c r="AF20" i="25"/>
  <c r="S26" i="40"/>
  <c r="F18" i="40"/>
  <c r="D21" i="40"/>
  <c r="B8" i="66"/>
  <c r="AH31" i="66"/>
  <c r="G19" i="66"/>
  <c r="P21" i="66"/>
  <c r="AD25" i="66"/>
  <c r="S11" i="40"/>
  <c r="G33" i="66"/>
  <c r="Z24" i="66"/>
  <c r="M15" i="66"/>
  <c r="T22" i="40"/>
  <c r="R25" i="25"/>
  <c r="E28" i="66"/>
  <c r="P23" i="25"/>
  <c r="F10" i="40"/>
  <c r="G33" i="25"/>
  <c r="Q17" i="25"/>
  <c r="V14" i="64"/>
  <c r="G9" i="40"/>
  <c r="AA9" i="66"/>
  <c r="C33" i="25"/>
  <c r="AD12" i="25"/>
  <c r="AH21" i="66"/>
  <c r="Q21" i="66"/>
  <c r="AF11" i="66"/>
  <c r="F14" i="66"/>
  <c r="AH32" i="66"/>
  <c r="S25" i="66"/>
  <c r="U19" i="66"/>
  <c r="Q16" i="66"/>
  <c r="T7" i="40"/>
  <c r="AC7" i="66"/>
  <c r="N26" i="66"/>
  <c r="J18" i="40"/>
  <c r="AD22" i="25"/>
  <c r="U29" i="25"/>
  <c r="S18" i="25"/>
  <c r="AF32" i="66"/>
  <c r="R33" i="25"/>
  <c r="B27" i="64"/>
  <c r="AI20" i="25"/>
  <c r="E32" i="25"/>
  <c r="AB28" i="25"/>
  <c r="J15" i="66"/>
  <c r="AE7" i="66"/>
  <c r="B31" i="66"/>
  <c r="T16" i="66"/>
  <c r="H15" i="66"/>
  <c r="AD26" i="66"/>
  <c r="D12" i="66"/>
  <c r="AC30" i="66"/>
  <c r="G12" i="66"/>
  <c r="W13" i="66"/>
  <c r="G25" i="40"/>
  <c r="J22" i="40"/>
  <c r="AD13" i="40"/>
  <c r="B18" i="40"/>
  <c r="C17" i="40"/>
  <c r="AA29" i="25"/>
  <c r="AB22" i="25"/>
  <c r="E24" i="25"/>
  <c r="Z26" i="40"/>
  <c r="AC25" i="40"/>
  <c r="S14" i="40"/>
  <c r="X22" i="64"/>
  <c r="V20" i="40"/>
  <c r="U21" i="64"/>
  <c r="B20" i="25"/>
  <c r="M19" i="25"/>
  <c r="AH24" i="40"/>
  <c r="P17" i="25"/>
  <c r="Q24" i="40"/>
  <c r="L17" i="25"/>
  <c r="U16" i="40"/>
  <c r="AE17" i="25"/>
  <c r="X20" i="64"/>
  <c r="L24" i="40"/>
  <c r="V15" i="40"/>
  <c r="U10" i="40"/>
  <c r="AI9" i="25"/>
  <c r="AI21" i="25"/>
  <c r="O14" i="25"/>
  <c r="AH30" i="25"/>
  <c r="AG20" i="64"/>
  <c r="L13" i="40"/>
  <c r="Y21" i="40"/>
  <c r="W19" i="25"/>
  <c r="M15" i="25"/>
  <c r="J9" i="64"/>
  <c r="H24" i="40"/>
  <c r="O22" i="25"/>
  <c r="AF9" i="40"/>
  <c r="AH12" i="25"/>
  <c r="AI7" i="40"/>
  <c r="J31" i="25"/>
  <c r="K8" i="25"/>
  <c r="AE16" i="25"/>
  <c r="J10" i="40"/>
  <c r="V17" i="25"/>
  <c r="W30" i="25"/>
  <c r="N19" i="25"/>
  <c r="O24" i="40"/>
  <c r="AB19" i="40"/>
  <c r="J26" i="25"/>
  <c r="C19" i="64"/>
  <c r="W27" i="25"/>
  <c r="D12" i="64"/>
  <c r="AE19" i="25"/>
  <c r="X26" i="40"/>
  <c r="J22" i="25"/>
  <c r="W11" i="25"/>
  <c r="AI8" i="25"/>
  <c r="H23" i="40"/>
  <c r="K13" i="25"/>
  <c r="D7" i="40"/>
  <c r="J32" i="25"/>
  <c r="AA7" i="64"/>
  <c r="R10" i="64"/>
  <c r="AI18" i="25"/>
  <c r="L15" i="40"/>
  <c r="C24" i="25"/>
  <c r="AH28" i="64"/>
  <c r="Z10" i="25"/>
  <c r="AG13" i="25"/>
  <c r="H19" i="40"/>
  <c r="Z10" i="40"/>
  <c r="X7" i="25"/>
  <c r="M31" i="25"/>
  <c r="R13" i="40"/>
  <c r="L29" i="64"/>
  <c r="X9" i="25"/>
  <c r="I25" i="25"/>
  <c r="AC9" i="40"/>
  <c r="U13" i="64"/>
  <c r="AI23" i="40"/>
  <c r="I22" i="64"/>
  <c r="G20" i="40"/>
  <c r="L7" i="40"/>
  <c r="P25" i="25"/>
  <c r="K13" i="40"/>
  <c r="K21" i="66"/>
  <c r="AF31" i="66"/>
  <c r="H9" i="66"/>
  <c r="Q19" i="66"/>
  <c r="AF20" i="66"/>
  <c r="AG27" i="66"/>
  <c r="O27" i="66"/>
  <c r="F20" i="25"/>
  <c r="O15" i="66"/>
  <c r="AI24" i="66"/>
  <c r="V15" i="25"/>
  <c r="AA29" i="64"/>
  <c r="I13" i="64"/>
  <c r="N30" i="66"/>
  <c r="U21" i="66"/>
  <c r="AG33" i="66"/>
  <c r="D19" i="40"/>
  <c r="H11" i="40"/>
  <c r="I17" i="64"/>
  <c r="C30" i="25"/>
  <c r="R15" i="25"/>
  <c r="AC25" i="25"/>
  <c r="Y13" i="66"/>
  <c r="M33" i="66"/>
  <c r="O11" i="66"/>
  <c r="Y30" i="66"/>
  <c r="AC9" i="66"/>
  <c r="V8" i="66"/>
  <c r="D19" i="66"/>
  <c r="U31" i="66"/>
  <c r="O23" i="66"/>
  <c r="AA12" i="66"/>
  <c r="G21" i="40"/>
  <c r="Z24" i="25"/>
  <c r="B8" i="40"/>
  <c r="N24" i="66"/>
  <c r="C26" i="25"/>
  <c r="V10" i="25"/>
  <c r="O15" i="25"/>
  <c r="L8" i="40"/>
  <c r="AE32" i="25"/>
  <c r="G24" i="64"/>
  <c r="AF15" i="40"/>
  <c r="AB17" i="66"/>
  <c r="U32" i="66"/>
  <c r="AA21" i="66"/>
  <c r="AG32" i="66"/>
  <c r="AA15" i="66"/>
  <c r="V10" i="66"/>
  <c r="V21" i="66"/>
  <c r="AF17" i="66"/>
  <c r="AA17" i="40"/>
  <c r="U12" i="66"/>
  <c r="J32" i="66"/>
  <c r="AI23" i="64"/>
  <c r="AG15" i="66"/>
  <c r="L27" i="64"/>
  <c r="AG16" i="66"/>
  <c r="W33" i="25"/>
  <c r="AE25" i="40"/>
  <c r="C19" i="25"/>
  <c r="N12" i="25"/>
  <c r="AB12" i="64"/>
  <c r="G27" i="64"/>
  <c r="Q15" i="66"/>
  <c r="AA18" i="66"/>
  <c r="AE32" i="66"/>
  <c r="H11" i="66"/>
  <c r="X14" i="66"/>
  <c r="AB15" i="66"/>
  <c r="K7" i="66"/>
  <c r="AB31" i="66"/>
  <c r="J21" i="40"/>
  <c r="Y33" i="66"/>
  <c r="AD30" i="66"/>
  <c r="O18" i="64"/>
  <c r="AF24" i="25"/>
  <c r="P16" i="25"/>
  <c r="O18" i="40"/>
  <c r="AC21" i="25"/>
  <c r="J12" i="40"/>
  <c r="D8" i="64"/>
  <c r="S26" i="25"/>
  <c r="I24" i="40"/>
  <c r="V11" i="40"/>
  <c r="T20" i="25"/>
  <c r="AG16" i="40"/>
  <c r="AH15" i="25"/>
  <c r="AC20" i="25"/>
  <c r="D24" i="40"/>
  <c r="H26" i="25"/>
  <c r="E12" i="40"/>
  <c r="AC18" i="25"/>
  <c r="G31" i="25"/>
  <c r="U27" i="64"/>
  <c r="X11" i="25"/>
  <c r="J12" i="25"/>
  <c r="C25" i="25"/>
  <c r="O23" i="25"/>
  <c r="Z25" i="25"/>
  <c r="E33" i="25"/>
  <c r="R12" i="25"/>
  <c r="Y23" i="40"/>
  <c r="AH17" i="40"/>
  <c r="F9" i="40"/>
  <c r="Y7" i="25"/>
  <c r="S16" i="25"/>
  <c r="AF27" i="64"/>
  <c r="N10" i="40"/>
  <c r="I30" i="64"/>
  <c r="AA11" i="40"/>
  <c r="AH21" i="25"/>
  <c r="V7" i="25"/>
  <c r="B28" i="25"/>
  <c r="Y7" i="40"/>
  <c r="K11" i="25"/>
  <c r="O15" i="40"/>
  <c r="AC24" i="64"/>
  <c r="Q32" i="25"/>
  <c r="J27" i="25"/>
  <c r="AH27" i="25"/>
  <c r="Q26" i="40"/>
  <c r="AI21" i="64"/>
  <c r="S8" i="25"/>
  <c r="U23" i="25"/>
  <c r="R14" i="64"/>
  <c r="C14" i="40"/>
  <c r="F11" i="40"/>
  <c r="AC12" i="64"/>
  <c r="AB10" i="25"/>
  <c r="AA26" i="25"/>
  <c r="I17" i="25"/>
  <c r="Y14" i="25"/>
  <c r="J15" i="40"/>
  <c r="E23" i="40"/>
  <c r="H20" i="40"/>
  <c r="H27" i="25"/>
  <c r="E16" i="25"/>
  <c r="O23" i="40"/>
  <c r="AC12" i="40"/>
  <c r="J21" i="64"/>
  <c r="R28" i="25"/>
  <c r="L19" i="64"/>
  <c r="T15" i="25"/>
  <c r="T10" i="25"/>
  <c r="D17" i="25"/>
  <c r="AF11" i="25"/>
  <c r="AB26" i="25"/>
  <c r="N8" i="25"/>
  <c r="I23" i="25"/>
  <c r="P24" i="40"/>
  <c r="AB27" i="64"/>
  <c r="G12" i="25"/>
  <c r="N29" i="25"/>
  <c r="G23" i="40"/>
  <c r="V14" i="25"/>
  <c r="E18" i="25"/>
  <c r="AE22" i="40"/>
  <c r="AD25" i="25"/>
  <c r="E12" i="64"/>
  <c r="W19" i="40"/>
  <c r="B8" i="25"/>
  <c r="G32" i="25"/>
  <c r="B14" i="40"/>
  <c r="X20" i="40"/>
  <c r="X23" i="66"/>
  <c r="L21" i="66"/>
  <c r="I22" i="66"/>
  <c r="AA29" i="66"/>
  <c r="Q13" i="66"/>
  <c r="Z15" i="40"/>
  <c r="AG25" i="40"/>
  <c r="AD13" i="66"/>
  <c r="Y14" i="66"/>
  <c r="O19" i="64"/>
  <c r="X17" i="40"/>
  <c r="K26" i="40"/>
  <c r="AF18" i="25"/>
  <c r="D28" i="66"/>
  <c r="P21" i="25"/>
  <c r="U14" i="40"/>
  <c r="G17" i="66"/>
  <c r="T9" i="40"/>
  <c r="P20" i="40"/>
  <c r="E19" i="40"/>
  <c r="T17" i="25"/>
  <c r="R8" i="66"/>
  <c r="V24" i="66"/>
  <c r="AB13" i="66"/>
  <c r="I7" i="66"/>
  <c r="O22" i="66"/>
  <c r="N32" i="66"/>
  <c r="AI23" i="66"/>
  <c r="AD28" i="66"/>
  <c r="S28" i="66"/>
  <c r="L20" i="25"/>
  <c r="AF31" i="25"/>
  <c r="T21" i="66"/>
  <c r="C18" i="66"/>
  <c r="G19" i="25"/>
  <c r="Z16" i="40"/>
  <c r="AE14" i="40"/>
  <c r="I26" i="40"/>
  <c r="AF25" i="25"/>
  <c r="P10" i="25"/>
  <c r="Q22" i="64"/>
  <c r="B15" i="40"/>
  <c r="F26" i="66"/>
  <c r="S11" i="66"/>
  <c r="M13" i="66"/>
  <c r="S8" i="66"/>
  <c r="AA7" i="66"/>
  <c r="AC27" i="66"/>
  <c r="P9" i="66"/>
  <c r="R11" i="66"/>
  <c r="O22" i="64"/>
  <c r="W19" i="66"/>
  <c r="Z18" i="66"/>
  <c r="G24" i="40"/>
  <c r="R20" i="25"/>
  <c r="O7" i="25"/>
  <c r="AD22" i="40"/>
  <c r="AA12" i="64"/>
  <c r="Y24" i="40"/>
  <c r="AC13" i="25"/>
  <c r="AC15" i="40"/>
  <c r="AF19" i="25"/>
  <c r="P17" i="64"/>
  <c r="R16" i="66"/>
  <c r="T24" i="66"/>
  <c r="J17" i="66"/>
  <c r="R14" i="66"/>
  <c r="O20" i="66"/>
  <c r="M21" i="66"/>
  <c r="B29" i="66"/>
  <c r="AG28" i="66"/>
  <c r="B26" i="40"/>
  <c r="L32" i="66"/>
  <c r="L7" i="66"/>
  <c r="AH9" i="40"/>
  <c r="Z14" i="40"/>
  <c r="N8" i="40"/>
  <c r="AH20" i="40"/>
  <c r="Z27" i="25"/>
  <c r="Q18" i="40"/>
  <c r="E21" i="25"/>
  <c r="AB24" i="66"/>
  <c r="O11" i="64"/>
  <c r="M20" i="64"/>
  <c r="V20" i="64"/>
  <c r="S23" i="25"/>
  <c r="F17" i="25"/>
  <c r="Z28" i="25"/>
  <c r="N14" i="25"/>
  <c r="V9" i="40"/>
  <c r="AA26" i="40"/>
  <c r="W17" i="25"/>
  <c r="N16" i="40"/>
  <c r="I14" i="25"/>
  <c r="I15" i="40"/>
  <c r="AD19" i="25"/>
  <c r="N13" i="40"/>
  <c r="H21" i="25"/>
  <c r="C22" i="40"/>
  <c r="AC17" i="25"/>
  <c r="AC21" i="40"/>
  <c r="H21" i="64"/>
  <c r="Z13" i="40"/>
  <c r="AA20" i="40"/>
  <c r="Q29" i="64"/>
  <c r="B9" i="64"/>
  <c r="AE30" i="25"/>
  <c r="S16" i="40"/>
  <c r="I29" i="25"/>
  <c r="N10" i="25"/>
  <c r="T14" i="25"/>
  <c r="J16" i="25"/>
  <c r="AC26" i="40"/>
  <c r="AF30" i="25"/>
  <c r="T8" i="40"/>
  <c r="Z24" i="64"/>
  <c r="AI22" i="64"/>
  <c r="V16" i="25"/>
  <c r="S15" i="40"/>
  <c r="H25" i="25"/>
  <c r="T23" i="64"/>
  <c r="T27" i="25"/>
  <c r="AI24" i="64"/>
  <c r="AH14" i="25"/>
  <c r="AA33" i="25"/>
  <c r="Q18" i="64"/>
  <c r="C16" i="25"/>
  <c r="M32" i="25"/>
  <c r="AC7" i="40"/>
  <c r="AH9" i="25"/>
  <c r="E14" i="25"/>
  <c r="W16" i="40"/>
  <c r="AD17" i="64"/>
  <c r="AC14" i="25"/>
  <c r="S27" i="25"/>
  <c r="I14" i="40"/>
  <c r="U27" i="25"/>
  <c r="V17" i="40"/>
  <c r="AA21" i="25"/>
  <c r="AE19" i="64"/>
  <c r="AD28" i="64"/>
  <c r="AC17" i="40"/>
  <c r="AD12" i="40"/>
  <c r="P25" i="40"/>
  <c r="K23" i="25"/>
  <c r="G30" i="64"/>
  <c r="K32" i="25"/>
  <c r="Y29" i="64"/>
  <c r="I18" i="40"/>
  <c r="C7" i="64"/>
  <c r="J19" i="40"/>
  <c r="O19" i="40"/>
  <c r="D13" i="40"/>
  <c r="AG26" i="64"/>
  <c r="T10" i="40"/>
  <c r="S10" i="25"/>
  <c r="R14" i="25"/>
  <c r="F25" i="64"/>
  <c r="AA27" i="64"/>
  <c r="R22" i="40"/>
  <c r="AB16" i="64"/>
  <c r="O30" i="64"/>
  <c r="U9" i="25"/>
  <c r="Z15" i="66"/>
  <c r="AF18" i="66"/>
  <c r="AE30" i="66"/>
  <c r="J24" i="66"/>
  <c r="K14" i="66"/>
  <c r="G10" i="66"/>
  <c r="AG21" i="66"/>
  <c r="F19" i="66"/>
  <c r="E23" i="66"/>
  <c r="AD10" i="66"/>
  <c r="Z17" i="64"/>
  <c r="Z21" i="40"/>
  <c r="M26" i="40"/>
  <c r="AC22" i="40"/>
  <c r="B25" i="25"/>
  <c r="M19" i="66"/>
  <c r="P23" i="40"/>
  <c r="I33" i="25"/>
  <c r="AE23" i="25"/>
  <c r="D17" i="40"/>
  <c r="Y22" i="40"/>
  <c r="G16" i="66"/>
  <c r="Q9" i="66"/>
  <c r="AF13" i="66"/>
  <c r="T31" i="66"/>
  <c r="W26" i="66"/>
  <c r="I29" i="66"/>
  <c r="F22" i="40"/>
  <c r="Q29" i="66"/>
  <c r="R30" i="66"/>
  <c r="T33" i="66"/>
  <c r="Z12" i="66"/>
  <c r="O30" i="66"/>
  <c r="Q22" i="25"/>
  <c r="Y17" i="66"/>
  <c r="Z8" i="25"/>
  <c r="AH32" i="25"/>
  <c r="AG17" i="40"/>
  <c r="AI28" i="25"/>
  <c r="C22" i="64"/>
  <c r="S32" i="25"/>
  <c r="AG11" i="25"/>
  <c r="K11" i="40"/>
  <c r="Z27" i="66"/>
  <c r="AH8" i="66"/>
  <c r="T22" i="66"/>
  <c r="L13" i="66"/>
  <c r="V17" i="66"/>
  <c r="T12" i="66"/>
  <c r="Y11" i="66"/>
  <c r="Q33" i="66"/>
  <c r="T20" i="66"/>
  <c r="AF22" i="64"/>
  <c r="M16" i="25"/>
  <c r="I23" i="66"/>
  <c r="Q20" i="64"/>
  <c r="AD14" i="64"/>
  <c r="I24" i="25"/>
  <c r="E15" i="40"/>
  <c r="AH33" i="25"/>
  <c r="M33" i="25"/>
  <c r="F15" i="40"/>
  <c r="Y25" i="25"/>
  <c r="S7" i="40"/>
  <c r="U22" i="66"/>
  <c r="AH9" i="66"/>
  <c r="G11" i="66"/>
  <c r="AI15" i="66"/>
  <c r="T8" i="66"/>
  <c r="E7" i="66"/>
  <c r="K13" i="66"/>
  <c r="P19" i="66"/>
  <c r="U13" i="25"/>
  <c r="E26" i="25"/>
  <c r="L16" i="64"/>
  <c r="C10" i="66"/>
  <c r="W10" i="66"/>
  <c r="AI10" i="25"/>
  <c r="M9" i="40"/>
  <c r="N21" i="25"/>
  <c r="O27" i="25"/>
  <c r="P22" i="64"/>
  <c r="O14" i="40"/>
  <c r="N26" i="40"/>
  <c r="AC23" i="40"/>
  <c r="O26" i="25"/>
  <c r="P8" i="64"/>
  <c r="Y28" i="25"/>
  <c r="AC26" i="25"/>
  <c r="B12" i="40"/>
  <c r="H29" i="25"/>
  <c r="F12" i="25"/>
  <c r="K21" i="25"/>
  <c r="H28" i="64"/>
  <c r="Y19" i="25"/>
  <c r="AA8" i="40"/>
  <c r="B15" i="25"/>
  <c r="AE10" i="64"/>
  <c r="T27" i="64"/>
  <c r="G13" i="40"/>
  <c r="D30" i="25"/>
  <c r="D8" i="40"/>
  <c r="F8" i="25"/>
  <c r="AE22" i="25"/>
  <c r="X22" i="40"/>
  <c r="Y20" i="25"/>
  <c r="I26" i="25"/>
  <c r="AB14" i="25"/>
  <c r="AB8" i="64"/>
  <c r="I9" i="25"/>
  <c r="AG8" i="40"/>
  <c r="C13" i="40"/>
  <c r="F21" i="40"/>
  <c r="R19" i="25"/>
  <c r="P15" i="25"/>
  <c r="N18" i="64"/>
  <c r="L7" i="25"/>
  <c r="R9" i="25"/>
  <c r="AE9" i="25"/>
  <c r="E25" i="25"/>
  <c r="AH9" i="64"/>
  <c r="T21" i="64"/>
  <c r="AA15" i="25"/>
  <c r="AF12" i="64"/>
  <c r="AH18" i="25"/>
  <c r="AH7" i="40"/>
  <c r="K15" i="40"/>
  <c r="AI8" i="40"/>
  <c r="K9" i="25"/>
  <c r="S19" i="25"/>
  <c r="J26" i="64"/>
  <c r="H25" i="64"/>
  <c r="E8" i="25"/>
  <c r="AB28" i="64"/>
  <c r="B20" i="40"/>
  <c r="G28" i="25"/>
  <c r="H23" i="25"/>
  <c r="V10" i="64"/>
  <c r="C8" i="40"/>
  <c r="Y22" i="25"/>
  <c r="V26" i="40"/>
  <c r="N7" i="25"/>
  <c r="AG24" i="25"/>
  <c r="AI15" i="25"/>
  <c r="J14" i="64"/>
  <c r="I7" i="40"/>
  <c r="R24" i="40"/>
  <c r="Z21" i="25"/>
  <c r="AI10" i="40"/>
  <c r="E9" i="40"/>
  <c r="T8" i="25"/>
  <c r="M27" i="25"/>
  <c r="W17" i="40"/>
  <c r="K19" i="64"/>
  <c r="W28" i="25"/>
  <c r="O12" i="40"/>
  <c r="R8" i="25"/>
  <c r="R31" i="25"/>
  <c r="V33" i="66"/>
  <c r="C23" i="66"/>
  <c r="A187" i="26"/>
  <c r="A174" i="26"/>
  <c r="AC22" i="64" l="1"/>
  <c r="U20" i="66"/>
  <c r="AA16" i="66"/>
  <c r="N23" i="66"/>
  <c r="AG19" i="66"/>
  <c r="B22" i="66"/>
  <c r="AG13" i="66"/>
  <c r="I20" i="66"/>
  <c r="M17" i="66"/>
  <c r="AI17" i="66"/>
  <c r="S16" i="66"/>
  <c r="AH15" i="64"/>
  <c r="B33" i="25"/>
  <c r="AD23" i="40"/>
  <c r="X30" i="66"/>
  <c r="O28" i="64"/>
  <c r="Q24" i="25"/>
  <c r="J28" i="25"/>
  <c r="Q31" i="25"/>
  <c r="B13" i="25"/>
  <c r="Q11" i="25"/>
  <c r="AJ11" i="25" s="1"/>
  <c r="AI26" i="66"/>
  <c r="H10" i="66"/>
  <c r="G24" i="66"/>
  <c r="AB9" i="66"/>
  <c r="O26" i="66"/>
  <c r="Y16" i="66"/>
  <c r="Q12" i="66"/>
  <c r="AF15" i="66"/>
  <c r="AA33" i="66"/>
  <c r="Q26" i="66"/>
  <c r="Z14" i="66"/>
  <c r="AE28" i="66"/>
  <c r="I9" i="66"/>
  <c r="O34" i="25"/>
  <c r="AJ7" i="25"/>
  <c r="AJ21" i="40"/>
  <c r="F34" i="25"/>
  <c r="T34" i="25"/>
  <c r="AD34" i="25"/>
  <c r="K34" i="25"/>
  <c r="AJ13" i="40"/>
  <c r="AJ18" i="40"/>
  <c r="AJ10" i="40"/>
  <c r="AJ25" i="40"/>
  <c r="AJ16" i="40"/>
  <c r="AJ14" i="25"/>
  <c r="AJ23" i="25"/>
  <c r="AJ26" i="40"/>
  <c r="AB34" i="25"/>
  <c r="AI34" i="25"/>
  <c r="AJ17" i="40"/>
  <c r="G34" i="25"/>
  <c r="R15" i="66"/>
  <c r="E23" i="61"/>
  <c r="D14" i="40"/>
  <c r="J10" i="66"/>
  <c r="T27" i="40"/>
  <c r="M23" i="66"/>
  <c r="AI15" i="62"/>
  <c r="S27" i="66"/>
  <c r="H23" i="63"/>
  <c r="W12" i="64"/>
  <c r="L28" i="40"/>
  <c r="AC14" i="61"/>
  <c r="O26" i="62"/>
  <c r="F22" i="64"/>
  <c r="J22" i="64"/>
  <c r="R11" i="61"/>
  <c r="AF11" i="61"/>
  <c r="AA30" i="62"/>
  <c r="S30" i="61"/>
  <c r="AE8" i="61"/>
  <c r="X27" i="62"/>
  <c r="S7" i="66"/>
  <c r="N20" i="63"/>
  <c r="L8" i="62"/>
  <c r="AA10" i="64"/>
  <c r="W8" i="64"/>
  <c r="AI21" i="66"/>
  <c r="AI9" i="63"/>
  <c r="K27" i="61"/>
  <c r="X21" i="61"/>
  <c r="F21" i="62"/>
  <c r="D32" i="63"/>
  <c r="AA9" i="63"/>
  <c r="AB28" i="62"/>
  <c r="Z8" i="63"/>
  <c r="N27" i="64"/>
  <c r="Q16" i="62"/>
  <c r="AI12" i="64"/>
  <c r="T11" i="62"/>
  <c r="B32" i="61"/>
  <c r="C25" i="64"/>
  <c r="AG29" i="61"/>
  <c r="AI30" i="62"/>
  <c r="F9" i="62"/>
  <c r="D20" i="66"/>
  <c r="AC14" i="64"/>
  <c r="AF13" i="64"/>
  <c r="G13" i="66"/>
  <c r="U33" i="61"/>
  <c r="AH25" i="66"/>
  <c r="Q33" i="61"/>
  <c r="V28" i="25"/>
  <c r="I21" i="66"/>
  <c r="Y12" i="61"/>
  <c r="I31" i="61"/>
  <c r="Z16" i="62"/>
  <c r="E28" i="63"/>
  <c r="L16" i="63"/>
  <c r="L10" i="63"/>
  <c r="U31" i="63"/>
  <c r="F28" i="61"/>
  <c r="Q22" i="63"/>
  <c r="AC25" i="63"/>
  <c r="E16" i="61"/>
  <c r="I25" i="66"/>
  <c r="L10" i="61"/>
  <c r="I27" i="25"/>
  <c r="N16" i="61"/>
  <c r="S15" i="62"/>
  <c r="J31" i="66"/>
  <c r="K17" i="62"/>
  <c r="AC11" i="40"/>
  <c r="AJ11" i="40" s="1"/>
  <c r="AG31" i="63"/>
  <c r="V16" i="62"/>
  <c r="O30" i="61"/>
  <c r="AI20" i="62"/>
  <c r="H13" i="64"/>
  <c r="G10" i="61"/>
  <c r="AF8" i="61"/>
  <c r="AB24" i="62"/>
  <c r="E33" i="62"/>
  <c r="M27" i="63"/>
  <c r="S14" i="61"/>
  <c r="M14" i="64"/>
  <c r="X30" i="63"/>
  <c r="AE16" i="61"/>
  <c r="AF24" i="63"/>
  <c r="C33" i="63"/>
  <c r="M23" i="62"/>
  <c r="X22" i="63"/>
  <c r="B18" i="63"/>
  <c r="M30" i="63"/>
  <c r="X7" i="64"/>
  <c r="R14" i="61"/>
  <c r="V27" i="64"/>
  <c r="Y12" i="62"/>
  <c r="F29" i="40"/>
  <c r="U28" i="61"/>
  <c r="AC16" i="62"/>
  <c r="R33" i="62"/>
  <c r="F21" i="61"/>
  <c r="W31" i="63"/>
  <c r="Y8" i="64"/>
  <c r="AG16" i="61"/>
  <c r="K10" i="62"/>
  <c r="H20" i="62"/>
  <c r="D32" i="62"/>
  <c r="AC9" i="61"/>
  <c r="J15" i="63"/>
  <c r="M23" i="64"/>
  <c r="J32" i="61"/>
  <c r="Y29" i="61"/>
  <c r="M18" i="63"/>
  <c r="M16" i="62"/>
  <c r="J33" i="63"/>
  <c r="F30" i="63"/>
  <c r="AG11" i="63"/>
  <c r="AA14" i="63"/>
  <c r="N15" i="61"/>
  <c r="W13" i="62"/>
  <c r="P21" i="64"/>
  <c r="AG18" i="62"/>
  <c r="R16" i="64"/>
  <c r="AH29" i="64"/>
  <c r="AI30" i="61"/>
  <c r="Z33" i="62"/>
  <c r="N8" i="61"/>
  <c r="AC33" i="62"/>
  <c r="F32" i="61"/>
  <c r="P20" i="63"/>
  <c r="AE12" i="61"/>
  <c r="X26" i="62"/>
  <c r="G33" i="63"/>
  <c r="C15" i="62"/>
  <c r="AH22" i="63"/>
  <c r="S32" i="62"/>
  <c r="W33" i="63"/>
  <c r="X32" i="62"/>
  <c r="X16" i="63"/>
  <c r="Y20" i="61"/>
  <c r="N33" i="62"/>
  <c r="O28" i="61"/>
  <c r="L32" i="62"/>
  <c r="B21" i="62"/>
  <c r="N18" i="61"/>
  <c r="I18" i="64"/>
  <c r="AF31" i="62"/>
  <c r="AI20" i="64"/>
  <c r="U19" i="62"/>
  <c r="L22" i="61"/>
  <c r="AC20" i="61"/>
  <c r="AF16" i="63"/>
  <c r="AA10" i="62"/>
  <c r="AI7" i="63"/>
  <c r="C7" i="62"/>
  <c r="N29" i="61"/>
  <c r="R10" i="61"/>
  <c r="AB13" i="63"/>
  <c r="N23" i="63"/>
  <c r="S18" i="61"/>
  <c r="AI28" i="64"/>
  <c r="AB26" i="64"/>
  <c r="AH18" i="62"/>
  <c r="AI30" i="40"/>
  <c r="F23" i="61"/>
  <c r="X10" i="62"/>
  <c r="AC7" i="62"/>
  <c r="C18" i="63"/>
  <c r="AD8" i="63"/>
  <c r="U21" i="25"/>
  <c r="AJ21" i="25" s="1"/>
  <c r="M20" i="61"/>
  <c r="R17" i="61"/>
  <c r="S32" i="66"/>
  <c r="R18" i="61"/>
  <c r="N26" i="25"/>
  <c r="AE27" i="61"/>
  <c r="C32" i="63"/>
  <c r="Y26" i="62"/>
  <c r="E26" i="62"/>
  <c r="E22" i="62"/>
  <c r="G9" i="63"/>
  <c r="P21" i="63"/>
  <c r="W33" i="62"/>
  <c r="O21" i="64"/>
  <c r="I33" i="62"/>
  <c r="D20" i="63"/>
  <c r="V29" i="40"/>
  <c r="AA27" i="40"/>
  <c r="F31" i="63"/>
  <c r="I18" i="63"/>
  <c r="C28" i="25"/>
  <c r="G14" i="63"/>
  <c r="H16" i="63"/>
  <c r="P24" i="66"/>
  <c r="AA8" i="62"/>
  <c r="AG10" i="64"/>
  <c r="AI17" i="62"/>
  <c r="I12" i="40"/>
  <c r="AJ12" i="40" s="1"/>
  <c r="R25" i="66"/>
  <c r="K23" i="61"/>
  <c r="AH17" i="62"/>
  <c r="AB8" i="61"/>
  <c r="W17" i="64"/>
  <c r="AA25" i="63"/>
  <c r="AD9" i="62"/>
  <c r="AC26" i="63"/>
  <c r="W25" i="62"/>
  <c r="AD10" i="62"/>
  <c r="P28" i="61"/>
  <c r="D22" i="63"/>
  <c r="G17" i="64"/>
  <c r="W8" i="66"/>
  <c r="E9" i="62"/>
  <c r="U28" i="66"/>
  <c r="K11" i="62"/>
  <c r="AA28" i="64"/>
  <c r="R22" i="66"/>
  <c r="E19" i="64"/>
  <c r="O9" i="66"/>
  <c r="C23" i="61"/>
  <c r="Y18" i="61"/>
  <c r="H7" i="64"/>
  <c r="AD11" i="62"/>
  <c r="J21" i="63"/>
  <c r="AA33" i="63"/>
  <c r="AG23" i="64"/>
  <c r="AG29" i="62"/>
  <c r="AD13" i="64"/>
  <c r="D31" i="62"/>
  <c r="K10" i="61"/>
  <c r="C29" i="63"/>
  <c r="M8" i="63"/>
  <c r="AF25" i="61"/>
  <c r="AA28" i="66"/>
  <c r="B7" i="61"/>
  <c r="Z30" i="25"/>
  <c r="Z34" i="25" s="1"/>
  <c r="D16" i="66"/>
  <c r="AH31" i="62"/>
  <c r="V26" i="66"/>
  <c r="G17" i="62"/>
  <c r="N18" i="66"/>
  <c r="C28" i="64"/>
  <c r="H8" i="63"/>
  <c r="AF11" i="64"/>
  <c r="AG28" i="61"/>
  <c r="E23" i="62"/>
  <c r="U15" i="63"/>
  <c r="Y27" i="40"/>
  <c r="I23" i="62"/>
  <c r="Z20" i="64"/>
  <c r="F27" i="62"/>
  <c r="M10" i="62"/>
  <c r="I27" i="62"/>
  <c r="T9" i="64"/>
  <c r="S27" i="40"/>
  <c r="S22" i="62"/>
  <c r="S28" i="64"/>
  <c r="T12" i="62"/>
  <c r="AD14" i="62"/>
  <c r="G14" i="62"/>
  <c r="W7" i="64"/>
  <c r="B24" i="63"/>
  <c r="AI19" i="64"/>
  <c r="AA32" i="62"/>
  <c r="X25" i="64"/>
  <c r="D14" i="61"/>
  <c r="O23" i="63"/>
  <c r="AE33" i="61"/>
  <c r="T18" i="64"/>
  <c r="AD13" i="62"/>
  <c r="S26" i="63"/>
  <c r="Z28" i="63"/>
  <c r="O22" i="63"/>
  <c r="S29" i="61"/>
  <c r="O33" i="62"/>
  <c r="E27" i="61"/>
  <c r="Q7" i="63"/>
  <c r="AE14" i="64"/>
  <c r="O24" i="63"/>
  <c r="P20" i="62"/>
  <c r="Y10" i="61"/>
  <c r="B24" i="61"/>
  <c r="W16" i="64"/>
  <c r="AF27" i="62"/>
  <c r="E14" i="64"/>
  <c r="D24" i="62"/>
  <c r="AI33" i="61"/>
  <c r="I19" i="64"/>
  <c r="AB13" i="61"/>
  <c r="T20" i="63"/>
  <c r="Q11" i="64"/>
  <c r="X27" i="63"/>
  <c r="D19" i="63"/>
  <c r="R28" i="63"/>
  <c r="V26" i="62"/>
  <c r="K12" i="61"/>
  <c r="AB30" i="61"/>
  <c r="L17" i="63"/>
  <c r="H30" i="63"/>
  <c r="E18" i="61"/>
  <c r="Y28" i="63"/>
  <c r="Z13" i="63"/>
  <c r="E15" i="61"/>
  <c r="P27" i="63"/>
  <c r="L28" i="62"/>
  <c r="E30" i="61"/>
  <c r="O29" i="61"/>
  <c r="O26" i="61"/>
  <c r="Y33" i="61"/>
  <c r="AG8" i="61"/>
  <c r="U28" i="64"/>
  <c r="AF32" i="63"/>
  <c r="R14" i="63"/>
  <c r="V31" i="63"/>
  <c r="AD15" i="63"/>
  <c r="K16" i="61"/>
  <c r="Y18" i="63"/>
  <c r="X28" i="40"/>
  <c r="Q12" i="64"/>
  <c r="AG29" i="63"/>
  <c r="AD27" i="63"/>
  <c r="N17" i="63"/>
  <c r="V9" i="62"/>
  <c r="T11" i="63"/>
  <c r="L13" i="63"/>
  <c r="AE25" i="64"/>
  <c r="AB24" i="61"/>
  <c r="V20" i="62"/>
  <c r="L24" i="61"/>
  <c r="AA18" i="61"/>
  <c r="AG15" i="64"/>
  <c r="AB30" i="62"/>
  <c r="AC28" i="63"/>
  <c r="O20" i="63"/>
  <c r="L27" i="40"/>
  <c r="C24" i="62"/>
  <c r="N7" i="66"/>
  <c r="H9" i="62"/>
  <c r="V19" i="40"/>
  <c r="R26" i="66"/>
  <c r="P12" i="63"/>
  <c r="F25" i="66"/>
  <c r="W24" i="62"/>
  <c r="M32" i="66"/>
  <c r="X10" i="63"/>
  <c r="D26" i="61"/>
  <c r="O27" i="40"/>
  <c r="W28" i="63"/>
  <c r="AG19" i="61"/>
  <c r="D29" i="63"/>
  <c r="R26" i="63"/>
  <c r="B19" i="64"/>
  <c r="H8" i="62"/>
  <c r="F16" i="64"/>
  <c r="W13" i="64"/>
  <c r="R17" i="62"/>
  <c r="U14" i="63"/>
  <c r="C27" i="66"/>
  <c r="J24" i="61"/>
  <c r="AC31" i="25"/>
  <c r="V31" i="66"/>
  <c r="AA31" i="62"/>
  <c r="G30" i="66"/>
  <c r="AD12" i="61"/>
  <c r="I27" i="66"/>
  <c r="D30" i="61"/>
  <c r="G12" i="63"/>
  <c r="F8" i="62"/>
  <c r="AB30" i="63"/>
  <c r="Y31" i="63"/>
  <c r="AD9" i="63"/>
  <c r="K21" i="64"/>
  <c r="I11" i="64"/>
  <c r="C30" i="61"/>
  <c r="C28" i="63"/>
  <c r="I19" i="63"/>
  <c r="O19" i="62"/>
  <c r="AE16" i="63"/>
  <c r="S19" i="66"/>
  <c r="Z32" i="63"/>
  <c r="AC15" i="25"/>
  <c r="U23" i="62"/>
  <c r="P11" i="62"/>
  <c r="Y19" i="66"/>
  <c r="P17" i="62"/>
  <c r="J11" i="66"/>
  <c r="I26" i="63"/>
  <c r="Z29" i="64"/>
  <c r="L23" i="63"/>
  <c r="AI27" i="62"/>
  <c r="I28" i="61"/>
  <c r="M13" i="64"/>
  <c r="U21" i="61"/>
  <c r="AF27" i="40"/>
  <c r="Q15" i="62"/>
  <c r="O10" i="61"/>
  <c r="AB9" i="64"/>
  <c r="S15" i="61"/>
  <c r="I18" i="61"/>
  <c r="Z7" i="64"/>
  <c r="H29" i="66"/>
  <c r="L15" i="64"/>
  <c r="L9" i="66"/>
  <c r="D16" i="63"/>
  <c r="AB17" i="62"/>
  <c r="S13" i="66"/>
  <c r="M18" i="64"/>
  <c r="F10" i="66"/>
  <c r="AE11" i="62"/>
  <c r="H33" i="62"/>
  <c r="S10" i="61"/>
  <c r="AB20" i="63"/>
  <c r="P28" i="62"/>
  <c r="G17" i="63"/>
  <c r="C31" i="61"/>
  <c r="G25" i="61"/>
  <c r="Z29" i="63"/>
  <c r="W16" i="63"/>
  <c r="X8" i="62"/>
  <c r="O29" i="40"/>
  <c r="AB17" i="63"/>
  <c r="G32" i="63"/>
  <c r="I9" i="61"/>
  <c r="H14" i="63"/>
  <c r="W9" i="63"/>
  <c r="Q30" i="40"/>
  <c r="D27" i="63"/>
  <c r="J26" i="61"/>
  <c r="M32" i="63"/>
  <c r="L19" i="61"/>
  <c r="D11" i="64"/>
  <c r="I29" i="61"/>
  <c r="X25" i="63"/>
  <c r="AC17" i="63"/>
  <c r="Q28" i="40"/>
  <c r="Z20" i="63"/>
  <c r="W10" i="61"/>
  <c r="J22" i="62"/>
  <c r="G28" i="40"/>
  <c r="H20" i="64"/>
  <c r="M33" i="62"/>
  <c r="S28" i="61"/>
  <c r="N13" i="62"/>
  <c r="G11" i="63"/>
  <c r="Y19" i="62"/>
  <c r="G15" i="61"/>
  <c r="E32" i="63"/>
  <c r="S24" i="62"/>
  <c r="N22" i="64"/>
  <c r="M28" i="63"/>
  <c r="S18" i="63"/>
  <c r="T30" i="61"/>
  <c r="AF18" i="61"/>
  <c r="U18" i="62"/>
  <c r="S31" i="61"/>
  <c r="B16" i="62"/>
  <c r="N10" i="61"/>
  <c r="L32" i="61"/>
  <c r="AE22" i="63"/>
  <c r="AG8" i="62"/>
  <c r="Z19" i="63"/>
  <c r="F26" i="62"/>
  <c r="P19" i="63"/>
  <c r="P27" i="40"/>
  <c r="I21" i="63"/>
  <c r="M15" i="61"/>
  <c r="P13" i="63"/>
  <c r="C12" i="61"/>
  <c r="K11" i="61"/>
  <c r="I11" i="61"/>
  <c r="Y33" i="62"/>
  <c r="AB32" i="61"/>
  <c r="AF26" i="64"/>
  <c r="C18" i="61"/>
  <c r="V13" i="64"/>
  <c r="J8" i="63"/>
  <c r="Q21" i="64"/>
  <c r="AD8" i="61"/>
  <c r="AE24" i="61"/>
  <c r="D12" i="61"/>
  <c r="M7" i="62"/>
  <c r="AG15" i="62"/>
  <c r="X32" i="63"/>
  <c r="AF30" i="63"/>
  <c r="AI10" i="64"/>
  <c r="H15" i="64"/>
  <c r="M7" i="64"/>
  <c r="AB29" i="61"/>
  <c r="Z18" i="64"/>
  <c r="H17" i="63"/>
  <c r="J20" i="62"/>
  <c r="V27" i="62"/>
  <c r="AB15" i="63"/>
  <c r="G22" i="64"/>
  <c r="F26" i="63"/>
  <c r="U27" i="63"/>
  <c r="AB31" i="62"/>
  <c r="B19" i="62"/>
  <c r="X7" i="62"/>
  <c r="F12" i="63"/>
  <c r="U11" i="61"/>
  <c r="E22" i="61"/>
  <c r="AC29" i="61"/>
  <c r="O15" i="61"/>
  <c r="C21" i="62"/>
  <c r="R32" i="66"/>
  <c r="G11" i="61"/>
  <c r="G20" i="66"/>
  <c r="AE22" i="64"/>
  <c r="U17" i="61"/>
  <c r="W17" i="66"/>
  <c r="AH23" i="63"/>
  <c r="E8" i="66"/>
  <c r="AA11" i="62"/>
  <c r="Y7" i="62"/>
  <c r="T16" i="63"/>
  <c r="I24" i="62"/>
  <c r="AG33" i="62"/>
  <c r="AH29" i="40"/>
  <c r="P32" i="62"/>
  <c r="AH22" i="62"/>
  <c r="AG26" i="63"/>
  <c r="AD13" i="61"/>
  <c r="Q20" i="62"/>
  <c r="H32" i="63"/>
  <c r="AC8" i="62"/>
  <c r="Q7" i="66"/>
  <c r="W18" i="63"/>
  <c r="AD11" i="63"/>
  <c r="R23" i="63"/>
  <c r="H27" i="40"/>
  <c r="K23" i="66"/>
  <c r="AG9" i="63"/>
  <c r="S12" i="25"/>
  <c r="T30" i="40"/>
  <c r="G22" i="61"/>
  <c r="C10" i="62"/>
  <c r="O7" i="62"/>
  <c r="L7" i="61"/>
  <c r="B20" i="64"/>
  <c r="AB15" i="62"/>
  <c r="AF9" i="62"/>
  <c r="F13" i="63"/>
  <c r="F17" i="61"/>
  <c r="Y7" i="64"/>
  <c r="AD30" i="62"/>
  <c r="G23" i="61"/>
  <c r="Q26" i="61"/>
  <c r="V12" i="64"/>
  <c r="B11" i="66"/>
  <c r="AA32" i="61"/>
  <c r="X28" i="64"/>
  <c r="AD24" i="66"/>
  <c r="H12" i="62"/>
  <c r="H16" i="66"/>
  <c r="B33" i="61"/>
  <c r="AH33" i="66"/>
  <c r="T26" i="61"/>
  <c r="N9" i="61"/>
  <c r="N11" i="61"/>
  <c r="H15" i="63"/>
  <c r="B29" i="64"/>
  <c r="AG13" i="63"/>
  <c r="U15" i="62"/>
  <c r="AH15" i="63"/>
  <c r="AE21" i="62"/>
  <c r="U29" i="40"/>
  <c r="P7" i="62"/>
  <c r="Z27" i="62"/>
  <c r="AF27" i="61"/>
  <c r="Z8" i="61"/>
  <c r="U27" i="66"/>
  <c r="T33" i="62"/>
  <c r="Y25" i="62"/>
  <c r="AI13" i="62"/>
  <c r="O29" i="64"/>
  <c r="E24" i="66"/>
  <c r="W28" i="61"/>
  <c r="W20" i="66"/>
  <c r="B27" i="63"/>
  <c r="AG23" i="61"/>
  <c r="AF30" i="62"/>
  <c r="M29" i="64"/>
  <c r="AE23" i="63"/>
  <c r="AH29" i="63"/>
  <c r="T21" i="63"/>
  <c r="L7" i="62"/>
  <c r="H15" i="61"/>
  <c r="B13" i="62"/>
  <c r="I8" i="63"/>
  <c r="U12" i="61"/>
  <c r="Y27" i="63"/>
  <c r="J31" i="63"/>
  <c r="Q27" i="62"/>
  <c r="AA9" i="64"/>
  <c r="AA13" i="61"/>
  <c r="C22" i="63"/>
  <c r="N13" i="61"/>
  <c r="AE23" i="61"/>
  <c r="F29" i="63"/>
  <c r="K21" i="63"/>
  <c r="O7" i="64"/>
  <c r="N30" i="63"/>
  <c r="B31" i="62"/>
  <c r="U16" i="61"/>
  <c r="Z15" i="62"/>
  <c r="B19" i="61"/>
  <c r="P28" i="64"/>
  <c r="P9" i="62"/>
  <c r="Z13" i="61"/>
  <c r="F25" i="61"/>
  <c r="E26" i="63"/>
  <c r="AI10" i="61"/>
  <c r="AB22" i="63"/>
  <c r="L14" i="61"/>
  <c r="J23" i="63"/>
  <c r="AC8" i="63"/>
  <c r="AH20" i="64"/>
  <c r="AG22" i="64"/>
  <c r="X23" i="63"/>
  <c r="V7" i="61"/>
  <c r="X31" i="61"/>
  <c r="AE25" i="62"/>
  <c r="T31" i="61"/>
  <c r="AF29" i="63"/>
  <c r="P18" i="64"/>
  <c r="V20" i="63"/>
  <c r="AE32" i="61"/>
  <c r="Q28" i="63"/>
  <c r="O18" i="63"/>
  <c r="H25" i="62"/>
  <c r="W14" i="62"/>
  <c r="AF22" i="62"/>
  <c r="W17" i="63"/>
  <c r="P8" i="62"/>
  <c r="AI18" i="61"/>
  <c r="F33" i="63"/>
  <c r="V29" i="63"/>
  <c r="S7" i="62"/>
  <c r="AA18" i="63"/>
  <c r="AG17" i="63"/>
  <c r="R9" i="64"/>
  <c r="Q29" i="61"/>
  <c r="U12" i="63"/>
  <c r="U9" i="62"/>
  <c r="J27" i="63"/>
  <c r="T17" i="61"/>
  <c r="F14" i="62"/>
  <c r="U9" i="63"/>
  <c r="AI16" i="64"/>
  <c r="AC16" i="63"/>
  <c r="O31" i="61"/>
  <c r="T29" i="40"/>
  <c r="AH10" i="62"/>
  <c r="K31" i="61"/>
  <c r="B29" i="61"/>
  <c r="M17" i="63"/>
  <c r="K32" i="62"/>
  <c r="N31" i="61"/>
  <c r="E18" i="62"/>
  <c r="Z15" i="61"/>
  <c r="U15" i="66"/>
  <c r="T7" i="64"/>
  <c r="AH27" i="62"/>
  <c r="H25" i="61"/>
  <c r="X20" i="63"/>
  <c r="AE31" i="66"/>
  <c r="C27" i="64"/>
  <c r="P19" i="25"/>
  <c r="V8" i="63"/>
  <c r="AH32" i="62"/>
  <c r="G20" i="62"/>
  <c r="F8" i="63"/>
  <c r="AI16" i="63"/>
  <c r="P9" i="64"/>
  <c r="C13" i="61"/>
  <c r="AG31" i="61"/>
  <c r="F24" i="62"/>
  <c r="AE26" i="64"/>
  <c r="AG16" i="63"/>
  <c r="S16" i="61"/>
  <c r="F18" i="61"/>
  <c r="K25" i="66"/>
  <c r="M12" i="61"/>
  <c r="U8" i="64"/>
  <c r="R7" i="66"/>
  <c r="AH11" i="64"/>
  <c r="Y20" i="66"/>
  <c r="O32" i="62"/>
  <c r="X12" i="66"/>
  <c r="R24" i="66"/>
  <c r="R11" i="63"/>
  <c r="P26" i="63"/>
  <c r="S14" i="63"/>
  <c r="Y21" i="64"/>
  <c r="AB25" i="62"/>
  <c r="R9" i="62"/>
  <c r="AF26" i="63"/>
  <c r="AA26" i="62"/>
  <c r="AD29" i="40"/>
  <c r="S33" i="62"/>
  <c r="AD33" i="63"/>
  <c r="Y17" i="61"/>
  <c r="AG15" i="63"/>
  <c r="E16" i="64"/>
  <c r="AE11" i="66"/>
  <c r="L22" i="63"/>
  <c r="J31" i="61"/>
  <c r="R32" i="63"/>
  <c r="W31" i="62"/>
  <c r="O24" i="66"/>
  <c r="L19" i="63"/>
  <c r="C15" i="63"/>
  <c r="Y28" i="62"/>
  <c r="P32" i="61"/>
  <c r="C14" i="61"/>
  <c r="S8" i="63"/>
  <c r="X9" i="64"/>
  <c r="AA12" i="63"/>
  <c r="K31" i="63"/>
  <c r="X18" i="61"/>
  <c r="Z16" i="61"/>
  <c r="AD19" i="61"/>
  <c r="E10" i="62"/>
  <c r="R18" i="25"/>
  <c r="AJ18" i="25" s="1"/>
  <c r="N16" i="66"/>
  <c r="AF8" i="63"/>
  <c r="S15" i="66"/>
  <c r="W19" i="61"/>
  <c r="E23" i="64"/>
  <c r="N28" i="66"/>
  <c r="L14" i="63"/>
  <c r="Q27" i="66"/>
  <c r="S28" i="40"/>
  <c r="Q17" i="62"/>
  <c r="X25" i="62"/>
  <c r="T24" i="63"/>
  <c r="AH26" i="61"/>
  <c r="I25" i="61"/>
  <c r="Q32" i="61"/>
  <c r="AA7" i="61"/>
  <c r="AH25" i="62"/>
  <c r="AF28" i="61"/>
  <c r="F29" i="61"/>
  <c r="L15" i="63"/>
  <c r="J19" i="61"/>
  <c r="AC17" i="61"/>
  <c r="R21" i="61"/>
  <c r="Z30" i="62"/>
  <c r="M33" i="61"/>
  <c r="J23" i="62"/>
  <c r="B7" i="63"/>
  <c r="I16" i="64"/>
  <c r="AB23" i="62"/>
  <c r="AA30" i="61"/>
  <c r="S12" i="62"/>
  <c r="Q31" i="63"/>
  <c r="AC30" i="64"/>
  <c r="P8" i="61"/>
  <c r="G25" i="62"/>
  <c r="G18" i="63"/>
  <c r="N8" i="64"/>
  <c r="J27" i="61"/>
  <c r="Q15" i="63"/>
  <c r="AD14" i="61"/>
  <c r="E25" i="61"/>
  <c r="Y9" i="62"/>
  <c r="R10" i="62"/>
  <c r="L7" i="63"/>
  <c r="H11" i="61"/>
  <c r="AD24" i="62"/>
  <c r="AD32" i="63"/>
  <c r="AI33" i="63"/>
  <c r="E26" i="61"/>
  <c r="W12" i="61"/>
  <c r="R19" i="63"/>
  <c r="AF32" i="62"/>
  <c r="AD16" i="64"/>
  <c r="M10" i="63"/>
  <c r="AH30" i="61"/>
  <c r="L30" i="64"/>
  <c r="C30" i="40"/>
  <c r="B29" i="40"/>
  <c r="AF7" i="62"/>
  <c r="I15" i="62"/>
  <c r="AE20" i="64"/>
  <c r="AI31" i="61"/>
  <c r="R25" i="64"/>
  <c r="AB10" i="63"/>
  <c r="AE19" i="62"/>
  <c r="M24" i="61"/>
  <c r="W19" i="62"/>
  <c r="AI18" i="63"/>
  <c r="D26" i="63"/>
  <c r="AD22" i="61"/>
  <c r="N18" i="63"/>
  <c r="D23" i="62"/>
  <c r="U24" i="63"/>
  <c r="AC29" i="40"/>
  <c r="I18" i="62"/>
  <c r="I9" i="62"/>
  <c r="K18" i="61"/>
  <c r="AA19" i="62"/>
  <c r="R19" i="62"/>
  <c r="W23" i="63"/>
  <c r="R28" i="61"/>
  <c r="AH21" i="61"/>
  <c r="AD30" i="63"/>
  <c r="O8" i="63"/>
  <c r="K28" i="64"/>
  <c r="T25" i="61"/>
  <c r="S29" i="40"/>
  <c r="V28" i="62"/>
  <c r="N32" i="63"/>
  <c r="X12" i="62"/>
  <c r="N10" i="63"/>
  <c r="D8" i="61"/>
  <c r="AD25" i="62"/>
  <c r="T8" i="62"/>
  <c r="V26" i="61"/>
  <c r="AE33" i="62"/>
  <c r="N15" i="64"/>
  <c r="AG7" i="64"/>
  <c r="Q11" i="62"/>
  <c r="AI32" i="61"/>
  <c r="Z11" i="62"/>
  <c r="V25" i="63"/>
  <c r="H24" i="62"/>
  <c r="Y18" i="66"/>
  <c r="AC29" i="62"/>
  <c r="J14" i="66"/>
  <c r="W18" i="64"/>
  <c r="AF9" i="25"/>
  <c r="AF34" i="25" s="1"/>
  <c r="P28" i="66"/>
  <c r="C27" i="63"/>
  <c r="U23" i="66"/>
  <c r="T13" i="64"/>
  <c r="P33" i="61"/>
  <c r="AH30" i="63"/>
  <c r="P26" i="64"/>
  <c r="D16" i="62"/>
  <c r="R20" i="64"/>
  <c r="AI32" i="62"/>
  <c r="Z30" i="40"/>
  <c r="X24" i="62"/>
  <c r="B16" i="61"/>
  <c r="AC27" i="63"/>
  <c r="O14" i="63"/>
  <c r="I24" i="63"/>
  <c r="AD17" i="66"/>
  <c r="H33" i="63"/>
  <c r="S12" i="66"/>
  <c r="K19" i="62"/>
  <c r="K28" i="40"/>
  <c r="Y24" i="66"/>
  <c r="AH8" i="62"/>
  <c r="L28" i="66"/>
  <c r="C19" i="61"/>
  <c r="L30" i="62"/>
  <c r="I23" i="64"/>
  <c r="AC8" i="61"/>
  <c r="B26" i="63"/>
  <c r="K11" i="63"/>
  <c r="I14" i="64"/>
  <c r="T18" i="61"/>
  <c r="B29" i="62"/>
  <c r="Y15" i="62"/>
  <c r="N28" i="61"/>
  <c r="AH16" i="63"/>
  <c r="Z24" i="62"/>
  <c r="Y20" i="63"/>
  <c r="I21" i="64"/>
  <c r="D9" i="66"/>
  <c r="X33" i="61"/>
  <c r="U8" i="25"/>
  <c r="AJ8" i="25" s="1"/>
  <c r="O14" i="62"/>
  <c r="AH31" i="61"/>
  <c r="P27" i="66"/>
  <c r="P29" i="40"/>
  <c r="J19" i="66"/>
  <c r="AG25" i="63"/>
  <c r="P19" i="61"/>
  <c r="C17" i="61"/>
  <c r="AH29" i="61"/>
  <c r="U20" i="61"/>
  <c r="S20" i="61"/>
  <c r="P17" i="63"/>
  <c r="N31" i="63"/>
  <c r="V32" i="63"/>
  <c r="H18" i="61"/>
  <c r="D29" i="61"/>
  <c r="D11" i="62"/>
  <c r="X17" i="61"/>
  <c r="K10" i="63"/>
  <c r="J27" i="66"/>
  <c r="Z20" i="62"/>
  <c r="AC25" i="64"/>
  <c r="P29" i="61"/>
  <c r="AF15" i="63"/>
  <c r="H28" i="66"/>
  <c r="AC19" i="64"/>
  <c r="AI8" i="64"/>
  <c r="E16" i="63"/>
  <c r="AF27" i="63"/>
  <c r="S8" i="62"/>
  <c r="AE12" i="63"/>
  <c r="H26" i="62"/>
  <c r="X9" i="62"/>
  <c r="I12" i="63"/>
  <c r="Q23" i="63"/>
  <c r="Q23" i="61"/>
  <c r="AA11" i="61"/>
  <c r="AD9" i="64"/>
  <c r="AD13" i="63"/>
  <c r="E7" i="62"/>
  <c r="L29" i="63"/>
  <c r="S32" i="63"/>
  <c r="O32" i="63"/>
  <c r="E8" i="62"/>
  <c r="V11" i="62"/>
  <c r="O14" i="61"/>
  <c r="Z7" i="62"/>
  <c r="AD15" i="61"/>
  <c r="F28" i="63"/>
  <c r="T28" i="62"/>
  <c r="AG7" i="62"/>
  <c r="K17" i="63"/>
  <c r="E25" i="63"/>
  <c r="T19" i="62"/>
  <c r="H15" i="62"/>
  <c r="Y30" i="61"/>
  <c r="Q27" i="64"/>
  <c r="AH33" i="61"/>
  <c r="X28" i="62"/>
  <c r="Q28" i="62"/>
  <c r="J14" i="62"/>
  <c r="K8" i="61"/>
  <c r="S27" i="62"/>
  <c r="X8" i="63"/>
  <c r="AA29" i="40"/>
  <c r="E30" i="63"/>
  <c r="L33" i="61"/>
  <c r="F24" i="64"/>
  <c r="AE24" i="63"/>
  <c r="W18" i="62"/>
  <c r="C14" i="62"/>
  <c r="Z21" i="61"/>
  <c r="T14" i="63"/>
  <c r="F33" i="62"/>
  <c r="K15" i="63"/>
  <c r="AI15" i="63"/>
  <c r="M11" i="62"/>
  <c r="V9" i="61"/>
  <c r="U14" i="64"/>
  <c r="AA22" i="62"/>
  <c r="D20" i="62"/>
  <c r="AG31" i="62"/>
  <c r="AB14" i="61"/>
  <c r="K24" i="63"/>
  <c r="R27" i="40"/>
  <c r="B9" i="62"/>
  <c r="AC32" i="63"/>
  <c r="AE28" i="62"/>
  <c r="AG22" i="62"/>
  <c r="W15" i="61"/>
  <c r="Y14" i="61"/>
  <c r="Y23" i="63"/>
  <c r="Y9" i="61"/>
  <c r="F12" i="61"/>
  <c r="W29" i="62"/>
  <c r="E14" i="63"/>
  <c r="AE18" i="62"/>
  <c r="AG28" i="40"/>
  <c r="J26" i="62"/>
  <c r="B8" i="63"/>
  <c r="Z27" i="63"/>
  <c r="S9" i="64"/>
  <c r="P15" i="64"/>
  <c r="AF20" i="61"/>
  <c r="AD28" i="61"/>
  <c r="S14" i="64"/>
  <c r="Y11" i="64"/>
  <c r="AA20" i="63"/>
  <c r="X12" i="61"/>
  <c r="AA24" i="61"/>
  <c r="T20" i="61"/>
  <c r="AB16" i="61"/>
  <c r="Q27" i="61"/>
  <c r="N12" i="64"/>
  <c r="V29" i="61"/>
  <c r="AF28" i="40"/>
  <c r="D9" i="63"/>
  <c r="T13" i="61"/>
  <c r="K13" i="62"/>
  <c r="AH22" i="61"/>
  <c r="AE11" i="61"/>
  <c r="AE18" i="61"/>
  <c r="AF9" i="66"/>
  <c r="AI12" i="63"/>
  <c r="M12" i="64"/>
  <c r="AD33" i="62"/>
  <c r="AA24" i="63"/>
  <c r="I17" i="66"/>
  <c r="R8" i="61"/>
  <c r="G8" i="40"/>
  <c r="X31" i="62"/>
  <c r="Y30" i="40"/>
  <c r="AE29" i="40"/>
  <c r="AH10" i="63"/>
  <c r="AH32" i="63"/>
  <c r="K17" i="61"/>
  <c r="Z9" i="62"/>
  <c r="R15" i="64"/>
  <c r="P30" i="40"/>
  <c r="J16" i="61"/>
  <c r="AI16" i="62"/>
  <c r="W32" i="66"/>
  <c r="Y28" i="61"/>
  <c r="AH11" i="66"/>
  <c r="AI32" i="63"/>
  <c r="AA28" i="62"/>
  <c r="F15" i="64"/>
  <c r="R30" i="62"/>
  <c r="H30" i="66"/>
  <c r="C25" i="61"/>
  <c r="Y20" i="40"/>
  <c r="AJ20" i="40" s="1"/>
  <c r="M15" i="62"/>
  <c r="U30" i="61"/>
  <c r="M7" i="61"/>
  <c r="AB11" i="62"/>
  <c r="M27" i="62"/>
  <c r="Z9" i="63"/>
  <c r="AF31" i="63"/>
  <c r="W28" i="64"/>
  <c r="AI26" i="61"/>
  <c r="M15" i="63"/>
  <c r="G17" i="61"/>
  <c r="T30" i="63"/>
  <c r="V12" i="25"/>
  <c r="V15" i="66"/>
  <c r="AH12" i="63"/>
  <c r="V27" i="66"/>
  <c r="AC7" i="63"/>
  <c r="C26" i="64"/>
  <c r="L33" i="66"/>
  <c r="V8" i="61"/>
  <c r="V13" i="66"/>
  <c r="W31" i="61"/>
  <c r="N12" i="61"/>
  <c r="M23" i="63"/>
  <c r="K24" i="64"/>
  <c r="W12" i="63"/>
  <c r="X33" i="62"/>
  <c r="B23" i="62"/>
  <c r="AG10" i="61"/>
  <c r="O25" i="62"/>
  <c r="AF33" i="63"/>
  <c r="E17" i="61"/>
  <c r="F20" i="63"/>
  <c r="S23" i="63"/>
  <c r="R13" i="63"/>
  <c r="H19" i="66"/>
  <c r="W25" i="61"/>
  <c r="P30" i="25"/>
  <c r="AJ30" i="25" s="1"/>
  <c r="D11" i="63"/>
  <c r="AE9" i="63"/>
  <c r="N19" i="66"/>
  <c r="J11" i="61"/>
  <c r="AC33" i="66"/>
  <c r="Z25" i="62"/>
  <c r="R29" i="63"/>
  <c r="R28" i="40"/>
  <c r="B22" i="64"/>
  <c r="L12" i="62"/>
  <c r="O10" i="64"/>
  <c r="AE30" i="40"/>
  <c r="AG20" i="62"/>
  <c r="X11" i="63"/>
  <c r="AI14" i="62"/>
  <c r="S25" i="63"/>
  <c r="G25" i="63"/>
  <c r="AB21" i="63"/>
  <c r="F17" i="64"/>
  <c r="AE33" i="63"/>
  <c r="J30" i="40"/>
  <c r="P18" i="61"/>
  <c r="Q11" i="63"/>
  <c r="L18" i="61"/>
  <c r="P12" i="62"/>
  <c r="K12" i="63"/>
  <c r="B23" i="63"/>
  <c r="C24" i="64"/>
  <c r="AH20" i="62"/>
  <c r="O13" i="62"/>
  <c r="K8" i="62"/>
  <c r="D22" i="61"/>
  <c r="B22" i="61"/>
  <c r="AG14" i="63"/>
  <c r="AI27" i="61"/>
  <c r="AD29" i="61"/>
  <c r="H12" i="61"/>
  <c r="AI22" i="62"/>
  <c r="O13" i="63"/>
  <c r="H29" i="62"/>
  <c r="C25" i="62"/>
  <c r="AI28" i="62"/>
  <c r="Y32" i="63"/>
  <c r="F10" i="62"/>
  <c r="AH32" i="61"/>
  <c r="AC13" i="62"/>
  <c r="AC10" i="61"/>
  <c r="AA28" i="61"/>
  <c r="T26" i="63"/>
  <c r="AB31" i="63"/>
  <c r="J22" i="61"/>
  <c r="AH21" i="63"/>
  <c r="AG7" i="63"/>
  <c r="J7" i="63"/>
  <c r="T23" i="63"/>
  <c r="O13" i="61"/>
  <c r="AI26" i="63"/>
  <c r="R27" i="64"/>
  <c r="O12" i="62"/>
  <c r="AA16" i="64"/>
  <c r="AE13" i="62"/>
  <c r="H9" i="64"/>
  <c r="M23" i="61"/>
  <c r="L17" i="61"/>
  <c r="S30" i="62"/>
  <c r="X18" i="64"/>
  <c r="B11" i="61"/>
  <c r="AC26" i="62"/>
  <c r="H30" i="62"/>
  <c r="X18" i="62"/>
  <c r="C7" i="63"/>
  <c r="Y11" i="62"/>
  <c r="F24" i="63"/>
  <c r="K27" i="62"/>
  <c r="D7" i="61"/>
  <c r="O16" i="64"/>
  <c r="U16" i="63"/>
  <c r="AH14" i="61"/>
  <c r="E20" i="61"/>
  <c r="E20" i="62"/>
  <c r="M15" i="64"/>
  <c r="I28" i="40"/>
  <c r="AI25" i="61"/>
  <c r="I13" i="61"/>
  <c r="AH16" i="61"/>
  <c r="Y32" i="61"/>
  <c r="B10" i="61"/>
  <c r="AH22" i="64"/>
  <c r="O26" i="64"/>
  <c r="Z16" i="64"/>
  <c r="AA25" i="62"/>
  <c r="L30" i="61"/>
  <c r="V13" i="62"/>
  <c r="G32" i="61"/>
  <c r="AD29" i="63"/>
  <c r="AC31" i="63"/>
  <c r="AF29" i="40"/>
  <c r="AH18" i="63"/>
  <c r="T32" i="62"/>
  <c r="W22" i="62"/>
  <c r="L21" i="62"/>
  <c r="O25" i="64"/>
  <c r="M24" i="66"/>
  <c r="M32" i="61"/>
  <c r="M24" i="40"/>
  <c r="AJ24" i="40" s="1"/>
  <c r="B28" i="40"/>
  <c r="J30" i="61"/>
  <c r="Q32" i="66"/>
  <c r="N21" i="63"/>
  <c r="F13" i="66"/>
  <c r="P11" i="63"/>
  <c r="H30" i="40"/>
  <c r="AF7" i="61"/>
  <c r="J12" i="61"/>
  <c r="P9" i="61"/>
  <c r="AH26" i="62"/>
  <c r="AE12" i="62"/>
  <c r="Z21" i="64"/>
  <c r="Z15" i="63"/>
  <c r="Y25" i="64"/>
  <c r="AB18" i="61"/>
  <c r="AI22" i="63"/>
  <c r="J25" i="61"/>
  <c r="AG22" i="66"/>
  <c r="T17" i="63"/>
  <c r="AB26" i="66"/>
  <c r="S20" i="66"/>
  <c r="AE7" i="62"/>
  <c r="P23" i="66"/>
  <c r="T28" i="61"/>
  <c r="S26" i="66"/>
  <c r="T33" i="61"/>
  <c r="AG21" i="61"/>
  <c r="U23" i="61"/>
  <c r="X17" i="64"/>
  <c r="AA28" i="63"/>
  <c r="Z12" i="63"/>
  <c r="I13" i="62"/>
  <c r="Z22" i="62"/>
  <c r="S11" i="61"/>
  <c r="AC13" i="63"/>
  <c r="B17" i="61"/>
  <c r="Z23" i="62"/>
  <c r="U29" i="61"/>
  <c r="AI27" i="40"/>
  <c r="Y22" i="61"/>
  <c r="P11" i="66"/>
  <c r="E30" i="62"/>
  <c r="C9" i="61"/>
  <c r="F32" i="62"/>
  <c r="AF31" i="61"/>
  <c r="X19" i="66"/>
  <c r="Q15" i="64"/>
  <c r="H20" i="25"/>
  <c r="H34" i="25" s="1"/>
  <c r="I22" i="62"/>
  <c r="I30" i="40"/>
  <c r="AA12" i="61"/>
  <c r="E30" i="64"/>
  <c r="AB8" i="62"/>
  <c r="M14" i="63"/>
  <c r="AE14" i="61"/>
  <c r="J13" i="62"/>
  <c r="F9" i="63"/>
  <c r="Y12" i="64"/>
  <c r="AA27" i="63"/>
  <c r="AC18" i="66"/>
  <c r="AF10" i="61"/>
  <c r="H25" i="63"/>
  <c r="X7" i="66"/>
  <c r="N19" i="61"/>
  <c r="I33" i="66"/>
  <c r="T27" i="63"/>
  <c r="AH24" i="61"/>
  <c r="J18" i="66"/>
  <c r="P23" i="61"/>
  <c r="K21" i="62"/>
  <c r="AD15" i="62"/>
  <c r="P14" i="62"/>
  <c r="R33" i="63"/>
  <c r="X27" i="64"/>
  <c r="T21" i="61"/>
  <c r="U21" i="63"/>
  <c r="J12" i="64"/>
  <c r="K7" i="62"/>
  <c r="B25" i="63"/>
  <c r="AA17" i="61"/>
  <c r="L32" i="63"/>
  <c r="Z33" i="63"/>
  <c r="P26" i="61"/>
  <c r="U26" i="63"/>
  <c r="R20" i="61"/>
  <c r="G26" i="62"/>
  <c r="S28" i="62"/>
  <c r="Y23" i="62"/>
  <c r="L21" i="61"/>
  <c r="J11" i="64"/>
  <c r="Q13" i="63"/>
  <c r="W21" i="62"/>
  <c r="H10" i="61"/>
  <c r="P12" i="61"/>
  <c r="Q19" i="62"/>
  <c r="I16" i="62"/>
  <c r="N27" i="62"/>
  <c r="H11" i="62"/>
  <c r="G24" i="63"/>
  <c r="S31" i="63"/>
  <c r="W21" i="63"/>
  <c r="U25" i="62"/>
  <c r="L26" i="61"/>
  <c r="F27" i="63"/>
  <c r="S12" i="61"/>
  <c r="AE11" i="63"/>
  <c r="C8" i="62"/>
  <c r="M29" i="62"/>
  <c r="N32" i="62"/>
  <c r="AH8" i="63"/>
  <c r="J22" i="63"/>
  <c r="AB22" i="62"/>
  <c r="V15" i="62"/>
  <c r="AB19" i="62"/>
  <c r="AH21" i="64"/>
  <c r="G20" i="63"/>
  <c r="J11" i="63"/>
  <c r="L20" i="63"/>
  <c r="N16" i="64"/>
  <c r="H28" i="62"/>
  <c r="Z20" i="61"/>
  <c r="R20" i="63"/>
  <c r="J26" i="63"/>
  <c r="C11" i="61"/>
  <c r="J7" i="61"/>
  <c r="L30" i="63"/>
  <c r="C9" i="63"/>
  <c r="E11" i="64"/>
  <c r="G31" i="62"/>
  <c r="R31" i="62"/>
  <c r="Z24" i="61"/>
  <c r="AC15" i="64"/>
  <c r="Y16" i="62"/>
  <c r="O8" i="64"/>
  <c r="Q27" i="40"/>
  <c r="Q12" i="61"/>
  <c r="O7" i="63"/>
  <c r="G21" i="63"/>
  <c r="C16" i="64"/>
  <c r="N14" i="61"/>
  <c r="T14" i="64"/>
  <c r="AE13" i="63"/>
  <c r="AC11" i="63"/>
  <c r="AD25" i="63"/>
  <c r="Z17" i="62"/>
  <c r="K23" i="62"/>
  <c r="H31" i="61"/>
  <c r="AB9" i="61"/>
  <c r="AH25" i="63"/>
  <c r="L9" i="62"/>
  <c r="AE31" i="63"/>
  <c r="Q16" i="63"/>
  <c r="N18" i="62"/>
  <c r="E28" i="64"/>
  <c r="AA15" i="61"/>
  <c r="AA32" i="63"/>
  <c r="AD7" i="62"/>
  <c r="AD31" i="63"/>
  <c r="T29" i="61"/>
  <c r="AF12" i="63"/>
  <c r="AI14" i="64"/>
  <c r="Y12" i="63"/>
  <c r="F26" i="61"/>
  <c r="S18" i="64"/>
  <c r="V33" i="62"/>
  <c r="F23" i="63"/>
  <c r="F9" i="61"/>
  <c r="C30" i="63"/>
  <c r="F15" i="61"/>
  <c r="AI25" i="64"/>
  <c r="AG10" i="62"/>
  <c r="AC20" i="66"/>
  <c r="AI16" i="66"/>
  <c r="R13" i="62"/>
  <c r="E33" i="66"/>
  <c r="AF18" i="63"/>
  <c r="AE14" i="66"/>
  <c r="N13" i="64"/>
  <c r="S26" i="62"/>
  <c r="E17" i="66"/>
  <c r="T19" i="61"/>
  <c r="AI14" i="63"/>
  <c r="N28" i="64"/>
  <c r="W28" i="40"/>
  <c r="AC12" i="62"/>
  <c r="H29" i="61"/>
  <c r="Y31" i="62"/>
  <c r="U8" i="63"/>
  <c r="N12" i="63"/>
  <c r="H8" i="61"/>
  <c r="M25" i="61"/>
  <c r="S7" i="63"/>
  <c r="AH28" i="63"/>
  <c r="AF7" i="64"/>
  <c r="P18" i="62"/>
  <c r="E22" i="66"/>
  <c r="AH28" i="61"/>
  <c r="AE17" i="62"/>
  <c r="T12" i="64"/>
  <c r="U10" i="64"/>
  <c r="Y22" i="66"/>
  <c r="W20" i="62"/>
  <c r="AG25" i="61"/>
  <c r="X27" i="61"/>
  <c r="AE30" i="63"/>
  <c r="Z26" i="62"/>
  <c r="J24" i="63"/>
  <c r="AF21" i="61"/>
  <c r="B16" i="63"/>
  <c r="U7" i="63"/>
  <c r="B8" i="62"/>
  <c r="K9" i="62"/>
  <c r="G30" i="61"/>
  <c r="I22" i="63"/>
  <c r="AI23" i="62"/>
  <c r="N29" i="64"/>
  <c r="O12" i="66"/>
  <c r="R27" i="62"/>
  <c r="V7" i="66"/>
  <c r="Y13" i="62"/>
  <c r="AG31" i="25"/>
  <c r="AG34" i="25" s="1"/>
  <c r="B15" i="66"/>
  <c r="I22" i="61"/>
  <c r="P20" i="66"/>
  <c r="E7" i="61"/>
  <c r="AH25" i="61"/>
  <c r="L15" i="62"/>
  <c r="AD33" i="61"/>
  <c r="F20" i="61"/>
  <c r="AD17" i="63"/>
  <c r="N19" i="62"/>
  <c r="E11" i="61"/>
  <c r="AF14" i="64"/>
  <c r="U28" i="63"/>
  <c r="AE23" i="64"/>
  <c r="AC15" i="63"/>
  <c r="W14" i="63"/>
  <c r="D7" i="62"/>
  <c r="F12" i="66"/>
  <c r="AA17" i="63"/>
  <c r="AD29" i="64"/>
  <c r="AB21" i="61"/>
  <c r="F19" i="64"/>
  <c r="AD31" i="62"/>
  <c r="D33" i="62"/>
  <c r="AE10" i="66"/>
  <c r="D26" i="62"/>
  <c r="M31" i="61"/>
  <c r="F31" i="61"/>
  <c r="G19" i="62"/>
  <c r="E31" i="61"/>
  <c r="W7" i="61"/>
  <c r="K29" i="63"/>
  <c r="AC12" i="61"/>
  <c r="G22" i="63"/>
  <c r="W21" i="64"/>
  <c r="AE15" i="63"/>
  <c r="D31" i="63"/>
  <c r="X14" i="61"/>
  <c r="P15" i="62"/>
  <c r="AG11" i="62"/>
  <c r="N30" i="40"/>
  <c r="C26" i="62"/>
  <c r="H20" i="63"/>
  <c r="F12" i="62"/>
  <c r="P24" i="61"/>
  <c r="Z31" i="61"/>
  <c r="AE26" i="63"/>
  <c r="B11" i="62"/>
  <c r="R22" i="62"/>
  <c r="S10" i="64"/>
  <c r="Q16" i="61"/>
  <c r="AI28" i="61"/>
  <c r="W29" i="61"/>
  <c r="AF24" i="62"/>
  <c r="Y7" i="63"/>
  <c r="J33" i="61"/>
  <c r="O17" i="62"/>
  <c r="Q21" i="61"/>
  <c r="S11" i="62"/>
  <c r="AC30" i="63"/>
  <c r="AH14" i="63"/>
  <c r="F9" i="64"/>
  <c r="K17" i="64"/>
  <c r="W29" i="40"/>
  <c r="AB27" i="62"/>
  <c r="J21" i="61"/>
  <c r="AE8" i="64"/>
  <c r="AI19" i="63"/>
  <c r="C29" i="62"/>
  <c r="M14" i="61"/>
  <c r="K18" i="64"/>
  <c r="G10" i="62"/>
  <c r="Y31" i="61"/>
  <c r="R28" i="62"/>
  <c r="R11" i="64"/>
  <c r="D12" i="63"/>
  <c r="G33" i="61"/>
  <c r="P13" i="62"/>
  <c r="AF19" i="61"/>
  <c r="K9" i="61"/>
  <c r="AI24" i="62"/>
  <c r="R22" i="61"/>
  <c r="AA8" i="61"/>
  <c r="Y15" i="64"/>
  <c r="E27" i="40"/>
  <c r="AI20" i="61"/>
  <c r="H26" i="63"/>
  <c r="Q29" i="40"/>
  <c r="C17" i="64"/>
  <c r="G20" i="61"/>
  <c r="V17" i="62"/>
  <c r="AE25" i="63"/>
  <c r="K23" i="63"/>
  <c r="X9" i="63"/>
  <c r="N15" i="62"/>
  <c r="Z8" i="62"/>
  <c r="S22" i="63"/>
  <c r="G22" i="62"/>
  <c r="K26" i="62"/>
  <c r="AD23" i="64"/>
  <c r="N20" i="61"/>
  <c r="AI9" i="61"/>
  <c r="V24" i="62"/>
  <c r="O22" i="62"/>
  <c r="C13" i="64"/>
  <c r="AI28" i="40"/>
  <c r="AA18" i="64"/>
  <c r="T20" i="62"/>
  <c r="M31" i="62"/>
  <c r="M16" i="61"/>
  <c r="G23" i="62"/>
  <c r="AG12" i="63"/>
  <c r="N24" i="64"/>
  <c r="X13" i="63"/>
  <c r="Z13" i="62"/>
  <c r="B28" i="62"/>
  <c r="E12" i="63"/>
  <c r="W27" i="61"/>
  <c r="Q8" i="63"/>
  <c r="K8" i="64"/>
  <c r="H26" i="66"/>
  <c r="AB7" i="64"/>
  <c r="AA23" i="61"/>
  <c r="H19" i="62"/>
  <c r="AC21" i="63"/>
  <c r="L18" i="62"/>
  <c r="B22" i="63"/>
  <c r="I24" i="66"/>
  <c r="AI7" i="62"/>
  <c r="AI24" i="61"/>
  <c r="H31" i="62"/>
  <c r="M32" i="62"/>
  <c r="V23" i="64"/>
  <c r="Q25" i="62"/>
  <c r="AG9" i="62"/>
  <c r="W25" i="63"/>
  <c r="C22" i="62"/>
  <c r="AC21" i="64"/>
  <c r="K25" i="62"/>
  <c r="U14" i="62"/>
  <c r="M28" i="62"/>
  <c r="AH15" i="66"/>
  <c r="Y23" i="61"/>
  <c r="P32" i="25"/>
  <c r="AJ32" i="25" s="1"/>
  <c r="AH13" i="61"/>
  <c r="D17" i="63"/>
  <c r="AA31" i="66"/>
  <c r="AA14" i="61"/>
  <c r="AC8" i="66"/>
  <c r="G16" i="63"/>
  <c r="AF10" i="62"/>
  <c r="F16" i="63"/>
  <c r="D24" i="64"/>
  <c r="Y26" i="61"/>
  <c r="N25" i="63"/>
  <c r="H26" i="64"/>
  <c r="I27" i="63"/>
  <c r="W30" i="62"/>
  <c r="G15" i="64"/>
  <c r="AG19" i="63"/>
  <c r="T18" i="63"/>
  <c r="K12" i="66"/>
  <c r="Z27" i="40"/>
  <c r="V13" i="63"/>
  <c r="AC21" i="66"/>
  <c r="W15" i="63"/>
  <c r="U16" i="66"/>
  <c r="H30" i="61"/>
  <c r="U33" i="62"/>
  <c r="AD8" i="66"/>
  <c r="E21" i="63"/>
  <c r="J25" i="63"/>
  <c r="Y29" i="63"/>
  <c r="M21" i="63"/>
  <c r="C21" i="63"/>
  <c r="M26" i="62"/>
  <c r="F11" i="63"/>
  <c r="AF9" i="63"/>
  <c r="T28" i="63"/>
  <c r="C14" i="63"/>
  <c r="AI21" i="62"/>
  <c r="K28" i="61"/>
  <c r="J29" i="63"/>
  <c r="Q9" i="25"/>
  <c r="AD18" i="66"/>
  <c r="H28" i="40"/>
  <c r="AG14" i="66"/>
  <c r="J24" i="62"/>
  <c r="AB30" i="66"/>
  <c r="Q11" i="66"/>
  <c r="E17" i="25"/>
  <c r="AJ17" i="25" s="1"/>
  <c r="B12" i="66"/>
  <c r="I25" i="63"/>
  <c r="Q17" i="61"/>
  <c r="I7" i="61"/>
  <c r="Y22" i="62"/>
  <c r="L20" i="62"/>
  <c r="AC30" i="61"/>
  <c r="X21" i="63"/>
  <c r="V14" i="61"/>
  <c r="T18" i="62"/>
  <c r="AG26" i="61"/>
  <c r="Y21" i="63"/>
  <c r="W9" i="62"/>
  <c r="Q24" i="61"/>
  <c r="K22" i="62"/>
  <c r="Q9" i="61"/>
  <c r="AD7" i="63"/>
  <c r="T23" i="61"/>
  <c r="H23" i="62"/>
  <c r="K20" i="64"/>
  <c r="M20" i="63"/>
  <c r="Z27" i="64"/>
  <c r="Z12" i="61"/>
  <c r="AA29" i="63"/>
  <c r="AH13" i="62"/>
  <c r="N33" i="63"/>
  <c r="AD12" i="63"/>
  <c r="Y30" i="62"/>
  <c r="W32" i="63"/>
  <c r="U27" i="61"/>
  <c r="AA16" i="63"/>
  <c r="M19" i="64"/>
  <c r="AG32" i="62"/>
  <c r="N12" i="62"/>
  <c r="Q30" i="62"/>
  <c r="AH27" i="61"/>
  <c r="AD18" i="63"/>
  <c r="AC18" i="62"/>
  <c r="I25" i="62"/>
  <c r="AG23" i="62"/>
  <c r="T16" i="62"/>
  <c r="T8" i="63"/>
  <c r="D10" i="61"/>
  <c r="V10" i="61"/>
  <c r="AA31" i="63"/>
  <c r="J17" i="64"/>
  <c r="B15" i="61"/>
  <c r="C8" i="63"/>
  <c r="Y20" i="62"/>
  <c r="AD23" i="61"/>
  <c r="F7" i="61"/>
  <c r="AH27" i="63"/>
  <c r="G24" i="61"/>
  <c r="Q21" i="62"/>
  <c r="V26" i="64"/>
  <c r="AF13" i="63"/>
  <c r="O22" i="61"/>
  <c r="U8" i="61"/>
  <c r="AB14" i="63"/>
  <c r="Z29" i="61"/>
  <c r="AA24" i="62"/>
  <c r="V18" i="62"/>
  <c r="AC11" i="62"/>
  <c r="P21" i="61"/>
  <c r="AG11" i="64"/>
  <c r="B21" i="63"/>
  <c r="AE16" i="64"/>
  <c r="R24" i="62"/>
  <c r="F14" i="61"/>
  <c r="H22" i="61"/>
  <c r="T10" i="62"/>
  <c r="Z22" i="63"/>
  <c r="W20" i="61"/>
  <c r="AB15" i="61"/>
  <c r="N28" i="40"/>
  <c r="AA21" i="64"/>
  <c r="Q12" i="63"/>
  <c r="AD10" i="63"/>
  <c r="O11" i="61"/>
  <c r="T27" i="61"/>
  <c r="R19" i="61"/>
  <c r="Z10" i="63"/>
  <c r="D7" i="63"/>
  <c r="AI8" i="63"/>
  <c r="AB28" i="63"/>
  <c r="AA28" i="40"/>
  <c r="U10" i="63"/>
  <c r="B29" i="63"/>
  <c r="T9" i="61"/>
  <c r="T30" i="62"/>
  <c r="F27" i="64"/>
  <c r="AA31" i="61"/>
  <c r="V29" i="62"/>
  <c r="S17" i="62"/>
  <c r="H28" i="63"/>
  <c r="AF16" i="64"/>
  <c r="AD9" i="66"/>
  <c r="T7" i="63"/>
  <c r="B17" i="66"/>
  <c r="T24" i="62"/>
  <c r="Q10" i="25"/>
  <c r="Q31" i="66"/>
  <c r="AF30" i="40"/>
  <c r="M12" i="66"/>
  <c r="K16" i="62"/>
  <c r="F23" i="62"/>
  <c r="AB22" i="64"/>
  <c r="K24" i="61"/>
  <c r="B13" i="61"/>
  <c r="E29" i="40"/>
  <c r="AI31" i="63"/>
  <c r="W26" i="62"/>
  <c r="Z9" i="61"/>
  <c r="AC30" i="62"/>
  <c r="V32" i="61"/>
  <c r="AH7" i="64"/>
  <c r="K18" i="66"/>
  <c r="H14" i="66"/>
  <c r="W24" i="61"/>
  <c r="O33" i="66"/>
  <c r="L13" i="61"/>
  <c r="B7" i="66"/>
  <c r="S14" i="66"/>
  <c r="AH8" i="61"/>
  <c r="H32" i="66"/>
  <c r="AB19" i="64"/>
  <c r="T22" i="63"/>
  <c r="AF10" i="64"/>
  <c r="H14" i="62"/>
  <c r="C9" i="64"/>
  <c r="S10" i="62"/>
  <c r="V12" i="61"/>
  <c r="M21" i="61"/>
  <c r="W11" i="62"/>
  <c r="T19" i="63"/>
  <c r="AI9" i="64"/>
  <c r="J14" i="61"/>
  <c r="B33" i="62"/>
  <c r="G11" i="62"/>
  <c r="U22" i="63"/>
  <c r="M28" i="66"/>
  <c r="Q28" i="61"/>
  <c r="L25" i="25"/>
  <c r="AJ25" i="25" s="1"/>
  <c r="V24" i="61"/>
  <c r="U21" i="62"/>
  <c r="N17" i="62"/>
  <c r="E9" i="61"/>
  <c r="AC12" i="66"/>
  <c r="AI18" i="64"/>
  <c r="AB9" i="62"/>
  <c r="X20" i="62"/>
  <c r="P13" i="64"/>
  <c r="S13" i="61"/>
  <c r="M30" i="64"/>
  <c r="V17" i="64"/>
  <c r="AB7" i="63"/>
  <c r="AH11" i="61"/>
  <c r="AF25" i="64"/>
  <c r="H29" i="64"/>
  <c r="O10" i="66"/>
  <c r="AC27" i="62"/>
  <c r="E24" i="61"/>
  <c r="L19" i="66"/>
  <c r="AA21" i="62"/>
  <c r="D13" i="66"/>
  <c r="P33" i="63"/>
  <c r="N32" i="61"/>
  <c r="V15" i="63"/>
  <c r="AI8" i="61"/>
  <c r="N29" i="63"/>
  <c r="X25" i="61"/>
  <c r="M13" i="63"/>
  <c r="AH11" i="62"/>
  <c r="AG32" i="63"/>
  <c r="S17" i="63"/>
  <c r="N11" i="64"/>
  <c r="P26" i="62"/>
  <c r="AF26" i="62"/>
  <c r="J28" i="40"/>
  <c r="R30" i="40"/>
  <c r="L26" i="64"/>
  <c r="AH19" i="61"/>
  <c r="T27" i="62"/>
  <c r="K19" i="61"/>
  <c r="I7" i="62"/>
  <c r="F13" i="61"/>
  <c r="C10" i="64"/>
  <c r="I23" i="63"/>
  <c r="H27" i="62"/>
  <c r="AH19" i="63"/>
  <c r="N11" i="62"/>
  <c r="AD28" i="40"/>
  <c r="W13" i="63"/>
  <c r="N22" i="61"/>
  <c r="U30" i="63"/>
  <c r="G27" i="63"/>
  <c r="AD25" i="61"/>
  <c r="AF29" i="62"/>
  <c r="M14" i="62"/>
  <c r="K18" i="63"/>
  <c r="K14" i="64"/>
  <c r="V28" i="63"/>
  <c r="H7" i="63"/>
  <c r="F15" i="62"/>
  <c r="C32" i="62"/>
  <c r="J10" i="61"/>
  <c r="I8" i="61"/>
  <c r="C23" i="63"/>
  <c r="X10" i="61"/>
  <c r="D13" i="64"/>
  <c r="D28" i="61"/>
  <c r="AE10" i="62"/>
  <c r="AF8" i="62"/>
  <c r="P28" i="63"/>
  <c r="AH16" i="62"/>
  <c r="F22" i="62"/>
  <c r="AD8" i="62"/>
  <c r="B14" i="62"/>
  <c r="I14" i="62"/>
  <c r="C13" i="62"/>
  <c r="T22" i="61"/>
  <c r="L28" i="63"/>
  <c r="AH11" i="63"/>
  <c r="D32" i="61"/>
  <c r="O25" i="63"/>
  <c r="Y14" i="63"/>
  <c r="B16" i="64"/>
  <c r="H19" i="61"/>
  <c r="AC31" i="61"/>
  <c r="N17" i="61"/>
  <c r="G9" i="64"/>
  <c r="O27" i="62"/>
  <c r="AD20" i="62"/>
  <c r="AB20" i="62"/>
  <c r="AG27" i="62"/>
  <c r="AH30" i="40"/>
  <c r="P32" i="63"/>
  <c r="M20" i="62"/>
  <c r="F18" i="62"/>
  <c r="AH23" i="62"/>
  <c r="AH20" i="61"/>
  <c r="J18" i="63"/>
  <c r="O8" i="62"/>
  <c r="X11" i="61"/>
  <c r="Y8" i="62"/>
  <c r="V30" i="61"/>
  <c r="Z15" i="64"/>
  <c r="AF23" i="61"/>
  <c r="E21" i="64"/>
  <c r="Z22" i="61"/>
  <c r="C23" i="62"/>
  <c r="Y23" i="64"/>
  <c r="O31" i="62"/>
  <c r="U20" i="62"/>
  <c r="AI29" i="63"/>
  <c r="E31" i="62"/>
  <c r="L21" i="64"/>
  <c r="Q15" i="61"/>
  <c r="I27" i="61"/>
  <c r="Y19" i="61"/>
  <c r="M26" i="63"/>
  <c r="G16" i="62"/>
  <c r="V19" i="61"/>
  <c r="R29" i="62"/>
  <c r="G7" i="61"/>
  <c r="Y13" i="61"/>
  <c r="Z31" i="62"/>
  <c r="S21" i="66"/>
  <c r="B7" i="62"/>
  <c r="M14" i="66"/>
  <c r="B15" i="62"/>
  <c r="G26" i="61"/>
  <c r="X28" i="63"/>
  <c r="S19" i="61"/>
  <c r="AB28" i="61"/>
  <c r="B11" i="63"/>
  <c r="U18" i="61"/>
  <c r="O9" i="61"/>
  <c r="I19" i="62"/>
  <c r="AC11" i="61"/>
  <c r="D11" i="61"/>
  <c r="V28" i="61"/>
  <c r="AB13" i="62"/>
  <c r="M9" i="62"/>
  <c r="W9" i="61"/>
  <c r="M24" i="63"/>
  <c r="AA19" i="63"/>
  <c r="AF28" i="63"/>
  <c r="D7" i="66"/>
  <c r="AC22" i="62"/>
  <c r="X12" i="63"/>
  <c r="B12" i="64"/>
  <c r="B17" i="63"/>
  <c r="AC26" i="66"/>
  <c r="X26" i="64"/>
  <c r="I16" i="25"/>
  <c r="AJ16" i="25" s="1"/>
  <c r="U7" i="64"/>
  <c r="AC7" i="61"/>
  <c r="V14" i="62"/>
  <c r="AG13" i="61"/>
  <c r="AC12" i="63"/>
  <c r="AE13" i="61"/>
  <c r="V11" i="61"/>
  <c r="AE30" i="62"/>
  <c r="AG27" i="61"/>
  <c r="AE29" i="61"/>
  <c r="AB17" i="61"/>
  <c r="AA33" i="61"/>
  <c r="F22" i="66"/>
  <c r="V19" i="66"/>
  <c r="U32" i="61"/>
  <c r="R17" i="66"/>
  <c r="X11" i="62"/>
  <c r="V18" i="66"/>
  <c r="AG12" i="66"/>
  <c r="AB25" i="64"/>
  <c r="AF28" i="66"/>
  <c r="S10" i="63"/>
  <c r="U32" i="62"/>
  <c r="C8" i="61"/>
  <c r="V27" i="63"/>
  <c r="O21" i="62"/>
  <c r="Z12" i="62"/>
  <c r="AA7" i="63"/>
  <c r="S26" i="61"/>
  <c r="T31" i="62"/>
  <c r="AA24" i="64"/>
  <c r="Q18" i="61"/>
  <c r="AG22" i="61"/>
  <c r="AH7" i="61"/>
  <c r="V29" i="25"/>
  <c r="AJ29" i="25" s="1"/>
  <c r="AD11" i="61"/>
  <c r="F30" i="40"/>
  <c r="AD19" i="66"/>
  <c r="V10" i="63"/>
  <c r="X22" i="25"/>
  <c r="AJ22" i="25" s="1"/>
  <c r="D9" i="62"/>
  <c r="X10" i="64"/>
  <c r="G9" i="66"/>
  <c r="AH17" i="64"/>
  <c r="T13" i="62"/>
  <c r="AE18" i="64"/>
  <c r="AG25" i="62"/>
  <c r="AG27" i="63"/>
  <c r="AC33" i="63"/>
  <c r="I26" i="61"/>
  <c r="F13" i="64"/>
  <c r="U17" i="62"/>
  <c r="K12" i="62"/>
  <c r="S20" i="63"/>
  <c r="G14" i="61"/>
  <c r="N27" i="40"/>
  <c r="M9" i="63"/>
  <c r="Y27" i="61"/>
  <c r="V20" i="61"/>
  <c r="N27" i="61"/>
  <c r="N21" i="62"/>
  <c r="AB7" i="62"/>
  <c r="F33" i="61"/>
  <c r="W11" i="63"/>
  <c r="T29" i="63"/>
  <c r="L14" i="62"/>
  <c r="W16" i="61"/>
  <c r="Q10" i="62"/>
  <c r="J19" i="63"/>
  <c r="Y15" i="61"/>
  <c r="X14" i="62"/>
  <c r="V16" i="61"/>
  <c r="R22" i="63"/>
  <c r="H29" i="63"/>
  <c r="P19" i="62"/>
  <c r="I31" i="62"/>
  <c r="J16" i="63"/>
  <c r="J21" i="62"/>
  <c r="AE29" i="62"/>
  <c r="AB14" i="64"/>
  <c r="C33" i="62"/>
  <c r="AI19" i="61"/>
  <c r="E21" i="61"/>
  <c r="W32" i="61"/>
  <c r="D30" i="63"/>
  <c r="M33" i="63"/>
  <c r="AC30" i="40"/>
  <c r="S21" i="61"/>
  <c r="AE13" i="64"/>
  <c r="S23" i="64"/>
  <c r="AA26" i="63"/>
  <c r="L22" i="64"/>
  <c r="AB19" i="61"/>
  <c r="G28" i="63"/>
  <c r="C31" i="63"/>
  <c r="K9" i="63"/>
  <c r="U7" i="61"/>
  <c r="AF20" i="63"/>
  <c r="AG24" i="63"/>
  <c r="L11" i="64"/>
  <c r="R32" i="61"/>
  <c r="R8" i="63"/>
  <c r="P7" i="64"/>
  <c r="F28" i="62"/>
  <c r="AD28" i="63"/>
  <c r="J32" i="63"/>
  <c r="N7" i="61"/>
  <c r="AE24" i="62"/>
  <c r="X14" i="64"/>
  <c r="T15" i="62"/>
  <c r="F29" i="62"/>
  <c r="Q14" i="61"/>
  <c r="T15" i="61"/>
  <c r="X18" i="63"/>
  <c r="N22" i="62"/>
  <c r="Q33" i="63"/>
  <c r="G19" i="63"/>
  <c r="R17" i="63"/>
  <c r="L31" i="62"/>
  <c r="X26" i="63"/>
  <c r="Y21" i="61"/>
  <c r="AC13" i="61"/>
  <c r="AF30" i="61"/>
  <c r="B26" i="61"/>
  <c r="V30" i="40"/>
  <c r="E32" i="62"/>
  <c r="AB23" i="61"/>
  <c r="M16" i="63"/>
  <c r="D28" i="40"/>
  <c r="T32" i="63"/>
  <c r="E27" i="63"/>
  <c r="K20" i="62"/>
  <c r="M10" i="61"/>
  <c r="L26" i="63"/>
  <c r="I28" i="64"/>
  <c r="I10" i="61"/>
  <c r="U23" i="63"/>
  <c r="T18" i="66"/>
  <c r="X7" i="61"/>
  <c r="O9" i="62"/>
  <c r="C20" i="63"/>
  <c r="P30" i="61"/>
  <c r="L20" i="66"/>
  <c r="C17" i="62"/>
  <c r="T31" i="63"/>
  <c r="Q31" i="61"/>
  <c r="AF33" i="61"/>
  <c r="N15" i="63"/>
  <c r="F30" i="61"/>
  <c r="AF17" i="63"/>
  <c r="M30" i="61"/>
  <c r="AG30" i="63"/>
  <c r="L15" i="61"/>
  <c r="K15" i="61"/>
  <c r="R23" i="62"/>
  <c r="Y13" i="64"/>
  <c r="AG26" i="66"/>
  <c r="F19" i="63"/>
  <c r="L24" i="66"/>
  <c r="N20" i="64"/>
  <c r="AE13" i="25"/>
  <c r="AE34" i="25" s="1"/>
  <c r="AI22" i="66"/>
  <c r="C23" i="64"/>
  <c r="P31" i="66"/>
  <c r="Z30" i="61"/>
  <c r="R26" i="62"/>
  <c r="U30" i="40"/>
  <c r="U13" i="62"/>
  <c r="V24" i="64"/>
  <c r="V19" i="63"/>
  <c r="F12" i="64"/>
  <c r="AE22" i="62"/>
  <c r="U19" i="61"/>
  <c r="AF15" i="62"/>
  <c r="B9" i="63"/>
  <c r="N25" i="61"/>
  <c r="Z9" i="66"/>
  <c r="G29" i="63"/>
  <c r="AC31" i="62"/>
  <c r="B24" i="66"/>
  <c r="AF19" i="62"/>
  <c r="AH18" i="66"/>
  <c r="L9" i="64"/>
  <c r="C16" i="62"/>
  <c r="M11" i="61"/>
  <c r="V32" i="62"/>
  <c r="N23" i="61"/>
  <c r="O17" i="63"/>
  <c r="AD28" i="62"/>
  <c r="AA20" i="62"/>
  <c r="G8" i="63"/>
  <c r="K16" i="63"/>
  <c r="Z19" i="61"/>
  <c r="Z28" i="61"/>
  <c r="Z24" i="63"/>
  <c r="V18" i="61"/>
  <c r="T10" i="61"/>
  <c r="P23" i="62"/>
  <c r="AA26" i="66"/>
  <c r="F20" i="62"/>
  <c r="AA9" i="40"/>
  <c r="L27" i="66"/>
  <c r="O33" i="61"/>
  <c r="K15" i="66"/>
  <c r="Q29" i="63"/>
  <c r="D8" i="66"/>
  <c r="AF17" i="61"/>
  <c r="Y14" i="62"/>
  <c r="AG18" i="61"/>
  <c r="M30" i="40"/>
  <c r="O28" i="62"/>
  <c r="AH33" i="62"/>
  <c r="V23" i="61"/>
  <c r="X13" i="61"/>
  <c r="U30" i="64"/>
  <c r="AI17" i="64"/>
  <c r="D33" i="61"/>
  <c r="AE12" i="64"/>
  <c r="F14" i="63"/>
  <c r="G9" i="61"/>
  <c r="G27" i="40"/>
  <c r="U31" i="62"/>
  <c r="AD16" i="63"/>
  <c r="X32" i="61"/>
  <c r="N17" i="64"/>
  <c r="N24" i="62"/>
  <c r="R30" i="61"/>
  <c r="O16" i="62"/>
  <c r="C27" i="40"/>
  <c r="T10" i="63"/>
  <c r="H31" i="63"/>
  <c r="M25" i="64"/>
  <c r="W26" i="61"/>
  <c r="AB10" i="64"/>
  <c r="L25" i="63"/>
  <c r="Q19" i="61"/>
  <c r="L31" i="63"/>
  <c r="T22" i="64"/>
  <c r="AC27" i="40"/>
  <c r="AG12" i="62"/>
  <c r="F31" i="62"/>
  <c r="U20" i="63"/>
  <c r="E13" i="61"/>
  <c r="R8" i="64"/>
  <c r="Q22" i="62"/>
  <c r="N16" i="62"/>
  <c r="Y10" i="63"/>
  <c r="B15" i="63"/>
  <c r="AI10" i="62"/>
  <c r="W8" i="63"/>
  <c r="AA18" i="62"/>
  <c r="G13" i="61"/>
  <c r="V30" i="63"/>
  <c r="G28" i="62"/>
  <c r="I28" i="63"/>
  <c r="H21" i="62"/>
  <c r="N11" i="63"/>
  <c r="AE9" i="62"/>
  <c r="Q12" i="62"/>
  <c r="P11" i="64"/>
  <c r="AF28" i="62"/>
  <c r="M9" i="61"/>
  <c r="AB9" i="63"/>
  <c r="AH20" i="63"/>
  <c r="P10" i="64"/>
  <c r="Y24" i="63"/>
  <c r="E25" i="64"/>
  <c r="R27" i="63"/>
  <c r="J7" i="62"/>
  <c r="E15" i="63"/>
  <c r="AG26" i="62"/>
  <c r="O19" i="63"/>
  <c r="W22" i="61"/>
  <c r="R9" i="61"/>
  <c r="AA14" i="64"/>
  <c r="R29" i="61"/>
  <c r="AD32" i="61"/>
  <c r="Z23" i="63"/>
  <c r="I9" i="63"/>
  <c r="S33" i="63"/>
  <c r="M27" i="40"/>
  <c r="R14" i="62"/>
  <c r="F25" i="62"/>
  <c r="V8" i="62"/>
  <c r="J29" i="61"/>
  <c r="B24" i="62"/>
  <c r="X24" i="64"/>
  <c r="K13" i="64"/>
  <c r="G23" i="63"/>
  <c r="W22" i="63"/>
  <c r="AA17" i="62"/>
  <c r="AI21" i="61"/>
  <c r="Z10" i="61"/>
  <c r="AG12" i="61"/>
  <c r="D20" i="64"/>
  <c r="AE31" i="62"/>
  <c r="C26" i="63"/>
  <c r="AG32" i="61"/>
  <c r="G21" i="61"/>
  <c r="H32" i="61"/>
  <c r="G31" i="63"/>
  <c r="L11" i="66"/>
  <c r="B32" i="62"/>
  <c r="O10" i="63"/>
  <c r="E15" i="66"/>
  <c r="V33" i="61"/>
  <c r="S17" i="66"/>
  <c r="Q32" i="62"/>
  <c r="G32" i="66"/>
  <c r="X33" i="66"/>
  <c r="M10" i="64"/>
  <c r="AH26" i="63"/>
  <c r="I29" i="63"/>
  <c r="AC15" i="62"/>
  <c r="I24" i="61"/>
  <c r="AE8" i="62"/>
  <c r="T20" i="64"/>
  <c r="H18" i="63"/>
  <c r="AB26" i="63"/>
  <c r="AE17" i="61"/>
  <c r="V11" i="64"/>
  <c r="I29" i="40"/>
  <c r="J28" i="66"/>
  <c r="J16" i="62"/>
  <c r="H18" i="62"/>
  <c r="AE8" i="66"/>
  <c r="AH33" i="63"/>
  <c r="AI32" i="66"/>
  <c r="N9" i="62"/>
  <c r="W27" i="62"/>
  <c r="AC25" i="61"/>
  <c r="N33" i="61"/>
  <c r="AG18" i="64"/>
  <c r="L13" i="62"/>
  <c r="O19" i="61"/>
  <c r="O14" i="64"/>
  <c r="AD20" i="63"/>
  <c r="AD7" i="64"/>
  <c r="AB27" i="63"/>
  <c r="T26" i="62"/>
  <c r="L25" i="62"/>
  <c r="J13" i="64"/>
  <c r="AA13" i="64"/>
  <c r="Y25" i="63"/>
  <c r="AB25" i="63"/>
  <c r="AA22" i="40"/>
  <c r="AJ22" i="40" s="1"/>
  <c r="AD18" i="61"/>
  <c r="AG17" i="62"/>
  <c r="AB27" i="66"/>
  <c r="C20" i="64"/>
  <c r="W24" i="25"/>
  <c r="AJ24" i="25" s="1"/>
  <c r="U16" i="62"/>
  <c r="M25" i="63"/>
  <c r="AI19" i="66"/>
  <c r="J29" i="62"/>
  <c r="J30" i="62"/>
  <c r="Z19" i="62"/>
  <c r="I20" i="62"/>
  <c r="H19" i="63"/>
  <c r="C20" i="62"/>
  <c r="AF12" i="61"/>
  <c r="N14" i="62"/>
  <c r="AD7" i="61"/>
  <c r="AH9" i="62"/>
  <c r="L14" i="64"/>
  <c r="Z25" i="66"/>
  <c r="H17" i="61"/>
  <c r="AG9" i="61"/>
  <c r="P24" i="62"/>
  <c r="E12" i="62"/>
  <c r="I12" i="66"/>
  <c r="R25" i="61"/>
  <c r="V15" i="61"/>
  <c r="S27" i="61"/>
  <c r="K27" i="63"/>
  <c r="D14" i="62"/>
  <c r="AB14" i="62"/>
  <c r="K29" i="62"/>
  <c r="AC10" i="62"/>
  <c r="E10" i="63"/>
  <c r="D13" i="61"/>
  <c r="F16" i="61"/>
  <c r="S23" i="61"/>
  <c r="AC28" i="61"/>
  <c r="L29" i="61"/>
  <c r="X23" i="61"/>
  <c r="C31" i="62"/>
  <c r="G8" i="64"/>
  <c r="L33" i="62"/>
  <c r="W20" i="63"/>
  <c r="J7" i="64"/>
  <c r="P10" i="61"/>
  <c r="H13" i="61"/>
  <c r="Y7" i="61"/>
  <c r="M22" i="62"/>
  <c r="U29" i="62"/>
  <c r="D12" i="62"/>
  <c r="V16" i="64"/>
  <c r="P16" i="63"/>
  <c r="U8" i="62"/>
  <c r="F10" i="63"/>
  <c r="AH9" i="63"/>
  <c r="C11" i="62"/>
  <c r="X24" i="61"/>
  <c r="U32" i="63"/>
  <c r="AD26" i="62"/>
  <c r="K28" i="62"/>
  <c r="G24" i="62"/>
  <c r="F25" i="63"/>
  <c r="Q9" i="63"/>
  <c r="AE17" i="63"/>
  <c r="K32" i="61"/>
  <c r="P27" i="62"/>
  <c r="R15" i="61"/>
  <c r="H9" i="63"/>
  <c r="Z18" i="61"/>
  <c r="P20" i="64"/>
  <c r="AD22" i="64"/>
  <c r="H9" i="61"/>
  <c r="P23" i="63"/>
  <c r="C14" i="64"/>
  <c r="G18" i="64"/>
  <c r="W23" i="61"/>
  <c r="L16" i="61"/>
  <c r="Z14" i="63"/>
  <c r="AH23" i="61"/>
  <c r="O29" i="63"/>
  <c r="AE21" i="63"/>
  <c r="O29" i="62"/>
  <c r="AC10" i="64"/>
  <c r="I32" i="62"/>
  <c r="S21" i="63"/>
  <c r="AE25" i="61"/>
  <c r="C28" i="61"/>
  <c r="E14" i="62"/>
  <c r="I28" i="62"/>
  <c r="K16" i="64"/>
  <c r="Q30" i="64"/>
  <c r="S16" i="63"/>
  <c r="O33" i="63"/>
  <c r="P14" i="63"/>
  <c r="U26" i="61"/>
  <c r="V13" i="61"/>
  <c r="Z23" i="61"/>
  <c r="T14" i="61"/>
  <c r="G16" i="64"/>
  <c r="U10" i="61"/>
  <c r="AF33" i="62"/>
  <c r="E24" i="63"/>
  <c r="AA30" i="40"/>
  <c r="U18" i="63"/>
  <c r="AB25" i="61"/>
  <c r="AA23" i="63"/>
  <c r="P28" i="40"/>
  <c r="AF24" i="61"/>
  <c r="Q11" i="61"/>
  <c r="AD30" i="40"/>
  <c r="AG24" i="62"/>
  <c r="AH24" i="63"/>
  <c r="V22" i="63"/>
  <c r="AC22" i="61"/>
  <c r="J11" i="62"/>
  <c r="Q21" i="63"/>
  <c r="P33" i="62"/>
  <c r="AA8" i="64"/>
  <c r="I30" i="63"/>
  <c r="T17" i="62"/>
  <c r="V7" i="63"/>
  <c r="J19" i="62"/>
  <c r="O23" i="62"/>
  <c r="AD19" i="64"/>
  <c r="T32" i="61"/>
  <c r="U29" i="63"/>
  <c r="AF16" i="66"/>
  <c r="B9" i="61"/>
  <c r="K10" i="64"/>
  <c r="B30" i="63"/>
  <c r="L28" i="61"/>
  <c r="P15" i="63"/>
  <c r="I26" i="62"/>
  <c r="L11" i="62"/>
  <c r="AC19" i="62"/>
  <c r="AH9" i="61"/>
  <c r="AI29" i="61"/>
  <c r="R19" i="64"/>
  <c r="AG13" i="62"/>
  <c r="X11" i="64"/>
  <c r="N10" i="62"/>
  <c r="M11" i="64"/>
  <c r="T12" i="63"/>
  <c r="C29" i="61"/>
  <c r="S29" i="63"/>
  <c r="H8" i="66"/>
  <c r="AH7" i="62"/>
  <c r="Q33" i="25"/>
  <c r="AJ33" i="25" s="1"/>
  <c r="AE15" i="62"/>
  <c r="AG12" i="64"/>
  <c r="Q30" i="63"/>
  <c r="AG29" i="40"/>
  <c r="K9" i="66"/>
  <c r="V28" i="64"/>
  <c r="AE28" i="64"/>
  <c r="I17" i="63"/>
  <c r="H22" i="62"/>
  <c r="D14" i="63"/>
  <c r="AD24" i="63"/>
  <c r="K26" i="63"/>
  <c r="AH29" i="62"/>
  <c r="AI33" i="62"/>
  <c r="AD16" i="61"/>
  <c r="D19" i="62"/>
  <c r="E28" i="40"/>
  <c r="AE27" i="66"/>
  <c r="O18" i="62"/>
  <c r="AA15" i="64"/>
  <c r="L8" i="66"/>
  <c r="Q31" i="62"/>
  <c r="T9" i="66"/>
  <c r="T34" i="66" s="1"/>
  <c r="K29" i="61"/>
  <c r="R20" i="66"/>
  <c r="Q13" i="61"/>
  <c r="W10" i="63"/>
  <c r="AA21" i="63"/>
  <c r="C20" i="61"/>
  <c r="G7" i="62"/>
  <c r="C12" i="62"/>
  <c r="C30" i="62"/>
  <c r="AE21" i="64"/>
  <c r="AI31" i="62"/>
  <c r="S12" i="63"/>
  <c r="J27" i="62"/>
  <c r="W8" i="62"/>
  <c r="D18" i="64"/>
  <c r="Y9" i="63"/>
  <c r="I18" i="66"/>
  <c r="J28" i="62"/>
  <c r="AD21" i="61"/>
  <c r="H27" i="66"/>
  <c r="O24" i="61"/>
  <c r="W29" i="66"/>
  <c r="AJ29" i="66" s="1"/>
  <c r="D31" i="61"/>
  <c r="AB9" i="40"/>
  <c r="F21" i="66"/>
  <c r="F22" i="61"/>
  <c r="AE26" i="61"/>
  <c r="AA33" i="62"/>
  <c r="K26" i="61"/>
  <c r="AE7" i="63"/>
  <c r="I16" i="61"/>
  <c r="AI17" i="61"/>
  <c r="AE20" i="61"/>
  <c r="AE30" i="64"/>
  <c r="O17" i="61"/>
  <c r="AD29" i="62"/>
  <c r="T21" i="62"/>
  <c r="I20" i="61"/>
  <c r="E17" i="62"/>
  <c r="AG8" i="63"/>
  <c r="N27" i="63"/>
  <c r="J9" i="62"/>
  <c r="N26" i="61"/>
  <c r="I19" i="61"/>
  <c r="AD26" i="63"/>
  <c r="AA7" i="62"/>
  <c r="D29" i="62"/>
  <c r="D9" i="64"/>
  <c r="AC25" i="62"/>
  <c r="AC23" i="61"/>
  <c r="K28" i="63"/>
  <c r="Q8" i="62"/>
  <c r="D15" i="61"/>
  <c r="E13" i="62"/>
  <c r="P9" i="63"/>
  <c r="Z21" i="62"/>
  <c r="AE7" i="61"/>
  <c r="V11" i="63"/>
  <c r="F24" i="61"/>
  <c r="AG18" i="63"/>
  <c r="S23" i="62"/>
  <c r="AI23" i="63"/>
  <c r="AF14" i="61"/>
  <c r="AD17" i="62"/>
  <c r="N22" i="63"/>
  <c r="S25" i="61"/>
  <c r="AE27" i="40"/>
  <c r="P25" i="63"/>
  <c r="AF11" i="62"/>
  <c r="D30" i="62"/>
  <c r="Y32" i="62"/>
  <c r="B33" i="63"/>
  <c r="B31" i="61"/>
  <c r="X31" i="63"/>
  <c r="L17" i="64"/>
  <c r="O30" i="63"/>
  <c r="AB33" i="61"/>
  <c r="AD24" i="64"/>
  <c r="X21" i="62"/>
  <c r="J30" i="64"/>
  <c r="I17" i="62"/>
  <c r="AE16" i="62"/>
  <c r="G28" i="64"/>
  <c r="F11" i="62"/>
  <c r="S33" i="61"/>
  <c r="L27" i="61"/>
  <c r="T11" i="61"/>
  <c r="AG19" i="62"/>
  <c r="AG28" i="63"/>
  <c r="W15" i="62"/>
  <c r="W17" i="62"/>
  <c r="K25" i="63"/>
  <c r="AB16" i="63"/>
  <c r="AG20" i="63"/>
  <c r="E9" i="63"/>
  <c r="AE18" i="63"/>
  <c r="U27" i="40"/>
  <c r="Z7" i="63"/>
  <c r="C24" i="63"/>
  <c r="AH17" i="63"/>
  <c r="E19" i="63"/>
  <c r="AA13" i="62"/>
  <c r="AC9" i="63"/>
  <c r="U19" i="63"/>
  <c r="V17" i="63"/>
  <c r="L29" i="40"/>
  <c r="Q19" i="63"/>
  <c r="H18" i="64"/>
  <c r="AF21" i="63"/>
  <c r="AB18" i="63"/>
  <c r="Q20" i="61"/>
  <c r="D22" i="62"/>
  <c r="T9" i="62"/>
  <c r="W32" i="62"/>
  <c r="AI30" i="63"/>
  <c r="J20" i="61"/>
  <c r="E28" i="62"/>
  <c r="D14" i="64"/>
  <c r="O12" i="61"/>
  <c r="AB33" i="63"/>
  <c r="AI19" i="62"/>
  <c r="X13" i="66"/>
  <c r="Q8" i="61"/>
  <c r="AA16" i="61"/>
  <c r="V20" i="66"/>
  <c r="AC18" i="61"/>
  <c r="AH20" i="66"/>
  <c r="L10" i="64"/>
  <c r="P23" i="64"/>
  <c r="X11" i="66"/>
  <c r="Y17" i="62"/>
  <c r="AH27" i="64"/>
  <c r="Y19" i="64"/>
  <c r="B27" i="40"/>
  <c r="S9" i="63"/>
  <c r="AE23" i="62"/>
  <c r="O20" i="62"/>
  <c r="K7" i="63"/>
  <c r="V25" i="62"/>
  <c r="X29" i="62"/>
  <c r="AC9" i="62"/>
  <c r="AB20" i="61"/>
  <c r="D11" i="66"/>
  <c r="N26" i="63"/>
  <c r="I21" i="61"/>
  <c r="L30" i="66"/>
  <c r="M13" i="62"/>
  <c r="B9" i="66"/>
  <c r="H27" i="63"/>
  <c r="M10" i="25"/>
  <c r="M34" i="25" s="1"/>
  <c r="D10" i="66"/>
  <c r="I17" i="61"/>
  <c r="AB10" i="62"/>
  <c r="S24" i="61"/>
  <c r="L18" i="64"/>
  <c r="G15" i="62"/>
  <c r="S24" i="63"/>
  <c r="S9" i="61"/>
  <c r="E11" i="62"/>
  <c r="B12" i="61"/>
  <c r="AH16" i="64"/>
  <c r="F16" i="62"/>
  <c r="AH21" i="62"/>
  <c r="K8" i="66"/>
  <c r="U31" i="61"/>
  <c r="X29" i="40"/>
  <c r="AG16" i="62"/>
  <c r="U15" i="61"/>
  <c r="AF27" i="66"/>
  <c r="R16" i="62"/>
  <c r="H7" i="62"/>
  <c r="AB10" i="61"/>
  <c r="B22" i="62"/>
  <c r="AC10" i="63"/>
  <c r="M19" i="62"/>
  <c r="AD32" i="62"/>
  <c r="I16" i="63"/>
  <c r="L19" i="62"/>
  <c r="Z25" i="63"/>
  <c r="X19" i="62"/>
  <c r="J33" i="62"/>
  <c r="T28" i="40"/>
  <c r="I12" i="64"/>
  <c r="Z27" i="61"/>
  <c r="J18" i="61"/>
  <c r="P7" i="66"/>
  <c r="AF26" i="61"/>
  <c r="AH10" i="66"/>
  <c r="AI14" i="66"/>
  <c r="B28" i="63"/>
  <c r="P22" i="66"/>
  <c r="I7" i="63"/>
  <c r="AB10" i="66"/>
  <c r="L29" i="62"/>
  <c r="O21" i="61"/>
  <c r="AI23" i="61"/>
  <c r="AB16" i="62"/>
  <c r="D24" i="61"/>
  <c r="AD27" i="62"/>
  <c r="Q14" i="62"/>
  <c r="Z8" i="64"/>
  <c r="W30" i="40"/>
  <c r="N29" i="62"/>
  <c r="V17" i="61"/>
  <c r="U24" i="61"/>
  <c r="T7" i="62"/>
  <c r="U12" i="62"/>
  <c r="N19" i="63"/>
  <c r="F32" i="63"/>
  <c r="K22" i="63"/>
  <c r="L8" i="63"/>
  <c r="AD27" i="64"/>
  <c r="E31" i="63"/>
  <c r="AI26" i="62"/>
  <c r="AE19" i="63"/>
  <c r="J9" i="63"/>
  <c r="J17" i="61"/>
  <c r="V22" i="62"/>
  <c r="J27" i="40"/>
  <c r="J8" i="64"/>
  <c r="O20" i="64"/>
  <c r="P29" i="62"/>
  <c r="O30" i="40"/>
  <c r="D26" i="64"/>
  <c r="R24" i="63"/>
  <c r="AD26" i="61"/>
  <c r="L25" i="61"/>
  <c r="AD23" i="63"/>
  <c r="AH12" i="61"/>
  <c r="U28" i="62"/>
  <c r="Y11" i="61"/>
  <c r="Q14" i="63"/>
  <c r="AA29" i="61"/>
  <c r="J32" i="62"/>
  <c r="AD19" i="63"/>
  <c r="H23" i="61"/>
  <c r="V14" i="63"/>
  <c r="R16" i="63"/>
  <c r="O24" i="62"/>
  <c r="T10" i="64"/>
  <c r="AE21" i="61"/>
  <c r="AB24" i="63"/>
  <c r="M13" i="61"/>
  <c r="E29" i="62"/>
  <c r="T9" i="63"/>
  <c r="V19" i="62"/>
  <c r="Y11" i="63"/>
  <c r="Q7" i="61"/>
  <c r="AE20" i="63"/>
  <c r="C21" i="61"/>
  <c r="AF21" i="62"/>
  <c r="Y22" i="64"/>
  <c r="K9" i="64"/>
  <c r="W17" i="61"/>
  <c r="J14" i="63"/>
  <c r="K7" i="61"/>
  <c r="L10" i="62"/>
  <c r="Y10" i="64"/>
  <c r="Y29" i="62"/>
  <c r="P25" i="61"/>
  <c r="U7" i="62"/>
  <c r="B31" i="63"/>
  <c r="Q10" i="64"/>
  <c r="K33" i="61"/>
  <c r="S25" i="64"/>
  <c r="N14" i="63"/>
  <c r="G28" i="61"/>
  <c r="X15" i="62"/>
  <c r="U26" i="62"/>
  <c r="Q13" i="62"/>
  <c r="AF16" i="62"/>
  <c r="P8" i="63"/>
  <c r="U24" i="62"/>
  <c r="M22" i="61"/>
  <c r="O9" i="64"/>
  <c r="G8" i="61"/>
  <c r="E7" i="64"/>
  <c r="W12" i="62"/>
  <c r="AA9" i="62"/>
  <c r="C9" i="62"/>
  <c r="AH12" i="64"/>
  <c r="O12" i="63"/>
  <c r="AD27" i="40"/>
  <c r="G32" i="62"/>
  <c r="AG11" i="61"/>
  <c r="F7" i="64"/>
  <c r="K20" i="63"/>
  <c r="E15" i="62"/>
  <c r="S28" i="63"/>
  <c r="I13" i="63"/>
  <c r="Z26" i="61"/>
  <c r="AI10" i="63"/>
  <c r="V21" i="63"/>
  <c r="AA13" i="63"/>
  <c r="H26" i="61"/>
  <c r="P31" i="62"/>
  <c r="I11" i="63"/>
  <c r="L8" i="61"/>
  <c r="D10" i="62"/>
  <c r="E29" i="61"/>
  <c r="J28" i="63"/>
  <c r="G10" i="64"/>
  <c r="Q27" i="63"/>
  <c r="V12" i="62"/>
  <c r="AH14" i="62"/>
  <c r="AE9" i="61"/>
  <c r="R7" i="63"/>
  <c r="AC28" i="62"/>
  <c r="N9" i="64"/>
  <c r="N28" i="62"/>
  <c r="AB26" i="61"/>
  <c r="Z17" i="63"/>
  <c r="K13" i="63"/>
  <c r="K24" i="62"/>
  <c r="F19" i="61"/>
  <c r="AA10" i="61"/>
  <c r="V7" i="64"/>
  <c r="AA19" i="61"/>
  <c r="R9" i="63"/>
  <c r="U22" i="62"/>
  <c r="AA26" i="61"/>
  <c r="C27" i="62"/>
  <c r="U30" i="62"/>
  <c r="I8" i="64"/>
  <c r="AA17" i="64"/>
  <c r="J28" i="61"/>
  <c r="O9" i="63"/>
  <c r="AC14" i="63"/>
  <c r="H24" i="64"/>
  <c r="S18" i="62"/>
  <c r="C27" i="61"/>
  <c r="AH8" i="64"/>
  <c r="AG21" i="64"/>
  <c r="W30" i="63"/>
  <c r="L11" i="61"/>
  <c r="D25" i="61"/>
  <c r="Z28" i="40"/>
  <c r="D22" i="64"/>
  <c r="AF32" i="61"/>
  <c r="Q20" i="63"/>
  <c r="L17" i="62"/>
  <c r="V25" i="61"/>
  <c r="L33" i="63"/>
  <c r="S22" i="61"/>
  <c r="L24" i="63"/>
  <c r="K29" i="40"/>
  <c r="Y33" i="63"/>
  <c r="E20" i="63"/>
  <c r="I32" i="61"/>
  <c r="AF15" i="64"/>
  <c r="D27" i="62"/>
  <c r="U28" i="40"/>
  <c r="R25" i="63"/>
  <c r="C10" i="63"/>
  <c r="Q25" i="61"/>
  <c r="P13" i="61"/>
  <c r="H20" i="61"/>
  <c r="AB17" i="64"/>
  <c r="AB15" i="64"/>
  <c r="V16" i="63"/>
  <c r="E8" i="63"/>
  <c r="H13" i="62"/>
  <c r="D17" i="64"/>
  <c r="AE26" i="62"/>
  <c r="AB33" i="62"/>
  <c r="D19" i="61"/>
  <c r="S14" i="62"/>
  <c r="Q24" i="62"/>
  <c r="AB28" i="40"/>
  <c r="R7" i="62"/>
  <c r="L27" i="62"/>
  <c r="E19" i="61"/>
  <c r="R15" i="62"/>
  <c r="B19" i="63"/>
  <c r="H17" i="64"/>
  <c r="E10" i="61"/>
  <c r="W10" i="62"/>
  <c r="B7" i="64"/>
  <c r="D23" i="64"/>
  <c r="AB18" i="62"/>
  <c r="AE30" i="61"/>
  <c r="AF18" i="64"/>
  <c r="G8" i="62"/>
  <c r="AF23" i="62"/>
  <c r="V24" i="63"/>
  <c r="Z7" i="61"/>
  <c r="Y8" i="63"/>
  <c r="AI17" i="63"/>
  <c r="C11" i="63"/>
  <c r="C12" i="63"/>
  <c r="V31" i="62"/>
  <c r="V30" i="62"/>
  <c r="E10" i="64"/>
  <c r="I12" i="62"/>
  <c r="AG8" i="64"/>
  <c r="K22" i="61"/>
  <c r="V8" i="64"/>
  <c r="AC29" i="64"/>
  <c r="AB23" i="63"/>
  <c r="H27" i="61"/>
  <c r="AB29" i="64"/>
  <c r="M28" i="40"/>
  <c r="J9" i="61"/>
  <c r="R33" i="61"/>
  <c r="Q25" i="63"/>
  <c r="AF29" i="64"/>
  <c r="C12" i="64"/>
  <c r="M8" i="61"/>
  <c r="F30" i="62"/>
  <c r="AI13" i="64"/>
  <c r="AH18" i="61"/>
  <c r="B8" i="61"/>
  <c r="AH7" i="63"/>
  <c r="D28" i="63"/>
  <c r="M30" i="62"/>
  <c r="E8" i="61"/>
  <c r="AF25" i="63"/>
  <c r="J31" i="62"/>
  <c r="N28" i="63"/>
  <c r="V9" i="63"/>
  <c r="AD17" i="61"/>
  <c r="AC33" i="61"/>
  <c r="AI11" i="61"/>
  <c r="Z32" i="61"/>
  <c r="G18" i="61"/>
  <c r="AC21" i="61"/>
  <c r="B24" i="64"/>
  <c r="X17" i="62"/>
  <c r="AB27" i="40"/>
  <c r="D19" i="64"/>
  <c r="W30" i="61"/>
  <c r="K8" i="63"/>
  <c r="AD21" i="63"/>
  <c r="AA9" i="61"/>
  <c r="R12" i="63"/>
  <c r="Z11" i="63"/>
  <c r="AA10" i="63"/>
  <c r="C25" i="63"/>
  <c r="Q23" i="64"/>
  <c r="W29" i="63"/>
  <c r="S17" i="61"/>
  <c r="Q19" i="64"/>
  <c r="M18" i="62"/>
  <c r="I33" i="63"/>
  <c r="V10" i="62"/>
  <c r="AB13" i="64"/>
  <c r="AB32" i="62"/>
  <c r="D30" i="40"/>
  <c r="X13" i="62"/>
  <c r="AB12" i="62"/>
  <c r="D17" i="61"/>
  <c r="W24" i="63"/>
  <c r="H12" i="63"/>
  <c r="Z31" i="63"/>
  <c r="K12" i="64"/>
  <c r="Z17" i="61"/>
  <c r="Y13" i="63"/>
  <c r="H24" i="63"/>
  <c r="N8" i="62"/>
  <c r="E19" i="62"/>
  <c r="AD12" i="62"/>
  <c r="M8" i="62"/>
  <c r="B14" i="63"/>
  <c r="E11" i="63"/>
  <c r="Y19" i="63"/>
  <c r="T24" i="61"/>
  <c r="D16" i="61"/>
  <c r="AA12" i="62"/>
  <c r="AF16" i="61"/>
  <c r="O16" i="61"/>
  <c r="U11" i="64"/>
  <c r="Q8" i="64"/>
  <c r="G30" i="40"/>
  <c r="AE20" i="62"/>
  <c r="AH12" i="62"/>
  <c r="E33" i="63"/>
  <c r="C29" i="40"/>
  <c r="J15" i="61"/>
  <c r="D13" i="63"/>
  <c r="AD22" i="62"/>
  <c r="W10" i="64"/>
  <c r="AC18" i="63"/>
  <c r="T13" i="63"/>
  <c r="S27" i="64"/>
  <c r="L26" i="62"/>
  <c r="L23" i="62"/>
  <c r="E12" i="61"/>
  <c r="AI29" i="40"/>
  <c r="AD10" i="61"/>
  <c r="S27" i="63"/>
  <c r="AG22" i="63"/>
  <c r="AD30" i="61"/>
  <c r="K21" i="61"/>
  <c r="U13" i="63"/>
  <c r="J12" i="63"/>
  <c r="AE28" i="61"/>
  <c r="K31" i="62"/>
  <c r="S13" i="63"/>
  <c r="O26" i="63"/>
  <c r="AH15" i="62"/>
  <c r="O15" i="63"/>
  <c r="Y30" i="64"/>
  <c r="G26" i="63"/>
  <c r="Z29" i="62"/>
  <c r="I27" i="40"/>
  <c r="L9" i="63"/>
  <c r="F13" i="62"/>
  <c r="N21" i="61"/>
  <c r="AF17" i="62"/>
  <c r="AB30" i="40"/>
  <c r="H10" i="64"/>
  <c r="F22" i="63"/>
  <c r="S31" i="66"/>
  <c r="W26" i="63"/>
  <c r="AF11" i="63"/>
  <c r="F17" i="63"/>
  <c r="H22" i="63"/>
  <c r="W21" i="61"/>
  <c r="Z25" i="61"/>
  <c r="K25" i="64"/>
  <c r="X8" i="61"/>
  <c r="X15" i="61"/>
  <c r="X14" i="63"/>
  <c r="V21" i="61"/>
  <c r="AI25" i="63"/>
  <c r="AC29" i="63"/>
  <c r="AA29" i="62"/>
  <c r="N8" i="63"/>
  <c r="AF23" i="63"/>
  <c r="AA15" i="62"/>
  <c r="O25" i="61"/>
  <c r="W22" i="64"/>
  <c r="G10" i="63"/>
  <c r="AC20" i="63"/>
  <c r="B25" i="62"/>
  <c r="X27" i="40"/>
  <c r="AA27" i="62"/>
  <c r="AF12" i="62"/>
  <c r="AD31" i="61"/>
  <c r="M22" i="63"/>
  <c r="O15" i="62"/>
  <c r="P15" i="61"/>
  <c r="Q22" i="61"/>
  <c r="R23" i="61"/>
  <c r="AC17" i="62"/>
  <c r="W23" i="62"/>
  <c r="X15" i="64"/>
  <c r="W19" i="63"/>
  <c r="U11" i="62"/>
  <c r="J29" i="40"/>
  <c r="B27" i="62"/>
  <c r="X19" i="64"/>
  <c r="AI12" i="62"/>
  <c r="X20" i="61"/>
  <c r="P31" i="63"/>
  <c r="D18" i="61"/>
  <c r="R32" i="62"/>
  <c r="B32" i="63"/>
  <c r="O10" i="62"/>
  <c r="J30" i="63"/>
  <c r="H11" i="64"/>
  <c r="B26" i="64"/>
  <c r="S9" i="62"/>
  <c r="AH14" i="64"/>
  <c r="T22" i="62"/>
  <c r="R13" i="64"/>
  <c r="I27" i="64"/>
  <c r="AG28" i="62"/>
  <c r="R20" i="62"/>
  <c r="AE32" i="63"/>
  <c r="L7" i="64"/>
  <c r="AC26" i="61"/>
  <c r="U17" i="64"/>
  <c r="I7" i="64"/>
  <c r="AH30" i="62"/>
  <c r="D15" i="62"/>
  <c r="C7" i="61"/>
  <c r="W23" i="64"/>
  <c r="S21" i="62"/>
  <c r="D25" i="62"/>
  <c r="M12" i="63"/>
  <c r="C15" i="61"/>
  <c r="T14" i="62"/>
  <c r="B28" i="61"/>
  <c r="K14" i="61"/>
  <c r="R29" i="40"/>
  <c r="AC22" i="63"/>
  <c r="Q7" i="62"/>
  <c r="AI20" i="63"/>
  <c r="AD9" i="61"/>
  <c r="O27" i="63"/>
  <c r="Z14" i="61"/>
  <c r="D23" i="61"/>
  <c r="G18" i="62"/>
  <c r="B30" i="62"/>
  <c r="AA14" i="62"/>
  <c r="T23" i="62"/>
  <c r="AC23" i="62"/>
  <c r="O17" i="64"/>
  <c r="N24" i="63"/>
  <c r="I21" i="62"/>
  <c r="I12" i="61"/>
  <c r="P21" i="62"/>
  <c r="H7" i="61"/>
  <c r="AC28" i="40"/>
  <c r="G27" i="62"/>
  <c r="M27" i="61"/>
  <c r="H17" i="62"/>
  <c r="AF20" i="62"/>
  <c r="AB11" i="63"/>
  <c r="F7" i="63"/>
  <c r="AF9" i="61"/>
  <c r="AG33" i="63"/>
  <c r="AD20" i="61"/>
  <c r="H28" i="61"/>
  <c r="U15" i="64"/>
  <c r="G30" i="63"/>
  <c r="G29" i="40"/>
  <c r="G7" i="63"/>
  <c r="AI24" i="63"/>
  <c r="X7" i="63"/>
  <c r="AF21" i="64"/>
  <c r="N23" i="62"/>
  <c r="W7" i="63"/>
  <c r="V27" i="40"/>
  <c r="Z25" i="64"/>
  <c r="Q18" i="63"/>
  <c r="K18" i="62"/>
  <c r="AI28" i="63"/>
  <c r="D8" i="62"/>
  <c r="AG14" i="61"/>
  <c r="S31" i="62"/>
  <c r="R25" i="62"/>
  <c r="U33" i="63"/>
  <c r="N7" i="62"/>
  <c r="J18" i="62"/>
  <c r="S13" i="64"/>
  <c r="D29" i="40"/>
  <c r="AG23" i="63"/>
  <c r="AE10" i="63"/>
  <c r="V12" i="63"/>
  <c r="U13" i="61"/>
  <c r="Q7" i="64"/>
  <c r="I15" i="64"/>
  <c r="K30" i="62"/>
  <c r="H16" i="62"/>
  <c r="E13" i="63"/>
  <c r="AH28" i="62"/>
  <c r="J17" i="62"/>
  <c r="B18" i="62"/>
  <c r="F18" i="63"/>
  <c r="X23" i="62"/>
  <c r="AB21" i="62"/>
  <c r="AI15" i="61"/>
  <c r="H13" i="63"/>
  <c r="F17" i="62"/>
  <c r="Z9" i="64"/>
  <c r="Q9" i="62"/>
  <c r="Q10" i="61"/>
  <c r="G30" i="62"/>
  <c r="AD18" i="62"/>
  <c r="S13" i="62"/>
  <c r="C16" i="63"/>
  <c r="L31" i="61"/>
  <c r="S8" i="64"/>
  <c r="R27" i="61"/>
  <c r="M19" i="63"/>
  <c r="X29" i="64"/>
  <c r="AB29" i="40"/>
  <c r="B21" i="64"/>
  <c r="AH31" i="63"/>
  <c r="C18" i="64"/>
  <c r="K20" i="61"/>
  <c r="AH24" i="62"/>
  <c r="J13" i="63"/>
  <c r="AC15" i="61"/>
  <c r="J8" i="62"/>
  <c r="U11" i="63"/>
  <c r="AC24" i="61"/>
  <c r="G15" i="63"/>
  <c r="AD24" i="61"/>
  <c r="T33" i="63"/>
  <c r="J20" i="64"/>
  <c r="AB12" i="61"/>
  <c r="I15" i="61"/>
  <c r="V21" i="62"/>
  <c r="T17" i="64"/>
  <c r="M31" i="63"/>
  <c r="Y16" i="63"/>
  <c r="P7" i="63"/>
  <c r="X17" i="63"/>
  <c r="AG30" i="61"/>
  <c r="T19" i="64"/>
  <c r="V9" i="64"/>
  <c r="P31" i="61"/>
  <c r="D10" i="63"/>
  <c r="J15" i="64"/>
  <c r="Z33" i="61"/>
  <c r="S30" i="40"/>
  <c r="AG24" i="61"/>
  <c r="AB29" i="62"/>
  <c r="O31" i="63"/>
  <c r="I14" i="63"/>
  <c r="AI16" i="61"/>
  <c r="R21" i="62"/>
  <c r="AE32" i="62"/>
  <c r="AD19" i="62"/>
  <c r="P22" i="62"/>
  <c r="N9" i="63"/>
  <c r="U10" i="62"/>
  <c r="D21" i="61"/>
  <c r="Y28" i="40"/>
  <c r="R18" i="63"/>
  <c r="AA27" i="61"/>
  <c r="Q26" i="62"/>
  <c r="Q16" i="64"/>
  <c r="Y10" i="62"/>
  <c r="B17" i="62"/>
  <c r="AF13" i="61"/>
  <c r="T25" i="63"/>
  <c r="C33" i="61"/>
  <c r="C17" i="63"/>
  <c r="V7" i="62"/>
  <c r="W13" i="61"/>
  <c r="M29" i="40"/>
  <c r="L9" i="61"/>
  <c r="E33" i="61"/>
  <c r="I31" i="63"/>
  <c r="AG33" i="61"/>
  <c r="T29" i="64"/>
  <c r="E18" i="63"/>
  <c r="B17" i="64"/>
  <c r="AA21" i="61"/>
  <c r="AB18" i="64"/>
  <c r="AG20" i="61"/>
  <c r="AH10" i="61"/>
  <c r="D18" i="63"/>
  <c r="K30" i="63"/>
  <c r="P14" i="61"/>
  <c r="H16" i="61"/>
  <c r="W33" i="61"/>
  <c r="U27" i="62"/>
  <c r="AG17" i="61"/>
  <c r="AF17" i="64"/>
  <c r="E14" i="61"/>
  <c r="V22" i="66"/>
  <c r="S29" i="62"/>
  <c r="R30" i="63"/>
  <c r="O27" i="61"/>
  <c r="P24" i="63"/>
  <c r="S19" i="63"/>
  <c r="S30" i="63"/>
  <c r="X16" i="61"/>
  <c r="F27" i="61"/>
  <c r="AI8" i="62"/>
  <c r="P25" i="64"/>
  <c r="I23" i="61"/>
  <c r="P24" i="64"/>
  <c r="R7" i="64"/>
  <c r="J25" i="62"/>
  <c r="M16" i="64"/>
  <c r="U22" i="61"/>
  <c r="B30" i="61"/>
  <c r="D27" i="40"/>
  <c r="AD23" i="62"/>
  <c r="J16" i="64"/>
  <c r="D21" i="62"/>
  <c r="L12" i="61"/>
  <c r="C28" i="62"/>
  <c r="Y26" i="64"/>
  <c r="AB26" i="62"/>
  <c r="L16" i="62"/>
  <c r="O32" i="61"/>
  <c r="AG30" i="62"/>
  <c r="AF29" i="61"/>
  <c r="W14" i="61"/>
  <c r="Q10" i="63"/>
  <c r="Q26" i="63"/>
  <c r="M18" i="61"/>
  <c r="U25" i="61"/>
  <c r="AF19" i="64"/>
  <c r="P29" i="64"/>
  <c r="U14" i="61"/>
  <c r="M19" i="61"/>
  <c r="S8" i="61"/>
  <c r="X29" i="63"/>
  <c r="AG14" i="62"/>
  <c r="AG27" i="40"/>
  <c r="AD21" i="62"/>
  <c r="V31" i="61"/>
  <c r="B14" i="61"/>
  <c r="AI13" i="61"/>
  <c r="S32" i="61"/>
  <c r="X9" i="61"/>
  <c r="AD22" i="63"/>
  <c r="Y21" i="62"/>
  <c r="Z18" i="63"/>
  <c r="Y16" i="61"/>
  <c r="AI22" i="61"/>
  <c r="H14" i="64"/>
  <c r="S15" i="63"/>
  <c r="AE22" i="61"/>
  <c r="G12" i="64"/>
  <c r="K32" i="63"/>
  <c r="X22" i="61"/>
  <c r="X33" i="63"/>
  <c r="D27" i="61"/>
  <c r="Z21" i="63"/>
  <c r="L13" i="64"/>
  <c r="B12" i="63"/>
  <c r="AF19" i="63"/>
  <c r="B21" i="61"/>
  <c r="E23" i="63"/>
  <c r="AE28" i="63"/>
  <c r="Z12" i="64"/>
  <c r="B8" i="64"/>
  <c r="M29" i="63"/>
  <c r="R21" i="63"/>
  <c r="AC24" i="63"/>
  <c r="M29" i="61"/>
  <c r="J23" i="61"/>
  <c r="G29" i="61"/>
  <c r="V18" i="63"/>
  <c r="R22" i="64"/>
  <c r="F8" i="61"/>
  <c r="D13" i="62"/>
  <c r="T25" i="62"/>
  <c r="AE9" i="64"/>
  <c r="D15" i="63"/>
  <c r="P11" i="61"/>
  <c r="AC8" i="64"/>
  <c r="X30" i="40"/>
  <c r="E7" i="63"/>
  <c r="U19" i="64"/>
  <c r="K27" i="40"/>
  <c r="J20" i="63"/>
  <c r="V22" i="61"/>
  <c r="AH28" i="40"/>
  <c r="Q24" i="63"/>
  <c r="AF15" i="61"/>
  <c r="AH27" i="40"/>
  <c r="AF13" i="62"/>
  <c r="AE27" i="63"/>
  <c r="L27" i="63"/>
  <c r="N30" i="62"/>
  <c r="AG30" i="40"/>
  <c r="P10" i="63"/>
  <c r="O8" i="61"/>
  <c r="K33" i="62"/>
  <c r="J10" i="63"/>
  <c r="E32" i="61"/>
  <c r="Z16" i="63"/>
  <c r="AC20" i="62"/>
  <c r="D17" i="62"/>
  <c r="Y29" i="40"/>
  <c r="Y24" i="61"/>
  <c r="E16" i="62"/>
  <c r="AF25" i="62"/>
  <c r="J19" i="64"/>
  <c r="N13" i="63"/>
  <c r="AI11" i="62"/>
  <c r="B23" i="61"/>
  <c r="C32" i="61"/>
  <c r="G21" i="62"/>
  <c r="G31" i="61"/>
  <c r="AD14" i="63"/>
  <c r="H10" i="62"/>
  <c r="G33" i="62"/>
  <c r="N16" i="63"/>
  <c r="O18" i="61"/>
  <c r="B10" i="63"/>
  <c r="P29" i="63"/>
  <c r="R11" i="62"/>
  <c r="K14" i="62"/>
  <c r="Y22" i="63"/>
  <c r="I14" i="61"/>
  <c r="I10" i="62"/>
  <c r="R8" i="62"/>
  <c r="V23" i="62"/>
  <c r="P16" i="61"/>
  <c r="Y16" i="64"/>
  <c r="AC27" i="61"/>
  <c r="E21" i="62"/>
  <c r="S19" i="62"/>
  <c r="C22" i="61"/>
  <c r="B18" i="61"/>
  <c r="Y15" i="63"/>
  <c r="AF18" i="62"/>
  <c r="M28" i="61"/>
  <c r="G12" i="62"/>
  <c r="R24" i="61"/>
  <c r="X19" i="63"/>
  <c r="AA30" i="63"/>
  <c r="Z11" i="61"/>
  <c r="AC14" i="62"/>
  <c r="AC20" i="64"/>
  <c r="B11" i="64"/>
  <c r="P10" i="62"/>
  <c r="AG21" i="63"/>
  <c r="C24" i="61"/>
  <c r="B20" i="63"/>
  <c r="N24" i="61"/>
  <c r="R31" i="63"/>
  <c r="B30" i="40"/>
  <c r="C18" i="62"/>
  <c r="D20" i="61"/>
  <c r="H10" i="63"/>
  <c r="Q32" i="63"/>
  <c r="G9" i="62"/>
  <c r="Z30" i="63"/>
  <c r="P7" i="61"/>
  <c r="E27" i="62"/>
  <c r="W9" i="64"/>
  <c r="AI25" i="62"/>
  <c r="P30" i="62"/>
  <c r="AA25" i="64"/>
  <c r="P18" i="63"/>
  <c r="N20" i="62"/>
  <c r="Z18" i="62"/>
  <c r="AF14" i="62"/>
  <c r="AB23" i="64"/>
  <c r="D10" i="64"/>
  <c r="M11" i="63"/>
  <c r="N25" i="62"/>
  <c r="AE17" i="64"/>
  <c r="P25" i="62"/>
  <c r="D25" i="63"/>
  <c r="AG15" i="61"/>
  <c r="AA22" i="63"/>
  <c r="AF22" i="61"/>
  <c r="P30" i="63"/>
  <c r="AB27" i="61"/>
  <c r="F11" i="61"/>
  <c r="F8" i="64"/>
  <c r="P22" i="63"/>
  <c r="R26" i="61"/>
  <c r="T11" i="64"/>
  <c r="AG7" i="61"/>
  <c r="O11" i="63"/>
  <c r="AH30" i="64"/>
  <c r="V23" i="63"/>
  <c r="U9" i="61"/>
  <c r="I11" i="62"/>
  <c r="O23" i="61"/>
  <c r="W28" i="62"/>
  <c r="AE14" i="63"/>
  <c r="X30" i="61"/>
  <c r="G14" i="64"/>
  <c r="V28" i="40"/>
  <c r="S25" i="62"/>
  <c r="AF20" i="64"/>
  <c r="AD12" i="64"/>
  <c r="U18" i="64"/>
  <c r="AC32" i="61"/>
  <c r="G13" i="62"/>
  <c r="AI21" i="63"/>
  <c r="P19" i="64"/>
  <c r="U29" i="64"/>
  <c r="K13" i="61"/>
  <c r="G19" i="61"/>
  <c r="AC23" i="63"/>
  <c r="AI9" i="62"/>
  <c r="U25" i="63"/>
  <c r="H21" i="63"/>
  <c r="C19" i="62"/>
  <c r="T12" i="61"/>
  <c r="G12" i="61"/>
  <c r="Y8" i="61"/>
  <c r="W26" i="64"/>
  <c r="L21" i="63"/>
  <c r="R18" i="62"/>
  <c r="AE10" i="61"/>
  <c r="C26" i="61"/>
  <c r="O16" i="63"/>
  <c r="O11" i="62"/>
  <c r="J13" i="61"/>
  <c r="AC19" i="63"/>
  <c r="U17" i="63"/>
  <c r="K33" i="63"/>
  <c r="M17" i="62"/>
  <c r="O28" i="40"/>
  <c r="B12" i="62"/>
  <c r="AC32" i="62"/>
  <c r="F19" i="62"/>
  <c r="AB32" i="63"/>
  <c r="Z29" i="40"/>
  <c r="Q23" i="62"/>
  <c r="O21" i="63"/>
  <c r="X24" i="63"/>
  <c r="AE28" i="40"/>
  <c r="L18" i="63"/>
  <c r="X19" i="61"/>
  <c r="O30" i="62"/>
  <c r="Y25" i="61"/>
  <c r="F28" i="40"/>
  <c r="B20" i="62"/>
  <c r="AB7" i="61"/>
  <c r="E24" i="62"/>
  <c r="AI14" i="61"/>
  <c r="T16" i="61"/>
  <c r="N26" i="62"/>
  <c r="G29" i="62"/>
  <c r="K30" i="61"/>
  <c r="Q14" i="64"/>
  <c r="K23" i="64"/>
  <c r="AB11" i="61"/>
  <c r="P20" i="61"/>
  <c r="R7" i="61"/>
  <c r="M25" i="62"/>
  <c r="W11" i="61"/>
  <c r="N7" i="63"/>
  <c r="P16" i="62"/>
  <c r="H11" i="63"/>
  <c r="I32" i="63"/>
  <c r="D28" i="62"/>
  <c r="AI11" i="63"/>
  <c r="AG21" i="62"/>
  <c r="AE19" i="61"/>
  <c r="W18" i="61"/>
  <c r="AD8" i="64"/>
  <c r="Y18" i="62"/>
  <c r="AC7" i="64"/>
  <c r="V27" i="61"/>
  <c r="AB19" i="63"/>
  <c r="H29" i="40"/>
  <c r="X30" i="62"/>
  <c r="Q29" i="62"/>
  <c r="AE14" i="62"/>
  <c r="I30" i="62"/>
  <c r="E20" i="64"/>
  <c r="G13" i="64"/>
  <c r="E18" i="64"/>
  <c r="AI7" i="61"/>
  <c r="H21" i="61"/>
  <c r="D9" i="61"/>
  <c r="Y30" i="63"/>
  <c r="R13" i="61"/>
  <c r="AC19" i="61"/>
  <c r="E22" i="63"/>
  <c r="O28" i="63"/>
  <c r="J17" i="63"/>
  <c r="R16" i="61"/>
  <c r="E29" i="63"/>
  <c r="W16" i="62"/>
  <c r="I29" i="62"/>
  <c r="AA16" i="62"/>
  <c r="W7" i="62"/>
  <c r="P14" i="64"/>
  <c r="R31" i="61"/>
  <c r="B25" i="61"/>
  <c r="I33" i="61"/>
  <c r="I8" i="62"/>
  <c r="AC24" i="62"/>
  <c r="C19" i="63"/>
  <c r="E30" i="40"/>
  <c r="AB8" i="63"/>
  <c r="AE31" i="61"/>
  <c r="O7" i="61"/>
  <c r="AD16" i="62"/>
  <c r="AF10" i="63"/>
  <c r="AE15" i="61"/>
  <c r="S7" i="61"/>
  <c r="R12" i="61"/>
  <c r="J10" i="62"/>
  <c r="M17" i="61"/>
  <c r="S16" i="62"/>
  <c r="W27" i="63"/>
  <c r="I30" i="61"/>
  <c r="AB22" i="61"/>
  <c r="C13" i="63"/>
  <c r="E17" i="63"/>
  <c r="H14" i="61"/>
  <c r="AH19" i="62"/>
  <c r="AI13" i="63"/>
  <c r="V29" i="64"/>
  <c r="V26" i="63"/>
  <c r="M7" i="63"/>
  <c r="AC21" i="62"/>
  <c r="AB29" i="63"/>
  <c r="AA8" i="63"/>
  <c r="AF7" i="63"/>
  <c r="H24" i="61"/>
  <c r="R12" i="64"/>
  <c r="W27" i="40"/>
  <c r="T15" i="63"/>
  <c r="L23" i="61"/>
  <c r="Z32" i="62"/>
  <c r="F15" i="63"/>
  <c r="AA11" i="63"/>
  <c r="G21" i="64"/>
  <c r="G16" i="61"/>
  <c r="S20" i="62"/>
  <c r="Y17" i="63"/>
  <c r="S20" i="64"/>
  <c r="J8" i="61"/>
  <c r="AA20" i="61"/>
  <c r="AI18" i="62"/>
  <c r="Q17" i="63"/>
  <c r="P27" i="61"/>
  <c r="Q33" i="62"/>
  <c r="H32" i="62"/>
  <c r="Y24" i="62"/>
  <c r="R15" i="63"/>
  <c r="S12" i="64"/>
  <c r="K14" i="63"/>
  <c r="C28" i="40"/>
  <c r="AA25" i="61"/>
  <c r="X29" i="61"/>
  <c r="H19" i="64"/>
  <c r="D33" i="63"/>
  <c r="M21" i="62"/>
  <c r="Z11" i="64"/>
  <c r="Y27" i="62"/>
  <c r="I10" i="63"/>
  <c r="AB31" i="61"/>
  <c r="C10" i="61"/>
  <c r="AH13" i="63"/>
  <c r="D23" i="63"/>
  <c r="M12" i="62"/>
  <c r="J15" i="62"/>
  <c r="AA15" i="63"/>
  <c r="M26" i="61"/>
  <c r="J12" i="62"/>
  <c r="N31" i="62"/>
  <c r="Y27" i="64"/>
  <c r="P22" i="61"/>
  <c r="G13" i="63"/>
  <c r="T7" i="61"/>
  <c r="AE27" i="62"/>
  <c r="AD27" i="61"/>
  <c r="Z26" i="63"/>
  <c r="O20" i="61"/>
  <c r="P17" i="61"/>
  <c r="X16" i="62"/>
  <c r="N29" i="40"/>
  <c r="O12" i="64"/>
  <c r="S17" i="64"/>
  <c r="H33" i="61"/>
  <c r="D15" i="64"/>
  <c r="B27" i="61"/>
  <c r="W8" i="61"/>
  <c r="B13" i="63"/>
  <c r="L12" i="63"/>
  <c r="Z14" i="62"/>
  <c r="AI27" i="63"/>
  <c r="F26" i="64"/>
  <c r="Q30" i="61"/>
  <c r="V33" i="63"/>
  <c r="AF14" i="63"/>
  <c r="R12" i="62"/>
  <c r="T26" i="64"/>
  <c r="Q18" i="62"/>
  <c r="N30" i="61"/>
  <c r="O13" i="64"/>
  <c r="X22" i="62"/>
  <c r="AI12" i="61"/>
  <c r="E15" i="64"/>
  <c r="Y26" i="63"/>
  <c r="X15" i="63"/>
  <c r="AE8" i="63"/>
  <c r="AA22" i="61"/>
  <c r="Z28" i="62"/>
  <c r="I20" i="63"/>
  <c r="AB21" i="64"/>
  <c r="F10" i="61"/>
  <c r="T8" i="61"/>
  <c r="AI29" i="62"/>
  <c r="I15" i="63"/>
  <c r="B10" i="62"/>
  <c r="D8" i="63"/>
  <c r="D21" i="63"/>
  <c r="R10" i="63"/>
  <c r="F21" i="63"/>
  <c r="AE29" i="63"/>
  <c r="C16" i="61"/>
  <c r="M24" i="62"/>
  <c r="B20" i="61"/>
  <c r="AG10" i="63"/>
  <c r="K19" i="63"/>
  <c r="AC11" i="64"/>
  <c r="X26" i="61"/>
  <c r="K15" i="62"/>
  <c r="AF22" i="63"/>
  <c r="L20" i="61"/>
  <c r="L11" i="63"/>
  <c r="Z10" i="62"/>
  <c r="E28" i="61"/>
  <c r="D18" i="62"/>
  <c r="AH17" i="61"/>
  <c r="W15" i="64"/>
  <c r="AA23" i="62"/>
  <c r="L24" i="62"/>
  <c r="AH15" i="61"/>
  <c r="AB12" i="63"/>
  <c r="AC16" i="61"/>
  <c r="D24" i="63"/>
  <c r="K30" i="40"/>
  <c r="K25" i="61"/>
  <c r="B26" i="62"/>
  <c r="F7" i="62"/>
  <c r="S11" i="63"/>
  <c r="F27" i="40"/>
  <c r="E25" i="62"/>
  <c r="T29" i="62"/>
  <c r="L30" i="40"/>
  <c r="X28" i="61"/>
  <c r="G27" i="61"/>
  <c r="L22" i="62"/>
  <c r="AJ15" i="40"/>
  <c r="AJ23" i="40"/>
  <c r="S34" i="25"/>
  <c r="AH34" i="25"/>
  <c r="AJ7" i="40"/>
  <c r="AJ14" i="40"/>
  <c r="N34" i="25"/>
  <c r="AJ26" i="25"/>
  <c r="Y34" i="25"/>
  <c r="AJ27" i="25"/>
  <c r="AJ19" i="25"/>
  <c r="AJ8" i="40"/>
  <c r="AA34" i="25"/>
  <c r="AJ15" i="25"/>
  <c r="U34" i="25"/>
  <c r="J34" i="25"/>
  <c r="A175" i="26"/>
  <c r="A188" i="26"/>
  <c r="J34" i="66" l="1"/>
  <c r="E34" i="66"/>
  <c r="AJ7" i="66"/>
  <c r="AJ30" i="66"/>
  <c r="AI31" i="40"/>
  <c r="Q31" i="40"/>
  <c r="I34" i="25"/>
  <c r="AF31" i="40"/>
  <c r="M34" i="66"/>
  <c r="AJ19" i="66"/>
  <c r="T31" i="40"/>
  <c r="AJ31" i="25"/>
  <c r="AC31" i="40"/>
  <c r="AJ26" i="66"/>
  <c r="P31" i="40"/>
  <c r="AJ10" i="25"/>
  <c r="W34" i="66"/>
  <c r="X34" i="25"/>
  <c r="N31" i="40"/>
  <c r="AJ22" i="64"/>
  <c r="K34" i="66"/>
  <c r="H34" i="66"/>
  <c r="AB34" i="66"/>
  <c r="L31" i="40"/>
  <c r="N31" i="64"/>
  <c r="F34" i="66"/>
  <c r="L34" i="66"/>
  <c r="I34" i="66"/>
  <c r="W34" i="25"/>
  <c r="W31" i="40"/>
  <c r="AJ31" i="66"/>
  <c r="I31" i="40"/>
  <c r="AJ14" i="66"/>
  <c r="AH34" i="66"/>
  <c r="U31" i="40"/>
  <c r="AD31" i="40"/>
  <c r="G31" i="40"/>
  <c r="AJ10" i="66"/>
  <c r="AJ27" i="66"/>
  <c r="AJ24" i="64"/>
  <c r="F34" i="62"/>
  <c r="AJ28" i="25"/>
  <c r="X31" i="40"/>
  <c r="AJ27" i="64"/>
  <c r="O31" i="40"/>
  <c r="AB31" i="40"/>
  <c r="AJ21" i="66"/>
  <c r="AA34" i="66"/>
  <c r="M31" i="40"/>
  <c r="S34" i="61"/>
  <c r="AH31" i="40"/>
  <c r="AG31" i="40"/>
  <c r="AI34" i="66"/>
  <c r="AJ18" i="66"/>
  <c r="Y31" i="40"/>
  <c r="AJ8" i="64"/>
  <c r="AJ29" i="64"/>
  <c r="AJ15" i="66"/>
  <c r="G31" i="64"/>
  <c r="K31" i="40"/>
  <c r="AJ17" i="64"/>
  <c r="AJ25" i="62"/>
  <c r="F31" i="40"/>
  <c r="N34" i="63"/>
  <c r="AJ13" i="64"/>
  <c r="AJ26" i="64"/>
  <c r="AC34" i="25"/>
  <c r="AJ28" i="61"/>
  <c r="T34" i="61"/>
  <c r="AJ18" i="64"/>
  <c r="AE34" i="66"/>
  <c r="AC34" i="66"/>
  <c r="R31" i="40"/>
  <c r="AJ28" i="66"/>
  <c r="AJ23" i="66"/>
  <c r="AJ20" i="66"/>
  <c r="AJ17" i="63"/>
  <c r="AJ30" i="40"/>
  <c r="W34" i="62"/>
  <c r="AJ32" i="61"/>
  <c r="AA31" i="64"/>
  <c r="AJ32" i="66"/>
  <c r="AJ9" i="40"/>
  <c r="Q34" i="25"/>
  <c r="K31" i="64"/>
  <c r="V34" i="25"/>
  <c r="AJ16" i="66"/>
  <c r="H31" i="40"/>
  <c r="V31" i="40"/>
  <c r="S31" i="40"/>
  <c r="O34" i="66"/>
  <c r="Z31" i="40"/>
  <c r="AE31" i="64"/>
  <c r="AJ13" i="66"/>
  <c r="AF34" i="66"/>
  <c r="AI31" i="64"/>
  <c r="AJ12" i="25"/>
  <c r="AJ11" i="66"/>
  <c r="AJ25" i="66"/>
  <c r="S31" i="64"/>
  <c r="AJ12" i="64"/>
  <c r="AJ9" i="66"/>
  <c r="AG34" i="66"/>
  <c r="AD34" i="66"/>
  <c r="AJ9" i="64"/>
  <c r="AJ12" i="66"/>
  <c r="Y34" i="66"/>
  <c r="P34" i="25"/>
  <c r="R34" i="61"/>
  <c r="AJ27" i="62"/>
  <c r="W34" i="63"/>
  <c r="H34" i="61"/>
  <c r="Q34" i="62"/>
  <c r="AJ33" i="63"/>
  <c r="AJ11" i="63"/>
  <c r="AJ19" i="62"/>
  <c r="AJ8" i="61"/>
  <c r="AJ10" i="61"/>
  <c r="AJ19" i="61"/>
  <c r="AJ20" i="63"/>
  <c r="AJ29" i="61"/>
  <c r="AJ15" i="62"/>
  <c r="K34" i="61"/>
  <c r="Q34" i="61"/>
  <c r="AJ29" i="62"/>
  <c r="I34" i="63"/>
  <c r="AH34" i="62"/>
  <c r="Y34" i="61"/>
  <c r="AJ12" i="62"/>
  <c r="AD31" i="64"/>
  <c r="AJ15" i="63"/>
  <c r="AJ32" i="62"/>
  <c r="AB34" i="62"/>
  <c r="AH34" i="61"/>
  <c r="AC34" i="61"/>
  <c r="AJ24" i="61"/>
  <c r="AJ29" i="40"/>
  <c r="T34" i="63"/>
  <c r="AI34" i="62"/>
  <c r="AJ12" i="63"/>
  <c r="AJ27" i="40"/>
  <c r="U34" i="63"/>
  <c r="AF31" i="64"/>
  <c r="AJ28" i="64"/>
  <c r="K34" i="62"/>
  <c r="AJ30" i="62"/>
  <c r="AE34" i="62"/>
  <c r="AJ20" i="62"/>
  <c r="AJ25" i="63"/>
  <c r="AF34" i="62"/>
  <c r="AJ10" i="62"/>
  <c r="AJ18" i="62"/>
  <c r="AJ26" i="63"/>
  <c r="P34" i="62"/>
  <c r="Z31" i="64"/>
  <c r="AJ18" i="61"/>
  <c r="AJ27" i="61"/>
  <c r="AJ22" i="62"/>
  <c r="AJ16" i="61"/>
  <c r="AJ13" i="25"/>
  <c r="R34" i="25"/>
  <c r="AJ22" i="63"/>
  <c r="P34" i="61"/>
  <c r="AJ21" i="62"/>
  <c r="R31" i="64"/>
  <c r="AJ18" i="63"/>
  <c r="AJ33" i="61"/>
  <c r="V34" i="62"/>
  <c r="AJ13" i="63"/>
  <c r="Q31" i="64"/>
  <c r="N34" i="62"/>
  <c r="G34" i="63"/>
  <c r="F34" i="63"/>
  <c r="L31" i="64"/>
  <c r="AJ12" i="61"/>
  <c r="R34" i="63"/>
  <c r="J31" i="40"/>
  <c r="H34" i="62"/>
  <c r="AJ11" i="62"/>
  <c r="AJ9" i="63"/>
  <c r="AE31" i="40"/>
  <c r="AJ17" i="62"/>
  <c r="G34" i="62"/>
  <c r="AJ24" i="63"/>
  <c r="J34" i="62"/>
  <c r="Z34" i="66"/>
  <c r="U34" i="61"/>
  <c r="U31" i="64"/>
  <c r="G34" i="61"/>
  <c r="AJ21" i="64"/>
  <c r="I34" i="62"/>
  <c r="AD34" i="63"/>
  <c r="E34" i="61"/>
  <c r="AJ7" i="61"/>
  <c r="AD34" i="62"/>
  <c r="O34" i="63"/>
  <c r="J34" i="61"/>
  <c r="AJ20" i="61"/>
  <c r="AC34" i="63"/>
  <c r="AJ14" i="63"/>
  <c r="AJ8" i="62"/>
  <c r="AJ7" i="62"/>
  <c r="E34" i="62"/>
  <c r="AJ16" i="63"/>
  <c r="AG31" i="64"/>
  <c r="T31" i="64"/>
  <c r="S34" i="62"/>
  <c r="L34" i="62"/>
  <c r="L34" i="61"/>
  <c r="Q34" i="66"/>
  <c r="Y34" i="62"/>
  <c r="X34" i="62"/>
  <c r="M31" i="64"/>
  <c r="AJ32" i="63"/>
  <c r="AJ15" i="61"/>
  <c r="AJ26" i="62"/>
  <c r="AC34" i="62"/>
  <c r="AJ9" i="25"/>
  <c r="G34" i="66"/>
  <c r="L34" i="25"/>
  <c r="O34" i="61"/>
  <c r="AJ20" i="64"/>
  <c r="AC31" i="64"/>
  <c r="AJ24" i="62"/>
  <c r="AG34" i="61"/>
  <c r="P34" i="63"/>
  <c r="I31" i="64"/>
  <c r="Z34" i="61"/>
  <c r="R34" i="62"/>
  <c r="F31" i="64"/>
  <c r="T34" i="62"/>
  <c r="P34" i="66"/>
  <c r="K34" i="63"/>
  <c r="Z34" i="63"/>
  <c r="AJ13" i="62"/>
  <c r="AA34" i="62"/>
  <c r="AE34" i="63"/>
  <c r="AJ28" i="40"/>
  <c r="V34" i="63"/>
  <c r="AJ10" i="63"/>
  <c r="AA34" i="63"/>
  <c r="AJ31" i="62"/>
  <c r="AB34" i="63"/>
  <c r="AH31" i="64"/>
  <c r="I34" i="61"/>
  <c r="AJ21" i="63"/>
  <c r="Y34" i="63"/>
  <c r="W34" i="61"/>
  <c r="AJ11" i="61"/>
  <c r="AJ22" i="66"/>
  <c r="S34" i="63"/>
  <c r="AJ17" i="66"/>
  <c r="AJ11" i="64"/>
  <c r="AJ30" i="64"/>
  <c r="J34" i="63"/>
  <c r="AJ17" i="61"/>
  <c r="AG34" i="62"/>
  <c r="Z34" i="62"/>
  <c r="AJ26" i="61"/>
  <c r="AJ25" i="61"/>
  <c r="AJ23" i="64"/>
  <c r="R34" i="66"/>
  <c r="U34" i="66"/>
  <c r="O31" i="64"/>
  <c r="O34" i="62"/>
  <c r="AJ22" i="61"/>
  <c r="AJ30" i="61"/>
  <c r="AJ23" i="62"/>
  <c r="H31" i="64"/>
  <c r="AJ19" i="64"/>
  <c r="AI34" i="63"/>
  <c r="S34" i="66"/>
  <c r="AJ23" i="61"/>
  <c r="AJ20" i="25"/>
  <c r="AA31" i="40"/>
  <c r="AJ19" i="40"/>
  <c r="AJ29" i="63"/>
  <c r="E31" i="40"/>
  <c r="AJ15" i="64"/>
  <c r="AF34" i="63"/>
  <c r="M34" i="63"/>
  <c r="AI34" i="61"/>
  <c r="AB34" i="61"/>
  <c r="AJ16" i="62"/>
  <c r="AJ7" i="63"/>
  <c r="E34" i="63"/>
  <c r="AJ23" i="63"/>
  <c r="AJ14" i="61"/>
  <c r="X34" i="63"/>
  <c r="AH34" i="63"/>
  <c r="AJ10" i="64"/>
  <c r="AJ8" i="63"/>
  <c r="V31" i="64"/>
  <c r="E31" i="64"/>
  <c r="AJ7" i="64"/>
  <c r="U34" i="62"/>
  <c r="AJ31" i="63"/>
  <c r="AJ28" i="62"/>
  <c r="AJ19" i="63"/>
  <c r="AE34" i="61"/>
  <c r="AJ14" i="62"/>
  <c r="J31" i="64"/>
  <c r="AD34" i="61"/>
  <c r="AJ25" i="64"/>
  <c r="AJ13" i="61"/>
  <c r="X34" i="61"/>
  <c r="AJ27" i="63"/>
  <c r="N34" i="61"/>
  <c r="P31" i="64"/>
  <c r="AJ21" i="61"/>
  <c r="H34" i="63"/>
  <c r="AJ9" i="61"/>
  <c r="F34" i="61"/>
  <c r="AB31" i="64"/>
  <c r="AJ31" i="61"/>
  <c r="V34" i="66"/>
  <c r="AJ33" i="66"/>
  <c r="X34" i="66"/>
  <c r="AF34" i="61"/>
  <c r="AG34" i="63"/>
  <c r="M34" i="61"/>
  <c r="AJ30" i="63"/>
  <c r="L34" i="63"/>
  <c r="AA34" i="61"/>
  <c r="AJ16" i="64"/>
  <c r="V34" i="61"/>
  <c r="AJ24" i="66"/>
  <c r="Y31" i="64"/>
  <c r="AJ8" i="66"/>
  <c r="M34" i="62"/>
  <c r="N34" i="66"/>
  <c r="AJ14" i="64"/>
  <c r="Q34" i="63"/>
  <c r="W31" i="64"/>
  <c r="AJ9" i="62"/>
  <c r="X31" i="64"/>
  <c r="AJ33" i="62"/>
  <c r="AJ28" i="63"/>
  <c r="E34" i="25"/>
  <c r="A189" i="26"/>
  <c r="A176" i="26"/>
  <c r="AJ34" i="25" l="1"/>
  <c r="AJ31" i="40"/>
  <c r="AJ34" i="66"/>
  <c r="AJ31" i="64"/>
  <c r="AJ34" i="63"/>
  <c r="AJ34" i="62"/>
  <c r="AJ34" i="61"/>
  <c r="A177" i="26"/>
  <c r="A190" i="26"/>
  <c r="A191" i="26" l="1"/>
  <c r="A178" i="26"/>
  <c r="A179" i="26" l="1"/>
  <c r="A192" i="26"/>
  <c r="A193" i="26" l="1"/>
  <c r="A180" i="26"/>
  <c r="A194" i="26" l="1"/>
  <c r="A195" i="26" l="1"/>
  <c r="A196" i="26" l="1"/>
  <c r="A197" i="26" l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A211" i="26" s="1"/>
  <c r="A212" i="26" s="1"/>
  <c r="A213" i="26" s="1"/>
  <c r="A214" i="26" s="1"/>
  <c r="A215" i="26" s="1"/>
  <c r="A216" i="26" s="1"/>
  <c r="A217" i="26" s="1"/>
  <c r="A218" i="26" s="1"/>
  <c r="A219" i="26" s="1"/>
  <c r="A220" i="26" s="1"/>
  <c r="A221" i="26" s="1"/>
  <c r="A222" i="26" s="1"/>
  <c r="A223" i="26" s="1"/>
  <c r="A224" i="26" s="1"/>
  <c r="A225" i="26" s="1"/>
  <c r="A226" i="26" s="1"/>
  <c r="A227" i="26" s="1"/>
  <c r="A228" i="26" s="1"/>
  <c r="A229" i="26" s="1"/>
  <c r="A230" i="26" s="1"/>
  <c r="A231" i="26" s="1"/>
  <c r="A232" i="26" s="1"/>
  <c r="A233" i="26" s="1"/>
  <c r="A234" i="26" s="1"/>
  <c r="A235" i="26" s="1"/>
  <c r="A236" i="26" s="1"/>
  <c r="A237" i="26" s="1"/>
  <c r="A238" i="26" s="1"/>
  <c r="A239" i="26" s="1"/>
  <c r="A240" i="26" s="1"/>
  <c r="A241" i="26" s="1"/>
  <c r="A242" i="26" s="1"/>
  <c r="A243" i="26" s="1"/>
  <c r="A244" i="26" s="1"/>
  <c r="A245" i="26" s="1"/>
  <c r="A246" i="26" s="1"/>
  <c r="A247" i="26" s="1"/>
  <c r="A248" i="26" s="1"/>
  <c r="A249" i="26" s="1"/>
  <c r="A250" i="26" s="1"/>
  <c r="A251" i="26" s="1"/>
  <c r="A252" i="26" s="1"/>
  <c r="A253" i="26" s="1"/>
  <c r="A254" i="26" s="1"/>
  <c r="A255" i="26" s="1"/>
  <c r="A256" i="26" s="1"/>
  <c r="A257" i="26" s="1"/>
  <c r="A258" i="26" s="1"/>
  <c r="A259" i="26" s="1"/>
  <c r="A260" i="26" s="1"/>
  <c r="A261" i="26" s="1"/>
  <c r="A262" i="26" s="1"/>
  <c r="A263" i="26" s="1"/>
  <c r="A264" i="26" s="1"/>
  <c r="A265" i="26" s="1"/>
  <c r="A266" i="26" s="1"/>
  <c r="A267" i="26" s="1"/>
  <c r="A268" i="26" s="1"/>
  <c r="A269" i="26" s="1"/>
  <c r="A270" i="26" s="1"/>
  <c r="A271" i="26" s="1"/>
  <c r="A272" i="26" s="1"/>
  <c r="A273" i="26" s="1"/>
  <c r="A274" i="26" s="1"/>
  <c r="A275" i="26" s="1"/>
  <c r="A276" i="26" s="1"/>
  <c r="A277" i="26" s="1"/>
  <c r="A278" i="26" s="1"/>
  <c r="A279" i="26" s="1"/>
  <c r="A280" i="26" s="1"/>
  <c r="A281" i="26" s="1"/>
  <c r="A282" i="26" s="1"/>
  <c r="A283" i="26" s="1"/>
  <c r="A284" i="26" s="1"/>
  <c r="A285" i="26" s="1"/>
  <c r="A286" i="26" s="1"/>
  <c r="A287" i="26" s="1"/>
  <c r="A288" i="26" s="1"/>
  <c r="A289" i="26" s="1"/>
  <c r="A290" i="26" s="1"/>
  <c r="A291" i="26" s="1"/>
  <c r="A292" i="26" s="1"/>
  <c r="A293" i="26" s="1"/>
  <c r="A294" i="26" s="1"/>
  <c r="A295" i="26" s="1"/>
  <c r="A296" i="26" s="1"/>
  <c r="A297" i="26" s="1"/>
  <c r="A298" i="26" s="1"/>
  <c r="A299" i="26" s="1"/>
  <c r="A300" i="26" s="1"/>
  <c r="A301" i="26" s="1"/>
  <c r="A302" i="26" s="1"/>
  <c r="A303" i="26" s="1"/>
  <c r="A304" i="26" s="1"/>
  <c r="A305" i="26" l="1"/>
  <c r="A306" i="26" s="1"/>
  <c r="A307" i="26" s="1"/>
  <c r="A308" i="26" s="1"/>
  <c r="A309" i="26" s="1"/>
  <c r="A310" i="26" s="1"/>
  <c r="A311" i="26" s="1"/>
  <c r="A312" i="26" s="1"/>
  <c r="A313" i="26" s="1"/>
  <c r="A314" i="26" s="1"/>
  <c r="A315" i="26" s="1"/>
  <c r="A316" i="26" s="1"/>
  <c r="A317" i="26" s="1"/>
  <c r="A318" i="26" s="1"/>
  <c r="A319" i="26" s="1"/>
  <c r="A320" i="26" s="1"/>
  <c r="A321" i="26" s="1"/>
  <c r="A322" i="26" s="1"/>
  <c r="A323" i="26" s="1"/>
  <c r="A324" i="26" s="1"/>
  <c r="A325" i="26" s="1"/>
  <c r="A326" i="26" s="1"/>
  <c r="A327" i="26" s="1"/>
  <c r="A328" i="26" s="1"/>
  <c r="A329" i="26" s="1"/>
  <c r="A330" i="26" s="1"/>
  <c r="A331" i="26" s="1"/>
  <c r="A332" i="26" s="1"/>
  <c r="A333" i="26" s="1"/>
  <c r="A334" i="26" s="1"/>
  <c r="A335" i="26" s="1"/>
  <c r="A336" i="26" s="1"/>
  <c r="A337" i="26" s="1"/>
  <c r="A338" i="26" s="1"/>
  <c r="A339" i="26" s="1"/>
  <c r="A340" i="26" s="1"/>
  <c r="A341" i="26" s="1"/>
  <c r="A342" i="26" s="1"/>
  <c r="A343" i="26" s="1"/>
  <c r="A344" i="26" s="1"/>
  <c r="A345" i="26" s="1"/>
  <c r="A346" i="26" s="1"/>
  <c r="A347" i="26" s="1"/>
  <c r="A348" i="26" s="1"/>
  <c r="A349" i="26" s="1"/>
  <c r="A350" i="26" s="1"/>
  <c r="A351" i="26" s="1"/>
  <c r="A352" i="26" s="1"/>
  <c r="A353" i="26" s="1"/>
  <c r="A354" i="26" s="1"/>
  <c r="A355" i="26" s="1"/>
  <c r="A356" i="26" s="1"/>
  <c r="A357" i="26" s="1"/>
  <c r="A358" i="26" s="1"/>
  <c r="A359" i="26" s="1"/>
  <c r="A360" i="26" s="1"/>
  <c r="A361" i="26" s="1"/>
  <c r="A362" i="26" s="1"/>
  <c r="A363" i="26" s="1"/>
  <c r="A364" i="26" s="1"/>
  <c r="A365" i="26" s="1"/>
  <c r="A366" i="26" s="1"/>
  <c r="A367" i="26" s="1"/>
  <c r="A368" i="26" s="1"/>
  <c r="A369" i="26" s="1"/>
  <c r="A370" i="26" s="1"/>
  <c r="A371" i="26" s="1"/>
  <c r="A372" i="26" s="1"/>
  <c r="A373" i="26" s="1"/>
  <c r="A374" i="26" s="1"/>
  <c r="A375" i="26" s="1"/>
  <c r="A376" i="26" s="1"/>
  <c r="A377" i="26" s="1"/>
  <c r="A378" i="26" s="1"/>
  <c r="A379" i="26" s="1"/>
  <c r="A380" i="26" s="1"/>
  <c r="A381" i="26" s="1"/>
  <c r="A382" i="26" s="1"/>
  <c r="A383" i="26" s="1"/>
  <c r="A384" i="26" s="1"/>
  <c r="A385" i="26" s="1"/>
  <c r="A386" i="26" s="1"/>
  <c r="A387" i="26" s="1"/>
  <c r="A388" i="26" s="1"/>
  <c r="A389" i="26" s="1"/>
  <c r="A390" i="26" s="1"/>
  <c r="A391" i="26" s="1"/>
  <c r="A392" i="26" s="1"/>
  <c r="A393" i="26" s="1"/>
  <c r="A394" i="26" s="1"/>
  <c r="A395" i="26" s="1"/>
  <c r="A396" i="26" s="1"/>
  <c r="A397" i="26" s="1"/>
  <c r="A398" i="26" s="1"/>
  <c r="A399" i="26" s="1"/>
  <c r="A400" i="26" s="1"/>
  <c r="A401" i="26" s="1"/>
  <c r="A402" i="26" s="1"/>
  <c r="A403" i="26" s="1"/>
  <c r="A404" i="26" s="1"/>
  <c r="A405" i="26" s="1"/>
  <c r="A406" i="26" s="1"/>
  <c r="A407" i="26" s="1"/>
  <c r="A408" i="26" s="1"/>
  <c r="A409" i="26" s="1"/>
  <c r="A410" i="26" s="1"/>
  <c r="A411" i="26" s="1"/>
  <c r="A412" i="26" s="1"/>
  <c r="A413" i="26" s="1"/>
  <c r="A414" i="26" s="1"/>
  <c r="A415" i="26" s="1"/>
  <c r="A416" i="26" s="1"/>
  <c r="A417" i="26" s="1"/>
  <c r="A418" i="26" s="1"/>
  <c r="A419" i="26" s="1"/>
  <c r="A420" i="26" s="1"/>
  <c r="A421" i="26" s="1"/>
  <c r="A422" i="26" s="1"/>
  <c r="A423" i="26" s="1"/>
  <c r="A424" i="26" s="1"/>
  <c r="A425" i="26" s="1"/>
  <c r="A426" i="26" s="1"/>
  <c r="A427" i="26" s="1"/>
  <c r="A428" i="26" s="1"/>
  <c r="A429" i="26" s="1"/>
  <c r="A430" i="26" s="1"/>
  <c r="A431" i="26" s="1"/>
  <c r="A432" i="26" s="1"/>
  <c r="A433" i="26" s="1"/>
  <c r="A434" i="26" s="1"/>
  <c r="A435" i="26" s="1"/>
  <c r="A436" i="26" s="1"/>
  <c r="A437" i="26" s="1"/>
  <c r="A438" i="26" s="1"/>
  <c r="A439" i="26" s="1"/>
  <c r="A440" i="26" s="1"/>
  <c r="A441" i="26" s="1"/>
  <c r="A442" i="26" s="1"/>
  <c r="A443" i="26" s="1"/>
  <c r="A444" i="26" s="1"/>
  <c r="A445" i="26" s="1"/>
  <c r="A446" i="26" s="1"/>
  <c r="A447" i="26" s="1"/>
  <c r="A448" i="26" s="1"/>
  <c r="A449" i="26" s="1"/>
  <c r="A450" i="26" s="1"/>
  <c r="A451" i="26" s="1"/>
  <c r="A452" i="26" s="1"/>
  <c r="A453" i="26" s="1"/>
  <c r="A454" i="26" s="1"/>
  <c r="A455" i="26" s="1"/>
  <c r="A456" i="26" s="1"/>
  <c r="A457" i="26" s="1"/>
  <c r="A458" i="26" s="1"/>
  <c r="A459" i="26" s="1"/>
  <c r="A460" i="26" s="1"/>
  <c r="A461" i="26" s="1"/>
  <c r="A462" i="26" s="1"/>
  <c r="A463" i="26" l="1"/>
  <c r="A464" i="26" s="1"/>
  <c r="A465" i="26" s="1"/>
  <c r="A466" i="26" s="1"/>
  <c r="A467" i="26" s="1"/>
  <c r="A468" i="26" s="1"/>
  <c r="A469" i="26" s="1"/>
  <c r="A470" i="26" s="1"/>
  <c r="A471" i="26" s="1"/>
  <c r="A472" i="26" s="1"/>
  <c r="A473" i="26" s="1"/>
  <c r="A474" i="26" s="1"/>
  <c r="A475" i="26" s="1"/>
  <c r="A476" i="26" s="1"/>
  <c r="A477" i="26" s="1"/>
  <c r="A478" i="26" s="1"/>
  <c r="A479" i="26" l="1"/>
  <c r="A480" i="26" l="1"/>
  <c r="W119" i="57"/>
  <c r="X119" i="57" s="1"/>
  <c r="S579" i="57"/>
  <c r="T579" i="57" s="1"/>
  <c r="AO68" i="9"/>
  <c r="AO69" i="9"/>
  <c r="S325" i="57"/>
  <c r="S567" i="57"/>
  <c r="T567" i="57" s="1"/>
  <c r="AO56" i="9"/>
  <c r="AO45" i="9"/>
  <c r="AO41" i="9"/>
  <c r="AO88" i="9"/>
  <c r="AO85" i="9"/>
  <c r="AO46" i="9"/>
  <c r="AO92" i="9"/>
  <c r="AO73" i="9"/>
  <c r="AO101" i="9"/>
  <c r="S575" i="57"/>
  <c r="T575" i="57" s="1"/>
  <c r="G138" i="57"/>
  <c r="H138" i="57" s="1"/>
  <c r="S182" i="57"/>
  <c r="Y182" i="57" s="1"/>
  <c r="AC187" i="57" s="1"/>
  <c r="AO20" i="9"/>
  <c r="AO22" i="9"/>
  <c r="AO58" i="9"/>
  <c r="W116" i="57"/>
  <c r="X116" i="57" s="1"/>
  <c r="AO48" i="9"/>
  <c r="AO72" i="9"/>
  <c r="S292" i="57"/>
  <c r="T292" i="57" s="1"/>
  <c r="Z292" i="57" s="1"/>
  <c r="AO100" i="9"/>
  <c r="AO49" i="9"/>
  <c r="G501" i="57"/>
  <c r="AO84" i="9"/>
  <c r="AO28" i="9"/>
  <c r="S545" i="57"/>
  <c r="T545" i="57" s="1"/>
  <c r="S721" i="57"/>
  <c r="Y721" i="57" s="1"/>
  <c r="AC726" i="57" s="1"/>
  <c r="AO96" i="9"/>
  <c r="AO21" i="9"/>
  <c r="K600" i="57"/>
  <c r="AO98" i="9"/>
  <c r="AO40" i="9"/>
  <c r="AO24" i="9"/>
  <c r="AO60" i="9"/>
  <c r="AO74" i="9"/>
  <c r="AO94" i="9"/>
  <c r="AO16" i="9"/>
  <c r="W545" i="57"/>
  <c r="X545" i="57" s="1"/>
  <c r="W325" i="57"/>
  <c r="X325" i="57" s="1"/>
  <c r="AO17" i="9"/>
  <c r="AO39" i="9"/>
  <c r="S237" i="57"/>
  <c r="T237" i="57" s="1"/>
  <c r="S39" i="57"/>
  <c r="T39" i="57" s="1"/>
  <c r="AO23" i="9"/>
  <c r="AO50" i="9"/>
  <c r="S501" i="57"/>
  <c r="T501" i="57" s="1"/>
  <c r="AO70" i="9"/>
  <c r="AO43" i="9"/>
  <c r="AO27" i="9"/>
  <c r="S215" i="57"/>
  <c r="T215" i="57" s="1"/>
  <c r="AO26" i="9"/>
  <c r="W630" i="57"/>
  <c r="X630" i="57" s="1"/>
  <c r="AO89" i="9"/>
  <c r="AO59" i="9"/>
  <c r="AO19" i="9"/>
  <c r="AO71" i="9"/>
  <c r="W215" i="57"/>
  <c r="X215" i="57" s="1"/>
  <c r="AO95" i="9"/>
  <c r="AO18" i="9"/>
  <c r="AO42" i="9"/>
  <c r="AO47" i="9"/>
  <c r="W707" i="57"/>
  <c r="X707" i="57" s="1"/>
  <c r="W245" i="57"/>
  <c r="X245" i="57" s="1"/>
  <c r="W490" i="57"/>
  <c r="X490" i="57" s="1"/>
  <c r="S710" i="57"/>
  <c r="T710" i="57" s="1"/>
  <c r="AO86" i="9"/>
  <c r="AO93" i="9"/>
  <c r="S204" i="57"/>
  <c r="T204" i="57" s="1"/>
  <c r="Z204" i="57" s="1"/>
  <c r="AO91" i="9"/>
  <c r="S600" i="57"/>
  <c r="T600" i="57" s="1"/>
  <c r="AO97" i="9"/>
  <c r="Y17" i="57"/>
  <c r="S666" i="57"/>
  <c r="Y666" i="57" s="1"/>
  <c r="AC671" i="57" s="1"/>
  <c r="S347" i="57"/>
  <c r="T347" i="57" s="1"/>
  <c r="W548" i="57"/>
  <c r="X548" i="57" s="1"/>
  <c r="S446" i="57"/>
  <c r="Y446" i="57" s="1"/>
  <c r="AC451" i="57" s="1"/>
  <c r="S548" i="57"/>
  <c r="S457" i="57"/>
  <c r="Y457" i="57" s="1"/>
  <c r="AC462" i="57" s="1"/>
  <c r="S138" i="57"/>
  <c r="W237" i="57"/>
  <c r="X237" i="57" s="1"/>
  <c r="G215" i="57"/>
  <c r="H215" i="57" s="1"/>
  <c r="AO15" i="9"/>
  <c r="W498" i="57"/>
  <c r="X498" i="57" s="1"/>
  <c r="S116" i="57"/>
  <c r="S490" i="57"/>
  <c r="T490" i="57" s="1"/>
  <c r="S83" i="57"/>
  <c r="T83" i="57" s="1"/>
  <c r="S513" i="57"/>
  <c r="Y512" i="57" s="1"/>
  <c r="AC517" i="57" s="1"/>
  <c r="S303" i="57"/>
  <c r="T303" i="57" s="1"/>
  <c r="Z303" i="57" s="1"/>
  <c r="W39" i="57"/>
  <c r="X39" i="57" s="1"/>
  <c r="AO99" i="9"/>
  <c r="AO90" i="9"/>
  <c r="AO57" i="9"/>
  <c r="AO44" i="9"/>
  <c r="W702" i="57"/>
  <c r="W710" i="57"/>
  <c r="X710" i="57" s="1"/>
  <c r="S622" i="57"/>
  <c r="S578" i="57"/>
  <c r="AO38" i="9"/>
  <c r="AO67" i="9"/>
  <c r="AO87" i="9"/>
  <c r="AO25" i="9"/>
  <c r="K196" i="57"/>
  <c r="Y193" i="57" s="1"/>
  <c r="AC198" i="57" s="1"/>
  <c r="G710" i="57"/>
  <c r="K350" i="57"/>
  <c r="L350" i="57" s="1"/>
  <c r="S534" i="57"/>
  <c r="T534" i="57" s="1"/>
  <c r="Z534" i="57" s="1"/>
  <c r="S149" i="57"/>
  <c r="Y149" i="57" s="1"/>
  <c r="AC154" i="57" s="1"/>
  <c r="G83" i="57"/>
  <c r="H83" i="57" s="1"/>
  <c r="A481" i="26" l="1"/>
  <c r="AC901" i="57"/>
  <c r="AC868" i="57"/>
  <c r="AC824" i="57"/>
  <c r="AC846" i="57"/>
  <c r="AC835" i="57"/>
  <c r="AC857" i="57"/>
  <c r="AC76" i="57"/>
  <c r="AC395" i="57"/>
  <c r="Y622" i="57"/>
  <c r="AC627" i="57" s="1"/>
  <c r="AC10" i="57"/>
  <c r="Y138" i="57"/>
  <c r="AC143" i="57" s="1"/>
  <c r="AC637" i="57"/>
  <c r="AC681" i="57"/>
  <c r="AC560" i="57"/>
  <c r="AC802" i="57"/>
  <c r="AC791" i="57"/>
  <c r="AC813" i="57"/>
  <c r="AC692" i="57"/>
  <c r="AC736" i="57"/>
  <c r="Y545" i="57"/>
  <c r="AC550" i="57" s="1"/>
  <c r="AC406" i="57"/>
  <c r="AC439" i="57"/>
  <c r="AC65" i="57"/>
  <c r="AC54" i="57"/>
  <c r="AC230" i="57"/>
  <c r="AC318" i="57"/>
  <c r="AC362" i="57"/>
  <c r="AC373" i="57"/>
  <c r="AC428" i="57"/>
  <c r="AC780" i="57"/>
  <c r="AC252" i="57"/>
  <c r="AC164" i="57"/>
  <c r="AC175" i="57"/>
  <c r="AC747" i="57"/>
  <c r="AC769" i="57"/>
  <c r="AC758" i="57"/>
  <c r="AC659" i="57"/>
  <c r="AC648" i="57"/>
  <c r="AC615" i="57"/>
  <c r="AC593" i="57"/>
  <c r="AC527" i="57"/>
  <c r="AC483" i="57"/>
  <c r="AC472" i="57"/>
  <c r="AC417" i="57"/>
  <c r="AC384" i="57"/>
  <c r="AC285" i="57"/>
  <c r="AC131" i="57"/>
  <c r="AC263" i="57"/>
  <c r="AC274" i="57"/>
  <c r="AC109" i="57"/>
  <c r="AC98" i="57"/>
  <c r="AC208" i="57"/>
  <c r="Y578" i="57"/>
  <c r="AC583" i="57" s="1"/>
  <c r="Z215" i="57"/>
  <c r="AC219" i="57" s="1"/>
  <c r="Y699" i="57"/>
  <c r="AC704" i="57" s="1"/>
  <c r="Y116" i="57"/>
  <c r="AC121" i="57" s="1"/>
  <c r="AC307" i="57"/>
  <c r="AC22" i="57"/>
  <c r="AC538" i="57"/>
  <c r="AC296" i="57"/>
  <c r="AL34" i="61"/>
  <c r="Y710" i="57"/>
  <c r="AC715" i="57" s="1"/>
  <c r="Y83" i="57"/>
  <c r="AC88" i="57" s="1"/>
  <c r="Y347" i="57"/>
  <c r="AC352" i="57" s="1"/>
  <c r="H710" i="57"/>
  <c r="T138" i="57"/>
  <c r="Z138" i="57" s="1"/>
  <c r="AC142" i="57" s="1"/>
  <c r="AV1" i="9"/>
  <c r="X702" i="57"/>
  <c r="Z699" i="57" s="1"/>
  <c r="AC703" i="57" s="1"/>
  <c r="T548" i="57"/>
  <c r="Z545" i="57" s="1"/>
  <c r="AC549" i="57" s="1"/>
  <c r="Y600" i="57"/>
  <c r="AC605" i="57" s="1"/>
  <c r="Z490" i="57"/>
  <c r="AC494" i="57" s="1"/>
  <c r="Z17" i="57"/>
  <c r="Z710" i="57"/>
  <c r="AC714" i="57" s="1"/>
  <c r="Y567" i="57"/>
  <c r="AC572" i="57" s="1"/>
  <c r="T578" i="57"/>
  <c r="Z578" i="57" s="1"/>
  <c r="AC582" i="57" s="1"/>
  <c r="Z347" i="57"/>
  <c r="AC351" i="57" s="1"/>
  <c r="T149" i="57"/>
  <c r="Z149" i="57" s="1"/>
  <c r="AC153" i="57" s="1"/>
  <c r="L196" i="57"/>
  <c r="Z193" i="57" s="1"/>
  <c r="AC197" i="57" s="1"/>
  <c r="T116" i="57"/>
  <c r="Z116" i="57" s="1"/>
  <c r="AC120" i="57" s="1"/>
  <c r="Y501" i="57"/>
  <c r="AC506" i="57" s="1"/>
  <c r="Y325" i="57"/>
  <c r="AC330" i="57" s="1"/>
  <c r="Z237" i="57"/>
  <c r="AC241" i="57" s="1"/>
  <c r="Z83" i="57"/>
  <c r="AC87" i="57" s="1"/>
  <c r="D4" i="68"/>
  <c r="Z567" i="57"/>
  <c r="AC571" i="57" s="1"/>
  <c r="Z39" i="57"/>
  <c r="E6" i="68" s="1"/>
  <c r="Y303" i="57"/>
  <c r="AC308" i="57" s="1"/>
  <c r="Y39" i="57"/>
  <c r="T721" i="57"/>
  <c r="Z721" i="57" s="1"/>
  <c r="AC725" i="57" s="1"/>
  <c r="T182" i="57"/>
  <c r="Z182" i="57" s="1"/>
  <c r="AC186" i="57" s="1"/>
  <c r="T325" i="57"/>
  <c r="Z325" i="57" s="1"/>
  <c r="AC329" i="57" s="1"/>
  <c r="T457" i="57"/>
  <c r="Z457" i="57" s="1"/>
  <c r="AC461" i="57" s="1"/>
  <c r="T446" i="57"/>
  <c r="Z446" i="57" s="1"/>
  <c r="AC450" i="57" s="1"/>
  <c r="Y490" i="57"/>
  <c r="AC495" i="57" s="1"/>
  <c r="T666" i="57"/>
  <c r="Z666" i="57" s="1"/>
  <c r="AC670" i="57" s="1"/>
  <c r="Y204" i="57"/>
  <c r="AC209" i="57" s="1"/>
  <c r="Y292" i="57"/>
  <c r="AC297" i="57" s="1"/>
  <c r="Y534" i="57"/>
  <c r="AC539" i="57" s="1"/>
  <c r="T622" i="57"/>
  <c r="Z622" i="57" s="1"/>
  <c r="AC626" i="57" s="1"/>
  <c r="T513" i="57"/>
  <c r="Z512" i="57" s="1"/>
  <c r="AC516" i="57" s="1"/>
  <c r="Y215" i="57"/>
  <c r="AC220" i="57" s="1"/>
  <c r="Y237" i="57"/>
  <c r="AC242" i="57" s="1"/>
  <c r="L600" i="57"/>
  <c r="Z600" i="57" s="1"/>
  <c r="AC604" i="57" s="1"/>
  <c r="H501" i="57"/>
  <c r="Z501" i="57" s="1"/>
  <c r="AC505" i="57" s="1"/>
  <c r="A482" i="26" l="1"/>
  <c r="D6" i="68"/>
  <c r="AC44" i="57"/>
  <c r="Y930" i="57"/>
  <c r="E4" i="68"/>
  <c r="Z930" i="57"/>
  <c r="AW1" i="9" s="1"/>
  <c r="AW2" i="9" s="1"/>
  <c r="AC43" i="57"/>
  <c r="AC21" i="57"/>
  <c r="A483" i="26" l="1"/>
  <c r="AU1" i="9"/>
  <c r="A484" i="26" l="1"/>
  <c r="AD572" i="57"/>
  <c r="A485" i="26" l="1"/>
  <c r="A486" i="26" l="1"/>
  <c r="A487" i="26" l="1"/>
  <c r="A488" i="26" l="1"/>
  <c r="A489" i="26" l="1"/>
  <c r="A490" i="26" l="1"/>
  <c r="A491" i="26" l="1"/>
  <c r="A492" i="26" l="1"/>
  <c r="A493" i="26" l="1"/>
  <c r="C13" i="38"/>
  <c r="AD15" i="65"/>
  <c r="W20" i="38"/>
  <c r="AB17" i="38"/>
  <c r="M14" i="38"/>
  <c r="W15" i="65"/>
  <c r="S23" i="65"/>
  <c r="AG19" i="38"/>
  <c r="M19" i="65"/>
  <c r="AH13" i="38"/>
  <c r="R26" i="38"/>
  <c r="O10" i="65"/>
  <c r="E24" i="65"/>
  <c r="AI19" i="65"/>
  <c r="B26" i="38"/>
  <c r="AE14" i="38"/>
  <c r="C9" i="65"/>
  <c r="T10" i="65"/>
  <c r="Q24" i="65"/>
  <c r="AF18" i="38"/>
  <c r="Q12" i="65"/>
  <c r="X24" i="38"/>
  <c r="U16" i="38"/>
  <c r="AI23" i="65"/>
  <c r="E14" i="65"/>
  <c r="U9" i="65"/>
  <c r="O11" i="65"/>
  <c r="AA14" i="65"/>
  <c r="I14" i="38"/>
  <c r="Q19" i="38"/>
  <c r="T18" i="65"/>
  <c r="P12" i="65"/>
  <c r="W8" i="38"/>
  <c r="H9" i="65"/>
  <c r="I24" i="38"/>
  <c r="Q19" i="65"/>
  <c r="N23" i="38"/>
  <c r="U22" i="38"/>
  <c r="I11" i="65"/>
  <c r="D16" i="38"/>
  <c r="AB26" i="38"/>
  <c r="X23" i="65"/>
  <c r="F9" i="38"/>
  <c r="AD10" i="38"/>
  <c r="AA21" i="65"/>
  <c r="H16" i="38"/>
  <c r="P10" i="38"/>
  <c r="S21" i="65"/>
  <c r="K20" i="65"/>
  <c r="M13" i="65"/>
  <c r="V25" i="65"/>
  <c r="M15" i="65"/>
  <c r="AE17" i="38"/>
  <c r="T25" i="38"/>
  <c r="C26" i="38"/>
  <c r="AE25" i="65"/>
  <c r="S15" i="65"/>
  <c r="E26" i="38"/>
  <c r="AD17" i="65"/>
  <c r="K8" i="38"/>
  <c r="R8" i="38"/>
  <c r="Y9" i="38"/>
  <c r="Z10" i="38"/>
  <c r="E7" i="38"/>
  <c r="AG9" i="38"/>
  <c r="AF13" i="65"/>
  <c r="N22" i="38"/>
  <c r="S17" i="38"/>
  <c r="AG21" i="38"/>
  <c r="F25" i="65"/>
  <c r="Q10" i="38"/>
  <c r="O14" i="65"/>
  <c r="M20" i="38"/>
  <c r="D21" i="38"/>
  <c r="E25" i="38"/>
  <c r="H12" i="38"/>
  <c r="W18" i="38"/>
  <c r="L23" i="38"/>
  <c r="X20" i="38"/>
  <c r="X7" i="65"/>
  <c r="Q26" i="38"/>
  <c r="AG22" i="65"/>
  <c r="V16" i="65"/>
  <c r="C10" i="38"/>
  <c r="I12" i="38"/>
  <c r="T22" i="65"/>
  <c r="Y13" i="38"/>
  <c r="M20" i="65"/>
  <c r="H20" i="38"/>
  <c r="V17" i="65"/>
  <c r="E12" i="65"/>
  <c r="Y15" i="38"/>
  <c r="E8" i="38"/>
  <c r="C11" i="38"/>
  <c r="AE11" i="38"/>
  <c r="R15" i="38"/>
  <c r="AG17" i="65"/>
  <c r="S8" i="65"/>
  <c r="J26" i="38"/>
  <c r="AB13" i="65"/>
  <c r="R14" i="65"/>
  <c r="P17" i="65"/>
  <c r="M12" i="65"/>
  <c r="AE17" i="65"/>
  <c r="AE19" i="65"/>
  <c r="G15" i="38"/>
  <c r="Z21" i="65"/>
  <c r="AC17" i="65"/>
  <c r="G26" i="38"/>
  <c r="J16" i="38"/>
  <c r="B19" i="38"/>
  <c r="H17" i="65"/>
  <c r="V11" i="65"/>
  <c r="AE26" i="38"/>
  <c r="AE23" i="38"/>
  <c r="AB12" i="65"/>
  <c r="AI12" i="65"/>
  <c r="R11" i="65"/>
  <c r="AI11" i="65"/>
  <c r="AG14" i="38"/>
  <c r="AF19" i="38"/>
  <c r="AE18" i="65"/>
  <c r="AI7" i="65"/>
  <c r="N26" i="38"/>
  <c r="J20" i="38"/>
  <c r="K7" i="38"/>
  <c r="AF10" i="65"/>
  <c r="T18" i="38"/>
  <c r="D25" i="38"/>
  <c r="V17" i="38"/>
  <c r="W7" i="38"/>
  <c r="Y12" i="38"/>
  <c r="AC22" i="38"/>
  <c r="B14" i="65"/>
  <c r="K16" i="38"/>
  <c r="X10" i="38"/>
  <c r="S22" i="38"/>
  <c r="Q21" i="38"/>
  <c r="AC8" i="65"/>
  <c r="G22" i="65"/>
  <c r="V22" i="65"/>
  <c r="O19" i="65"/>
  <c r="N21" i="65"/>
  <c r="Q25" i="65"/>
  <c r="AD24" i="65"/>
  <c r="AD13" i="65"/>
  <c r="J22" i="65"/>
  <c r="AH10" i="38"/>
  <c r="AC18" i="38"/>
  <c r="S8" i="38"/>
  <c r="W9" i="65"/>
  <c r="Z23" i="65"/>
  <c r="Y14" i="65"/>
  <c r="T19" i="38"/>
  <c r="AH20" i="38"/>
  <c r="M7" i="65"/>
  <c r="AC12" i="65"/>
  <c r="AE14" i="65"/>
  <c r="V22" i="38"/>
  <c r="AI21" i="65"/>
  <c r="U16" i="65"/>
  <c r="P16" i="65"/>
  <c r="P23" i="65"/>
  <c r="G13" i="65"/>
  <c r="W11" i="65"/>
  <c r="AH17" i="38"/>
  <c r="AA20" i="38"/>
  <c r="D22" i="38"/>
  <c r="T11" i="65"/>
  <c r="AE18" i="38"/>
  <c r="AI20" i="65"/>
  <c r="B11" i="38"/>
  <c r="AH11" i="38"/>
  <c r="B24" i="38"/>
  <c r="B22" i="65"/>
  <c r="B23" i="65"/>
  <c r="AA24" i="38"/>
  <c r="K24" i="65"/>
  <c r="AG11" i="38"/>
  <c r="B15" i="38"/>
  <c r="AD11" i="38"/>
  <c r="K23" i="65"/>
  <c r="D13" i="38"/>
  <c r="L16" i="65"/>
  <c r="J15" i="38"/>
  <c r="T7" i="38"/>
  <c r="AD21" i="65"/>
  <c r="R9" i="65"/>
  <c r="AG8" i="38"/>
  <c r="AH20" i="65"/>
  <c r="I9" i="65"/>
  <c r="U14" i="65"/>
  <c r="Y18" i="38"/>
  <c r="W18" i="65"/>
  <c r="AF26" i="38"/>
  <c r="G21" i="65"/>
  <c r="P14" i="38"/>
  <c r="AG8" i="65"/>
  <c r="F23" i="65"/>
  <c r="I26" i="38"/>
  <c r="Z18" i="65"/>
  <c r="B13" i="38"/>
  <c r="AE7" i="65"/>
  <c r="N15" i="38"/>
  <c r="N17" i="38"/>
  <c r="AA18" i="65"/>
  <c r="W24" i="65"/>
  <c r="AA15" i="38"/>
  <c r="C20" i="65"/>
  <c r="AD14" i="38"/>
  <c r="AC13" i="65"/>
  <c r="N19" i="38"/>
  <c r="G25" i="65"/>
  <c r="Z18" i="38"/>
  <c r="P9" i="38"/>
  <c r="D21" i="65"/>
  <c r="P21" i="38"/>
  <c r="Z12" i="65"/>
  <c r="AB21" i="65"/>
  <c r="L18" i="38"/>
  <c r="Q8" i="38"/>
  <c r="W23" i="38"/>
  <c r="AC11" i="65"/>
  <c r="AA7" i="38"/>
  <c r="S22" i="65"/>
  <c r="G11" i="38"/>
  <c r="F11" i="38"/>
  <c r="I18" i="38"/>
  <c r="H10" i="65"/>
  <c r="J19" i="38"/>
  <c r="D18" i="38"/>
  <c r="J10" i="65"/>
  <c r="B16" i="38"/>
  <c r="AA8" i="38"/>
  <c r="K25" i="38"/>
  <c r="AI22" i="38"/>
  <c r="F8" i="38"/>
  <c r="AD16" i="38"/>
  <c r="AC16" i="65"/>
  <c r="F26" i="38"/>
  <c r="F15" i="65"/>
  <c r="Q20" i="38"/>
  <c r="AF12" i="65"/>
  <c r="T15" i="38"/>
  <c r="G8" i="65"/>
  <c r="D18" i="65"/>
  <c r="AH8" i="38"/>
  <c r="E21" i="65"/>
  <c r="I8" i="38"/>
  <c r="N12" i="38"/>
  <c r="K15" i="65"/>
  <c r="AA12" i="65"/>
  <c r="H18" i="38"/>
  <c r="B24" i="65"/>
  <c r="AB7" i="38"/>
  <c r="AF10" i="38"/>
  <c r="X11" i="65"/>
  <c r="AE16" i="65"/>
  <c r="Z13" i="38"/>
  <c r="C21" i="38"/>
  <c r="AG18" i="65"/>
  <c r="R20" i="38"/>
  <c r="L9" i="65"/>
  <c r="I23" i="65"/>
  <c r="I9" i="38"/>
  <c r="S14" i="38"/>
  <c r="G12" i="65"/>
  <c r="L24" i="38"/>
  <c r="S16" i="38"/>
  <c r="F12" i="38"/>
  <c r="L8" i="38"/>
  <c r="V12" i="38"/>
  <c r="H19" i="38"/>
  <c r="C23" i="65"/>
  <c r="H10" i="38"/>
  <c r="U13" i="38"/>
  <c r="AB20" i="38"/>
  <c r="AA9" i="38"/>
  <c r="E15" i="38"/>
  <c r="C17" i="38"/>
  <c r="V8" i="38"/>
  <c r="P8" i="38"/>
  <c r="AE13" i="65"/>
  <c r="B7" i="65"/>
  <c r="K17" i="65"/>
  <c r="O12" i="38"/>
  <c r="U24" i="38"/>
  <c r="N23" i="65"/>
  <c r="S24" i="65"/>
  <c r="AF17" i="38"/>
  <c r="N10" i="38"/>
  <c r="Z22" i="65"/>
  <c r="I20" i="38"/>
  <c r="W9" i="38"/>
  <c r="AC16" i="38"/>
  <c r="B8" i="65"/>
  <c r="V12" i="65"/>
  <c r="AG22" i="38"/>
  <c r="AF20" i="65"/>
  <c r="H25" i="65"/>
  <c r="AE15" i="65"/>
  <c r="O21" i="65"/>
  <c r="O25" i="65"/>
  <c r="AB20" i="65"/>
  <c r="M22" i="38"/>
  <c r="J21" i="38"/>
  <c r="AD22" i="38"/>
  <c r="Z15" i="38"/>
  <c r="AD7" i="65"/>
  <c r="C24" i="38"/>
  <c r="N13" i="38"/>
  <c r="AF18" i="65"/>
  <c r="R17" i="38"/>
  <c r="N13" i="65"/>
  <c r="AG7" i="38"/>
  <c r="J8" i="65"/>
  <c r="D22" i="65"/>
  <c r="X24" i="65"/>
  <c r="P25" i="38"/>
  <c r="AG10" i="38"/>
  <c r="T17" i="65"/>
  <c r="D14" i="65"/>
  <c r="AB25" i="38"/>
  <c r="Z21" i="38"/>
  <c r="X26" i="38"/>
  <c r="I19" i="38"/>
  <c r="L8" i="65"/>
  <c r="P16" i="38"/>
  <c r="N20" i="65"/>
  <c r="AH7" i="65"/>
  <c r="M7" i="38"/>
  <c r="F11" i="65"/>
  <c r="B8" i="38"/>
  <c r="AA16" i="38"/>
  <c r="N14" i="65"/>
  <c r="AA10" i="65"/>
  <c r="L22" i="65"/>
  <c r="K16" i="65"/>
  <c r="J13" i="38"/>
  <c r="L15" i="38"/>
  <c r="P22" i="65"/>
  <c r="J11" i="38"/>
  <c r="B11" i="65"/>
  <c r="W13" i="65"/>
  <c r="AF11" i="38"/>
  <c r="S25" i="65"/>
  <c r="K22" i="65"/>
  <c r="X14" i="38"/>
  <c r="K18" i="38"/>
  <c r="K21" i="65"/>
  <c r="AC21" i="65"/>
  <c r="U11" i="38"/>
  <c r="U19" i="65"/>
  <c r="AD20" i="38"/>
  <c r="AF22" i="65"/>
  <c r="AC20" i="65"/>
  <c r="G17" i="38"/>
  <c r="C25" i="65"/>
  <c r="C21" i="65"/>
  <c r="J17" i="65"/>
  <c r="AE22" i="38"/>
  <c r="AH14" i="38"/>
  <c r="AG16" i="38"/>
  <c r="W26" i="38"/>
  <c r="O23" i="65"/>
  <c r="Y16" i="65"/>
  <c r="C18" i="65"/>
  <c r="D17" i="38"/>
  <c r="AE25" i="38"/>
  <c r="AB19" i="38"/>
  <c r="AF14" i="65"/>
  <c r="AG17" i="38"/>
  <c r="R19" i="65"/>
  <c r="AF16" i="65"/>
  <c r="AF21" i="65"/>
  <c r="Z9" i="38"/>
  <c r="O20" i="38"/>
  <c r="T9" i="38"/>
  <c r="U9" i="38"/>
  <c r="S13" i="38"/>
  <c r="G16" i="65"/>
  <c r="AG13" i="38"/>
  <c r="AH21" i="65"/>
  <c r="Z25" i="65"/>
  <c r="X19" i="38"/>
  <c r="AI15" i="65"/>
  <c r="E23" i="65"/>
  <c r="W22" i="38"/>
  <c r="AE8" i="65"/>
  <c r="E23" i="38"/>
  <c r="R18" i="65"/>
  <c r="Z11" i="65"/>
  <c r="I19" i="65"/>
  <c r="G24" i="38"/>
  <c r="V26" i="38"/>
  <c r="J24" i="65"/>
  <c r="M25" i="65"/>
  <c r="AG16" i="65"/>
  <c r="AE9" i="65"/>
  <c r="C9" i="38"/>
  <c r="B7" i="38"/>
  <c r="W21" i="65"/>
  <c r="S10" i="38"/>
  <c r="B25" i="65"/>
  <c r="Y11" i="65"/>
  <c r="W12" i="38"/>
  <c r="K12" i="65"/>
  <c r="AH11" i="65"/>
  <c r="AA7" i="65"/>
  <c r="V11" i="38"/>
  <c r="AH17" i="65"/>
  <c r="R24" i="38"/>
  <c r="F24" i="65"/>
  <c r="M10" i="65"/>
  <c r="AC17" i="38"/>
  <c r="B21" i="38"/>
  <c r="AC22" i="65"/>
  <c r="W22" i="65"/>
  <c r="AB23" i="65"/>
  <c r="E13" i="65"/>
  <c r="L20" i="38"/>
  <c r="AD19" i="38"/>
  <c r="X17" i="38"/>
  <c r="AI10" i="38"/>
  <c r="AC25" i="38"/>
  <c r="H25" i="38"/>
  <c r="P18" i="65"/>
  <c r="H8" i="38"/>
  <c r="N18" i="38"/>
  <c r="H14" i="65"/>
  <c r="D11" i="65"/>
  <c r="AB17" i="65"/>
  <c r="G9" i="65"/>
  <c r="AC12" i="38"/>
  <c r="E9" i="65"/>
  <c r="M11" i="65"/>
  <c r="G14" i="65"/>
  <c r="T24" i="38"/>
  <c r="E7" i="65"/>
  <c r="C14" i="38"/>
  <c r="Z13" i="65"/>
  <c r="G14" i="38"/>
  <c r="V10" i="38"/>
  <c r="Y9" i="65"/>
  <c r="AH7" i="38"/>
  <c r="AD15" i="38"/>
  <c r="AB24" i="38"/>
  <c r="Q24" i="38"/>
  <c r="C12" i="65"/>
  <c r="L25" i="65"/>
  <c r="F16" i="65"/>
  <c r="AD16" i="65"/>
  <c r="M11" i="38"/>
  <c r="D9" i="65"/>
  <c r="V7" i="38"/>
  <c r="AI8" i="65"/>
  <c r="F10" i="38"/>
  <c r="V20" i="65"/>
  <c r="AD9" i="65"/>
  <c r="AD22" i="65"/>
  <c r="AA16" i="65"/>
  <c r="AB8" i="38"/>
  <c r="W11" i="38"/>
  <c r="X14" i="65"/>
  <c r="Z7" i="38"/>
  <c r="X13" i="38"/>
  <c r="F17" i="38"/>
  <c r="AE21" i="65"/>
  <c r="T15" i="65"/>
  <c r="M15" i="38"/>
  <c r="AI13" i="38"/>
  <c r="O15" i="38"/>
  <c r="Z16" i="65"/>
  <c r="P24" i="38"/>
  <c r="AH25" i="65"/>
  <c r="H17" i="38"/>
  <c r="T13" i="38"/>
  <c r="W14" i="65"/>
  <c r="AC8" i="38"/>
  <c r="N21" i="38"/>
  <c r="AB18" i="38"/>
  <c r="Z14" i="38"/>
  <c r="AA19" i="38"/>
  <c r="AI14" i="65"/>
  <c r="L12" i="65"/>
  <c r="B12" i="38"/>
  <c r="P22" i="38"/>
  <c r="S10" i="65"/>
  <c r="F7" i="65"/>
  <c r="R24" i="65"/>
  <c r="Y13" i="65"/>
  <c r="Q7" i="38"/>
  <c r="C8" i="65"/>
  <c r="AH16" i="65"/>
  <c r="AE16" i="38"/>
  <c r="Q8" i="65"/>
  <c r="E17" i="38"/>
  <c r="S21" i="38"/>
  <c r="R7" i="65"/>
  <c r="AF21" i="38"/>
  <c r="D20" i="38"/>
  <c r="AG19" i="65"/>
  <c r="N15" i="65"/>
  <c r="P17" i="38"/>
  <c r="O10" i="38"/>
  <c r="M23" i="65"/>
  <c r="AA23" i="38"/>
  <c r="Q11" i="38"/>
  <c r="AE22" i="65"/>
  <c r="I15" i="38"/>
  <c r="AC18" i="65"/>
  <c r="Q7" i="65"/>
  <c r="F7" i="38"/>
  <c r="T20" i="38"/>
  <c r="M23" i="38"/>
  <c r="AC20" i="38"/>
  <c r="F16" i="38"/>
  <c r="V13" i="65"/>
  <c r="AC13" i="38"/>
  <c r="N8" i="65"/>
  <c r="O14" i="38"/>
  <c r="R23" i="65"/>
  <c r="AG12" i="38"/>
  <c r="L11" i="65"/>
  <c r="AE13" i="38"/>
  <c r="I14" i="65"/>
  <c r="W13" i="38"/>
  <c r="Q23" i="38"/>
  <c r="V14" i="38"/>
  <c r="D15" i="38"/>
  <c r="W20" i="65"/>
  <c r="AB10" i="38"/>
  <c r="W25" i="65"/>
  <c r="M9" i="65"/>
  <c r="S9" i="65"/>
  <c r="AF17" i="65"/>
  <c r="O16" i="65"/>
  <c r="S12" i="38"/>
  <c r="E10" i="38"/>
  <c r="R13" i="65"/>
  <c r="C12" i="38"/>
  <c r="P21" i="65"/>
  <c r="Q16" i="65"/>
  <c r="D19" i="65"/>
  <c r="AC11" i="38"/>
  <c r="B15" i="65"/>
  <c r="X9" i="38"/>
  <c r="R23" i="38"/>
  <c r="U18" i="38"/>
  <c r="N10" i="65"/>
  <c r="R16" i="65"/>
  <c r="T7" i="65"/>
  <c r="AE21" i="38"/>
  <c r="AB9" i="65"/>
  <c r="N25" i="38"/>
  <c r="AG12" i="65"/>
  <c r="J12" i="65"/>
  <c r="P26" i="38"/>
  <c r="AC7" i="38"/>
  <c r="O15" i="65"/>
  <c r="L17" i="65"/>
  <c r="P20" i="38"/>
  <c r="E16" i="65"/>
  <c r="U17" i="65"/>
  <c r="O11" i="38"/>
  <c r="T14" i="65"/>
  <c r="AD23" i="38"/>
  <c r="L18" i="65"/>
  <c r="C7" i="38"/>
  <c r="Z20" i="38"/>
  <c r="AE7" i="38"/>
  <c r="W16" i="38"/>
  <c r="W10" i="65"/>
  <c r="Z9" i="65"/>
  <c r="S15" i="38"/>
  <c r="AE24" i="38"/>
  <c r="F14" i="65"/>
  <c r="AH10" i="65"/>
  <c r="C18" i="38"/>
  <c r="D9" i="38"/>
  <c r="AC14" i="38"/>
  <c r="AH25" i="38"/>
  <c r="W24" i="38"/>
  <c r="N9" i="65"/>
  <c r="P7" i="38"/>
  <c r="F24" i="38"/>
  <c r="V21" i="38"/>
  <c r="N24" i="38"/>
  <c r="G10" i="65"/>
  <c r="M14" i="65"/>
  <c r="AF15" i="38"/>
  <c r="O22" i="38"/>
  <c r="Y20" i="65"/>
  <c r="I22" i="65"/>
  <c r="M25" i="38"/>
  <c r="D25" i="65"/>
  <c r="AG11" i="65"/>
  <c r="G7" i="65"/>
  <c r="Y8" i="65"/>
  <c r="R14" i="38"/>
  <c r="Z19" i="38"/>
  <c r="G20" i="38"/>
  <c r="AI9" i="38"/>
  <c r="M9" i="38"/>
  <c r="N11" i="65"/>
  <c r="AC15" i="38"/>
  <c r="AE8" i="38"/>
  <c r="C7" i="65"/>
  <c r="O17" i="38"/>
  <c r="H7" i="38"/>
  <c r="AA9" i="65"/>
  <c r="O8" i="38"/>
  <c r="P14" i="65"/>
  <c r="V18" i="38"/>
  <c r="M8" i="38"/>
  <c r="B9" i="65"/>
  <c r="U23" i="65"/>
  <c r="N22" i="65"/>
  <c r="J8" i="38"/>
  <c r="F13" i="65"/>
  <c r="Z19" i="65"/>
  <c r="AD24" i="38"/>
  <c r="M19" i="38"/>
  <c r="G7" i="38"/>
  <c r="J17" i="38"/>
  <c r="Y22" i="38"/>
  <c r="S20" i="38"/>
  <c r="P13" i="65"/>
  <c r="N25" i="65"/>
  <c r="AH18" i="65"/>
  <c r="AE12" i="38"/>
  <c r="B20" i="38"/>
  <c r="AB22" i="38"/>
  <c r="E11" i="38"/>
  <c r="L13" i="38"/>
  <c r="X8" i="38"/>
  <c r="K13" i="38"/>
  <c r="E11" i="65"/>
  <c r="AG20" i="38"/>
  <c r="AA25" i="65"/>
  <c r="M24" i="65"/>
  <c r="Y21" i="38"/>
  <c r="AB16" i="65"/>
  <c r="B18" i="38"/>
  <c r="H23" i="38"/>
  <c r="T13" i="65"/>
  <c r="U14" i="38"/>
  <c r="K11" i="38"/>
  <c r="S24" i="38"/>
  <c r="N16" i="65"/>
  <c r="V9" i="38"/>
  <c r="C17" i="65"/>
  <c r="AH23" i="38"/>
  <c r="AD14" i="65"/>
  <c r="J22" i="38"/>
  <c r="AD8" i="65"/>
  <c r="Q23" i="65"/>
  <c r="AH26" i="38"/>
  <c r="C8" i="38"/>
  <c r="K20" i="38"/>
  <c r="AA17" i="65" l="1"/>
  <c r="R21" i="65"/>
  <c r="U11" i="65"/>
  <c r="AD9" i="38"/>
  <c r="AI23" i="38"/>
  <c r="AI17" i="65"/>
  <c r="W21" i="38"/>
  <c r="V7" i="65"/>
  <c r="Y10" i="65"/>
  <c r="J24" i="38"/>
  <c r="D7" i="38"/>
  <c r="J14" i="38"/>
  <c r="G13" i="38"/>
  <c r="G8" i="38"/>
  <c r="U20" i="65"/>
  <c r="C15" i="65"/>
  <c r="AF25" i="38"/>
  <c r="X11" i="38"/>
  <c r="AF9" i="38"/>
  <c r="G24" i="65"/>
  <c r="U8" i="38"/>
  <c r="K9" i="38"/>
  <c r="G17" i="65"/>
  <c r="H8" i="65"/>
  <c r="B17" i="65"/>
  <c r="Z24" i="65"/>
  <c r="AC7" i="65"/>
  <c r="K21" i="38"/>
  <c r="L21" i="38"/>
  <c r="AA26" i="38"/>
  <c r="C13" i="65"/>
  <c r="V13" i="38"/>
  <c r="U19" i="38"/>
  <c r="Z12" i="38"/>
  <c r="I24" i="65"/>
  <c r="B10" i="38"/>
  <c r="K19" i="65"/>
  <c r="AE20" i="38"/>
  <c r="L7" i="38"/>
  <c r="T11" i="38"/>
  <c r="M12" i="38"/>
  <c r="X23" i="38"/>
  <c r="B18" i="65"/>
  <c r="G25" i="38"/>
  <c r="AC9" i="38"/>
  <c r="M13" i="38"/>
  <c r="O17" i="65"/>
  <c r="Y17" i="65"/>
  <c r="AD10" i="65"/>
  <c r="R15" i="65"/>
  <c r="P25" i="65"/>
  <c r="F19" i="65"/>
  <c r="C22" i="38"/>
  <c r="AI13" i="65"/>
  <c r="AF14" i="38"/>
  <c r="AI10" i="65"/>
  <c r="AG13" i="65"/>
  <c r="R8" i="65"/>
  <c r="AE12" i="65"/>
  <c r="K10" i="38"/>
  <c r="I17" i="65"/>
  <c r="AB11" i="65"/>
  <c r="F15" i="38"/>
  <c r="R22" i="65"/>
  <c r="AI17" i="38"/>
  <c r="F21" i="38"/>
  <c r="N14" i="38"/>
  <c r="AC15" i="65"/>
  <c r="U7" i="38"/>
  <c r="B16" i="65"/>
  <c r="R21" i="38"/>
  <c r="AH15" i="65"/>
  <c r="AD23" i="65"/>
  <c r="D26" i="38"/>
  <c r="AC10" i="65"/>
  <c r="AF7" i="65"/>
  <c r="AI18" i="65"/>
  <c r="J21" i="65"/>
  <c r="Q9" i="65"/>
  <c r="G11" i="65"/>
  <c r="N24" i="65"/>
  <c r="U13" i="65"/>
  <c r="D16" i="65"/>
  <c r="W10" i="38"/>
  <c r="AI20" i="38"/>
  <c r="L15" i="65"/>
  <c r="K26" i="38"/>
  <c r="Q13" i="38"/>
  <c r="H23" i="65"/>
  <c r="P8" i="65"/>
  <c r="AB14" i="38"/>
  <c r="W19" i="65"/>
  <c r="J9" i="38"/>
  <c r="G15" i="65"/>
  <c r="AI21" i="38"/>
  <c r="F8" i="65"/>
  <c r="U7" i="65"/>
  <c r="AE11" i="65"/>
  <c r="X18" i="65"/>
  <c r="C10" i="65"/>
  <c r="M16" i="65"/>
  <c r="E15" i="65"/>
  <c r="AA10" i="38"/>
  <c r="H16" i="65"/>
  <c r="N8" i="38"/>
  <c r="AI9" i="65"/>
  <c r="Z8" i="38"/>
  <c r="AB8" i="65"/>
  <c r="AE15" i="38"/>
  <c r="L16" i="38"/>
  <c r="D17" i="65"/>
  <c r="O9" i="38"/>
  <c r="Q21" i="65"/>
  <c r="C15" i="38"/>
  <c r="I7" i="38"/>
  <c r="V23" i="38"/>
  <c r="D7" i="65"/>
  <c r="J18" i="38"/>
  <c r="S12" i="65"/>
  <c r="Q25" i="38"/>
  <c r="AF12" i="38"/>
  <c r="B9" i="38"/>
  <c r="V24" i="38"/>
  <c r="K9" i="65"/>
  <c r="T8" i="38"/>
  <c r="AG10" i="65"/>
  <c r="V19" i="65"/>
  <c r="D8" i="65"/>
  <c r="L25" i="38"/>
  <c r="M17" i="65"/>
  <c r="O13" i="65"/>
  <c r="S18" i="38"/>
  <c r="J14" i="65"/>
  <c r="Y18" i="65"/>
  <c r="F18" i="38"/>
  <c r="X25" i="65"/>
  <c r="J18" i="65"/>
  <c r="AI15" i="38"/>
  <c r="M18" i="38"/>
  <c r="Z10" i="65"/>
  <c r="AF7" i="38"/>
  <c r="B25" i="38"/>
  <c r="D23" i="65"/>
  <c r="W23" i="65"/>
  <c r="P11" i="38"/>
  <c r="P9" i="65"/>
  <c r="AH9" i="38"/>
  <c r="AI25" i="65"/>
  <c r="AH8" i="65"/>
  <c r="L14" i="38"/>
  <c r="S11" i="65"/>
  <c r="R9" i="38"/>
  <c r="Z8" i="65"/>
  <c r="AC19" i="65"/>
  <c r="AI18" i="38"/>
  <c r="AG23" i="65"/>
  <c r="F22" i="38"/>
  <c r="U12" i="65"/>
  <c r="S19" i="65"/>
  <c r="AA23" i="65"/>
  <c r="J7" i="38"/>
  <c r="L19" i="65"/>
  <c r="V15" i="65"/>
  <c r="P7" i="65"/>
  <c r="J25" i="65"/>
  <c r="AD20" i="65"/>
  <c r="AA25" i="38"/>
  <c r="J10" i="38"/>
  <c r="U26" i="38"/>
  <c r="P18" i="38"/>
  <c r="AI26" i="38"/>
  <c r="AF24" i="38"/>
  <c r="AB21" i="38"/>
  <c r="T10" i="38"/>
  <c r="AI12" i="38"/>
  <c r="K19" i="38"/>
  <c r="D10" i="38"/>
  <c r="U18" i="65"/>
  <c r="X12" i="65"/>
  <c r="H24" i="38"/>
  <c r="AH9" i="65"/>
  <c r="M10" i="38"/>
  <c r="AB7" i="65"/>
  <c r="AE24" i="65"/>
  <c r="Z11" i="38"/>
  <c r="Z16" i="38"/>
  <c r="J25" i="38"/>
  <c r="AA13" i="65"/>
  <c r="AB23" i="38"/>
  <c r="AF13" i="38"/>
  <c r="S26" i="38"/>
  <c r="W14" i="38"/>
  <c r="X15" i="38"/>
  <c r="W16" i="65"/>
  <c r="O16" i="38"/>
  <c r="AD12" i="38"/>
  <c r="AA11" i="65"/>
  <c r="I13" i="38"/>
  <c r="U25" i="65"/>
  <c r="AH14" i="65"/>
  <c r="K24" i="38"/>
  <c r="E21" i="38"/>
  <c r="L17" i="38"/>
  <c r="I10" i="38"/>
  <c r="AF23" i="38"/>
  <c r="AA21" i="38"/>
  <c r="W7" i="65"/>
  <c r="AD11" i="65"/>
  <c r="N16" i="38"/>
  <c r="S9" i="38"/>
  <c r="J11" i="65"/>
  <c r="L10" i="38"/>
  <c r="C22" i="65"/>
  <c r="AA22" i="65"/>
  <c r="O23" i="38"/>
  <c r="U25" i="38"/>
  <c r="C11" i="65"/>
  <c r="Q14" i="38"/>
  <c r="X22" i="65"/>
  <c r="S13" i="65"/>
  <c r="P15" i="65"/>
  <c r="AH18" i="38"/>
  <c r="H21" i="65"/>
  <c r="P20" i="65"/>
  <c r="AG15" i="65"/>
  <c r="O9" i="65"/>
  <c r="AH15" i="38"/>
  <c r="H15" i="65"/>
  <c r="N19" i="65"/>
  <c r="K17" i="38"/>
  <c r="O24" i="38"/>
  <c r="AA19" i="65"/>
  <c r="V16" i="38"/>
  <c r="K11" i="65"/>
  <c r="C24" i="65"/>
  <c r="I21" i="38"/>
  <c r="Q20" i="65"/>
  <c r="D24" i="38"/>
  <c r="U15" i="38"/>
  <c r="E20" i="38"/>
  <c r="I22" i="38"/>
  <c r="X10" i="65"/>
  <c r="I21" i="65"/>
  <c r="P10" i="65"/>
  <c r="I17" i="38"/>
  <c r="U20" i="38"/>
  <c r="K18" i="65"/>
  <c r="AC23" i="65"/>
  <c r="T21" i="65"/>
  <c r="I25" i="38"/>
  <c r="H9" i="38"/>
  <c r="AG18" i="38"/>
  <c r="V21" i="65"/>
  <c r="X13" i="65"/>
  <c r="T26" i="38"/>
  <c r="L11" i="38"/>
  <c r="Q10" i="65"/>
  <c r="X9" i="65"/>
  <c r="S7" i="38"/>
  <c r="F13" i="38"/>
  <c r="AD7" i="38"/>
  <c r="S16" i="65"/>
  <c r="Y17" i="38"/>
  <c r="AA17" i="38"/>
  <c r="D11" i="38"/>
  <c r="AB14" i="65"/>
  <c r="AA18" i="38"/>
  <c r="AI22" i="65"/>
  <c r="AG21" i="65"/>
  <c r="K8" i="65"/>
  <c r="AE23" i="65"/>
  <c r="H13" i="38"/>
  <c r="AH19" i="65"/>
  <c r="Y15" i="65"/>
  <c r="T22" i="38"/>
  <c r="B21" i="65"/>
  <c r="B23" i="38"/>
  <c r="G18" i="38"/>
  <c r="L10" i="65"/>
  <c r="P15" i="38"/>
  <c r="G23" i="38"/>
  <c r="I8" i="65"/>
  <c r="J9" i="65"/>
  <c r="M8" i="65"/>
  <c r="AF22" i="38"/>
  <c r="K23" i="38"/>
  <c r="AB10" i="65"/>
  <c r="Z17" i="38"/>
  <c r="O22" i="65"/>
  <c r="AC21" i="38"/>
  <c r="E20" i="65"/>
  <c r="F20" i="38"/>
  <c r="T23" i="65"/>
  <c r="S23" i="38"/>
  <c r="W17" i="65"/>
  <c r="X17" i="65"/>
  <c r="V14" i="65"/>
  <c r="Q14" i="65"/>
  <c r="O8" i="65"/>
  <c r="G19" i="38"/>
  <c r="AE10" i="38"/>
  <c r="AA8" i="65"/>
  <c r="D14" i="38"/>
  <c r="AD21" i="38"/>
  <c r="AD18" i="38"/>
  <c r="V19" i="38"/>
  <c r="E19" i="38"/>
  <c r="K7" i="65"/>
  <c r="B22" i="38"/>
  <c r="Z25" i="38"/>
  <c r="K15" i="38"/>
  <c r="X19" i="65"/>
  <c r="Y21" i="65"/>
  <c r="M24" i="38"/>
  <c r="C16" i="38"/>
  <c r="T12" i="65"/>
  <c r="H13" i="65"/>
  <c r="R10" i="38"/>
  <c r="Q12" i="38"/>
  <c r="E18" i="65"/>
  <c r="F20" i="65"/>
  <c r="F12" i="65"/>
  <c r="Z14" i="65"/>
  <c r="AF11" i="65"/>
  <c r="E14" i="38"/>
  <c r="AH24" i="38"/>
  <c r="R25" i="65"/>
  <c r="T25" i="65"/>
  <c r="AB12" i="38"/>
  <c r="AB18" i="65"/>
  <c r="AG14" i="65"/>
  <c r="H20" i="65"/>
  <c r="J13" i="65"/>
  <c r="L23" i="65"/>
  <c r="N18" i="65"/>
  <c r="Q15" i="65"/>
  <c r="B13" i="65"/>
  <c r="Q22" i="65"/>
  <c r="AH21" i="38"/>
  <c r="AG23" i="38"/>
  <c r="X15" i="65"/>
  <c r="S18" i="65"/>
  <c r="T14" i="38"/>
  <c r="AC23" i="38"/>
  <c r="AD25" i="38"/>
  <c r="O21" i="38"/>
  <c r="W19" i="38"/>
  <c r="U12" i="38"/>
  <c r="I10" i="65"/>
  <c r="H11" i="38"/>
  <c r="Z7" i="65"/>
  <c r="L24" i="65"/>
  <c r="Z15" i="65"/>
  <c r="O18" i="65"/>
  <c r="B20" i="65"/>
  <c r="X8" i="65"/>
  <c r="Q15" i="38"/>
  <c r="H26" i="38"/>
  <c r="K10" i="65"/>
  <c r="AA12" i="38"/>
  <c r="Y19" i="38"/>
  <c r="B10" i="65"/>
  <c r="P13" i="38"/>
  <c r="F22" i="65"/>
  <c r="U22" i="65"/>
  <c r="O18" i="38"/>
  <c r="F17" i="65"/>
  <c r="D20" i="65"/>
  <c r="L26" i="38"/>
  <c r="S17" i="65"/>
  <c r="J12" i="38"/>
  <c r="H12" i="65"/>
  <c r="X21" i="65"/>
  <c r="I18" i="65"/>
  <c r="F18" i="65"/>
  <c r="AB19" i="65"/>
  <c r="AE9" i="38"/>
  <c r="M16" i="38"/>
  <c r="R12" i="65"/>
  <c r="M26" i="38"/>
  <c r="AG9" i="65"/>
  <c r="Y24" i="38"/>
  <c r="D13" i="65"/>
  <c r="V9" i="65"/>
  <c r="M18" i="65"/>
  <c r="Y25" i="65"/>
  <c r="C19" i="38"/>
  <c r="E13" i="38"/>
  <c r="AG25" i="38"/>
  <c r="E9" i="38"/>
  <c r="AB24" i="65"/>
  <c r="AF15" i="65"/>
  <c r="G19" i="65"/>
  <c r="Y12" i="65"/>
  <c r="T16" i="65"/>
  <c r="D10" i="65"/>
  <c r="N7" i="38"/>
  <c r="AA22" i="38"/>
  <c r="E24" i="38"/>
  <c r="AC14" i="65"/>
  <c r="E25" i="65"/>
  <c r="T19" i="65"/>
  <c r="L19" i="38"/>
  <c r="T12" i="38"/>
  <c r="X25" i="38"/>
  <c r="B17" i="38"/>
  <c r="W17" i="38"/>
  <c r="K12" i="38"/>
  <c r="I20" i="65"/>
  <c r="P19" i="38"/>
  <c r="AH22" i="38"/>
  <c r="U17" i="38"/>
  <c r="AI16" i="38"/>
  <c r="Z22" i="38"/>
  <c r="P11" i="65"/>
  <c r="AG26" i="38"/>
  <c r="I23" i="38"/>
  <c r="AI24" i="38"/>
  <c r="AG24" i="38"/>
  <c r="R10" i="65"/>
  <c r="K14" i="38"/>
  <c r="AB16" i="38"/>
  <c r="AA20" i="65"/>
  <c r="AA13" i="38"/>
  <c r="AD25" i="65"/>
  <c r="AI16" i="65"/>
  <c r="AC24" i="38"/>
  <c r="L13" i="65"/>
  <c r="U10" i="65"/>
  <c r="AF24" i="65"/>
  <c r="AI24" i="65"/>
  <c r="L14" i="65"/>
  <c r="Y7" i="38"/>
  <c r="D8" i="38"/>
  <c r="U10" i="38"/>
  <c r="O20" i="65"/>
  <c r="H14" i="38"/>
  <c r="AI7" i="38"/>
  <c r="K13" i="65"/>
  <c r="U24" i="65"/>
  <c r="H18" i="65"/>
  <c r="AH13" i="65"/>
  <c r="AG25" i="65"/>
  <c r="Z24" i="38"/>
  <c r="Y23" i="65"/>
  <c r="AE19" i="38"/>
  <c r="E18" i="38"/>
  <c r="X20" i="65"/>
  <c r="AC24" i="65"/>
  <c r="F9" i="65"/>
  <c r="X21" i="38"/>
  <c r="AB9" i="38"/>
  <c r="R17" i="65"/>
  <c r="G18" i="65"/>
  <c r="AH23" i="65"/>
  <c r="R16" i="38"/>
  <c r="S11" i="38"/>
  <c r="D12" i="38"/>
  <c r="AH19" i="38"/>
  <c r="T21" i="38"/>
  <c r="R7" i="38"/>
  <c r="L12" i="38"/>
  <c r="N20" i="38"/>
  <c r="AC25" i="65"/>
  <c r="AH24" i="65"/>
  <c r="G22" i="38"/>
  <c r="L22" i="38"/>
  <c r="Y10" i="38"/>
  <c r="D12" i="65"/>
  <c r="AF25" i="65"/>
  <c r="E16" i="38"/>
  <c r="H11" i="65"/>
  <c r="AB25" i="65"/>
  <c r="T20" i="65"/>
  <c r="AF8" i="65"/>
  <c r="L21" i="65"/>
  <c r="AI25" i="38"/>
  <c r="AG7" i="65"/>
  <c r="Y24" i="65"/>
  <c r="I7" i="65"/>
  <c r="Y19" i="65"/>
  <c r="AA11" i="38"/>
  <c r="AH22" i="65"/>
  <c r="X7" i="38"/>
  <c r="Y8" i="38"/>
  <c r="AF23" i="65"/>
  <c r="AA14" i="38"/>
  <c r="C14" i="65"/>
  <c r="AD19" i="65"/>
  <c r="S7" i="65"/>
  <c r="AH12" i="65"/>
  <c r="W25" i="38"/>
  <c r="L20" i="65"/>
  <c r="Q11" i="65"/>
  <c r="M22" i="65"/>
  <c r="Y26" i="38"/>
  <c r="Y14" i="38"/>
  <c r="AG20" i="65"/>
  <c r="Q22" i="38"/>
  <c r="AF9" i="65"/>
  <c r="C19" i="65"/>
  <c r="Q13" i="65"/>
  <c r="F10" i="65"/>
  <c r="E19" i="65"/>
  <c r="O24" i="65"/>
  <c r="Q17" i="38"/>
  <c r="T23" i="38"/>
  <c r="J20" i="65"/>
  <c r="E10" i="65"/>
  <c r="AB11" i="38"/>
  <c r="AC26" i="38"/>
  <c r="AD18" i="65"/>
  <c r="M17" i="38"/>
  <c r="O12" i="65"/>
  <c r="AC9" i="65"/>
  <c r="S19" i="38"/>
  <c r="T9" i="65"/>
  <c r="AA24" i="65"/>
  <c r="V10" i="65"/>
  <c r="M21" i="38"/>
  <c r="M21" i="65"/>
  <c r="E22" i="38"/>
  <c r="V8" i="65"/>
  <c r="N11" i="38"/>
  <c r="E17" i="65"/>
  <c r="AF8" i="38"/>
  <c r="V23" i="65"/>
  <c r="K25" i="65"/>
  <c r="R25" i="38"/>
  <c r="P24" i="65"/>
  <c r="AH12" i="38"/>
  <c r="O26" i="38"/>
  <c r="AB13" i="38"/>
  <c r="K22" i="38"/>
  <c r="U21" i="65"/>
  <c r="AD12" i="65"/>
  <c r="G21" i="38"/>
  <c r="AF19" i="65"/>
  <c r="D23" i="38"/>
  <c r="X16" i="65"/>
  <c r="T24" i="65"/>
  <c r="G10" i="38"/>
  <c r="AD8" i="38"/>
  <c r="T17" i="38"/>
  <c r="H7" i="65"/>
  <c r="AD26" i="38"/>
  <c r="J23" i="38"/>
  <c r="Y7" i="65"/>
  <c r="D15" i="65"/>
  <c r="P12" i="38"/>
  <c r="N9" i="38"/>
  <c r="H22" i="65"/>
  <c r="B19" i="65"/>
  <c r="AE20" i="65"/>
  <c r="O13" i="38"/>
  <c r="V20" i="38"/>
  <c r="S25" i="38"/>
  <c r="AD17" i="38"/>
  <c r="W12" i="65"/>
  <c r="Z26" i="38"/>
  <c r="G9" i="38"/>
  <c r="O25" i="38"/>
  <c r="V24" i="65"/>
  <c r="AG15" i="38"/>
  <c r="AG27" i="38" s="1"/>
  <c r="I25" i="65"/>
  <c r="G20" i="65"/>
  <c r="AB15" i="38"/>
  <c r="X18" i="38"/>
  <c r="H19" i="65"/>
  <c r="F21" i="65"/>
  <c r="AJ21" i="65" s="1"/>
  <c r="K14" i="65"/>
  <c r="U23" i="38"/>
  <c r="AD13" i="38"/>
  <c r="O19" i="38"/>
  <c r="AH16" i="38"/>
  <c r="AE10" i="65"/>
  <c r="AE26" i="65" s="1"/>
  <c r="V15" i="38"/>
  <c r="I12" i="65"/>
  <c r="Y25" i="38"/>
  <c r="R22" i="38"/>
  <c r="H15" i="38"/>
  <c r="N12" i="65"/>
  <c r="Y16" i="38"/>
  <c r="AI14" i="38"/>
  <c r="D24" i="65"/>
  <c r="U8" i="65"/>
  <c r="P23" i="38"/>
  <c r="I13" i="65"/>
  <c r="AF20" i="38"/>
  <c r="Q18" i="38"/>
  <c r="AC19" i="38"/>
  <c r="AI19" i="38"/>
  <c r="U15" i="65"/>
  <c r="AB15" i="65"/>
  <c r="Q9" i="38"/>
  <c r="AI11" i="38"/>
  <c r="Q18" i="65"/>
  <c r="P19" i="65"/>
  <c r="Q16" i="38"/>
  <c r="Y20" i="38"/>
  <c r="H24" i="65"/>
  <c r="S20" i="65"/>
  <c r="AG24" i="65"/>
  <c r="H22" i="38"/>
  <c r="X12" i="38"/>
  <c r="C25" i="38"/>
  <c r="J15" i="65"/>
  <c r="D19" i="38"/>
  <c r="C16" i="65"/>
  <c r="E22" i="65"/>
  <c r="AB22" i="65"/>
  <c r="N7" i="65"/>
  <c r="R18" i="38"/>
  <c r="F25" i="38"/>
  <c r="I15" i="65"/>
  <c r="Y11" i="38"/>
  <c r="I16" i="65"/>
  <c r="E8" i="65"/>
  <c r="E26" i="65" s="1"/>
  <c r="R13" i="38"/>
  <c r="Z17" i="65"/>
  <c r="Y23" i="38"/>
  <c r="G16" i="38"/>
  <c r="AI8" i="38"/>
  <c r="F19" i="38"/>
  <c r="J16" i="65"/>
  <c r="X22" i="38"/>
  <c r="Z20" i="65"/>
  <c r="R12" i="38"/>
  <c r="E12" i="38"/>
  <c r="Q17" i="65"/>
  <c r="C23" i="38"/>
  <c r="V18" i="65"/>
  <c r="Y22" i="65"/>
  <c r="AA15" i="65"/>
  <c r="G12" i="38"/>
  <c r="AF16" i="38"/>
  <c r="I11" i="38"/>
  <c r="AC10" i="38"/>
  <c r="W8" i="65"/>
  <c r="V25" i="38"/>
  <c r="H21" i="38"/>
  <c r="Z23" i="38"/>
  <c r="F14" i="38"/>
  <c r="R11" i="38"/>
  <c r="R20" i="65"/>
  <c r="X16" i="38"/>
  <c r="T16" i="38"/>
  <c r="S14" i="65"/>
  <c r="N17" i="65"/>
  <c r="B12" i="65"/>
  <c r="R19" i="38"/>
  <c r="U21" i="38"/>
  <c r="L7" i="65"/>
  <c r="L26" i="65" s="1"/>
  <c r="J23" i="65"/>
  <c r="G23" i="65"/>
  <c r="AJ23" i="65" s="1"/>
  <c r="W15" i="38"/>
  <c r="F23" i="38"/>
  <c r="AJ23" i="38" s="1"/>
  <c r="J7" i="65"/>
  <c r="J19" i="65"/>
  <c r="L9" i="38"/>
  <c r="B14" i="38"/>
  <c r="C20" i="38"/>
  <c r="I16" i="38"/>
  <c r="T8" i="65"/>
  <c r="T26" i="65" s="1"/>
  <c r="AB27" i="38" l="1"/>
  <c r="X26" i="65"/>
  <c r="M26" i="65"/>
  <c r="F27" i="38"/>
  <c r="AJ20" i="38"/>
  <c r="O27" i="38"/>
  <c r="AJ16" i="65"/>
  <c r="F26" i="65"/>
  <c r="W27" i="38"/>
  <c r="G26" i="65"/>
  <c r="V27" i="38"/>
  <c r="AJ24" i="65"/>
  <c r="V26" i="65"/>
  <c r="Q27" i="38"/>
  <c r="AJ24" i="38"/>
  <c r="S27" i="38"/>
  <c r="H27" i="38"/>
  <c r="AH27" i="38"/>
  <c r="I27" i="38"/>
  <c r="Z27" i="38"/>
  <c r="AA27" i="38"/>
  <c r="Q26" i="65"/>
  <c r="AJ15" i="38"/>
  <c r="AJ25" i="38"/>
  <c r="AJ10" i="38"/>
  <c r="AJ9" i="65"/>
  <c r="E27" i="38"/>
  <c r="AJ26" i="38"/>
  <c r="AJ11" i="38"/>
  <c r="AJ12" i="65"/>
  <c r="AA26" i="65"/>
  <c r="M27" i="38"/>
  <c r="AI26" i="65"/>
  <c r="R26" i="65"/>
  <c r="K27" i="38"/>
  <c r="AJ8" i="38"/>
  <c r="AJ7" i="65"/>
  <c r="AJ17" i="65"/>
  <c r="AJ10" i="65"/>
  <c r="AE27" i="38"/>
  <c r="AJ13" i="65"/>
  <c r="AD27" i="38"/>
  <c r="AJ17" i="38"/>
  <c r="AH26" i="65"/>
  <c r="P27" i="38"/>
  <c r="AJ14" i="65"/>
  <c r="T27" i="38"/>
  <c r="AD26" i="65"/>
  <c r="AC27" i="38"/>
  <c r="N26" i="65"/>
  <c r="Y26" i="65"/>
  <c r="AJ19" i="65"/>
  <c r="X27" i="38"/>
  <c r="I26" i="65"/>
  <c r="AJ13" i="38"/>
  <c r="AJ18" i="65"/>
  <c r="K26" i="65"/>
  <c r="P26" i="65"/>
  <c r="AF26" i="65"/>
  <c r="G27" i="38"/>
  <c r="AJ11" i="65"/>
  <c r="AJ16" i="38"/>
  <c r="AJ18" i="38"/>
  <c r="Z26" i="65"/>
  <c r="AJ19" i="38"/>
  <c r="O26" i="65"/>
  <c r="AJ20" i="65"/>
  <c r="W26" i="65"/>
  <c r="AB26" i="65"/>
  <c r="L27" i="38"/>
  <c r="AC26" i="65"/>
  <c r="AJ8" i="65"/>
  <c r="J26" i="65"/>
  <c r="AJ22" i="65"/>
  <c r="AJ22" i="38"/>
  <c r="S26" i="65"/>
  <c r="AG26" i="65"/>
  <c r="AI27" i="38"/>
  <c r="AJ9" i="38"/>
  <c r="AJ21" i="38"/>
  <c r="AJ15" i="65"/>
  <c r="AJ7" i="38"/>
  <c r="AJ12" i="38"/>
  <c r="H26" i="65"/>
  <c r="R27" i="38"/>
  <c r="Y27" i="38"/>
  <c r="AJ25" i="65"/>
  <c r="N27" i="38"/>
  <c r="AJ14" i="38"/>
  <c r="J27" i="38"/>
  <c r="AF27" i="38"/>
  <c r="U26" i="65"/>
  <c r="U27" i="38"/>
  <c r="AJ26" i="65" l="1"/>
  <c r="AJ27" i="38"/>
</calcChain>
</file>

<file path=xl/sharedStrings.xml><?xml version="1.0" encoding="utf-8"?>
<sst xmlns="http://schemas.openxmlformats.org/spreadsheetml/2006/main" count="2530" uniqueCount="400">
  <si>
    <t>Ф. И. О.</t>
  </si>
  <si>
    <t>р/р</t>
  </si>
  <si>
    <t>изд</t>
  </si>
  <si>
    <t>2/4</t>
  </si>
  <si>
    <t>3/16</t>
  </si>
  <si>
    <t>4/8</t>
  </si>
  <si>
    <t>3/4</t>
  </si>
  <si>
    <t>месяц</t>
  </si>
  <si>
    <t>год</t>
  </si>
  <si>
    <t>коэф</t>
  </si>
  <si>
    <t>партия</t>
  </si>
  <si>
    <t>2</t>
  </si>
  <si>
    <t>3</t>
  </si>
  <si>
    <t>6</t>
  </si>
  <si>
    <t>9</t>
  </si>
  <si>
    <t>10</t>
  </si>
  <si>
    <t>13</t>
  </si>
  <si>
    <t>16</t>
  </si>
  <si>
    <t>17</t>
  </si>
  <si>
    <t>20</t>
  </si>
  <si>
    <t>23</t>
  </si>
  <si>
    <t>24</t>
  </si>
  <si>
    <t>27</t>
  </si>
  <si>
    <t>Таб №</t>
  </si>
  <si>
    <t>разряд</t>
  </si>
  <si>
    <t>Разряд работы</t>
  </si>
  <si>
    <t>Стоимость</t>
  </si>
  <si>
    <t>8%</t>
  </si>
  <si>
    <t>12%</t>
  </si>
  <si>
    <t>16%</t>
  </si>
  <si>
    <t>24%</t>
  </si>
  <si>
    <t>3/24</t>
  </si>
  <si>
    <t>4/24</t>
  </si>
  <si>
    <t>ФИО</t>
  </si>
  <si>
    <t>Табельный номер</t>
  </si>
  <si>
    <t>разряд работника</t>
  </si>
  <si>
    <t>итого часы</t>
  </si>
  <si>
    <t xml:space="preserve">итого сумма, руб </t>
  </si>
  <si>
    <t xml:space="preserve">подпись работник </t>
  </si>
  <si>
    <t>тариф</t>
  </si>
  <si>
    <t>коэффициент</t>
  </si>
  <si>
    <t>часы</t>
  </si>
  <si>
    <t>сумма</t>
  </si>
  <si>
    <t>ЗП</t>
  </si>
  <si>
    <t>7</t>
  </si>
  <si>
    <t>8</t>
  </si>
  <si>
    <t>1</t>
  </si>
  <si>
    <t>14</t>
  </si>
  <si>
    <t>15</t>
  </si>
  <si>
    <t>21</t>
  </si>
  <si>
    <t>22</t>
  </si>
  <si>
    <t>28</t>
  </si>
  <si>
    <t>29</t>
  </si>
  <si>
    <t>30</t>
  </si>
  <si>
    <t>4</t>
  </si>
  <si>
    <t>5</t>
  </si>
  <si>
    <t>11</t>
  </si>
  <si>
    <t>12</t>
  </si>
  <si>
    <t>18</t>
  </si>
  <si>
    <t>19</t>
  </si>
  <si>
    <t>25</t>
  </si>
  <si>
    <t>26</t>
  </si>
  <si>
    <t>31</t>
  </si>
  <si>
    <t>ИТОГО</t>
  </si>
  <si>
    <t xml:space="preserve">Мастер участка </t>
  </si>
  <si>
    <t>3-22</t>
  </si>
  <si>
    <t>4-22</t>
  </si>
  <si>
    <t>4/16</t>
  </si>
  <si>
    <t>Изделие №</t>
  </si>
  <si>
    <t xml:space="preserve">Итого </t>
  </si>
  <si>
    <t>Столбец1</t>
  </si>
  <si>
    <t>2/8</t>
  </si>
  <si>
    <t>Исполнитель_______________</t>
  </si>
  <si>
    <t>Бухгалтер _______________________</t>
  </si>
  <si>
    <t>присвоенный
 разряд</t>
  </si>
  <si>
    <t>Технологическая   карта</t>
  </si>
  <si>
    <t>подборы</t>
  </si>
  <si>
    <t xml:space="preserve">чертеж </t>
  </si>
  <si>
    <t>ОТК</t>
  </si>
  <si>
    <t>ВП</t>
  </si>
  <si>
    <t>наст</t>
  </si>
  <si>
    <t>ПИ</t>
  </si>
  <si>
    <t>брак</t>
  </si>
  <si>
    <t>СВЕРХУРОЧНАЯ  РАБОТА</t>
  </si>
  <si>
    <t>Ефремова Т.В.</t>
  </si>
  <si>
    <t>валовые</t>
  </si>
  <si>
    <t>вых</t>
  </si>
  <si>
    <t>разряд 
работника</t>
  </si>
  <si>
    <t>Волокитин В.Ю.</t>
  </si>
  <si>
    <t>Производственный цех №3, мастерская 39</t>
  </si>
  <si>
    <t>Конова Л.М.</t>
  </si>
  <si>
    <t>Бычкова Е.Н.</t>
  </si>
  <si>
    <t>мастер</t>
  </si>
  <si>
    <t>Столбец2</t>
  </si>
  <si>
    <t xml:space="preserve">сумма по наряду </t>
  </si>
  <si>
    <t>ДИШВ.773919.008</t>
  </si>
  <si>
    <t>ДИШВ.773911.501</t>
  </si>
  <si>
    <t>ДИШВ.773924.408</t>
  </si>
  <si>
    <t>ДИШВ.773951.510</t>
  </si>
  <si>
    <t>Производственный цех №3, мастерская 61 Б</t>
  </si>
  <si>
    <t>Производственный цех №3, мастерская 61 Б ДУЗы</t>
  </si>
  <si>
    <t>Производственный цех №3, мастерская 175/9</t>
  </si>
  <si>
    <t>Производственный цех №3, мастерская 15, 48, 61 В</t>
  </si>
  <si>
    <t>мес</t>
  </si>
  <si>
    <t>сумма2</t>
  </si>
  <si>
    <t>19-22</t>
  </si>
  <si>
    <t>21-22</t>
  </si>
  <si>
    <t>22-22</t>
  </si>
  <si>
    <t>Курбацкая Н.В.</t>
  </si>
  <si>
    <t>23-22</t>
  </si>
  <si>
    <t>ДИШВ.773949.002</t>
  </si>
  <si>
    <t>ДИШВ.773949.001</t>
  </si>
  <si>
    <t>ЛД34.391.000</t>
  </si>
  <si>
    <t>ЛД34.418.004</t>
  </si>
  <si>
    <t>ЛД34.400.044</t>
  </si>
  <si>
    <t>ЛД34.420.009</t>
  </si>
  <si>
    <t>ЛД34.402.016</t>
  </si>
  <si>
    <t>ДИШВ.773922.001</t>
  </si>
  <si>
    <t>ЛД34.330.001</t>
  </si>
  <si>
    <t>ЛД34.342.000</t>
  </si>
  <si>
    <t>ЛД34.300.039</t>
  </si>
  <si>
    <t>ЛД34.300.016</t>
  </si>
  <si>
    <t>ЛД34.400.011</t>
  </si>
  <si>
    <t>ЛД34.342.017</t>
  </si>
  <si>
    <t>ЛД34.300.015-01</t>
  </si>
  <si>
    <t>ЛД34.300.015</t>
  </si>
  <si>
    <t>ЛД.34310.002</t>
  </si>
  <si>
    <t>ЛД34.369.000</t>
  </si>
  <si>
    <t>169</t>
  </si>
  <si>
    <t>ЛД34387.022</t>
  </si>
  <si>
    <t>ЛД34.310.007</t>
  </si>
  <si>
    <t>ЛД34.300.012</t>
  </si>
  <si>
    <t>186-02</t>
  </si>
  <si>
    <t xml:space="preserve">ЛД34.320.023-02 </t>
  </si>
  <si>
    <t>186-01</t>
  </si>
  <si>
    <t>ЛД34.320.023-01</t>
  </si>
  <si>
    <t>ЛД34.452.009</t>
  </si>
  <si>
    <t>ЛД34.400.012</t>
  </si>
  <si>
    <t>ЛД34.414.000</t>
  </si>
  <si>
    <t>ЛД34.450.011</t>
  </si>
  <si>
    <t>ЛД34.450.012</t>
  </si>
  <si>
    <t>ЛД34.387.013</t>
  </si>
  <si>
    <t>ЛД34.450.010</t>
  </si>
  <si>
    <t>232-01</t>
  </si>
  <si>
    <t>ЛД34.367.030-01</t>
  </si>
  <si>
    <t>232-03</t>
  </si>
  <si>
    <t>ЛД34.367.030-03</t>
  </si>
  <si>
    <t>ЛД34.328.023</t>
  </si>
  <si>
    <t>ЛД34.328.035</t>
  </si>
  <si>
    <t>ЛД34.402.007</t>
  </si>
  <si>
    <t>249-02</t>
  </si>
  <si>
    <t>ЛД34.410.013-02</t>
  </si>
  <si>
    <t>Заряд ЛД34.476.055</t>
  </si>
  <si>
    <t>ЛД34.334.014</t>
  </si>
  <si>
    <t>257-10</t>
  </si>
  <si>
    <t>ЛД34.334.014-10</t>
  </si>
  <si>
    <t>257-12</t>
  </si>
  <si>
    <t>ЛД34.334.014-12</t>
  </si>
  <si>
    <t>257-09</t>
  </si>
  <si>
    <t>ЛД34.334.014-09</t>
  </si>
  <si>
    <t>257-06</t>
  </si>
  <si>
    <t>ЛД34.334.014-06</t>
  </si>
  <si>
    <t>257-07</t>
  </si>
  <si>
    <t>ЛД34.334.014-07</t>
  </si>
  <si>
    <t>257-13</t>
  </si>
  <si>
    <t>ЛД34.334.014-13</t>
  </si>
  <si>
    <t>266-06</t>
  </si>
  <si>
    <t>ЛД34.440.024-06</t>
  </si>
  <si>
    <t>266-08</t>
  </si>
  <si>
    <t>ЛД34.440.025-08</t>
  </si>
  <si>
    <t>ЛД34.440.024</t>
  </si>
  <si>
    <t>269-01</t>
  </si>
  <si>
    <t>ЛД34.470.039-01</t>
  </si>
  <si>
    <t>ЛД34.340.007</t>
  </si>
  <si>
    <t>ЛД34.340.008</t>
  </si>
  <si>
    <t>ЛД34.342.022-01</t>
  </si>
  <si>
    <t>ДИШВ.716351.000</t>
  </si>
  <si>
    <t>ЛД34.430.003</t>
  </si>
  <si>
    <t>ЛД34.385.001-01</t>
  </si>
  <si>
    <t>ЛД34.367.013</t>
  </si>
  <si>
    <t>ЛД34.470.051-01</t>
  </si>
  <si>
    <t>ЛД34.440.015</t>
  </si>
  <si>
    <t>125-00-0</t>
  </si>
  <si>
    <t>ЛД34.369.002</t>
  </si>
  <si>
    <t>ЛД34.369.006</t>
  </si>
  <si>
    <t>ЛД36.418.000-01</t>
  </si>
  <si>
    <t>ЛД34.440.022</t>
  </si>
  <si>
    <t>М.483.05.001 Сн</t>
  </si>
  <si>
    <t>426-01</t>
  </si>
  <si>
    <t>ЛД34.440.014-01</t>
  </si>
  <si>
    <t>ЛД34.428.009</t>
  </si>
  <si>
    <t>ЛД34.470.022</t>
  </si>
  <si>
    <t>434</t>
  </si>
  <si>
    <t>ЛД34470.070-04</t>
  </si>
  <si>
    <t>ТУ84.601-130-87</t>
  </si>
  <si>
    <t>ДИШВ.773924.004</t>
  </si>
  <si>
    <t>ДИШВ.773924.003</t>
  </si>
  <si>
    <t>ЛД34.367.017-03</t>
  </si>
  <si>
    <t>ЛД34.452.001-01</t>
  </si>
  <si>
    <t>ЛД34.390.003</t>
  </si>
  <si>
    <t>546-02</t>
  </si>
  <si>
    <t>ЛД34.470.047-02</t>
  </si>
  <si>
    <t>ТУ84.601-065-78</t>
  </si>
  <si>
    <t>ЛД34.476.071</t>
  </si>
  <si>
    <t>ДИШВ.773911.004</t>
  </si>
  <si>
    <t>ДИШВ.773911.006</t>
  </si>
  <si>
    <t>ЛД36.476.105-04</t>
  </si>
  <si>
    <t>ДИШВ.773955.501</t>
  </si>
  <si>
    <t>ДИШВ.773955.504</t>
  </si>
  <si>
    <t>ДИШВ.773941.303</t>
  </si>
  <si>
    <t>ДИШВ.773911.504</t>
  </si>
  <si>
    <t>ДИШВ.773911.506</t>
  </si>
  <si>
    <t>ДИШВ.773941.007</t>
  </si>
  <si>
    <t>ДИШВ.773975.009</t>
  </si>
  <si>
    <t>ДИШВ.773911.502</t>
  </si>
  <si>
    <t>ДИШВ.773941.002</t>
  </si>
  <si>
    <t>ДИШВ.773941.304</t>
  </si>
  <si>
    <t>ЯБГИ.773976.001</t>
  </si>
  <si>
    <t>ДИШВ.773924.602</t>
  </si>
  <si>
    <t>ДИШВ.773924.402-02</t>
  </si>
  <si>
    <t>ДИШВ.773941.010</t>
  </si>
  <si>
    <t>ДИШВ.773911.503</t>
  </si>
  <si>
    <t>ДИШВ.773955.506</t>
  </si>
  <si>
    <t>ЛД34.470.082-03</t>
  </si>
  <si>
    <t>728-01</t>
  </si>
  <si>
    <t>ЛД34.418.008-01</t>
  </si>
  <si>
    <t>ДИШВ773975.015</t>
  </si>
  <si>
    <t>ДИШВ773975.016</t>
  </si>
  <si>
    <t>736</t>
  </si>
  <si>
    <t>ДИШВ773975.016-01</t>
  </si>
  <si>
    <t>ДИШВ773975.017</t>
  </si>
  <si>
    <t>738</t>
  </si>
  <si>
    <t>ДИШВ773975.017-01</t>
  </si>
  <si>
    <t>ЛД34.350.012</t>
  </si>
  <si>
    <t>740-01</t>
  </si>
  <si>
    <t>ЛД34.350.012-01</t>
  </si>
  <si>
    <t>ДИШВ.773924.808</t>
  </si>
  <si>
    <t>743</t>
  </si>
  <si>
    <t>ДИШВ.773922.003</t>
  </si>
  <si>
    <t>ДИШВ.773983.045</t>
  </si>
  <si>
    <t>ЛД34.384.000-01</t>
  </si>
  <si>
    <t>ДИШВ.773924.414</t>
  </si>
  <si>
    <t>753-01</t>
  </si>
  <si>
    <t>ЛД34.470.082-01</t>
  </si>
  <si>
    <t>ЛД34.470.082</t>
  </si>
  <si>
    <t>ДИШВ.773912003</t>
  </si>
  <si>
    <t>Начальник цеха 3</t>
  </si>
  <si>
    <t>Итог</t>
  </si>
  <si>
    <t>часов</t>
  </si>
  <si>
    <t>труд</t>
  </si>
  <si>
    <t>Начальник    ______________________ Курбацкая Н.В.</t>
  </si>
  <si>
    <t>Бородицкая Ирина Борисовна</t>
  </si>
  <si>
    <t>Грешнова Ольга Викторовна</t>
  </si>
  <si>
    <t>Груздева Олеся Изидоровна</t>
  </si>
  <si>
    <t>Егоров Дмитрий Геннадьевич</t>
  </si>
  <si>
    <t>Егорова Татьяна Владимировна</t>
  </si>
  <si>
    <t>Ерошина Ирина Павловна</t>
  </si>
  <si>
    <t>Зоидзе Ирина Сергеевна</t>
  </si>
  <si>
    <t>Маркова Ольга Евгеньевна</t>
  </si>
  <si>
    <t>Набойченко Седа Хамидовна</t>
  </si>
  <si>
    <t>Оленева Анна Викторовна</t>
  </si>
  <si>
    <t>Петрова Анна Сергеевна</t>
  </si>
  <si>
    <t>Полушкина Анастасия Юрьевна</t>
  </si>
  <si>
    <t>Потемкина Елена Анатольевна</t>
  </si>
  <si>
    <t>Пригоженкова Ольга Сергеевна</t>
  </si>
  <si>
    <t>Смирнова Елена Евгеньевна</t>
  </si>
  <si>
    <t>Томилова Антонина Викторовна</t>
  </si>
  <si>
    <t>Худякова Ольга Николаевна</t>
  </si>
  <si>
    <t>Овчинников Глеб Эдуардович</t>
  </si>
  <si>
    <t xml:space="preserve">итого, руб </t>
  </si>
  <si>
    <t>Аксенова Диана Владимировна</t>
  </si>
  <si>
    <t>Авдокушина Елена Николаевна</t>
  </si>
  <si>
    <t>Журавлева Мария Валентиновна</t>
  </si>
  <si>
    <t>Минко Елена Анатольевна</t>
  </si>
  <si>
    <t>Бадьялова Елена Сергеевна</t>
  </si>
  <si>
    <t>Бунчук Виктория Ивановна</t>
  </si>
  <si>
    <t>Елькина Татьяна Владимировна</t>
  </si>
  <si>
    <t>Иванченко Ульяна Леонидовна</t>
  </si>
  <si>
    <t>Кабанова Анастасия Евгеньевна</t>
  </si>
  <si>
    <t>Кравченко Светлана Александровна</t>
  </si>
  <si>
    <t>Марченко Ирина Вячеславовна</t>
  </si>
  <si>
    <t>Михно Татьяна Николаевна</t>
  </si>
  <si>
    <t>Аксенов Александр Юрьевич</t>
  </si>
  <si>
    <t>Алиева Диана Арифовна</t>
  </si>
  <si>
    <t>Иванова Оксана Михайловна</t>
  </si>
  <si>
    <t>Шамарина Светлана Владимировна</t>
  </si>
  <si>
    <t>Шишина Наталья Александровна</t>
  </si>
  <si>
    <t>Орленко Людмила Викторовна</t>
  </si>
  <si>
    <t>Кузнецова Анастасия Андреевна</t>
  </si>
  <si>
    <t>Кувшинов А.Г.</t>
  </si>
  <si>
    <t>Александрович Екатерина Сергеевна</t>
  </si>
  <si>
    <t>Сайпулаева Феодосия Андреевна</t>
  </si>
  <si>
    <t>Иванова Екатерина Борисовна</t>
  </si>
  <si>
    <t>Мельникова Анна Юрьевна</t>
  </si>
  <si>
    <t>Николаев П.</t>
  </si>
  <si>
    <t>Глинка Екатерина Юрьевна</t>
  </si>
  <si>
    <t>Киселёва Надежда Игоревна</t>
  </si>
  <si>
    <t>Пириева Виктория Хозеиновна</t>
  </si>
  <si>
    <t>Зинина Екатерина Олеговна</t>
  </si>
  <si>
    <t>Маргиева Фатима Александровна</t>
  </si>
  <si>
    <t>Иванова Ольга Анатольевна</t>
  </si>
  <si>
    <t>Костюченко Александр Валентинович</t>
  </si>
  <si>
    <t>Дорофеева Юлия Николаевна</t>
  </si>
  <si>
    <t>Никифорова Юлия Анатольевна</t>
  </si>
  <si>
    <t>Бекетова Надежда Ильинична</t>
  </si>
  <si>
    <t>Лебига Людмила Тихоновна</t>
  </si>
  <si>
    <t>8-23</t>
  </si>
  <si>
    <t>51-23</t>
  </si>
  <si>
    <t>52-23</t>
  </si>
  <si>
    <t>Попова Ольга Геннадьевна</t>
  </si>
  <si>
    <t>Климонтович Янина Анатольевна</t>
  </si>
  <si>
    <t>9-23</t>
  </si>
  <si>
    <t>10-23</t>
  </si>
  <si>
    <t>60-23</t>
  </si>
  <si>
    <t>61-23</t>
  </si>
  <si>
    <t>62-23</t>
  </si>
  <si>
    <t>64-23</t>
  </si>
  <si>
    <t>65-23</t>
  </si>
  <si>
    <t>66-23</t>
  </si>
  <si>
    <t>67-23</t>
  </si>
  <si>
    <t>Арефьева Инна Владимировна</t>
  </si>
  <si>
    <t>Аристанбекова Юлия Александровна</t>
  </si>
  <si>
    <t>Волошина Светлана Владимировна</t>
  </si>
  <si>
    <t>Ефремова Екатерина Сергеевна</t>
  </si>
  <si>
    <t>Кабакова Алина Дмитриевна</t>
  </si>
  <si>
    <t>Кириллова Надежда Вячеславовна</t>
  </si>
  <si>
    <t>Коричева Юлия Владимировна</t>
  </si>
  <si>
    <t>Кочеткова Мария Андреевна</t>
  </si>
  <si>
    <t>Лапина Елена Сергеевна</t>
  </si>
  <si>
    <t>Рысев Иван Александрович</t>
  </si>
  <si>
    <t>Самойленко Наталья Олеговна</t>
  </si>
  <si>
    <t>Старичкова Полина Анатольевна</t>
  </si>
  <si>
    <t>Степанова Ольга Юрьевна</t>
  </si>
  <si>
    <t>будни</t>
  </si>
  <si>
    <t xml:space="preserve">св </t>
  </si>
  <si>
    <t>итого</t>
  </si>
  <si>
    <t>разница</t>
  </si>
  <si>
    <t>утро</t>
  </si>
  <si>
    <t>НАЧАЛО РАБ ДНЯ</t>
  </si>
  <si>
    <t>ОКОНЧАНИЕ РАБ ДНЯ</t>
  </si>
  <si>
    <t>ОБЕД</t>
  </si>
  <si>
    <t>-  ОБЕД</t>
  </si>
  <si>
    <t>+ ОБЕД</t>
  </si>
  <si>
    <t>вечер</t>
  </si>
  <si>
    <t>Столбец3</t>
  </si>
  <si>
    <t>бригада</t>
  </si>
  <si>
    <t>4/2</t>
  </si>
  <si>
    <t>Аполосова Ольга Николаевна</t>
  </si>
  <si>
    <t>Скрынникова Виктория Геннадьевна</t>
  </si>
  <si>
    <t>Аполосова Юлиана Александровна</t>
  </si>
  <si>
    <t xml:space="preserve"> </t>
  </si>
  <si>
    <t>60рк</t>
  </si>
  <si>
    <t>Лезина Анастасия Юрьевна</t>
  </si>
  <si>
    <t>Новикова Александра Владимировна</t>
  </si>
  <si>
    <t>Исаева Инна Игоревна</t>
  </si>
  <si>
    <t>6001дл</t>
  </si>
  <si>
    <t>Михалочкина Наталья Ивановна</t>
  </si>
  <si>
    <t>Соболева Наталья Александровна</t>
  </si>
  <si>
    <t>Малышева Анна Евгеньевна</t>
  </si>
  <si>
    <t>Саидова Ольга Владимировна</t>
  </si>
  <si>
    <t>Ескина Ксения Анатольевна</t>
  </si>
  <si>
    <t>Черкасова Дарья Викторовна</t>
  </si>
  <si>
    <t>Матыгулина Наталья Энвировна</t>
  </si>
  <si>
    <t>Нагловская Наталья Анатольевна</t>
  </si>
  <si>
    <t>1-24</t>
  </si>
  <si>
    <t>2-24</t>
  </si>
  <si>
    <t>3-24</t>
  </si>
  <si>
    <t>4-24</t>
  </si>
  <si>
    <t>5-24</t>
  </si>
  <si>
    <t>6-24</t>
  </si>
  <si>
    <t>Силаева Ольга Владимировна</t>
  </si>
  <si>
    <t>Васильева Марина Витальевна</t>
  </si>
  <si>
    <t>Ефремова Юлия Сергеевна</t>
  </si>
  <si>
    <t>Ерошевич Дарья Александровна</t>
  </si>
  <si>
    <t>Машталяр Анна Сергеевна</t>
  </si>
  <si>
    <t>Ополченова Ольга Валерьевна</t>
  </si>
  <si>
    <t>Яблокова Дарья Александровна</t>
  </si>
  <si>
    <t>Бутова Юлия Сергеевна</t>
  </si>
  <si>
    <t>Мунтян Жанна Алексеевна</t>
  </si>
  <si>
    <t>январь</t>
  </si>
  <si>
    <t>7-24</t>
  </si>
  <si>
    <t>8-24</t>
  </si>
  <si>
    <t>10-24</t>
  </si>
  <si>
    <t>11-24</t>
  </si>
  <si>
    <t>12-24</t>
  </si>
  <si>
    <t>таб №</t>
  </si>
  <si>
    <t>757</t>
  </si>
  <si>
    <t>85</t>
  </si>
  <si>
    <t>60-01</t>
  </si>
  <si>
    <t>1,5</t>
  </si>
  <si>
    <t>60-00</t>
  </si>
  <si>
    <t>9-24</t>
  </si>
  <si>
    <t>631</t>
  </si>
  <si>
    <t>1,4</t>
  </si>
  <si>
    <t>314</t>
  </si>
  <si>
    <t>13-23</t>
  </si>
  <si>
    <t>185</t>
  </si>
  <si>
    <t>57</t>
  </si>
  <si>
    <t>1,2</t>
  </si>
  <si>
    <t>Мизина Мария Борисовна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</si>
</sst>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yyyy"/>
    <numFmt numFmtId="166" formatCode="General;;"/>
    <numFmt numFmtId="167" formatCode="#,##0.00\ &quot;₽&quot;"/>
    <numFmt numFmtId="168" formatCode="#,##0.00\ _₽"/>
    <numFmt numFmtId="169" formatCode="#,##0.0"/>
    <numFmt numFmtId="170" formatCode="d/m;@"/>
    <numFmt numFmtId="171" formatCode="d"/>
  </numFmts>
  <fonts count="120">
    <font>
      <sz val="11"/>
      <color theme="1"/>
      <name val="Calibri"/>
      <family val="2"/>
      <charset val="204"/>
      <scheme val="minor"/>
    </font>
    <font>
      <i/>
      <sz val="10"/>
      <name val="Arial"/>
      <family val="2"/>
      <charset val="204"/>
    </font>
    <font>
      <sz val="10"/>
      <name val="Arial"/>
      <family val="2"/>
      <charset val="204"/>
    </font>
    <font>
      <sz val="8"/>
      <name val="Calibri"/>
      <family val="2"/>
      <charset val="204"/>
    </font>
    <font>
      <sz val="11"/>
      <name val="Times New Roman"/>
      <family val="1"/>
      <charset val="204"/>
    </font>
    <font>
      <b/>
      <i/>
      <sz val="11"/>
      <name val="Times New Roman"/>
      <family val="1"/>
      <charset val="204"/>
    </font>
    <font>
      <sz val="12"/>
      <name val="Times New Roman"/>
      <family val="1"/>
      <charset val="204"/>
    </font>
    <font>
      <sz val="11"/>
      <color indexed="8"/>
      <name val="Sans"/>
      <family val="2"/>
      <charset val="204"/>
    </font>
    <font>
      <i/>
      <sz val="14"/>
      <name val="Arial"/>
      <family val="2"/>
      <charset val="204"/>
    </font>
    <font>
      <sz val="14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Liberation Sans"/>
      <family val="2"/>
      <charset val="204"/>
    </font>
    <font>
      <sz val="11"/>
      <color rgb="FF000000"/>
      <name val="Arial"/>
      <family val="2"/>
      <charset val="204"/>
    </font>
    <font>
      <sz val="10"/>
      <color theme="1"/>
      <name val="Arial"/>
      <family val="2"/>
      <charset val="204"/>
    </font>
    <font>
      <i/>
      <sz val="10"/>
      <color theme="1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i/>
      <sz val="10"/>
      <color rgb="FFFF0000"/>
      <name val="Arial"/>
      <family val="2"/>
      <charset val="204"/>
    </font>
    <font>
      <sz val="12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color rgb="FF00000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i/>
      <sz val="11"/>
      <color theme="1"/>
      <name val="Calibri"/>
      <family val="2"/>
      <charset val="204"/>
      <scheme val="minor"/>
    </font>
    <font>
      <i/>
      <sz val="10"/>
      <color rgb="FF0070C0"/>
      <name val="Arial"/>
      <family val="2"/>
      <charset val="204"/>
    </font>
    <font>
      <sz val="18"/>
      <color theme="1"/>
      <name val="Calibri"/>
      <family val="2"/>
      <charset val="204"/>
      <scheme val="minor"/>
    </font>
    <font>
      <i/>
      <sz val="18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sz val="14"/>
      <color theme="1"/>
      <name val="Arial"/>
      <family val="2"/>
      <charset val="204"/>
    </font>
    <font>
      <i/>
      <sz val="16"/>
      <color theme="1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i/>
      <sz val="10"/>
      <color theme="1" tint="4.9989318521683403E-2"/>
      <name val="Arial"/>
      <family val="2"/>
      <charset val="204"/>
    </font>
    <font>
      <b/>
      <sz val="10"/>
      <color theme="1" tint="4.9989318521683403E-2"/>
      <name val="Arial"/>
      <family val="2"/>
      <charset val="204"/>
    </font>
    <font>
      <b/>
      <sz val="11"/>
      <color theme="1" tint="4.9989318521683403E-2"/>
      <name val="Arial"/>
      <family val="2"/>
      <charset val="204"/>
    </font>
    <font>
      <sz val="10"/>
      <color theme="1" tint="4.9989318521683403E-2"/>
      <name val="Arial"/>
      <family val="2"/>
      <charset val="204"/>
    </font>
    <font>
      <b/>
      <i/>
      <sz val="18"/>
      <color theme="1"/>
      <name val="Arial"/>
      <family val="2"/>
      <charset val="204"/>
    </font>
    <font>
      <sz val="12"/>
      <color theme="1"/>
      <name val="Arial"/>
      <family val="2"/>
      <charset val="204"/>
    </font>
    <font>
      <sz val="14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4"/>
      <color rgb="FF000000"/>
      <name val="Times New Roman"/>
      <family val="1"/>
      <charset val="204"/>
    </font>
    <font>
      <sz val="16"/>
      <color theme="1"/>
      <name val="Times New Roman"/>
      <family val="1"/>
      <charset val="204"/>
    </font>
    <font>
      <b/>
      <sz val="18"/>
      <color theme="1"/>
      <name val="Times New Roman"/>
      <family val="1"/>
      <charset val="204"/>
    </font>
    <font>
      <b/>
      <sz val="36"/>
      <color theme="1"/>
      <name val="Calibri"/>
      <family val="2"/>
      <charset val="204"/>
      <scheme val="minor"/>
    </font>
    <font>
      <b/>
      <i/>
      <sz val="16"/>
      <color theme="1"/>
      <name val="Arial"/>
      <family val="2"/>
      <charset val="204"/>
    </font>
    <font>
      <i/>
      <sz val="10"/>
      <name val="Arial"/>
      <family val="2"/>
      <charset val="204"/>
    </font>
    <font>
      <b/>
      <sz val="11"/>
      <color theme="1" tint="4.9989318521683403E-2"/>
      <name val="Arial"/>
      <family val="2"/>
      <charset val="204"/>
    </font>
    <font>
      <i/>
      <sz val="20"/>
      <color theme="1"/>
      <name val="Arial"/>
      <family val="2"/>
      <charset val="204"/>
    </font>
    <font>
      <i/>
      <sz val="22"/>
      <color theme="1"/>
      <name val="Arial"/>
      <family val="2"/>
      <charset val="204"/>
    </font>
    <font>
      <sz val="16"/>
      <color theme="1" tint="4.9989318521683403E-2"/>
      <name val="Arial"/>
      <family val="2"/>
      <charset val="204"/>
    </font>
    <font>
      <i/>
      <sz val="16"/>
      <color theme="1" tint="4.9989318521683403E-2"/>
      <name val="Arial"/>
      <family val="2"/>
      <charset val="204"/>
    </font>
    <font>
      <sz val="14"/>
      <color theme="1" tint="4.9989318521683403E-2"/>
      <name val="Arial"/>
      <family val="2"/>
      <charset val="204"/>
    </font>
    <font>
      <b/>
      <i/>
      <sz val="14"/>
      <color theme="1"/>
      <name val="Arial"/>
      <family val="2"/>
      <charset val="204"/>
    </font>
    <font>
      <sz val="16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b/>
      <i/>
      <sz val="8"/>
      <color theme="1" tint="4.9989318521683403E-2"/>
      <name val="Arial"/>
      <family val="2"/>
      <charset val="204"/>
    </font>
    <font>
      <sz val="8"/>
      <color theme="1"/>
      <name val="Arial"/>
      <family val="2"/>
      <charset val="204"/>
    </font>
    <font>
      <sz val="9"/>
      <color theme="1" tint="4.9989318521683403E-2"/>
      <name val="Arial"/>
      <family val="2"/>
      <charset val="204"/>
    </font>
    <font>
      <sz val="9"/>
      <name val="Arial"/>
      <family val="2"/>
      <charset val="204"/>
    </font>
    <font>
      <sz val="18"/>
      <color theme="1"/>
      <name val="Arial"/>
      <family val="2"/>
      <charset val="204"/>
    </font>
    <font>
      <i/>
      <sz val="18"/>
      <name val="Arial"/>
      <family val="2"/>
      <charset val="204"/>
    </font>
    <font>
      <i/>
      <sz val="18"/>
      <color theme="1"/>
      <name val="Arial"/>
      <family val="2"/>
      <charset val="204"/>
    </font>
    <font>
      <i/>
      <sz val="10"/>
      <name val="Arial"/>
      <family val="2"/>
      <charset val="204"/>
    </font>
    <font>
      <i/>
      <sz val="10"/>
      <color theme="1"/>
      <name val="Arial"/>
      <family val="2"/>
      <charset val="204"/>
    </font>
    <font>
      <b/>
      <sz val="18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11"/>
      <color theme="1" tint="4.9989318521683403E-2"/>
      <name val="Arial"/>
      <family val="2"/>
      <charset val="204"/>
    </font>
    <font>
      <sz val="24"/>
      <color rgb="FFFF0000"/>
      <name val="Calibri"/>
      <family val="2"/>
      <charset val="204"/>
      <scheme val="minor"/>
    </font>
    <font>
      <b/>
      <sz val="26"/>
      <color rgb="FFFFFF00"/>
      <name val="Calibri"/>
      <family val="2"/>
      <charset val="204"/>
      <scheme val="minor"/>
    </font>
    <font>
      <sz val="28"/>
      <color rgb="FFFFFF00"/>
      <name val="Calibri"/>
      <family val="2"/>
      <charset val="204"/>
      <scheme val="minor"/>
    </font>
    <font>
      <b/>
      <i/>
      <sz val="16"/>
      <name val="Arial"/>
      <family val="2"/>
      <charset val="204"/>
    </font>
    <font>
      <sz val="11"/>
      <color rgb="FF000000"/>
      <name val="Times New Roman"/>
      <family val="1"/>
      <charset val="204"/>
    </font>
    <font>
      <sz val="16"/>
      <color rgb="FF000000"/>
      <name val="Times New Roman"/>
      <family val="1"/>
      <charset val="204"/>
    </font>
    <font>
      <b/>
      <sz val="11"/>
      <color rgb="FFFF0000"/>
      <name val="Calibri"/>
      <family val="2"/>
      <charset val="204"/>
      <scheme val="minor"/>
    </font>
    <font>
      <b/>
      <i/>
      <sz val="18"/>
      <name val="Arial"/>
      <family val="2"/>
      <charset val="204"/>
    </font>
    <font>
      <sz val="18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rgb="FFFF0000"/>
      <name val="Times New Roman"/>
      <family val="1"/>
      <charset val="204"/>
    </font>
    <font>
      <b/>
      <sz val="12"/>
      <color rgb="FFFF0000"/>
      <name val="Calibri"/>
      <family val="2"/>
      <charset val="204"/>
      <scheme val="minor"/>
    </font>
    <font>
      <i/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i/>
      <sz val="10"/>
      <name val="Arial"/>
      <family val="2"/>
      <charset val="204"/>
    </font>
    <font>
      <i/>
      <sz val="10"/>
      <name val="Arial"/>
      <family val="2"/>
      <charset val="204"/>
    </font>
    <font>
      <sz val="10"/>
      <color theme="1"/>
      <name val="Arial"/>
      <family val="2"/>
      <charset val="204"/>
    </font>
    <font>
      <i/>
      <sz val="10"/>
      <color theme="1"/>
      <name val="Arial"/>
      <family val="2"/>
      <charset val="204"/>
    </font>
    <font>
      <b/>
      <sz val="11"/>
      <color rgb="FF002060"/>
      <name val="Arial"/>
      <family val="2"/>
      <charset val="204"/>
    </font>
    <font>
      <i/>
      <sz val="10"/>
      <color theme="1"/>
      <name val="Arial"/>
      <family val="2"/>
      <charset val="204"/>
    </font>
    <font>
      <b/>
      <sz val="11"/>
      <color theme="8" tint="-0.499984740745262"/>
      <name val="Arial"/>
      <family val="2"/>
      <charset val="204"/>
    </font>
    <font>
      <b/>
      <i/>
      <sz val="8"/>
      <color theme="8" tint="-0.499984740745262"/>
      <name val="Arial"/>
      <family val="2"/>
      <charset val="204"/>
    </font>
    <font>
      <b/>
      <i/>
      <sz val="10"/>
      <color theme="8" tint="-0.499984740745262"/>
      <name val="Arial"/>
      <family val="2"/>
      <charset val="204"/>
    </font>
    <font>
      <b/>
      <sz val="8"/>
      <color theme="8" tint="-0.499984740745262"/>
      <name val="Arial"/>
      <family val="2"/>
      <charset val="204"/>
    </font>
    <font>
      <b/>
      <sz val="10"/>
      <color theme="8" tint="-0.499984740745262"/>
      <name val="Arial"/>
      <family val="2"/>
      <charset val="204"/>
    </font>
    <font>
      <sz val="11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10"/>
      <name val="Arial"/>
      <family val="2"/>
      <charset val="204"/>
    </font>
    <font>
      <sz val="10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FF0000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b/>
      <sz val="11"/>
      <color rgb="FFFF0000"/>
      <name val="Arial"/>
      <family val="2"/>
      <charset val="204"/>
    </font>
    <font>
      <b/>
      <sz val="18"/>
      <color rgb="FFFFFF00"/>
      <name val="Times New Roman"/>
      <family val="1"/>
      <charset val="204"/>
    </font>
    <font>
      <sz val="18"/>
      <color rgb="FFFFFF00"/>
      <name val="Times New Roman"/>
      <family val="1"/>
      <charset val="204"/>
    </font>
    <font>
      <b/>
      <sz val="12"/>
      <color rgb="FFFFFF00"/>
      <name val="Times New Roman"/>
      <family val="1"/>
      <charset val="204"/>
    </font>
    <font>
      <sz val="10"/>
      <color rgb="FFFF0000"/>
      <name val="Arial"/>
      <family val="2"/>
      <charset val="204"/>
    </font>
    <font>
      <sz val="11"/>
      <name val="Arial"/>
      <family val="2"/>
      <charset val="204"/>
    </font>
    <font>
      <i/>
      <sz val="10"/>
      <name val="Arial"/>
      <family val="2"/>
      <charset val="204"/>
    </font>
    <font>
      <sz val="10"/>
      <color theme="1"/>
      <name val="Arial"/>
      <family val="2"/>
      <charset val="204"/>
    </font>
    <font>
      <sz val="10"/>
      <name val="Arial"/>
      <family val="2"/>
      <charset val="204"/>
    </font>
    <font>
      <i/>
      <sz val="10"/>
      <color rgb="FF0070C0"/>
      <name val="Arial"/>
      <family val="2"/>
      <charset val="204"/>
    </font>
    <font>
      <sz val="11"/>
      <color theme="1"/>
      <name val="Arial"/>
      <family val="2"/>
      <charset val="204"/>
    </font>
    <font>
      <b/>
      <sz val="16"/>
      <color rgb="FFFFFF00"/>
      <name val="Times New Roman"/>
      <family val="1"/>
      <charset val="204"/>
    </font>
    <font>
      <sz val="16"/>
      <color rgb="FFFFFF00"/>
      <name val="Times New Roman"/>
      <family val="1"/>
      <charset val="204"/>
    </font>
    <font>
      <i/>
      <sz val="10"/>
      <name val="Arial"/>
    </font>
    <font>
      <sz val="10"/>
      <color theme="1"/>
      <name val="Arial"/>
    </font>
    <font>
      <i/>
      <sz val="10"/>
      <color theme="1"/>
      <name val="Arial"/>
    </font>
    <font>
      <sz val="10"/>
      <name val="Arial"/>
    </font>
    <font>
      <sz val="11"/>
      <color theme="1"/>
      <name val="Times New Roman"/>
    </font>
    <font>
      <i/>
      <sz val="10"/>
      <color rgb="FF0070C0"/>
      <name val="Arial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93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8"/>
      </left>
      <right style="dotted">
        <color indexed="8"/>
      </right>
      <top style="dotted">
        <color indexed="8"/>
      </top>
      <bottom/>
      <diagonal/>
    </border>
    <border>
      <left/>
      <right/>
      <top/>
      <bottom style="dotted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dotted">
        <color indexed="8"/>
      </left>
      <right/>
      <top/>
      <bottom style="thin">
        <color theme="4" tint="0.39997558519241921"/>
      </bottom>
      <diagonal/>
    </border>
    <border>
      <left style="dotted">
        <color indexed="64"/>
      </left>
      <right style="dotted">
        <color indexed="64"/>
      </right>
      <top style="dotted">
        <color indexed="8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 rgb="4472C4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tted">
        <color indexed="8"/>
      </left>
      <right style="dotted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 rgb="4472C4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 rgb="4472C4"/>
      </top>
      <bottom style="thin">
        <color theme="4" tint="0.59999389629810485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11">
    <xf numFmtId="0" fontId="0" fillId="0" borderId="0"/>
    <xf numFmtId="0" fontId="7" fillId="0" borderId="0" applyBorder="0" applyProtection="0"/>
    <xf numFmtId="0" fontId="12" fillId="0" borderId="0"/>
    <xf numFmtId="0" fontId="2" fillId="0" borderId="0"/>
    <xf numFmtId="0" fontId="10" fillId="0" borderId="0"/>
    <xf numFmtId="0" fontId="10" fillId="0" borderId="0"/>
    <xf numFmtId="0" fontId="13" fillId="0" borderId="0"/>
    <xf numFmtId="0" fontId="2" fillId="0" borderId="0"/>
    <xf numFmtId="0" fontId="10" fillId="0" borderId="0"/>
    <xf numFmtId="0" fontId="10" fillId="0" borderId="0"/>
    <xf numFmtId="0" fontId="12" fillId="0" borderId="0"/>
  </cellStyleXfs>
  <cellXfs count="1216">
    <xf numFmtId="0" fontId="0" fillId="0" borderId="0" xfId="0"/>
    <xf numFmtId="0" fontId="14" fillId="0" borderId="0" xfId="0" applyFont="1" applyFill="1"/>
    <xf numFmtId="0" fontId="1" fillId="0" borderId="0" xfId="0" applyFont="1" applyFill="1"/>
    <xf numFmtId="49" fontId="1" fillId="0" borderId="1" xfId="0" applyNumberFormat="1" applyFont="1" applyFill="1" applyBorder="1" applyAlignment="1">
      <alignment horizontal="center" vertical="center" wrapText="1"/>
    </xf>
    <xf numFmtId="0" fontId="14" fillId="0" borderId="0" xfId="0" applyFont="1" applyFill="1" applyBorder="1"/>
    <xf numFmtId="0" fontId="14" fillId="0" borderId="0" xfId="0" applyFont="1" applyFill="1" applyAlignment="1">
      <alignment horizontal="center" vertical="center"/>
    </xf>
    <xf numFmtId="0" fontId="14" fillId="0" borderId="0" xfId="0" applyFont="1" applyFill="1" applyAlignment="1">
      <alignment vertical="center"/>
    </xf>
    <xf numFmtId="165" fontId="14" fillId="0" borderId="0" xfId="0" applyNumberFormat="1" applyFont="1" applyFill="1" applyAlignment="1">
      <alignment horizontal="center" vertical="center"/>
    </xf>
    <xf numFmtId="0" fontId="16" fillId="0" borderId="66" xfId="0" applyFont="1" applyFill="1" applyBorder="1" applyAlignment="1">
      <alignment horizontal="center" vertical="center"/>
    </xf>
    <xf numFmtId="0" fontId="17" fillId="0" borderId="67" xfId="0" applyFont="1" applyFill="1" applyBorder="1" applyAlignment="1">
      <alignment horizontal="center" vertical="center" wrapText="1"/>
    </xf>
    <xf numFmtId="0" fontId="0" fillId="0" borderId="0" xfId="0" applyFill="1"/>
    <xf numFmtId="0" fontId="20" fillId="0" borderId="0" xfId="0" applyFont="1" applyBorder="1" applyAlignment="1">
      <alignment horizontal="center"/>
    </xf>
    <xf numFmtId="0" fontId="18" fillId="0" borderId="0" xfId="0" applyFont="1" applyBorder="1"/>
    <xf numFmtId="0" fontId="21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left" vertical="center"/>
    </xf>
    <xf numFmtId="49" fontId="22" fillId="0" borderId="0" xfId="0" applyNumberFormat="1" applyFont="1" applyFill="1" applyBorder="1" applyAlignment="1">
      <alignment horizontal="center" vertical="center"/>
    </xf>
    <xf numFmtId="0" fontId="22" fillId="0" borderId="0" xfId="0" applyNumberFormat="1" applyFont="1" applyFill="1" applyBorder="1" applyAlignment="1">
      <alignment horizontal="center" vertical="center"/>
    </xf>
    <xf numFmtId="4" fontId="22" fillId="0" borderId="0" xfId="0" applyNumberFormat="1" applyFont="1" applyFill="1" applyBorder="1" applyAlignment="1">
      <alignment horizontal="center" vertical="center"/>
    </xf>
    <xf numFmtId="164" fontId="22" fillId="0" borderId="0" xfId="0" applyNumberFormat="1" applyFont="1" applyFill="1" applyBorder="1" applyAlignment="1">
      <alignment horizontal="left" vertical="center"/>
    </xf>
    <xf numFmtId="2" fontId="22" fillId="0" borderId="0" xfId="0" applyNumberFormat="1" applyFont="1" applyFill="1" applyBorder="1" applyAlignment="1">
      <alignment horizontal="center" vertical="center"/>
    </xf>
    <xf numFmtId="0" fontId="22" fillId="0" borderId="0" xfId="0" applyFont="1" applyBorder="1"/>
    <xf numFmtId="164" fontId="14" fillId="0" borderId="0" xfId="0" applyNumberFormat="1" applyFont="1" applyFill="1"/>
    <xf numFmtId="4" fontId="6" fillId="0" borderId="10" xfId="0" applyNumberFormat="1" applyFont="1" applyFill="1" applyBorder="1" applyAlignment="1">
      <alignment vertical="center"/>
    </xf>
    <xf numFmtId="4" fontId="6" fillId="0" borderId="12" xfId="0" applyNumberFormat="1" applyFont="1" applyFill="1" applyBorder="1" applyAlignment="1">
      <alignment horizontal="center" vertical="center"/>
    </xf>
    <xf numFmtId="4" fontId="6" fillId="0" borderId="13" xfId="0" applyNumberFormat="1" applyFont="1" applyFill="1" applyBorder="1" applyAlignment="1">
      <alignment vertical="center"/>
    </xf>
    <xf numFmtId="4" fontId="6" fillId="0" borderId="14" xfId="0" applyNumberFormat="1" applyFont="1" applyFill="1" applyBorder="1" applyAlignment="1">
      <alignment horizontal="center" vertical="center"/>
    </xf>
    <xf numFmtId="4" fontId="6" fillId="0" borderId="16" xfId="0" applyNumberFormat="1" applyFont="1" applyFill="1" applyBorder="1" applyAlignment="1">
      <alignment horizontal="center" vertical="center"/>
    </xf>
    <xf numFmtId="4" fontId="6" fillId="0" borderId="17" xfId="0" applyNumberFormat="1" applyFont="1" applyFill="1" applyBorder="1" applyAlignment="1">
      <alignment horizontal="center" vertical="center"/>
    </xf>
    <xf numFmtId="4" fontId="6" fillId="0" borderId="18" xfId="0" applyNumberFormat="1" applyFont="1" applyFill="1" applyBorder="1" applyAlignment="1">
      <alignment horizontal="center" vertical="center"/>
    </xf>
    <xf numFmtId="4" fontId="6" fillId="0" borderId="20" xfId="0" applyNumberFormat="1" applyFont="1" applyFill="1" applyBorder="1" applyAlignment="1">
      <alignment horizontal="center" vertical="center"/>
    </xf>
    <xf numFmtId="4" fontId="6" fillId="0" borderId="22" xfId="0" applyNumberFormat="1" applyFont="1" applyFill="1" applyBorder="1" applyAlignment="1">
      <alignment horizontal="center" vertical="center"/>
    </xf>
    <xf numFmtId="49" fontId="14" fillId="0" borderId="0" xfId="0" applyNumberFormat="1" applyFont="1" applyFill="1" applyAlignment="1">
      <alignment horizontal="center"/>
    </xf>
    <xf numFmtId="0" fontId="14" fillId="0" borderId="0" xfId="0" applyFont="1"/>
    <xf numFmtId="0" fontId="23" fillId="0" borderId="1" xfId="0" applyFont="1" applyBorder="1" applyAlignment="1">
      <alignment horizontal="left"/>
    </xf>
    <xf numFmtId="166" fontId="0" fillId="0" borderId="1" xfId="0" applyNumberFormat="1" applyBorder="1"/>
    <xf numFmtId="166" fontId="0" fillId="0" borderId="24" xfId="0" applyNumberFormat="1" applyBorder="1"/>
    <xf numFmtId="0" fontId="0" fillId="0" borderId="1" xfId="0" applyBorder="1"/>
    <xf numFmtId="0" fontId="23" fillId="0" borderId="0" xfId="0" applyFont="1" applyAlignment="1">
      <alignment horizontal="left"/>
    </xf>
    <xf numFmtId="4" fontId="6" fillId="0" borderId="30" xfId="0" applyNumberFormat="1" applyFont="1" applyFill="1" applyBorder="1" applyAlignment="1">
      <alignment vertical="center"/>
    </xf>
    <xf numFmtId="4" fontId="6" fillId="0" borderId="31" xfId="0" applyNumberFormat="1" applyFont="1" applyFill="1" applyBorder="1" applyAlignment="1">
      <alignment vertical="center"/>
    </xf>
    <xf numFmtId="49" fontId="15" fillId="0" borderId="35" xfId="0" applyNumberFormat="1" applyFont="1" applyFill="1" applyBorder="1" applyAlignment="1">
      <alignment horizontal="center"/>
    </xf>
    <xf numFmtId="49" fontId="1" fillId="0" borderId="36" xfId="0" applyNumberFormat="1" applyFont="1" applyFill="1" applyBorder="1" applyAlignment="1">
      <alignment horizontal="center" vertical="center" wrapText="1"/>
    </xf>
    <xf numFmtId="0" fontId="27" fillId="0" borderId="0" xfId="0" applyFont="1" applyAlignment="1"/>
    <xf numFmtId="0" fontId="28" fillId="0" borderId="0" xfId="0" applyFont="1" applyFill="1"/>
    <xf numFmtId="49" fontId="29" fillId="0" borderId="0" xfId="0" applyNumberFormat="1" applyFont="1" applyFill="1"/>
    <xf numFmtId="0" fontId="0" fillId="0" borderId="0" xfId="0"/>
    <xf numFmtId="0" fontId="14" fillId="0" borderId="0" xfId="0" applyFont="1" applyFill="1"/>
    <xf numFmtId="49" fontId="1" fillId="0" borderId="4" xfId="0" applyNumberFormat="1" applyFont="1" applyFill="1" applyBorder="1" applyAlignment="1">
      <alignment horizontal="center" vertical="center" wrapText="1"/>
    </xf>
    <xf numFmtId="164" fontId="1" fillId="0" borderId="4" xfId="0" applyNumberFormat="1" applyFont="1" applyFill="1" applyBorder="1" applyAlignment="1">
      <alignment horizontal="center" vertical="center" wrapText="1"/>
    </xf>
    <xf numFmtId="164" fontId="1" fillId="0" borderId="4" xfId="0" applyNumberFormat="1" applyFont="1" applyFill="1" applyBorder="1" applyAlignment="1" applyProtection="1">
      <alignment horizontal="center" vertical="center" wrapText="1"/>
      <protection locked="0"/>
    </xf>
    <xf numFmtId="0" fontId="23" fillId="0" borderId="0" xfId="0" applyFont="1" applyAlignment="1">
      <alignment horizontal="left"/>
    </xf>
    <xf numFmtId="164" fontId="1" fillId="0" borderId="28" xfId="0" applyNumberFormat="1" applyFont="1" applyFill="1" applyBorder="1" applyAlignment="1">
      <alignment horizontal="center" vertical="center" wrapText="1"/>
    </xf>
    <xf numFmtId="0" fontId="28" fillId="0" borderId="0" xfId="0" applyFont="1" applyFill="1" applyAlignment="1">
      <alignment horizontal="right"/>
    </xf>
    <xf numFmtId="0" fontId="0" fillId="0" borderId="0" xfId="0" applyAlignment="1">
      <alignment horizontal="center" vertical="center"/>
    </xf>
    <xf numFmtId="49" fontId="5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35" xfId="0" applyFill="1" applyBorder="1"/>
    <xf numFmtId="0" fontId="34" fillId="0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vertical="center"/>
    </xf>
    <xf numFmtId="4" fontId="6" fillId="0" borderId="40" xfId="0" applyNumberFormat="1" applyFont="1" applyFill="1" applyBorder="1" applyAlignment="1">
      <alignment vertical="center"/>
    </xf>
    <xf numFmtId="0" fontId="15" fillId="0" borderId="4" xfId="0" applyFont="1" applyFill="1" applyBorder="1" applyAlignment="1">
      <alignment horizontal="center" vertical="center"/>
    </xf>
    <xf numFmtId="49" fontId="14" fillId="0" borderId="4" xfId="0" applyNumberFormat="1" applyFont="1" applyFill="1" applyBorder="1" applyAlignment="1">
      <alignment horizontal="center" vertical="center"/>
    </xf>
    <xf numFmtId="0" fontId="25" fillId="0" borderId="0" xfId="0" applyFont="1"/>
    <xf numFmtId="0" fontId="26" fillId="0" borderId="0" xfId="0" applyFont="1" applyAlignment="1">
      <alignment horizontal="left"/>
    </xf>
    <xf numFmtId="0" fontId="30" fillId="0" borderId="0" xfId="0" applyFont="1"/>
    <xf numFmtId="0" fontId="28" fillId="0" borderId="0" xfId="0" applyFont="1"/>
    <xf numFmtId="0" fontId="1" fillId="0" borderId="4" xfId="0" applyFont="1" applyFill="1" applyBorder="1" applyAlignment="1">
      <alignment horizontal="center" vertical="center"/>
    </xf>
    <xf numFmtId="4" fontId="6" fillId="0" borderId="42" xfId="0" applyNumberFormat="1" applyFont="1" applyFill="1" applyBorder="1" applyAlignment="1">
      <alignment vertical="center"/>
    </xf>
    <xf numFmtId="4" fontId="6" fillId="0" borderId="4" xfId="0" applyNumberFormat="1" applyFont="1" applyFill="1" applyBorder="1" applyAlignment="1">
      <alignment vertical="center"/>
    </xf>
    <xf numFmtId="4" fontId="6" fillId="0" borderId="44" xfId="0" applyNumberFormat="1" applyFont="1" applyFill="1" applyBorder="1" applyAlignment="1">
      <alignment vertical="center"/>
    </xf>
    <xf numFmtId="0" fontId="36" fillId="0" borderId="0" xfId="0" applyFont="1"/>
    <xf numFmtId="49" fontId="14" fillId="0" borderId="0" xfId="0" applyNumberFormat="1" applyFont="1" applyFill="1"/>
    <xf numFmtId="4" fontId="4" fillId="0" borderId="10" xfId="0" applyNumberFormat="1" applyFont="1" applyFill="1" applyBorder="1" applyAlignment="1">
      <alignment vertical="center"/>
    </xf>
    <xf numFmtId="4" fontId="4" fillId="0" borderId="19" xfId="0" applyNumberFormat="1" applyFont="1" applyFill="1" applyBorder="1" applyAlignment="1">
      <alignment horizontal="center" vertical="center"/>
    </xf>
    <xf numFmtId="4" fontId="4" fillId="0" borderId="30" xfId="0" applyNumberFormat="1" applyFont="1" applyFill="1" applyBorder="1" applyAlignment="1">
      <alignment horizontal="center" vertical="center"/>
    </xf>
    <xf numFmtId="4" fontId="4" fillId="0" borderId="29" xfId="0" applyNumberFormat="1" applyFont="1" applyFill="1" applyBorder="1" applyAlignment="1">
      <alignment horizontal="center" vertical="center"/>
    </xf>
    <xf numFmtId="4" fontId="4" fillId="0" borderId="10" xfId="0" applyNumberFormat="1" applyFont="1" applyFill="1" applyBorder="1" applyAlignment="1">
      <alignment horizontal="center" vertical="center"/>
    </xf>
    <xf numFmtId="4" fontId="4" fillId="0" borderId="33" xfId="0" applyNumberFormat="1" applyFont="1" applyFill="1" applyBorder="1" applyAlignment="1">
      <alignment horizontal="center" vertical="center"/>
    </xf>
    <xf numFmtId="4" fontId="4" fillId="0" borderId="11" xfId="0" applyNumberFormat="1" applyFont="1" applyFill="1" applyBorder="1" applyAlignment="1">
      <alignment horizontal="center" vertical="center"/>
    </xf>
    <xf numFmtId="4" fontId="4" fillId="0" borderId="23" xfId="0" applyNumberFormat="1" applyFont="1" applyFill="1" applyBorder="1" applyAlignment="1">
      <alignment horizontal="center" vertical="center"/>
    </xf>
    <xf numFmtId="4" fontId="4" fillId="0" borderId="4" xfId="0" applyNumberFormat="1" applyFont="1" applyFill="1" applyBorder="1" applyAlignment="1">
      <alignment horizontal="center" vertical="center"/>
    </xf>
    <xf numFmtId="4" fontId="4" fillId="0" borderId="34" xfId="0" applyNumberFormat="1" applyFont="1" applyFill="1" applyBorder="1" applyAlignment="1">
      <alignment horizontal="center" vertical="center"/>
    </xf>
    <xf numFmtId="4" fontId="4" fillId="0" borderId="13" xfId="0" applyNumberFormat="1" applyFont="1" applyFill="1" applyBorder="1" applyAlignment="1">
      <alignment horizontal="center" vertical="center"/>
    </xf>
    <xf numFmtId="4" fontId="4" fillId="0" borderId="44" xfId="0" applyNumberFormat="1" applyFont="1" applyFill="1" applyBorder="1" applyAlignment="1">
      <alignment horizontal="center" vertical="center"/>
    </xf>
    <xf numFmtId="4" fontId="4" fillId="0" borderId="32" xfId="0" applyNumberFormat="1" applyFont="1" applyFill="1" applyBorder="1" applyAlignment="1">
      <alignment horizontal="center" vertical="center"/>
    </xf>
    <xf numFmtId="4" fontId="4" fillId="0" borderId="43" xfId="0" applyNumberFormat="1" applyFont="1" applyFill="1" applyBorder="1" applyAlignment="1">
      <alignment horizontal="center" vertical="center"/>
    </xf>
    <xf numFmtId="4" fontId="4" fillId="0" borderId="40" xfId="0" applyNumberFormat="1" applyFont="1" applyFill="1" applyBorder="1" applyAlignment="1">
      <alignment horizontal="center" vertical="center"/>
    </xf>
    <xf numFmtId="4" fontId="9" fillId="0" borderId="30" xfId="0" applyNumberFormat="1" applyFont="1" applyFill="1" applyBorder="1" applyAlignment="1">
      <alignment vertical="center"/>
    </xf>
    <xf numFmtId="4" fontId="9" fillId="0" borderId="18" xfId="0" applyNumberFormat="1" applyFont="1" applyFill="1" applyBorder="1" applyAlignment="1">
      <alignment horizontal="center" vertical="center"/>
    </xf>
    <xf numFmtId="4" fontId="9" fillId="0" borderId="10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horizontal="center" vertical="center"/>
    </xf>
    <xf numFmtId="4" fontId="9" fillId="0" borderId="16" xfId="0" applyNumberFormat="1" applyFont="1" applyFill="1" applyBorder="1" applyAlignment="1">
      <alignment horizontal="center" vertical="center"/>
    </xf>
    <xf numFmtId="4" fontId="9" fillId="0" borderId="4" xfId="0" applyNumberFormat="1" applyFont="1" applyFill="1" applyBorder="1" applyAlignment="1">
      <alignment vertical="center"/>
    </xf>
    <xf numFmtId="4" fontId="9" fillId="0" borderId="22" xfId="0" applyNumberFormat="1" applyFont="1" applyFill="1" applyBorder="1" applyAlignment="1">
      <alignment horizontal="center" vertical="center"/>
    </xf>
    <xf numFmtId="4" fontId="9" fillId="0" borderId="17" xfId="0" applyNumberFormat="1" applyFont="1" applyFill="1" applyBorder="1" applyAlignment="1">
      <alignment horizontal="center" vertical="center"/>
    </xf>
    <xf numFmtId="4" fontId="9" fillId="0" borderId="20" xfId="0" applyNumberFormat="1" applyFont="1" applyFill="1" applyBorder="1" applyAlignment="1">
      <alignment horizontal="center" vertical="center"/>
    </xf>
    <xf numFmtId="4" fontId="9" fillId="0" borderId="30" xfId="0" applyNumberFormat="1" applyFont="1" applyFill="1" applyBorder="1" applyAlignment="1">
      <alignment horizontal="center" vertical="center"/>
    </xf>
    <xf numFmtId="4" fontId="9" fillId="0" borderId="10" xfId="0" applyNumberFormat="1" applyFont="1" applyFill="1" applyBorder="1" applyAlignment="1">
      <alignment horizontal="center" vertical="center"/>
    </xf>
    <xf numFmtId="4" fontId="9" fillId="0" borderId="11" xfId="0" applyNumberFormat="1" applyFont="1" applyFill="1" applyBorder="1" applyAlignment="1">
      <alignment horizontal="center" vertical="center"/>
    </xf>
    <xf numFmtId="4" fontId="9" fillId="0" borderId="4" xfId="0" applyNumberFormat="1" applyFont="1" applyFill="1" applyBorder="1" applyAlignment="1">
      <alignment horizontal="center" vertical="center"/>
    </xf>
    <xf numFmtId="4" fontId="9" fillId="0" borderId="34" xfId="0" applyNumberFormat="1" applyFont="1" applyFill="1" applyBorder="1" applyAlignment="1">
      <alignment horizontal="center" vertical="center"/>
    </xf>
    <xf numFmtId="4" fontId="9" fillId="0" borderId="40" xfId="0" applyNumberFormat="1" applyFont="1" applyFill="1" applyBorder="1" applyAlignment="1">
      <alignment horizontal="center" vertical="center"/>
    </xf>
    <xf numFmtId="4" fontId="4" fillId="0" borderId="49" xfId="0" applyNumberFormat="1" applyFont="1" applyFill="1" applyBorder="1" applyAlignment="1">
      <alignment horizontal="center" vertical="center"/>
    </xf>
    <xf numFmtId="4" fontId="9" fillId="0" borderId="12" xfId="0" applyNumberFormat="1" applyFont="1" applyFill="1" applyBorder="1" applyAlignment="1">
      <alignment horizontal="center" vertical="center"/>
    </xf>
    <xf numFmtId="4" fontId="9" fillId="0" borderId="50" xfId="0" applyNumberFormat="1" applyFont="1" applyFill="1" applyBorder="1" applyAlignment="1">
      <alignment horizontal="center" vertical="center"/>
    </xf>
    <xf numFmtId="4" fontId="9" fillId="0" borderId="28" xfId="0" applyNumberFormat="1" applyFont="1" applyFill="1" applyBorder="1" applyAlignment="1">
      <alignment horizontal="center" vertical="center"/>
    </xf>
    <xf numFmtId="4" fontId="4" fillId="0" borderId="42" xfId="0" applyNumberFormat="1" applyFont="1" applyFill="1" applyBorder="1" applyAlignment="1">
      <alignment horizontal="center" vertical="center"/>
    </xf>
    <xf numFmtId="4" fontId="4" fillId="0" borderId="28" xfId="0" applyNumberFormat="1" applyFont="1" applyFill="1" applyBorder="1" applyAlignment="1">
      <alignment horizontal="center" vertical="center"/>
    </xf>
    <xf numFmtId="0" fontId="43" fillId="0" borderId="0" xfId="0" applyFont="1" applyFill="1" applyAlignment="1">
      <alignment horizontal="center" vertical="center"/>
    </xf>
    <xf numFmtId="49" fontId="35" fillId="0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22" fillId="0" borderId="0" xfId="2" applyNumberFormat="1" applyFont="1" applyFill="1" applyBorder="1" applyAlignment="1"/>
    <xf numFmtId="49" fontId="22" fillId="0" borderId="0" xfId="2" applyNumberFormat="1" applyFont="1" applyFill="1" applyBorder="1" applyAlignment="1">
      <alignment horizontal="center"/>
    </xf>
    <xf numFmtId="0" fontId="31" fillId="4" borderId="38" xfId="0" applyNumberFormat="1" applyFont="1" applyFill="1" applyBorder="1" applyAlignment="1">
      <alignment horizontal="center" vertical="center"/>
    </xf>
    <xf numFmtId="0" fontId="31" fillId="4" borderId="38" xfId="0" applyFont="1" applyFill="1" applyBorder="1" applyAlignment="1">
      <alignment horizontal="center" vertical="center"/>
    </xf>
    <xf numFmtId="49" fontId="32" fillId="4" borderId="38" xfId="0" applyNumberFormat="1" applyFont="1" applyFill="1" applyBorder="1" applyAlignment="1">
      <alignment horizontal="center" vertical="center"/>
    </xf>
    <xf numFmtId="0" fontId="32" fillId="4" borderId="39" xfId="0" applyFont="1" applyFill="1" applyBorder="1" applyAlignment="1">
      <alignment horizontal="center" vertical="center" wrapText="1"/>
    </xf>
    <xf numFmtId="0" fontId="31" fillId="4" borderId="39" xfId="0" applyFont="1" applyFill="1" applyBorder="1" applyAlignment="1">
      <alignment horizontal="center" vertical="center" wrapText="1"/>
    </xf>
    <xf numFmtId="0" fontId="33" fillId="4" borderId="39" xfId="0" applyFont="1" applyFill="1" applyBorder="1" applyAlignment="1" applyProtection="1">
      <alignment horizontal="center" vertical="center"/>
    </xf>
    <xf numFmtId="0" fontId="33" fillId="4" borderId="38" xfId="0" applyFont="1" applyFill="1" applyBorder="1" applyAlignment="1">
      <alignment horizontal="center" vertical="center"/>
    </xf>
    <xf numFmtId="0" fontId="45" fillId="4" borderId="38" xfId="0" applyFont="1" applyFill="1" applyBorder="1" applyAlignment="1" applyProtection="1">
      <alignment horizontal="center" vertical="center" wrapText="1"/>
    </xf>
    <xf numFmtId="164" fontId="24" fillId="4" borderId="28" xfId="0" applyNumberFormat="1" applyFont="1" applyFill="1" applyBorder="1" applyAlignment="1" applyProtection="1">
      <alignment horizontal="center" vertical="center" wrapText="1"/>
      <protection hidden="1"/>
    </xf>
    <xf numFmtId="1" fontId="44" fillId="4" borderId="10" xfId="0" applyNumberFormat="1" applyFont="1" applyFill="1" applyBorder="1" applyAlignment="1" applyProtection="1">
      <alignment horizontal="center" vertical="center" wrapText="1"/>
      <protection hidden="1"/>
    </xf>
    <xf numFmtId="49" fontId="35" fillId="0" borderId="0" xfId="0" applyNumberFormat="1" applyFont="1" applyFill="1" applyBorder="1" applyAlignment="1">
      <alignment horizontal="center" vertical="center"/>
    </xf>
    <xf numFmtId="0" fontId="35" fillId="0" borderId="0" xfId="0" applyFont="1" applyFill="1" applyAlignment="1">
      <alignment horizontal="left" vertical="center"/>
    </xf>
    <xf numFmtId="0" fontId="35" fillId="0" borderId="26" xfId="0" applyFont="1" applyFill="1" applyBorder="1" applyAlignment="1">
      <alignment horizontal="center" vertical="center"/>
    </xf>
    <xf numFmtId="0" fontId="47" fillId="0" borderId="26" xfId="0" applyFont="1" applyFill="1" applyBorder="1" applyAlignment="1">
      <alignment horizontal="center" vertical="center"/>
    </xf>
    <xf numFmtId="0" fontId="29" fillId="0" borderId="26" xfId="0" applyFont="1" applyFill="1" applyBorder="1" applyAlignment="1">
      <alignment horizontal="center" vertical="center"/>
    </xf>
    <xf numFmtId="0" fontId="14" fillId="0" borderId="26" xfId="0" applyFont="1" applyFill="1" applyBorder="1"/>
    <xf numFmtId="49" fontId="29" fillId="0" borderId="26" xfId="0" applyNumberFormat="1" applyFont="1" applyFill="1" applyBorder="1"/>
    <xf numFmtId="0" fontId="47" fillId="0" borderId="0" xfId="0" applyFont="1" applyFill="1" applyAlignment="1">
      <alignment horizontal="center" vertical="center"/>
    </xf>
    <xf numFmtId="0" fontId="25" fillId="0" borderId="69" xfId="0" applyFont="1" applyBorder="1" applyAlignment="1">
      <alignment horizontal="center"/>
    </xf>
    <xf numFmtId="0" fontId="26" fillId="0" borderId="69" xfId="0" applyFont="1" applyBorder="1" applyAlignment="1">
      <alignment horizontal="left"/>
    </xf>
    <xf numFmtId="166" fontId="30" fillId="0" borderId="69" xfId="0" applyNumberFormat="1" applyFont="1" applyBorder="1" applyAlignment="1">
      <alignment horizontal="center" vertical="center"/>
    </xf>
    <xf numFmtId="0" fontId="50" fillId="0" borderId="68" xfId="0" applyFont="1" applyFill="1" applyBorder="1" applyAlignment="1">
      <alignment horizontal="center" vertical="center" wrapText="1"/>
    </xf>
    <xf numFmtId="0" fontId="48" fillId="0" borderId="68" xfId="0" applyNumberFormat="1" applyFont="1" applyFill="1" applyBorder="1" applyAlignment="1">
      <alignment horizontal="center" vertical="center" wrapText="1"/>
    </xf>
    <xf numFmtId="0" fontId="49" fillId="0" borderId="68" xfId="0" applyFont="1" applyFill="1" applyBorder="1" applyAlignment="1">
      <alignment horizontal="center" vertical="center" wrapText="1"/>
    </xf>
    <xf numFmtId="0" fontId="48" fillId="0" borderId="68" xfId="0" applyNumberFormat="1" applyFont="1" applyFill="1" applyBorder="1" applyAlignment="1">
      <alignment horizontal="center" vertical="center"/>
    </xf>
    <xf numFmtId="0" fontId="28" fillId="0" borderId="1" xfId="0" applyFont="1" applyFill="1" applyBorder="1"/>
    <xf numFmtId="0" fontId="28" fillId="0" borderId="0" xfId="0" applyFont="1" applyFill="1" applyAlignment="1">
      <alignment vertical="top"/>
    </xf>
    <xf numFmtId="166" fontId="52" fillId="0" borderId="1" xfId="0" applyNumberFormat="1" applyFont="1" applyBorder="1"/>
    <xf numFmtId="166" fontId="52" fillId="0" borderId="24" xfId="0" applyNumberFormat="1" applyFont="1" applyBorder="1"/>
    <xf numFmtId="166" fontId="52" fillId="0" borderId="25" xfId="0" applyNumberFormat="1" applyFont="1" applyBorder="1"/>
    <xf numFmtId="0" fontId="35" fillId="0" borderId="0" xfId="0" applyFont="1" applyFill="1" applyAlignment="1">
      <alignment horizontal="center" vertical="center"/>
    </xf>
    <xf numFmtId="0" fontId="46" fillId="0" borderId="0" xfId="0" applyFont="1" applyFill="1" applyBorder="1" applyAlignment="1">
      <alignment horizontal="center" vertical="center"/>
    </xf>
    <xf numFmtId="2" fontId="14" fillId="0" borderId="0" xfId="0" applyNumberFormat="1" applyFont="1" applyFill="1"/>
    <xf numFmtId="166" fontId="11" fillId="0" borderId="1" xfId="0" applyNumberFormat="1" applyFont="1" applyFill="1" applyBorder="1"/>
    <xf numFmtId="166" fontId="30" fillId="0" borderId="69" xfId="0" applyNumberFormat="1" applyFont="1" applyBorder="1" applyAlignment="1">
      <alignment horizontal="right"/>
    </xf>
    <xf numFmtId="0" fontId="35" fillId="0" borderId="0" xfId="0" applyFont="1" applyFill="1" applyAlignment="1">
      <alignment vertical="center"/>
    </xf>
    <xf numFmtId="0" fontId="0" fillId="0" borderId="0" xfId="0" applyProtection="1">
      <protection locked="0"/>
    </xf>
    <xf numFmtId="0" fontId="23" fillId="0" borderId="0" xfId="0" applyFont="1" applyAlignment="1" applyProtection="1">
      <alignment horizontal="left"/>
      <protection locked="0"/>
    </xf>
    <xf numFmtId="166" fontId="0" fillId="0" borderId="24" xfId="0" applyNumberFormat="1" applyBorder="1" applyProtection="1">
      <protection locked="0"/>
    </xf>
    <xf numFmtId="0" fontId="14" fillId="0" borderId="0" xfId="0" applyFont="1" applyProtection="1">
      <protection locked="0"/>
    </xf>
    <xf numFmtId="0" fontId="35" fillId="0" borderId="0" xfId="0" applyFont="1" applyFill="1" applyAlignment="1" applyProtection="1">
      <alignment vertical="center"/>
      <protection locked="0"/>
    </xf>
    <xf numFmtId="0" fontId="14" fillId="0" borderId="0" xfId="0" applyFont="1" applyFill="1" applyProtection="1">
      <protection locked="0"/>
    </xf>
    <xf numFmtId="0" fontId="28" fillId="0" borderId="0" xfId="0" applyFont="1" applyFill="1" applyProtection="1">
      <protection locked="0"/>
    </xf>
    <xf numFmtId="0" fontId="28" fillId="0" borderId="0" xfId="0" applyFont="1" applyProtection="1">
      <protection locked="0"/>
    </xf>
    <xf numFmtId="0" fontId="27" fillId="0" borderId="0" xfId="0" applyFont="1" applyAlignment="1" applyProtection="1">
      <protection locked="0"/>
    </xf>
    <xf numFmtId="0" fontId="35" fillId="0" borderId="0" xfId="0" applyFont="1" applyFill="1" applyAlignment="1" applyProtection="1">
      <alignment horizontal="center" vertical="center"/>
      <protection locked="0"/>
    </xf>
    <xf numFmtId="49" fontId="29" fillId="0" borderId="0" xfId="0" applyNumberFormat="1" applyFont="1" applyFill="1" applyProtection="1">
      <protection locked="0"/>
    </xf>
    <xf numFmtId="0" fontId="43" fillId="0" borderId="0" xfId="0" applyFont="1" applyFill="1" applyAlignment="1" applyProtection="1">
      <alignment horizontal="center" vertical="center"/>
      <protection locked="0"/>
    </xf>
    <xf numFmtId="49" fontId="35" fillId="0" borderId="0" xfId="0" applyNumberFormat="1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vertical="top"/>
      <protection locked="0"/>
    </xf>
    <xf numFmtId="0" fontId="35" fillId="0" borderId="0" xfId="0" applyFont="1" applyFill="1" applyAlignment="1" applyProtection="1">
      <alignment horizontal="left" vertical="center"/>
      <protection locked="0"/>
    </xf>
    <xf numFmtId="0" fontId="35" fillId="0" borderId="26" xfId="0" applyFont="1" applyFill="1" applyBorder="1" applyAlignment="1" applyProtection="1">
      <alignment horizontal="center" vertical="center"/>
      <protection locked="0"/>
    </xf>
    <xf numFmtId="49" fontId="35" fillId="0" borderId="0" xfId="0" applyNumberFormat="1" applyFont="1" applyFill="1" applyAlignment="1" applyProtection="1">
      <alignment horizontal="center" vertical="center"/>
      <protection locked="0"/>
    </xf>
    <xf numFmtId="0" fontId="47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Protection="1">
      <protection locked="0"/>
    </xf>
    <xf numFmtId="0" fontId="20" fillId="0" borderId="0" xfId="0" applyFont="1" applyBorder="1" applyAlignment="1" applyProtection="1">
      <alignment horizontal="center" vertical="center" wrapText="1"/>
      <protection locked="0"/>
    </xf>
    <xf numFmtId="4" fontId="20" fillId="0" borderId="0" xfId="0" applyNumberFormat="1" applyFont="1" applyBorder="1" applyAlignment="1" applyProtection="1">
      <alignment horizontal="center" vertical="center" wrapText="1"/>
      <protection locked="0"/>
    </xf>
    <xf numFmtId="164" fontId="20" fillId="0" borderId="0" xfId="0" applyNumberFormat="1" applyFont="1" applyBorder="1" applyAlignment="1" applyProtection="1">
      <alignment horizontal="center" vertical="center" wrapText="1"/>
      <protection locked="0"/>
    </xf>
    <xf numFmtId="0" fontId="20" fillId="0" borderId="0" xfId="0" applyFont="1" applyBorder="1" applyAlignment="1" applyProtection="1">
      <alignment horizontal="center"/>
      <protection locked="0"/>
    </xf>
    <xf numFmtId="164" fontId="19" fillId="0" borderId="0" xfId="0" applyNumberFormat="1" applyFont="1" applyBorder="1" applyAlignment="1" applyProtection="1">
      <alignment horizontal="center" vertical="center" wrapText="1"/>
      <protection locked="0"/>
    </xf>
    <xf numFmtId="1" fontId="19" fillId="0" borderId="0" xfId="0" applyNumberFormat="1" applyFont="1" applyBorder="1" applyAlignment="1" applyProtection="1">
      <alignment horizontal="center" vertical="center" wrapText="1"/>
      <protection locked="0"/>
    </xf>
    <xf numFmtId="2" fontId="20" fillId="0" borderId="0" xfId="0" applyNumberFormat="1" applyFont="1" applyBorder="1" applyAlignment="1" applyProtection="1">
      <alignment horizontal="center" vertical="center" wrapText="1"/>
      <protection locked="0"/>
    </xf>
    <xf numFmtId="0" fontId="20" fillId="0" borderId="0" xfId="0" applyFont="1" applyBorder="1" applyAlignment="1" applyProtection="1">
      <alignment horizontal="right" vertical="center"/>
      <protection locked="0"/>
    </xf>
    <xf numFmtId="0" fontId="18" fillId="0" borderId="9" xfId="0" applyFont="1" applyBorder="1" applyProtection="1">
      <protection locked="0"/>
    </xf>
    <xf numFmtId="0" fontId="20" fillId="0" borderId="9" xfId="0" applyFont="1" applyBorder="1" applyAlignment="1" applyProtection="1">
      <protection locked="0"/>
    </xf>
    <xf numFmtId="0" fontId="20" fillId="0" borderId="0" xfId="0" applyFont="1" applyBorder="1" applyAlignment="1" applyProtection="1">
      <protection locked="0"/>
    </xf>
    <xf numFmtId="0" fontId="18" fillId="0" borderId="0" xfId="0" applyFont="1" applyBorder="1" applyProtection="1">
      <protection locked="0"/>
    </xf>
    <xf numFmtId="0" fontId="22" fillId="0" borderId="0" xfId="0" applyFont="1" applyFill="1" applyBorder="1" applyAlignment="1" applyProtection="1">
      <alignment horizontal="left" vertical="center"/>
      <protection locked="0"/>
    </xf>
    <xf numFmtId="49" fontId="22" fillId="0" borderId="0" xfId="0" applyNumberFormat="1" applyFont="1" applyFill="1" applyBorder="1" applyAlignment="1" applyProtection="1">
      <alignment horizontal="center" vertical="center"/>
      <protection locked="0"/>
    </xf>
    <xf numFmtId="0" fontId="22" fillId="0" borderId="0" xfId="0" applyNumberFormat="1" applyFont="1" applyFill="1" applyBorder="1" applyAlignment="1" applyProtection="1">
      <alignment horizontal="center" vertical="center"/>
      <protection locked="0"/>
    </xf>
    <xf numFmtId="4" fontId="22" fillId="0" borderId="0" xfId="0" applyNumberFormat="1" applyFont="1" applyFill="1" applyBorder="1" applyAlignment="1" applyProtection="1">
      <alignment horizontal="center" vertical="center"/>
      <protection locked="0"/>
    </xf>
    <xf numFmtId="164" fontId="22" fillId="0" borderId="0" xfId="0" applyNumberFormat="1" applyFont="1" applyFill="1" applyBorder="1" applyAlignment="1" applyProtection="1">
      <alignment horizontal="left" vertical="center"/>
      <protection locked="0"/>
    </xf>
    <xf numFmtId="2" fontId="22" fillId="0" borderId="0" xfId="0" applyNumberFormat="1" applyFont="1" applyFill="1" applyBorder="1" applyAlignment="1" applyProtection="1">
      <alignment horizontal="center" vertical="center"/>
      <protection locked="0"/>
    </xf>
    <xf numFmtId="0" fontId="22" fillId="0" borderId="0" xfId="0" applyFont="1" applyBorder="1" applyProtection="1">
      <protection locked="0"/>
    </xf>
    <xf numFmtId="0" fontId="37" fillId="0" borderId="0" xfId="0" applyFont="1" applyAlignment="1" applyProtection="1">
      <alignment horizontal="left" vertical="center"/>
      <protection locked="0"/>
    </xf>
    <xf numFmtId="0" fontId="22" fillId="0" borderId="0" xfId="0" applyFont="1" applyAlignment="1" applyProtection="1">
      <alignment horizontal="left" vertical="center"/>
      <protection locked="0"/>
    </xf>
    <xf numFmtId="164" fontId="22" fillId="0" borderId="0" xfId="0" applyNumberFormat="1" applyFont="1" applyAlignment="1" applyProtection="1">
      <alignment horizontal="left" vertical="center"/>
      <protection locked="0"/>
    </xf>
    <xf numFmtId="4" fontId="22" fillId="0" borderId="0" xfId="0" applyNumberFormat="1" applyFont="1" applyAlignment="1" applyProtection="1">
      <alignment horizontal="center" vertical="center"/>
      <protection locked="0"/>
    </xf>
    <xf numFmtId="49" fontId="18" fillId="0" borderId="0" xfId="0" applyNumberFormat="1" applyFont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164" fontId="38" fillId="0" borderId="0" xfId="0" applyNumberFormat="1" applyFont="1" applyAlignment="1" applyProtection="1">
      <alignment horizontal="left" vertical="center"/>
      <protection locked="0"/>
    </xf>
    <xf numFmtId="164" fontId="37" fillId="0" borderId="0" xfId="0" applyNumberFormat="1" applyFont="1" applyAlignment="1" applyProtection="1">
      <alignment horizontal="center" vertical="center"/>
      <protection locked="0"/>
    </xf>
    <xf numFmtId="168" fontId="37" fillId="0" borderId="0" xfId="0" applyNumberFormat="1" applyFont="1" applyAlignment="1" applyProtection="1">
      <alignment horizontal="center" vertical="center"/>
      <protection locked="0"/>
    </xf>
    <xf numFmtId="164" fontId="20" fillId="0" borderId="0" xfId="0" applyNumberFormat="1" applyFont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164" fontId="18" fillId="0" borderId="0" xfId="0" applyNumberFormat="1" applyFont="1" applyAlignment="1" applyProtection="1">
      <alignment horizontal="left" vertical="center"/>
      <protection locked="0"/>
    </xf>
    <xf numFmtId="168" fontId="18" fillId="0" borderId="0" xfId="0" applyNumberFormat="1" applyFont="1" applyAlignment="1" applyProtection="1">
      <alignment horizontal="left" vertical="center"/>
      <protection locked="0"/>
    </xf>
    <xf numFmtId="164" fontId="37" fillId="0" borderId="0" xfId="0" applyNumberFormat="1" applyFont="1" applyAlignment="1" applyProtection="1">
      <alignment horizontal="left" vertical="center"/>
      <protection locked="0"/>
    </xf>
    <xf numFmtId="168" fontId="37" fillId="0" borderId="0" xfId="0" applyNumberFormat="1" applyFont="1" applyAlignment="1" applyProtection="1">
      <alignment horizontal="left" vertical="center"/>
      <protection locked="0"/>
    </xf>
    <xf numFmtId="164" fontId="20" fillId="0" borderId="0" xfId="0" applyNumberFormat="1" applyFont="1" applyAlignment="1" applyProtection="1">
      <alignment horizontal="left" vertical="center"/>
      <protection locked="0"/>
    </xf>
    <xf numFmtId="0" fontId="39" fillId="0" borderId="46" xfId="0" applyFont="1" applyBorder="1" applyAlignment="1" applyProtection="1">
      <alignment vertical="center" wrapText="1"/>
      <protection locked="0"/>
    </xf>
    <xf numFmtId="0" fontId="14" fillId="0" borderId="4" xfId="0" applyNumberFormat="1" applyFont="1" applyFill="1" applyBorder="1" applyAlignment="1" applyProtection="1">
      <alignment horizontal="center" vertical="center"/>
      <protection locked="0"/>
    </xf>
    <xf numFmtId="49" fontId="14" fillId="0" borderId="4" xfId="0" applyNumberFormat="1" applyFont="1" applyFill="1" applyBorder="1" applyAlignment="1" applyProtection="1">
      <alignment horizontal="center" vertical="center"/>
      <protection locked="0"/>
    </xf>
    <xf numFmtId="49" fontId="1" fillId="0" borderId="4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4" xfId="0" applyFont="1" applyFill="1" applyBorder="1" applyAlignment="1" applyProtection="1">
      <alignment horizontal="center" vertical="center"/>
      <protection locked="0"/>
    </xf>
    <xf numFmtId="0" fontId="14" fillId="0" borderId="0" xfId="0" applyFont="1" applyFill="1" applyAlignment="1">
      <alignment horizontal="center"/>
    </xf>
    <xf numFmtId="0" fontId="31" fillId="4" borderId="37" xfId="0" applyFont="1" applyFill="1" applyBorder="1" applyAlignment="1">
      <alignment horizontal="center" vertical="center"/>
    </xf>
    <xf numFmtId="49" fontId="1" fillId="0" borderId="25" xfId="0" applyNumberFormat="1" applyFont="1" applyFill="1" applyBorder="1" applyAlignment="1">
      <alignment horizontal="center" vertical="center" wrapText="1"/>
    </xf>
    <xf numFmtId="49" fontId="2" fillId="0" borderId="4" xfId="0" applyNumberFormat="1" applyFont="1" applyFill="1" applyBorder="1" applyAlignment="1">
      <alignment horizontal="center" vertical="center" wrapText="1"/>
    </xf>
    <xf numFmtId="164" fontId="24" fillId="0" borderId="28" xfId="0" applyNumberFormat="1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/>
    </xf>
    <xf numFmtId="49" fontId="14" fillId="0" borderId="28" xfId="0" applyNumberFormat="1" applyFont="1" applyFill="1" applyBorder="1" applyAlignment="1" applyProtection="1">
      <alignment horizontal="center" vertical="center"/>
      <protection locked="0"/>
    </xf>
    <xf numFmtId="164" fontId="1" fillId="0" borderId="28" xfId="0" applyNumberFormat="1" applyFont="1" applyFill="1" applyBorder="1" applyAlignment="1" applyProtection="1">
      <alignment horizontal="center" vertical="center" wrapText="1"/>
      <protection locked="0"/>
    </xf>
    <xf numFmtId="0" fontId="39" fillId="0" borderId="41" xfId="0" applyFont="1" applyBorder="1" applyAlignment="1" applyProtection="1">
      <alignment vertical="center" wrapText="1"/>
      <protection locked="0"/>
    </xf>
    <xf numFmtId="4" fontId="6" fillId="0" borderId="4" xfId="0" applyNumberFormat="1" applyFont="1" applyFill="1" applyBorder="1" applyAlignment="1">
      <alignment horizontal="center" vertical="center"/>
    </xf>
    <xf numFmtId="4" fontId="4" fillId="0" borderId="52" xfId="0" applyNumberFormat="1" applyFont="1" applyFill="1" applyBorder="1" applyAlignment="1">
      <alignment horizontal="center" vertical="center"/>
    </xf>
    <xf numFmtId="4" fontId="6" fillId="0" borderId="28" xfId="0" applyNumberFormat="1" applyFont="1" applyFill="1" applyBorder="1" applyAlignment="1">
      <alignment vertical="center"/>
    </xf>
    <xf numFmtId="4" fontId="6" fillId="0" borderId="50" xfId="0" applyNumberFormat="1" applyFont="1" applyFill="1" applyBorder="1" applyAlignment="1">
      <alignment horizontal="center" vertical="center"/>
    </xf>
    <xf numFmtId="4" fontId="4" fillId="0" borderId="15" xfId="0" applyNumberFormat="1" applyFont="1" applyFill="1" applyBorder="1" applyAlignment="1">
      <alignment horizontal="center" vertical="center"/>
    </xf>
    <xf numFmtId="0" fontId="0" fillId="0" borderId="0" xfId="0" applyBorder="1" applyProtection="1">
      <protection locked="0"/>
    </xf>
    <xf numFmtId="0" fontId="4" fillId="0" borderId="4" xfId="0" applyFont="1" applyBorder="1" applyAlignment="1">
      <alignment horizontal="center" wrapText="1"/>
    </xf>
    <xf numFmtId="0" fontId="0" fillId="0" borderId="4" xfId="0" applyBorder="1" applyAlignment="1">
      <alignment horizontal="center"/>
    </xf>
    <xf numFmtId="49" fontId="1" fillId="0" borderId="0" xfId="0" applyNumberFormat="1" applyFont="1" applyFill="1" applyBorder="1" applyAlignment="1">
      <alignment horizontal="center" vertical="center" wrapText="1"/>
    </xf>
    <xf numFmtId="49" fontId="32" fillId="4" borderId="39" xfId="0" applyNumberFormat="1" applyFont="1" applyFill="1" applyBorder="1" applyAlignment="1">
      <alignment horizontal="center" vertical="center" wrapText="1"/>
    </xf>
    <xf numFmtId="49" fontId="14" fillId="0" borderId="0" xfId="0" applyNumberFormat="1" applyFont="1" applyFill="1" applyAlignment="1">
      <alignment vertical="center"/>
    </xf>
    <xf numFmtId="0" fontId="33" fillId="4" borderId="39" xfId="0" applyNumberFormat="1" applyFont="1" applyFill="1" applyBorder="1" applyAlignment="1">
      <alignment horizontal="center" vertical="center" wrapText="1"/>
    </xf>
    <xf numFmtId="0" fontId="54" fillId="0" borderId="0" xfId="0" applyNumberFormat="1" applyFont="1" applyFill="1" applyAlignment="1">
      <alignment horizontal="left"/>
    </xf>
    <xf numFmtId="0" fontId="55" fillId="4" borderId="38" xfId="0" applyNumberFormat="1" applyFont="1" applyFill="1" applyBorder="1" applyAlignment="1">
      <alignment horizontal="center" vertical="center"/>
    </xf>
    <xf numFmtId="0" fontId="56" fillId="0" borderId="4" xfId="0" applyNumberFormat="1" applyFont="1" applyFill="1" applyBorder="1" applyAlignment="1">
      <alignment horizontal="center" vertical="center"/>
    </xf>
    <xf numFmtId="165" fontId="56" fillId="0" borderId="0" xfId="0" applyNumberFormat="1" applyFont="1" applyFill="1" applyAlignment="1">
      <alignment horizontal="center" vertical="center"/>
    </xf>
    <xf numFmtId="2" fontId="53" fillId="0" borderId="0" xfId="0" applyNumberFormat="1" applyFont="1" applyFill="1" applyAlignment="1">
      <alignment vertical="center"/>
    </xf>
    <xf numFmtId="4" fontId="57" fillId="0" borderId="0" xfId="0" applyNumberFormat="1" applyFont="1" applyFill="1" applyAlignment="1">
      <alignment horizontal="center" vertical="center"/>
    </xf>
    <xf numFmtId="0" fontId="0" fillId="0" borderId="0" xfId="0" applyBorder="1"/>
    <xf numFmtId="0" fontId="39" fillId="0" borderId="45" xfId="0" applyFont="1" applyBorder="1" applyAlignment="1" applyProtection="1">
      <alignment vertical="center" wrapText="1"/>
      <protection locked="0"/>
    </xf>
    <xf numFmtId="4" fontId="9" fillId="0" borderId="28" xfId="0" applyNumberFormat="1" applyFont="1" applyFill="1" applyBorder="1" applyAlignment="1">
      <alignment vertical="center"/>
    </xf>
    <xf numFmtId="0" fontId="22" fillId="0" borderId="45" xfId="0" applyFont="1" applyFill="1" applyBorder="1" applyAlignment="1" applyProtection="1">
      <alignment horizontal="left" vertical="center"/>
      <protection locked="0"/>
    </xf>
    <xf numFmtId="4" fontId="9" fillId="0" borderId="60" xfId="0" applyNumberFormat="1" applyFont="1" applyFill="1" applyBorder="1" applyAlignment="1">
      <alignment horizontal="center" vertical="center"/>
    </xf>
    <xf numFmtId="0" fontId="14" fillId="0" borderId="28" xfId="0" applyNumberFormat="1" applyFont="1" applyFill="1" applyBorder="1" applyAlignment="1" applyProtection="1">
      <alignment horizontal="center" vertical="center"/>
      <protection locked="0"/>
    </xf>
    <xf numFmtId="49" fontId="2" fillId="0" borderId="28" xfId="0" applyNumberFormat="1" applyFont="1" applyFill="1" applyBorder="1" applyAlignment="1" applyProtection="1">
      <alignment horizontal="center" vertical="center" wrapText="1"/>
      <protection locked="0"/>
    </xf>
    <xf numFmtId="49" fontId="1" fillId="0" borderId="28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4" xfId="0" applyNumberFormat="1" applyFont="1" applyFill="1" applyBorder="1" applyAlignment="1" applyProtection="1">
      <alignment horizontal="center" vertical="center" wrapText="1"/>
      <protection locked="0"/>
    </xf>
    <xf numFmtId="0" fontId="53" fillId="0" borderId="0" xfId="0" applyFont="1" applyFill="1" applyBorder="1" applyAlignment="1">
      <alignment vertical="center"/>
    </xf>
    <xf numFmtId="0" fontId="58" fillId="0" borderId="0" xfId="0" applyFont="1" applyFill="1" applyBorder="1" applyAlignment="1">
      <alignment vertical="center"/>
    </xf>
    <xf numFmtId="9" fontId="18" fillId="0" borderId="0" xfId="0" applyNumberFormat="1" applyFont="1" applyBorder="1" applyAlignment="1">
      <alignment horizontal="center" vertical="center" wrapText="1"/>
    </xf>
    <xf numFmtId="2" fontId="18" fillId="0" borderId="0" xfId="0" applyNumberFormat="1" applyFont="1" applyBorder="1" applyAlignment="1">
      <alignment horizontal="center" vertical="center" wrapText="1"/>
    </xf>
    <xf numFmtId="0" fontId="59" fillId="0" borderId="0" xfId="0" applyFont="1" applyFill="1" applyAlignment="1" applyProtection="1">
      <alignment vertical="top"/>
      <protection locked="0"/>
    </xf>
    <xf numFmtId="0" fontId="59" fillId="0" borderId="0" xfId="0" applyFont="1" applyProtection="1">
      <protection locked="0"/>
    </xf>
    <xf numFmtId="0" fontId="61" fillId="0" borderId="0" xfId="0" applyFont="1" applyFill="1" applyBorder="1" applyAlignment="1" applyProtection="1">
      <alignment horizontal="center" vertical="center"/>
      <protection locked="0"/>
    </xf>
    <xf numFmtId="0" fontId="59" fillId="0" borderId="0" xfId="0" applyFont="1" applyFill="1" applyBorder="1" applyProtection="1">
      <protection locked="0"/>
    </xf>
    <xf numFmtId="0" fontId="59" fillId="0" borderId="0" xfId="0" applyFont="1" applyFill="1" applyProtection="1">
      <protection locked="0"/>
    </xf>
    <xf numFmtId="49" fontId="61" fillId="0" borderId="0" xfId="0" applyNumberFormat="1" applyFont="1" applyFill="1" applyProtection="1">
      <protection locked="0"/>
    </xf>
    <xf numFmtId="0" fontId="61" fillId="0" borderId="26" xfId="0" applyFont="1" applyFill="1" applyBorder="1" applyAlignment="1" applyProtection="1">
      <alignment horizontal="center" vertical="center"/>
      <protection locked="0"/>
    </xf>
    <xf numFmtId="0" fontId="59" fillId="0" borderId="26" xfId="0" applyFont="1" applyFill="1" applyBorder="1" applyProtection="1">
      <protection locked="0"/>
    </xf>
    <xf numFmtId="49" fontId="61" fillId="0" borderId="26" xfId="0" applyNumberFormat="1" applyFont="1" applyFill="1" applyBorder="1" applyProtection="1">
      <protection locked="0"/>
    </xf>
    <xf numFmtId="0" fontId="61" fillId="0" borderId="0" xfId="0" applyFont="1" applyFill="1" applyBorder="1" applyAlignment="1" applyProtection="1">
      <alignment horizontal="center" vertical="center"/>
      <protection locked="0"/>
    </xf>
    <xf numFmtId="164" fontId="62" fillId="0" borderId="28" xfId="0" applyNumberFormat="1" applyFont="1" applyFill="1" applyBorder="1" applyAlignment="1">
      <alignment horizontal="center" vertical="center" wrapText="1"/>
    </xf>
    <xf numFmtId="0" fontId="26" fillId="0" borderId="26" xfId="0" applyFont="1" applyBorder="1" applyAlignment="1">
      <alignment horizontal="left"/>
    </xf>
    <xf numFmtId="0" fontId="25" fillId="0" borderId="26" xfId="0" applyFont="1" applyBorder="1"/>
    <xf numFmtId="0" fontId="25" fillId="0" borderId="0" xfId="0" applyFont="1" applyBorder="1"/>
    <xf numFmtId="0" fontId="25" fillId="0" borderId="0" xfId="0" applyFont="1" applyProtection="1">
      <protection locked="0"/>
    </xf>
    <xf numFmtId="0" fontId="25" fillId="0" borderId="26" xfId="0" applyFont="1" applyBorder="1" applyProtection="1">
      <protection locked="0"/>
    </xf>
    <xf numFmtId="0" fontId="64" fillId="0" borderId="0" xfId="0" applyFont="1" applyAlignment="1" applyProtection="1">
      <protection locked="0"/>
    </xf>
    <xf numFmtId="0" fontId="61" fillId="0" borderId="0" xfId="0" applyFont="1" applyFill="1" applyAlignment="1" applyProtection="1">
      <alignment horizontal="center" vertical="center"/>
      <protection locked="0"/>
    </xf>
    <xf numFmtId="0" fontId="60" fillId="0" borderId="0" xfId="0" applyFont="1" applyFill="1" applyProtection="1">
      <protection locked="0"/>
    </xf>
    <xf numFmtId="0" fontId="16" fillId="3" borderId="2" xfId="0" applyFont="1" applyFill="1" applyBorder="1" applyAlignment="1">
      <alignment horizontal="left" vertical="center" wrapText="1"/>
    </xf>
    <xf numFmtId="0" fontId="4" fillId="5" borderId="70" xfId="0" applyFont="1" applyFill="1" applyBorder="1" applyAlignment="1">
      <alignment horizontal="left" wrapText="1"/>
    </xf>
    <xf numFmtId="0" fontId="0" fillId="0" borderId="0" xfId="0" applyAlignment="1">
      <alignment horizontal="left"/>
    </xf>
    <xf numFmtId="169" fontId="4" fillId="0" borderId="30" xfId="0" applyNumberFormat="1" applyFont="1" applyFill="1" applyBorder="1" applyAlignment="1">
      <alignment horizontal="center" vertical="center"/>
    </xf>
    <xf numFmtId="169" fontId="4" fillId="0" borderId="10" xfId="0" applyNumberFormat="1" applyFont="1" applyFill="1" applyBorder="1" applyAlignment="1">
      <alignment horizontal="center" vertical="center"/>
    </xf>
    <xf numFmtId="169" fontId="4" fillId="0" borderId="4" xfId="0" applyNumberFormat="1" applyFont="1" applyFill="1" applyBorder="1" applyAlignment="1">
      <alignment horizontal="center" vertical="center"/>
    </xf>
    <xf numFmtId="169" fontId="4" fillId="0" borderId="40" xfId="0" applyNumberFormat="1" applyFont="1" applyFill="1" applyBorder="1" applyAlignment="1">
      <alignment horizontal="center" vertical="center"/>
    </xf>
    <xf numFmtId="169" fontId="4" fillId="0" borderId="11" xfId="0" applyNumberFormat="1" applyFont="1" applyFill="1" applyBorder="1" applyAlignment="1">
      <alignment horizontal="center" vertical="center"/>
    </xf>
    <xf numFmtId="169" fontId="4" fillId="0" borderId="28" xfId="0" applyNumberFormat="1" applyFont="1" applyFill="1" applyBorder="1" applyAlignment="1">
      <alignment horizontal="center" vertical="center"/>
    </xf>
    <xf numFmtId="169" fontId="4" fillId="0" borderId="34" xfId="0" applyNumberFormat="1" applyFont="1" applyFill="1" applyBorder="1" applyAlignment="1">
      <alignment horizontal="center" vertical="center"/>
    </xf>
    <xf numFmtId="169" fontId="6" fillId="0" borderId="30" xfId="0" applyNumberFormat="1" applyFont="1" applyFill="1" applyBorder="1" applyAlignment="1">
      <alignment horizontal="center" vertical="center"/>
    </xf>
    <xf numFmtId="169" fontId="6" fillId="0" borderId="10" xfId="0" applyNumberFormat="1" applyFont="1" applyFill="1" applyBorder="1" applyAlignment="1">
      <alignment horizontal="center" vertical="center"/>
    </xf>
    <xf numFmtId="169" fontId="6" fillId="0" borderId="4" xfId="0" applyNumberFormat="1" applyFont="1" applyFill="1" applyBorder="1" applyAlignment="1">
      <alignment horizontal="center" vertical="center"/>
    </xf>
    <xf numFmtId="169" fontId="6" fillId="0" borderId="11" xfId="0" applyNumberFormat="1" applyFont="1" applyFill="1" applyBorder="1" applyAlignment="1">
      <alignment horizontal="center" vertical="center"/>
    </xf>
    <xf numFmtId="4" fontId="6" fillId="0" borderId="72" xfId="0" applyNumberFormat="1" applyFont="1" applyFill="1" applyBorder="1" applyAlignment="1">
      <alignment horizontal="center" vertical="center"/>
    </xf>
    <xf numFmtId="4" fontId="6" fillId="0" borderId="73" xfId="0" applyNumberFormat="1" applyFont="1" applyFill="1" applyBorder="1" applyAlignment="1">
      <alignment horizontal="center" vertical="center"/>
    </xf>
    <xf numFmtId="4" fontId="6" fillId="0" borderId="48" xfId="0" applyNumberFormat="1" applyFont="1" applyFill="1" applyBorder="1" applyAlignment="1">
      <alignment horizontal="center" vertical="center"/>
    </xf>
    <xf numFmtId="4" fontId="18" fillId="0" borderId="47" xfId="0" applyNumberFormat="1" applyFont="1" applyFill="1" applyBorder="1" applyAlignment="1">
      <alignment horizontal="center" vertical="center" textRotation="90" wrapText="1"/>
    </xf>
    <xf numFmtId="164" fontId="18" fillId="0" borderId="8" xfId="0" applyNumberFormat="1" applyFont="1" applyFill="1" applyBorder="1" applyAlignment="1">
      <alignment horizontal="center" vertical="center" textRotation="90" wrapText="1"/>
    </xf>
    <xf numFmtId="4" fontId="18" fillId="0" borderId="21" xfId="0" applyNumberFormat="1" applyFont="1" applyFill="1" applyBorder="1" applyAlignment="1">
      <alignment horizontal="center" vertical="center" textRotation="90" wrapText="1"/>
    </xf>
    <xf numFmtId="4" fontId="18" fillId="0" borderId="51" xfId="0" applyNumberFormat="1" applyFont="1" applyFill="1" applyBorder="1" applyAlignment="1">
      <alignment horizontal="center" vertical="center" textRotation="90" wrapText="1"/>
    </xf>
    <xf numFmtId="4" fontId="6" fillId="0" borderId="30" xfId="0" applyNumberFormat="1" applyFont="1" applyFill="1" applyBorder="1" applyAlignment="1">
      <alignment horizontal="center" vertical="center"/>
    </xf>
    <xf numFmtId="4" fontId="6" fillId="0" borderId="11" xfId="0" applyNumberFormat="1" applyFont="1" applyFill="1" applyBorder="1" applyAlignment="1">
      <alignment horizontal="center" vertical="center"/>
    </xf>
    <xf numFmtId="4" fontId="6" fillId="0" borderId="74" xfId="0" applyNumberFormat="1" applyFont="1" applyFill="1" applyBorder="1" applyAlignment="1">
      <alignment horizontal="center" vertical="center"/>
    </xf>
    <xf numFmtId="2" fontId="66" fillId="4" borderId="38" xfId="0" applyNumberFormat="1" applyFont="1" applyFill="1" applyBorder="1" applyAlignment="1">
      <alignment horizontal="center" vertical="center"/>
    </xf>
    <xf numFmtId="2" fontId="62" fillId="0" borderId="10" xfId="0" applyNumberFormat="1" applyFont="1" applyFill="1" applyBorder="1" applyAlignment="1">
      <alignment horizontal="center" vertical="center" wrapText="1"/>
    </xf>
    <xf numFmtId="0" fontId="67" fillId="0" borderId="0" xfId="0" applyFont="1" applyAlignment="1"/>
    <xf numFmtId="2" fontId="33" fillId="4" borderId="38" xfId="0" applyNumberFormat="1" applyFont="1" applyFill="1" applyBorder="1" applyAlignment="1">
      <alignment horizontal="center" vertical="center"/>
    </xf>
    <xf numFmtId="0" fontId="25" fillId="0" borderId="0" xfId="0" applyFont="1" applyBorder="1" applyProtection="1">
      <protection locked="0"/>
    </xf>
    <xf numFmtId="0" fontId="26" fillId="0" borderId="0" xfId="0" applyFont="1" applyBorder="1" applyAlignment="1" applyProtection="1">
      <alignment horizontal="left"/>
      <protection locked="0"/>
    </xf>
    <xf numFmtId="14" fontId="14" fillId="0" borderId="0" xfId="0" applyNumberFormat="1" applyFont="1" applyFill="1"/>
    <xf numFmtId="0" fontId="41" fillId="0" borderId="0" xfId="0" applyFont="1" applyBorder="1" applyAlignment="1" applyProtection="1">
      <alignment vertical="center" wrapText="1"/>
      <protection locked="0"/>
    </xf>
    <xf numFmtId="0" fontId="63" fillId="0" borderId="4" xfId="0" applyFont="1" applyFill="1" applyBorder="1" applyAlignment="1">
      <alignment horizontal="center" vertical="center"/>
    </xf>
    <xf numFmtId="164" fontId="62" fillId="0" borderId="4" xfId="0" applyNumberFormat="1" applyFont="1" applyFill="1" applyBorder="1" applyAlignment="1" applyProtection="1">
      <alignment horizontal="center" vertical="center" wrapText="1"/>
      <protection locked="0"/>
    </xf>
    <xf numFmtId="171" fontId="33" fillId="9" borderId="4" xfId="0" applyNumberFormat="1" applyFont="1" applyFill="1" applyBorder="1" applyAlignment="1">
      <alignment horizontal="center" vertical="center"/>
    </xf>
    <xf numFmtId="4" fontId="6" fillId="0" borderId="28" xfId="0" applyNumberFormat="1" applyFont="1" applyFill="1" applyBorder="1" applyAlignment="1">
      <alignment horizontal="center" vertical="center"/>
    </xf>
    <xf numFmtId="4" fontId="4" fillId="0" borderId="65" xfId="0" applyNumberFormat="1" applyFont="1" applyFill="1" applyBorder="1" applyAlignment="1">
      <alignment horizontal="center" vertical="center"/>
    </xf>
    <xf numFmtId="0" fontId="22" fillId="0" borderId="45" xfId="0" applyFont="1" applyFill="1" applyBorder="1" applyAlignment="1" applyProtection="1">
      <alignment horizontal="center" vertical="center"/>
      <protection locked="0"/>
    </xf>
    <xf numFmtId="164" fontId="9" fillId="0" borderId="4" xfId="0" applyNumberFormat="1" applyFont="1" applyFill="1" applyBorder="1" applyAlignment="1">
      <alignment horizontal="center" vertical="center"/>
    </xf>
    <xf numFmtId="0" fontId="22" fillId="0" borderId="75" xfId="0" applyFont="1" applyFill="1" applyBorder="1" applyAlignment="1">
      <alignment horizontal="center" vertical="center"/>
    </xf>
    <xf numFmtId="0" fontId="22" fillId="0" borderId="4" xfId="0" applyFont="1" applyFill="1" applyBorder="1" applyAlignment="1">
      <alignment horizontal="center" vertical="center"/>
    </xf>
    <xf numFmtId="4" fontId="6" fillId="0" borderId="76" xfId="0" applyNumberFormat="1" applyFont="1" applyFill="1" applyBorder="1" applyAlignment="1">
      <alignment horizontal="center" vertical="center"/>
    </xf>
    <xf numFmtId="4" fontId="6" fillId="0" borderId="10" xfId="0" applyNumberFormat="1" applyFont="1" applyFill="1" applyBorder="1" applyAlignment="1">
      <alignment horizontal="center" vertical="center"/>
    </xf>
    <xf numFmtId="4" fontId="4" fillId="0" borderId="31" xfId="0" applyNumberFormat="1" applyFont="1" applyFill="1" applyBorder="1" applyAlignment="1">
      <alignment horizontal="center" vertical="center"/>
    </xf>
    <xf numFmtId="4" fontId="9" fillId="0" borderId="73" xfId="0" applyNumberFormat="1" applyFont="1" applyFill="1" applyBorder="1" applyAlignment="1">
      <alignment horizontal="center" vertical="center"/>
    </xf>
    <xf numFmtId="0" fontId="22" fillId="0" borderId="11" xfId="0" applyFont="1" applyFill="1" applyBorder="1" applyAlignment="1">
      <alignment horizontal="center" vertical="center"/>
    </xf>
    <xf numFmtId="0" fontId="22" fillId="0" borderId="20" xfId="0" applyFont="1" applyFill="1" applyBorder="1" applyAlignment="1">
      <alignment horizontal="center" vertical="center"/>
    </xf>
    <xf numFmtId="0" fontId="22" fillId="0" borderId="44" xfId="0" applyFont="1" applyFill="1" applyBorder="1" applyAlignment="1">
      <alignment horizontal="center" vertical="center"/>
    </xf>
    <xf numFmtId="4" fontId="6" fillId="0" borderId="60" xfId="0" applyNumberFormat="1" applyFont="1" applyFill="1" applyBorder="1" applyAlignment="1">
      <alignment horizontal="center" vertical="center"/>
    </xf>
    <xf numFmtId="4" fontId="9" fillId="0" borderId="76" xfId="0" applyNumberFormat="1" applyFont="1" applyFill="1" applyBorder="1" applyAlignment="1">
      <alignment horizontal="center" vertical="center"/>
    </xf>
    <xf numFmtId="4" fontId="9" fillId="0" borderId="72" xfId="0" applyNumberFormat="1" applyFont="1" applyFill="1" applyBorder="1" applyAlignment="1">
      <alignment horizontal="center" vertical="center"/>
    </xf>
    <xf numFmtId="0" fontId="22" fillId="0" borderId="45" xfId="0" applyFont="1" applyFill="1" applyBorder="1" applyAlignment="1" applyProtection="1">
      <alignment horizontal="center" vertical="center"/>
      <protection locked="0"/>
    </xf>
    <xf numFmtId="0" fontId="22" fillId="0" borderId="40" xfId="0" applyFont="1" applyFill="1" applyBorder="1" applyAlignment="1">
      <alignment horizontal="center" vertical="center"/>
    </xf>
    <xf numFmtId="0" fontId="22" fillId="0" borderId="82" xfId="0" applyFont="1" applyFill="1" applyBorder="1" applyAlignment="1">
      <alignment horizontal="center" vertical="center"/>
    </xf>
    <xf numFmtId="2" fontId="18" fillId="0" borderId="21" xfId="0" applyNumberFormat="1" applyFont="1" applyFill="1" applyBorder="1" applyAlignment="1">
      <alignment horizontal="center" vertical="center" textRotation="90" wrapText="1"/>
    </xf>
    <xf numFmtId="0" fontId="22" fillId="0" borderId="34" xfId="0" applyFont="1" applyFill="1" applyBorder="1" applyAlignment="1">
      <alignment horizontal="center" vertical="center"/>
    </xf>
    <xf numFmtId="0" fontId="22" fillId="0" borderId="64" xfId="0" applyFont="1" applyFill="1" applyBorder="1" applyAlignment="1">
      <alignment horizontal="center" vertical="center"/>
    </xf>
    <xf numFmtId="4" fontId="6" fillId="0" borderId="42" xfId="0" applyNumberFormat="1" applyFont="1" applyFill="1" applyBorder="1" applyAlignment="1">
      <alignment horizontal="center" vertical="center"/>
    </xf>
    <xf numFmtId="4" fontId="6" fillId="0" borderId="40" xfId="0" applyNumberFormat="1" applyFont="1" applyFill="1" applyBorder="1" applyAlignment="1">
      <alignment horizontal="center" vertical="center"/>
    </xf>
    <xf numFmtId="0" fontId="22" fillId="0" borderId="63" xfId="0" applyFont="1" applyFill="1" applyBorder="1" applyAlignment="1">
      <alignment horizontal="center" vertical="center"/>
    </xf>
    <xf numFmtId="4" fontId="6" fillId="0" borderId="32" xfId="0" applyNumberFormat="1" applyFont="1" applyFill="1" applyBorder="1" applyAlignment="1">
      <alignment horizontal="center" vertical="center"/>
    </xf>
    <xf numFmtId="4" fontId="6" fillId="0" borderId="34" xfId="0" applyNumberFormat="1" applyFont="1" applyFill="1" applyBorder="1" applyAlignment="1">
      <alignment horizontal="center" vertical="center"/>
    </xf>
    <xf numFmtId="2" fontId="4" fillId="0" borderId="31" xfId="0" applyNumberFormat="1" applyFont="1" applyFill="1" applyBorder="1" applyAlignment="1">
      <alignment horizontal="center" vertical="center"/>
    </xf>
    <xf numFmtId="2" fontId="4" fillId="0" borderId="44" xfId="0" applyNumberFormat="1" applyFont="1" applyFill="1" applyBorder="1" applyAlignment="1">
      <alignment horizontal="center" vertical="center"/>
    </xf>
    <xf numFmtId="2" fontId="4" fillId="0" borderId="23" xfId="0" applyNumberFormat="1" applyFont="1" applyFill="1" applyBorder="1" applyAlignment="1">
      <alignment horizontal="center" vertical="center"/>
    </xf>
    <xf numFmtId="2" fontId="4" fillId="0" borderId="13" xfId="0" applyNumberFormat="1" applyFont="1" applyFill="1" applyBorder="1" applyAlignment="1">
      <alignment horizontal="center" vertical="center"/>
    </xf>
    <xf numFmtId="0" fontId="22" fillId="0" borderId="28" xfId="0" applyFont="1" applyFill="1" applyBorder="1" applyAlignment="1">
      <alignment horizontal="center" vertical="center"/>
    </xf>
    <xf numFmtId="4" fontId="6" fillId="0" borderId="44" xfId="0" applyNumberFormat="1" applyFont="1" applyFill="1" applyBorder="1" applyAlignment="1">
      <alignment horizontal="center" vertical="center"/>
    </xf>
    <xf numFmtId="4" fontId="9" fillId="0" borderId="75" xfId="0" applyNumberFormat="1" applyFont="1" applyFill="1" applyBorder="1" applyAlignment="1">
      <alignment horizontal="center" vertical="center"/>
    </xf>
    <xf numFmtId="0" fontId="22" fillId="0" borderId="78" xfId="0" applyFont="1" applyFill="1" applyBorder="1" applyAlignment="1">
      <alignment horizontal="center" vertical="center"/>
    </xf>
    <xf numFmtId="0" fontId="22" fillId="0" borderId="10" xfId="0" applyFont="1" applyFill="1" applyBorder="1" applyAlignment="1">
      <alignment horizontal="center" vertical="center"/>
    </xf>
    <xf numFmtId="4" fontId="6" fillId="0" borderId="31" xfId="0" applyNumberFormat="1" applyFont="1" applyFill="1" applyBorder="1" applyAlignment="1">
      <alignment horizontal="center" vertical="center"/>
    </xf>
    <xf numFmtId="0" fontId="22" fillId="0" borderId="31" xfId="0" applyFont="1" applyFill="1" applyBorder="1" applyAlignment="1">
      <alignment horizontal="center" vertical="center"/>
    </xf>
    <xf numFmtId="0" fontId="22" fillId="0" borderId="30" xfId="0" applyFont="1" applyFill="1" applyBorder="1" applyAlignment="1">
      <alignment horizontal="center" vertical="center"/>
    </xf>
    <xf numFmtId="0" fontId="22" fillId="0" borderId="79" xfId="0" applyFont="1" applyFill="1" applyBorder="1" applyAlignment="1">
      <alignment horizontal="center" vertical="center"/>
    </xf>
    <xf numFmtId="0" fontId="22" fillId="0" borderId="18" xfId="0" applyFont="1" applyFill="1" applyBorder="1" applyAlignment="1">
      <alignment horizontal="center" vertical="center"/>
    </xf>
    <xf numFmtId="0" fontId="22" fillId="0" borderId="16" xfId="0" applyFont="1" applyFill="1" applyBorder="1" applyAlignment="1">
      <alignment horizontal="center" vertical="center"/>
    </xf>
    <xf numFmtId="4" fontId="6" fillId="0" borderId="13" xfId="0" applyNumberFormat="1" applyFont="1" applyFill="1" applyBorder="1" applyAlignment="1">
      <alignment horizontal="center" vertical="center"/>
    </xf>
    <xf numFmtId="4" fontId="6" fillId="0" borderId="65" xfId="0" applyNumberFormat="1" applyFont="1" applyFill="1" applyBorder="1" applyAlignment="1">
      <alignment horizontal="center" vertical="center"/>
    </xf>
    <xf numFmtId="0" fontId="22" fillId="0" borderId="65" xfId="0" applyFont="1" applyFill="1" applyBorder="1" applyAlignment="1">
      <alignment horizontal="center" vertical="center"/>
    </xf>
    <xf numFmtId="0" fontId="22" fillId="0" borderId="15" xfId="0" applyFont="1" applyFill="1" applyBorder="1" applyAlignment="1">
      <alignment horizontal="center" vertical="center"/>
    </xf>
    <xf numFmtId="4" fontId="6" fillId="0" borderId="15" xfId="0" applyNumberFormat="1" applyFont="1" applyFill="1" applyBorder="1" applyAlignment="1">
      <alignment horizontal="center" vertical="center"/>
    </xf>
    <xf numFmtId="0" fontId="22" fillId="0" borderId="13" xfId="0" applyFont="1" applyFill="1" applyBorder="1" applyAlignment="1">
      <alignment horizontal="center" vertical="center"/>
    </xf>
    <xf numFmtId="0" fontId="22" fillId="0" borderId="50" xfId="0" applyFont="1" applyFill="1" applyBorder="1" applyAlignment="1">
      <alignment horizontal="center" vertical="center"/>
    </xf>
    <xf numFmtId="0" fontId="22" fillId="0" borderId="12" xfId="0" applyFont="1" applyFill="1" applyBorder="1" applyAlignment="1">
      <alignment horizontal="center" vertical="center"/>
    </xf>
    <xf numFmtId="0" fontId="22" fillId="0" borderId="46" xfId="0" applyFont="1" applyFill="1" applyBorder="1" applyAlignment="1" applyProtection="1">
      <alignment horizontal="left" vertical="center"/>
      <protection locked="0"/>
    </xf>
    <xf numFmtId="2" fontId="71" fillId="0" borderId="44" xfId="0" applyNumberFormat="1" applyFont="1" applyFill="1" applyBorder="1" applyAlignment="1">
      <alignment horizontal="center" vertical="center"/>
    </xf>
    <xf numFmtId="2" fontId="71" fillId="0" borderId="81" xfId="0" applyNumberFormat="1" applyFont="1" applyFill="1" applyBorder="1" applyAlignment="1">
      <alignment horizontal="center" vertical="center"/>
    </xf>
    <xf numFmtId="0" fontId="71" fillId="0" borderId="4" xfId="0" applyFont="1" applyFill="1" applyBorder="1" applyAlignment="1">
      <alignment horizontal="center" vertical="center"/>
    </xf>
    <xf numFmtId="2" fontId="71" fillId="0" borderId="80" xfId="0" applyNumberFormat="1" applyFont="1" applyFill="1" applyBorder="1" applyAlignment="1">
      <alignment horizontal="center" vertical="center"/>
    </xf>
    <xf numFmtId="2" fontId="71" fillId="0" borderId="71" xfId="0" applyNumberFormat="1" applyFont="1" applyFill="1" applyBorder="1" applyAlignment="1">
      <alignment horizontal="center" vertical="center"/>
    </xf>
    <xf numFmtId="2" fontId="71" fillId="0" borderId="0" xfId="0" applyNumberFormat="1" applyFont="1" applyFill="1" applyBorder="1" applyAlignment="1">
      <alignment horizontal="center" vertical="center"/>
    </xf>
    <xf numFmtId="2" fontId="71" fillId="0" borderId="9" xfId="0" applyNumberFormat="1" applyFont="1" applyFill="1" applyBorder="1" applyAlignment="1">
      <alignment horizontal="center" vertical="center"/>
    </xf>
    <xf numFmtId="2" fontId="71" fillId="0" borderId="13" xfId="0" applyNumberFormat="1" applyFont="1" applyFill="1" applyBorder="1" applyAlignment="1">
      <alignment horizontal="center" vertical="center"/>
    </xf>
    <xf numFmtId="0" fontId="71" fillId="0" borderId="44" xfId="0" applyFont="1" applyFill="1" applyBorder="1" applyAlignment="1">
      <alignment horizontal="center" vertical="center"/>
    </xf>
    <xf numFmtId="0" fontId="71" fillId="0" borderId="65" xfId="0" applyFont="1" applyFill="1" applyBorder="1" applyAlignment="1">
      <alignment horizontal="center" vertical="center"/>
    </xf>
    <xf numFmtId="0" fontId="71" fillId="0" borderId="31" xfId="0" applyFont="1" applyFill="1" applyBorder="1" applyAlignment="1">
      <alignment horizontal="center" vertical="center"/>
    </xf>
    <xf numFmtId="0" fontId="71" fillId="0" borderId="15" xfId="0" applyFont="1" applyFill="1" applyBorder="1" applyAlignment="1">
      <alignment horizontal="center" vertical="center"/>
    </xf>
    <xf numFmtId="0" fontId="71" fillId="0" borderId="19" xfId="0" applyFont="1" applyFill="1" applyBorder="1" applyAlignment="1">
      <alignment horizontal="center" vertical="center"/>
    </xf>
    <xf numFmtId="0" fontId="71" fillId="0" borderId="23" xfId="0" applyFont="1" applyFill="1" applyBorder="1" applyAlignment="1">
      <alignment horizontal="center" vertical="center"/>
    </xf>
    <xf numFmtId="0" fontId="71" fillId="0" borderId="49" xfId="0" applyFont="1" applyFill="1" applyBorder="1" applyAlignment="1">
      <alignment horizontal="center" vertical="center"/>
    </xf>
    <xf numFmtId="0" fontId="71" fillId="0" borderId="13" xfId="0" applyFont="1" applyFill="1" applyBorder="1" applyAlignment="1">
      <alignment horizontal="center" vertical="center"/>
    </xf>
    <xf numFmtId="0" fontId="71" fillId="0" borderId="52" xfId="0" applyFont="1" applyFill="1" applyBorder="1" applyAlignment="1">
      <alignment horizontal="center" vertical="center"/>
    </xf>
    <xf numFmtId="0" fontId="71" fillId="0" borderId="29" xfId="0" applyFont="1" applyFill="1" applyBorder="1" applyAlignment="1">
      <alignment horizontal="center" vertical="center"/>
    </xf>
    <xf numFmtId="0" fontId="21" fillId="0" borderId="0" xfId="0" applyFont="1" applyFill="1" applyBorder="1" applyAlignment="1" applyProtection="1">
      <alignment horizontal="center" vertical="center"/>
      <protection locked="0"/>
    </xf>
    <xf numFmtId="4" fontId="18" fillId="0" borderId="51" xfId="0" applyNumberFormat="1" applyFont="1" applyFill="1" applyBorder="1" applyAlignment="1" applyProtection="1">
      <alignment horizontal="center" vertical="center" textRotation="90" wrapText="1"/>
      <protection locked="0"/>
    </xf>
    <xf numFmtId="164" fontId="18" fillId="0" borderId="8" xfId="0" applyNumberFormat="1" applyFont="1" applyFill="1" applyBorder="1" applyAlignment="1" applyProtection="1">
      <alignment horizontal="center" vertical="center" textRotation="90" wrapText="1"/>
      <protection locked="0"/>
    </xf>
    <xf numFmtId="4" fontId="18" fillId="0" borderId="21" xfId="0" applyNumberFormat="1" applyFont="1" applyFill="1" applyBorder="1" applyAlignment="1" applyProtection="1">
      <alignment horizontal="center" vertical="center" textRotation="90" wrapText="1"/>
      <protection locked="0"/>
    </xf>
    <xf numFmtId="4" fontId="18" fillId="0" borderId="47" xfId="0" applyNumberFormat="1" applyFont="1" applyFill="1" applyBorder="1" applyAlignment="1" applyProtection="1">
      <alignment horizontal="center" vertical="center" textRotation="90" wrapText="1"/>
      <protection locked="0"/>
    </xf>
    <xf numFmtId="2" fontId="18" fillId="0" borderId="21" xfId="0" applyNumberFormat="1" applyFont="1" applyFill="1" applyBorder="1" applyAlignment="1" applyProtection="1">
      <alignment horizontal="center" vertical="center" textRotation="90" wrapText="1"/>
      <protection locked="0"/>
    </xf>
    <xf numFmtId="4" fontId="4" fillId="0" borderId="19" xfId="0" applyNumberFormat="1" applyFont="1" applyFill="1" applyBorder="1" applyAlignment="1" applyProtection="1">
      <alignment horizontal="center" vertical="center"/>
      <protection locked="0"/>
    </xf>
    <xf numFmtId="169" fontId="4" fillId="0" borderId="30" xfId="0" applyNumberFormat="1" applyFont="1" applyFill="1" applyBorder="1" applyAlignment="1" applyProtection="1">
      <alignment horizontal="center" vertical="center"/>
      <protection locked="0"/>
    </xf>
    <xf numFmtId="4" fontId="9" fillId="0" borderId="30" xfId="0" applyNumberFormat="1" applyFont="1" applyFill="1" applyBorder="1" applyAlignment="1" applyProtection="1">
      <alignment vertical="center"/>
      <protection locked="0"/>
    </xf>
    <xf numFmtId="4" fontId="9" fillId="0" borderId="18" xfId="0" applyNumberFormat="1" applyFont="1" applyFill="1" applyBorder="1" applyAlignment="1" applyProtection="1">
      <alignment horizontal="center" vertical="center"/>
      <protection locked="0"/>
    </xf>
    <xf numFmtId="4" fontId="4" fillId="0" borderId="31" xfId="0" applyNumberFormat="1" applyFont="1" applyFill="1" applyBorder="1" applyAlignment="1" applyProtection="1">
      <alignment horizontal="center" vertical="center"/>
      <protection locked="0"/>
    </xf>
    <xf numFmtId="4" fontId="6" fillId="0" borderId="30" xfId="0" applyNumberFormat="1" applyFont="1" applyFill="1" applyBorder="1" applyAlignment="1" applyProtection="1">
      <alignment vertical="center"/>
      <protection locked="0"/>
    </xf>
    <xf numFmtId="4" fontId="6" fillId="0" borderId="18" xfId="0" applyNumberFormat="1" applyFont="1" applyFill="1" applyBorder="1" applyAlignment="1" applyProtection="1">
      <alignment horizontal="center" vertical="center"/>
      <protection locked="0"/>
    </xf>
    <xf numFmtId="4" fontId="6" fillId="0" borderId="31" xfId="0" applyNumberFormat="1" applyFont="1" applyFill="1" applyBorder="1" applyAlignment="1" applyProtection="1">
      <alignment vertical="center"/>
      <protection locked="0"/>
    </xf>
    <xf numFmtId="4" fontId="6" fillId="0" borderId="72" xfId="0" applyNumberFormat="1" applyFont="1" applyFill="1" applyBorder="1" applyAlignment="1" applyProtection="1">
      <alignment horizontal="center" vertical="center"/>
      <protection locked="0"/>
    </xf>
    <xf numFmtId="4" fontId="4" fillId="0" borderId="30" xfId="0" applyNumberFormat="1" applyFont="1" applyFill="1" applyBorder="1" applyAlignment="1" applyProtection="1">
      <alignment horizontal="center" vertical="center"/>
      <protection locked="0"/>
    </xf>
    <xf numFmtId="4" fontId="9" fillId="0" borderId="30" xfId="0" applyNumberFormat="1" applyFont="1" applyFill="1" applyBorder="1" applyAlignment="1" applyProtection="1">
      <alignment horizontal="center" vertical="center"/>
      <protection locked="0"/>
    </xf>
    <xf numFmtId="2" fontId="4" fillId="0" borderId="31" xfId="0" applyNumberFormat="1" applyFont="1" applyFill="1" applyBorder="1" applyAlignment="1" applyProtection="1">
      <alignment horizontal="center" vertical="center"/>
      <protection locked="0"/>
    </xf>
    <xf numFmtId="4" fontId="4" fillId="0" borderId="23" xfId="0" applyNumberFormat="1" applyFont="1" applyFill="1" applyBorder="1" applyAlignment="1" applyProtection="1">
      <alignment horizontal="center" vertical="center"/>
      <protection locked="0"/>
    </xf>
    <xf numFmtId="169" fontId="4" fillId="0" borderId="4" xfId="0" applyNumberFormat="1" applyFont="1" applyFill="1" applyBorder="1" applyAlignment="1" applyProtection="1">
      <alignment horizontal="center" vertical="center"/>
      <protection locked="0"/>
    </xf>
    <xf numFmtId="4" fontId="9" fillId="0" borderId="4" xfId="0" applyNumberFormat="1" applyFont="1" applyFill="1" applyBorder="1" applyAlignment="1" applyProtection="1">
      <alignment vertical="center"/>
      <protection locked="0"/>
    </xf>
    <xf numFmtId="4" fontId="9" fillId="0" borderId="20" xfId="0" applyNumberFormat="1" applyFont="1" applyFill="1" applyBorder="1" applyAlignment="1" applyProtection="1">
      <alignment horizontal="center" vertical="center"/>
      <protection locked="0"/>
    </xf>
    <xf numFmtId="4" fontId="4" fillId="0" borderId="44" xfId="0" applyNumberFormat="1" applyFont="1" applyFill="1" applyBorder="1" applyAlignment="1" applyProtection="1">
      <alignment horizontal="center" vertical="center"/>
      <protection locked="0"/>
    </xf>
    <xf numFmtId="4" fontId="6" fillId="0" borderId="4" xfId="0" applyNumberFormat="1" applyFont="1" applyFill="1" applyBorder="1" applyAlignment="1" applyProtection="1">
      <alignment vertical="center"/>
      <protection locked="0"/>
    </xf>
    <xf numFmtId="4" fontId="6" fillId="0" borderId="20" xfId="0" applyNumberFormat="1" applyFont="1" applyFill="1" applyBorder="1" applyAlignment="1" applyProtection="1">
      <alignment horizontal="center" vertical="center"/>
      <protection locked="0"/>
    </xf>
    <xf numFmtId="4" fontId="6" fillId="0" borderId="13" xfId="0" applyNumberFormat="1" applyFont="1" applyFill="1" applyBorder="1" applyAlignment="1" applyProtection="1">
      <alignment vertical="center"/>
      <protection locked="0"/>
    </xf>
    <xf numFmtId="4" fontId="6" fillId="0" borderId="10" xfId="0" applyNumberFormat="1" applyFont="1" applyFill="1" applyBorder="1" applyAlignment="1" applyProtection="1">
      <alignment vertical="center"/>
      <protection locked="0"/>
    </xf>
    <xf numFmtId="4" fontId="6" fillId="0" borderId="73" xfId="0" applyNumberFormat="1" applyFont="1" applyFill="1" applyBorder="1" applyAlignment="1" applyProtection="1">
      <alignment horizontal="center" vertical="center"/>
      <protection locked="0"/>
    </xf>
    <xf numFmtId="4" fontId="4" fillId="0" borderId="4" xfId="0" applyNumberFormat="1" applyFont="1" applyFill="1" applyBorder="1" applyAlignment="1" applyProtection="1">
      <alignment horizontal="center" vertical="center"/>
      <protection locked="0"/>
    </xf>
    <xf numFmtId="4" fontId="9" fillId="0" borderId="4" xfId="0" applyNumberFormat="1" applyFont="1" applyFill="1" applyBorder="1" applyAlignment="1" applyProtection="1">
      <alignment horizontal="center" vertical="center"/>
      <protection locked="0"/>
    </xf>
    <xf numFmtId="2" fontId="4" fillId="0" borderId="44" xfId="0" applyNumberFormat="1" applyFont="1" applyFill="1" applyBorder="1" applyAlignment="1" applyProtection="1">
      <alignment horizontal="center" vertical="center"/>
      <protection locked="0"/>
    </xf>
    <xf numFmtId="4" fontId="9" fillId="0" borderId="12" xfId="0" applyNumberFormat="1" applyFont="1" applyFill="1" applyBorder="1" applyAlignment="1" applyProtection="1">
      <alignment horizontal="center" vertical="center"/>
      <protection locked="0"/>
    </xf>
    <xf numFmtId="169" fontId="4" fillId="0" borderId="28" xfId="0" applyNumberFormat="1" applyFont="1" applyFill="1" applyBorder="1" applyAlignment="1" applyProtection="1">
      <alignment horizontal="center" vertical="center"/>
      <protection locked="0"/>
    </xf>
    <xf numFmtId="2" fontId="4" fillId="0" borderId="23" xfId="0" applyNumberFormat="1" applyFont="1" applyFill="1" applyBorder="1" applyAlignment="1" applyProtection="1">
      <alignment horizontal="center" vertical="center"/>
      <protection locked="0"/>
    </xf>
    <xf numFmtId="4" fontId="6" fillId="0" borderId="44" xfId="0" applyNumberFormat="1" applyFont="1" applyFill="1" applyBorder="1" applyAlignment="1" applyProtection="1">
      <alignment vertical="center"/>
      <protection locked="0"/>
    </xf>
    <xf numFmtId="4" fontId="6" fillId="0" borderId="22" xfId="0" applyNumberFormat="1" applyFont="1" applyFill="1" applyBorder="1" applyAlignment="1" applyProtection="1">
      <alignment horizontal="center" vertical="center"/>
      <protection locked="0"/>
    </xf>
    <xf numFmtId="4" fontId="4" fillId="0" borderId="28" xfId="0" applyNumberFormat="1" applyFont="1" applyFill="1" applyBorder="1" applyAlignment="1" applyProtection="1">
      <alignment horizontal="center" vertical="center"/>
      <protection locked="0"/>
    </xf>
    <xf numFmtId="4" fontId="9" fillId="0" borderId="28" xfId="0" applyNumberFormat="1" applyFont="1" applyFill="1" applyBorder="1" applyAlignment="1" applyProtection="1">
      <alignment horizontal="center" vertical="center"/>
      <protection locked="0"/>
    </xf>
    <xf numFmtId="4" fontId="9" fillId="0" borderId="50" xfId="0" applyNumberFormat="1" applyFont="1" applyFill="1" applyBorder="1" applyAlignment="1" applyProtection="1">
      <alignment horizontal="center" vertical="center"/>
      <protection locked="0"/>
    </xf>
    <xf numFmtId="2" fontId="71" fillId="0" borderId="44" xfId="0" applyNumberFormat="1" applyFont="1" applyFill="1" applyBorder="1" applyAlignment="1" applyProtection="1">
      <alignment horizontal="center" vertical="center"/>
      <protection locked="0"/>
    </xf>
    <xf numFmtId="0" fontId="71" fillId="0" borderId="4" xfId="0" applyFont="1" applyFill="1" applyBorder="1" applyAlignment="1" applyProtection="1">
      <alignment horizontal="center" vertical="center"/>
      <protection locked="0"/>
    </xf>
    <xf numFmtId="0" fontId="22" fillId="0" borderId="4" xfId="0" applyFont="1" applyFill="1" applyBorder="1" applyAlignment="1" applyProtection="1">
      <alignment horizontal="center" vertical="center"/>
      <protection locked="0"/>
    </xf>
    <xf numFmtId="4" fontId="6" fillId="0" borderId="42" xfId="0" applyNumberFormat="1" applyFont="1" applyFill="1" applyBorder="1" applyAlignment="1" applyProtection="1">
      <alignment vertical="center"/>
      <protection locked="0"/>
    </xf>
    <xf numFmtId="4" fontId="6" fillId="0" borderId="40" xfId="0" applyNumberFormat="1" applyFont="1" applyFill="1" applyBorder="1" applyAlignment="1" applyProtection="1">
      <alignment vertical="center"/>
      <protection locked="0"/>
    </xf>
    <xf numFmtId="4" fontId="6" fillId="0" borderId="48" xfId="0" applyNumberFormat="1" applyFont="1" applyFill="1" applyBorder="1" applyAlignment="1" applyProtection="1">
      <alignment horizontal="center" vertical="center"/>
      <protection locked="0"/>
    </xf>
    <xf numFmtId="4" fontId="4" fillId="0" borderId="10" xfId="0" applyNumberFormat="1" applyFont="1" applyFill="1" applyBorder="1" applyAlignment="1" applyProtection="1">
      <alignment horizontal="center" vertical="center"/>
      <protection locked="0"/>
    </xf>
    <xf numFmtId="169" fontId="4" fillId="0" borderId="10" xfId="0" applyNumberFormat="1" applyFont="1" applyFill="1" applyBorder="1" applyAlignment="1" applyProtection="1">
      <alignment horizontal="center" vertical="center"/>
      <protection locked="0"/>
    </xf>
    <xf numFmtId="4" fontId="9" fillId="0" borderId="10" xfId="0" applyNumberFormat="1" applyFont="1" applyFill="1" applyBorder="1" applyAlignment="1" applyProtection="1">
      <alignment horizontal="center" vertical="center"/>
      <protection locked="0"/>
    </xf>
    <xf numFmtId="2" fontId="4" fillId="0" borderId="13" xfId="0" applyNumberFormat="1" applyFont="1" applyFill="1" applyBorder="1" applyAlignment="1" applyProtection="1">
      <alignment horizontal="center" vertical="center"/>
      <protection locked="0"/>
    </xf>
    <xf numFmtId="4" fontId="4" fillId="0" borderId="52" xfId="0" applyNumberFormat="1" applyFont="1" applyFill="1" applyBorder="1" applyAlignment="1" applyProtection="1">
      <alignment horizontal="center" vertical="center"/>
      <protection locked="0"/>
    </xf>
    <xf numFmtId="4" fontId="9" fillId="0" borderId="28" xfId="0" applyNumberFormat="1" applyFont="1" applyFill="1" applyBorder="1" applyAlignment="1" applyProtection="1">
      <alignment vertical="center"/>
      <protection locked="0"/>
    </xf>
    <xf numFmtId="4" fontId="4" fillId="0" borderId="65" xfId="0" applyNumberFormat="1" applyFont="1" applyFill="1" applyBorder="1" applyAlignment="1" applyProtection="1">
      <alignment horizontal="center" vertical="center"/>
      <protection locked="0"/>
    </xf>
    <xf numFmtId="4" fontId="6" fillId="0" borderId="28" xfId="0" applyNumberFormat="1" applyFont="1" applyFill="1" applyBorder="1" applyAlignment="1" applyProtection="1">
      <alignment vertical="center"/>
      <protection locked="0"/>
    </xf>
    <xf numFmtId="4" fontId="6" fillId="0" borderId="50" xfId="0" applyNumberFormat="1" applyFont="1" applyFill="1" applyBorder="1" applyAlignment="1" applyProtection="1">
      <alignment horizontal="center" vertical="center"/>
      <protection locked="0"/>
    </xf>
    <xf numFmtId="2" fontId="71" fillId="0" borderId="81" xfId="0" applyNumberFormat="1" applyFont="1" applyFill="1" applyBorder="1" applyAlignment="1" applyProtection="1">
      <alignment horizontal="center" vertical="center"/>
      <protection locked="0"/>
    </xf>
    <xf numFmtId="4" fontId="6" fillId="0" borderId="31" xfId="0" applyNumberFormat="1" applyFont="1" applyFill="1" applyBorder="1" applyAlignment="1" applyProtection="1">
      <alignment horizontal="center" vertical="center"/>
      <protection locked="0"/>
    </xf>
    <xf numFmtId="169" fontId="6" fillId="0" borderId="30" xfId="0" applyNumberFormat="1" applyFont="1" applyFill="1" applyBorder="1" applyAlignment="1" applyProtection="1">
      <alignment horizontal="center" vertical="center"/>
      <protection locked="0"/>
    </xf>
    <xf numFmtId="4" fontId="6" fillId="0" borderId="30" xfId="0" applyNumberFormat="1" applyFont="1" applyFill="1" applyBorder="1" applyAlignment="1" applyProtection="1">
      <alignment horizontal="center" vertical="center"/>
      <protection locked="0"/>
    </xf>
    <xf numFmtId="0" fontId="71" fillId="0" borderId="31" xfId="0" applyFont="1" applyFill="1" applyBorder="1" applyAlignment="1" applyProtection="1">
      <alignment horizontal="center" vertical="center"/>
      <protection locked="0"/>
    </xf>
    <xf numFmtId="0" fontId="22" fillId="0" borderId="30" xfId="0" applyFont="1" applyFill="1" applyBorder="1" applyAlignment="1" applyProtection="1">
      <alignment horizontal="center" vertical="center"/>
      <protection locked="0"/>
    </xf>
    <xf numFmtId="2" fontId="71" fillId="0" borderId="80" xfId="0" applyNumberFormat="1" applyFont="1" applyFill="1" applyBorder="1" applyAlignment="1" applyProtection="1">
      <alignment horizontal="center" vertical="center"/>
      <protection locked="0"/>
    </xf>
    <xf numFmtId="4" fontId="6" fillId="0" borderId="44" xfId="0" applyNumberFormat="1" applyFont="1" applyFill="1" applyBorder="1" applyAlignment="1" applyProtection="1">
      <alignment horizontal="center" vertical="center"/>
      <protection locked="0"/>
    </xf>
    <xf numFmtId="169" fontId="6" fillId="0" borderId="4" xfId="0" applyNumberFormat="1" applyFont="1" applyFill="1" applyBorder="1" applyAlignment="1" applyProtection="1">
      <alignment horizontal="center" vertical="center"/>
      <protection locked="0"/>
    </xf>
    <xf numFmtId="4" fontId="6" fillId="0" borderId="4" xfId="0" applyNumberFormat="1" applyFont="1" applyFill="1" applyBorder="1" applyAlignment="1" applyProtection="1">
      <alignment horizontal="center" vertical="center"/>
      <protection locked="0"/>
    </xf>
    <xf numFmtId="0" fontId="71" fillId="0" borderId="44" xfId="0" applyFont="1" applyFill="1" applyBorder="1" applyAlignment="1" applyProtection="1">
      <alignment horizontal="center" vertical="center"/>
      <protection locked="0"/>
    </xf>
    <xf numFmtId="2" fontId="71" fillId="0" borderId="71" xfId="0" applyNumberFormat="1" applyFont="1" applyFill="1" applyBorder="1" applyAlignment="1" applyProtection="1">
      <alignment horizontal="center" vertical="center"/>
      <protection locked="0"/>
    </xf>
    <xf numFmtId="4" fontId="4" fillId="0" borderId="43" xfId="0" applyNumberFormat="1" applyFont="1" applyFill="1" applyBorder="1" applyAlignment="1" applyProtection="1">
      <alignment horizontal="center" vertical="center"/>
      <protection locked="0"/>
    </xf>
    <xf numFmtId="169" fontId="4" fillId="0" borderId="40" xfId="0" applyNumberFormat="1" applyFont="1" applyFill="1" applyBorder="1" applyAlignment="1" applyProtection="1">
      <alignment horizontal="center" vertical="center"/>
      <protection locked="0"/>
    </xf>
    <xf numFmtId="4" fontId="9" fillId="0" borderId="40" xfId="0" applyNumberFormat="1" applyFont="1" applyFill="1" applyBorder="1" applyAlignment="1" applyProtection="1">
      <alignment horizontal="center" vertical="center"/>
      <protection locked="0"/>
    </xf>
    <xf numFmtId="4" fontId="9" fillId="0" borderId="14" xfId="0" applyNumberFormat="1" applyFont="1" applyFill="1" applyBorder="1" applyAlignment="1" applyProtection="1">
      <alignment horizontal="center" vertical="center"/>
      <protection locked="0"/>
    </xf>
    <xf numFmtId="4" fontId="6" fillId="0" borderId="42" xfId="0" applyNumberFormat="1" applyFont="1" applyFill="1" applyBorder="1" applyAlignment="1" applyProtection="1">
      <alignment horizontal="center" vertical="center"/>
      <protection locked="0"/>
    </xf>
    <xf numFmtId="4" fontId="6" fillId="0" borderId="40" xfId="0" applyNumberFormat="1" applyFont="1" applyFill="1" applyBorder="1" applyAlignment="1" applyProtection="1">
      <alignment horizontal="center" vertical="center"/>
      <protection locked="0"/>
    </xf>
    <xf numFmtId="4" fontId="4" fillId="0" borderId="40" xfId="0" applyNumberFormat="1" applyFont="1" applyFill="1" applyBorder="1" applyAlignment="1" applyProtection="1">
      <alignment horizontal="center" vertical="center"/>
      <protection locked="0"/>
    </xf>
    <xf numFmtId="2" fontId="71" fillId="0" borderId="0" xfId="0" applyNumberFormat="1" applyFont="1" applyFill="1" applyBorder="1" applyAlignment="1" applyProtection="1">
      <alignment horizontal="center" vertical="center"/>
      <protection locked="0"/>
    </xf>
    <xf numFmtId="4" fontId="4" fillId="0" borderId="33" xfId="0" applyNumberFormat="1" applyFont="1" applyFill="1" applyBorder="1" applyAlignment="1" applyProtection="1">
      <alignment horizontal="center" vertical="center"/>
      <protection locked="0"/>
    </xf>
    <xf numFmtId="169" fontId="4" fillId="0" borderId="34" xfId="0" applyNumberFormat="1" applyFont="1" applyFill="1" applyBorder="1" applyAlignment="1" applyProtection="1">
      <alignment horizontal="center" vertical="center"/>
      <protection locked="0"/>
    </xf>
    <xf numFmtId="4" fontId="9" fillId="0" borderId="34" xfId="0" applyNumberFormat="1" applyFont="1" applyFill="1" applyBorder="1" applyAlignment="1" applyProtection="1">
      <alignment horizontal="center" vertical="center"/>
      <protection locked="0"/>
    </xf>
    <xf numFmtId="4" fontId="6" fillId="0" borderId="32" xfId="0" applyNumberFormat="1" applyFont="1" applyFill="1" applyBorder="1" applyAlignment="1" applyProtection="1">
      <alignment horizontal="center" vertical="center"/>
      <protection locked="0"/>
    </xf>
    <xf numFmtId="4" fontId="6" fillId="0" borderId="34" xfId="0" applyNumberFormat="1" applyFont="1" applyFill="1" applyBorder="1" applyAlignment="1" applyProtection="1">
      <alignment horizontal="center" vertical="center"/>
      <protection locked="0"/>
    </xf>
    <xf numFmtId="4" fontId="4" fillId="0" borderId="34" xfId="0" applyNumberFormat="1" applyFont="1" applyFill="1" applyBorder="1" applyAlignment="1" applyProtection="1">
      <alignment horizontal="center" vertical="center"/>
      <protection locked="0"/>
    </xf>
    <xf numFmtId="4" fontId="4" fillId="0" borderId="13" xfId="0" applyNumberFormat="1" applyFont="1" applyFill="1" applyBorder="1" applyAlignment="1" applyProtection="1">
      <alignment horizontal="center" vertical="center"/>
      <protection locked="0"/>
    </xf>
    <xf numFmtId="4" fontId="6" fillId="0" borderId="13" xfId="0" applyNumberFormat="1" applyFont="1" applyFill="1" applyBorder="1" applyAlignment="1" applyProtection="1">
      <alignment horizontal="center" vertical="center"/>
      <protection locked="0"/>
    </xf>
    <xf numFmtId="4" fontId="6" fillId="0" borderId="10" xfId="0" applyNumberFormat="1" applyFont="1" applyFill="1" applyBorder="1" applyAlignment="1" applyProtection="1">
      <alignment horizontal="center" vertical="center"/>
      <protection locked="0"/>
    </xf>
    <xf numFmtId="2" fontId="71" fillId="0" borderId="13" xfId="0" applyNumberFormat="1" applyFont="1" applyFill="1" applyBorder="1" applyAlignment="1" applyProtection="1">
      <alignment horizontal="center" vertical="center"/>
      <protection locked="0"/>
    </xf>
    <xf numFmtId="0" fontId="22" fillId="0" borderId="10" xfId="0" applyFont="1" applyFill="1" applyBorder="1" applyAlignment="1" applyProtection="1">
      <alignment horizontal="center" vertical="center"/>
      <protection locked="0"/>
    </xf>
    <xf numFmtId="169" fontId="6" fillId="0" borderId="11" xfId="0" applyNumberFormat="1" applyFont="1" applyFill="1" applyBorder="1" applyAlignment="1" applyProtection="1">
      <alignment horizontal="center" vertical="center"/>
      <protection locked="0"/>
    </xf>
    <xf numFmtId="4" fontId="6" fillId="0" borderId="11" xfId="0" applyNumberFormat="1" applyFont="1" applyFill="1" applyBorder="1" applyAlignment="1" applyProtection="1">
      <alignment horizontal="center" vertical="center"/>
      <protection locked="0"/>
    </xf>
    <xf numFmtId="4" fontId="6" fillId="0" borderId="16" xfId="0" applyNumberFormat="1" applyFont="1" applyFill="1" applyBorder="1" applyAlignment="1" applyProtection="1">
      <alignment horizontal="center" vertical="center"/>
      <protection locked="0"/>
    </xf>
    <xf numFmtId="4" fontId="6" fillId="0" borderId="65" xfId="0" applyNumberFormat="1" applyFont="1" applyFill="1" applyBorder="1" applyAlignment="1" applyProtection="1">
      <alignment horizontal="center" vertical="center"/>
      <protection locked="0"/>
    </xf>
    <xf numFmtId="4" fontId="6" fillId="0" borderId="28" xfId="0" applyNumberFormat="1" applyFont="1" applyFill="1" applyBorder="1" applyAlignment="1" applyProtection="1">
      <alignment horizontal="center" vertical="center"/>
      <protection locked="0"/>
    </xf>
    <xf numFmtId="2" fontId="71" fillId="0" borderId="65" xfId="0" applyNumberFormat="1" applyFont="1" applyFill="1" applyBorder="1" applyAlignment="1" applyProtection="1">
      <alignment horizontal="center" vertical="center"/>
      <protection locked="0"/>
    </xf>
    <xf numFmtId="2" fontId="71" fillId="0" borderId="31" xfId="0" applyNumberFormat="1" applyFont="1" applyFill="1" applyBorder="1" applyAlignment="1" applyProtection="1">
      <alignment horizontal="center" vertical="center"/>
      <protection locked="0"/>
    </xf>
    <xf numFmtId="4" fontId="4" fillId="0" borderId="15" xfId="0" applyNumberFormat="1" applyFont="1" applyFill="1" applyBorder="1" applyAlignment="1" applyProtection="1">
      <alignment horizontal="center" vertical="center"/>
      <protection locked="0"/>
    </xf>
    <xf numFmtId="169" fontId="4" fillId="0" borderId="11" xfId="0" applyNumberFormat="1" applyFont="1" applyFill="1" applyBorder="1" applyAlignment="1" applyProtection="1">
      <alignment horizontal="center" vertical="center"/>
      <protection locked="0"/>
    </xf>
    <xf numFmtId="4" fontId="9" fillId="0" borderId="11" xfId="0" applyNumberFormat="1" applyFont="1" applyFill="1" applyBorder="1" applyAlignment="1" applyProtection="1">
      <alignment horizontal="center" vertical="center"/>
      <protection locked="0"/>
    </xf>
    <xf numFmtId="4" fontId="6" fillId="0" borderId="15" xfId="0" applyNumberFormat="1" applyFont="1" applyFill="1" applyBorder="1" applyAlignment="1" applyProtection="1">
      <alignment horizontal="center" vertical="center"/>
      <protection locked="0"/>
    </xf>
    <xf numFmtId="4" fontId="4" fillId="0" borderId="11" xfId="0" applyNumberFormat="1" applyFont="1" applyFill="1" applyBorder="1" applyAlignment="1" applyProtection="1">
      <alignment horizontal="center" vertical="center"/>
      <protection locked="0"/>
    </xf>
    <xf numFmtId="4" fontId="9" fillId="0" borderId="16" xfId="0" applyNumberFormat="1" applyFont="1" applyFill="1" applyBorder="1" applyAlignment="1" applyProtection="1">
      <alignment horizontal="center" vertical="center"/>
      <protection locked="0"/>
    </xf>
    <xf numFmtId="2" fontId="71" fillId="0" borderId="15" xfId="0" applyNumberFormat="1" applyFont="1" applyFill="1" applyBorder="1" applyAlignment="1" applyProtection="1">
      <alignment horizontal="center" vertical="center"/>
      <protection locked="0"/>
    </xf>
    <xf numFmtId="0" fontId="22" fillId="0" borderId="11" xfId="0" applyFont="1" applyFill="1" applyBorder="1" applyAlignment="1" applyProtection="1">
      <alignment horizontal="center" vertical="center"/>
      <protection locked="0"/>
    </xf>
    <xf numFmtId="2" fontId="71" fillId="0" borderId="19" xfId="0" applyNumberFormat="1" applyFont="1" applyFill="1" applyBorder="1" applyAlignment="1" applyProtection="1">
      <alignment horizontal="center" vertical="center"/>
      <protection locked="0"/>
    </xf>
    <xf numFmtId="2" fontId="71" fillId="0" borderId="23" xfId="0" applyNumberFormat="1" applyFont="1" applyFill="1" applyBorder="1" applyAlignment="1" applyProtection="1">
      <alignment horizontal="center" vertical="center"/>
      <protection locked="0"/>
    </xf>
    <xf numFmtId="4" fontId="4" fillId="0" borderId="49" xfId="0" applyNumberFormat="1" applyFont="1" applyFill="1" applyBorder="1" applyAlignment="1" applyProtection="1">
      <alignment horizontal="center" vertical="center"/>
      <protection locked="0"/>
    </xf>
    <xf numFmtId="2" fontId="71" fillId="0" borderId="49" xfId="0" applyNumberFormat="1" applyFont="1" applyFill="1" applyBorder="1" applyAlignment="1" applyProtection="1">
      <alignment horizontal="center" vertical="center"/>
      <protection locked="0"/>
    </xf>
    <xf numFmtId="169" fontId="6" fillId="0" borderId="10" xfId="0" applyNumberFormat="1" applyFont="1" applyFill="1" applyBorder="1" applyAlignment="1" applyProtection="1">
      <alignment horizontal="center" vertical="center"/>
      <protection locked="0"/>
    </xf>
    <xf numFmtId="4" fontId="6" fillId="0" borderId="60" xfId="0" applyNumberFormat="1" applyFont="1" applyFill="1" applyBorder="1" applyAlignment="1" applyProtection="1">
      <alignment horizontal="center" vertical="center"/>
      <protection locked="0"/>
    </xf>
    <xf numFmtId="0" fontId="22" fillId="0" borderId="31" xfId="0" applyFont="1" applyFill="1" applyBorder="1" applyAlignment="1" applyProtection="1">
      <alignment horizontal="center" vertical="center"/>
      <protection locked="0"/>
    </xf>
    <xf numFmtId="0" fontId="22" fillId="0" borderId="44" xfId="0" applyFont="1" applyFill="1" applyBorder="1" applyAlignment="1" applyProtection="1">
      <alignment horizontal="center" vertical="center"/>
      <protection locked="0"/>
    </xf>
    <xf numFmtId="4" fontId="6" fillId="0" borderId="76" xfId="0" applyNumberFormat="1" applyFont="1" applyFill="1" applyBorder="1" applyAlignment="1" applyProtection="1">
      <alignment horizontal="center" vertical="center"/>
      <protection locked="0"/>
    </xf>
    <xf numFmtId="0" fontId="22" fillId="0" borderId="15" xfId="0" applyFont="1" applyFill="1" applyBorder="1" applyAlignment="1" applyProtection="1">
      <alignment horizontal="center" vertical="center"/>
      <protection locked="0"/>
    </xf>
    <xf numFmtId="4" fontId="4" fillId="0" borderId="29" xfId="0" applyNumberFormat="1" applyFont="1" applyFill="1" applyBorder="1" applyAlignment="1" applyProtection="1">
      <alignment horizontal="center" vertical="center"/>
      <protection locked="0"/>
    </xf>
    <xf numFmtId="2" fontId="71" fillId="0" borderId="52" xfId="0" applyNumberFormat="1" applyFont="1" applyFill="1" applyBorder="1" applyAlignment="1" applyProtection="1">
      <alignment horizontal="center" vertical="center"/>
      <protection locked="0"/>
    </xf>
    <xf numFmtId="0" fontId="22" fillId="0" borderId="13" xfId="0" applyFont="1" applyFill="1" applyBorder="1" applyAlignment="1" applyProtection="1">
      <alignment horizontal="center" vertical="center"/>
      <protection locked="0"/>
    </xf>
    <xf numFmtId="4" fontId="6" fillId="0" borderId="12" xfId="0" applyNumberFormat="1" applyFont="1" applyFill="1" applyBorder="1" applyAlignment="1" applyProtection="1">
      <alignment horizontal="center" vertical="center"/>
      <protection locked="0"/>
    </xf>
    <xf numFmtId="2" fontId="71" fillId="0" borderId="29" xfId="0" applyNumberFormat="1" applyFont="1" applyFill="1" applyBorder="1" applyAlignment="1" applyProtection="1">
      <alignment horizontal="center" vertical="center"/>
      <protection locked="0"/>
    </xf>
    <xf numFmtId="4" fontId="9" fillId="0" borderId="10" xfId="0" applyNumberFormat="1" applyFont="1" applyFill="1" applyBorder="1" applyAlignment="1" applyProtection="1">
      <alignment vertical="center"/>
      <protection locked="0"/>
    </xf>
    <xf numFmtId="4" fontId="4" fillId="0" borderId="10" xfId="0" applyNumberFormat="1" applyFont="1" applyFill="1" applyBorder="1" applyAlignment="1" applyProtection="1">
      <alignment vertical="center"/>
      <protection locked="0"/>
    </xf>
    <xf numFmtId="0" fontId="22" fillId="0" borderId="0" xfId="0" applyFont="1" applyFill="1" applyBorder="1" applyAlignment="1" applyProtection="1">
      <alignment vertical="center"/>
      <protection locked="0"/>
    </xf>
    <xf numFmtId="2" fontId="9" fillId="0" borderId="30" xfId="0" applyNumberFormat="1" applyFont="1" applyFill="1" applyBorder="1" applyAlignment="1" applyProtection="1">
      <alignment horizontal="center" vertical="center"/>
      <protection locked="0"/>
    </xf>
    <xf numFmtId="2" fontId="9" fillId="0" borderId="18" xfId="0" applyNumberFormat="1" applyFont="1" applyFill="1" applyBorder="1" applyAlignment="1" applyProtection="1">
      <alignment horizontal="center" vertical="center"/>
      <protection locked="0"/>
    </xf>
    <xf numFmtId="2" fontId="9" fillId="0" borderId="4" xfId="0" applyNumberFormat="1" applyFont="1" applyFill="1" applyBorder="1" applyAlignment="1" applyProtection="1">
      <alignment horizontal="center" vertical="center"/>
      <protection locked="0"/>
    </xf>
    <xf numFmtId="2" fontId="9" fillId="0" borderId="12" xfId="0" applyNumberFormat="1" applyFont="1" applyFill="1" applyBorder="1" applyAlignment="1" applyProtection="1">
      <alignment horizontal="center" vertical="center"/>
      <protection locked="0"/>
    </xf>
    <xf numFmtId="2" fontId="9" fillId="0" borderId="20" xfId="0" applyNumberFormat="1" applyFont="1" applyFill="1" applyBorder="1" applyAlignment="1" applyProtection="1">
      <alignment horizontal="center" vertical="center"/>
      <protection locked="0"/>
    </xf>
    <xf numFmtId="2" fontId="22" fillId="0" borderId="4" xfId="0" applyNumberFormat="1" applyFont="1" applyFill="1" applyBorder="1" applyAlignment="1" applyProtection="1">
      <alignment horizontal="center" vertical="center"/>
      <protection locked="0"/>
    </xf>
    <xf numFmtId="2" fontId="9" fillId="0" borderId="10" xfId="0" applyNumberFormat="1" applyFont="1" applyFill="1" applyBorder="1" applyAlignment="1" applyProtection="1">
      <alignment horizontal="center" vertical="center"/>
      <protection locked="0"/>
    </xf>
    <xf numFmtId="2" fontId="22" fillId="0" borderId="28" xfId="0" applyNumberFormat="1" applyFont="1" applyFill="1" applyBorder="1" applyAlignment="1" applyProtection="1">
      <alignment horizontal="center" vertical="center"/>
      <protection locked="0"/>
    </xf>
    <xf numFmtId="2" fontId="22" fillId="0" borderId="30" xfId="0" applyNumberFormat="1" applyFont="1" applyFill="1" applyBorder="1" applyAlignment="1" applyProtection="1">
      <alignment horizontal="center" vertical="center"/>
      <protection locked="0"/>
    </xf>
    <xf numFmtId="2" fontId="22" fillId="0" borderId="40" xfId="0" applyNumberFormat="1" applyFont="1" applyFill="1" applyBorder="1" applyAlignment="1" applyProtection="1">
      <alignment horizontal="center" vertical="center"/>
      <protection locked="0"/>
    </xf>
    <xf numFmtId="2" fontId="22" fillId="0" borderId="34" xfId="0" applyNumberFormat="1" applyFont="1" applyFill="1" applyBorder="1" applyAlignment="1" applyProtection="1">
      <alignment horizontal="center" vertical="center"/>
      <protection locked="0"/>
    </xf>
    <xf numFmtId="2" fontId="22" fillId="0" borderId="10" xfId="0" applyNumberFormat="1" applyFont="1" applyFill="1" applyBorder="1" applyAlignment="1" applyProtection="1">
      <alignment horizontal="center" vertical="center"/>
      <protection locked="0"/>
    </xf>
    <xf numFmtId="2" fontId="22" fillId="0" borderId="11" xfId="0" applyNumberFormat="1" applyFont="1" applyFill="1" applyBorder="1" applyAlignment="1" applyProtection="1">
      <alignment horizontal="center" vertical="center"/>
      <protection locked="0"/>
    </xf>
    <xf numFmtId="2" fontId="22" fillId="0" borderId="31" xfId="0" applyNumberFormat="1" applyFont="1" applyFill="1" applyBorder="1" applyAlignment="1" applyProtection="1">
      <alignment horizontal="center" vertical="center"/>
      <protection locked="0"/>
    </xf>
    <xf numFmtId="2" fontId="22" fillId="0" borderId="44" xfId="0" applyNumberFormat="1" applyFont="1" applyFill="1" applyBorder="1" applyAlignment="1" applyProtection="1">
      <alignment horizontal="center" vertical="center"/>
      <protection locked="0"/>
    </xf>
    <xf numFmtId="2" fontId="22" fillId="0" borderId="15" xfId="0" applyNumberFormat="1" applyFont="1" applyFill="1" applyBorder="1" applyAlignment="1" applyProtection="1">
      <alignment horizontal="center" vertical="center"/>
      <protection locked="0"/>
    </xf>
    <xf numFmtId="2" fontId="22" fillId="0" borderId="13" xfId="0" applyNumberFormat="1" applyFont="1" applyFill="1" applyBorder="1" applyAlignment="1" applyProtection="1">
      <alignment horizontal="center" vertical="center"/>
      <protection locked="0"/>
    </xf>
    <xf numFmtId="2" fontId="22" fillId="0" borderId="65" xfId="0" applyNumberFormat="1" applyFont="1" applyFill="1" applyBorder="1" applyAlignment="1" applyProtection="1">
      <alignment horizontal="center" vertical="center"/>
      <protection locked="0"/>
    </xf>
    <xf numFmtId="2" fontId="9" fillId="0" borderId="28" xfId="0" applyNumberFormat="1" applyFont="1" applyFill="1" applyBorder="1" applyAlignment="1" applyProtection="1">
      <alignment horizontal="center" vertical="center"/>
      <protection locked="0"/>
    </xf>
    <xf numFmtId="2" fontId="9" fillId="0" borderId="50" xfId="0" applyNumberFormat="1" applyFont="1" applyFill="1" applyBorder="1" applyAlignment="1" applyProtection="1">
      <alignment horizontal="center" vertical="center"/>
      <protection locked="0"/>
    </xf>
    <xf numFmtId="2" fontId="9" fillId="0" borderId="40" xfId="0" applyNumberFormat="1" applyFont="1" applyFill="1" applyBorder="1" applyAlignment="1" applyProtection="1">
      <alignment horizontal="center" vertical="center"/>
      <protection locked="0"/>
    </xf>
    <xf numFmtId="2" fontId="9" fillId="0" borderId="14" xfId="0" applyNumberFormat="1" applyFont="1" applyFill="1" applyBorder="1" applyAlignment="1" applyProtection="1">
      <alignment horizontal="center" vertical="center"/>
      <protection locked="0"/>
    </xf>
    <xf numFmtId="2" fontId="9" fillId="0" borderId="34" xfId="0" applyNumberFormat="1" applyFont="1" applyFill="1" applyBorder="1" applyAlignment="1" applyProtection="1">
      <alignment horizontal="center" vertical="center"/>
      <protection locked="0"/>
    </xf>
    <xf numFmtId="2" fontId="9" fillId="0" borderId="11" xfId="0" applyNumberFormat="1" applyFont="1" applyFill="1" applyBorder="1" applyAlignment="1" applyProtection="1">
      <alignment horizontal="center" vertical="center"/>
      <protection locked="0"/>
    </xf>
    <xf numFmtId="2" fontId="9" fillId="0" borderId="16" xfId="0" applyNumberFormat="1" applyFont="1" applyFill="1" applyBorder="1" applyAlignment="1" applyProtection="1">
      <alignment horizontal="center" vertical="center"/>
      <protection locked="0"/>
    </xf>
    <xf numFmtId="4" fontId="4" fillId="0" borderId="65" xfId="0" applyNumberFormat="1" applyFont="1" applyFill="1" applyBorder="1" applyAlignment="1" applyProtection="1">
      <alignment vertical="center"/>
      <protection locked="0"/>
    </xf>
    <xf numFmtId="4" fontId="4" fillId="0" borderId="42" xfId="0" applyNumberFormat="1" applyFont="1" applyFill="1" applyBorder="1" applyAlignment="1" applyProtection="1">
      <alignment horizontal="center" vertical="center"/>
      <protection locked="0"/>
    </xf>
    <xf numFmtId="4" fontId="6" fillId="0" borderId="21" xfId="0" applyNumberFormat="1" applyFont="1" applyFill="1" applyBorder="1" applyAlignment="1" applyProtection="1">
      <alignment horizontal="center" vertical="center"/>
      <protection locked="0"/>
    </xf>
    <xf numFmtId="0" fontId="71" fillId="0" borderId="10" xfId="0" applyFont="1" applyFill="1" applyBorder="1" applyAlignment="1" applyProtection="1">
      <alignment horizontal="center" vertical="center"/>
      <protection locked="0"/>
    </xf>
    <xf numFmtId="4" fontId="9" fillId="0" borderId="21" xfId="0" applyNumberFormat="1" applyFont="1" applyFill="1" applyBorder="1" applyAlignment="1" applyProtection="1">
      <alignment horizontal="center" vertical="center"/>
      <protection locked="0"/>
    </xf>
    <xf numFmtId="2" fontId="71" fillId="0" borderId="42" xfId="0" applyNumberFormat="1" applyFont="1" applyFill="1" applyBorder="1" applyAlignment="1" applyProtection="1">
      <alignment horizontal="center" vertical="center"/>
      <protection locked="0"/>
    </xf>
    <xf numFmtId="2" fontId="71" fillId="0" borderId="32" xfId="0" applyNumberFormat="1" applyFont="1" applyFill="1" applyBorder="1" applyAlignment="1" applyProtection="1">
      <alignment horizontal="center" vertical="center"/>
      <protection locked="0"/>
    </xf>
    <xf numFmtId="2" fontId="71" fillId="0" borderId="83" xfId="0" applyNumberFormat="1" applyFont="1" applyFill="1" applyBorder="1" applyAlignment="1" applyProtection="1">
      <alignment horizontal="center" vertical="center"/>
      <protection locked="0"/>
    </xf>
    <xf numFmtId="0" fontId="22" fillId="0" borderId="45" xfId="0" applyFont="1" applyFill="1" applyBorder="1" applyAlignment="1" applyProtection="1">
      <alignment horizontal="center" vertical="center"/>
      <protection locked="0"/>
    </xf>
    <xf numFmtId="4" fontId="6" fillId="0" borderId="18" xfId="0" applyNumberFormat="1" applyFont="1" applyFill="1" applyBorder="1" applyAlignment="1" applyProtection="1">
      <alignment vertical="center"/>
      <protection locked="0"/>
    </xf>
    <xf numFmtId="4" fontId="6" fillId="0" borderId="20" xfId="0" applyNumberFormat="1" applyFont="1" applyFill="1" applyBorder="1" applyAlignment="1" applyProtection="1">
      <alignment vertical="center"/>
      <protection locked="0"/>
    </xf>
    <xf numFmtId="164" fontId="9" fillId="0" borderId="4" xfId="0" applyNumberFormat="1" applyFont="1" applyFill="1" applyBorder="1" applyAlignment="1" applyProtection="1">
      <alignment horizontal="center" vertical="center"/>
      <protection locked="0"/>
    </xf>
    <xf numFmtId="2" fontId="71" fillId="0" borderId="27" xfId="0" applyNumberFormat="1" applyFont="1" applyFill="1" applyBorder="1" applyAlignment="1" applyProtection="1">
      <alignment horizontal="center" vertical="center"/>
      <protection locked="0"/>
    </xf>
    <xf numFmtId="0" fontId="22" fillId="0" borderId="28" xfId="0" applyFont="1" applyFill="1" applyBorder="1" applyAlignment="1" applyProtection="1">
      <alignment horizontal="center" vertical="center"/>
      <protection locked="0"/>
    </xf>
    <xf numFmtId="0" fontId="22" fillId="0" borderId="79" xfId="0" applyFont="1" applyFill="1" applyBorder="1" applyAlignment="1" applyProtection="1">
      <alignment horizontal="center" vertical="center"/>
      <protection locked="0"/>
    </xf>
    <xf numFmtId="0" fontId="22" fillId="0" borderId="75" xfId="0" applyFont="1" applyFill="1" applyBorder="1" applyAlignment="1" applyProtection="1">
      <alignment horizontal="center" vertical="center"/>
      <protection locked="0"/>
    </xf>
    <xf numFmtId="0" fontId="22" fillId="0" borderId="82" xfId="0" applyFont="1" applyFill="1" applyBorder="1" applyAlignment="1" applyProtection="1">
      <alignment horizontal="center" vertical="center"/>
      <protection locked="0"/>
    </xf>
    <xf numFmtId="4" fontId="9" fillId="0" borderId="75" xfId="0" applyNumberFormat="1" applyFont="1" applyFill="1" applyBorder="1" applyAlignment="1" applyProtection="1">
      <alignment horizontal="center" vertical="center"/>
      <protection locked="0"/>
    </xf>
    <xf numFmtId="4" fontId="6" fillId="0" borderId="14" xfId="0" applyNumberFormat="1" applyFont="1" applyFill="1" applyBorder="1" applyAlignment="1" applyProtection="1">
      <alignment horizontal="center" vertical="center"/>
      <protection locked="0"/>
    </xf>
    <xf numFmtId="0" fontId="22" fillId="0" borderId="40" xfId="0" applyFont="1" applyFill="1" applyBorder="1" applyAlignment="1" applyProtection="1">
      <alignment horizontal="center" vertical="center"/>
      <protection locked="0"/>
    </xf>
    <xf numFmtId="0" fontId="22" fillId="0" borderId="63" xfId="0" applyFont="1" applyFill="1" applyBorder="1" applyAlignment="1" applyProtection="1">
      <alignment horizontal="center" vertical="center"/>
      <protection locked="0"/>
    </xf>
    <xf numFmtId="4" fontId="9" fillId="0" borderId="17" xfId="0" applyNumberFormat="1" applyFont="1" applyFill="1" applyBorder="1" applyAlignment="1" applyProtection="1">
      <alignment horizontal="center" vertical="center"/>
      <protection locked="0"/>
    </xf>
    <xf numFmtId="4" fontId="4" fillId="0" borderId="32" xfId="0" applyNumberFormat="1" applyFont="1" applyFill="1" applyBorder="1" applyAlignment="1" applyProtection="1">
      <alignment horizontal="center" vertical="center"/>
      <protection locked="0"/>
    </xf>
    <xf numFmtId="4" fontId="6" fillId="0" borderId="17" xfId="0" applyNumberFormat="1" applyFont="1" applyFill="1" applyBorder="1" applyAlignment="1" applyProtection="1">
      <alignment horizontal="center" vertical="center"/>
      <protection locked="0"/>
    </xf>
    <xf numFmtId="4" fontId="6" fillId="0" borderId="74" xfId="0" applyNumberFormat="1" applyFont="1" applyFill="1" applyBorder="1" applyAlignment="1" applyProtection="1">
      <alignment horizontal="center" vertical="center"/>
      <protection locked="0"/>
    </xf>
    <xf numFmtId="2" fontId="71" fillId="0" borderId="9" xfId="0" applyNumberFormat="1" applyFont="1" applyFill="1" applyBorder="1" applyAlignment="1" applyProtection="1">
      <alignment horizontal="center" vertical="center"/>
      <protection locked="0"/>
    </xf>
    <xf numFmtId="0" fontId="22" fillId="0" borderId="34" xfId="0" applyFont="1" applyFill="1" applyBorder="1" applyAlignment="1" applyProtection="1">
      <alignment horizontal="center" vertical="center"/>
      <protection locked="0"/>
    </xf>
    <xf numFmtId="0" fontId="22" fillId="0" borderId="64" xfId="0" applyFont="1" applyFill="1" applyBorder="1" applyAlignment="1" applyProtection="1">
      <alignment horizontal="center" vertical="center"/>
      <protection locked="0"/>
    </xf>
    <xf numFmtId="4" fontId="9" fillId="0" borderId="73" xfId="0" applyNumberFormat="1" applyFont="1" applyFill="1" applyBorder="1" applyAlignment="1" applyProtection="1">
      <alignment horizontal="center" vertical="center"/>
      <protection locked="0"/>
    </xf>
    <xf numFmtId="0" fontId="22" fillId="0" borderId="18" xfId="0" applyFont="1" applyFill="1" applyBorder="1" applyAlignment="1" applyProtection="1">
      <alignment horizontal="center" vertical="center"/>
      <protection locked="0"/>
    </xf>
    <xf numFmtId="4" fontId="9" fillId="0" borderId="22" xfId="0" applyNumberFormat="1" applyFont="1" applyFill="1" applyBorder="1" applyAlignment="1" applyProtection="1">
      <alignment horizontal="center" vertical="center"/>
      <protection locked="0"/>
    </xf>
    <xf numFmtId="0" fontId="22" fillId="0" borderId="20" xfId="0" applyFont="1" applyFill="1" applyBorder="1" applyAlignment="1" applyProtection="1">
      <alignment horizontal="center" vertical="center"/>
      <protection locked="0"/>
    </xf>
    <xf numFmtId="4" fontId="9" fillId="0" borderId="76" xfId="0" applyNumberFormat="1" applyFont="1" applyFill="1" applyBorder="1" applyAlignment="1" applyProtection="1">
      <alignment horizontal="center" vertical="center"/>
      <protection locked="0"/>
    </xf>
    <xf numFmtId="0" fontId="22" fillId="0" borderId="16" xfId="0" applyFont="1" applyFill="1" applyBorder="1" applyAlignment="1" applyProtection="1">
      <alignment horizontal="center" vertical="center"/>
      <protection locked="0"/>
    </xf>
    <xf numFmtId="4" fontId="9" fillId="0" borderId="72" xfId="0" applyNumberFormat="1" applyFont="1" applyFill="1" applyBorder="1" applyAlignment="1" applyProtection="1">
      <alignment horizontal="center" vertical="center"/>
      <protection locked="0"/>
    </xf>
    <xf numFmtId="4" fontId="9" fillId="0" borderId="60" xfId="0" applyNumberFormat="1" applyFont="1" applyFill="1" applyBorder="1" applyAlignment="1" applyProtection="1">
      <alignment horizontal="center" vertical="center"/>
      <protection locked="0"/>
    </xf>
    <xf numFmtId="0" fontId="22" fillId="0" borderId="50" xfId="0" applyFont="1" applyFill="1" applyBorder="1" applyAlignment="1" applyProtection="1">
      <alignment horizontal="center" vertical="center"/>
      <protection locked="0"/>
    </xf>
    <xf numFmtId="0" fontId="22" fillId="0" borderId="65" xfId="0" applyFont="1" applyFill="1" applyBorder="1" applyAlignment="1" applyProtection="1">
      <alignment horizontal="center" vertical="center"/>
      <protection locked="0"/>
    </xf>
    <xf numFmtId="0" fontId="22" fillId="0" borderId="12" xfId="0" applyFont="1" applyFill="1" applyBorder="1" applyAlignment="1" applyProtection="1">
      <alignment horizontal="center" vertical="center"/>
      <protection locked="0"/>
    </xf>
    <xf numFmtId="4" fontId="9" fillId="0" borderId="30" xfId="0" applyNumberFormat="1" applyFont="1" applyFill="1" applyBorder="1" applyAlignment="1" applyProtection="1">
      <alignment vertical="center"/>
      <protection hidden="1"/>
    </xf>
    <xf numFmtId="4" fontId="9" fillId="0" borderId="18" xfId="0" applyNumberFormat="1" applyFont="1" applyFill="1" applyBorder="1" applyAlignment="1" applyProtection="1">
      <alignment vertical="center"/>
      <protection hidden="1"/>
    </xf>
    <xf numFmtId="4" fontId="9" fillId="0" borderId="4" xfId="0" applyNumberFormat="1" applyFont="1" applyFill="1" applyBorder="1" applyAlignment="1" applyProtection="1">
      <alignment vertical="center"/>
      <protection hidden="1"/>
    </xf>
    <xf numFmtId="4" fontId="9" fillId="0" borderId="20" xfId="0" applyNumberFormat="1" applyFont="1" applyFill="1" applyBorder="1" applyAlignment="1" applyProtection="1">
      <alignment vertical="center"/>
      <protection hidden="1"/>
    </xf>
    <xf numFmtId="4" fontId="9" fillId="0" borderId="20" xfId="0" applyNumberFormat="1" applyFont="1" applyFill="1" applyBorder="1" applyAlignment="1" applyProtection="1">
      <alignment horizontal="center" vertical="center"/>
      <protection hidden="1"/>
    </xf>
    <xf numFmtId="4" fontId="9" fillId="0" borderId="28" xfId="0" applyNumberFormat="1" applyFont="1" applyFill="1" applyBorder="1" applyAlignment="1" applyProtection="1">
      <alignment vertical="center"/>
      <protection hidden="1"/>
    </xf>
    <xf numFmtId="4" fontId="9" fillId="0" borderId="50" xfId="0" applyNumberFormat="1" applyFont="1" applyFill="1" applyBorder="1" applyAlignment="1" applyProtection="1">
      <alignment horizontal="center" vertical="center"/>
      <protection hidden="1"/>
    </xf>
    <xf numFmtId="0" fontId="1" fillId="2" borderId="4" xfId="0" applyFont="1" applyFill="1" applyBorder="1" applyAlignment="1">
      <alignment horizontal="center" vertical="center"/>
    </xf>
    <xf numFmtId="0" fontId="0" fillId="2" borderId="0" xfId="0" applyFill="1"/>
    <xf numFmtId="0" fontId="73" fillId="10" borderId="0" xfId="0" applyFont="1" applyFill="1"/>
    <xf numFmtId="164" fontId="62" fillId="0" borderId="4" xfId="0" applyNumberFormat="1" applyFont="1" applyFill="1" applyBorder="1" applyAlignment="1">
      <alignment horizontal="center" vertical="center" wrapText="1"/>
    </xf>
    <xf numFmtId="2" fontId="1" fillId="4" borderId="4" xfId="0" applyNumberFormat="1" applyFont="1" applyFill="1" applyBorder="1" applyAlignment="1" applyProtection="1">
      <alignment horizontal="center" vertical="center" wrapText="1"/>
      <protection hidden="1"/>
    </xf>
    <xf numFmtId="4" fontId="53" fillId="0" borderId="0" xfId="0" applyNumberFormat="1" applyFont="1" applyFill="1" applyAlignment="1">
      <alignment vertical="center"/>
    </xf>
    <xf numFmtId="2" fontId="16" fillId="8" borderId="0" xfId="0" applyNumberFormat="1" applyFont="1" applyFill="1" applyAlignment="1">
      <alignment horizontal="center" vertical="center"/>
    </xf>
    <xf numFmtId="0" fontId="61" fillId="0" borderId="0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/>
      <protection locked="0"/>
    </xf>
    <xf numFmtId="0" fontId="61" fillId="0" borderId="0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/>
      <protection locked="0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28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NumberFormat="1" applyAlignment="1">
      <alignment horizontal="center"/>
    </xf>
    <xf numFmtId="0" fontId="14" fillId="0" borderId="0" xfId="0" applyNumberFormat="1" applyFont="1" applyFill="1" applyAlignment="1">
      <alignment horizontal="center" vertical="center"/>
    </xf>
    <xf numFmtId="0" fontId="61" fillId="0" borderId="0" xfId="0" applyFont="1" applyFill="1" applyBorder="1" applyAlignment="1" applyProtection="1">
      <alignment horizontal="center" vertical="center"/>
      <protection locked="0"/>
    </xf>
    <xf numFmtId="0" fontId="74" fillId="0" borderId="26" xfId="0" applyFont="1" applyFill="1" applyBorder="1" applyAlignment="1" applyProtection="1">
      <alignment horizontal="center" vertical="center"/>
      <protection locked="0"/>
    </xf>
    <xf numFmtId="0" fontId="60" fillId="0" borderId="26" xfId="0" applyFont="1" applyFill="1" applyBorder="1" applyAlignment="1" applyProtection="1">
      <alignment horizontal="center" vertical="center"/>
      <protection locked="0"/>
    </xf>
    <xf numFmtId="0" fontId="75" fillId="0" borderId="26" xfId="0" applyFont="1" applyFill="1" applyBorder="1" applyProtection="1">
      <protection locked="0"/>
    </xf>
    <xf numFmtId="49" fontId="60" fillId="0" borderId="26" xfId="0" applyNumberFormat="1" applyFont="1" applyFill="1" applyBorder="1" applyProtection="1">
      <protection locked="0"/>
    </xf>
    <xf numFmtId="0" fontId="76" fillId="0" borderId="0" xfId="0" applyFont="1"/>
    <xf numFmtId="0" fontId="18" fillId="0" borderId="0" xfId="0" applyFont="1" applyBorder="1" applyAlignment="1" applyProtection="1">
      <alignment vertical="center" wrapText="1"/>
      <protection locked="0"/>
    </xf>
    <xf numFmtId="0" fontId="18" fillId="0" borderId="0" xfId="0" applyFont="1" applyBorder="1" applyAlignment="1" applyProtection="1">
      <alignment horizontal="center" vertical="center" wrapText="1"/>
      <protection locked="0"/>
    </xf>
    <xf numFmtId="0" fontId="76" fillId="0" borderId="0" xfId="0" applyFont="1" applyAlignment="1">
      <alignment horizontal="center"/>
    </xf>
    <xf numFmtId="0" fontId="77" fillId="0" borderId="0" xfId="0" applyFont="1" applyBorder="1" applyAlignment="1" applyProtection="1">
      <alignment horizontal="center" vertical="center" wrapText="1"/>
      <protection locked="0"/>
    </xf>
    <xf numFmtId="0" fontId="78" fillId="0" borderId="0" xfId="0" applyFont="1" applyAlignment="1">
      <alignment horizontal="center"/>
    </xf>
    <xf numFmtId="4" fontId="0" fillId="0" borderId="0" xfId="0" applyNumberFormat="1"/>
    <xf numFmtId="4" fontId="6" fillId="0" borderId="14" xfId="0" applyNumberFormat="1" applyFont="1" applyFill="1" applyBorder="1" applyAlignment="1" applyProtection="1">
      <alignment vertical="center"/>
      <protection locked="0"/>
    </xf>
    <xf numFmtId="4" fontId="6" fillId="0" borderId="50" xfId="0" applyNumberFormat="1" applyFont="1" applyFill="1" applyBorder="1" applyAlignment="1" applyProtection="1">
      <alignment vertical="center"/>
      <protection locked="0"/>
    </xf>
    <xf numFmtId="4" fontId="6" fillId="0" borderId="16" xfId="0" applyNumberFormat="1" applyFont="1" applyFill="1" applyBorder="1" applyAlignment="1" applyProtection="1">
      <alignment vertical="center"/>
      <protection locked="0"/>
    </xf>
    <xf numFmtId="4" fontId="9" fillId="0" borderId="48" xfId="0" applyNumberFormat="1" applyFont="1" applyFill="1" applyBorder="1" applyAlignment="1" applyProtection="1">
      <alignment horizontal="center" vertical="center"/>
      <protection locked="0"/>
    </xf>
    <xf numFmtId="49" fontId="80" fillId="0" borderId="4" xfId="0" applyNumberFormat="1" applyFont="1" applyFill="1" applyBorder="1" applyAlignment="1" applyProtection="1">
      <alignment horizontal="center" vertical="center"/>
      <protection locked="0"/>
    </xf>
    <xf numFmtId="164" fontId="81" fillId="0" borderId="4" xfId="0" applyNumberFormat="1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/>
    <xf numFmtId="0" fontId="22" fillId="0" borderId="14" xfId="0" applyFont="1" applyFill="1" applyBorder="1" applyAlignment="1">
      <alignment horizontal="center" vertical="center"/>
    </xf>
    <xf numFmtId="4" fontId="6" fillId="0" borderId="33" xfId="0" applyNumberFormat="1" applyFont="1" applyFill="1" applyBorder="1" applyAlignment="1">
      <alignment horizontal="center" vertical="center"/>
    </xf>
    <xf numFmtId="169" fontId="6" fillId="0" borderId="34" xfId="0" applyNumberFormat="1" applyFont="1" applyFill="1" applyBorder="1" applyAlignment="1">
      <alignment horizontal="center" vertical="center"/>
    </xf>
    <xf numFmtId="0" fontId="22" fillId="0" borderId="33" xfId="0" applyFont="1" applyFill="1" applyBorder="1" applyAlignment="1">
      <alignment horizontal="center" vertical="center"/>
    </xf>
    <xf numFmtId="0" fontId="0" fillId="0" borderId="51" xfId="0" applyNumberFormat="1" applyFont="1" applyBorder="1" applyAlignment="1">
      <alignment horizontal="center" vertical="center"/>
    </xf>
    <xf numFmtId="0" fontId="0" fillId="0" borderId="43" xfId="0" applyNumberFormat="1" applyFont="1" applyBorder="1" applyAlignment="1">
      <alignment horizontal="center" vertical="center"/>
    </xf>
    <xf numFmtId="0" fontId="0" fillId="0" borderId="33" xfId="0" applyNumberFormat="1" applyFont="1" applyBorder="1" applyAlignment="1">
      <alignment horizontal="center" vertical="center"/>
    </xf>
    <xf numFmtId="0" fontId="0" fillId="0" borderId="21" xfId="0" applyNumberFormat="1" applyFont="1" applyBorder="1" applyAlignment="1">
      <alignment horizontal="center" vertical="center"/>
    </xf>
    <xf numFmtId="0" fontId="0" fillId="0" borderId="14" xfId="0" applyNumberFormat="1" applyFont="1" applyBorder="1" applyAlignment="1">
      <alignment horizontal="center" vertical="center"/>
    </xf>
    <xf numFmtId="0" fontId="0" fillId="0" borderId="17" xfId="0" applyNumberFormat="1" applyFont="1" applyBorder="1" applyAlignment="1">
      <alignment horizontal="center" vertical="center"/>
    </xf>
    <xf numFmtId="169" fontId="6" fillId="0" borderId="40" xfId="0" applyNumberFormat="1" applyFont="1" applyFill="1" applyBorder="1" applyAlignment="1" applyProtection="1">
      <alignment horizontal="center" vertical="center"/>
      <protection locked="0"/>
    </xf>
    <xf numFmtId="0" fontId="22" fillId="0" borderId="42" xfId="0" applyFont="1" applyFill="1" applyBorder="1" applyAlignment="1" applyProtection="1">
      <alignment horizontal="center" vertical="center"/>
      <protection locked="0"/>
    </xf>
    <xf numFmtId="0" fontId="22" fillId="0" borderId="14" xfId="0" applyFont="1" applyFill="1" applyBorder="1" applyAlignment="1" applyProtection="1">
      <alignment horizontal="center" vertical="center"/>
      <protection locked="0"/>
    </xf>
    <xf numFmtId="4" fontId="4" fillId="0" borderId="51" xfId="0" applyNumberFormat="1" applyFont="1" applyFill="1" applyBorder="1" applyAlignment="1" applyProtection="1">
      <alignment horizontal="center" vertical="center"/>
      <protection locked="0"/>
    </xf>
    <xf numFmtId="169" fontId="4" fillId="0" borderId="8" xfId="0" applyNumberFormat="1" applyFont="1" applyFill="1" applyBorder="1" applyAlignment="1" applyProtection="1">
      <alignment horizontal="center" vertical="center"/>
      <protection locked="0"/>
    </xf>
    <xf numFmtId="4" fontId="9" fillId="0" borderId="8" xfId="0" applyNumberFormat="1" applyFont="1" applyFill="1" applyBorder="1" applyAlignment="1" applyProtection="1">
      <alignment horizontal="center" vertical="center"/>
      <protection locked="0"/>
    </xf>
    <xf numFmtId="4" fontId="6" fillId="0" borderId="47" xfId="0" applyNumberFormat="1" applyFont="1" applyFill="1" applyBorder="1" applyAlignment="1" applyProtection="1">
      <alignment horizontal="center" vertical="center"/>
      <protection locked="0"/>
    </xf>
    <xf numFmtId="169" fontId="6" fillId="0" borderId="8" xfId="0" applyNumberFormat="1" applyFont="1" applyFill="1" applyBorder="1" applyAlignment="1" applyProtection="1">
      <alignment horizontal="center" vertical="center"/>
      <protection locked="0"/>
    </xf>
    <xf numFmtId="4" fontId="6" fillId="0" borderId="8" xfId="0" applyNumberFormat="1" applyFont="1" applyFill="1" applyBorder="1" applyAlignment="1" applyProtection="1">
      <alignment horizontal="center" vertical="center"/>
      <protection locked="0"/>
    </xf>
    <xf numFmtId="4" fontId="6" fillId="0" borderId="85" xfId="0" applyNumberFormat="1" applyFont="1" applyFill="1" applyBorder="1" applyAlignment="1" applyProtection="1">
      <alignment horizontal="center" vertical="center"/>
      <protection locked="0"/>
    </xf>
    <xf numFmtId="0" fontId="22" fillId="0" borderId="47" xfId="0" applyFont="1" applyFill="1" applyBorder="1" applyAlignment="1" applyProtection="1">
      <alignment horizontal="center" vertical="center"/>
      <protection locked="0"/>
    </xf>
    <xf numFmtId="0" fontId="22" fillId="0" borderId="8" xfId="0" applyFont="1" applyFill="1" applyBorder="1" applyAlignment="1" applyProtection="1">
      <alignment horizontal="center" vertical="center"/>
      <protection locked="0"/>
    </xf>
    <xf numFmtId="0" fontId="22" fillId="0" borderId="21" xfId="0" applyFont="1" applyFill="1" applyBorder="1" applyAlignment="1" applyProtection="1">
      <alignment horizontal="center" vertical="center"/>
      <protection locked="0"/>
    </xf>
    <xf numFmtId="169" fontId="6" fillId="0" borderId="34" xfId="0" applyNumberFormat="1" applyFont="1" applyFill="1" applyBorder="1" applyAlignment="1" applyProtection="1">
      <alignment horizontal="center" vertical="center"/>
      <protection locked="0"/>
    </xf>
    <xf numFmtId="0" fontId="22" fillId="0" borderId="32" xfId="0" applyFont="1" applyFill="1" applyBorder="1" applyAlignment="1" applyProtection="1">
      <alignment horizontal="center" vertical="center"/>
      <protection locked="0"/>
    </xf>
    <xf numFmtId="0" fontId="22" fillId="0" borderId="17" xfId="0" applyFont="1" applyFill="1" applyBorder="1" applyAlignment="1" applyProtection="1">
      <alignment horizontal="center" vertical="center"/>
      <protection locked="0"/>
    </xf>
    <xf numFmtId="0" fontId="22" fillId="0" borderId="41" xfId="0" applyFont="1" applyFill="1" applyBorder="1" applyAlignment="1" applyProtection="1">
      <alignment horizontal="left" vertical="center"/>
      <protection locked="0"/>
    </xf>
    <xf numFmtId="4" fontId="4" fillId="0" borderId="13" xfId="0" applyNumberFormat="1" applyFont="1" applyFill="1" applyBorder="1" applyAlignment="1">
      <alignment vertical="center"/>
    </xf>
    <xf numFmtId="4" fontId="9" fillId="0" borderId="34" xfId="0" applyNumberFormat="1" applyFont="1" applyFill="1" applyBorder="1" applyAlignment="1">
      <alignment vertical="center"/>
    </xf>
    <xf numFmtId="4" fontId="6" fillId="0" borderId="32" xfId="0" applyNumberFormat="1" applyFont="1" applyFill="1" applyBorder="1" applyAlignment="1">
      <alignment vertical="center"/>
    </xf>
    <xf numFmtId="4" fontId="6" fillId="0" borderId="34" xfId="0" applyNumberFormat="1" applyFont="1" applyFill="1" applyBorder="1" applyAlignment="1">
      <alignment vertical="center"/>
    </xf>
    <xf numFmtId="4" fontId="4" fillId="0" borderId="32" xfId="0" applyNumberFormat="1" applyFont="1" applyFill="1" applyBorder="1" applyAlignment="1">
      <alignment vertical="center"/>
    </xf>
    <xf numFmtId="4" fontId="9" fillId="0" borderId="11" xfId="0" applyNumberFormat="1" applyFont="1" applyFill="1" applyBorder="1" applyAlignment="1">
      <alignment vertical="center"/>
    </xf>
    <xf numFmtId="4" fontId="6" fillId="0" borderId="15" xfId="0" applyNumberFormat="1" applyFont="1" applyFill="1" applyBorder="1" applyAlignment="1">
      <alignment vertical="center"/>
    </xf>
    <xf numFmtId="4" fontId="6" fillId="0" borderId="11" xfId="0" applyNumberFormat="1" applyFont="1" applyFill="1" applyBorder="1" applyAlignment="1">
      <alignment vertical="center"/>
    </xf>
    <xf numFmtId="4" fontId="4" fillId="0" borderId="11" xfId="0" applyNumberFormat="1" applyFont="1" applyFill="1" applyBorder="1" applyAlignment="1">
      <alignment vertical="center"/>
    </xf>
    <xf numFmtId="4" fontId="9" fillId="0" borderId="40" xfId="0" applyNumberFormat="1" applyFont="1" applyFill="1" applyBorder="1" applyAlignment="1">
      <alignment vertical="center"/>
    </xf>
    <xf numFmtId="169" fontId="6" fillId="0" borderId="40" xfId="0" applyNumberFormat="1" applyFont="1" applyFill="1" applyBorder="1" applyAlignment="1">
      <alignment horizontal="center" vertical="center"/>
    </xf>
    <xf numFmtId="4" fontId="4" fillId="0" borderId="42" xfId="0" applyNumberFormat="1" applyFont="1" applyFill="1" applyBorder="1" applyAlignment="1">
      <alignment vertical="center"/>
    </xf>
    <xf numFmtId="4" fontId="6" fillId="0" borderId="49" xfId="0" applyNumberFormat="1" applyFont="1" applyFill="1" applyBorder="1" applyAlignment="1">
      <alignment vertical="center"/>
    </xf>
    <xf numFmtId="4" fontId="4" fillId="0" borderId="51" xfId="0" applyNumberFormat="1" applyFont="1" applyFill="1" applyBorder="1" applyAlignment="1">
      <alignment horizontal="center" vertical="center"/>
    </xf>
    <xf numFmtId="169" fontId="4" fillId="0" borderId="8" xfId="0" applyNumberFormat="1" applyFont="1" applyFill="1" applyBorder="1" applyAlignment="1">
      <alignment horizontal="center" vertical="center"/>
    </xf>
    <xf numFmtId="4" fontId="9" fillId="0" borderId="8" xfId="0" applyNumberFormat="1" applyFont="1" applyFill="1" applyBorder="1" applyAlignment="1">
      <alignment vertical="center"/>
    </xf>
    <xf numFmtId="4" fontId="9" fillId="0" borderId="21" xfId="0" applyNumberFormat="1" applyFont="1" applyFill="1" applyBorder="1" applyAlignment="1">
      <alignment horizontal="center" vertical="center"/>
    </xf>
    <xf numFmtId="4" fontId="6" fillId="0" borderId="47" xfId="0" applyNumberFormat="1" applyFont="1" applyFill="1" applyBorder="1" applyAlignment="1">
      <alignment vertical="center"/>
    </xf>
    <xf numFmtId="169" fontId="6" fillId="0" borderId="8" xfId="0" applyNumberFormat="1" applyFont="1" applyFill="1" applyBorder="1" applyAlignment="1">
      <alignment horizontal="center" vertical="center"/>
    </xf>
    <xf numFmtId="4" fontId="6" fillId="0" borderId="8" xfId="0" applyNumberFormat="1" applyFont="1" applyFill="1" applyBorder="1" applyAlignment="1">
      <alignment vertical="center"/>
    </xf>
    <xf numFmtId="4" fontId="6" fillId="0" borderId="8" xfId="0" applyNumberFormat="1" applyFont="1" applyFill="1" applyBorder="1" applyAlignment="1">
      <alignment horizontal="center" vertical="center"/>
    </xf>
    <xf numFmtId="4" fontId="6" fillId="0" borderId="85" xfId="0" applyNumberFormat="1" applyFont="1" applyFill="1" applyBorder="1" applyAlignment="1">
      <alignment horizontal="center" vertical="center"/>
    </xf>
    <xf numFmtId="4" fontId="4" fillId="0" borderId="47" xfId="0" applyNumberFormat="1" applyFont="1" applyFill="1" applyBorder="1" applyAlignment="1">
      <alignment vertical="center"/>
    </xf>
    <xf numFmtId="4" fontId="9" fillId="0" borderId="8" xfId="0" applyNumberFormat="1" applyFont="1" applyFill="1" applyBorder="1" applyAlignment="1">
      <alignment horizontal="center" vertical="center"/>
    </xf>
    <xf numFmtId="4" fontId="4" fillId="0" borderId="47" xfId="0" applyNumberFormat="1" applyFont="1" applyFill="1" applyBorder="1" applyAlignment="1">
      <alignment horizontal="center" vertical="center"/>
    </xf>
    <xf numFmtId="49" fontId="83" fillId="0" borderId="4" xfId="0" applyNumberFormat="1" applyFont="1" applyFill="1" applyBorder="1" applyAlignment="1" applyProtection="1">
      <alignment horizontal="center" vertical="center"/>
      <protection locked="0"/>
    </xf>
    <xf numFmtId="164" fontId="82" fillId="0" borderId="4" xfId="0" applyNumberFormat="1" applyFont="1" applyFill="1" applyBorder="1" applyAlignment="1" applyProtection="1">
      <alignment horizontal="center" vertical="center" wrapText="1"/>
      <protection locked="0"/>
    </xf>
    <xf numFmtId="0" fontId="79" fillId="0" borderId="4" xfId="0" applyNumberFormat="1" applyFont="1" applyFill="1" applyBorder="1" applyAlignment="1" applyProtection="1">
      <alignment horizontal="center" vertical="center"/>
      <protection locked="0"/>
    </xf>
    <xf numFmtId="0" fontId="84" fillId="0" borderId="4" xfId="0" applyNumberFormat="1" applyFont="1" applyFill="1" applyBorder="1" applyAlignment="1" applyProtection="1">
      <alignment horizontal="center" vertical="center"/>
      <protection locked="0"/>
    </xf>
    <xf numFmtId="171" fontId="33" fillId="4" borderId="4" xfId="0" applyNumberFormat="1" applyFont="1" applyFill="1" applyBorder="1" applyAlignment="1">
      <alignment horizontal="center" vertical="center"/>
    </xf>
    <xf numFmtId="4" fontId="6" fillId="0" borderId="15" xfId="0" applyNumberFormat="1" applyFont="1" applyFill="1" applyBorder="1" applyAlignment="1" applyProtection="1">
      <alignment vertical="center"/>
      <protection locked="0"/>
    </xf>
    <xf numFmtId="4" fontId="6" fillId="0" borderId="11" xfId="0" applyNumberFormat="1" applyFont="1" applyFill="1" applyBorder="1" applyAlignment="1" applyProtection="1">
      <alignment vertical="center"/>
      <protection locked="0"/>
    </xf>
    <xf numFmtId="4" fontId="9" fillId="0" borderId="34" xfId="0" applyNumberFormat="1" applyFont="1" applyFill="1" applyBorder="1" applyAlignment="1" applyProtection="1">
      <alignment vertical="center"/>
      <protection locked="0"/>
    </xf>
    <xf numFmtId="4" fontId="6" fillId="0" borderId="32" xfId="0" applyNumberFormat="1" applyFont="1" applyFill="1" applyBorder="1" applyAlignment="1" applyProtection="1">
      <alignment vertical="center"/>
      <protection locked="0"/>
    </xf>
    <xf numFmtId="4" fontId="6" fillId="0" borderId="34" xfId="0" applyNumberFormat="1" applyFont="1" applyFill="1" applyBorder="1" applyAlignment="1" applyProtection="1">
      <alignment vertical="center"/>
      <protection locked="0"/>
    </xf>
    <xf numFmtId="4" fontId="4" fillId="0" borderId="34" xfId="0" applyNumberFormat="1" applyFont="1" applyFill="1" applyBorder="1" applyAlignment="1" applyProtection="1">
      <alignment vertical="center"/>
      <protection locked="0"/>
    </xf>
    <xf numFmtId="4" fontId="9" fillId="0" borderId="11" xfId="0" applyNumberFormat="1" applyFont="1" applyFill="1" applyBorder="1" applyAlignment="1" applyProtection="1">
      <alignment vertical="center"/>
      <protection locked="0"/>
    </xf>
    <xf numFmtId="4" fontId="4" fillId="0" borderId="11" xfId="0" applyNumberFormat="1" applyFont="1" applyFill="1" applyBorder="1" applyAlignment="1" applyProtection="1">
      <alignment vertical="center"/>
      <protection locked="0"/>
    </xf>
    <xf numFmtId="171" fontId="85" fillId="4" borderId="4" xfId="0" applyNumberFormat="1" applyFont="1" applyFill="1" applyBorder="1" applyAlignment="1">
      <alignment horizontal="center" vertical="center"/>
    </xf>
    <xf numFmtId="0" fontId="86" fillId="0" borderId="4" xfId="0" applyFont="1" applyFill="1" applyBorder="1" applyAlignment="1">
      <alignment horizontal="center" vertical="center"/>
    </xf>
    <xf numFmtId="171" fontId="33" fillId="9" borderId="26" xfId="0" applyNumberFormat="1" applyFont="1" applyFill="1" applyBorder="1" applyAlignment="1">
      <alignment horizontal="center" vertical="center"/>
    </xf>
    <xf numFmtId="0" fontId="87" fillId="11" borderId="4" xfId="0" applyNumberFormat="1" applyFont="1" applyFill="1" applyBorder="1" applyAlignment="1">
      <alignment horizontal="center" vertical="center"/>
    </xf>
    <xf numFmtId="170" fontId="88" fillId="0" borderId="4" xfId="0" applyNumberFormat="1" applyFont="1" applyFill="1" applyBorder="1" applyAlignment="1">
      <alignment horizontal="center" vertical="center" wrapText="1"/>
    </xf>
    <xf numFmtId="0" fontId="89" fillId="0" borderId="4" xfId="0" applyFont="1" applyFill="1" applyBorder="1" applyAlignment="1">
      <alignment horizontal="center" vertical="center"/>
    </xf>
    <xf numFmtId="0" fontId="90" fillId="0" borderId="4" xfId="0" applyNumberFormat="1" applyFont="1" applyFill="1" applyBorder="1" applyAlignment="1">
      <alignment horizontal="center" vertical="center"/>
    </xf>
    <xf numFmtId="49" fontId="91" fillId="0" borderId="4" xfId="0" applyNumberFormat="1" applyFont="1" applyFill="1" applyBorder="1" applyAlignment="1">
      <alignment horizontal="center" vertical="center"/>
    </xf>
    <xf numFmtId="49" fontId="91" fillId="0" borderId="4" xfId="0" applyNumberFormat="1" applyFont="1" applyFill="1" applyBorder="1" applyAlignment="1">
      <alignment horizontal="center" vertical="center" wrapText="1"/>
    </xf>
    <xf numFmtId="49" fontId="89" fillId="0" borderId="4" xfId="0" applyNumberFormat="1" applyFont="1" applyFill="1" applyBorder="1" applyAlignment="1">
      <alignment horizontal="center" vertical="center" wrapText="1"/>
    </xf>
    <xf numFmtId="164" fontId="89" fillId="0" borderId="4" xfId="0" applyNumberFormat="1" applyFont="1" applyFill="1" applyBorder="1" applyAlignment="1" applyProtection="1">
      <alignment horizontal="center" vertical="center" wrapText="1"/>
      <protection locked="0"/>
    </xf>
    <xf numFmtId="164" fontId="89" fillId="0" borderId="4" xfId="0" applyNumberFormat="1" applyFont="1" applyFill="1" applyBorder="1" applyAlignment="1">
      <alignment horizontal="center" vertical="center" wrapText="1"/>
    </xf>
    <xf numFmtId="2" fontId="89" fillId="0" borderId="4" xfId="0" applyNumberFormat="1" applyFont="1" applyFill="1" applyBorder="1" applyAlignment="1">
      <alignment horizontal="center" vertical="center" wrapText="1"/>
    </xf>
    <xf numFmtId="0" fontId="92" fillId="0" borderId="4" xfId="0" applyFont="1" applyFill="1" applyBorder="1" applyAlignment="1">
      <alignment horizontal="center" vertical="center"/>
    </xf>
    <xf numFmtId="0" fontId="54" fillId="0" borderId="4" xfId="2" applyNumberFormat="1" applyFont="1" applyFill="1" applyBorder="1" applyAlignment="1" applyProtection="1">
      <alignment horizontal="center" vertical="center"/>
      <protection locked="0"/>
    </xf>
    <xf numFmtId="0" fontId="92" fillId="0" borderId="4" xfId="2" applyFont="1" applyFill="1" applyBorder="1" applyAlignment="1">
      <alignment horizontal="center" vertical="center"/>
    </xf>
    <xf numFmtId="0" fontId="54" fillId="0" borderId="0" xfId="0" applyFont="1"/>
    <xf numFmtId="0" fontId="54" fillId="4" borderId="4" xfId="0" applyFont="1" applyFill="1" applyBorder="1" applyAlignment="1">
      <alignment horizontal="center"/>
    </xf>
    <xf numFmtId="0" fontId="54" fillId="4" borderId="4" xfId="0" applyFont="1" applyFill="1" applyBorder="1"/>
    <xf numFmtId="0" fontId="93" fillId="0" borderId="4" xfId="0" applyFont="1" applyFill="1" applyBorder="1" applyAlignment="1">
      <alignment horizontal="center" vertical="center"/>
    </xf>
    <xf numFmtId="0" fontId="92" fillId="0" borderId="4" xfId="0" applyFont="1" applyFill="1" applyBorder="1" applyAlignment="1">
      <alignment horizontal="center" vertical="center" wrapText="1"/>
    </xf>
    <xf numFmtId="0" fontId="92" fillId="0" borderId="4" xfId="0" applyNumberFormat="1" applyFont="1" applyFill="1" applyBorder="1" applyAlignment="1">
      <alignment horizontal="center" vertical="center" wrapText="1"/>
    </xf>
    <xf numFmtId="0" fontId="54" fillId="0" borderId="4" xfId="0" applyFont="1" applyFill="1" applyBorder="1" applyAlignment="1">
      <alignment horizontal="center" vertical="center"/>
    </xf>
    <xf numFmtId="49" fontId="95" fillId="0" borderId="4" xfId="0" applyNumberFormat="1" applyFont="1" applyFill="1" applyBorder="1" applyAlignment="1" applyProtection="1">
      <alignment horizontal="center" vertical="center"/>
      <protection locked="0"/>
    </xf>
    <xf numFmtId="164" fontId="94" fillId="0" borderId="4" xfId="0" applyNumberFormat="1" applyFont="1" applyFill="1" applyBorder="1" applyAlignment="1" applyProtection="1">
      <alignment horizontal="center" vertical="center" wrapText="1"/>
      <protection locked="0"/>
    </xf>
    <xf numFmtId="1" fontId="94" fillId="4" borderId="4" xfId="0" applyNumberFormat="1" applyFont="1" applyFill="1" applyBorder="1" applyAlignment="1" applyProtection="1">
      <alignment horizontal="center" vertical="center" wrapText="1"/>
      <protection hidden="1"/>
    </xf>
    <xf numFmtId="0" fontId="96" fillId="0" borderId="4" xfId="2" applyNumberFormat="1" applyFont="1" applyFill="1" applyBorder="1" applyAlignment="1" applyProtection="1">
      <alignment horizontal="center" vertical="center"/>
      <protection locked="0"/>
    </xf>
    <xf numFmtId="0" fontId="0" fillId="0" borderId="43" xfId="0" applyNumberFormat="1" applyFont="1" applyBorder="1" applyAlignment="1">
      <alignment horizontal="center" vertical="center"/>
    </xf>
    <xf numFmtId="0" fontId="0" fillId="0" borderId="33" xfId="0" applyNumberFormat="1" applyFont="1" applyBorder="1" applyAlignment="1">
      <alignment horizontal="center" vertical="center"/>
    </xf>
    <xf numFmtId="0" fontId="0" fillId="0" borderId="14" xfId="0" applyNumberFormat="1" applyFont="1" applyBorder="1" applyAlignment="1">
      <alignment horizontal="center" vertical="center"/>
    </xf>
    <xf numFmtId="0" fontId="0" fillId="0" borderId="17" xfId="0" applyNumberFormat="1" applyFont="1" applyBorder="1" applyAlignment="1">
      <alignment horizontal="center" vertical="center"/>
    </xf>
    <xf numFmtId="4" fontId="4" fillId="0" borderId="34" xfId="0" applyNumberFormat="1" applyFont="1" applyFill="1" applyBorder="1" applyAlignment="1">
      <alignment vertical="center"/>
    </xf>
    <xf numFmtId="4" fontId="9" fillId="0" borderId="73" xfId="0" applyNumberFormat="1" applyFont="1" applyFill="1" applyBorder="1" applyAlignment="1" applyProtection="1">
      <alignment vertical="center"/>
      <protection locked="0"/>
    </xf>
    <xf numFmtId="4" fontId="4" fillId="0" borderId="40" xfId="0" applyNumberFormat="1" applyFont="1" applyFill="1" applyBorder="1" applyAlignment="1" applyProtection="1">
      <alignment vertical="center"/>
      <protection locked="0"/>
    </xf>
    <xf numFmtId="4" fontId="9" fillId="0" borderId="53" xfId="0" applyNumberFormat="1" applyFont="1" applyFill="1" applyBorder="1" applyAlignment="1" applyProtection="1">
      <alignment horizontal="center" vertical="center"/>
      <protection locked="0"/>
    </xf>
    <xf numFmtId="4" fontId="9" fillId="0" borderId="86" xfId="0" applyNumberFormat="1" applyFont="1" applyFill="1" applyBorder="1" applyAlignment="1" applyProtection="1">
      <alignment horizontal="center" vertical="center"/>
      <protection locked="0"/>
    </xf>
    <xf numFmtId="4" fontId="9" fillId="0" borderId="46" xfId="0" applyNumberFormat="1" applyFont="1" applyFill="1" applyBorder="1" applyAlignment="1" applyProtection="1">
      <alignment horizontal="center" vertical="center"/>
      <protection locked="0"/>
    </xf>
    <xf numFmtId="2" fontId="9" fillId="0" borderId="17" xfId="0" applyNumberFormat="1" applyFont="1" applyFill="1" applyBorder="1" applyAlignment="1" applyProtection="1">
      <alignment horizontal="center" vertical="center"/>
      <protection locked="0"/>
    </xf>
    <xf numFmtId="4" fontId="9" fillId="0" borderId="40" xfId="0" applyNumberFormat="1" applyFont="1" applyFill="1" applyBorder="1" applyAlignment="1" applyProtection="1">
      <alignment vertical="center"/>
      <protection locked="0"/>
    </xf>
    <xf numFmtId="0" fontId="0" fillId="8" borderId="87" xfId="0" applyFill="1" applyBorder="1" applyAlignment="1">
      <alignment horizontal="center"/>
    </xf>
    <xf numFmtId="0" fontId="0" fillId="0" borderId="0" xfId="0" applyAlignment="1">
      <alignment horizontal="center"/>
    </xf>
    <xf numFmtId="0" fontId="53" fillId="0" borderId="0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0" fillId="0" borderId="0" xfId="0" applyFill="1" applyAlignment="1">
      <alignment horizontal="center" vertical="center"/>
    </xf>
    <xf numFmtId="0" fontId="73" fillId="0" borderId="0" xfId="0" applyFont="1" applyFill="1"/>
    <xf numFmtId="164" fontId="97" fillId="0" borderId="0" xfId="0" applyNumberFormat="1" applyFont="1" applyFill="1"/>
    <xf numFmtId="20" fontId="0" fillId="0" borderId="4" xfId="0" applyNumberFormat="1" applyBorder="1"/>
    <xf numFmtId="21" fontId="0" fillId="0" borderId="4" xfId="0" applyNumberFormat="1" applyBorder="1"/>
    <xf numFmtId="0" fontId="98" fillId="0" borderId="4" xfId="0" applyFont="1" applyBorder="1" applyAlignment="1">
      <alignment horizontal="center" vertical="center" wrapText="1"/>
    </xf>
    <xf numFmtId="9" fontId="98" fillId="0" borderId="4" xfId="0" applyNumberFormat="1" applyFont="1" applyBorder="1" applyAlignment="1">
      <alignment horizontal="center" vertical="center" wrapText="1"/>
    </xf>
    <xf numFmtId="1" fontId="98" fillId="0" borderId="4" xfId="0" applyNumberFormat="1" applyFont="1" applyBorder="1" applyAlignment="1">
      <alignment horizontal="center" vertical="center" wrapText="1"/>
    </xf>
    <xf numFmtId="0" fontId="65" fillId="0" borderId="4" xfId="0" applyFont="1" applyBorder="1" applyAlignment="1">
      <alignment horizontal="center" vertical="center"/>
    </xf>
    <xf numFmtId="2" fontId="98" fillId="0" borderId="4" xfId="0" applyNumberFormat="1" applyFont="1" applyBorder="1" applyAlignment="1">
      <alignment horizontal="center" vertical="center" wrapText="1"/>
    </xf>
    <xf numFmtId="0" fontId="99" fillId="0" borderId="0" xfId="0" applyFont="1" applyFill="1" applyBorder="1" applyAlignment="1">
      <alignment horizontal="center" vertical="center"/>
    </xf>
    <xf numFmtId="0" fontId="92" fillId="0" borderId="84" xfId="0" applyNumberFormat="1" applyFont="1" applyFill="1" applyBorder="1" applyAlignment="1">
      <alignment horizontal="center" vertical="center" wrapText="1"/>
    </xf>
    <xf numFmtId="0" fontId="0" fillId="8" borderId="88" xfId="0" applyFill="1" applyBorder="1" applyAlignment="1">
      <alignment horizontal="center"/>
    </xf>
    <xf numFmtId="0" fontId="92" fillId="9" borderId="4" xfId="0" applyFont="1" applyFill="1" applyBorder="1" applyAlignment="1">
      <alignment horizontal="left" wrapText="1"/>
    </xf>
    <xf numFmtId="0" fontId="2" fillId="9" borderId="4" xfId="0" applyFont="1" applyFill="1" applyBorder="1" applyAlignment="1">
      <alignment horizontal="left" wrapText="1"/>
    </xf>
    <xf numFmtId="0" fontId="0" fillId="4" borderId="4" xfId="0" applyFill="1" applyBorder="1" applyAlignment="1">
      <alignment horizontal="center"/>
    </xf>
    <xf numFmtId="0" fontId="76" fillId="4" borderId="4" xfId="0" applyFont="1" applyFill="1" applyBorder="1" applyAlignment="1">
      <alignment horizontal="center"/>
    </xf>
    <xf numFmtId="2" fontId="100" fillId="0" borderId="0" xfId="0" applyNumberFormat="1" applyFont="1" applyAlignment="1">
      <alignment horizontal="center"/>
    </xf>
    <xf numFmtId="2" fontId="101" fillId="0" borderId="0" xfId="0" applyNumberFormat="1" applyFont="1"/>
    <xf numFmtId="2" fontId="100" fillId="0" borderId="0" xfId="0" applyNumberFormat="1" applyFont="1" applyAlignment="1">
      <alignment horizontal="center" vertical="center"/>
    </xf>
    <xf numFmtId="2" fontId="101" fillId="0" borderId="0" xfId="0" applyNumberFormat="1" applyFont="1" applyAlignment="1">
      <alignment horizontal="left" vertical="center"/>
    </xf>
    <xf numFmtId="2" fontId="101" fillId="0" borderId="0" xfId="0" applyNumberFormat="1" applyFont="1" applyAlignment="1">
      <alignment vertical="center"/>
    </xf>
    <xf numFmtId="2" fontId="102" fillId="0" borderId="0" xfId="0" applyNumberFormat="1" applyFont="1" applyAlignment="1" applyProtection="1">
      <alignment horizontal="center"/>
      <protection locked="0"/>
    </xf>
    <xf numFmtId="2" fontId="102" fillId="0" borderId="0" xfId="0" applyNumberFormat="1" applyFont="1" applyProtection="1">
      <protection locked="0"/>
    </xf>
    <xf numFmtId="2" fontId="102" fillId="0" borderId="0" xfId="0" applyNumberFormat="1" applyFont="1" applyAlignment="1" applyProtection="1">
      <alignment horizontal="center" vertical="center"/>
      <protection locked="0"/>
    </xf>
    <xf numFmtId="2" fontId="102" fillId="0" borderId="0" xfId="0" applyNumberFormat="1" applyFont="1" applyAlignment="1" applyProtection="1">
      <alignment horizontal="left" vertical="center"/>
      <protection locked="0"/>
    </xf>
    <xf numFmtId="2" fontId="102" fillId="0" borderId="0" xfId="0" applyNumberFormat="1" applyFont="1" applyAlignment="1" applyProtection="1">
      <alignment vertical="center"/>
      <protection locked="0"/>
    </xf>
    <xf numFmtId="2" fontId="1" fillId="0" borderId="4" xfId="0" applyNumberFormat="1" applyFont="1" applyFill="1" applyBorder="1" applyAlignment="1">
      <alignment horizontal="center" vertical="center" wrapText="1"/>
    </xf>
    <xf numFmtId="2" fontId="1" fillId="0" borderId="10" xfId="0" applyNumberFormat="1" applyFont="1" applyFill="1" applyBorder="1" applyAlignment="1">
      <alignment horizontal="center" vertical="center" wrapText="1"/>
    </xf>
    <xf numFmtId="0" fontId="34" fillId="4" borderId="0" xfId="0" applyFont="1" applyFill="1" applyAlignment="1">
      <alignment horizontal="center" vertical="center" textRotation="90" wrapText="1"/>
    </xf>
    <xf numFmtId="0" fontId="99" fillId="2" borderId="0" xfId="0" applyFont="1" applyFill="1" applyBorder="1" applyAlignment="1">
      <alignment horizontal="center" vertical="center" textRotation="90"/>
    </xf>
    <xf numFmtId="0" fontId="103" fillId="0" borderId="0" xfId="0" applyFont="1" applyFill="1"/>
    <xf numFmtId="49" fontId="16" fillId="8" borderId="0" xfId="0" applyNumberFormat="1" applyFont="1" applyFill="1" applyAlignment="1">
      <alignment horizontal="center" vertical="center"/>
    </xf>
    <xf numFmtId="0" fontId="104" fillId="0" borderId="4" xfId="0" applyNumberFormat="1" applyFont="1" applyFill="1" applyBorder="1" applyAlignment="1">
      <alignment horizontal="center" vertical="center" wrapText="1"/>
    </xf>
    <xf numFmtId="0" fontId="54" fillId="0" borderId="4" xfId="0" applyNumberFormat="1" applyFont="1" applyFill="1" applyBorder="1" applyAlignment="1">
      <alignment horizontal="center" vertical="center" wrapText="1"/>
    </xf>
    <xf numFmtId="0" fontId="92" fillId="0" borderId="4" xfId="0" applyFont="1" applyFill="1" applyBorder="1" applyAlignment="1">
      <alignment horizontal="center" wrapText="1"/>
    </xf>
    <xf numFmtId="0" fontId="0" fillId="0" borderId="43" xfId="0" applyNumberFormat="1" applyFont="1" applyBorder="1" applyAlignment="1">
      <alignment horizontal="center" vertical="center"/>
    </xf>
    <xf numFmtId="0" fontId="0" fillId="0" borderId="33" xfId="0" applyNumberFormat="1" applyFont="1" applyBorder="1" applyAlignment="1">
      <alignment horizontal="center" vertical="center"/>
    </xf>
    <xf numFmtId="0" fontId="0" fillId="0" borderId="14" xfId="0" applyNumberFormat="1" applyFont="1" applyBorder="1" applyAlignment="1">
      <alignment horizontal="center" vertical="center"/>
    </xf>
    <xf numFmtId="0" fontId="0" fillId="0" borderId="17" xfId="0" applyNumberFormat="1" applyFont="1" applyBorder="1" applyAlignment="1">
      <alignment horizontal="center" vertical="center"/>
    </xf>
    <xf numFmtId="49" fontId="106" fillId="0" borderId="4" xfId="0" applyNumberFormat="1" applyFont="1" applyFill="1" applyBorder="1" applyAlignment="1" applyProtection="1">
      <alignment horizontal="center" vertical="center"/>
      <protection locked="0"/>
    </xf>
    <xf numFmtId="49" fontId="107" fillId="0" borderId="4" xfId="0" applyNumberFormat="1" applyFont="1" applyFill="1" applyBorder="1" applyAlignment="1" applyProtection="1">
      <alignment horizontal="center" vertical="center" wrapText="1"/>
      <protection locked="0"/>
    </xf>
    <xf numFmtId="49" fontId="105" fillId="0" borderId="4" xfId="0" applyNumberFormat="1" applyFont="1" applyFill="1" applyBorder="1" applyAlignment="1" applyProtection="1">
      <alignment horizontal="center" vertical="center" wrapText="1"/>
      <protection locked="0"/>
    </xf>
    <xf numFmtId="164" fontId="105" fillId="0" borderId="4" xfId="0" applyNumberFormat="1" applyFont="1" applyFill="1" applyBorder="1" applyAlignment="1" applyProtection="1">
      <alignment horizontal="center" vertical="center" wrapText="1"/>
      <protection locked="0"/>
    </xf>
    <xf numFmtId="164" fontId="108" fillId="4" borderId="4" xfId="0" applyNumberFormat="1" applyFont="1" applyFill="1" applyBorder="1" applyAlignment="1" applyProtection="1">
      <alignment horizontal="center" vertical="center" wrapText="1"/>
      <protection hidden="1"/>
    </xf>
    <xf numFmtId="1" fontId="105" fillId="4" borderId="4" xfId="0" applyNumberFormat="1" applyFont="1" applyFill="1" applyBorder="1" applyAlignment="1" applyProtection="1">
      <alignment horizontal="center" vertical="center" wrapText="1"/>
      <protection hidden="1"/>
    </xf>
    <xf numFmtId="0" fontId="109" fillId="0" borderId="4" xfId="2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Alignment="1">
      <alignment horizontal="center" vertical="center"/>
    </xf>
    <xf numFmtId="2" fontId="34" fillId="0" borderId="0" xfId="0" applyNumberFormat="1" applyFont="1" applyFill="1" applyAlignment="1">
      <alignment horizontal="center" vertical="center"/>
    </xf>
    <xf numFmtId="0" fontId="110" fillId="0" borderId="0" xfId="0" applyFont="1" applyFill="1" applyBorder="1" applyAlignment="1" applyProtection="1">
      <alignment horizontal="center"/>
      <protection locked="0"/>
    </xf>
    <xf numFmtId="0" fontId="111" fillId="0" borderId="0" xfId="0" applyFont="1" applyFill="1" applyBorder="1" applyProtection="1">
      <protection locked="0"/>
    </xf>
    <xf numFmtId="0" fontId="110" fillId="0" borderId="0" xfId="0" applyFont="1" applyFill="1" applyBorder="1" applyAlignment="1" applyProtection="1">
      <alignment horizontal="center" vertical="center"/>
      <protection locked="0"/>
    </xf>
    <xf numFmtId="0" fontId="111" fillId="0" borderId="0" xfId="0" applyFont="1" applyFill="1" applyBorder="1" applyAlignment="1" applyProtection="1">
      <alignment horizontal="left" vertical="center"/>
      <protection locked="0"/>
    </xf>
    <xf numFmtId="0" fontId="111" fillId="0" borderId="0" xfId="0" applyFont="1" applyFill="1" applyBorder="1" applyAlignment="1" applyProtection="1">
      <alignment vertical="center"/>
      <protection locked="0"/>
    </xf>
    <xf numFmtId="164" fontId="34" fillId="0" borderId="0" xfId="0" applyNumberFormat="1" applyFont="1" applyFill="1" applyAlignment="1">
      <alignment horizontal="center" vertical="center"/>
    </xf>
    <xf numFmtId="1" fontId="34" fillId="0" borderId="0" xfId="0" applyNumberFormat="1" applyFont="1" applyFill="1" applyAlignment="1">
      <alignment horizontal="center" vertical="center"/>
    </xf>
    <xf numFmtId="1" fontId="14" fillId="0" borderId="0" xfId="0" applyNumberFormat="1" applyFont="1" applyFill="1" applyAlignment="1">
      <alignment horizontal="center"/>
    </xf>
    <xf numFmtId="0" fontId="111" fillId="0" borderId="0" xfId="0" applyFont="1" applyFill="1" applyBorder="1" applyAlignment="1">
      <alignment horizontal="left" vertical="center"/>
    </xf>
    <xf numFmtId="0" fontId="110" fillId="0" borderId="0" xfId="0" applyFont="1" applyBorder="1" applyAlignment="1">
      <alignment horizontal="center"/>
    </xf>
    <xf numFmtId="0" fontId="111" fillId="0" borderId="0" xfId="0" applyFont="1" applyBorder="1"/>
    <xf numFmtId="0" fontId="110" fillId="0" borderId="0" xfId="0" applyFont="1" applyFill="1" applyBorder="1" applyAlignment="1">
      <alignment horizontal="center" vertical="center"/>
    </xf>
    <xf numFmtId="0" fontId="111" fillId="0" borderId="0" xfId="0" applyFont="1" applyFill="1" applyBorder="1" applyAlignment="1">
      <alignment vertical="center"/>
    </xf>
    <xf numFmtId="0" fontId="0" fillId="0" borderId="43" xfId="0" applyNumberFormat="1" applyFont="1" applyBorder="1" applyAlignment="1">
      <alignment horizontal="center" vertical="center"/>
    </xf>
    <xf numFmtId="0" fontId="0" fillId="0" borderId="33" xfId="0" applyNumberFormat="1" applyFont="1" applyBorder="1" applyAlignment="1">
      <alignment horizontal="center" vertical="center"/>
    </xf>
    <xf numFmtId="0" fontId="0" fillId="0" borderId="14" xfId="0" applyNumberFormat="1" applyFont="1" applyBorder="1" applyAlignment="1">
      <alignment horizontal="center" vertical="center"/>
    </xf>
    <xf numFmtId="0" fontId="0" fillId="0" borderId="17" xfId="0" applyNumberFormat="1" applyFont="1" applyBorder="1" applyAlignment="1">
      <alignment horizontal="center" vertical="center"/>
    </xf>
    <xf numFmtId="0" fontId="112" fillId="0" borderId="28" xfId="0" applyFont="1" applyFill="1" applyBorder="1" applyAlignment="1" applyProtection="1">
      <alignment horizontal="center" vertical="center"/>
      <protection locked="0"/>
    </xf>
    <xf numFmtId="0" fontId="113" fillId="0" borderId="28" xfId="0" applyNumberFormat="1" applyFont="1" applyFill="1" applyBorder="1" applyAlignment="1" applyProtection="1">
      <alignment horizontal="center" vertical="center"/>
      <protection locked="0"/>
    </xf>
    <xf numFmtId="0" fontId="114" fillId="0" borderId="28" xfId="0" applyNumberFormat="1" applyFont="1" applyFill="1" applyBorder="1" applyAlignment="1" applyProtection="1">
      <alignment horizontal="center" vertical="center"/>
      <protection locked="0"/>
    </xf>
    <xf numFmtId="49" fontId="113" fillId="0" borderId="28" xfId="0" applyNumberFormat="1" applyFont="1" applyFill="1" applyBorder="1" applyAlignment="1" applyProtection="1">
      <alignment horizontal="center" vertical="center"/>
      <protection locked="0"/>
    </xf>
    <xf numFmtId="49" fontId="115" fillId="0" borderId="28" xfId="0" applyNumberFormat="1" applyFont="1" applyFill="1" applyBorder="1" applyAlignment="1" applyProtection="1">
      <alignment horizontal="center" vertical="center" wrapText="1"/>
      <protection locked="0"/>
    </xf>
    <xf numFmtId="0" fontId="116" fillId="0" borderId="28" xfId="0" applyNumberFormat="1" applyFont="1" applyFill="1" applyBorder="1" applyAlignment="1" applyProtection="1">
      <alignment horizontal="center" vertical="center"/>
      <protection locked="0"/>
    </xf>
    <xf numFmtId="164" fontId="112" fillId="0" borderId="28" xfId="0" applyNumberFormat="1" applyFont="1" applyFill="1" applyBorder="1" applyAlignment="1" applyProtection="1">
      <alignment horizontal="center" vertical="center" wrapText="1"/>
      <protection locked="0"/>
    </xf>
    <xf numFmtId="164" fontId="117" fillId="4" borderId="28" xfId="0" applyNumberFormat="1" applyFont="1" applyFill="1" applyBorder="1" applyAlignment="1" applyProtection="1">
      <alignment horizontal="center" vertical="center" wrapText="1"/>
      <protection hidden="1"/>
    </xf>
    <xf numFmtId="2" fontId="117" fillId="4" borderId="40" xfId="0" applyNumberFormat="1" applyFont="1" applyFill="1" applyBorder="1" applyAlignment="1" applyProtection="1">
      <alignment horizontal="center" vertical="center" wrapText="1"/>
      <protection hidden="1"/>
    </xf>
    <xf numFmtId="1" fontId="112" fillId="4" borderId="28" xfId="0" applyNumberFormat="1" applyFont="1" applyFill="1" applyBorder="1" applyAlignment="1" applyProtection="1">
      <alignment horizontal="center" vertical="center" wrapText="1"/>
      <protection hidden="1"/>
    </xf>
    <xf numFmtId="164" fontId="1" fillId="0" borderId="10" xfId="0" applyNumberFormat="1" applyFont="1" applyFill="1" applyBorder="1" applyAlignment="1">
      <alignment horizontal="center" vertical="center" wrapText="1"/>
    </xf>
    <xf numFmtId="17" fontId="0" fillId="0" borderId="0" xfId="0" applyNumberFormat="1" applyFill="1" applyAlignment="1">
      <alignment horizontal="center" vertical="center"/>
    </xf>
    <xf numFmtId="0" fontId="118" fillId="0" borderId="0" xfId="0" applyFont="1" applyFill="1" applyAlignment="1">
      <alignment horizontal="center" vertical="center"/>
    </xf>
    <xf numFmtId="49" fontId="118" fillId="0" borderId="0" xfId="0" applyNumberFormat="1" applyFont="1" applyFill="1" applyAlignment="1">
      <alignment horizontal="center" vertical="center"/>
    </xf>
    <xf numFmtId="0" fontId="118" fillId="0" borderId="0" xfId="0" applyFont="1" applyFill="1"/>
    <xf numFmtId="0" fontId="119" fillId="0" borderId="0" xfId="0" applyFont="1" applyFill="1"/>
    <xf numFmtId="164" fontId="14" fillId="0" borderId="4" xfId="0" applyNumberFormat="1" applyFont="1" applyFill="1" applyBorder="1" applyAlignment="1">
      <alignment horizontal="center" vertical="center"/>
    </xf>
    <xf numFmtId="0" fontId="22" fillId="0" borderId="45" xfId="0" applyFont="1" applyFill="1" applyBorder="1" applyAlignment="1" applyProtection="1">
      <alignment horizontal="center" vertical="center"/>
      <protection locked="0"/>
    </xf>
    <xf numFmtId="0" fontId="22" fillId="0" borderId="41" xfId="0" applyFont="1" applyFill="1" applyBorder="1" applyAlignment="1" applyProtection="1">
      <alignment horizontal="center" vertical="center"/>
      <protection locked="0"/>
    </xf>
    <xf numFmtId="0" fontId="22" fillId="0" borderId="46" xfId="0" applyFont="1" applyFill="1" applyBorder="1" applyAlignment="1" applyProtection="1">
      <alignment horizontal="center" vertical="center"/>
      <protection locked="0"/>
    </xf>
    <xf numFmtId="0" fontId="0" fillId="0" borderId="51" xfId="0" applyNumberFormat="1" applyFont="1" applyBorder="1" applyAlignment="1" applyProtection="1">
      <alignment horizontal="center" vertical="center"/>
      <protection locked="0"/>
    </xf>
    <xf numFmtId="0" fontId="0" fillId="0" borderId="43" xfId="0" applyNumberFormat="1" applyFont="1" applyBorder="1" applyAlignment="1" applyProtection="1">
      <alignment horizontal="center" vertical="center"/>
      <protection locked="0"/>
    </xf>
    <xf numFmtId="0" fontId="0" fillId="0" borderId="33" xfId="0" applyNumberFormat="1" applyFont="1" applyBorder="1" applyAlignment="1" applyProtection="1">
      <alignment horizontal="center" vertical="center"/>
      <protection locked="0"/>
    </xf>
    <xf numFmtId="0" fontId="0" fillId="0" borderId="21" xfId="0" applyNumberFormat="1" applyFont="1" applyBorder="1" applyAlignment="1" applyProtection="1">
      <alignment horizontal="center" vertical="center"/>
      <protection locked="0"/>
    </xf>
    <xf numFmtId="0" fontId="0" fillId="0" borderId="14" xfId="0" applyNumberFormat="1" applyFont="1" applyBorder="1" applyAlignment="1" applyProtection="1">
      <alignment horizontal="center" vertical="center"/>
      <protection locked="0"/>
    </xf>
    <xf numFmtId="0" fontId="0" fillId="0" borderId="17" xfId="0" applyNumberFormat="1" applyFont="1" applyBorder="1" applyAlignment="1" applyProtection="1">
      <alignment horizontal="center" vertical="center"/>
      <protection locked="0"/>
    </xf>
    <xf numFmtId="164" fontId="40" fillId="0" borderId="62" xfId="0" applyNumberFormat="1" applyFont="1" applyFill="1" applyBorder="1" applyAlignment="1" applyProtection="1">
      <alignment horizontal="center" vertical="center"/>
      <protection locked="0"/>
    </xf>
    <xf numFmtId="164" fontId="40" fillId="0" borderId="63" xfId="0" applyNumberFormat="1" applyFont="1" applyFill="1" applyBorder="1" applyAlignment="1" applyProtection="1">
      <alignment horizontal="center" vertical="center"/>
      <protection locked="0"/>
    </xf>
    <xf numFmtId="164" fontId="40" fillId="0" borderId="64" xfId="0" applyNumberFormat="1" applyFont="1" applyFill="1" applyBorder="1" applyAlignment="1" applyProtection="1">
      <alignment horizontal="center" vertical="center"/>
      <protection locked="0"/>
    </xf>
    <xf numFmtId="4" fontId="40" fillId="0" borderId="41" xfId="0" applyNumberFormat="1" applyFont="1" applyFill="1" applyBorder="1" applyAlignment="1" applyProtection="1">
      <alignment horizontal="center" vertical="center"/>
      <protection locked="0"/>
    </xf>
    <xf numFmtId="4" fontId="40" fillId="0" borderId="46" xfId="0" applyNumberFormat="1" applyFont="1" applyFill="1" applyBorder="1" applyAlignment="1" applyProtection="1">
      <alignment horizontal="center" vertical="center"/>
      <protection locked="0"/>
    </xf>
    <xf numFmtId="4" fontId="40" fillId="0" borderId="45" xfId="0" applyNumberFormat="1" applyFont="1" applyFill="1" applyBorder="1" applyAlignment="1" applyProtection="1">
      <alignment horizontal="center" vertical="center"/>
      <protection locked="0"/>
    </xf>
    <xf numFmtId="164" fontId="40" fillId="0" borderId="45" xfId="0" applyNumberFormat="1" applyFont="1" applyFill="1" applyBorder="1" applyAlignment="1" applyProtection="1">
      <alignment horizontal="center" vertical="center"/>
      <protection locked="0"/>
    </xf>
    <xf numFmtId="164" fontId="40" fillId="0" borderId="41" xfId="0" applyNumberFormat="1" applyFont="1" applyFill="1" applyBorder="1" applyAlignment="1" applyProtection="1">
      <alignment horizontal="center" vertical="center"/>
      <protection locked="0"/>
    </xf>
    <xf numFmtId="164" fontId="40" fillId="0" borderId="46" xfId="0" applyNumberFormat="1" applyFont="1" applyFill="1" applyBorder="1" applyAlignment="1" applyProtection="1">
      <alignment horizontal="center" vertical="center"/>
      <protection locked="0"/>
    </xf>
    <xf numFmtId="0" fontId="41" fillId="0" borderId="0" xfId="0" applyFont="1" applyBorder="1" applyAlignment="1" applyProtection="1">
      <alignment horizontal="center" vertical="center" wrapText="1"/>
      <protection locked="0"/>
    </xf>
    <xf numFmtId="0" fontId="21" fillId="0" borderId="58" xfId="0" applyFont="1" applyFill="1" applyBorder="1" applyAlignment="1" applyProtection="1">
      <alignment horizontal="center" vertical="center"/>
      <protection locked="0"/>
    </xf>
    <xf numFmtId="0" fontId="21" fillId="0" borderId="81" xfId="0" applyFont="1" applyFill="1" applyBorder="1" applyAlignment="1" applyProtection="1">
      <alignment horizontal="center" vertical="center"/>
      <protection locked="0"/>
    </xf>
    <xf numFmtId="0" fontId="22" fillId="0" borderId="53" xfId="0" applyFont="1" applyFill="1" applyBorder="1" applyAlignment="1" applyProtection="1">
      <alignment horizontal="center" vertical="center"/>
      <protection locked="0"/>
    </xf>
    <xf numFmtId="0" fontId="22" fillId="0" borderId="77" xfId="0" applyFont="1" applyFill="1" applyBorder="1" applyAlignment="1" applyProtection="1">
      <alignment horizontal="center" vertical="center"/>
      <protection locked="0"/>
    </xf>
    <xf numFmtId="49" fontId="22" fillId="0" borderId="53" xfId="0" applyNumberFormat="1" applyFont="1" applyFill="1" applyBorder="1" applyAlignment="1" applyProtection="1">
      <alignment horizontal="center" vertical="center" textRotation="90" wrapText="1"/>
      <protection locked="0"/>
    </xf>
    <xf numFmtId="49" fontId="22" fillId="0" borderId="77" xfId="0" applyNumberFormat="1" applyFont="1" applyFill="1" applyBorder="1" applyAlignment="1" applyProtection="1">
      <alignment horizontal="center" vertical="center" textRotation="90" wrapText="1"/>
      <protection locked="0"/>
    </xf>
    <xf numFmtId="0" fontId="22" fillId="0" borderId="59" xfId="0" applyNumberFormat="1" applyFont="1" applyFill="1" applyBorder="1" applyAlignment="1" applyProtection="1">
      <alignment horizontal="center" vertical="center" textRotation="90" wrapText="1"/>
      <protection locked="0"/>
    </xf>
    <xf numFmtId="0" fontId="22" fillId="0" borderId="77" xfId="0" applyNumberFormat="1" applyFont="1" applyFill="1" applyBorder="1" applyAlignment="1" applyProtection="1">
      <alignment horizontal="center" vertical="center" textRotation="90" wrapText="1"/>
      <protection locked="0"/>
    </xf>
    <xf numFmtId="9" fontId="21" fillId="0" borderId="5" xfId="0" applyNumberFormat="1" applyFont="1" applyFill="1" applyBorder="1" applyAlignment="1" applyProtection="1">
      <alignment horizontal="center" vertical="center"/>
      <protection locked="0"/>
    </xf>
    <xf numFmtId="9" fontId="21" fillId="0" borderId="6" xfId="0" applyNumberFormat="1" applyFont="1" applyFill="1" applyBorder="1" applyAlignment="1" applyProtection="1">
      <alignment horizontal="center" vertical="center"/>
      <protection locked="0"/>
    </xf>
    <xf numFmtId="9" fontId="21" fillId="0" borderId="7" xfId="0" applyNumberFormat="1" applyFont="1" applyFill="1" applyBorder="1" applyAlignment="1" applyProtection="1">
      <alignment horizontal="center" vertical="center"/>
      <protection locked="0"/>
    </xf>
    <xf numFmtId="9" fontId="21" fillId="0" borderId="42" xfId="0" applyNumberFormat="1" applyFont="1" applyFill="1" applyBorder="1" applyAlignment="1" applyProtection="1">
      <alignment horizontal="center" vertical="center"/>
      <protection locked="0"/>
    </xf>
    <xf numFmtId="9" fontId="21" fillId="0" borderId="40" xfId="0" applyNumberFormat="1" applyFont="1" applyFill="1" applyBorder="1" applyAlignment="1" applyProtection="1">
      <alignment horizontal="center" vertical="center"/>
      <protection locked="0"/>
    </xf>
    <xf numFmtId="9" fontId="21" fillId="0" borderId="14" xfId="0" applyNumberFormat="1" applyFont="1" applyFill="1" applyBorder="1" applyAlignment="1" applyProtection="1">
      <alignment horizontal="center" vertical="center"/>
      <protection locked="0"/>
    </xf>
    <xf numFmtId="167" fontId="18" fillId="0" borderId="57" xfId="0" applyNumberFormat="1" applyFont="1" applyFill="1" applyBorder="1" applyAlignment="1" applyProtection="1">
      <alignment horizontal="center" vertical="center" textRotation="90" wrapText="1"/>
      <protection locked="0"/>
    </xf>
    <xf numFmtId="167" fontId="18" fillId="0" borderId="81" xfId="0" applyNumberFormat="1" applyFont="1" applyFill="1" applyBorder="1" applyAlignment="1" applyProtection="1">
      <alignment horizontal="center" vertical="center" textRotation="90" wrapText="1"/>
      <protection locked="0"/>
    </xf>
    <xf numFmtId="4" fontId="22" fillId="0" borderId="53" xfId="0" applyNumberFormat="1" applyFont="1" applyFill="1" applyBorder="1" applyAlignment="1" applyProtection="1">
      <alignment horizontal="center" vertical="center" wrapText="1"/>
      <protection locked="0"/>
    </xf>
    <xf numFmtId="4" fontId="22" fillId="0" borderId="77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53" xfId="0" applyFont="1" applyFill="1" applyBorder="1" applyAlignment="1" applyProtection="1">
      <alignment horizontal="center" vertical="center" wrapText="1"/>
      <protection locked="0"/>
    </xf>
    <xf numFmtId="0" fontId="22" fillId="0" borderId="77" xfId="0" applyFont="1" applyFill="1" applyBorder="1" applyAlignment="1" applyProtection="1">
      <alignment horizontal="center" vertical="center" wrapText="1"/>
      <protection locked="0"/>
    </xf>
    <xf numFmtId="0" fontId="0" fillId="0" borderId="45" xfId="0" applyNumberFormat="1" applyFont="1" applyBorder="1" applyAlignment="1" applyProtection="1">
      <alignment horizontal="center" vertical="center"/>
      <protection locked="0"/>
    </xf>
    <xf numFmtId="0" fontId="0" fillId="0" borderId="41" xfId="0" applyNumberFormat="1" applyFont="1" applyBorder="1" applyAlignment="1" applyProtection="1">
      <alignment horizontal="center" vertical="center"/>
      <protection locked="0"/>
    </xf>
    <xf numFmtId="0" fontId="0" fillId="0" borderId="46" xfId="0" applyNumberFormat="1" applyFont="1" applyBorder="1" applyAlignment="1" applyProtection="1">
      <alignment horizontal="center" vertical="center"/>
      <protection locked="0"/>
    </xf>
    <xf numFmtId="0" fontId="22" fillId="0" borderId="54" xfId="0" applyFont="1" applyFill="1" applyBorder="1" applyAlignment="1" applyProtection="1">
      <alignment horizontal="right" vertical="center"/>
      <protection locked="0"/>
    </xf>
    <xf numFmtId="0" fontId="22" fillId="0" borderId="61" xfId="0" applyFont="1" applyFill="1" applyBorder="1" applyAlignment="1" applyProtection="1">
      <alignment horizontal="right" vertical="center"/>
      <protection locked="0"/>
    </xf>
    <xf numFmtId="0" fontId="22" fillId="0" borderId="62" xfId="0" applyFont="1" applyFill="1" applyBorder="1" applyAlignment="1" applyProtection="1">
      <alignment horizontal="right" vertical="center"/>
      <protection locked="0"/>
    </xf>
    <xf numFmtId="0" fontId="22" fillId="0" borderId="55" xfId="0" applyFont="1" applyFill="1" applyBorder="1" applyAlignment="1" applyProtection="1">
      <alignment horizontal="right" vertical="center"/>
      <protection locked="0"/>
    </xf>
    <xf numFmtId="0" fontId="22" fillId="0" borderId="0" xfId="0" applyFont="1" applyFill="1" applyBorder="1" applyAlignment="1" applyProtection="1">
      <alignment horizontal="right" vertical="center"/>
      <protection locked="0"/>
    </xf>
    <xf numFmtId="0" fontId="22" fillId="0" borderId="63" xfId="0" applyFont="1" applyFill="1" applyBorder="1" applyAlignment="1" applyProtection="1">
      <alignment horizontal="right" vertical="center"/>
      <protection locked="0"/>
    </xf>
    <xf numFmtId="0" fontId="22" fillId="0" borderId="56" xfId="0" applyFont="1" applyFill="1" applyBorder="1" applyAlignment="1" applyProtection="1">
      <alignment horizontal="right" vertical="center"/>
      <protection locked="0"/>
    </xf>
    <xf numFmtId="0" fontId="22" fillId="0" borderId="9" xfId="0" applyFont="1" applyFill="1" applyBorder="1" applyAlignment="1" applyProtection="1">
      <alignment horizontal="right" vertical="center"/>
      <protection locked="0"/>
    </xf>
    <xf numFmtId="0" fontId="22" fillId="0" borderId="64" xfId="0" applyFont="1" applyFill="1" applyBorder="1" applyAlignment="1" applyProtection="1">
      <alignment horizontal="right" vertical="center"/>
      <protection locked="0"/>
    </xf>
    <xf numFmtId="164" fontId="22" fillId="0" borderId="45" xfId="0" applyNumberFormat="1" applyFont="1" applyFill="1" applyBorder="1" applyAlignment="1" applyProtection="1">
      <alignment horizontal="center" vertical="center"/>
      <protection locked="0"/>
    </xf>
    <xf numFmtId="164" fontId="40" fillId="0" borderId="45" xfId="0" applyNumberFormat="1" applyFont="1" applyFill="1" applyBorder="1" applyAlignment="1">
      <alignment horizontal="center" vertical="center"/>
    </xf>
    <xf numFmtId="164" fontId="40" fillId="0" borderId="41" xfId="0" applyNumberFormat="1" applyFont="1" applyFill="1" applyBorder="1" applyAlignment="1">
      <alignment horizontal="center" vertical="center"/>
    </xf>
    <xf numFmtId="164" fontId="40" fillId="0" borderId="46" xfId="0" applyNumberFormat="1" applyFont="1" applyFill="1" applyBorder="1" applyAlignment="1">
      <alignment horizontal="center" vertical="center"/>
    </xf>
    <xf numFmtId="4" fontId="40" fillId="0" borderId="41" xfId="0" applyNumberFormat="1" applyFont="1" applyFill="1" applyBorder="1" applyAlignment="1">
      <alignment horizontal="center" vertical="center"/>
    </xf>
    <xf numFmtId="4" fontId="40" fillId="0" borderId="46" xfId="0" applyNumberFormat="1" applyFont="1" applyFill="1" applyBorder="1" applyAlignment="1">
      <alignment horizontal="center" vertical="center"/>
    </xf>
    <xf numFmtId="0" fontId="22" fillId="0" borderId="45" xfId="0" applyFont="1" applyFill="1" applyBorder="1" applyAlignment="1">
      <alignment horizontal="center" vertical="center"/>
    </xf>
    <xf numFmtId="0" fontId="22" fillId="0" borderId="41" xfId="0" applyFont="1" applyFill="1" applyBorder="1" applyAlignment="1">
      <alignment horizontal="center" vertical="center"/>
    </xf>
    <xf numFmtId="0" fontId="22" fillId="0" borderId="46" xfId="0" applyFont="1" applyFill="1" applyBorder="1" applyAlignment="1">
      <alignment horizontal="center" vertical="center"/>
    </xf>
    <xf numFmtId="0" fontId="0" fillId="0" borderId="43" xfId="0" applyNumberFormat="1" applyFont="1" applyBorder="1" applyAlignment="1">
      <alignment horizontal="center" vertical="center"/>
    </xf>
    <xf numFmtId="0" fontId="0" fillId="0" borderId="33" xfId="0" applyNumberFormat="1" applyFont="1" applyBorder="1" applyAlignment="1">
      <alignment horizontal="center" vertical="center"/>
    </xf>
    <xf numFmtId="0" fontId="0" fillId="0" borderId="14" xfId="0" applyNumberFormat="1" applyFont="1" applyBorder="1" applyAlignment="1">
      <alignment horizontal="center" vertical="center"/>
    </xf>
    <xf numFmtId="0" fontId="0" fillId="0" borderId="17" xfId="0" applyNumberFormat="1" applyFont="1" applyBorder="1" applyAlignment="1">
      <alignment horizontal="center" vertical="center"/>
    </xf>
    <xf numFmtId="164" fontId="40" fillId="0" borderId="63" xfId="0" applyNumberFormat="1" applyFont="1" applyFill="1" applyBorder="1" applyAlignment="1">
      <alignment horizontal="center" vertical="center"/>
    </xf>
    <xf numFmtId="164" fontId="40" fillId="0" borderId="64" xfId="0" applyNumberFormat="1" applyFont="1" applyFill="1" applyBorder="1" applyAlignment="1">
      <alignment horizontal="center" vertical="center"/>
    </xf>
    <xf numFmtId="0" fontId="0" fillId="0" borderId="51" xfId="0" applyNumberFormat="1" applyFont="1" applyBorder="1" applyAlignment="1">
      <alignment horizontal="center" vertical="center"/>
    </xf>
    <xf numFmtId="0" fontId="0" fillId="0" borderId="21" xfId="0" applyNumberFormat="1" applyFont="1" applyBorder="1" applyAlignment="1">
      <alignment horizontal="center" vertical="center"/>
    </xf>
    <xf numFmtId="4" fontId="40" fillId="0" borderId="45" xfId="0" applyNumberFormat="1" applyFont="1" applyFill="1" applyBorder="1" applyAlignment="1">
      <alignment horizontal="center" vertical="center"/>
    </xf>
    <xf numFmtId="0" fontId="0" fillId="0" borderId="45" xfId="0" applyNumberFormat="1" applyFont="1" applyBorder="1" applyAlignment="1">
      <alignment horizontal="center" vertical="center"/>
    </xf>
    <xf numFmtId="0" fontId="0" fillId="0" borderId="41" xfId="0" applyNumberFormat="1" applyFont="1" applyBorder="1" applyAlignment="1">
      <alignment horizontal="center" vertical="center"/>
    </xf>
    <xf numFmtId="0" fontId="0" fillId="0" borderId="46" xfId="0" applyNumberFormat="1" applyFont="1" applyBorder="1" applyAlignment="1">
      <alignment horizontal="center" vertical="center"/>
    </xf>
    <xf numFmtId="0" fontId="22" fillId="0" borderId="54" xfId="0" applyFont="1" applyFill="1" applyBorder="1" applyAlignment="1">
      <alignment horizontal="right" vertical="center"/>
    </xf>
    <xf numFmtId="0" fontId="22" fillId="0" borderId="61" xfId="0" applyFont="1" applyFill="1" applyBorder="1" applyAlignment="1">
      <alignment horizontal="right" vertical="center"/>
    </xf>
    <xf numFmtId="0" fontId="22" fillId="0" borderId="62" xfId="0" applyFont="1" applyFill="1" applyBorder="1" applyAlignment="1">
      <alignment horizontal="right" vertical="center"/>
    </xf>
    <xf numFmtId="0" fontId="22" fillId="0" borderId="55" xfId="0" applyFont="1" applyFill="1" applyBorder="1" applyAlignment="1">
      <alignment horizontal="right" vertical="center"/>
    </xf>
    <xf numFmtId="0" fontId="22" fillId="0" borderId="0" xfId="0" applyFont="1" applyFill="1" applyBorder="1" applyAlignment="1">
      <alignment horizontal="right" vertical="center"/>
    </xf>
    <xf numFmtId="0" fontId="22" fillId="0" borderId="63" xfId="0" applyFont="1" applyFill="1" applyBorder="1" applyAlignment="1">
      <alignment horizontal="right" vertical="center"/>
    </xf>
    <xf numFmtId="0" fontId="22" fillId="0" borderId="56" xfId="0" applyFont="1" applyFill="1" applyBorder="1" applyAlignment="1">
      <alignment horizontal="right" vertical="center"/>
    </xf>
    <xf numFmtId="0" fontId="22" fillId="0" borderId="9" xfId="0" applyFont="1" applyFill="1" applyBorder="1" applyAlignment="1">
      <alignment horizontal="right" vertical="center"/>
    </xf>
    <xf numFmtId="0" fontId="22" fillId="0" borderId="64" xfId="0" applyFont="1" applyFill="1" applyBorder="1" applyAlignment="1">
      <alignment horizontal="right" vertical="center"/>
    </xf>
    <xf numFmtId="164" fontId="22" fillId="0" borderId="45" xfId="0" applyNumberFormat="1" applyFont="1" applyFill="1" applyBorder="1" applyAlignment="1">
      <alignment horizontal="center" vertical="center"/>
    </xf>
    <xf numFmtId="2" fontId="22" fillId="0" borderId="45" xfId="0" applyNumberFormat="1" applyFont="1" applyFill="1" applyBorder="1" applyAlignment="1">
      <alignment horizontal="center" vertical="center"/>
    </xf>
    <xf numFmtId="2" fontId="22" fillId="0" borderId="41" xfId="0" applyNumberFormat="1" applyFont="1" applyFill="1" applyBorder="1" applyAlignment="1">
      <alignment horizontal="center" vertical="center"/>
    </xf>
    <xf numFmtId="2" fontId="22" fillId="0" borderId="46" xfId="0" applyNumberFormat="1" applyFont="1" applyFill="1" applyBorder="1" applyAlignment="1">
      <alignment horizontal="center" vertical="center"/>
    </xf>
    <xf numFmtId="0" fontId="21" fillId="0" borderId="58" xfId="0" applyFont="1" applyFill="1" applyBorder="1" applyAlignment="1">
      <alignment horizontal="center" vertical="center"/>
    </xf>
    <xf numFmtId="0" fontId="21" fillId="0" borderId="81" xfId="0" applyFont="1" applyFill="1" applyBorder="1" applyAlignment="1">
      <alignment horizontal="center" vertical="center"/>
    </xf>
    <xf numFmtId="0" fontId="22" fillId="0" borderId="53" xfId="0" applyFont="1" applyFill="1" applyBorder="1" applyAlignment="1">
      <alignment horizontal="center" vertical="center"/>
    </xf>
    <xf numFmtId="0" fontId="22" fillId="0" borderId="77" xfId="0" applyFont="1" applyFill="1" applyBorder="1" applyAlignment="1">
      <alignment horizontal="center" vertical="center"/>
    </xf>
    <xf numFmtId="49" fontId="22" fillId="0" borderId="53" xfId="0" applyNumberFormat="1" applyFont="1" applyFill="1" applyBorder="1" applyAlignment="1">
      <alignment horizontal="center" vertical="center" textRotation="90" wrapText="1"/>
    </xf>
    <xf numFmtId="49" fontId="22" fillId="0" borderId="77" xfId="0" applyNumberFormat="1" applyFont="1" applyFill="1" applyBorder="1" applyAlignment="1">
      <alignment horizontal="center" vertical="center" textRotation="90" wrapText="1"/>
    </xf>
    <xf numFmtId="0" fontId="22" fillId="0" borderId="59" xfId="0" applyNumberFormat="1" applyFont="1" applyFill="1" applyBorder="1" applyAlignment="1">
      <alignment horizontal="center" vertical="center" textRotation="90" wrapText="1"/>
    </xf>
    <xf numFmtId="0" fontId="22" fillId="0" borderId="77" xfId="0" applyNumberFormat="1" applyFont="1" applyFill="1" applyBorder="1" applyAlignment="1">
      <alignment horizontal="center" vertical="center" textRotation="90" wrapText="1"/>
    </xf>
    <xf numFmtId="9" fontId="21" fillId="0" borderId="5" xfId="0" applyNumberFormat="1" applyFont="1" applyFill="1" applyBorder="1" applyAlignment="1">
      <alignment horizontal="center" vertical="center"/>
    </xf>
    <xf numFmtId="9" fontId="21" fillId="0" borderId="6" xfId="0" applyNumberFormat="1" applyFont="1" applyFill="1" applyBorder="1" applyAlignment="1">
      <alignment horizontal="center" vertical="center"/>
    </xf>
    <xf numFmtId="9" fontId="21" fillId="0" borderId="7" xfId="0" applyNumberFormat="1" applyFont="1" applyFill="1" applyBorder="1" applyAlignment="1">
      <alignment horizontal="center" vertical="center"/>
    </xf>
    <xf numFmtId="167" fontId="18" fillId="0" borderId="57" xfId="0" applyNumberFormat="1" applyFont="1" applyFill="1" applyBorder="1" applyAlignment="1">
      <alignment horizontal="center" vertical="center" textRotation="90" wrapText="1"/>
    </xf>
    <xf numFmtId="167" fontId="18" fillId="0" borderId="81" xfId="0" applyNumberFormat="1" applyFont="1" applyFill="1" applyBorder="1" applyAlignment="1">
      <alignment horizontal="center" vertical="center" textRotation="90" wrapText="1"/>
    </xf>
    <xf numFmtId="4" fontId="22" fillId="0" borderId="53" xfId="0" applyNumberFormat="1" applyFont="1" applyFill="1" applyBorder="1" applyAlignment="1">
      <alignment horizontal="center" vertical="center" wrapText="1"/>
    </xf>
    <xf numFmtId="4" fontId="22" fillId="0" borderId="77" xfId="0" applyNumberFormat="1" applyFont="1" applyFill="1" applyBorder="1" applyAlignment="1">
      <alignment horizontal="center" vertical="center" wrapText="1"/>
    </xf>
    <xf numFmtId="0" fontId="22" fillId="0" borderId="53" xfId="0" applyFont="1" applyFill="1" applyBorder="1" applyAlignment="1">
      <alignment horizontal="center" vertical="center" wrapText="1"/>
    </xf>
    <xf numFmtId="0" fontId="22" fillId="0" borderId="77" xfId="0" applyFont="1" applyFill="1" applyBorder="1" applyAlignment="1">
      <alignment horizontal="center" vertical="center" wrapText="1"/>
    </xf>
    <xf numFmtId="9" fontId="21" fillId="0" borderId="42" xfId="0" applyNumberFormat="1" applyFont="1" applyFill="1" applyBorder="1" applyAlignment="1">
      <alignment horizontal="center" vertical="center"/>
    </xf>
    <xf numFmtId="9" fontId="21" fillId="0" borderId="40" xfId="0" applyNumberFormat="1" applyFont="1" applyFill="1" applyBorder="1" applyAlignment="1">
      <alignment horizontal="center" vertical="center"/>
    </xf>
    <xf numFmtId="9" fontId="21" fillId="0" borderId="14" xfId="0" applyNumberFormat="1" applyFont="1" applyFill="1" applyBorder="1" applyAlignment="1">
      <alignment horizontal="center" vertical="center"/>
    </xf>
    <xf numFmtId="0" fontId="39" fillId="0" borderId="45" xfId="0" applyFont="1" applyBorder="1" applyAlignment="1" applyProtection="1">
      <alignment horizontal="center" vertical="center" wrapText="1"/>
      <protection locked="0"/>
    </xf>
    <xf numFmtId="0" fontId="39" fillId="0" borderId="41" xfId="0" applyFont="1" applyBorder="1" applyAlignment="1" applyProtection="1">
      <alignment horizontal="center" vertical="center" wrapText="1"/>
      <protection locked="0"/>
    </xf>
    <xf numFmtId="0" fontId="39" fillId="0" borderId="46" xfId="0" applyFont="1" applyBorder="1" applyAlignment="1" applyProtection="1">
      <alignment horizontal="center" vertical="center" wrapText="1"/>
      <protection locked="0"/>
    </xf>
    <xf numFmtId="0" fontId="54" fillId="4" borderId="26" xfId="0" applyFont="1" applyFill="1" applyBorder="1" applyAlignment="1">
      <alignment horizontal="center" vertical="center"/>
    </xf>
    <xf numFmtId="0" fontId="14" fillId="8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2" fillId="6" borderId="71" xfId="0" applyFont="1" applyFill="1" applyBorder="1" applyAlignment="1">
      <alignment horizontal="center" vertical="center"/>
    </xf>
    <xf numFmtId="0" fontId="2" fillId="6" borderId="44" xfId="0" applyFont="1" applyFill="1" applyBorder="1" applyAlignment="1">
      <alignment horizontal="center" vertical="center"/>
    </xf>
    <xf numFmtId="2" fontId="72" fillId="0" borderId="45" xfId="0" applyNumberFormat="1" applyFont="1" applyFill="1" applyBorder="1" applyAlignment="1" applyProtection="1">
      <alignment horizontal="center" vertical="center"/>
      <protection locked="0"/>
    </xf>
    <xf numFmtId="2" fontId="72" fillId="0" borderId="41" xfId="0" applyNumberFormat="1" applyFont="1" applyFill="1" applyBorder="1" applyAlignment="1" applyProtection="1">
      <alignment horizontal="center" vertical="center"/>
      <protection locked="0"/>
    </xf>
    <xf numFmtId="2" fontId="72" fillId="0" borderId="46" xfId="0" applyNumberFormat="1" applyFont="1" applyFill="1" applyBorder="1" applyAlignment="1" applyProtection="1">
      <alignment horizontal="center" vertical="center"/>
      <protection locked="0"/>
    </xf>
    <xf numFmtId="2" fontId="68" fillId="0" borderId="0" xfId="0" applyNumberFormat="1" applyFont="1" applyFill="1" applyAlignment="1">
      <alignment horizontal="center"/>
    </xf>
    <xf numFmtId="0" fontId="67" fillId="0" borderId="0" xfId="0" applyFont="1" applyAlignment="1">
      <alignment horizontal="center"/>
    </xf>
    <xf numFmtId="0" fontId="70" fillId="0" borderId="3" xfId="0" applyFont="1" applyFill="1" applyBorder="1" applyAlignment="1">
      <alignment horizontal="center"/>
    </xf>
    <xf numFmtId="0" fontId="42" fillId="0" borderId="0" xfId="0" applyFont="1" applyAlignment="1">
      <alignment horizontal="center" vertical="center"/>
    </xf>
    <xf numFmtId="0" fontId="51" fillId="0" borderId="0" xfId="0" applyFont="1" applyFill="1" applyAlignment="1">
      <alignment horizontal="center" vertical="center"/>
    </xf>
    <xf numFmtId="49" fontId="35" fillId="8" borderId="26" xfId="0" applyNumberFormat="1" applyFont="1" applyFill="1" applyBorder="1" applyAlignment="1">
      <alignment horizontal="center" vertical="center"/>
    </xf>
    <xf numFmtId="0" fontId="28" fillId="0" borderId="0" xfId="0" applyFont="1" applyFill="1" applyAlignment="1">
      <alignment horizontal="center" vertical="top"/>
    </xf>
    <xf numFmtId="0" fontId="8" fillId="0" borderId="3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right" vertical="center"/>
    </xf>
    <xf numFmtId="0" fontId="46" fillId="8" borderId="0" xfId="0" applyNumberFormat="1" applyFont="1" applyFill="1" applyBorder="1" applyAlignment="1">
      <alignment horizontal="center" vertical="center"/>
    </xf>
    <xf numFmtId="0" fontId="46" fillId="0" borderId="0" xfId="0" applyNumberFormat="1" applyFont="1" applyFill="1" applyBorder="1" applyAlignment="1">
      <alignment horizontal="center" vertical="center"/>
    </xf>
    <xf numFmtId="49" fontId="35" fillId="0" borderId="26" xfId="0" applyNumberFormat="1" applyFont="1" applyFill="1" applyBorder="1" applyAlignment="1">
      <alignment horizontal="center" vertical="center"/>
    </xf>
    <xf numFmtId="0" fontId="42" fillId="0" borderId="0" xfId="0" applyFont="1" applyAlignment="1" applyProtection="1">
      <alignment horizontal="center" vertical="center"/>
      <protection locked="0"/>
    </xf>
    <xf numFmtId="0" fontId="60" fillId="0" borderId="3" xfId="0" applyFont="1" applyFill="1" applyBorder="1" applyAlignment="1" applyProtection="1">
      <alignment horizontal="center" vertical="center"/>
      <protection locked="0"/>
    </xf>
    <xf numFmtId="0" fontId="60" fillId="0" borderId="3" xfId="0" applyFont="1" applyFill="1" applyBorder="1" applyAlignment="1" applyProtection="1">
      <alignment horizontal="right" vertical="center"/>
      <protection locked="0"/>
    </xf>
    <xf numFmtId="0" fontId="59" fillId="0" borderId="0" xfId="0" applyFont="1" applyFill="1" applyAlignment="1" applyProtection="1">
      <alignment horizontal="center" vertical="top"/>
      <protection locked="0"/>
    </xf>
    <xf numFmtId="0" fontId="51" fillId="0" borderId="0" xfId="0" applyFont="1" applyFill="1" applyAlignment="1" applyProtection="1">
      <alignment horizontal="center" vertical="center"/>
      <protection locked="0"/>
    </xf>
    <xf numFmtId="49" fontId="35" fillId="0" borderId="26" xfId="0" applyNumberFormat="1" applyFont="1" applyFill="1" applyBorder="1" applyAlignment="1" applyProtection="1">
      <alignment horizontal="center" vertical="center"/>
      <protection locked="0"/>
    </xf>
    <xf numFmtId="0" fontId="61" fillId="0" borderId="0" xfId="0" applyFont="1" applyFill="1" applyBorder="1" applyAlignment="1" applyProtection="1">
      <alignment horizontal="center" vertical="center"/>
      <protection locked="0"/>
    </xf>
    <xf numFmtId="0" fontId="69" fillId="0" borderId="0" xfId="0" applyFont="1" applyAlignment="1">
      <alignment horizontal="center"/>
    </xf>
    <xf numFmtId="0" fontId="43" fillId="0" borderId="0" xfId="0" applyFont="1" applyFill="1" applyAlignment="1" applyProtection="1">
      <alignment horizontal="center" vertical="center"/>
      <protection locked="0"/>
    </xf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  <xf numFmtId="0" fontId="0" fillId="0" borderId="92" xfId="0" applyBorder="true"/>
  </cellXfs>
  <cellStyles count="11">
    <cellStyle name="Excel Built-in Excel Built-in TableStyleLight1" xfId="1"/>
    <cellStyle name="Обычный" xfId="0" builtinId="0"/>
    <cellStyle name="Обычный 2" xfId="2"/>
    <cellStyle name="Обычный 2 2" xfId="3"/>
    <cellStyle name="Обычный 3" xfId="4"/>
    <cellStyle name="Обычный 3 2" xfId="5"/>
    <cellStyle name="Обычный 4" xfId="6"/>
    <cellStyle name="Обычный 5" xfId="7"/>
    <cellStyle name="Обычный 6" xfId="8"/>
    <cellStyle name="Обычный 6 2" xfId="9"/>
    <cellStyle name="Обычный 7" xfId="10"/>
  </cellStyles>
  <dxfs count="50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dotted">
          <color indexed="64"/>
        </top>
        <bottom/>
        <vertical/>
        <horizontal/>
      </border>
    </dxf>
    <dxf>
      <border outline="0">
        <top style="dotted">
          <color indexed="64"/>
        </top>
      </border>
    </dxf>
    <dxf>
      <border outline="0">
        <top style="dotted">
          <color indexed="8"/>
        </top>
        <bottom style="dotted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border outline="0">
        <top style="dotted">
          <color indexed="64"/>
        </top>
      </border>
    </dxf>
    <dxf>
      <border outline="0">
        <top style="thin">
          <color theme="4" tint="0.39997558519241921"/>
        </top>
        <bottom style="dotted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70C0"/>
        <name val="Arial"/>
        <scheme val="none"/>
      </font>
      <numFmt numFmtId="2" formatCode="0.0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70C0"/>
        <name val="Arial"/>
        <scheme val="none"/>
      </font>
      <numFmt numFmtId="2" formatCode="0.0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70C0"/>
        <name val="Arial"/>
        <scheme val="none"/>
      </font>
      <numFmt numFmtId="164" formatCode="0.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70C0"/>
        <name val="Arial"/>
        <scheme val="none"/>
      </font>
      <numFmt numFmtId="164" formatCode="0.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i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i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i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i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i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i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i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70C0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70C0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right style="thin">
          <color indexed="64"/>
        </righ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outline="0">
        <left style="thin">
          <color indexed="64"/>
        </left>
        <right style="thin">
          <color indexed="64"/>
        </righ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Arial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D3F7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externalLinks/externalLink1.xml" Type="http://schemas.openxmlformats.org/officeDocument/2006/relationships/externalLink"/><Relationship Id="rId18" Target="externalLinks/externalLink2.xml" Type="http://schemas.openxmlformats.org/officeDocument/2006/relationships/externalLink"/><Relationship Id="rId19" Target="theme/theme1.xml" Type="http://schemas.openxmlformats.org/officeDocument/2006/relationships/theme"/><Relationship Id="rId2" Target="worksheets/sheet2.xml" Type="http://schemas.openxmlformats.org/officeDocument/2006/relationships/worksheet"/><Relationship Id="rId20" Target="styles.xml" Type="http://schemas.openxmlformats.org/officeDocument/2006/relationships/styles"/><Relationship Id="rId21" Target="sharedStrings.xml" Type="http://schemas.openxmlformats.org/officeDocument/2006/relationships/sharedStrings"/><Relationship Id="rId22" Target="calcChain.xml" Type="http://schemas.openxmlformats.org/officeDocument/2006/relationships/calcChain"/><Relationship Id="rId23" Target="vbaProject.bin" Type="http://schemas.microsoft.com/office/2006/relationships/vbaProjec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71437</xdr:colOff>
      <xdr:row>16</xdr:row>
      <xdr:rowOff>178593</xdr:rowOff>
    </xdr:from>
    <xdr:to>
      <xdr:col>54</xdr:col>
      <xdr:colOff>95250</xdr:colOff>
      <xdr:row>47</xdr:row>
      <xdr:rowOff>40822</xdr:rowOff>
    </xdr:to>
    <xdr:sp macro="[0]!Form_Show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9053401" y="3525950"/>
          <a:ext cx="5888492" cy="5794943"/>
        </a:xfrm>
        <a:prstGeom prst="roundRect">
          <a:avLst/>
        </a:prstGeom>
        <a:gradFill flip="none" rotWithShape="1">
          <a:gsLst>
            <a:gs pos="0">
              <a:srgbClr val="E3DE00"/>
            </a:gs>
            <a:gs pos="100000">
              <a:srgbClr val="49DD57"/>
            </a:gs>
            <a:gs pos="94000">
              <a:srgbClr val="866600"/>
            </a:gs>
          </a:gsLst>
          <a:lin ang="5400000" scaled="1"/>
          <a:tileRect/>
        </a:gra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ru-RU" sz="1200" b="1">
              <a:solidFill>
                <a:schemeClr val="lt1"/>
              </a:solidFill>
              <a:latin typeface="Times New Roman" pitchFamily="18" charset="0"/>
              <a:ea typeface="+mn-ea"/>
              <a:cs typeface="Times New Roman" pitchFamily="18" charset="0"/>
            </a:rPr>
            <a:t>Форма</a:t>
          </a:r>
        </a:p>
      </xdr:txBody>
    </xdr:sp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1" Target="file:///E:/&#1089;&#1077;&#1085;&#1090;&#1103;&#1073;&#1088;&#1100;%2023/&#1085;&#1072;&#1088;&#1103;&#1076;&#1099;%20&#1084;&#1072;&#1089;&#1090;%2039%20&#1089;&#1077;&#1085;&#1090;&#1103;&#1073;&#1088;&#1100;%2023.xlsm" TargetMode="External" Type="http://schemas.openxmlformats.org/officeDocument/2006/relationships/externalLinkPath"/></Relationships>
</file>

<file path=xl/externalLinks/_rels/externalLink2.xml.rels><?xml version="1.0" encoding="UTF-8" standalone="yes"?><Relationships xmlns="http://schemas.openxmlformats.org/package/2006/relationships"><Relationship Id="rId1" Target="file:///D:/&#1076;&#1077;&#1082;&#1072;&#1073;&#1088;&#1100;%20&#1094;&#1077;&#1093;3/&#1090;&#1072;&#1073;&#1077;&#1083;&#1100;.xls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_Tech"/>
      <sheetName val="сверхур"/>
      <sheetName val="расчет"/>
      <sheetName val="наряд выходн"/>
      <sheetName val="наряд СУ"/>
      <sheetName val="база"/>
      <sheetName val="Лист3"/>
      <sheetName val="св-185"/>
      <sheetName val="757-3"/>
      <sheetName val="наряды маст 39 сентябрь 23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юнь"/>
      <sheetName val="июнь23 (2)"/>
      <sheetName val="июль"/>
      <sheetName val="август"/>
      <sheetName val="сентябрь"/>
      <sheetName val="октябрь"/>
      <sheetName val="ноябрь"/>
      <sheetName val="январь19"/>
      <sheetName val="февраль"/>
      <sheetName val="март"/>
      <sheetName val="апрель"/>
      <sheetName val="май"/>
      <sheetName val="июнь19"/>
      <sheetName val="июль 19"/>
      <sheetName val="август19"/>
      <sheetName val="сент19"/>
      <sheetName val="окт19"/>
      <sheetName val="нояб19"/>
      <sheetName val="декабрь"/>
      <sheetName val="январь20"/>
      <sheetName val="февраль 20"/>
      <sheetName val="март20"/>
      <sheetName val="апрель20"/>
      <sheetName val="МАЙ20"/>
      <sheetName val="ИЮНЬ20"/>
      <sheetName val="июль20"/>
      <sheetName val="август20"/>
      <sheetName val="сент20"/>
      <sheetName val="окт20"/>
      <sheetName val="нояб20"/>
      <sheetName val="дек20"/>
      <sheetName val="янв21"/>
      <sheetName val="фев21"/>
      <sheetName val="март 21"/>
      <sheetName val="апрель21"/>
      <sheetName val="май2021"/>
      <sheetName val="июнь21"/>
      <sheetName val="июль21"/>
      <sheetName val="авг21"/>
      <sheetName val="сент21"/>
      <sheetName val="окт21"/>
      <sheetName val="нояб21"/>
      <sheetName val="дек21"/>
      <sheetName val="янв22"/>
      <sheetName val="фев22"/>
      <sheetName val="март22"/>
      <sheetName val="мол 3 кв 2021"/>
      <sheetName val="2019 отп"/>
      <sheetName val="отп 2020"/>
      <sheetName val="отп 2021"/>
      <sheetName val="апр22"/>
      <sheetName val="май2022"/>
      <sheetName val="июнь22"/>
      <sheetName val="июль22"/>
      <sheetName val="август22"/>
      <sheetName val="сент22"/>
      <sheetName val="окт22"/>
      <sheetName val="нояб22"/>
      <sheetName val="дек22"/>
      <sheetName val="январь23"/>
      <sheetName val="февраль23"/>
      <sheetName val="март23"/>
      <sheetName val="апрель23"/>
      <sheetName val="май 23"/>
      <sheetName val="июнь23"/>
      <sheetName val="июль23"/>
      <sheetName val="август23"/>
      <sheetName val="сентябрь 23"/>
      <sheetName val="октябрь 23 "/>
      <sheetName val="ноябрь 23"/>
      <sheetName val="декабрь 23"/>
      <sheetName val="январь 24"/>
      <sheetName val="отп 2022"/>
      <sheetName val="Лист2"/>
      <sheetName val="новый год2020"/>
      <sheetName val="молоко 4 кв"/>
      <sheetName val="НГ2022"/>
      <sheetName val="Лист1"/>
      <sheetName val="Лист3"/>
      <sheetName val="тел"/>
      <sheetName val="НГ2023"/>
      <sheetName val="отп 23"/>
      <sheetName val="отп 24"/>
      <sheetName val="отпуск ИТР 24"/>
      <sheetName val="Список"/>
      <sheetName val="ноябрь печать"/>
      <sheetName val="табельные номера"/>
      <sheetName val="сверхурочка"/>
      <sheetName val="Лист4"/>
      <sheetName val="Лист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>
        <row r="4">
          <cell r="AI4">
            <v>107.00000000000003</v>
          </cell>
          <cell r="AK4">
            <v>15118</v>
          </cell>
        </row>
        <row r="5">
          <cell r="AI5">
            <v>115.20000000000003</v>
          </cell>
          <cell r="AK5">
            <v>15799</v>
          </cell>
        </row>
        <row r="6">
          <cell r="AI6">
            <v>0</v>
          </cell>
          <cell r="AK6">
            <v>15791</v>
          </cell>
        </row>
        <row r="7">
          <cell r="AI7">
            <v>72.000000000000014</v>
          </cell>
          <cell r="AK7">
            <v>15816</v>
          </cell>
        </row>
        <row r="8">
          <cell r="AI8">
            <v>50.400000000000006</v>
          </cell>
          <cell r="AK8">
            <v>16475</v>
          </cell>
        </row>
        <row r="9">
          <cell r="AI9">
            <v>136.80000000000001</v>
          </cell>
          <cell r="AK9">
            <v>17290</v>
          </cell>
        </row>
        <row r="10">
          <cell r="AI10">
            <v>72.000000000000014</v>
          </cell>
          <cell r="AK10">
            <v>17296</v>
          </cell>
        </row>
        <row r="11">
          <cell r="AI11">
            <v>144</v>
          </cell>
          <cell r="AK11">
            <v>16809</v>
          </cell>
        </row>
        <row r="12">
          <cell r="AI12">
            <v>136.80000000000001</v>
          </cell>
          <cell r="AK12">
            <v>17169</v>
          </cell>
        </row>
        <row r="13">
          <cell r="AI13">
            <v>136.80000000000001</v>
          </cell>
          <cell r="AK13">
            <v>16250</v>
          </cell>
        </row>
        <row r="14">
          <cell r="AI14">
            <v>115.20000000000003</v>
          </cell>
          <cell r="AK14">
            <v>16960</v>
          </cell>
        </row>
        <row r="15">
          <cell r="AI15">
            <v>72.000000000000014</v>
          </cell>
          <cell r="AK15">
            <v>17332</v>
          </cell>
        </row>
        <row r="16">
          <cell r="AI16">
            <v>64.800000000000011</v>
          </cell>
          <cell r="AK16">
            <v>17198</v>
          </cell>
        </row>
        <row r="17">
          <cell r="AI17">
            <v>64.800000000000011</v>
          </cell>
          <cell r="AK17">
            <v>17115</v>
          </cell>
        </row>
        <row r="18">
          <cell r="AI18">
            <v>0</v>
          </cell>
          <cell r="AK18">
            <v>15880</v>
          </cell>
        </row>
        <row r="19">
          <cell r="AI19">
            <v>108.00000000000003</v>
          </cell>
          <cell r="AK19">
            <v>15894</v>
          </cell>
        </row>
        <row r="20">
          <cell r="AI20">
            <v>136.80000000000001</v>
          </cell>
          <cell r="AK20">
            <v>17160</v>
          </cell>
        </row>
        <row r="21">
          <cell r="AI21">
            <v>144</v>
          </cell>
          <cell r="AK21">
            <v>16860</v>
          </cell>
        </row>
        <row r="22">
          <cell r="AI22">
            <v>144</v>
          </cell>
          <cell r="AK22">
            <v>15590</v>
          </cell>
        </row>
        <row r="23">
          <cell r="AI23">
            <v>151.19999999999999</v>
          </cell>
          <cell r="AK23">
            <v>16771</v>
          </cell>
        </row>
        <row r="24">
          <cell r="AI24">
            <v>108.00000000000003</v>
          </cell>
          <cell r="AK24">
            <v>15340</v>
          </cell>
        </row>
        <row r="25">
          <cell r="AI25">
            <v>144</v>
          </cell>
          <cell r="AK25">
            <v>17309</v>
          </cell>
        </row>
        <row r="26">
          <cell r="AI26">
            <v>147</v>
          </cell>
          <cell r="AK26">
            <v>15608</v>
          </cell>
        </row>
        <row r="27">
          <cell r="AI27">
            <v>140.80000000000001</v>
          </cell>
          <cell r="AK27">
            <v>17129</v>
          </cell>
        </row>
        <row r="28">
          <cell r="AI28">
            <v>138.80000000000001</v>
          </cell>
          <cell r="AK28">
            <v>13676</v>
          </cell>
        </row>
        <row r="29">
          <cell r="AI29">
            <v>136.80000000000001</v>
          </cell>
          <cell r="AK29">
            <v>17122</v>
          </cell>
        </row>
        <row r="30">
          <cell r="AI30">
            <v>136.80000000000001</v>
          </cell>
          <cell r="AK30">
            <v>17068</v>
          </cell>
        </row>
        <row r="31">
          <cell r="AI31">
            <v>144</v>
          </cell>
          <cell r="AK31">
            <v>16799</v>
          </cell>
        </row>
        <row r="32">
          <cell r="AI32">
            <v>144</v>
          </cell>
          <cell r="AK32">
            <v>17305</v>
          </cell>
        </row>
        <row r="33">
          <cell r="AI33">
            <v>129.60000000000002</v>
          </cell>
          <cell r="AK33">
            <v>17270</v>
          </cell>
        </row>
        <row r="34">
          <cell r="AI34">
            <v>151.19999999999999</v>
          </cell>
          <cell r="AK34">
            <v>16919</v>
          </cell>
        </row>
        <row r="35">
          <cell r="AI35">
            <v>136.80000000000001</v>
          </cell>
          <cell r="AK35">
            <v>17282</v>
          </cell>
        </row>
        <row r="36">
          <cell r="AI36">
            <v>100.80000000000003</v>
          </cell>
          <cell r="AK36">
            <v>15575</v>
          </cell>
        </row>
        <row r="37">
          <cell r="AI37">
            <v>151.19999999999999</v>
          </cell>
          <cell r="AK37">
            <v>17188</v>
          </cell>
        </row>
        <row r="38">
          <cell r="AI38">
            <v>144</v>
          </cell>
          <cell r="AK38">
            <v>15888</v>
          </cell>
        </row>
        <row r="39">
          <cell r="AI39">
            <v>72.000000000000014</v>
          </cell>
          <cell r="AK39">
            <v>17271</v>
          </cell>
        </row>
        <row r="40">
          <cell r="AI40">
            <v>144</v>
          </cell>
          <cell r="AK40">
            <v>16944</v>
          </cell>
        </row>
        <row r="41">
          <cell r="AI41">
            <v>112.20000000000003</v>
          </cell>
          <cell r="AK41">
            <v>17281</v>
          </cell>
        </row>
        <row r="42">
          <cell r="AI42">
            <v>144</v>
          </cell>
          <cell r="AK42">
            <v>17303</v>
          </cell>
        </row>
        <row r="43">
          <cell r="AI43">
            <v>122.40000000000003</v>
          </cell>
          <cell r="AK43">
            <v>17321</v>
          </cell>
        </row>
        <row r="44">
          <cell r="AI44">
            <v>28.8</v>
          </cell>
          <cell r="AK44">
            <v>17136</v>
          </cell>
        </row>
        <row r="45">
          <cell r="AI45">
            <v>57.600000000000009</v>
          </cell>
          <cell r="AK45">
            <v>16779</v>
          </cell>
        </row>
        <row r="46">
          <cell r="AI46">
            <v>115.20000000000003</v>
          </cell>
          <cell r="AK46">
            <v>16872</v>
          </cell>
        </row>
        <row r="47">
          <cell r="AI47">
            <v>115.20000000000003</v>
          </cell>
          <cell r="AK47">
            <v>15082</v>
          </cell>
        </row>
        <row r="48">
          <cell r="AI48">
            <v>57.600000000000009</v>
          </cell>
          <cell r="AK48">
            <v>17341</v>
          </cell>
        </row>
        <row r="49">
          <cell r="AI49">
            <v>115.20000000000003</v>
          </cell>
          <cell r="AK49">
            <v>17121</v>
          </cell>
        </row>
        <row r="50">
          <cell r="AI50">
            <v>115.20000000000003</v>
          </cell>
          <cell r="AK50">
            <v>14883</v>
          </cell>
        </row>
        <row r="51">
          <cell r="AI51">
            <v>144</v>
          </cell>
          <cell r="AK51">
            <v>17312</v>
          </cell>
        </row>
        <row r="52">
          <cell r="AI52">
            <v>140.70000000000002</v>
          </cell>
          <cell r="AK52">
            <v>15239</v>
          </cell>
        </row>
        <row r="53">
          <cell r="AI53">
            <v>115.20000000000003</v>
          </cell>
          <cell r="AK53">
            <v>15041</v>
          </cell>
        </row>
        <row r="54">
          <cell r="AI54">
            <v>144</v>
          </cell>
          <cell r="AK54">
            <v>17164</v>
          </cell>
        </row>
        <row r="55">
          <cell r="AI55">
            <v>144</v>
          </cell>
          <cell r="AK55">
            <v>17307</v>
          </cell>
        </row>
        <row r="56">
          <cell r="AI56">
            <v>142.00000000000003</v>
          </cell>
          <cell r="AK56">
            <v>16950</v>
          </cell>
        </row>
        <row r="57">
          <cell r="AI57">
            <v>144</v>
          </cell>
          <cell r="AK57">
            <v>16311</v>
          </cell>
        </row>
        <row r="58">
          <cell r="AI58">
            <v>115.20000000000003</v>
          </cell>
          <cell r="AK58">
            <v>15556</v>
          </cell>
        </row>
        <row r="59">
          <cell r="AI59">
            <v>151.19999999999999</v>
          </cell>
          <cell r="AK59">
            <v>15589</v>
          </cell>
        </row>
        <row r="60">
          <cell r="AI60">
            <v>144</v>
          </cell>
          <cell r="AK60">
            <v>16858</v>
          </cell>
        </row>
        <row r="61">
          <cell r="AI61">
            <v>43.2</v>
          </cell>
          <cell r="AK61">
            <v>15098</v>
          </cell>
        </row>
        <row r="62">
          <cell r="AI62">
            <v>144</v>
          </cell>
          <cell r="AK62">
            <v>15237</v>
          </cell>
        </row>
        <row r="63">
          <cell r="AI63">
            <v>142.80000000000001</v>
          </cell>
          <cell r="AK63">
            <v>17208</v>
          </cell>
        </row>
        <row r="64">
          <cell r="AI64">
            <v>136.80000000000001</v>
          </cell>
          <cell r="AK64">
            <v>17324</v>
          </cell>
        </row>
        <row r="65">
          <cell r="AI65">
            <v>79.200000000000017</v>
          </cell>
          <cell r="AK65">
            <v>17102</v>
          </cell>
        </row>
        <row r="66">
          <cell r="AI66">
            <v>79.200000000000017</v>
          </cell>
          <cell r="AK66">
            <v>17329</v>
          </cell>
        </row>
        <row r="67">
          <cell r="AI67">
            <v>108.00000000000003</v>
          </cell>
          <cell r="AK67">
            <v>17289</v>
          </cell>
        </row>
        <row r="68">
          <cell r="AI68">
            <v>100.80000000000003</v>
          </cell>
          <cell r="AK68">
            <v>14639</v>
          </cell>
        </row>
        <row r="69">
          <cell r="AI69">
            <v>86.40000000000002</v>
          </cell>
          <cell r="AK69">
            <v>17196</v>
          </cell>
        </row>
        <row r="70">
          <cell r="AI70">
            <v>144</v>
          </cell>
          <cell r="AK70">
            <v>17266</v>
          </cell>
        </row>
        <row r="71">
          <cell r="AI71">
            <v>129.60000000000002</v>
          </cell>
          <cell r="AK71">
            <v>14988</v>
          </cell>
        </row>
        <row r="72">
          <cell r="AI72">
            <v>144</v>
          </cell>
          <cell r="AK72">
            <v>15889</v>
          </cell>
        </row>
        <row r="73">
          <cell r="AI73">
            <v>129.60000000000002</v>
          </cell>
          <cell r="AK73">
            <v>17302</v>
          </cell>
        </row>
        <row r="74">
          <cell r="AI74">
            <v>144</v>
          </cell>
          <cell r="AK74">
            <v>17079</v>
          </cell>
        </row>
        <row r="75">
          <cell r="AI75">
            <v>151.19999999999999</v>
          </cell>
          <cell r="AK75">
            <v>15260</v>
          </cell>
        </row>
        <row r="76">
          <cell r="AI76">
            <v>7.2</v>
          </cell>
        </row>
        <row r="84">
          <cell r="AI84">
            <v>151.19999999999999</v>
          </cell>
        </row>
        <row r="85">
          <cell r="AI85">
            <v>151.19999999999999</v>
          </cell>
        </row>
        <row r="86">
          <cell r="AI86">
            <v>151.19999999999999</v>
          </cell>
        </row>
        <row r="87">
          <cell r="AI87">
            <v>115.20000000000003</v>
          </cell>
        </row>
        <row r="88">
          <cell r="AI88">
            <v>93.600000000000023</v>
          </cell>
        </row>
        <row r="89">
          <cell r="AI89">
            <v>136.80000000000001</v>
          </cell>
        </row>
        <row r="90">
          <cell r="AI90">
            <v>168</v>
          </cell>
        </row>
        <row r="91">
          <cell r="AI91">
            <v>160</v>
          </cell>
        </row>
        <row r="92">
          <cell r="AI92">
            <v>168</v>
          </cell>
        </row>
        <row r="93">
          <cell r="AI93">
            <v>100.80000000000003</v>
          </cell>
        </row>
      </sheetData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</sheetDataSet>
  </externalBook>
</externalLink>
</file>

<file path=xl/tables/table1.xml><?xml version="1.0" encoding="utf-8"?>
<table xmlns="http://schemas.openxmlformats.org/spreadsheetml/2006/main" id="1" name="Таблица1" displayName="Таблица1" ref="A1:AP837" totalsRowShown="0" headerRowDxfId="484" dataDxfId="482" headerRowBorderDxfId="483">
  <autoFilter ref="A1:AP837"/>
  <tableColumns count="42">
    <tableColumn id="1" name="мес" dataDxfId="481" totalsRowDxfId="480"/>
    <tableColumn id="2" name="год" dataDxfId="479" totalsRowDxfId="478"/>
    <tableColumn id="3" name="изд" dataDxfId="477" totalsRowDxfId="476"/>
    <tableColumn id="4" name="партия" dataDxfId="475" totalsRowDxfId="474"/>
    <tableColumn id="5" name="коэф" dataDxfId="473" totalsRowDxfId="472"/>
    <tableColumn id="6" name="Ф. И. О." dataDxfId="471"/>
    <tableColumn id="7" name="р/р" dataDxfId="470" totalsRowDxfId="469"/>
    <tableColumn id="8" name="1" dataDxfId="468"/>
    <tableColumn id="9" name="2" dataDxfId="467"/>
    <tableColumn id="10" name="3" dataDxfId="466"/>
    <tableColumn id="29" name="4" dataDxfId="465" totalsRowDxfId="464"/>
    <tableColumn id="32" name="5" dataDxfId="463" totalsRowDxfId="462"/>
    <tableColumn id="11" name="6" dataDxfId="461"/>
    <tableColumn id="12" name="7" dataDxfId="460" totalsRowDxfId="459"/>
    <tableColumn id="30" name="8" dataDxfId="458" totalsRowDxfId="457"/>
    <tableColumn id="31" name="9" dataDxfId="456" totalsRowDxfId="455"/>
    <tableColumn id="13" name="10" dataDxfId="454" totalsRowDxfId="453"/>
    <tableColumn id="33" name="11" dataDxfId="452" totalsRowDxfId="451"/>
    <tableColumn id="34" name="12" dataDxfId="450" totalsRowDxfId="449"/>
    <tableColumn id="14" name="13" dataDxfId="448" totalsRowDxfId="447"/>
    <tableColumn id="15" name="14" dataDxfId="446" totalsRowDxfId="445"/>
    <tableColumn id="16" name="15" dataDxfId="444" totalsRowDxfId="443"/>
    <tableColumn id="17" name="16" dataDxfId="442" totalsRowDxfId="441"/>
    <tableColumn id="18" name="17" dataDxfId="440" totalsRowDxfId="439"/>
    <tableColumn id="35" name="18" dataDxfId="438" totalsRowDxfId="437"/>
    <tableColumn id="36" name="19" dataDxfId="436" totalsRowDxfId="435"/>
    <tableColumn id="19" name="20" dataDxfId="434" totalsRowDxfId="433"/>
    <tableColumn id="20" name="21" dataDxfId="432" totalsRowDxfId="431"/>
    <tableColumn id="21" name="22" dataDxfId="430" totalsRowDxfId="429"/>
    <tableColumn id="22" name="23" dataDxfId="428" totalsRowDxfId="427"/>
    <tableColumn id="23" name="24" dataDxfId="426" totalsRowDxfId="425"/>
    <tableColumn id="37" name="25" dataDxfId="424" totalsRowDxfId="423"/>
    <tableColumn id="38" name="26" totalsRowDxfId="422"/>
    <tableColumn id="24" name="27" totalsRowDxfId="421"/>
    <tableColumn id="25" name="28" totalsRowDxfId="420"/>
    <tableColumn id="26" name="29" totalsRowDxfId="419"/>
    <tableColumn id="27" name="30" dataDxfId="418" totalsRowDxfId="417"/>
    <tableColumn id="43" name="31" dataDxfId="416"/>
    <tableColumn id="28" name="сумма" dataDxfId="415" totalsRowDxfId="414">
      <calculatedColumnFormula>SUM(#REF!)-Таблица1[[#This Row],[1]]-Таблица1[[#This Row],[2]]-Таблица1[[#This Row],[3]]-Таблица1[[#This Row],[7]]-Таблица1[[#This Row],[8]]-Таблица1[[#This Row],[9]]-Таблица1[[#This Row],[10]]-Таблица1[[#This Row],[14]]-Таблица1[[#This Row],[21]]-Таблица1[[#This Row],[22]]-Таблица1[[#This Row],[28]]</calculatedColumnFormula>
    </tableColumn>
    <tableColumn id="40" name="Столбец1" dataDxfId="413" totalsRowDxfId="412">
      <calculatedColumnFormula>SUM(Таблица1[[#This Row],[1]]+Таблица1[[#This Row],[2]]+Таблица1[[#This Row],[3]]+Таблица1[[#This Row],[7]]+Таблица1[[#This Row],[8]]+Таблица1[[#This Row],[9]]+Таблица1[[#This Row],[14]]+Таблица1[[#This Row],[21]]+Таблица1[[#This Row],[28]])</calculatedColumnFormula>
    </tableColumn>
    <tableColumn id="41" name="Столбец2" dataDxfId="411" totalsRowDxfId="410">
      <calculatedColumnFormula>IF(AR2&lt;=3,(IF((G2="5/24"),((база!$M$6*Таблица1[[#This Row],[сумма]]*Таблица1[[#This Row],[коэф]])),
IF((G2="4/24"),((база!$M$5*Таблица1[[#This Row],[сумма]]*Таблица1[[#This Row],[коэф]])),
IF((G2="3/24"),((база!$M$4*Таблица1[[#This Row],[сумма]]*Таблица1[[#This Row],[коэф]])),
IF((G2="5/16"),((база!$L$6*Таблица1[[#This Row],[сумма]]*Таблица1[[#This Row],[коэф]])),
IF((G2="4/16"),((база!$L$5*Таблица1[[#This Row],[сумма]]*Таблица1[[#This Row],[коэф]])),
IF((G2="3/16"),((база!$L$4*Таблица1[[#This Row],[сумма]]*Таблица1[[#This Row],[коэф]])),
IF((G2="4/4"),((база!$I$5*Таблица1[[#This Row],[сумма]]*Таблица1[[#This Row],[коэф]])),
IF(OR(G2="2/4",G2="3/4"),((база!$I$4*Таблица1[[#This Row],[сумма]]*Таблица1[[#This Row],[коэф]])),
IF((G2="5/8"),((база!$J$6*Таблица1[[#This Row],[сумма]]*Таблица1[[#This Row],[коэф]])),
IF((G2="4/8"),((база!$J$5*Таблица1[[#This Row],[сумма]]*Таблица1[[#This Row],[коэф]])),
IF(OR(G2="3/8",G2="2/8"),((база!$J$4*Таблица1[[#This Row],[сумма]]*Таблица1[[#This Row],[коэф]])))))))))))))),
(IF((G2="5/24"),((база!$M$6*Таблица1[[#This Row],[сумма]]*Таблица1[[#This Row],[коэф]])),
IF(OR(G2="4/24",G2="3/24"),((база!$M$5*Таблица1[[#This Row],[сумма]]*Таблица1[[#This Row],[коэф]])),
IF((G2="5/16"),((база!$L$6*Таблица1[[#This Row],[сумма]]*Таблица1[[#This Row],[коэф]])),
IF(OR(G2="4/16",G2="3/16"),((база!$L$5*Таблица1[[#This Row],[сумма]]*Таблица1[[#This Row],[коэф]])),
IF(OR(G2="2/4",G2="3/4",G2="4/4"),((база!$I$5*Таблица1[[#This Row],[сумма]]*Таблица1[[#This Row],[коэф]])),
IF((G2="5/8"),((база!$J$6*Таблица1[[#This Row],[сумма]]*Таблица1[[#This Row],[коэф]])),
IF(OR(G2="4/8",G2="3/8",G2="2/8"),((база!$J$5*Таблица1[[#This Row],[сумма]]*Таблица1[[#This Row],[коэф]])))))))))))</calculatedColumnFormula>
    </tableColumn>
    <tableColumn id="39" name="Столбец3" dataDxfId="40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Таблица14" displayName="Таблица14" ref="A1:AO494" totalsRowCount="1" headerRowDxfId="408" dataDxfId="406" headerRowBorderDxfId="407">
  <autoFilter ref="A1:AO493"/>
  <tableColumns count="41">
    <tableColumn id="1" name="месяц" totalsRowLabel="Итог" dataDxfId="405" totalsRowDxfId="404"/>
    <tableColumn id="2" name="год" dataDxfId="403" totalsRowDxfId="402"/>
    <tableColumn id="3" name="изд" totalsRowDxfId="401"/>
    <tableColumn id="4" name="партия" dataDxfId="400" totalsRowDxfId="399"/>
    <tableColumn id="5" name="коэф" dataDxfId="398" totalsRowDxfId="397"/>
    <tableColumn id="6" name="Ф. И. О." dataDxfId="396" totalsRowDxfId="395" dataCellStyle="Обычный 2"/>
    <tableColumn id="7" name="р/р" totalsRowFunction="sum" dataDxfId="394" totalsRowDxfId="393"/>
    <tableColumn id="8" name="1" totalsRowFunction="sum" dataDxfId="392" totalsRowDxfId="391"/>
    <tableColumn id="9" name="2" totalsRowFunction="sum" dataDxfId="390" totalsRowDxfId="389"/>
    <tableColumn id="10" name="3" totalsRowFunction="sum" dataDxfId="388" totalsRowDxfId="387"/>
    <tableColumn id="29" name="4" totalsRowFunction="sum" dataDxfId="386" totalsRowDxfId="385"/>
    <tableColumn id="32" name="5" totalsRowFunction="sum" dataDxfId="384" totalsRowDxfId="383"/>
    <tableColumn id="11" name="6" totalsRowFunction="sum" dataDxfId="382" totalsRowDxfId="381"/>
    <tableColumn id="12" name="7" totalsRowFunction="sum" dataDxfId="380" totalsRowDxfId="379"/>
    <tableColumn id="30" name="8" totalsRowFunction="sum" dataDxfId="378" totalsRowDxfId="377"/>
    <tableColumn id="31" name="9" totalsRowFunction="sum" dataDxfId="376" totalsRowDxfId="375"/>
    <tableColumn id="13" name="10" totalsRowFunction="sum" dataDxfId="374" totalsRowDxfId="373"/>
    <tableColumn id="33" name="11" totalsRowFunction="sum" dataDxfId="372" totalsRowDxfId="371"/>
    <tableColumn id="34" name="12" totalsRowFunction="sum" dataDxfId="370" totalsRowDxfId="369"/>
    <tableColumn id="14" name="13" totalsRowFunction="sum" dataDxfId="368" totalsRowDxfId="367"/>
    <tableColumn id="15" name="14" totalsRowFunction="sum" dataDxfId="366" totalsRowDxfId="365"/>
    <tableColumn id="16" name="15" totalsRowFunction="sum" dataDxfId="364" totalsRowDxfId="363"/>
    <tableColumn id="17" name="16" totalsRowFunction="sum" dataDxfId="362" totalsRowDxfId="361"/>
    <tableColumn id="18" name="17" totalsRowFunction="sum" dataDxfId="360" totalsRowDxfId="359"/>
    <tableColumn id="35" name="18" totalsRowFunction="sum" dataDxfId="358" totalsRowDxfId="357"/>
    <tableColumn id="36" name="19" totalsRowFunction="sum" dataDxfId="356" totalsRowDxfId="355"/>
    <tableColumn id="19" name="20" totalsRowFunction="sum" dataDxfId="354" totalsRowDxfId="353"/>
    <tableColumn id="20" name="21" totalsRowFunction="sum" dataDxfId="352" totalsRowDxfId="351"/>
    <tableColumn id="21" name="22" totalsRowFunction="sum" dataDxfId="350" totalsRowDxfId="349"/>
    <tableColumn id="22" name="23" totalsRowFunction="sum" dataDxfId="348" totalsRowDxfId="347"/>
    <tableColumn id="23" name="24" totalsRowFunction="sum" dataDxfId="346" totalsRowDxfId="345"/>
    <tableColumn id="37" name="25" totalsRowFunction="sum" dataDxfId="344" totalsRowDxfId="343"/>
    <tableColumn id="38" name="26" totalsRowFunction="sum" dataDxfId="342" totalsRowDxfId="341"/>
    <tableColumn id="24" name="27" totalsRowFunction="sum" dataDxfId="340" totalsRowDxfId="339"/>
    <tableColumn id="25" name="28" totalsRowFunction="sum" dataDxfId="338" totalsRowDxfId="337"/>
    <tableColumn id="26" name="29" totalsRowFunction="sum" dataDxfId="336" totalsRowDxfId="335"/>
    <tableColumn id="27" name="30" dataDxfId="334" totalsRowDxfId="333"/>
    <tableColumn id="39" name="31" totalsRowFunction="sum" dataDxfId="332" totalsRowDxfId="331"/>
    <tableColumn id="28" name="часы" totalsRowFunction="custom" dataDxfId="330" totalsRowDxfId="329">
      <calculatedColumnFormula>SUM(H2:AL2)</calculatedColumnFormula>
      <totalsRowFormula>SUM(сверхур!$AM$2:$AM$493)</totalsRowFormula>
    </tableColumn>
    <tableColumn id="41" name="Столбец2" totalsRowFunction="custom" dataDxfId="328" totalsRowDxfId="327">
      <calculatedColumnFormula>IF(AO2&lt;=3,(IF(AND(G2="5/24",AM2&gt;0.5),(AM2*2*база!$M$6*Таблица14[[#This Row],[коэф]]),
IF(AND(G2="4/24",AM2&gt;0.5),(AM2*2*база!$M$5*Таблица14[[#This Row],[коэф]]),
IF(AND(G2="3/24",AM2&gt;0.5),(AM2*2*база!$M$4*Таблица14[[#This Row],[коэф]]),
IF(AND(G2="5/16",AM2&gt;0.5),(AM2*2*база!$L$6*Таблица14[[#This Row],[коэф]]),
IF(AND(G2="4/16",AM2&gt;0.5),(AM2*2*база!$L$5*Таблица14[[#This Row],[коэф]]),
IF(AND(G2="3/16",AM2&gt;0.5),(AM2*2*база!$L$4*Таблица14[[#This Row],[коэф]]),
IF(AND(G2="4/4",AM2&gt;0.5),(AM2*2*база!$I$5*Таблица14[[#This Row],[коэф]]),
IF(OR(AND(G2="3/4",AM2&gt;0.5),AND(G2="2/4",AM2&gt;0.5)),(AM2*2*база!$I$4*Таблица14[[#This Row],[коэф]]),
IF(AND(G2="5/8",AM2&gt;0.5),(AM2*2*база!$J$6*Таблица14[[#This Row],[коэф]]),
IF(AND(G2="4/8",AM2&gt;0.5),(AM2*2*база!$J$5*Таблица14[[#This Row],[коэф]]),
IF(OR(AND(G2="3/8",AM2&gt;0.5),AND(G2="2/8",AM2&gt;0.5)),(AM2*2*база!$J$4*Таблица14[[#This Row],[коэф]]),
(AM2*0.5*база!$L$4*Таблица14[[#This Row],[коэф]]))))))))))))),
(IF(AND(G2="5/24",AM2&gt;0.5),(AM2*2*база!$M$6*Таблица14[[#This Row],[коэф]]),
IF(OR(AND(G2="4/24",AM2&gt;0.5),AND(G2="3/24",AM2&gt;0.5)),(AM2*2*база!$M$5*Таблица14[[#This Row],[коэф]]),
IF(AND(G2="5/16",AM2&gt;0.5),(AM2*2*база!$L$6*Таблица14[[#This Row],[коэф]]),
IF(OR(AND(G2="4/16",AM2&gt;0.5),AND(G2="3/16",AM2&gt;0.5)),(AM2*2*база!$L$5*Таблица14[[#This Row],[коэф]]),
IF(OR(AND(G2="4/4",AM2&gt;0.5),AND(G2="3/4",AM2&gt;2)),(AM2*2*база!$I$5*Таблица14[[#This Row],[коэф]]),
IF(AND(G2="5/8",AM2&gt;0.5),(AM2*2*база!$J$6*Таблица14[[#This Row],[коэф]]),
IF(AND(G2="4/8",AM2&gt;0.5),(AM2*2*база!$J$5*Таблица14[[#This Row],[коэф]]),
IF(OR(AND(G2="3/8",AM2&gt;0.5),AND(G2="2/8",AM2&gt;0.5)),(AM2*2*база!$J$4*Таблица14[[#This Row],[коэф]]),
(AM2*2*база!$L$5*Таблица14[[#This Row],[коэф]])))))))))))</calculatedColumnFormula>
      <totalsRowFormula>SUM(Таблица14[Столбец2])</totalsRowFormula>
    </tableColumn>
    <tableColumn id="43" name="присвоенный_x000a_ разряд" dataDxfId="326" totalsRowDxfId="325">
      <calculatedColumnFormula>IFERROR(INDEX(база!$D$2:$D$120, MATCH(Таблица14[[#This Row],[Ф. И. О.]],база!$B$2:$B$100,0)),"")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A15" totalsRowShown="0" headerRowDxfId="127" dataDxfId="125" headerRowBorderDxfId="126" tableBorderDxfId="124" totalsRowBorderDxfId="123">
  <autoFilter ref="A1:A15"/>
  <tableColumns count="1">
    <tableColumn id="1" name="партия" dataDxfId="12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C1:C13" totalsRowShown="0" headerRowDxfId="121" dataDxfId="119" headerRowBorderDxfId="120" tableBorderDxfId="118" totalsRowBorderDxfId="117">
  <autoFilter ref="C1:C13"/>
  <tableColumns count="1">
    <tableColumn id="1" name="р/р" dataDxfId="116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D1:D81" totalsRowShown="0" headerRowDxfId="115" dataDxfId="113" headerRowBorderDxfId="114" tableBorderDxfId="112" totalsRowBorderDxfId="111">
  <autoFilter ref="D1:D81"/>
  <tableColumns count="1">
    <tableColumn id="1" name="разряд" dataDxfId="110">
      <calculatedColumnFormula>INDEX($Q$1:$BH$100,ROW(B2),MATCH(Data_Tech!$AU$7,$Q$1:$AN$1,)+COLUMN(B2)-1)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E1:E81" totalsRowShown="0" headerRowDxfId="109" dataDxfId="107" headerRowBorderDxfId="108" tableBorderDxfId="106" totalsRowBorderDxfId="105">
  <autoFilter ref="E1:E81"/>
  <tableColumns count="1">
    <tableColumn id="1" name="Таб №" dataDxfId="104">
      <calculatedColumnFormula>INDEX($Q$1:$BH$100,ROW(C2),MATCH(Data_Tech!$AU$7,$Q$1:$AN$1,)+COLUMN(C2)-1)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tables/table1.xml" Type="http://schemas.openxmlformats.org/officeDocument/2006/relationships/table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tables/table2.xml" Type="http://schemas.openxmlformats.org/officeDocument/2006/relationships/table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tables/table3.xml" Type="http://schemas.openxmlformats.org/officeDocument/2006/relationships/table"/><Relationship Id="rId3" Target="../tables/table4.xml" Type="http://schemas.openxmlformats.org/officeDocument/2006/relationships/table"/><Relationship Id="rId4" Target="../tables/table5.xml" Type="http://schemas.openxmlformats.org/officeDocument/2006/relationships/table"/><Relationship Id="rId5" Target="../tables/table6.xml" Type="http://schemas.openxmlformats.org/officeDocument/2006/relationships/table"/></Relationships>
</file>

<file path=xl/worksheets/_rels/sheet7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/Relationships>
</file>

<file path=xl/worksheets/_rels/sheet8.xml.rels><?xml version="1.0" encoding="UTF-8" standalone="yes"?><Relationships xmlns="http://schemas.openxmlformats.org/package/2006/relationships"><Relationship Id="rId1" Target="../printerSettings/printerSettings7.bin" Type="http://schemas.openxmlformats.org/officeDocument/2006/relationships/printerSettings"/></Relationships>
</file>

<file path=xl/worksheets/_rels/sheet9.xml.rels><?xml version="1.0" encoding="UTF-8" standalone="yes"?><Relationships xmlns="http://schemas.openxmlformats.org/package/2006/relationships"><Relationship Id="rId1" Target="../printerSettings/printerSettings8.bin" Type="http://schemas.openxmlformats.org/officeDocument/2006/relationships/printerSettings"/></Relationships>
</file>

<file path=xl/worksheets/_rels/sheet10.xml.rels><?xml version="1.0" encoding="UTF-8" standalone="yes"?><Relationships xmlns="http://schemas.openxmlformats.org/package/2006/relationships"><Relationship Id="rId1" Target="../printerSettings/printerSettings9.bin" Type="http://schemas.openxmlformats.org/officeDocument/2006/relationships/printerSettings"/></Relationships>
</file>

<file path=xl/worksheets/_rels/sheet11.xml.rels><?xml version="1.0" encoding="UTF-8" standalone="yes"?><Relationships xmlns="http://schemas.openxmlformats.org/package/2006/relationships"><Relationship Id="rId1" Target="../printerSettings/printerSettings10.bin" Type="http://schemas.openxmlformats.org/officeDocument/2006/relationships/printerSettings"/></Relationships>
</file>

<file path=xl/worksheets/_rels/sheet12.xml.rels><?xml version="1.0" encoding="UTF-8" standalone="yes"?><Relationships xmlns="http://schemas.openxmlformats.org/package/2006/relationships"><Relationship Id="rId1" Target="../printerSettings/printerSettings11.bin" Type="http://schemas.openxmlformats.org/officeDocument/2006/relationships/printerSettings"/></Relationships>
</file>

<file path=xl/worksheets/_rels/sheet13.xml.rels><?xml version="1.0" encoding="UTF-8" standalone="yes"?><Relationships xmlns="http://schemas.openxmlformats.org/package/2006/relationships"><Relationship Id="rId1" Target="../printerSettings/printerSettings12.bin" Type="http://schemas.openxmlformats.org/officeDocument/2006/relationships/printerSettings"/></Relationships>
</file>

<file path=xl/worksheets/_rels/sheet14.xml.rels><?xml version="1.0" encoding="UTF-8" standalone="yes"?><Relationships xmlns="http://schemas.openxmlformats.org/package/2006/relationships"><Relationship Id="rId1" Target="../printerSettings/printerSettings13.bin" Type="http://schemas.openxmlformats.org/officeDocument/2006/relationships/printerSettings"/></Relationships>
</file>

<file path=xl/worksheets/_rels/sheet15.xml.rels><?xml version="1.0" encoding="UTF-8" standalone="yes"?><Relationships xmlns="http://schemas.openxmlformats.org/package/2006/relationships"><Relationship Id="rId1" Target="../printerSettings/printerSettings14.bin" Type="http://schemas.openxmlformats.org/officeDocument/2006/relationships/printerSettings"/></Relationships>
</file>

<file path=xl/worksheets/_rels/sheet16.xml.rels><?xml version="1.0" encoding="UTF-8" standalone="yes"?><Relationships xmlns="http://schemas.openxmlformats.org/package/2006/relationships"><Relationship Id="rId1" Target="../printerSettings/printerSettings15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AZ854"/>
  <sheetViews>
    <sheetView showZeros="0" tabSelected="1" zoomScale="60" zoomScaleNormal="60" workbookViewId="0">
      <selection activeCell="G755" sqref="G755"/>
    </sheetView>
  </sheetViews>
  <sheetFormatPr defaultRowHeight="14.25"/>
  <cols>
    <col min="1" max="1" customWidth="true" style="5" width="10.5703125"/>
    <col min="2" max="2" customWidth="true" style="232" width="5.5703125"/>
    <col min="3" max="3" customWidth="true" style="5" width="9.85546875"/>
    <col min="4" max="4" customWidth="true" style="31" width="7.85546875"/>
    <col min="5" max="5" customWidth="true" style="227" width="6.42578125"/>
    <col min="6" max="6" customWidth="true" style="229" width="45.28515625"/>
    <col min="7" max="7" customWidth="true" style="1" width="6.5703125"/>
    <col min="8" max="15" customWidth="true" style="46" width="5.42578125"/>
    <col min="16" max="16" customWidth="true" style="21" width="5.42578125"/>
    <col min="17" max="38" customWidth="true" style="46" width="5.42578125"/>
    <col min="39" max="39" customWidth="true" style="1" width="10.0"/>
    <col min="40" max="40" customWidth="true" style="46" width="11.28515625"/>
    <col min="41" max="42" customWidth="true" style="145" width="10.140625"/>
    <col min="43" max="43" customWidth="true" style="733" width="5.0"/>
    <col min="44" max="44" customWidth="true" style="1" width="11.7109375"/>
    <col min="45" max="45" customWidth="true" style="758" width="9.28515625"/>
    <col min="46" max="46" customWidth="true" style="1" width="5.0"/>
    <col min="47" max="47" customWidth="true" style="1" width="12.85546875"/>
    <col min="48" max="49" bestFit="true" customWidth="true" style="1" width="12.42578125"/>
    <col min="50" max="50" bestFit="true" customWidth="true" style="1" width="10.7109375"/>
    <col min="51" max="51" customWidth="true" style="1" width="16.7109375"/>
    <col min="52" max="52" customWidth="true" style="1" width="20.7109375"/>
    <col min="53" max="16384" style="1" width="9.140625"/>
  </cols>
  <sheetData>
    <row r="1" spans="1:52" s="57" customFormat="1" ht="60.75" customHeight="1">
      <c r="A1" s="209" t="s">
        <v>103</v>
      </c>
      <c r="B1" s="230" t="s">
        <v>8</v>
      </c>
      <c r="C1" s="114" t="s">
        <v>2</v>
      </c>
      <c r="D1" s="115" t="s">
        <v>10</v>
      </c>
      <c r="E1" s="226" t="s">
        <v>9</v>
      </c>
      <c r="F1" s="228" t="s">
        <v>0</v>
      </c>
      <c r="G1" s="117" t="s">
        <v>1</v>
      </c>
      <c r="H1" s="301" t="s">
        <v>46</v>
      </c>
      <c r="I1" s="301" t="s">
        <v>11</v>
      </c>
      <c r="J1" s="301" t="s">
        <v>12</v>
      </c>
      <c r="K1" s="659" t="s">
        <v>54</v>
      </c>
      <c r="L1" s="650" t="s">
        <v>55</v>
      </c>
      <c r="M1" s="650" t="s">
        <v>13</v>
      </c>
      <c r="N1" s="301" t="s">
        <v>44</v>
      </c>
      <c r="O1" s="650" t="s">
        <v>45</v>
      </c>
      <c r="P1" s="650" t="s">
        <v>14</v>
      </c>
      <c r="Q1" s="301" t="s">
        <v>15</v>
      </c>
      <c r="R1" s="301" t="s">
        <v>56</v>
      </c>
      <c r="S1" s="301" t="s">
        <v>57</v>
      </c>
      <c r="T1" s="301" t="s">
        <v>16</v>
      </c>
      <c r="U1" s="301" t="s">
        <v>47</v>
      </c>
      <c r="V1" s="301" t="s">
        <v>48</v>
      </c>
      <c r="W1" s="301" t="s">
        <v>17</v>
      </c>
      <c r="X1" s="301" t="s">
        <v>18</v>
      </c>
      <c r="Y1" s="301" t="s">
        <v>58</v>
      </c>
      <c r="Z1" s="301" t="s">
        <v>59</v>
      </c>
      <c r="AA1" s="301" t="s">
        <v>19</v>
      </c>
      <c r="AB1" s="301" t="s">
        <v>49</v>
      </c>
      <c r="AC1" s="301" t="s">
        <v>50</v>
      </c>
      <c r="AD1" s="650" t="s">
        <v>20</v>
      </c>
      <c r="AE1" s="650" t="s">
        <v>21</v>
      </c>
      <c r="AF1" s="301" t="s">
        <v>60</v>
      </c>
      <c r="AG1" s="301" t="s">
        <v>61</v>
      </c>
      <c r="AH1" s="301" t="s">
        <v>22</v>
      </c>
      <c r="AI1" s="301" t="s">
        <v>51</v>
      </c>
      <c r="AJ1" s="301" t="s">
        <v>52</v>
      </c>
      <c r="AK1" s="301" t="s">
        <v>53</v>
      </c>
      <c r="AL1" s="661" t="s">
        <v>62</v>
      </c>
      <c r="AM1" s="119" t="s">
        <v>42</v>
      </c>
      <c r="AN1" s="119" t="s">
        <v>70</v>
      </c>
      <c r="AO1" s="291" t="s">
        <v>93</v>
      </c>
      <c r="AP1" s="294" t="s">
        <v>344</v>
      </c>
      <c r="AQ1" s="732" t="s">
        <v>345</v>
      </c>
      <c r="AR1" s="731" t="s">
        <v>87</v>
      </c>
      <c r="AS1" s="757" t="s">
        <v>385</v>
      </c>
      <c r="AU1" s="566" t="b">
        <f>AV1=расчет!Z930</f>
        <v>1</v>
      </c>
      <c r="AV1" s="565">
        <f>SUM(AO:AO)</f>
        <v>0</v>
      </c>
      <c r="AW1" s="234">
        <f>расчет!Z930</f>
        <v>0</v>
      </c>
      <c r="AX1" s="297"/>
      <c r="AY1" s="756">
        <f>SUM(AN3:AN837)</f>
        <v>0</v>
      </c>
      <c r="AZ1" s="57">
        <f>'наряд выходн'!Y941</f>
        <v>0</v>
      </c>
    </row>
    <row r="2" spans="1:52" s="57" customFormat="1" ht="27.75" customHeight="1">
      <c r="A2" s="664" t="s">
        <v>7</v>
      </c>
      <c r="B2" s="665" t="s">
        <v>8</v>
      </c>
      <c r="C2" s="664" t="s">
        <v>2</v>
      </c>
      <c r="D2" s="666" t="s">
        <v>10</v>
      </c>
      <c r="E2" s="667" t="s">
        <v>9</v>
      </c>
      <c r="F2" s="662" t="s">
        <v>0</v>
      </c>
      <c r="G2" s="668" t="s">
        <v>1</v>
      </c>
      <c r="H2" s="663">
        <f>--(1&amp;A3&amp;B3)</f>
        <v>45292</v>
      </c>
      <c r="I2" s="663">
        <f t="shared" ref="I2:AL2" si="0">IF(($H$2+COLUMN(A:A))&gt;EOMONTH($H$2,0),0,$H$2+COLUMN(A:A))</f>
        <v>45293</v>
      </c>
      <c r="J2" s="663">
        <f t="shared" si="0"/>
        <v>45294</v>
      </c>
      <c r="K2" s="663">
        <f t="shared" si="0"/>
        <v>45295</v>
      </c>
      <c r="L2" s="663">
        <f t="shared" si="0"/>
        <v>45296</v>
      </c>
      <c r="M2" s="663">
        <f t="shared" si="0"/>
        <v>45297</v>
      </c>
      <c r="N2" s="663">
        <f t="shared" si="0"/>
        <v>45298</v>
      </c>
      <c r="O2" s="663">
        <f t="shared" si="0"/>
        <v>45299</v>
      </c>
      <c r="P2" s="663">
        <f t="shared" si="0"/>
        <v>45300</v>
      </c>
      <c r="Q2" s="663">
        <f t="shared" si="0"/>
        <v>45301</v>
      </c>
      <c r="R2" s="663">
        <f t="shared" si="0"/>
        <v>45302</v>
      </c>
      <c r="S2" s="663">
        <f t="shared" si="0"/>
        <v>45303</v>
      </c>
      <c r="T2" s="663">
        <f t="shared" si="0"/>
        <v>45304</v>
      </c>
      <c r="U2" s="663">
        <f t="shared" si="0"/>
        <v>45305</v>
      </c>
      <c r="V2" s="663">
        <f t="shared" si="0"/>
        <v>45306</v>
      </c>
      <c r="W2" s="663">
        <f t="shared" si="0"/>
        <v>45307</v>
      </c>
      <c r="X2" s="663">
        <f t="shared" si="0"/>
        <v>45308</v>
      </c>
      <c r="Y2" s="663">
        <f t="shared" si="0"/>
        <v>45309</v>
      </c>
      <c r="Z2" s="663">
        <f t="shared" si="0"/>
        <v>45310</v>
      </c>
      <c r="AA2" s="663">
        <f t="shared" si="0"/>
        <v>45311</v>
      </c>
      <c r="AB2" s="663">
        <f t="shared" si="0"/>
        <v>45312</v>
      </c>
      <c r="AC2" s="663">
        <f t="shared" si="0"/>
        <v>45313</v>
      </c>
      <c r="AD2" s="663">
        <f t="shared" si="0"/>
        <v>45314</v>
      </c>
      <c r="AE2" s="663">
        <f t="shared" si="0"/>
        <v>45315</v>
      </c>
      <c r="AF2" s="663">
        <f t="shared" si="0"/>
        <v>45316</v>
      </c>
      <c r="AG2" s="663">
        <f t="shared" si="0"/>
        <v>45317</v>
      </c>
      <c r="AH2" s="663">
        <f t="shared" si="0"/>
        <v>45318</v>
      </c>
      <c r="AI2" s="663">
        <f t="shared" si="0"/>
        <v>45319</v>
      </c>
      <c r="AJ2" s="663">
        <f t="shared" si="0"/>
        <v>45320</v>
      </c>
      <c r="AK2" s="663">
        <f t="shared" si="0"/>
        <v>45321</v>
      </c>
      <c r="AL2" s="663">
        <f t="shared" si="0"/>
        <v>45322</v>
      </c>
      <c r="AM2" s="669" t="s">
        <v>42</v>
      </c>
      <c r="AN2" s="670" t="s">
        <v>104</v>
      </c>
      <c r="AO2" s="671"/>
      <c r="AP2" s="729"/>
      <c r="AQ2" s="712"/>
      <c r="AS2" s="757"/>
      <c r="AV2" s="233"/>
      <c r="AW2" s="234">
        <f>AV1-AW1</f>
        <v>0</v>
      </c>
      <c r="AX2" s="297"/>
      <c r="AY2" s="750">
        <f>SUM(AP3:AP837)</f>
        <v>0</v>
      </c>
      <c r="AZ2" s="57">
        <f>'наряд выходн'!Z941</f>
        <v>0</v>
      </c>
    </row>
    <row r="3" spans="1:52" ht="18" customHeight="1">
      <c r="A3" s="923" t="s">
        <v>379</v>
      </c>
      <c r="B3" t="n" s="923">
        <v>2024.0</v>
      </c>
      <c r="C3" t="s" s="923">
        <v>386</v>
      </c>
      <c r="D3" t="s" s="923">
        <v>364</v>
      </c>
      <c r="E3" t="s" s="923">
        <v>46</v>
      </c>
      <c r="F3" t="s" s="923">
        <v>276</v>
      </c>
      <c r="G3" t="s" s="923">
        <v>4</v>
      </c>
      <c r="H3" s="923"/>
      <c r="I3" s="923"/>
      <c r="J3" t="n" s="923">
        <v>7.2</v>
      </c>
      <c r="K3" s="48"/>
      <c r="L3" t="n" s="46">
        <v>7.2</v>
      </c>
      <c r="M3" s="563"/>
      <c r="N3" s="48"/>
      <c r="O3" s="48"/>
      <c r="P3" s="48"/>
      <c r="Q3" s="784"/>
      <c r="R3" t="n" s="46">
        <v>4.2</v>
      </c>
      <c r="S3" s="784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51"/>
      <c r="AL3" s="51"/>
      <c r="AM3" s="212">
        <f>IF(AQ3=1,SUM(Q3:T3,W3:Z3,AC3:AF3,AI3:AL3),
IF(AQ3=2,SUM(P3,S3:V3,Y3:AB3,AE3:AH3,AK3:AL3),
IF(AQ3=3,SUM(P3:R3,U3:X3,AA3:AD3,AG3:AJ3),SUM(Таблица1[[#This Row],[1]:[31]])-Таблица1[[#This Row],[Столбец1]])))</f>
        <v>0</v>
      </c>
      <c r="AN3" s="778">
        <f t="array" ref="AN3">IF(AQ3=1,SUM(P3,U3:V3,AA3:AB3,AG3:AH3),
IF(AQ3=2,SUM(Q3:R3,W3:X3,AC3:AD3,AI3:AJ3),
IF(AQ3=3,SUM(S3:T3,Y3:Z3,AE3:AF3,AK3:AL3),
SUM(IFERROR(WEEKDAY($H$2:$AL$2,2)&gt;5,)*H3:AL3))))+Таблица1[[#This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" s="292" t="b">
        <f>IF(AR3&lt;=3,(IF((G3="5/24"),((база!$M$6*Таблица1[[#This Row],[сумма]]*Таблица1[[#This Row],[коэф]])),
IF((G3="4/24"),((база!$M$5*Таблица1[[#This Row],[сумма]]*Таблица1[[#This Row],[коэф]])),
IF((G3="3/24"),((база!$M$4*Таблица1[[#This Row],[сумма]]*Таблица1[[#This Row],[коэф]])),
IF((G3="5/16"),((база!$L$6*Таблица1[[#This Row],[сумма]]*Таблица1[[#This Row],[коэф]])),
IF((G3="4/16"),((база!$L$5*Таблица1[[#This Row],[сумма]]*Таблица1[[#This Row],[коэф]])),
IF((G3="3/16"),((база!$L$4*Таблица1[[#This Row],[сумма]]*Таблица1[[#This Row],[коэф]])),
IF((G3="4/4"),((база!$I$5*Таблица1[[#This Row],[сумма]]*Таблица1[[#This Row],[коэф]])),
IF(OR(G3="2/4",G3="3/4"),((база!$I$4*Таблица1[[#This Row],[сумма]]*Таблица1[[#This Row],[коэф]])),
IF((G3="5/8"),((база!$J$6*Таблица1[[#This Row],[сумма]]*Таблица1[[#This Row],[коэф]])),
IF((G3="4/8"),((база!$J$5*Таблица1[[#This Row],[сумма]]*Таблица1[[#This Row],[коэф]])),
IF(OR(G3="3/8",G3="2/8"),((база!$J$4*Таблица1[[#This Row],[сумма]]*Таблица1[[#This Row],[коэф]])))))))))))))),
(IF((G3="5/24"),((база!$M$6*Таблица1[[#This Row],[сумма]]*Таблица1[[#This Row],[коэф]])),
IF(OR(G3="4/24",G3="3/24"),((база!$M$5*Таблица1[[#This Row],[сумма]]*Таблица1[[#This Row],[коэф]])),
IF((G3="5/16"),((база!$L$6*Таблица1[[#This Row],[сумма]]*Таблица1[[#This Row],[коэф]])),
IF(OR(G3="4/16",G3="3/16"),((база!$L$5*Таблица1[[#This Row],[сумма]]*Таблица1[[#This Row],[коэф]])),
IF(OR(G3="2/4",G3="3/4",G3="4/4"),((база!$I$5*Таблица1[[#This Row],[сумма]]*Таблица1[[#This Row],[коэф]])),
IF((G3="5/8"),((база!$J$6*Таблица1[[#This Row],[сумма]]*Таблица1[[#This Row],[коэф]])),
IF(OR(G3="4/8",G3="3/8",G3="2/8"),((база!$J$5*Таблица1[[#This Row],[сумма]]*Таблица1[[#This Row],[коэф]])))))))))))</f>
        <v>0</v>
      </c>
      <c r="AP3" s="730" t="b">
        <f>IF(AR3&lt;=3,(IF((G3="5/24"),((база!$M$6*2*Таблица1[[#This Row],[Столбец1]]*Таблица1[[#This Row],[коэф]])),
IF((G3="4/24"),((база!$M$5*2*Таблица1[[#This Row],[Столбец1]]*Таблица1[[#This Row],[коэф]])),
IF((G3="3/24"),((база!$M$4*2*Таблица1[[#This Row],[Столбец1]]*Таблица1[[#This Row],[коэф]])),
IF((G3="5/16"),((база!$L$6*2*Таблица1[[#This Row],[Столбец1]]*Таблица1[[#This Row],[коэф]])),
IF((G3="4/16"),((база!$L$5*2*Таблица1[[#This Row],[Столбец1]]*Таблица1[[#This Row],[коэф]])),
IF((G3="3/16"),((база!$L$4*2*Таблица1[[#This Row],[Столбец1]]*Таблица1[[#This Row],[коэф]])),
IF((G3="4/4"),((база!$I$5*2*Таблица1[[#This Row],[Столбец1]]*Таблица1[[#This Row],[коэф]])),
IF(OR(G3="2/4",G3="3/4"),((база!$I$4*2*Таблица1[[#This Row],[Столбец1]]*Таблица1[[#This Row],[коэф]])),
IF((G3="5/8"),((база!$J$6*2*Таблица1[[#This Row],[Столбец1]]*Таблица1[[#This Row],[коэф]])),
IF((G3="4/8"),((база!$J$5*2*Таблица1[[#This Row],[Столбец1]]*Таблица1[[#This Row],[коэф]])),
IF(OR(G3="3/8",G3="2/8"),((база!$J$4*2*Таблица1[[#This Row],[Столбец1]]*Таблица1[[#This Row],[коэф]])))))))))))))),
(IF((G3="5/24"),((база!$M$6*2*Таблица1[[#This Row],[Столбец1]]*Таблица1[[#This Row],[коэф]])),
IF(OR(G3="4/24",G3="3/24"),((база!$M$5*2*Таблица1[[#This Row],[Столбец1]]*Таблица1[[#This Row],[коэф]])),
IF((G3="5/16"),((база!$L$6*2*Таблица1[[#This Row],[Столбец1]]*Таблица1[[#This Row],[коэф]])),
IF(OR(G3="4/16",G3="3/16"),((база!$L$5*2*Таблица1[[#This Row],[Столбец1]]*Таблица1[[#This Row],[коэф]])),
IF(OR(G3="2/4",G3="3/4",G3="4/4"),((база!$I$5*2*Таблица1[[#This Row],[Столбец1]]*Таблица1[[#This Row],[коэф]])),
IF((G3="5/8"),((база!$J$6*2*Таблица1[[#This Row],[Столбец1]]*Таблица1[[#This Row],[коэф]])),
IF(OR(G3="4/8",G3="3/8",G3="2/8"),((база!$J$5*2*Таблица1[[#This Row],[Столбец1]]*Таблица1[[#This Row],[коэф]])))))))))))</f>
        <v>0</v>
      </c>
      <c r="AQ3" s="712" t="str">
        <f>IFERROR(INDEX(база!T:T, MATCH(F3,база!Q:Q,0)),"")</f>
        <v/>
      </c>
      <c r="AR3" s="208" t="str">
        <f>IFERROR(INDEX(база!D:D, MATCH(F3,база!B:B,0)),"")</f>
        <v/>
      </c>
      <c r="AS3" s="758" t="str">
        <f>IFERROR(INDEX(база!E:E, MATCH(F3,база!B:B,0)),"")</f>
        <v/>
      </c>
      <c r="AU3" s="46"/>
      <c r="AY3" s="21">
        <f>AY1-AZ1</f>
        <v>0</v>
      </c>
      <c r="AZ3" s="145">
        <f>AY2-AZ2</f>
        <v>0</v>
      </c>
    </row>
    <row r="4" spans="1:52" s="46" customFormat="1" ht="15">
      <c r="A4" s="926" t="str">
        <f>A3</f>
        <v>январь</v>
      </c>
      <c r="B4" t="n" s="926">
        <v>2024.0</v>
      </c>
      <c r="C4" t="s" s="926">
        <v>388</v>
      </c>
      <c r="D4" t="s" s="926">
        <v>364</v>
      </c>
      <c r="E4" t="s" s="926">
        <v>46</v>
      </c>
      <c r="F4" t="s" s="926">
        <v>361</v>
      </c>
      <c r="G4" t="s" s="926">
        <v>3</v>
      </c>
      <c r="H4" s="926"/>
      <c r="I4" s="926"/>
      <c r="J4" s="926"/>
      <c r="K4" t="n" s="926">
        <v>7.2</v>
      </c>
      <c r="L4" s="563"/>
      <c r="M4" s="563"/>
      <c r="N4" s="563"/>
      <c r="O4" s="563"/>
      <c r="P4" s="48"/>
      <c r="Q4" s="563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51"/>
      <c r="AG4" s="51"/>
      <c r="AH4" s="51"/>
      <c r="AI4" s="51"/>
      <c r="AJ4" s="51"/>
      <c r="AK4" s="51"/>
      <c r="AL4" s="51"/>
      <c r="AM4" s="212">
        <f>IF(AQ4=1,SUM(Q4:T4,W4:Z4,AC4:AF4,AI4:AL4),
IF(AQ4=2,SUM(P4,S4:V4,Y4:AB4,AE4:AH4,AK4:AL4),
IF(AQ4=3,SUM(P4:R4,U4:X4,AA4:AD4,AG4:AJ4),SUM(Таблица1[[#This Row],[1]:[31]])-Таблица1[[#This Row],[Столбец1]])))</f>
        <v>0</v>
      </c>
      <c r="AN4" s="778">
        <f t="array" ref="AN4">IF(AQ4=1,SUM(P4,U4:V4,AA4:AB4,AG4:AH4),
IF(AQ4=2,SUM(Q4:R4,W4:X4,AC4:AD4,AI4:AJ4),
IF(AQ4=3,SUM(S4:T4,Y4:Z4,AE4:AF4,AK4:AL4),
SUM(IFERROR(WEEKDAY($H$2:$AL$2,2)&gt;5,)*H4:AL4))))+Таблица1[[#This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" s="292" t="b">
        <f>IF(AR4&lt;=3,(IF((G4="5/24"),((база!$M$6*Таблица1[[#This Row],[сумма]]*Таблица1[[#This Row],[коэф]])),
IF((G4="4/24"),((база!$M$5*Таблица1[[#This Row],[сумма]]*Таблица1[[#This Row],[коэф]])),
IF((G4="3/24"),((база!$M$4*Таблица1[[#This Row],[сумма]]*Таблица1[[#This Row],[коэф]])),
IF((G4="5/16"),((база!$L$6*Таблица1[[#This Row],[сумма]]*Таблица1[[#This Row],[коэф]])),
IF((G4="4/16"),((база!$L$5*Таблица1[[#This Row],[сумма]]*Таблица1[[#This Row],[коэф]])),
IF((G4="3/16"),((база!$L$4*Таблица1[[#This Row],[сумма]]*Таблица1[[#This Row],[коэф]])),
IF((G4="4/4"),((база!$I$5*Таблица1[[#This Row],[сумма]]*Таблица1[[#This Row],[коэф]])),
IF(OR(G4="2/4",G4="3/4"),((база!$I$4*Таблица1[[#This Row],[сумма]]*Таблица1[[#This Row],[коэф]])),
IF((G4="5/8"),((база!$J$6*Таблица1[[#This Row],[сумма]]*Таблица1[[#This Row],[коэф]])),
IF((G4="4/8"),((база!$J$5*Таблица1[[#This Row],[сумма]]*Таблица1[[#This Row],[коэф]])),
IF(OR(G4="3/8",G4="2/8"),((база!$J$4*Таблица1[[#This Row],[сумма]]*Таблица1[[#This Row],[коэф]])))))))))))))),
(IF((G4="5/24"),((база!$M$6*Таблица1[[#This Row],[сумма]]*Таблица1[[#This Row],[коэф]])),
IF(OR(G4="4/24",G4="3/24"),((база!$M$5*Таблица1[[#This Row],[сумма]]*Таблица1[[#This Row],[коэф]])),
IF((G4="5/16"),((база!$L$6*Таблица1[[#This Row],[сумма]]*Таблица1[[#This Row],[коэф]])),
IF(OR(G4="4/16",G4="3/16"),((база!$L$5*Таблица1[[#This Row],[сумма]]*Таблица1[[#This Row],[коэф]])),
IF(OR(G4="2/4",G4="3/4",G4="4/4"),((база!$I$5*Таблица1[[#This Row],[сумма]]*Таблица1[[#This Row],[коэф]])),
IF((G4="5/8"),((база!$J$6*Таблица1[[#This Row],[сумма]]*Таблица1[[#This Row],[коэф]])),
IF(OR(G4="4/8",G4="3/8",G4="2/8"),((база!$J$5*Таблица1[[#This Row],[сумма]]*Таблица1[[#This Row],[коэф]])))))))))))</f>
        <v>0</v>
      </c>
      <c r="AP4" s="730" t="b">
        <f>IF(AR4&lt;=3,(IF((G4="5/24"),((база!$M$6*2*Таблица1[[#This Row],[Столбец1]]*Таблица1[[#This Row],[коэф]])),
IF((G4="4/24"),((база!$M$5*2*Таблица1[[#This Row],[Столбец1]]*Таблица1[[#This Row],[коэф]])),
IF((G4="3/24"),((база!$M$4*2*Таблица1[[#This Row],[Столбец1]]*Таблица1[[#This Row],[коэф]])),
IF((G4="5/16"),((база!$L$6*2*Таблица1[[#This Row],[Столбец1]]*Таблица1[[#This Row],[коэф]])),
IF((G4="4/16"),((база!$L$5*2*Таблица1[[#This Row],[Столбец1]]*Таблица1[[#This Row],[коэф]])),
IF((G4="3/16"),((база!$L$4*2*Таблица1[[#This Row],[Столбец1]]*Таблица1[[#This Row],[коэф]])),
IF((G4="4/4"),((база!$I$5*2*Таблица1[[#This Row],[Столбец1]]*Таблица1[[#This Row],[коэф]])),
IF(OR(G4="2/4",G4="3/4"),((база!$I$4*2*Таблица1[[#This Row],[Столбец1]]*Таблица1[[#This Row],[коэф]])),
IF((G4="5/8"),((база!$J$6*2*Таблица1[[#This Row],[Столбец1]]*Таблица1[[#This Row],[коэф]])),
IF((G4="4/8"),((база!$J$5*2*Таблица1[[#This Row],[Столбец1]]*Таблица1[[#This Row],[коэф]])),
IF(OR(G4="3/8",G4="2/8"),((база!$J$4*2*Таблица1[[#This Row],[Столбец1]]*Таблица1[[#This Row],[коэф]])))))))))))))),
(IF((G4="5/24"),((база!$M$6*2*Таблица1[[#This Row],[Столбец1]]*Таблица1[[#This Row],[коэф]])),
IF(OR(G4="4/24",G4="3/24"),((база!$M$5*2*Таблица1[[#This Row],[Столбец1]]*Таблица1[[#This Row],[коэф]])),
IF((G4="5/16"),((база!$L$6*2*Таблица1[[#This Row],[Столбец1]]*Таблица1[[#This Row],[коэф]])),
IF(OR(G4="4/16",G4="3/16"),((база!$L$5*2*Таблица1[[#This Row],[Столбец1]]*Таблица1[[#This Row],[коэф]])),
IF(OR(G4="2/4",G4="3/4",G4="4/4"),((база!$I$5*2*Таблица1[[#This Row],[Столбец1]]*Таблица1[[#This Row],[коэф]])),
IF((G4="5/8"),((база!$J$6*2*Таблица1[[#This Row],[Столбец1]]*Таблица1[[#This Row],[коэф]])),
IF(OR(G4="4/8",G4="3/8",G4="2/8"),((база!$J$5*2*Таблица1[[#This Row],[Столбец1]]*Таблица1[[#This Row],[коэф]])))))))))))</f>
        <v>0</v>
      </c>
      <c r="AQ4" s="712" t="str">
        <f>IFERROR(INDEX(база!T:T, MATCH(F4,база!Q:Q,0)),"")</f>
        <v/>
      </c>
      <c r="AR4" s="208" t="str">
        <f>IFERROR(INDEX(база!D:D, MATCH(F4,база!B:B,0)),"")</f>
        <v/>
      </c>
      <c r="AS4" s="758" t="str">
        <f>IFERROR(INDEX(база!E:E, MATCH(F4,база!B:B,0)),"")</f>
        <v/>
      </c>
    </row>
    <row r="5" spans="1:52" s="46" customFormat="1" ht="15">
      <c r="A5" s="927" t="str">
        <f>A4</f>
        <v>январь</v>
      </c>
      <c r="B5" t="n" s="927">
        <v>2024.0</v>
      </c>
      <c r="C5" t="s" s="927">
        <v>388</v>
      </c>
      <c r="D5" t="s" s="927">
        <v>364</v>
      </c>
      <c r="E5" t="s" s="927">
        <v>389</v>
      </c>
      <c r="F5" t="s" s="927">
        <v>292</v>
      </c>
      <c r="G5" t="s" s="927">
        <v>5</v>
      </c>
      <c r="H5" s="927"/>
      <c r="I5" s="927"/>
      <c r="J5" s="927"/>
      <c r="K5" t="n" s="927">
        <v>7.2</v>
      </c>
      <c r="L5" t="n" s="46">
        <v>6.2</v>
      </c>
      <c r="M5" s="563"/>
      <c r="N5" s="48"/>
      <c r="O5" t="n" s="46">
        <v>4.0</v>
      </c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51"/>
      <c r="AG5" s="51"/>
      <c r="AH5" s="51"/>
      <c r="AI5" s="51"/>
      <c r="AJ5" s="51"/>
      <c r="AK5" s="51"/>
      <c r="AL5" s="51"/>
      <c r="AM5" s="212">
        <f>IF(AQ5=1,SUM(Q5:T5,W5:Z5,AC5:AF5,AI5:AL5),
IF(AQ5=2,SUM(P5,S5:V5,Y5:AB5,AE5:AH5,AK5:AL5),
IF(AQ5=3,SUM(P5:R5,U5:X5,AA5:AD5,AG5:AJ5),SUM(Таблица1[[#This Row],[1]:[31]])-Таблица1[[#This Row],[Столбец1]])))</f>
        <v>0</v>
      </c>
      <c r="AN5" s="778">
        <f t="array" ref="AN5">IF(AQ5=1,SUM(P5,U5:V5,AA5:AB5,AG5:AH5),
IF(AQ5=2,SUM(Q5:R5,W5:X5,AC5:AD5,AI5:AJ5),
IF(AQ5=3,SUM(S5:T5,Y5:Z5,AE5:AF5,AK5:AL5),
SUM(IFERROR(WEEKDAY($H$2:$AL$2,2)&gt;5,)*H5:AL5))))+Таблица1[[#This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" s="292" t="b">
        <f>IF(AR5&lt;=3,(IF((G5="5/24"),((база!$M$6*Таблица1[[#This Row],[сумма]]*Таблица1[[#This Row],[коэф]])),
IF((G5="4/24"),((база!$M$5*Таблица1[[#This Row],[сумма]]*Таблица1[[#This Row],[коэф]])),
IF((G5="3/24"),((база!$M$4*Таблица1[[#This Row],[сумма]]*Таблица1[[#This Row],[коэф]])),
IF((G5="5/16"),((база!$L$6*Таблица1[[#This Row],[сумма]]*Таблица1[[#This Row],[коэф]])),
IF((G5="4/16"),((база!$L$5*Таблица1[[#This Row],[сумма]]*Таблица1[[#This Row],[коэф]])),
IF((G5="3/16"),((база!$L$4*Таблица1[[#This Row],[сумма]]*Таблица1[[#This Row],[коэф]])),
IF((G5="4/4"),((база!$I$5*Таблица1[[#This Row],[сумма]]*Таблица1[[#This Row],[коэф]])),
IF(OR(G5="2/4",G5="3/4"),((база!$I$4*Таблица1[[#This Row],[сумма]]*Таблица1[[#This Row],[коэф]])),
IF((G5="5/8"),((база!$J$6*Таблица1[[#This Row],[сумма]]*Таблица1[[#This Row],[коэф]])),
IF((G5="4/8"),((база!$J$5*Таблица1[[#This Row],[сумма]]*Таблица1[[#This Row],[коэф]])),
IF(OR(G5="3/8",G5="2/8"),((база!$J$4*Таблица1[[#This Row],[сумма]]*Таблица1[[#This Row],[коэф]])))))))))))))),
(IF((G5="5/24"),((база!$M$6*Таблица1[[#This Row],[сумма]]*Таблица1[[#This Row],[коэф]])),
IF(OR(G5="4/24",G5="3/24"),((база!$M$5*Таблица1[[#This Row],[сумма]]*Таблица1[[#This Row],[коэф]])),
IF((G5="5/16"),((база!$L$6*Таблица1[[#This Row],[сумма]]*Таблица1[[#This Row],[коэф]])),
IF(OR(G5="4/16",G5="3/16"),((база!$L$5*Таблица1[[#This Row],[сумма]]*Таблица1[[#This Row],[коэф]])),
IF(OR(G5="2/4",G5="3/4",G5="4/4"),((база!$I$5*Таблица1[[#This Row],[сумма]]*Таблица1[[#This Row],[коэф]])),
IF((G5="5/8"),((база!$J$6*Таблица1[[#This Row],[сумма]]*Таблица1[[#This Row],[коэф]])),
IF(OR(G5="4/8",G5="3/8",G5="2/8"),((база!$J$5*Таблица1[[#This Row],[сумма]]*Таблица1[[#This Row],[коэф]])))))))))))</f>
        <v>0</v>
      </c>
      <c r="AP5" s="730" t="b">
        <f>IF(AR5&lt;=3,(IF((G5="5/24"),((база!$M$6*2*Таблица1[[#This Row],[Столбец1]]*Таблица1[[#This Row],[коэф]])),
IF((G5="4/24"),((база!$M$5*2*Таблица1[[#This Row],[Столбец1]]*Таблица1[[#This Row],[коэф]])),
IF((G5="3/24"),((база!$M$4*2*Таблица1[[#This Row],[Столбец1]]*Таблица1[[#This Row],[коэф]])),
IF((G5="5/16"),((база!$L$6*2*Таблица1[[#This Row],[Столбец1]]*Таблица1[[#This Row],[коэф]])),
IF((G5="4/16"),((база!$L$5*2*Таблица1[[#This Row],[Столбец1]]*Таблица1[[#This Row],[коэф]])),
IF((G5="3/16"),((база!$L$4*2*Таблица1[[#This Row],[Столбец1]]*Таблица1[[#This Row],[коэф]])),
IF((G5="4/4"),((база!$I$5*2*Таблица1[[#This Row],[Столбец1]]*Таблица1[[#This Row],[коэф]])),
IF(OR(G5="2/4",G5="3/4"),((база!$I$4*2*Таблица1[[#This Row],[Столбец1]]*Таблица1[[#This Row],[коэф]])),
IF((G5="5/8"),((база!$J$6*2*Таблица1[[#This Row],[Столбец1]]*Таблица1[[#This Row],[коэф]])),
IF((G5="4/8"),((база!$J$5*2*Таблица1[[#This Row],[Столбец1]]*Таблица1[[#This Row],[коэф]])),
IF(OR(G5="3/8",G5="2/8"),((база!$J$4*2*Таблица1[[#This Row],[Столбец1]]*Таблица1[[#This Row],[коэф]])))))))))))))),
(IF((G5="5/24"),((база!$M$6*2*Таблица1[[#This Row],[Столбец1]]*Таблица1[[#This Row],[коэф]])),
IF(OR(G5="4/24",G5="3/24"),((база!$M$5*2*Таблица1[[#This Row],[Столбец1]]*Таблица1[[#This Row],[коэф]])),
IF((G5="5/16"),((база!$L$6*2*Таблица1[[#This Row],[Столбец1]]*Таблица1[[#This Row],[коэф]])),
IF(OR(G5="4/16",G5="3/16"),((база!$L$5*2*Таблица1[[#This Row],[Столбец1]]*Таблица1[[#This Row],[коэф]])),
IF(OR(G5="2/4",G5="3/4",G5="4/4"),((база!$I$5*2*Таблица1[[#This Row],[Столбец1]]*Таблица1[[#This Row],[коэф]])),
IF((G5="5/8"),((база!$J$6*2*Таблица1[[#This Row],[Столбец1]]*Таблица1[[#This Row],[коэф]])),
IF(OR(G5="4/8",G5="3/8",G5="2/8"),((база!$J$5*2*Таблица1[[#This Row],[Столбец1]]*Таблица1[[#This Row],[коэф]])))))))))))</f>
        <v>0</v>
      </c>
      <c r="AQ5" s="712" t="str">
        <f>IFERROR(INDEX(база!T:T, MATCH(F5,база!Q:Q,0)),"")</f>
        <v/>
      </c>
      <c r="AR5" s="208" t="str">
        <f>IFERROR(INDEX(база!D:D, MATCH(F5,база!B:B,0)),"")</f>
        <v/>
      </c>
      <c r="AS5" s="758" t="str">
        <f>IFERROR(INDEX(база!E:E, MATCH(F5,база!B:B,0)),"")</f>
        <v/>
      </c>
    </row>
    <row r="6" spans="1:52" ht="15">
      <c r="A6" s="929" t="str">
        <f>A5</f>
        <v>январь</v>
      </c>
      <c r="B6" t="n" s="929">
        <v>2024.0</v>
      </c>
      <c r="C6" t="s" s="929">
        <v>386</v>
      </c>
      <c r="D6" t="s" s="929">
        <v>364</v>
      </c>
      <c r="E6" t="s" s="929">
        <v>46</v>
      </c>
      <c r="F6" t="s" s="929">
        <v>258</v>
      </c>
      <c r="G6" t="s" s="929">
        <v>4</v>
      </c>
      <c r="H6" s="929"/>
      <c r="I6" s="929"/>
      <c r="J6" s="929"/>
      <c r="K6" t="n" s="929">
        <v>7.2</v>
      </c>
      <c r="L6" s="563"/>
      <c r="M6" s="563"/>
      <c r="N6" s="563"/>
      <c r="O6" s="563"/>
      <c r="P6" s="300"/>
      <c r="Q6" t="n" s="46">
        <v>7.2</v>
      </c>
      <c r="R6" s="48"/>
      <c r="S6" s="48"/>
      <c r="T6" t="n" s="46">
        <v>4.0</v>
      </c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51"/>
      <c r="AG6" s="51"/>
      <c r="AH6" s="48"/>
      <c r="AI6" s="51"/>
      <c r="AJ6" s="51"/>
      <c r="AK6" s="51"/>
      <c r="AL6" s="51"/>
      <c r="AM6" s="212">
        <f>IF(AQ6=1,SUM(Q6:T6,W6:Z6,AC6:AF6,AI6:AL6),
IF(AQ6=2,SUM(P6,S6:V6,Y6:AB6,AE6:AH6,AK6:AL6),
IF(AQ6=3,SUM(P6:R6,U6:X6,AA6:AD6,AG6:AJ6),SUM(Таблица1[[#This Row],[1]:[31]])-Таблица1[[#This Row],[Столбец1]])))</f>
        <v>0</v>
      </c>
      <c r="AN6" s="778">
        <f t="array" ref="AN6">IF(AQ6=1,SUM(P6,U6:V6,AA6:AB6,AG6:AH6),
IF(AQ6=2,SUM(Q6:R6,W6:X6,AC6:AD6,AI6:AJ6),
IF(AQ6=3,SUM(S6:T6,Y6:Z6,AE6:AF6,AK6:AL6),
SUM(IFERROR(WEEKDAY($H$2:$AL$2,2)&gt;5,)*H6:AL6))))+Таблица1[[#This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" s="292" t="b">
        <f>IF(AR6&lt;=3,(IF((G6="5/24"),((база!$M$6*Таблица1[[#This Row],[сумма]]*Таблица1[[#This Row],[коэф]])),
IF((G6="4/24"),((база!$M$5*Таблица1[[#This Row],[сумма]]*Таблица1[[#This Row],[коэф]])),
IF((G6="3/24"),((база!$M$4*Таблица1[[#This Row],[сумма]]*Таблица1[[#This Row],[коэф]])),
IF((G6="5/16"),((база!$L$6*Таблица1[[#This Row],[сумма]]*Таблица1[[#This Row],[коэф]])),
IF((G6="4/16"),((база!$L$5*Таблица1[[#This Row],[сумма]]*Таблица1[[#This Row],[коэф]])),
IF((G6="3/16"),((база!$L$4*Таблица1[[#This Row],[сумма]]*Таблица1[[#This Row],[коэф]])),
IF((G6="4/4"),((база!$I$5*Таблица1[[#This Row],[сумма]]*Таблица1[[#This Row],[коэф]])),
IF(OR(G6="2/4",G6="3/4"),((база!$I$4*Таблица1[[#This Row],[сумма]]*Таблица1[[#This Row],[коэф]])),
IF((G6="5/8"),((база!$J$6*Таблица1[[#This Row],[сумма]]*Таблица1[[#This Row],[коэф]])),
IF((G6="4/8"),((база!$J$5*Таблица1[[#This Row],[сумма]]*Таблица1[[#This Row],[коэф]])),
IF(OR(G6="3/8",G6="2/8"),((база!$J$4*Таблица1[[#This Row],[сумма]]*Таблица1[[#This Row],[коэф]])))))))))))))),
(IF((G6="5/24"),((база!$M$6*Таблица1[[#This Row],[сумма]]*Таблица1[[#This Row],[коэф]])),
IF(OR(G6="4/24",G6="3/24"),((база!$M$5*Таблица1[[#This Row],[сумма]]*Таблица1[[#This Row],[коэф]])),
IF((G6="5/16"),((база!$L$6*Таблица1[[#This Row],[сумма]]*Таблица1[[#This Row],[коэф]])),
IF(OR(G6="4/16",G6="3/16"),((база!$L$5*Таблица1[[#This Row],[сумма]]*Таблица1[[#This Row],[коэф]])),
IF(OR(G6="2/4",G6="3/4",G6="4/4"),((база!$I$5*Таблица1[[#This Row],[сумма]]*Таблица1[[#This Row],[коэф]])),
IF((G6="5/8"),((база!$J$6*Таблица1[[#This Row],[сумма]]*Таблица1[[#This Row],[коэф]])),
IF(OR(G6="4/8",G6="3/8",G6="2/8"),((база!$J$5*Таблица1[[#This Row],[сумма]]*Таблица1[[#This Row],[коэф]])))))))))))</f>
        <v>0</v>
      </c>
      <c r="AP6" s="730" t="b">
        <f>IF(AR6&lt;=3,(IF((G6="5/24"),((база!$M$6*2*Таблица1[[#This Row],[Столбец1]]*Таблица1[[#This Row],[коэф]])),
IF((G6="4/24"),((база!$M$5*2*Таблица1[[#This Row],[Столбец1]]*Таблица1[[#This Row],[коэф]])),
IF((G6="3/24"),((база!$M$4*2*Таблица1[[#This Row],[Столбец1]]*Таблица1[[#This Row],[коэф]])),
IF((G6="5/16"),((база!$L$6*2*Таблица1[[#This Row],[Столбец1]]*Таблица1[[#This Row],[коэф]])),
IF((G6="4/16"),((база!$L$5*2*Таблица1[[#This Row],[Столбец1]]*Таблица1[[#This Row],[коэф]])),
IF((G6="3/16"),((база!$L$4*2*Таблица1[[#This Row],[Столбец1]]*Таблица1[[#This Row],[коэф]])),
IF((G6="4/4"),((база!$I$5*2*Таблица1[[#This Row],[Столбец1]]*Таблица1[[#This Row],[коэф]])),
IF(OR(G6="2/4",G6="3/4"),((база!$I$4*2*Таблица1[[#This Row],[Столбец1]]*Таблица1[[#This Row],[коэф]])),
IF((G6="5/8"),((база!$J$6*2*Таблица1[[#This Row],[Столбец1]]*Таблица1[[#This Row],[коэф]])),
IF((G6="4/8"),((база!$J$5*2*Таблица1[[#This Row],[Столбец1]]*Таблица1[[#This Row],[коэф]])),
IF(OR(G6="3/8",G6="2/8"),((база!$J$4*2*Таблица1[[#This Row],[Столбец1]]*Таблица1[[#This Row],[коэф]])))))))))))))),
(IF((G6="5/24"),((база!$M$6*2*Таблица1[[#This Row],[Столбец1]]*Таблица1[[#This Row],[коэф]])),
IF(OR(G6="4/24",G6="3/24"),((база!$M$5*2*Таблица1[[#This Row],[Столбец1]]*Таблица1[[#This Row],[коэф]])),
IF((G6="5/16"),((база!$L$6*2*Таблица1[[#This Row],[Столбец1]]*Таблица1[[#This Row],[коэф]])),
IF(OR(G6="4/16",G6="3/16"),((база!$L$5*2*Таблица1[[#This Row],[Столбец1]]*Таблица1[[#This Row],[коэф]])),
IF(OR(G6="2/4",G6="3/4",G6="4/4"),((база!$I$5*2*Таблица1[[#This Row],[Столбец1]]*Таблица1[[#This Row],[коэф]])),
IF((G6="5/8"),((база!$J$6*2*Таблица1[[#This Row],[Столбец1]]*Таблица1[[#This Row],[коэф]])),
IF(OR(G6="4/8",G6="3/8",G6="2/8"),((база!$J$5*2*Таблица1[[#This Row],[Столбец1]]*Таблица1[[#This Row],[коэф]])))))))))))</f>
        <v>0</v>
      </c>
      <c r="AQ6" s="712" t="str">
        <f>IFERROR(INDEX(база!T:T, MATCH(F6,база!Q:Q,0)),"")</f>
        <v/>
      </c>
      <c r="AR6" s="208" t="str">
        <f>IFERROR(INDEX(база!D:D, MATCH(F6,база!B:B,0)),"")</f>
        <v/>
      </c>
      <c r="AS6" s="758" t="str">
        <f>IFERROR(INDEX(база!E:E, MATCH(F6,база!B:B,0)),"")</f>
        <v/>
      </c>
      <c r="AU6" s="562" t="s">
        <v>92</v>
      </c>
    </row>
    <row r="7" spans="1:52" s="46" customFormat="1" ht="15">
      <c r="A7" s="931" t="str">
        <f>A6</f>
        <v>январь</v>
      </c>
      <c r="B7" t="n" s="931">
        <v>2024.0</v>
      </c>
      <c r="C7" t="s" s="931">
        <v>390</v>
      </c>
      <c r="D7" t="s" s="931">
        <v>391</v>
      </c>
      <c r="E7" t="s" s="931">
        <v>389</v>
      </c>
      <c r="F7" t="s" s="931">
        <v>253</v>
      </c>
      <c r="G7" t="s" s="931">
        <v>5</v>
      </c>
      <c r="H7" s="931"/>
      <c r="I7" s="931"/>
      <c r="J7" s="931"/>
      <c r="K7" t="n" s="46">
        <v>3.6</v>
      </c>
      <c r="L7" t="n" s="931">
        <v>7.2</v>
      </c>
      <c r="M7" s="49"/>
      <c r="N7" s="49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48"/>
      <c r="AL7" s="51"/>
      <c r="AM7" s="212">
        <f>IF(AQ7=1,SUM(Q7:T7,W7:Z7,AC7:AF7,AI7:AL7),
IF(AQ7=2,SUM(P7,S7:V7,Y7:AB7,AE7:AH7,AK7:AL7),
IF(AQ7=3,SUM(P7:R7,U7:X7,AA7:AD7,AG7:AJ7),SUM(Таблица1[[#This Row],[1]:[31]])-Таблица1[[#This Row],[Столбец1]])))</f>
        <v>0</v>
      </c>
      <c r="AN7" s="778">
        <f t="array" ref="AN7">IF(AQ7=1,SUM(P7,U7:V7,AA7:AB7,AG7:AH7),
IF(AQ7=2,SUM(Q7:R7,W7:X7,AC7:AD7,AI7:AJ7),
IF(AQ7=3,SUM(S7:T7,Y7:Z7,AE7:AF7,AK7:AL7),
SUM(IFERROR(WEEKDAY($H$2:$AL$2,2)&gt;5,)*H7:AL7))))+Таблица1[[#This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" s="292" t="b">
        <f>IF(AR7&lt;=3,(IF((G7="5/24"),((база!$M$6*Таблица1[[#This Row],[сумма]]*Таблица1[[#This Row],[коэф]])),
IF((G7="4/24"),((база!$M$5*Таблица1[[#This Row],[сумма]]*Таблица1[[#This Row],[коэф]])),
IF((G7="3/24"),((база!$M$4*Таблица1[[#This Row],[сумма]]*Таблица1[[#This Row],[коэф]])),
IF((G7="5/16"),((база!$L$6*Таблица1[[#This Row],[сумма]]*Таблица1[[#This Row],[коэф]])),
IF((G7="4/16"),((база!$L$5*Таблица1[[#This Row],[сумма]]*Таблица1[[#This Row],[коэф]])),
IF((G7="3/16"),((база!$L$4*Таблица1[[#This Row],[сумма]]*Таблица1[[#This Row],[коэф]])),
IF((G7="4/4"),((база!$I$5*Таблица1[[#This Row],[сумма]]*Таблица1[[#This Row],[коэф]])),
IF(OR(G7="2/4",G7="3/4"),((база!$I$4*Таблица1[[#This Row],[сумма]]*Таблица1[[#This Row],[коэф]])),
IF((G7="5/8"),((база!$J$6*Таблица1[[#This Row],[сумма]]*Таблица1[[#This Row],[коэф]])),
IF((G7="4/8"),((база!$J$5*Таблица1[[#This Row],[сумма]]*Таблица1[[#This Row],[коэф]])),
IF(OR(G7="3/8",G7="2/8"),((база!$J$4*Таблица1[[#This Row],[сумма]]*Таблица1[[#This Row],[коэф]])))))))))))))),
(IF((G7="5/24"),((база!$M$6*Таблица1[[#This Row],[сумма]]*Таблица1[[#This Row],[коэф]])),
IF(OR(G7="4/24",G7="3/24"),((база!$M$5*Таблица1[[#This Row],[сумма]]*Таблица1[[#This Row],[коэф]])),
IF((G7="5/16"),((база!$L$6*Таблица1[[#This Row],[сумма]]*Таблица1[[#This Row],[коэф]])),
IF(OR(G7="4/16",G7="3/16"),((база!$L$5*Таблица1[[#This Row],[сумма]]*Таблица1[[#This Row],[коэф]])),
IF(OR(G7="2/4",G7="3/4",G7="4/4"),((база!$I$5*Таблица1[[#This Row],[сумма]]*Таблица1[[#This Row],[коэф]])),
IF((G7="5/8"),((база!$J$6*Таблица1[[#This Row],[сумма]]*Таблица1[[#This Row],[коэф]])),
IF(OR(G7="4/8",G7="3/8",G7="2/8"),((база!$J$5*Таблица1[[#This Row],[сумма]]*Таблица1[[#This Row],[коэф]])))))))))))</f>
        <v>0</v>
      </c>
      <c r="AP7" s="730" t="b">
        <f>IF(AR7&lt;=3,(IF((G7="5/24"),((база!$M$6*2*Таблица1[[#This Row],[Столбец1]]*Таблица1[[#This Row],[коэф]])),
IF((G7="4/24"),((база!$M$5*2*Таблица1[[#This Row],[Столбец1]]*Таблица1[[#This Row],[коэф]])),
IF((G7="3/24"),((база!$M$4*2*Таблица1[[#This Row],[Столбец1]]*Таблица1[[#This Row],[коэф]])),
IF((G7="5/16"),((база!$L$6*2*Таблица1[[#This Row],[Столбец1]]*Таблица1[[#This Row],[коэф]])),
IF((G7="4/16"),((база!$L$5*2*Таблица1[[#This Row],[Столбец1]]*Таблица1[[#This Row],[коэф]])),
IF((G7="3/16"),((база!$L$4*2*Таблица1[[#This Row],[Столбец1]]*Таблица1[[#This Row],[коэф]])),
IF((G7="4/4"),((база!$I$5*2*Таблица1[[#This Row],[Столбец1]]*Таблица1[[#This Row],[коэф]])),
IF(OR(G7="2/4",G7="3/4"),((база!$I$4*2*Таблица1[[#This Row],[Столбец1]]*Таблица1[[#This Row],[коэф]])),
IF((G7="5/8"),((база!$J$6*2*Таблица1[[#This Row],[Столбец1]]*Таблица1[[#This Row],[коэф]])),
IF((G7="4/8"),((база!$J$5*2*Таблица1[[#This Row],[Столбец1]]*Таблица1[[#This Row],[коэф]])),
IF(OR(G7="3/8",G7="2/8"),((база!$J$4*2*Таблица1[[#This Row],[Столбец1]]*Таблица1[[#This Row],[коэф]])))))))))))))),
(IF((G7="5/24"),((база!$M$6*2*Таблица1[[#This Row],[Столбец1]]*Таблица1[[#This Row],[коэф]])),
IF(OR(G7="4/24",G7="3/24"),((база!$M$5*2*Таблица1[[#This Row],[Столбец1]]*Таблица1[[#This Row],[коэф]])),
IF((G7="5/16"),((база!$L$6*2*Таблица1[[#This Row],[Столбец1]]*Таблица1[[#This Row],[коэф]])),
IF(OR(G7="4/16",G7="3/16"),((база!$L$5*2*Таблица1[[#This Row],[Столбец1]]*Таблица1[[#This Row],[коэф]])),
IF(OR(G7="2/4",G7="3/4",G7="4/4"),((база!$I$5*2*Таблица1[[#This Row],[Столбец1]]*Таблица1[[#This Row],[коэф]])),
IF((G7="5/8"),((база!$J$6*2*Таблица1[[#This Row],[Столбец1]]*Таблица1[[#This Row],[коэф]])),
IF(OR(G7="4/8",G7="3/8",G7="2/8"),((база!$J$5*2*Таблица1[[#This Row],[Столбец1]]*Таблица1[[#This Row],[коэф]])))))))))))</f>
        <v>0</v>
      </c>
      <c r="AQ7" s="712" t="str">
        <f>IFERROR(INDEX(база!T:T, MATCH(F7,база!Q:Q,0)),"")</f>
        <v/>
      </c>
      <c r="AR7" s="208" t="str">
        <f>IFERROR(INDEX(база!D:D, MATCH(F7,база!B:B,0)),"")</f>
        <v/>
      </c>
      <c r="AS7" s="758" t="str">
        <f>IFERROR(INDEX(база!E:E, MATCH(F7,база!B:B,0)),"")</f>
        <v/>
      </c>
      <c r="AU7" s="561" t="s">
        <v>289</v>
      </c>
    </row>
    <row r="8" spans="1:52" ht="15">
      <c r="A8" s="932" t="str">
        <f t="shared" ref="A8:A69" si="1">A7</f>
        <v>январь</v>
      </c>
      <c r="B8" t="n" s="932">
        <v>2024.0</v>
      </c>
      <c r="C8" t="s" s="932">
        <v>388</v>
      </c>
      <c r="D8" t="s" s="932">
        <v>365</v>
      </c>
      <c r="E8" t="s" s="932">
        <v>46</v>
      </c>
      <c r="F8" t="s" s="932">
        <v>327</v>
      </c>
      <c r="G8" t="s" s="932">
        <v>4</v>
      </c>
      <c r="H8" s="932"/>
      <c r="I8" s="932"/>
      <c r="J8" s="932"/>
      <c r="K8" t="n" s="932">
        <v>7.2</v>
      </c>
      <c r="L8" s="49"/>
      <c r="M8" s="49"/>
      <c r="N8" t="n" s="46">
        <v>7.2</v>
      </c>
      <c r="O8" s="49"/>
      <c r="P8" s="49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51"/>
      <c r="AM8" s="212">
        <f>IF(AQ8=1,SUM(Q8:T8,W8:Z8,AC8:AF8,AI8:AL8),
IF(AQ8=2,SUM(P8,S8:V8,Y8:AB8,AE8:AH8,AK8:AL8),
IF(AQ8=3,SUM(P8:R8,U8:X8,AA8:AD8,AG8:AJ8),SUM(Таблица1[[#This Row],[1]:[31]])-Таблица1[[#This Row],[Столбец1]])))</f>
        <v>0</v>
      </c>
      <c r="AN8" s="778">
        <f t="array" ref="AN8">IF(AQ8=1,SUM(P8,U8:V8,AA8:AB8,AG8:AH8),
IF(AQ8=2,SUM(Q8:R8,W8:X8,AC8:AD8,AI8:AJ8),
IF(AQ8=3,SUM(S8:T8,Y8:Z8,AE8:AF8,AK8:AL8),
SUM(IFERROR(WEEKDAY($H$2:$AL$2,2)&gt;5,)*H8:AL8))))+Таблица1[[#This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" s="292" t="b">
        <f>IF(AR8&lt;=3,(IF((G8="5/24"),((база!$M$6*Таблица1[[#This Row],[сумма]]*Таблица1[[#This Row],[коэф]])),
IF((G8="4/24"),((база!$M$5*Таблица1[[#This Row],[сумма]]*Таблица1[[#This Row],[коэф]])),
IF((G8="3/24"),((база!$M$4*Таблица1[[#This Row],[сумма]]*Таблица1[[#This Row],[коэф]])),
IF((G8="5/16"),((база!$L$6*Таблица1[[#This Row],[сумма]]*Таблица1[[#This Row],[коэф]])),
IF((G8="4/16"),((база!$L$5*Таблица1[[#This Row],[сумма]]*Таблица1[[#This Row],[коэф]])),
IF((G8="3/16"),((база!$L$4*Таблица1[[#This Row],[сумма]]*Таблица1[[#This Row],[коэф]])),
IF((G8="4/4"),((база!$I$5*Таблица1[[#This Row],[сумма]]*Таблица1[[#This Row],[коэф]])),
IF(OR(G8="2/4",G8="3/4"),((база!$I$4*Таблица1[[#This Row],[сумма]]*Таблица1[[#This Row],[коэф]])),
IF((G8="5/8"),((база!$J$6*Таблица1[[#This Row],[сумма]]*Таблица1[[#This Row],[коэф]])),
IF((G8="4/8"),((база!$J$5*Таблица1[[#This Row],[сумма]]*Таблица1[[#This Row],[коэф]])),
IF(OR(G8="3/8",G8="2/8"),((база!$J$4*Таблица1[[#This Row],[сумма]]*Таблица1[[#This Row],[коэф]])))))))))))))),
(IF((G8="5/24"),((база!$M$6*Таблица1[[#This Row],[сумма]]*Таблица1[[#This Row],[коэф]])),
IF(OR(G8="4/24",G8="3/24"),((база!$M$5*Таблица1[[#This Row],[сумма]]*Таблица1[[#This Row],[коэф]])),
IF((G8="5/16"),((база!$L$6*Таблица1[[#This Row],[сумма]]*Таблица1[[#This Row],[коэф]])),
IF(OR(G8="4/16",G8="3/16"),((база!$L$5*Таблица1[[#This Row],[сумма]]*Таблица1[[#This Row],[коэф]])),
IF(OR(G8="2/4",G8="3/4",G8="4/4"),((база!$I$5*Таблица1[[#This Row],[сумма]]*Таблица1[[#This Row],[коэф]])),
IF((G8="5/8"),((база!$J$6*Таблица1[[#This Row],[сумма]]*Таблица1[[#This Row],[коэф]])),
IF(OR(G8="4/8",G8="3/8",G8="2/8"),((база!$J$5*Таблица1[[#This Row],[сумма]]*Таблица1[[#This Row],[коэф]])))))))))))</f>
        <v>0</v>
      </c>
      <c r="AP8" s="730" t="b">
        <f>IF(AR8&lt;=3,(IF((G8="5/24"),((база!$M$6*2*Таблица1[[#This Row],[Столбец1]]*Таблица1[[#This Row],[коэф]])),
IF((G8="4/24"),((база!$M$5*2*Таблица1[[#This Row],[Столбец1]]*Таблица1[[#This Row],[коэф]])),
IF((G8="3/24"),((база!$M$4*2*Таблица1[[#This Row],[Столбец1]]*Таблица1[[#This Row],[коэф]])),
IF((G8="5/16"),((база!$L$6*2*Таблица1[[#This Row],[Столбец1]]*Таблица1[[#This Row],[коэф]])),
IF((G8="4/16"),((база!$L$5*2*Таблица1[[#This Row],[Столбец1]]*Таблица1[[#This Row],[коэф]])),
IF((G8="3/16"),((база!$L$4*2*Таблица1[[#This Row],[Столбец1]]*Таблица1[[#This Row],[коэф]])),
IF((G8="4/4"),((база!$I$5*2*Таблица1[[#This Row],[Столбец1]]*Таблица1[[#This Row],[коэф]])),
IF(OR(G8="2/4",G8="3/4"),((база!$I$4*2*Таблица1[[#This Row],[Столбец1]]*Таблица1[[#This Row],[коэф]])),
IF((G8="5/8"),((база!$J$6*2*Таблица1[[#This Row],[Столбец1]]*Таблица1[[#This Row],[коэф]])),
IF((G8="4/8"),((база!$J$5*2*Таблица1[[#This Row],[Столбец1]]*Таблица1[[#This Row],[коэф]])),
IF(OR(G8="3/8",G8="2/8"),((база!$J$4*2*Таблица1[[#This Row],[Столбец1]]*Таблица1[[#This Row],[коэф]])))))))))))))),
(IF((G8="5/24"),((база!$M$6*2*Таблица1[[#This Row],[Столбец1]]*Таблица1[[#This Row],[коэф]])),
IF(OR(G8="4/24",G8="3/24"),((база!$M$5*2*Таблица1[[#This Row],[Столбец1]]*Таблица1[[#This Row],[коэф]])),
IF((G8="5/16"),((база!$L$6*2*Таблица1[[#This Row],[Столбец1]]*Таблица1[[#This Row],[коэф]])),
IF(OR(G8="4/16",G8="3/16"),((база!$L$5*2*Таблица1[[#This Row],[Столбец1]]*Таблица1[[#This Row],[коэф]])),
IF(OR(G8="2/4",G8="3/4",G8="4/4"),((база!$I$5*2*Таблица1[[#This Row],[Столбец1]]*Таблица1[[#This Row],[коэф]])),
IF((G8="5/8"),((база!$J$6*2*Таблица1[[#This Row],[Столбец1]]*Таблица1[[#This Row],[коэф]])),
IF(OR(G8="4/8",G8="3/8",G8="2/8"),((база!$J$5*2*Таблица1[[#This Row],[Столбец1]]*Таблица1[[#This Row],[коэф]])))))))))))</f>
        <v>0</v>
      </c>
      <c r="AQ8" s="712" t="str">
        <f>IFERROR(INDEX(база!T:T, MATCH(F8,база!Q:Q,0)),"")</f>
        <v/>
      </c>
      <c r="AR8" s="208" t="str">
        <f>IFERROR(INDEX(база!D:D, MATCH(F8,база!B:B,0)),"")</f>
        <v/>
      </c>
      <c r="AS8" s="758" t="str">
        <f>IFERROR(INDEX(база!E:E, MATCH(F8,база!B:B,0)),"")</f>
        <v/>
      </c>
    </row>
    <row r="9" spans="1:52" ht="15">
      <c r="A9" s="934" t="str">
        <f t="shared" si="1"/>
        <v>январь</v>
      </c>
      <c r="B9" t="n" s="934">
        <v>2024.0</v>
      </c>
      <c r="C9" t="s" s="934">
        <v>390</v>
      </c>
      <c r="D9" t="s" s="934">
        <v>391</v>
      </c>
      <c r="E9" t="s" s="934">
        <v>46</v>
      </c>
      <c r="F9" t="s" s="934">
        <v>347</v>
      </c>
      <c r="G9" t="s" s="934">
        <v>6</v>
      </c>
      <c r="H9" s="934"/>
      <c r="I9" s="934"/>
      <c r="J9" s="934"/>
      <c r="K9" t="n" s="934">
        <v>7.2</v>
      </c>
      <c r="L9" s="49"/>
      <c r="M9" s="49"/>
      <c r="N9" s="49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48"/>
      <c r="AL9" s="51"/>
      <c r="AM9" s="212">
        <f>IF(AQ9=1,SUM(Q9:T9,W9:Z9,AC9:AF9,AI9:AL9),
IF(AQ9=2,SUM(P9,S9:V9,Y9:AB9,AE9:AH9,AK9:AL9),
IF(AQ9=3,SUM(P9:R9,U9:X9,AA9:AD9,AG9:AJ9),SUM(Таблица1[[#This Row],[1]:[31]])-Таблица1[[#This Row],[Столбец1]])))</f>
        <v>0</v>
      </c>
      <c r="AN9" s="778">
        <f t="array" ref="AN9">IF(AQ9=1,SUM(P9,U9:V9,AA9:AB9,AG9:AH9),
IF(AQ9=2,SUM(Q9:R9,W9:X9,AC9:AD9,AI9:AJ9),
IF(AQ9=3,SUM(S9:T9,Y9:Z9,AE9:AF9,AK9:AL9),
SUM(IFERROR(WEEKDAY($H$2:$AL$2,2)&gt;5,)*H9:AL9))))+Таблица1[[#This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9" s="292" t="b">
        <f>IF(AR9&lt;=3,(IF((G9="5/24"),((база!$M$6*Таблица1[[#This Row],[сумма]]*Таблица1[[#This Row],[коэф]])),
IF((G9="4/24"),((база!$M$5*Таблица1[[#This Row],[сумма]]*Таблица1[[#This Row],[коэф]])),
IF((G9="3/24"),((база!$M$4*Таблица1[[#This Row],[сумма]]*Таблица1[[#This Row],[коэф]])),
IF((G9="5/16"),((база!$L$6*Таблица1[[#This Row],[сумма]]*Таблица1[[#This Row],[коэф]])),
IF((G9="4/16"),((база!$L$5*Таблица1[[#This Row],[сумма]]*Таблица1[[#This Row],[коэф]])),
IF((G9="3/16"),((база!$L$4*Таблица1[[#This Row],[сумма]]*Таблица1[[#This Row],[коэф]])),
IF((G9="4/4"),((база!$I$5*Таблица1[[#This Row],[сумма]]*Таблица1[[#This Row],[коэф]])),
IF(OR(G9="2/4",G9="3/4"),((база!$I$4*Таблица1[[#This Row],[сумма]]*Таблица1[[#This Row],[коэф]])),
IF((G9="5/8"),((база!$J$6*Таблица1[[#This Row],[сумма]]*Таблица1[[#This Row],[коэф]])),
IF((G9="4/8"),((база!$J$5*Таблица1[[#This Row],[сумма]]*Таблица1[[#This Row],[коэф]])),
IF(OR(G9="3/8",G9="2/8"),((база!$J$4*Таблица1[[#This Row],[сумма]]*Таблица1[[#This Row],[коэф]])))))))))))))),
(IF((G9="5/24"),((база!$M$6*Таблица1[[#This Row],[сумма]]*Таблица1[[#This Row],[коэф]])),
IF(OR(G9="4/24",G9="3/24"),((база!$M$5*Таблица1[[#This Row],[сумма]]*Таблица1[[#This Row],[коэф]])),
IF((G9="5/16"),((база!$L$6*Таблица1[[#This Row],[сумма]]*Таблица1[[#This Row],[коэф]])),
IF(OR(G9="4/16",G9="3/16"),((база!$L$5*Таблица1[[#This Row],[сумма]]*Таблица1[[#This Row],[коэф]])),
IF(OR(G9="2/4",G9="3/4",G9="4/4"),((база!$I$5*Таблица1[[#This Row],[сумма]]*Таблица1[[#This Row],[коэф]])),
IF((G9="5/8"),((база!$J$6*Таблица1[[#This Row],[сумма]]*Таблица1[[#This Row],[коэф]])),
IF(OR(G9="4/8",G9="3/8",G9="2/8"),((база!$J$5*Таблица1[[#This Row],[сумма]]*Таблица1[[#This Row],[коэф]])))))))))))</f>
        <v>0</v>
      </c>
      <c r="AP9" s="730" t="b">
        <f>IF(AR9&lt;=3,(IF((G9="5/24"),((база!$M$6*2*Таблица1[[#This Row],[Столбец1]]*Таблица1[[#This Row],[коэф]])),
IF((G9="4/24"),((база!$M$5*2*Таблица1[[#This Row],[Столбец1]]*Таблица1[[#This Row],[коэф]])),
IF((G9="3/24"),((база!$M$4*2*Таблица1[[#This Row],[Столбец1]]*Таблица1[[#This Row],[коэф]])),
IF((G9="5/16"),((база!$L$6*2*Таблица1[[#This Row],[Столбец1]]*Таблица1[[#This Row],[коэф]])),
IF((G9="4/16"),((база!$L$5*2*Таблица1[[#This Row],[Столбец1]]*Таблица1[[#This Row],[коэф]])),
IF((G9="3/16"),((база!$L$4*2*Таблица1[[#This Row],[Столбец1]]*Таблица1[[#This Row],[коэф]])),
IF((G9="4/4"),((база!$I$5*2*Таблица1[[#This Row],[Столбец1]]*Таблица1[[#This Row],[коэф]])),
IF(OR(G9="2/4",G9="3/4"),((база!$I$4*2*Таблица1[[#This Row],[Столбец1]]*Таблица1[[#This Row],[коэф]])),
IF((G9="5/8"),((база!$J$6*2*Таблица1[[#This Row],[Столбец1]]*Таблица1[[#This Row],[коэф]])),
IF((G9="4/8"),((база!$J$5*2*Таблица1[[#This Row],[Столбец1]]*Таблица1[[#This Row],[коэф]])),
IF(OR(G9="3/8",G9="2/8"),((база!$J$4*2*Таблица1[[#This Row],[Столбец1]]*Таблица1[[#This Row],[коэф]])))))))))))))),
(IF((G9="5/24"),((база!$M$6*2*Таблица1[[#This Row],[Столбец1]]*Таблица1[[#This Row],[коэф]])),
IF(OR(G9="4/24",G9="3/24"),((база!$M$5*2*Таблица1[[#This Row],[Столбец1]]*Таблица1[[#This Row],[коэф]])),
IF((G9="5/16"),((база!$L$6*2*Таблица1[[#This Row],[Столбец1]]*Таблица1[[#This Row],[коэф]])),
IF(OR(G9="4/16",G9="3/16"),((база!$L$5*2*Таблица1[[#This Row],[Столбец1]]*Таблица1[[#This Row],[коэф]])),
IF(OR(G9="2/4",G9="3/4",G9="4/4"),((база!$I$5*2*Таблица1[[#This Row],[Столбец1]]*Таблица1[[#This Row],[коэф]])),
IF((G9="5/8"),((база!$J$6*2*Таблица1[[#This Row],[Столбец1]]*Таблица1[[#This Row],[коэф]])),
IF(OR(G9="4/8",G9="3/8",G9="2/8"),((база!$J$5*2*Таблица1[[#This Row],[Столбец1]]*Таблица1[[#This Row],[коэф]])))))))))))</f>
        <v>0</v>
      </c>
      <c r="AQ9" s="712" t="str">
        <f>IFERROR(INDEX(база!T:T, MATCH(F9,база!Q:Q,0)),"")</f>
        <v/>
      </c>
      <c r="AR9" s="208" t="str">
        <f>IFERROR(INDEX(база!D:D, MATCH(F9,база!B:B,0)),"")</f>
        <v/>
      </c>
      <c r="AS9" s="758" t="str">
        <f>IFERROR(INDEX(база!E:E, MATCH(F9,база!B:B,0)),"")</f>
        <v/>
      </c>
    </row>
    <row r="10" spans="1:52" ht="15">
      <c r="A10" s="938" t="str">
        <f t="shared" si="1"/>
        <v>январь</v>
      </c>
      <c r="B10" t="n" s="938">
        <v>2024.0</v>
      </c>
      <c r="C10" t="s" s="938">
        <v>388</v>
      </c>
      <c r="D10" t="s" s="938">
        <v>364</v>
      </c>
      <c r="E10" t="s" s="938">
        <v>389</v>
      </c>
      <c r="F10" t="s" s="938">
        <v>253</v>
      </c>
      <c r="G10" t="s" s="938">
        <v>5</v>
      </c>
      <c r="H10" s="938"/>
      <c r="I10" s="938"/>
      <c r="J10" s="938"/>
      <c r="K10" t="n" s="938">
        <v>3.6</v>
      </c>
      <c r="L10" s="49"/>
      <c r="M10" s="49"/>
      <c r="N10" s="49"/>
      <c r="O10" s="48"/>
      <c r="P10" s="48"/>
      <c r="Q10" t="n" s="46">
        <v>5.0</v>
      </c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51"/>
      <c r="AM10" s="212">
        <f>IF(AQ10=1,SUM(Q10:T10,W10:Z10,AC10:AF10,AI10:AL10),
IF(AQ10=2,SUM(P10,S10:V10,Y10:AB10,AE10:AH10,AK10:AL10),
IF(AQ10=3,SUM(P10:R10,U10:X10,AA10:AD10,AG10:AJ10),SUM(Таблица1[[#This Row],[1]:[31]])-Таблица1[[#This Row],[Столбец1]])))</f>
        <v>0</v>
      </c>
      <c r="AN10" s="778">
        <f t="array" ref="AN10">IF(AQ10=1,SUM(P10,U10:V10,AA10:AB10,AG10:AH10),
IF(AQ10=2,SUM(Q10:R10,W10:X10,AC10:AD10,AI10:AJ10),
IF(AQ10=3,SUM(S10:T10,Y10:Z10,AE10:AF10,AK10:AL10),
SUM(IFERROR(WEEKDAY($H$2:$AL$2,2)&gt;5,)*H10:AL10))))+Таблица1[[#This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0" s="292" t="b">
        <f>IF(AR10&lt;=3,(IF((G10="5/24"),((база!$M$6*Таблица1[[#This Row],[сумма]]*Таблица1[[#This Row],[коэф]])),
IF((G10="4/24"),((база!$M$5*Таблица1[[#This Row],[сумма]]*Таблица1[[#This Row],[коэф]])),
IF((G10="3/24"),((база!$M$4*Таблица1[[#This Row],[сумма]]*Таблица1[[#This Row],[коэф]])),
IF((G10="5/16"),((база!$L$6*Таблица1[[#This Row],[сумма]]*Таблица1[[#This Row],[коэф]])),
IF((G10="4/16"),((база!$L$5*Таблица1[[#This Row],[сумма]]*Таблица1[[#This Row],[коэф]])),
IF((G10="3/16"),((база!$L$4*Таблица1[[#This Row],[сумма]]*Таблица1[[#This Row],[коэф]])),
IF((G10="4/4"),((база!$I$5*Таблица1[[#This Row],[сумма]]*Таблица1[[#This Row],[коэф]])),
IF(OR(G10="2/4",G10="3/4"),((база!$I$4*Таблица1[[#This Row],[сумма]]*Таблица1[[#This Row],[коэф]])),
IF((G10="5/8"),((база!$J$6*Таблица1[[#This Row],[сумма]]*Таблица1[[#This Row],[коэф]])),
IF((G10="4/8"),((база!$J$5*Таблица1[[#This Row],[сумма]]*Таблица1[[#This Row],[коэф]])),
IF(OR(G10="3/8",G10="2/8"),((база!$J$4*Таблица1[[#This Row],[сумма]]*Таблица1[[#This Row],[коэф]])))))))))))))),
(IF((G10="5/24"),((база!$M$6*Таблица1[[#This Row],[сумма]]*Таблица1[[#This Row],[коэф]])),
IF(OR(G10="4/24",G10="3/24"),((база!$M$5*Таблица1[[#This Row],[сумма]]*Таблица1[[#This Row],[коэф]])),
IF((G10="5/16"),((база!$L$6*Таблица1[[#This Row],[сумма]]*Таблица1[[#This Row],[коэф]])),
IF(OR(G10="4/16",G10="3/16"),((база!$L$5*Таблица1[[#This Row],[сумма]]*Таблица1[[#This Row],[коэф]])),
IF(OR(G10="2/4",G10="3/4",G10="4/4"),((база!$I$5*Таблица1[[#This Row],[сумма]]*Таблица1[[#This Row],[коэф]])),
IF((G10="5/8"),((база!$J$6*Таблица1[[#This Row],[сумма]]*Таблица1[[#This Row],[коэф]])),
IF(OR(G10="4/8",G10="3/8",G10="2/8"),((база!$J$5*Таблица1[[#This Row],[сумма]]*Таблица1[[#This Row],[коэф]])))))))))))</f>
        <v>0</v>
      </c>
      <c r="AP10" s="730" t="b">
        <f>IF(AR10&lt;=3,(IF((G10="5/24"),((база!$M$6*2*Таблица1[[#This Row],[Столбец1]]*Таблица1[[#This Row],[коэф]])),
IF((G10="4/24"),((база!$M$5*2*Таблица1[[#This Row],[Столбец1]]*Таблица1[[#This Row],[коэф]])),
IF((G10="3/24"),((база!$M$4*2*Таблица1[[#This Row],[Столбец1]]*Таблица1[[#This Row],[коэф]])),
IF((G10="5/16"),((база!$L$6*2*Таблица1[[#This Row],[Столбец1]]*Таблица1[[#This Row],[коэф]])),
IF((G10="4/16"),((база!$L$5*2*Таблица1[[#This Row],[Столбец1]]*Таблица1[[#This Row],[коэф]])),
IF((G10="3/16"),((база!$L$4*2*Таблица1[[#This Row],[Столбец1]]*Таблица1[[#This Row],[коэф]])),
IF((G10="4/4"),((база!$I$5*2*Таблица1[[#This Row],[Столбец1]]*Таблица1[[#This Row],[коэф]])),
IF(OR(G10="2/4",G10="3/4"),((база!$I$4*2*Таблица1[[#This Row],[Столбец1]]*Таблица1[[#This Row],[коэф]])),
IF((G10="5/8"),((база!$J$6*2*Таблица1[[#This Row],[Столбец1]]*Таблица1[[#This Row],[коэф]])),
IF((G10="4/8"),((база!$J$5*2*Таблица1[[#This Row],[Столбец1]]*Таблица1[[#This Row],[коэф]])),
IF(OR(G10="3/8",G10="2/8"),((база!$J$4*2*Таблица1[[#This Row],[Столбец1]]*Таблица1[[#This Row],[коэф]])))))))))))))),
(IF((G10="5/24"),((база!$M$6*2*Таблица1[[#This Row],[Столбец1]]*Таблица1[[#This Row],[коэф]])),
IF(OR(G10="4/24",G10="3/24"),((база!$M$5*2*Таблица1[[#This Row],[Столбец1]]*Таблица1[[#This Row],[коэф]])),
IF((G10="5/16"),((база!$L$6*2*Таблица1[[#This Row],[Столбец1]]*Таблица1[[#This Row],[коэф]])),
IF(OR(G10="4/16",G10="3/16"),((база!$L$5*2*Таблица1[[#This Row],[Столбец1]]*Таблица1[[#This Row],[коэф]])),
IF(OR(G10="2/4",G10="3/4",G10="4/4"),((база!$I$5*2*Таблица1[[#This Row],[Столбец1]]*Таблица1[[#This Row],[коэф]])),
IF((G10="5/8"),((база!$J$6*2*Таблица1[[#This Row],[Столбец1]]*Таблица1[[#This Row],[коэф]])),
IF(OR(G10="4/8",G10="3/8",G10="2/8"),((база!$J$5*2*Таблица1[[#This Row],[Столбец1]]*Таблица1[[#This Row],[коэф]])))))))))))</f>
        <v>0</v>
      </c>
      <c r="AQ10" s="712" t="str">
        <f>IFERROR(INDEX(база!T:T, MATCH(F10,база!Q:Q,0)),"")</f>
        <v/>
      </c>
      <c r="AR10" s="208" t="str">
        <f>IFERROR(INDEX(база!D:D, MATCH(F10,база!B:B,0)),"")</f>
        <v/>
      </c>
      <c r="AS10" s="758" t="str">
        <f>IFERROR(INDEX(база!E:E, MATCH(F10,база!B:B,0)),"")</f>
        <v/>
      </c>
    </row>
    <row r="11" spans="1:52" ht="15">
      <c r="A11" s="939" t="str">
        <f t="shared" si="1"/>
        <v>январь</v>
      </c>
      <c r="B11" t="n" s="939">
        <v>2024.0</v>
      </c>
      <c r="C11" t="s" s="939">
        <v>388</v>
      </c>
      <c r="D11" t="s" s="939">
        <v>364</v>
      </c>
      <c r="E11" t="s" s="939">
        <v>389</v>
      </c>
      <c r="F11" t="s" s="939">
        <v>291</v>
      </c>
      <c r="G11" t="s" s="939">
        <v>5</v>
      </c>
      <c r="H11" s="939"/>
      <c r="I11" s="939"/>
      <c r="J11" s="939"/>
      <c r="K11" t="n" s="939">
        <v>5.0</v>
      </c>
      <c r="L11" t="n" s="46">
        <v>3.6</v>
      </c>
      <c r="M11" s="49"/>
      <c r="N11" s="49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8"/>
      <c r="AK11" s="48"/>
      <c r="AL11" s="51"/>
      <c r="AM11" s="212">
        <f>IF(AQ11=1,SUM(Q11:T11,W11:Z11,AC11:AF11,AI11:AL11),
IF(AQ11=2,SUM(P11,S11:V11,Y11:AB11,AE11:AH11,AK11:AL11),
IF(AQ11=3,SUM(P11:R11,U11:X11,AA11:AD11,AG11:AJ11),SUM(Таблица1[[#This Row],[1]:[31]])-Таблица1[[#This Row],[Столбец1]])))</f>
        <v>0</v>
      </c>
      <c r="AN11" s="778">
        <f t="array" ref="AN11">IF(AQ11=1,SUM(P11,U11:V11,AA11:AB11,AG11:AH11),
IF(AQ11=2,SUM(Q11:R11,W11:X11,AC11:AD11,AI11:AJ11),
IF(AQ11=3,SUM(S11:T11,Y11:Z11,AE11:AF11,AK11:AL11),
SUM(IFERROR(WEEKDAY($H$2:$AL$2,2)&gt;5,)*H11:AL11))))+Таблица1[[#This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1" s="292" t="b">
        <f>IF(AR11&lt;=3,(IF((G11="5/24"),((база!$M$6*Таблица1[[#This Row],[сумма]]*Таблица1[[#This Row],[коэф]])),
IF((G11="4/24"),((база!$M$5*Таблица1[[#This Row],[сумма]]*Таблица1[[#This Row],[коэф]])),
IF((G11="3/24"),((база!$M$4*Таблица1[[#This Row],[сумма]]*Таблица1[[#This Row],[коэф]])),
IF((G11="5/16"),((база!$L$6*Таблица1[[#This Row],[сумма]]*Таблица1[[#This Row],[коэф]])),
IF((G11="4/16"),((база!$L$5*Таблица1[[#This Row],[сумма]]*Таблица1[[#This Row],[коэф]])),
IF((G11="3/16"),((база!$L$4*Таблица1[[#This Row],[сумма]]*Таблица1[[#This Row],[коэф]])),
IF((G11="4/4"),((база!$I$5*Таблица1[[#This Row],[сумма]]*Таблица1[[#This Row],[коэф]])),
IF(OR(G11="2/4",G11="3/4"),((база!$I$4*Таблица1[[#This Row],[сумма]]*Таблица1[[#This Row],[коэф]])),
IF((G11="5/8"),((база!$J$6*Таблица1[[#This Row],[сумма]]*Таблица1[[#This Row],[коэф]])),
IF((G11="4/8"),((база!$J$5*Таблица1[[#This Row],[сумма]]*Таблица1[[#This Row],[коэф]])),
IF(OR(G11="3/8",G11="2/8"),((база!$J$4*Таблица1[[#This Row],[сумма]]*Таблица1[[#This Row],[коэф]])))))))))))))),
(IF((G11="5/24"),((база!$M$6*Таблица1[[#This Row],[сумма]]*Таблица1[[#This Row],[коэф]])),
IF(OR(G11="4/24",G11="3/24"),((база!$M$5*Таблица1[[#This Row],[сумма]]*Таблица1[[#This Row],[коэф]])),
IF((G11="5/16"),((база!$L$6*Таблица1[[#This Row],[сумма]]*Таблица1[[#This Row],[коэф]])),
IF(OR(G11="4/16",G11="3/16"),((база!$L$5*Таблица1[[#This Row],[сумма]]*Таблица1[[#This Row],[коэф]])),
IF(OR(G11="2/4",G11="3/4",G11="4/4"),((база!$I$5*Таблица1[[#This Row],[сумма]]*Таблица1[[#This Row],[коэф]])),
IF((G11="5/8"),((база!$J$6*Таблица1[[#This Row],[сумма]]*Таблица1[[#This Row],[коэф]])),
IF(OR(G11="4/8",G11="3/8",G11="2/8"),((база!$J$5*Таблица1[[#This Row],[сумма]]*Таблица1[[#This Row],[коэф]])))))))))))</f>
        <v>0</v>
      </c>
      <c r="AP11" s="730" t="b">
        <f>IF(AR11&lt;=3,(IF((G11="5/24"),((база!$M$6*2*Таблица1[[#This Row],[Столбец1]]*Таблица1[[#This Row],[коэф]])),
IF((G11="4/24"),((база!$M$5*2*Таблица1[[#This Row],[Столбец1]]*Таблица1[[#This Row],[коэф]])),
IF((G11="3/24"),((база!$M$4*2*Таблица1[[#This Row],[Столбец1]]*Таблица1[[#This Row],[коэф]])),
IF((G11="5/16"),((база!$L$6*2*Таблица1[[#This Row],[Столбец1]]*Таблица1[[#This Row],[коэф]])),
IF((G11="4/16"),((база!$L$5*2*Таблица1[[#This Row],[Столбец1]]*Таблица1[[#This Row],[коэф]])),
IF((G11="3/16"),((база!$L$4*2*Таблица1[[#This Row],[Столбец1]]*Таблица1[[#This Row],[коэф]])),
IF((G11="4/4"),((база!$I$5*2*Таблица1[[#This Row],[Столбец1]]*Таблица1[[#This Row],[коэф]])),
IF(OR(G11="2/4",G11="3/4"),((база!$I$4*2*Таблица1[[#This Row],[Столбец1]]*Таблица1[[#This Row],[коэф]])),
IF((G11="5/8"),((база!$J$6*2*Таблица1[[#This Row],[Столбец1]]*Таблица1[[#This Row],[коэф]])),
IF((G11="4/8"),((база!$J$5*2*Таблица1[[#This Row],[Столбец1]]*Таблица1[[#This Row],[коэф]])),
IF(OR(G11="3/8",G11="2/8"),((база!$J$4*2*Таблица1[[#This Row],[Столбец1]]*Таблица1[[#This Row],[коэф]])))))))))))))),
(IF((G11="5/24"),((база!$M$6*2*Таблица1[[#This Row],[Столбец1]]*Таблица1[[#This Row],[коэф]])),
IF(OR(G11="4/24",G11="3/24"),((база!$M$5*2*Таблица1[[#This Row],[Столбец1]]*Таблица1[[#This Row],[коэф]])),
IF((G11="5/16"),((база!$L$6*2*Таблица1[[#This Row],[Столбец1]]*Таблица1[[#This Row],[коэф]])),
IF(OR(G11="4/16",G11="3/16"),((база!$L$5*2*Таблица1[[#This Row],[Столбец1]]*Таблица1[[#This Row],[коэф]])),
IF(OR(G11="2/4",G11="3/4",G11="4/4"),((база!$I$5*2*Таблица1[[#This Row],[Столбец1]]*Таблица1[[#This Row],[коэф]])),
IF((G11="5/8"),((база!$J$6*2*Таблица1[[#This Row],[Столбец1]]*Таблица1[[#This Row],[коэф]])),
IF(OR(G11="4/8",G11="3/8",G11="2/8"),((база!$J$5*2*Таблица1[[#This Row],[Столбец1]]*Таблица1[[#This Row],[коэф]])))))))))))</f>
        <v>0</v>
      </c>
      <c r="AQ11" s="712" t="str">
        <f>IFERROR(INDEX(база!T:T, MATCH(F11,база!Q:Q,0)),"")</f>
        <v/>
      </c>
      <c r="AR11" s="208" t="str">
        <f>IFERROR(INDEX(база!D:D, MATCH(F11,база!B:B,0)),"")</f>
        <v/>
      </c>
      <c r="AS11" s="758" t="str">
        <f>IFERROR(INDEX(база!E:E, MATCH(F11,база!B:B,0)),"")</f>
        <v/>
      </c>
    </row>
    <row r="12" spans="1:52" ht="15">
      <c r="A12" s="940" t="str">
        <f t="shared" si="1"/>
        <v>январь</v>
      </c>
      <c r="B12" t="n" s="940">
        <v>2024.0</v>
      </c>
      <c r="C12" t="s" s="940">
        <v>386</v>
      </c>
      <c r="D12" t="s" s="940">
        <v>365</v>
      </c>
      <c r="E12" t="s" s="940">
        <v>46</v>
      </c>
      <c r="F12" t="s" s="940">
        <v>252</v>
      </c>
      <c r="G12" t="s" s="940">
        <v>6</v>
      </c>
      <c r="H12" s="940"/>
      <c r="I12" s="940"/>
      <c r="J12" s="940"/>
      <c r="K12" s="940"/>
      <c r="L12" t="n" s="940">
        <v>3.5</v>
      </c>
      <c r="M12" s="49"/>
      <c r="N12" s="49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48"/>
      <c r="AI12" s="48"/>
      <c r="AJ12" s="48"/>
      <c r="AK12" s="48"/>
      <c r="AL12" s="51"/>
      <c r="AM12" s="212">
        <f>IF(AQ12=1,SUM(Q12:T12,W12:Z12,AC12:AF12,AI12:AL12),
IF(AQ12=2,SUM(P12,S12:V12,Y12:AB12,AE12:AH12,AK12:AL12),
IF(AQ12=3,SUM(P12:R12,U12:X12,AA12:AD12,AG12:AJ12),SUM(Таблица1[[#This Row],[1]:[31]])-Таблица1[[#This Row],[Столбец1]])))</f>
        <v>0</v>
      </c>
      <c r="AN12" s="778">
        <f t="array" ref="AN12">IF(AQ12=1,SUM(P12,U12:V12,AA12:AB12,AG12:AH12),
IF(AQ12=2,SUM(Q12:R12,W12:X12,AC12:AD12,AI12:AJ12),
IF(AQ12=3,SUM(S12:T12,Y12:Z12,AE12:AF12,AK12:AL12),
SUM(IFERROR(WEEKDAY($H$2:$AL$2,2)&gt;5,)*H12:AL12))))+Таблица1[[#This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2" s="292" t="b">
        <f>IF(AR12&lt;=3,(IF((G12="5/24"),((база!$M$6*Таблица1[[#This Row],[сумма]]*Таблица1[[#This Row],[коэф]])),
IF((G12="4/24"),((база!$M$5*Таблица1[[#This Row],[сумма]]*Таблица1[[#This Row],[коэф]])),
IF((G12="3/24"),((база!$M$4*Таблица1[[#This Row],[сумма]]*Таблица1[[#This Row],[коэф]])),
IF((G12="5/16"),((база!$L$6*Таблица1[[#This Row],[сумма]]*Таблица1[[#This Row],[коэф]])),
IF((G12="4/16"),((база!$L$5*Таблица1[[#This Row],[сумма]]*Таблица1[[#This Row],[коэф]])),
IF((G12="3/16"),((база!$L$4*Таблица1[[#This Row],[сумма]]*Таблица1[[#This Row],[коэф]])),
IF((G12="4/4"),((база!$I$5*Таблица1[[#This Row],[сумма]]*Таблица1[[#This Row],[коэф]])),
IF(OR(G12="2/4",G12="3/4"),((база!$I$4*Таблица1[[#This Row],[сумма]]*Таблица1[[#This Row],[коэф]])),
IF((G12="5/8"),((база!$J$6*Таблица1[[#This Row],[сумма]]*Таблица1[[#This Row],[коэф]])),
IF((G12="4/8"),((база!$J$5*Таблица1[[#This Row],[сумма]]*Таблица1[[#This Row],[коэф]])),
IF(OR(G12="3/8",G12="2/8"),((база!$J$4*Таблица1[[#This Row],[сумма]]*Таблица1[[#This Row],[коэф]])))))))))))))),
(IF((G12="5/24"),((база!$M$6*Таблица1[[#This Row],[сумма]]*Таблица1[[#This Row],[коэф]])),
IF(OR(G12="4/24",G12="3/24"),((база!$M$5*Таблица1[[#This Row],[сумма]]*Таблица1[[#This Row],[коэф]])),
IF((G12="5/16"),((база!$L$6*Таблица1[[#This Row],[сумма]]*Таблица1[[#This Row],[коэф]])),
IF(OR(G12="4/16",G12="3/16"),((база!$L$5*Таблица1[[#This Row],[сумма]]*Таблица1[[#This Row],[коэф]])),
IF(OR(G12="2/4",G12="3/4",G12="4/4"),((база!$I$5*Таблица1[[#This Row],[сумма]]*Таблица1[[#This Row],[коэф]])),
IF((G12="5/8"),((база!$J$6*Таблица1[[#This Row],[сумма]]*Таблица1[[#This Row],[коэф]])),
IF(OR(G12="4/8",G12="3/8",G12="2/8"),((база!$J$5*Таблица1[[#This Row],[сумма]]*Таблица1[[#This Row],[коэф]])))))))))))</f>
        <v>0</v>
      </c>
      <c r="AP12" s="730" t="b">
        <f>IF(AR12&lt;=3,(IF((G12="5/24"),((база!$M$6*2*Таблица1[[#This Row],[Столбец1]]*Таблица1[[#This Row],[коэф]])),
IF((G12="4/24"),((база!$M$5*2*Таблица1[[#This Row],[Столбец1]]*Таблица1[[#This Row],[коэф]])),
IF((G12="3/24"),((база!$M$4*2*Таблица1[[#This Row],[Столбец1]]*Таблица1[[#This Row],[коэф]])),
IF((G12="5/16"),((база!$L$6*2*Таблица1[[#This Row],[Столбец1]]*Таблица1[[#This Row],[коэф]])),
IF((G12="4/16"),((база!$L$5*2*Таблица1[[#This Row],[Столбец1]]*Таблица1[[#This Row],[коэф]])),
IF((G12="3/16"),((база!$L$4*2*Таблица1[[#This Row],[Столбец1]]*Таблица1[[#This Row],[коэф]])),
IF((G12="4/4"),((база!$I$5*2*Таблица1[[#This Row],[Столбец1]]*Таблица1[[#This Row],[коэф]])),
IF(OR(G12="2/4",G12="3/4"),((база!$I$4*2*Таблица1[[#This Row],[Столбец1]]*Таблица1[[#This Row],[коэф]])),
IF((G12="5/8"),((база!$J$6*2*Таблица1[[#This Row],[Столбец1]]*Таблица1[[#This Row],[коэф]])),
IF((G12="4/8"),((база!$J$5*2*Таблица1[[#This Row],[Столбец1]]*Таблица1[[#This Row],[коэф]])),
IF(OR(G12="3/8",G12="2/8"),((база!$J$4*2*Таблица1[[#This Row],[Столбец1]]*Таблица1[[#This Row],[коэф]])))))))))))))),
(IF((G12="5/24"),((база!$M$6*2*Таблица1[[#This Row],[Столбец1]]*Таблица1[[#This Row],[коэф]])),
IF(OR(G12="4/24",G12="3/24"),((база!$M$5*2*Таблица1[[#This Row],[Столбец1]]*Таблица1[[#This Row],[коэф]])),
IF((G12="5/16"),((база!$L$6*2*Таблица1[[#This Row],[Столбец1]]*Таблица1[[#This Row],[коэф]])),
IF(OR(G12="4/16",G12="3/16"),((база!$L$5*2*Таблица1[[#This Row],[Столбец1]]*Таблица1[[#This Row],[коэф]])),
IF(OR(G12="2/4",G12="3/4",G12="4/4"),((база!$I$5*2*Таблица1[[#This Row],[Столбец1]]*Таблица1[[#This Row],[коэф]])),
IF((G12="5/8"),((база!$J$6*2*Таблица1[[#This Row],[Столбец1]]*Таблица1[[#This Row],[коэф]])),
IF(OR(G12="4/8",G12="3/8",G12="2/8"),((база!$J$5*2*Таблица1[[#This Row],[Столбец1]]*Таблица1[[#This Row],[коэф]])))))))))))</f>
        <v>0</v>
      </c>
      <c r="AQ12" s="712" t="str">
        <f>IFERROR(INDEX(база!T:T, MATCH(F12,база!Q:Q,0)),"")</f>
        <v/>
      </c>
      <c r="AR12" s="208" t="str">
        <f>IFERROR(INDEX(база!D:D, MATCH(F12,база!B:B,0)),"")</f>
        <v/>
      </c>
      <c r="AS12" s="758" t="str">
        <f>IFERROR(INDEX(база!E:E, MATCH(F12,база!B:B,0)),"")</f>
        <v/>
      </c>
    </row>
    <row r="13" spans="1:52" ht="15">
      <c r="A13" s="942" t="str">
        <f t="shared" si="1"/>
        <v>январь</v>
      </c>
      <c r="B13" t="n" s="942">
        <v>2024.0</v>
      </c>
      <c r="C13" t="s" s="942">
        <v>388</v>
      </c>
      <c r="D13" t="s" s="942">
        <v>380</v>
      </c>
      <c r="E13" t="s" s="942">
        <v>46</v>
      </c>
      <c r="F13" t="s" s="942">
        <v>359</v>
      </c>
      <c r="G13" t="s" s="942">
        <v>6</v>
      </c>
      <c r="H13" s="942"/>
      <c r="I13" s="942"/>
      <c r="J13" s="942"/>
      <c r="K13" t="n" s="942">
        <v>5.2</v>
      </c>
      <c r="L13" s="49"/>
      <c r="M13" s="49"/>
      <c r="N13" s="49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51"/>
      <c r="AM13" s="212">
        <f>IF(AQ13=1,SUM(Q13:T13,W13:Z13,AC13:AF13,AI13:AL13),
IF(AQ13=2,SUM(P13,S13:V13,Y13:AB13,AE13:AH13,AK13:AL13),
IF(AQ13=3,SUM(P13:R13,U13:X13,AA13:AD13,AG13:AJ13),SUM(Таблица1[[#This Row],[1]:[31]])-Таблица1[[#This Row],[Столбец1]])))</f>
        <v>0</v>
      </c>
      <c r="AN13" s="778">
        <f t="array" ref="AN13">IF(AQ13=1,SUM(P13,U13:V13,AA13:AB13,AG13:AH13),
IF(AQ13=2,SUM(Q13:R13,W13:X13,AC13:AD13,AI13:AJ13),
IF(AQ13=3,SUM(S13:T13,Y13:Z13,AE13:AF13,AK13:AL13),
SUM(IFERROR(WEEKDAY($H$2:$AL$2,2)&gt;5,)*H13:AL13))))+Таблица1[[#This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3" s="292" t="b">
        <f>IF(AR13&lt;=3,(IF((G13="5/24"),((база!$M$6*Таблица1[[#This Row],[сумма]]*Таблица1[[#This Row],[коэф]])),
IF((G13="4/24"),((база!$M$5*Таблица1[[#This Row],[сумма]]*Таблица1[[#This Row],[коэф]])),
IF((G13="3/24"),((база!$M$4*Таблица1[[#This Row],[сумма]]*Таблица1[[#This Row],[коэф]])),
IF((G13="5/16"),((база!$L$6*Таблица1[[#This Row],[сумма]]*Таблица1[[#This Row],[коэф]])),
IF((G13="4/16"),((база!$L$5*Таблица1[[#This Row],[сумма]]*Таблица1[[#This Row],[коэф]])),
IF((G13="3/16"),((база!$L$4*Таблица1[[#This Row],[сумма]]*Таблица1[[#This Row],[коэф]])),
IF((G13="4/4"),((база!$I$5*Таблица1[[#This Row],[сумма]]*Таблица1[[#This Row],[коэф]])),
IF(OR(G13="2/4",G13="3/4"),((база!$I$4*Таблица1[[#This Row],[сумма]]*Таблица1[[#This Row],[коэф]])),
IF((G13="5/8"),((база!$J$6*Таблица1[[#This Row],[сумма]]*Таблица1[[#This Row],[коэф]])),
IF((G13="4/8"),((база!$J$5*Таблица1[[#This Row],[сумма]]*Таблица1[[#This Row],[коэф]])),
IF(OR(G13="3/8",G13="2/8"),((база!$J$4*Таблица1[[#This Row],[сумма]]*Таблица1[[#This Row],[коэф]])))))))))))))),
(IF((G13="5/24"),((база!$M$6*Таблица1[[#This Row],[сумма]]*Таблица1[[#This Row],[коэф]])),
IF(OR(G13="4/24",G13="3/24"),((база!$M$5*Таблица1[[#This Row],[сумма]]*Таблица1[[#This Row],[коэф]])),
IF((G13="5/16"),((база!$L$6*Таблица1[[#This Row],[сумма]]*Таблица1[[#This Row],[коэф]])),
IF(OR(G13="4/16",G13="3/16"),((база!$L$5*Таблица1[[#This Row],[сумма]]*Таблица1[[#This Row],[коэф]])),
IF(OR(G13="2/4",G13="3/4",G13="4/4"),((база!$I$5*Таблица1[[#This Row],[сумма]]*Таблица1[[#This Row],[коэф]])),
IF((G13="5/8"),((база!$J$6*Таблица1[[#This Row],[сумма]]*Таблица1[[#This Row],[коэф]])),
IF(OR(G13="4/8",G13="3/8",G13="2/8"),((база!$J$5*Таблица1[[#This Row],[сумма]]*Таблица1[[#This Row],[коэф]])))))))))))</f>
        <v>0</v>
      </c>
      <c r="AP13" s="730" t="b">
        <f>IF(AR13&lt;=3,(IF((G13="5/24"),((база!$M$6*2*Таблица1[[#This Row],[Столбец1]]*Таблица1[[#This Row],[коэф]])),
IF((G13="4/24"),((база!$M$5*2*Таблица1[[#This Row],[Столбец1]]*Таблица1[[#This Row],[коэф]])),
IF((G13="3/24"),((база!$M$4*2*Таблица1[[#This Row],[Столбец1]]*Таблица1[[#This Row],[коэф]])),
IF((G13="5/16"),((база!$L$6*2*Таблица1[[#This Row],[Столбец1]]*Таблица1[[#This Row],[коэф]])),
IF((G13="4/16"),((база!$L$5*2*Таблица1[[#This Row],[Столбец1]]*Таблица1[[#This Row],[коэф]])),
IF((G13="3/16"),((база!$L$4*2*Таблица1[[#This Row],[Столбец1]]*Таблица1[[#This Row],[коэф]])),
IF((G13="4/4"),((база!$I$5*2*Таблица1[[#This Row],[Столбец1]]*Таблица1[[#This Row],[коэф]])),
IF(OR(G13="2/4",G13="3/4"),((база!$I$4*2*Таблица1[[#This Row],[Столбец1]]*Таблица1[[#This Row],[коэф]])),
IF((G13="5/8"),((база!$J$6*2*Таблица1[[#This Row],[Столбец1]]*Таблица1[[#This Row],[коэф]])),
IF((G13="4/8"),((база!$J$5*2*Таблица1[[#This Row],[Столбец1]]*Таблица1[[#This Row],[коэф]])),
IF(OR(G13="3/8",G13="2/8"),((база!$J$4*2*Таблица1[[#This Row],[Столбец1]]*Таблица1[[#This Row],[коэф]])))))))))))))),
(IF((G13="5/24"),((база!$M$6*2*Таблица1[[#This Row],[Столбец1]]*Таблица1[[#This Row],[коэф]])),
IF(OR(G13="4/24",G13="3/24"),((база!$M$5*2*Таблица1[[#This Row],[Столбец1]]*Таблица1[[#This Row],[коэф]])),
IF((G13="5/16"),((база!$L$6*2*Таблица1[[#This Row],[Столбец1]]*Таблица1[[#This Row],[коэф]])),
IF(OR(G13="4/16",G13="3/16"),((база!$L$5*2*Таблица1[[#This Row],[Столбец1]]*Таблица1[[#This Row],[коэф]])),
IF(OR(G13="2/4",G13="3/4",G13="4/4"),((база!$I$5*2*Таблица1[[#This Row],[Столбец1]]*Таблица1[[#This Row],[коэф]])),
IF((G13="5/8"),((база!$J$6*2*Таблица1[[#This Row],[Столбец1]]*Таблица1[[#This Row],[коэф]])),
IF(OR(G13="4/8",G13="3/8",G13="2/8"),((база!$J$5*2*Таблица1[[#This Row],[Столбец1]]*Таблица1[[#This Row],[коэф]])))))))))))</f>
        <v>0</v>
      </c>
      <c r="AQ13" s="712" t="str">
        <f>IFERROR(INDEX(база!T:T, MATCH(F13,база!Q:Q,0)),"")</f>
        <v/>
      </c>
      <c r="AR13" s="208" t="str">
        <f>IFERROR(INDEX(база!D:D, MATCH(F13,база!B:B,0)),"")</f>
        <v/>
      </c>
      <c r="AS13" s="758" t="str">
        <f>IFERROR(INDEX(база!E:E, MATCH(F13,база!B:B,0)),"")</f>
        <v/>
      </c>
    </row>
    <row r="14" spans="1:52" ht="15">
      <c r="A14" s="945" t="str">
        <f t="shared" si="1"/>
        <v>январь</v>
      </c>
      <c r="B14" t="n" s="945">
        <v>2024.0</v>
      </c>
      <c r="C14" t="s" s="945">
        <v>388</v>
      </c>
      <c r="D14" t="s" s="945">
        <v>368</v>
      </c>
      <c r="E14" t="s" s="945">
        <v>46</v>
      </c>
      <c r="F14" t="s" s="945">
        <v>359</v>
      </c>
      <c r="G14" t="s" s="945">
        <v>4</v>
      </c>
      <c r="H14" s="945"/>
      <c r="I14" s="945"/>
      <c r="J14" s="945"/>
      <c r="K14" s="945"/>
      <c r="L14" t="n" s="945">
        <v>1.0</v>
      </c>
      <c r="M14" s="49"/>
      <c r="N14" s="49"/>
      <c r="O14" s="48"/>
      <c r="P14" s="49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51"/>
      <c r="AM14" s="212">
        <f>IF(AQ14=1,SUM(Q14:T14,W14:Z14,AC14:AF14,AI14:AL14),
IF(AQ14=2,SUM(P14,S14:V14,Y14:AB14,AE14:AH14,AK14:AL14),
IF(AQ14=3,SUM(P14:R14,U14:X14,AA14:AD14,AG14:AJ14),SUM(Таблица1[[#This Row],[1]:[31]])-Таблица1[[#This Row],[Столбец1]])))</f>
        <v>0</v>
      </c>
      <c r="AN14" s="778">
        <f t="array" ref="AN14">IF(AQ14=1,SUM(P14,U14:V14,AA14:AB14,AG14:AH14),
IF(AQ14=2,SUM(Q14:R14,W14:X14,AC14:AD14,AI14:AJ14),
IF(AQ14=3,SUM(S14:T14,Y14:Z14,AE14:AF14,AK14:AL14),
SUM(IFERROR(WEEKDAY($H$2:$AL$2,2)&gt;5,)*H14:AL14))))+Таблица1[[#This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4" s="292" t="b">
        <f>IF(AR14&lt;=3,(IF((G14="5/24"),((база!$M$6*Таблица1[[#This Row],[сумма]]*Таблица1[[#This Row],[коэф]])),
IF((G14="4/24"),((база!$M$5*Таблица1[[#This Row],[сумма]]*Таблица1[[#This Row],[коэф]])),
IF((G14="3/24"),((база!$M$4*Таблица1[[#This Row],[сумма]]*Таблица1[[#This Row],[коэф]])),
IF((G14="5/16"),((база!$L$6*Таблица1[[#This Row],[сумма]]*Таблица1[[#This Row],[коэф]])),
IF((G14="4/16"),((база!$L$5*Таблица1[[#This Row],[сумма]]*Таблица1[[#This Row],[коэф]])),
IF((G14="3/16"),((база!$L$4*Таблица1[[#This Row],[сумма]]*Таблица1[[#This Row],[коэф]])),
IF((G14="4/4"),((база!$I$5*Таблица1[[#This Row],[сумма]]*Таблица1[[#This Row],[коэф]])),
IF(OR(G14="2/4",G14="3/4"),((база!$I$4*Таблица1[[#This Row],[сумма]]*Таблица1[[#This Row],[коэф]])),
IF((G14="5/8"),((база!$J$6*Таблица1[[#This Row],[сумма]]*Таблица1[[#This Row],[коэф]])),
IF((G14="4/8"),((база!$J$5*Таблица1[[#This Row],[сумма]]*Таблица1[[#This Row],[коэф]])),
IF(OR(G14="3/8",G14="2/8"),((база!$J$4*Таблица1[[#This Row],[сумма]]*Таблица1[[#This Row],[коэф]])))))))))))))),
(IF((G14="5/24"),((база!$M$6*Таблица1[[#This Row],[сумма]]*Таблица1[[#This Row],[коэф]])),
IF(OR(G14="4/24",G14="3/24"),((база!$M$5*Таблица1[[#This Row],[сумма]]*Таблица1[[#This Row],[коэф]])),
IF((G14="5/16"),((база!$L$6*Таблица1[[#This Row],[сумма]]*Таблица1[[#This Row],[коэф]])),
IF(OR(G14="4/16",G14="3/16"),((база!$L$5*Таблица1[[#This Row],[сумма]]*Таблица1[[#This Row],[коэф]])),
IF(OR(G14="2/4",G14="3/4",G14="4/4"),((база!$I$5*Таблица1[[#This Row],[сумма]]*Таблица1[[#This Row],[коэф]])),
IF((G14="5/8"),((база!$J$6*Таблица1[[#This Row],[сумма]]*Таблица1[[#This Row],[коэф]])),
IF(OR(G14="4/8",G14="3/8",G14="2/8"),((база!$J$5*Таблица1[[#This Row],[сумма]]*Таблица1[[#This Row],[коэф]])))))))))))</f>
        <v>0</v>
      </c>
      <c r="AP14" s="730" t="b">
        <f>IF(AR14&lt;=3,(IF((G14="5/24"),((база!$M$6*2*Таблица1[[#This Row],[Столбец1]]*Таблица1[[#This Row],[коэф]])),
IF((G14="4/24"),((база!$M$5*2*Таблица1[[#This Row],[Столбец1]]*Таблица1[[#This Row],[коэф]])),
IF((G14="3/24"),((база!$M$4*2*Таблица1[[#This Row],[Столбец1]]*Таблица1[[#This Row],[коэф]])),
IF((G14="5/16"),((база!$L$6*2*Таблица1[[#This Row],[Столбец1]]*Таблица1[[#This Row],[коэф]])),
IF((G14="4/16"),((база!$L$5*2*Таблица1[[#This Row],[Столбец1]]*Таблица1[[#This Row],[коэф]])),
IF((G14="3/16"),((база!$L$4*2*Таблица1[[#This Row],[Столбец1]]*Таблица1[[#This Row],[коэф]])),
IF((G14="4/4"),((база!$I$5*2*Таблица1[[#This Row],[Столбец1]]*Таблица1[[#This Row],[коэф]])),
IF(OR(G14="2/4",G14="3/4"),((база!$I$4*2*Таблица1[[#This Row],[Столбец1]]*Таблица1[[#This Row],[коэф]])),
IF((G14="5/8"),((база!$J$6*2*Таблица1[[#This Row],[Столбец1]]*Таблица1[[#This Row],[коэф]])),
IF((G14="4/8"),((база!$J$5*2*Таблица1[[#This Row],[Столбец1]]*Таблица1[[#This Row],[коэф]])),
IF(OR(G14="3/8",G14="2/8"),((база!$J$4*2*Таблица1[[#This Row],[Столбец1]]*Таблица1[[#This Row],[коэф]])))))))))))))),
(IF((G14="5/24"),((база!$M$6*2*Таблица1[[#This Row],[Столбец1]]*Таблица1[[#This Row],[коэф]])),
IF(OR(G14="4/24",G14="3/24"),((база!$M$5*2*Таблица1[[#This Row],[Столбец1]]*Таблица1[[#This Row],[коэф]])),
IF((G14="5/16"),((база!$L$6*2*Таблица1[[#This Row],[Столбец1]]*Таблица1[[#This Row],[коэф]])),
IF(OR(G14="4/16",G14="3/16"),((база!$L$5*2*Таблица1[[#This Row],[Столбец1]]*Таблица1[[#This Row],[коэф]])),
IF(OR(G14="2/4",G14="3/4",G14="4/4"),((база!$I$5*2*Таблица1[[#This Row],[Столбец1]]*Таблица1[[#This Row],[коэф]])),
IF((G14="5/8"),((база!$J$6*2*Таблица1[[#This Row],[Столбец1]]*Таблица1[[#This Row],[коэф]])),
IF(OR(G14="4/8",G14="3/8",G14="2/8"),((база!$J$5*2*Таблица1[[#This Row],[Столбец1]]*Таблица1[[#This Row],[коэф]])))))))))))</f>
        <v>0</v>
      </c>
      <c r="AQ14" s="712" t="str">
        <f>IFERROR(INDEX(база!T:T, MATCH(F14,база!Q:Q,0)),"")</f>
        <v/>
      </c>
      <c r="AR14" s="208" t="str">
        <f>IFERROR(INDEX(база!D:D, MATCH(F14,база!B:B,0)),"")</f>
        <v/>
      </c>
      <c r="AS14" s="758" t="str">
        <f>IFERROR(INDEX(база!E:E, MATCH(F14,база!B:B,0)),"")</f>
        <v/>
      </c>
    </row>
    <row r="15" spans="1:52" s="46" customFormat="1" ht="15">
      <c r="A15" s="947" t="str">
        <f t="shared" si="1"/>
        <v>январь</v>
      </c>
      <c r="B15" t="n" s="947">
        <v>2024.0</v>
      </c>
      <c r="C15" t="s" s="947">
        <v>388</v>
      </c>
      <c r="D15" t="s" s="947">
        <v>369</v>
      </c>
      <c r="E15" t="s" s="947">
        <v>46</v>
      </c>
      <c r="F15" t="s" s="947">
        <v>374</v>
      </c>
      <c r="G15" t="s" s="947">
        <v>6</v>
      </c>
      <c r="H15" s="947"/>
      <c r="I15" s="947"/>
      <c r="J15" s="947"/>
      <c r="K15" t="n" s="46">
        <v>7.2</v>
      </c>
      <c r="L15" t="n" s="947">
        <v>7.2</v>
      </c>
      <c r="M15" s="49"/>
      <c r="N15" s="49"/>
      <c r="O15" t="n" s="46">
        <v>7.2</v>
      </c>
      <c r="P15" s="49"/>
      <c r="Q15" s="49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8"/>
      <c r="AK15" s="48"/>
      <c r="AL15" s="51"/>
      <c r="AM15" s="212">
        <f>IF(AQ15=1,SUM(Q15:T15,W15:Z15,AC15:AF15,AI15:AL15),
IF(AQ15=2,SUM(P15,S15:V15,Y15:AB15,AE15:AH15,AK15:AL15),
IF(AQ15=3,SUM(P15:R15,U15:X15,AA15:AD15,AG15:AJ15),SUM(Таблица1[[#This Row],[1]:[31]])-Таблица1[[#This Row],[Столбец1]])))</f>
        <v>0</v>
      </c>
      <c r="AN15" s="778">
        <f t="array" ref="AN15">IF(AQ15=1,SUM(P15,U15:V15,AA15:AB15,AG15:AH15),
IF(AQ15=2,SUM(Q15:R15,W15:X15,AC15:AD15,AI15:AJ15),
IF(AQ15=3,SUM(S15:T15,Y15:Z15,AE15:AF15,AK15:AL15),
SUM(IFERROR(WEEKDAY($H$2:$AL$2,2)&gt;5,)*H15:AL15))))+Таблица1[[#This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5" s="292" t="b">
        <f>IF(AR15&lt;=3,(IF((G15="5/24"),((база!$M$6*Таблица1[[#This Row],[сумма]]*Таблица1[[#This Row],[коэф]])),
IF((G15="4/24"),((база!$M$5*Таблица1[[#This Row],[сумма]]*Таблица1[[#This Row],[коэф]])),
IF((G15="3/24"),((база!$M$4*Таблица1[[#This Row],[сумма]]*Таблица1[[#This Row],[коэф]])),
IF((G15="5/16"),((база!$L$6*Таблица1[[#This Row],[сумма]]*Таблица1[[#This Row],[коэф]])),
IF((G15="4/16"),((база!$L$5*Таблица1[[#This Row],[сумма]]*Таблица1[[#This Row],[коэф]])),
IF((G15="3/16"),((база!$L$4*Таблица1[[#This Row],[сумма]]*Таблица1[[#This Row],[коэф]])),
IF((G15="4/4"),((база!$I$5*Таблица1[[#This Row],[сумма]]*Таблица1[[#This Row],[коэф]])),
IF(OR(G15="2/4",G15="3/4"),((база!$I$4*Таблица1[[#This Row],[сумма]]*Таблица1[[#This Row],[коэф]])),
IF((G15="5/8"),((база!$J$6*Таблица1[[#This Row],[сумма]]*Таблица1[[#This Row],[коэф]])),
IF((G15="4/8"),((база!$J$5*Таблица1[[#This Row],[сумма]]*Таблица1[[#This Row],[коэф]])),
IF(OR(G15="3/8",G15="2/8"),((база!$J$4*Таблица1[[#This Row],[сумма]]*Таблица1[[#This Row],[коэф]])))))))))))))),
(IF((G15="5/24"),((база!$M$6*Таблица1[[#This Row],[сумма]]*Таблица1[[#This Row],[коэф]])),
IF(OR(G15="4/24",G15="3/24"),((база!$M$5*Таблица1[[#This Row],[сумма]]*Таблица1[[#This Row],[коэф]])),
IF((G15="5/16"),((база!$L$6*Таблица1[[#This Row],[сумма]]*Таблица1[[#This Row],[коэф]])),
IF(OR(G15="4/16",G15="3/16"),((база!$L$5*Таблица1[[#This Row],[сумма]]*Таблица1[[#This Row],[коэф]])),
IF(OR(G15="2/4",G15="3/4",G15="4/4"),((база!$I$5*Таблица1[[#This Row],[сумма]]*Таблица1[[#This Row],[коэф]])),
IF((G15="5/8"),((база!$J$6*Таблица1[[#This Row],[сумма]]*Таблица1[[#This Row],[коэф]])),
IF(OR(G15="4/8",G15="3/8",G15="2/8"),((база!$J$5*Таблица1[[#This Row],[сумма]]*Таблица1[[#This Row],[коэф]])))))))))))</f>
        <v>0</v>
      </c>
      <c r="AP15" s="730" t="b">
        <f>IF(AR15&lt;=3,(IF((G15="5/24"),((база!$M$6*2*Таблица1[[#This Row],[Столбец1]]*Таблица1[[#This Row],[коэф]])),
IF((G15="4/24"),((база!$M$5*2*Таблица1[[#This Row],[Столбец1]]*Таблица1[[#This Row],[коэф]])),
IF((G15="3/24"),((база!$M$4*2*Таблица1[[#This Row],[Столбец1]]*Таблица1[[#This Row],[коэф]])),
IF((G15="5/16"),((база!$L$6*2*Таблица1[[#This Row],[Столбец1]]*Таблица1[[#This Row],[коэф]])),
IF((G15="4/16"),((база!$L$5*2*Таблица1[[#This Row],[Столбец1]]*Таблица1[[#This Row],[коэф]])),
IF((G15="3/16"),((база!$L$4*2*Таблица1[[#This Row],[Столбец1]]*Таблица1[[#This Row],[коэф]])),
IF((G15="4/4"),((база!$I$5*2*Таблица1[[#This Row],[Столбец1]]*Таблица1[[#This Row],[коэф]])),
IF(OR(G15="2/4",G15="3/4"),((база!$I$4*2*Таблица1[[#This Row],[Столбец1]]*Таблица1[[#This Row],[коэф]])),
IF((G15="5/8"),((база!$J$6*2*Таблица1[[#This Row],[Столбец1]]*Таблица1[[#This Row],[коэф]])),
IF((G15="4/8"),((база!$J$5*2*Таблица1[[#This Row],[Столбец1]]*Таблица1[[#This Row],[коэф]])),
IF(OR(G15="3/8",G15="2/8"),((база!$J$4*2*Таблица1[[#This Row],[Столбец1]]*Таблица1[[#This Row],[коэф]])))))))))))))),
(IF((G15="5/24"),((база!$M$6*2*Таблица1[[#This Row],[Столбец1]]*Таблица1[[#This Row],[коэф]])),
IF(OR(G15="4/24",G15="3/24"),((база!$M$5*2*Таблица1[[#This Row],[Столбец1]]*Таблица1[[#This Row],[коэф]])),
IF((G15="5/16"),((база!$L$6*2*Таблица1[[#This Row],[Столбец1]]*Таблица1[[#This Row],[коэф]])),
IF(OR(G15="4/16",G15="3/16"),((база!$L$5*2*Таблица1[[#This Row],[Столбец1]]*Таблица1[[#This Row],[коэф]])),
IF(OR(G15="2/4",G15="3/4",G15="4/4"),((база!$I$5*2*Таблица1[[#This Row],[Столбец1]]*Таблица1[[#This Row],[коэф]])),
IF((G15="5/8"),((база!$J$6*2*Таблица1[[#This Row],[Столбец1]]*Таблица1[[#This Row],[коэф]])),
IF(OR(G15="4/8",G15="3/8",G15="2/8"),((база!$J$5*2*Таблица1[[#This Row],[Столбец1]]*Таблица1[[#This Row],[коэф]])))))))))))</f>
        <v>0</v>
      </c>
      <c r="AQ15" s="712" t="str">
        <f>IFERROR(INDEX(база!T:T, MATCH(F15,база!Q:Q,0)),"")</f>
        <v/>
      </c>
      <c r="AR15" s="208" t="str">
        <f>IFERROR(INDEX(база!D:D, MATCH(F15,база!B:B,0)),"")</f>
        <v/>
      </c>
      <c r="AS15" s="758" t="str">
        <f>IFERROR(INDEX(база!E:E, MATCH(F15,база!B:B,0)),"")</f>
        <v/>
      </c>
    </row>
    <row r="16" spans="1:52" s="46" customFormat="1" ht="15">
      <c r="A16" s="948" t="str">
        <f t="shared" si="1"/>
        <v>январь</v>
      </c>
      <c r="B16" t="n" s="948">
        <v>2024.0</v>
      </c>
      <c r="C16" t="s" s="948">
        <v>392</v>
      </c>
      <c r="D16" t="s" s="948">
        <v>365</v>
      </c>
      <c r="E16" t="s" s="948">
        <v>46</v>
      </c>
      <c r="F16" t="s" s="948">
        <v>356</v>
      </c>
      <c r="G16" t="s" s="948">
        <v>6</v>
      </c>
      <c r="H16" s="948"/>
      <c r="I16" s="948"/>
      <c r="J16" s="948"/>
      <c r="K16" s="948"/>
      <c r="L16" t="n" s="948">
        <v>7.2</v>
      </c>
      <c r="M16" s="49"/>
      <c r="N16" s="49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8"/>
      <c r="AK16" s="48"/>
      <c r="AL16" s="48"/>
      <c r="AM16" s="212">
        <f>IF(AQ16=1,SUM(Q16:T16,W16:Z16,AC16:AF16,AI16:AL16),
IF(AQ16=2,SUM(P16,S16:V16,Y16:AB16,AE16:AH16,AK16:AL16),
IF(AQ16=3,SUM(P16:R16,U16:X16,AA16:AD16,AG16:AJ16),SUM(Таблица1[[#This Row],[1]:[31]])-Таблица1[[#This Row],[Столбец1]])))</f>
        <v>0</v>
      </c>
      <c r="AN16" s="778">
        <f t="array" ref="AN16">IF(AQ16=1,SUM(P16,U16:V16,AA16:AB16,AG16:AH16),
IF(AQ16=2,SUM(Q16:R16,W16:X16,AC16:AD16,AI16:AJ16),
IF(AQ16=3,SUM(S16:T16,Y16:Z16,AE16:AF16,AK16:AL16),
SUM(IFERROR(WEEKDAY($H$2:$AL$2,2)&gt;5,)*H16:AL16))))+Таблица1[[#This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6" s="292" t="b">
        <f>IF(AR16&lt;=3,(IF((G16="5/24"),((база!$M$6*Таблица1[[#This Row],[сумма]]*Таблица1[[#This Row],[коэф]])),
IF((G16="4/24"),((база!$M$5*Таблица1[[#This Row],[сумма]]*Таблица1[[#This Row],[коэф]])),
IF((G16="3/24"),((база!$M$4*Таблица1[[#This Row],[сумма]]*Таблица1[[#This Row],[коэф]])),
IF((G16="5/16"),((база!$L$6*Таблица1[[#This Row],[сумма]]*Таблица1[[#This Row],[коэф]])),
IF((G16="4/16"),((база!$L$5*Таблица1[[#This Row],[сумма]]*Таблица1[[#This Row],[коэф]])),
IF((G16="3/16"),((база!$L$4*Таблица1[[#This Row],[сумма]]*Таблица1[[#This Row],[коэф]])),
IF((G16="4/4"),((база!$I$5*Таблица1[[#This Row],[сумма]]*Таблица1[[#This Row],[коэф]])),
IF(OR(G16="2/4",G16="3/4"),((база!$I$4*Таблица1[[#This Row],[сумма]]*Таблица1[[#This Row],[коэф]])),
IF((G16="5/8"),((база!$J$6*Таблица1[[#This Row],[сумма]]*Таблица1[[#This Row],[коэф]])),
IF((G16="4/8"),((база!$J$5*Таблица1[[#This Row],[сумма]]*Таблица1[[#This Row],[коэф]])),
IF(OR(G16="3/8",G16="2/8"),((база!$J$4*Таблица1[[#This Row],[сумма]]*Таблица1[[#This Row],[коэф]])))))))))))))),
(IF((G16="5/24"),((база!$M$6*Таблица1[[#This Row],[сумма]]*Таблица1[[#This Row],[коэф]])),
IF(OR(G16="4/24",G16="3/24"),((база!$M$5*Таблица1[[#This Row],[сумма]]*Таблица1[[#This Row],[коэф]])),
IF((G16="5/16"),((база!$L$6*Таблица1[[#This Row],[сумма]]*Таблица1[[#This Row],[коэф]])),
IF(OR(G16="4/16",G16="3/16"),((база!$L$5*Таблица1[[#This Row],[сумма]]*Таблица1[[#This Row],[коэф]])),
IF(OR(G16="2/4",G16="3/4",G16="4/4"),((база!$I$5*Таблица1[[#This Row],[сумма]]*Таблица1[[#This Row],[коэф]])),
IF((G16="5/8"),((база!$J$6*Таблица1[[#This Row],[сумма]]*Таблица1[[#This Row],[коэф]])),
IF(OR(G16="4/8",G16="3/8",G16="2/8"),((база!$J$5*Таблица1[[#This Row],[сумма]]*Таблица1[[#This Row],[коэф]])))))))))))</f>
        <v>0</v>
      </c>
      <c r="AP16" s="730" t="b">
        <f>IF(AR16&lt;=3,(IF((G16="5/24"),((база!$M$6*2*Таблица1[[#This Row],[Столбец1]]*Таблица1[[#This Row],[коэф]])),
IF((G16="4/24"),((база!$M$5*2*Таблица1[[#This Row],[Столбец1]]*Таблица1[[#This Row],[коэф]])),
IF((G16="3/24"),((база!$M$4*2*Таблица1[[#This Row],[Столбец1]]*Таблица1[[#This Row],[коэф]])),
IF((G16="5/16"),((база!$L$6*2*Таблица1[[#This Row],[Столбец1]]*Таблица1[[#This Row],[коэф]])),
IF((G16="4/16"),((база!$L$5*2*Таблица1[[#This Row],[Столбец1]]*Таблица1[[#This Row],[коэф]])),
IF((G16="3/16"),((база!$L$4*2*Таблица1[[#This Row],[Столбец1]]*Таблица1[[#This Row],[коэф]])),
IF((G16="4/4"),((база!$I$5*2*Таблица1[[#This Row],[Столбец1]]*Таблица1[[#This Row],[коэф]])),
IF(OR(G16="2/4",G16="3/4"),((база!$I$4*2*Таблица1[[#This Row],[Столбец1]]*Таблица1[[#This Row],[коэф]])),
IF((G16="5/8"),((база!$J$6*2*Таблица1[[#This Row],[Столбец1]]*Таблица1[[#This Row],[коэф]])),
IF((G16="4/8"),((база!$J$5*2*Таблица1[[#This Row],[Столбец1]]*Таблица1[[#This Row],[коэф]])),
IF(OR(G16="3/8",G16="2/8"),((база!$J$4*2*Таблица1[[#This Row],[Столбец1]]*Таблица1[[#This Row],[коэф]])))))))))))))),
(IF((G16="5/24"),((база!$M$6*2*Таблица1[[#This Row],[Столбец1]]*Таблица1[[#This Row],[коэф]])),
IF(OR(G16="4/24",G16="3/24"),((база!$M$5*2*Таблица1[[#This Row],[Столбец1]]*Таблица1[[#This Row],[коэф]])),
IF((G16="5/16"),((база!$L$6*2*Таблица1[[#This Row],[Столбец1]]*Таблица1[[#This Row],[коэф]])),
IF(OR(G16="4/16",G16="3/16"),((база!$L$5*2*Таблица1[[#This Row],[Столбец1]]*Таблица1[[#This Row],[коэф]])),
IF(OR(G16="2/4",G16="3/4",G16="4/4"),((база!$I$5*2*Таблица1[[#This Row],[Столбец1]]*Таблица1[[#This Row],[коэф]])),
IF((G16="5/8"),((база!$J$6*2*Таблица1[[#This Row],[Столбец1]]*Таблица1[[#This Row],[коэф]])),
IF(OR(G16="4/8",G16="3/8",G16="2/8"),((база!$J$5*2*Таблица1[[#This Row],[Столбец1]]*Таблица1[[#This Row],[коэф]])))))))))))</f>
        <v>0</v>
      </c>
      <c r="AQ16" s="712" t="str">
        <f>IFERROR(INDEX(база!T:T, MATCH(F16,база!Q:Q,0)),"")</f>
        <v/>
      </c>
      <c r="AR16" s="208" t="str">
        <f>IFERROR(INDEX(база!D:D, MATCH(F16,база!B:B,0)),"")</f>
        <v/>
      </c>
      <c r="AS16" s="758" t="str">
        <f>IFERROR(INDEX(база!E:E, MATCH(F16,база!B:B,0)),"")</f>
        <v/>
      </c>
    </row>
    <row r="17" spans="1:47" ht="15">
      <c r="A17" s="950" t="str">
        <f t="shared" si="1"/>
        <v>январь</v>
      </c>
      <c r="B17" t="n" s="950">
        <v>2024.0</v>
      </c>
      <c r="C17" t="s" s="950">
        <v>386</v>
      </c>
      <c r="D17" t="s" s="950">
        <v>365</v>
      </c>
      <c r="E17" t="s" s="950">
        <v>393</v>
      </c>
      <c r="F17" t="s" s="950">
        <v>251</v>
      </c>
      <c r="G17" t="s" s="950">
        <v>4</v>
      </c>
      <c r="H17" s="950"/>
      <c r="I17" s="950"/>
      <c r="J17" s="950"/>
      <c r="K17" t="n" s="950">
        <v>7.2</v>
      </c>
      <c r="L17" s="48"/>
      <c r="M17" s="48"/>
      <c r="N17" s="48"/>
      <c r="O17" s="48"/>
      <c r="P17" s="48"/>
      <c r="Q17" s="48"/>
      <c r="R17" t="n" s="46">
        <v>7.2</v>
      </c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51"/>
      <c r="AM17" s="212">
        <f>IF(AQ17=1,SUM(Q17:T17,W17:Z17,AC17:AF17,AI17:AL17),
IF(AQ17=2,SUM(P17,S17:V17,Y17:AB17,AE17:AH17,AK17:AL17),
IF(AQ17=3,SUM(P17:R17,U17:X17,AA17:AD17,AG17:AJ17),SUM(Таблица1[[#This Row],[1]:[31]])-Таблица1[[#This Row],[Столбец1]])))</f>
        <v>0</v>
      </c>
      <c r="AN17" s="778">
        <f t="array" ref="AN17">IF(AQ17=1,SUM(P17,U17:V17,AA17:AB17,AG17:AH17),
IF(AQ17=2,SUM(Q17:R17,W17:X17,AC17:AD17,AI17:AJ17),
IF(AQ17=3,SUM(S17:T17,Y17:Z17,AE17:AF17,AK17:AL17),
SUM(IFERROR(WEEKDAY($H$2:$AL$2,2)&gt;5,)*H17:AL17))))+Таблица1[[#This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7" s="292" t="b">
        <f>IF(AR17&lt;=3,(IF((G17="5/24"),((база!$M$6*Таблица1[[#This Row],[сумма]]*Таблица1[[#This Row],[коэф]])),
IF((G17="4/24"),((база!$M$5*Таблица1[[#This Row],[сумма]]*Таблица1[[#This Row],[коэф]])),
IF((G17="3/24"),((база!$M$4*Таблица1[[#This Row],[сумма]]*Таблица1[[#This Row],[коэф]])),
IF((G17="5/16"),((база!$L$6*Таблица1[[#This Row],[сумма]]*Таблица1[[#This Row],[коэф]])),
IF((G17="4/16"),((база!$L$5*Таблица1[[#This Row],[сумма]]*Таблица1[[#This Row],[коэф]])),
IF((G17="3/16"),((база!$L$4*Таблица1[[#This Row],[сумма]]*Таблица1[[#This Row],[коэф]])),
IF((G17="4/4"),((база!$I$5*Таблица1[[#This Row],[сумма]]*Таблица1[[#This Row],[коэф]])),
IF(OR(G17="2/4",G17="3/4"),((база!$I$4*Таблица1[[#This Row],[сумма]]*Таблица1[[#This Row],[коэф]])),
IF((G17="5/8"),((база!$J$6*Таблица1[[#This Row],[сумма]]*Таблица1[[#This Row],[коэф]])),
IF((G17="4/8"),((база!$J$5*Таблица1[[#This Row],[сумма]]*Таблица1[[#This Row],[коэф]])),
IF(OR(G17="3/8",G17="2/8"),((база!$J$4*Таблица1[[#This Row],[сумма]]*Таблица1[[#This Row],[коэф]])))))))))))))),
(IF((G17="5/24"),((база!$M$6*Таблица1[[#This Row],[сумма]]*Таблица1[[#This Row],[коэф]])),
IF(OR(G17="4/24",G17="3/24"),((база!$M$5*Таблица1[[#This Row],[сумма]]*Таблица1[[#This Row],[коэф]])),
IF((G17="5/16"),((база!$L$6*Таблица1[[#This Row],[сумма]]*Таблица1[[#This Row],[коэф]])),
IF(OR(G17="4/16",G17="3/16"),((база!$L$5*Таблица1[[#This Row],[сумма]]*Таблица1[[#This Row],[коэф]])),
IF(OR(G17="2/4",G17="3/4",G17="4/4"),((база!$I$5*Таблица1[[#This Row],[сумма]]*Таблица1[[#This Row],[коэф]])),
IF((G17="5/8"),((база!$J$6*Таблица1[[#This Row],[сумма]]*Таблица1[[#This Row],[коэф]])),
IF(OR(G17="4/8",G17="3/8",G17="2/8"),((база!$J$5*Таблица1[[#This Row],[сумма]]*Таблица1[[#This Row],[коэф]])))))))))))</f>
        <v>0</v>
      </c>
      <c r="AP17" s="730" t="b">
        <f>IF(AR17&lt;=3,(IF((G17="5/24"),((база!$M$6*2*Таблица1[[#This Row],[Столбец1]]*Таблица1[[#This Row],[коэф]])),
IF((G17="4/24"),((база!$M$5*2*Таблица1[[#This Row],[Столбец1]]*Таблица1[[#This Row],[коэф]])),
IF((G17="3/24"),((база!$M$4*2*Таблица1[[#This Row],[Столбец1]]*Таблица1[[#This Row],[коэф]])),
IF((G17="5/16"),((база!$L$6*2*Таблица1[[#This Row],[Столбец1]]*Таблица1[[#This Row],[коэф]])),
IF((G17="4/16"),((база!$L$5*2*Таблица1[[#This Row],[Столбец1]]*Таблица1[[#This Row],[коэф]])),
IF((G17="3/16"),((база!$L$4*2*Таблица1[[#This Row],[Столбец1]]*Таблица1[[#This Row],[коэф]])),
IF((G17="4/4"),((база!$I$5*2*Таблица1[[#This Row],[Столбец1]]*Таблица1[[#This Row],[коэф]])),
IF(OR(G17="2/4",G17="3/4"),((база!$I$4*2*Таблица1[[#This Row],[Столбец1]]*Таблица1[[#This Row],[коэф]])),
IF((G17="5/8"),((база!$J$6*2*Таблица1[[#This Row],[Столбец1]]*Таблица1[[#This Row],[коэф]])),
IF((G17="4/8"),((база!$J$5*2*Таблица1[[#This Row],[Столбец1]]*Таблица1[[#This Row],[коэф]])),
IF(OR(G17="3/8",G17="2/8"),((база!$J$4*2*Таблица1[[#This Row],[Столбец1]]*Таблица1[[#This Row],[коэф]])))))))))))))),
(IF((G17="5/24"),((база!$M$6*2*Таблица1[[#This Row],[Столбец1]]*Таблица1[[#This Row],[коэф]])),
IF(OR(G17="4/24",G17="3/24"),((база!$M$5*2*Таблица1[[#This Row],[Столбец1]]*Таблица1[[#This Row],[коэф]])),
IF((G17="5/16"),((база!$L$6*2*Таблица1[[#This Row],[Столбец1]]*Таблица1[[#This Row],[коэф]])),
IF(OR(G17="4/16",G17="3/16"),((база!$L$5*2*Таблица1[[#This Row],[Столбец1]]*Таблица1[[#This Row],[коэф]])),
IF(OR(G17="2/4",G17="3/4",G17="4/4"),((база!$I$5*2*Таблица1[[#This Row],[Столбец1]]*Таблица1[[#This Row],[коэф]])),
IF((G17="5/8"),((база!$J$6*2*Таблица1[[#This Row],[Столбец1]]*Таблица1[[#This Row],[коэф]])),
IF(OR(G17="4/8",G17="3/8",G17="2/8"),((база!$J$5*2*Таблица1[[#This Row],[Столбец1]]*Таблица1[[#This Row],[коэф]])))))))))))</f>
        <v>0</v>
      </c>
      <c r="AQ17" s="712" t="str">
        <f>IFERROR(INDEX(база!T:T, MATCH(F17,база!Q:Q,0)),"")</f>
        <v/>
      </c>
      <c r="AR17" s="208" t="str">
        <f>IFERROR(INDEX(база!D:D, MATCH(F17,база!B:B,0)),"")</f>
        <v/>
      </c>
      <c r="AS17" s="758" t="str">
        <f>IFERROR(INDEX(база!E:E, MATCH(F17,база!B:B,0)),"")</f>
        <v/>
      </c>
    </row>
    <row r="18" spans="1:47" ht="15">
      <c r="A18" s="952" t="str">
        <f t="shared" si="1"/>
        <v>январь</v>
      </c>
      <c r="B18" t="n" s="952">
        <v>2024.0</v>
      </c>
      <c r="C18" t="s" s="952">
        <v>390</v>
      </c>
      <c r="D18" t="s" s="952">
        <v>391</v>
      </c>
      <c r="E18" t="s" s="952">
        <v>393</v>
      </c>
      <c r="F18" t="s" s="952">
        <v>251</v>
      </c>
      <c r="G18" t="s" s="952">
        <v>4</v>
      </c>
      <c r="H18" s="952"/>
      <c r="I18" s="952"/>
      <c r="J18" s="952"/>
      <c r="K18" s="952"/>
      <c r="L18" t="n" s="952">
        <v>7.2</v>
      </c>
      <c r="M18" s="49"/>
      <c r="N18" s="49"/>
      <c r="O18" s="49"/>
      <c r="P18" s="49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51"/>
      <c r="AM18" s="212">
        <f>IF(AQ18=1,SUM(Q18:T18,W18:Z18,AC18:AF18,AI18:AL18),
IF(AQ18=2,SUM(P18,S18:V18,Y18:AB18,AE18:AH18,AK18:AL18),
IF(AQ18=3,SUM(P18:R18,U18:X18,AA18:AD18,AG18:AJ18),SUM(Таблица1[[#This Row],[1]:[31]])-Таблица1[[#This Row],[Столбец1]])))</f>
        <v>0</v>
      </c>
      <c r="AN18" s="778">
        <f t="array" ref="AN18">IF(AQ18=1,SUM(P18,U18:V18,AA18:AB18,AG18:AH18),
IF(AQ18=2,SUM(Q18:R18,W18:X18,AC18:AD18,AI18:AJ18),
IF(AQ18=3,SUM(S18:T18,Y18:Z18,AE18:AF18,AK18:AL18),
SUM(IFERROR(WEEKDAY($H$2:$AL$2,2)&gt;5,)*H18:AL18))))+Таблица1[[#This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8" s="292" t="b">
        <f>IF(AR18&lt;=3,(IF((G18="5/24"),((база!$M$6*Таблица1[[#This Row],[сумма]]*Таблица1[[#This Row],[коэф]])),
IF((G18="4/24"),((база!$M$5*Таблица1[[#This Row],[сумма]]*Таблица1[[#This Row],[коэф]])),
IF((G18="3/24"),((база!$M$4*Таблица1[[#This Row],[сумма]]*Таблица1[[#This Row],[коэф]])),
IF((G18="5/16"),((база!$L$6*Таблица1[[#This Row],[сумма]]*Таблица1[[#This Row],[коэф]])),
IF((G18="4/16"),((база!$L$5*Таблица1[[#This Row],[сумма]]*Таблица1[[#This Row],[коэф]])),
IF((G18="3/16"),((база!$L$4*Таблица1[[#This Row],[сумма]]*Таблица1[[#This Row],[коэф]])),
IF((G18="4/4"),((база!$I$5*Таблица1[[#This Row],[сумма]]*Таблица1[[#This Row],[коэф]])),
IF(OR(G18="2/4",G18="3/4"),((база!$I$4*Таблица1[[#This Row],[сумма]]*Таблица1[[#This Row],[коэф]])),
IF((G18="5/8"),((база!$J$6*Таблица1[[#This Row],[сумма]]*Таблица1[[#This Row],[коэф]])),
IF((G18="4/8"),((база!$J$5*Таблица1[[#This Row],[сумма]]*Таблица1[[#This Row],[коэф]])),
IF(OR(G18="3/8",G18="2/8"),((база!$J$4*Таблица1[[#This Row],[сумма]]*Таблица1[[#This Row],[коэф]])))))))))))))),
(IF((G18="5/24"),((база!$M$6*Таблица1[[#This Row],[сумма]]*Таблица1[[#This Row],[коэф]])),
IF(OR(G18="4/24",G18="3/24"),((база!$M$5*Таблица1[[#This Row],[сумма]]*Таблица1[[#This Row],[коэф]])),
IF((G18="5/16"),((база!$L$6*Таблица1[[#This Row],[сумма]]*Таблица1[[#This Row],[коэф]])),
IF(OR(G18="4/16",G18="3/16"),((база!$L$5*Таблица1[[#This Row],[сумма]]*Таблица1[[#This Row],[коэф]])),
IF(OR(G18="2/4",G18="3/4",G18="4/4"),((база!$I$5*Таблица1[[#This Row],[сумма]]*Таблица1[[#This Row],[коэф]])),
IF((G18="5/8"),((база!$J$6*Таблица1[[#This Row],[сумма]]*Таблица1[[#This Row],[коэф]])),
IF(OR(G18="4/8",G18="3/8",G18="2/8"),((база!$J$5*Таблица1[[#This Row],[сумма]]*Таблица1[[#This Row],[коэф]])))))))))))</f>
        <v>0</v>
      </c>
      <c r="AP18" s="730" t="b">
        <f>IF(AR18&lt;=3,(IF((G18="5/24"),((база!$M$6*2*Таблица1[[#This Row],[Столбец1]]*Таблица1[[#This Row],[коэф]])),
IF((G18="4/24"),((база!$M$5*2*Таблица1[[#This Row],[Столбец1]]*Таблица1[[#This Row],[коэф]])),
IF((G18="3/24"),((база!$M$4*2*Таблица1[[#This Row],[Столбец1]]*Таблица1[[#This Row],[коэф]])),
IF((G18="5/16"),((база!$L$6*2*Таблица1[[#This Row],[Столбец1]]*Таблица1[[#This Row],[коэф]])),
IF((G18="4/16"),((база!$L$5*2*Таблица1[[#This Row],[Столбец1]]*Таблица1[[#This Row],[коэф]])),
IF((G18="3/16"),((база!$L$4*2*Таблица1[[#This Row],[Столбец1]]*Таблица1[[#This Row],[коэф]])),
IF((G18="4/4"),((база!$I$5*2*Таблица1[[#This Row],[Столбец1]]*Таблица1[[#This Row],[коэф]])),
IF(OR(G18="2/4",G18="3/4"),((база!$I$4*2*Таблица1[[#This Row],[Столбец1]]*Таблица1[[#This Row],[коэф]])),
IF((G18="5/8"),((база!$J$6*2*Таблица1[[#This Row],[Столбец1]]*Таблица1[[#This Row],[коэф]])),
IF((G18="4/8"),((база!$J$5*2*Таблица1[[#This Row],[Столбец1]]*Таблица1[[#This Row],[коэф]])),
IF(OR(G18="3/8",G18="2/8"),((база!$J$4*2*Таблица1[[#This Row],[Столбец1]]*Таблица1[[#This Row],[коэф]])))))))))))))),
(IF((G18="5/24"),((база!$M$6*2*Таблица1[[#This Row],[Столбец1]]*Таблица1[[#This Row],[коэф]])),
IF(OR(G18="4/24",G18="3/24"),((база!$M$5*2*Таблица1[[#This Row],[Столбец1]]*Таблица1[[#This Row],[коэф]])),
IF((G18="5/16"),((база!$L$6*2*Таблица1[[#This Row],[Столбец1]]*Таблица1[[#This Row],[коэф]])),
IF(OR(G18="4/16",G18="3/16"),((база!$L$5*2*Таблица1[[#This Row],[Столбец1]]*Таблица1[[#This Row],[коэф]])),
IF(OR(G18="2/4",G18="3/4",G18="4/4"),((база!$I$5*2*Таблица1[[#This Row],[Столбец1]]*Таблица1[[#This Row],[коэф]])),
IF((G18="5/8"),((база!$J$6*2*Таблица1[[#This Row],[Столбец1]]*Таблица1[[#This Row],[коэф]])),
IF(OR(G18="4/8",G18="3/8",G18="2/8"),((база!$J$5*2*Таблица1[[#This Row],[Столбец1]]*Таблица1[[#This Row],[коэф]])))))))))))</f>
        <v>0</v>
      </c>
      <c r="AQ18" s="712" t="str">
        <f>IFERROR(INDEX(база!T:T, MATCH(F18,база!Q:Q,0)),"")</f>
        <v/>
      </c>
      <c r="AR18" s="208" t="str">
        <f>IFERROR(INDEX(база!D:D, MATCH(F18,база!B:B,0)),"")</f>
        <v/>
      </c>
      <c r="AS18" s="758" t="str">
        <f>IFERROR(INDEX(база!E:E, MATCH(F18,база!B:B,0)),"")</f>
        <v/>
      </c>
    </row>
    <row r="19" spans="1:47" ht="15">
      <c r="A19" s="953" t="str">
        <f t="shared" si="1"/>
        <v>январь</v>
      </c>
      <c r="B19" t="n" s="953">
        <v>2024.0</v>
      </c>
      <c r="C19" t="s" s="953">
        <v>390</v>
      </c>
      <c r="D19" t="s" s="953">
        <v>391</v>
      </c>
      <c r="E19" t="s" s="953">
        <v>46</v>
      </c>
      <c r="F19" t="s" s="953">
        <v>325</v>
      </c>
      <c r="G19" t="s" s="953">
        <v>6</v>
      </c>
      <c r="H19" s="953"/>
      <c r="I19" s="953"/>
      <c r="J19" s="953"/>
      <c r="K19" t="n" s="953">
        <v>7.2</v>
      </c>
      <c r="L19" s="48"/>
      <c r="M19" s="48"/>
      <c r="N19" s="49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  <c r="AL19" s="51"/>
      <c r="AM19" s="212">
        <f>IF(AQ19=1,SUM(Q19:T19,W19:Z19,AC19:AF19,AI19:AL19),
IF(AQ19=2,SUM(P19,S19:V19,Y19:AB19,AE19:AH19,AK19:AL19),
IF(AQ19=3,SUM(P19:R19,U19:X19,AA19:AD19,AG19:AJ19),SUM(Таблица1[[#This Row],[1]:[31]])-Таблица1[[#This Row],[Столбец1]])))</f>
        <v>0</v>
      </c>
      <c r="AN19" s="778">
        <f t="array" ref="AN19">IF(AQ19=1,SUM(P19,U19:V19,AA19:AB19,AG19:AH19),
IF(AQ19=2,SUM(Q19:R19,W19:X19,AC19:AD19,AI19:AJ19),
IF(AQ19=3,SUM(S19:T19,Y19:Z19,AE19:AF19,AK19:AL19),
SUM(IFERROR(WEEKDAY($H$2:$AL$2,2)&gt;5,)*H19:AL19))))+Таблица1[[#This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9" s="292" t="b">
        <f>IF(AR19&lt;=3,(IF((G19="5/24"),((база!$M$6*Таблица1[[#This Row],[сумма]]*Таблица1[[#This Row],[коэф]])),
IF((G19="4/24"),((база!$M$5*Таблица1[[#This Row],[сумма]]*Таблица1[[#This Row],[коэф]])),
IF((G19="3/24"),((база!$M$4*Таблица1[[#This Row],[сумма]]*Таблица1[[#This Row],[коэф]])),
IF((G19="5/16"),((база!$L$6*Таблица1[[#This Row],[сумма]]*Таблица1[[#This Row],[коэф]])),
IF((G19="4/16"),((база!$L$5*Таблица1[[#This Row],[сумма]]*Таблица1[[#This Row],[коэф]])),
IF((G19="3/16"),((база!$L$4*Таблица1[[#This Row],[сумма]]*Таблица1[[#This Row],[коэф]])),
IF((G19="4/4"),((база!$I$5*Таблица1[[#This Row],[сумма]]*Таблица1[[#This Row],[коэф]])),
IF(OR(G19="2/4",G19="3/4"),((база!$I$4*Таблица1[[#This Row],[сумма]]*Таблица1[[#This Row],[коэф]])),
IF((G19="5/8"),((база!$J$6*Таблица1[[#This Row],[сумма]]*Таблица1[[#This Row],[коэф]])),
IF((G19="4/8"),((база!$J$5*Таблица1[[#This Row],[сумма]]*Таблица1[[#This Row],[коэф]])),
IF(OR(G19="3/8",G19="2/8"),((база!$J$4*Таблица1[[#This Row],[сумма]]*Таблица1[[#This Row],[коэф]])))))))))))))),
(IF((G19="5/24"),((база!$M$6*Таблица1[[#This Row],[сумма]]*Таблица1[[#This Row],[коэф]])),
IF(OR(G19="4/24",G19="3/24"),((база!$M$5*Таблица1[[#This Row],[сумма]]*Таблица1[[#This Row],[коэф]])),
IF((G19="5/16"),((база!$L$6*Таблица1[[#This Row],[сумма]]*Таблица1[[#This Row],[коэф]])),
IF(OR(G19="4/16",G19="3/16"),((база!$L$5*Таблица1[[#This Row],[сумма]]*Таблица1[[#This Row],[коэф]])),
IF(OR(G19="2/4",G19="3/4",G19="4/4"),((база!$I$5*Таблица1[[#This Row],[сумма]]*Таблица1[[#This Row],[коэф]])),
IF((G19="5/8"),((база!$J$6*Таблица1[[#This Row],[сумма]]*Таблица1[[#This Row],[коэф]])),
IF(OR(G19="4/8",G19="3/8",G19="2/8"),((база!$J$5*Таблица1[[#This Row],[сумма]]*Таблица1[[#This Row],[коэф]])))))))))))</f>
        <v>0</v>
      </c>
      <c r="AP19" s="730" t="b">
        <f>IF(AR19&lt;=3,(IF((G19="5/24"),((база!$M$6*2*Таблица1[[#This Row],[Столбец1]]*Таблица1[[#This Row],[коэф]])),
IF((G19="4/24"),((база!$M$5*2*Таблица1[[#This Row],[Столбец1]]*Таблица1[[#This Row],[коэф]])),
IF((G19="3/24"),((база!$M$4*2*Таблица1[[#This Row],[Столбец1]]*Таблица1[[#This Row],[коэф]])),
IF((G19="5/16"),((база!$L$6*2*Таблица1[[#This Row],[Столбец1]]*Таблица1[[#This Row],[коэф]])),
IF((G19="4/16"),((база!$L$5*2*Таблица1[[#This Row],[Столбец1]]*Таблица1[[#This Row],[коэф]])),
IF((G19="3/16"),((база!$L$4*2*Таблица1[[#This Row],[Столбец1]]*Таблица1[[#This Row],[коэф]])),
IF((G19="4/4"),((база!$I$5*2*Таблица1[[#This Row],[Столбец1]]*Таблица1[[#This Row],[коэф]])),
IF(OR(G19="2/4",G19="3/4"),((база!$I$4*2*Таблица1[[#This Row],[Столбец1]]*Таблица1[[#This Row],[коэф]])),
IF((G19="5/8"),((база!$J$6*2*Таблица1[[#This Row],[Столбец1]]*Таблица1[[#This Row],[коэф]])),
IF((G19="4/8"),((база!$J$5*2*Таблица1[[#This Row],[Столбец1]]*Таблица1[[#This Row],[коэф]])),
IF(OR(G19="3/8",G19="2/8"),((база!$J$4*2*Таблица1[[#This Row],[Столбец1]]*Таблица1[[#This Row],[коэф]])))))))))))))),
(IF((G19="5/24"),((база!$M$6*2*Таблица1[[#This Row],[Столбец1]]*Таблица1[[#This Row],[коэф]])),
IF(OR(G19="4/24",G19="3/24"),((база!$M$5*2*Таблица1[[#This Row],[Столбец1]]*Таблица1[[#This Row],[коэф]])),
IF((G19="5/16"),((база!$L$6*2*Таблица1[[#This Row],[Столбец1]]*Таблица1[[#This Row],[коэф]])),
IF(OR(G19="4/16",G19="3/16"),((база!$L$5*2*Таблица1[[#This Row],[Столбец1]]*Таблица1[[#This Row],[коэф]])),
IF(OR(G19="2/4",G19="3/4",G19="4/4"),((база!$I$5*2*Таблица1[[#This Row],[Столбец1]]*Таблица1[[#This Row],[коэф]])),
IF((G19="5/8"),((база!$J$6*2*Таблица1[[#This Row],[Столбец1]]*Таблица1[[#This Row],[коэф]])),
IF(OR(G19="4/8",G19="3/8",G19="2/8"),((база!$J$5*2*Таблица1[[#This Row],[Столбец1]]*Таблица1[[#This Row],[коэф]])))))))))))</f>
        <v>0</v>
      </c>
      <c r="AQ19" s="712" t="str">
        <f>IFERROR(INDEX(база!T:T, MATCH(F21,база!Q:Q,0)),"")</f>
        <v/>
      </c>
      <c r="AR19" s="208" t="str">
        <f>IFERROR(INDEX(база!D:D, MATCH(F19,база!B:B,0)),"")</f>
        <v/>
      </c>
      <c r="AS19" s="758" t="str">
        <f>IFERROR(INDEX(база!E:E, MATCH(F19,база!B:B,0)),"")</f>
        <v/>
      </c>
    </row>
    <row r="20" spans="1:47" s="46" customFormat="1" ht="15">
      <c r="A20" s="955" t="str">
        <f t="shared" si="1"/>
        <v>январь</v>
      </c>
      <c r="B20" t="n" s="955">
        <v>2024.0</v>
      </c>
      <c r="C20" t="s" s="955">
        <v>390</v>
      </c>
      <c r="D20" t="s" s="955">
        <v>391</v>
      </c>
      <c r="E20" t="s" s="955">
        <v>46</v>
      </c>
      <c r="F20" t="s" s="955">
        <v>295</v>
      </c>
      <c r="G20" t="s" s="955">
        <v>6</v>
      </c>
      <c r="H20" s="955"/>
      <c r="I20" s="955"/>
      <c r="J20" s="955"/>
      <c r="K20" t="n" s="955">
        <v>7.2</v>
      </c>
      <c r="L20" t="n" s="46">
        <v>2.0</v>
      </c>
      <c r="M20" s="48"/>
      <c r="N20" s="49"/>
      <c r="O20" s="49"/>
      <c r="P20" s="49"/>
      <c r="Q20" s="49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51"/>
      <c r="AG20" s="48"/>
      <c r="AH20" s="48"/>
      <c r="AI20" s="51"/>
      <c r="AJ20" s="51"/>
      <c r="AK20" s="51"/>
      <c r="AL20" s="51"/>
      <c r="AM20" s="212">
        <f>IF(AQ20=1,SUM(Q20:T20,W20:Z20,AC20:AF20,AI20:AL20),
IF(AQ20=2,SUM(P20,S20:V20,Y20:AB20,AE20:AH20,AK20:AL20),
IF(AQ20=3,SUM(P20:R20,U20:X20,AA20:AD20,AG20:AJ20),SUM(Таблица1[[#This Row],[1]:[31]])-Таблица1[[#This Row],[Столбец1]])))</f>
        <v>0</v>
      </c>
      <c r="AN20" s="778">
        <f t="array" ref="AN20">IF(AQ20=1,SUM(P20,U20:V20,AA20:AB20,AG20:AH20),
IF(AQ20=2,SUM(Q20:R20,W20:X20,AC20:AD20,AI20:AJ20),
IF(AQ20=3,SUM(S20:T20,Y20:Z20,AE20:AF20,AK20:AL20),
SUM(IFERROR(WEEKDAY($H$2:$AL$2,2)&gt;5,)*H20:AL20))))+Таблица1[[#This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0" s="292" t="b">
        <f>IF(AR20&lt;=3,(IF((G20="5/24"),((база!$M$6*Таблица1[[#This Row],[сумма]]*Таблица1[[#This Row],[коэф]])),
IF((G20="4/24"),((база!$M$5*Таблица1[[#This Row],[сумма]]*Таблица1[[#This Row],[коэф]])),
IF((G20="3/24"),((база!$M$4*Таблица1[[#This Row],[сумма]]*Таблица1[[#This Row],[коэф]])),
IF((G20="5/16"),((база!$L$6*Таблица1[[#This Row],[сумма]]*Таблица1[[#This Row],[коэф]])),
IF((G20="4/16"),((база!$L$5*Таблица1[[#This Row],[сумма]]*Таблица1[[#This Row],[коэф]])),
IF((G20="3/16"),((база!$L$4*Таблица1[[#This Row],[сумма]]*Таблица1[[#This Row],[коэф]])),
IF((G20="4/4"),((база!$I$5*Таблица1[[#This Row],[сумма]]*Таблица1[[#This Row],[коэф]])),
IF(OR(G20="2/4",G20="3/4"),((база!$I$4*Таблица1[[#This Row],[сумма]]*Таблица1[[#This Row],[коэф]])),
IF((G20="5/8"),((база!$J$6*Таблица1[[#This Row],[сумма]]*Таблица1[[#This Row],[коэф]])),
IF((G20="4/8"),((база!$J$5*Таблица1[[#This Row],[сумма]]*Таблица1[[#This Row],[коэф]])),
IF(OR(G20="3/8",G20="2/8"),((база!$J$4*Таблица1[[#This Row],[сумма]]*Таблица1[[#This Row],[коэф]])))))))))))))),
(IF((G20="5/24"),((база!$M$6*Таблица1[[#This Row],[сумма]]*Таблица1[[#This Row],[коэф]])),
IF(OR(G20="4/24",G20="3/24"),((база!$M$5*Таблица1[[#This Row],[сумма]]*Таблица1[[#This Row],[коэф]])),
IF((G20="5/16"),((база!$L$6*Таблица1[[#This Row],[сумма]]*Таблица1[[#This Row],[коэф]])),
IF(OR(G20="4/16",G20="3/16"),((база!$L$5*Таблица1[[#This Row],[сумма]]*Таблица1[[#This Row],[коэф]])),
IF(OR(G20="2/4",G20="3/4",G20="4/4"),((база!$I$5*Таблица1[[#This Row],[сумма]]*Таблица1[[#This Row],[коэф]])),
IF((G20="5/8"),((база!$J$6*Таблица1[[#This Row],[сумма]]*Таблица1[[#This Row],[коэф]])),
IF(OR(G20="4/8",G20="3/8",G20="2/8"),((база!$J$5*Таблица1[[#This Row],[сумма]]*Таблица1[[#This Row],[коэф]])))))))))))</f>
        <v>0</v>
      </c>
      <c r="AP20" s="730" t="b">
        <f>IF(AR20&lt;=3,(IF((G20="5/24"),((база!$M$6*2*Таблица1[[#This Row],[Столбец1]]*Таблица1[[#This Row],[коэф]])),
IF((G20="4/24"),((база!$M$5*2*Таблица1[[#This Row],[Столбец1]]*Таблица1[[#This Row],[коэф]])),
IF((G20="3/24"),((база!$M$4*2*Таблица1[[#This Row],[Столбец1]]*Таблица1[[#This Row],[коэф]])),
IF((G20="5/16"),((база!$L$6*2*Таблица1[[#This Row],[Столбец1]]*Таблица1[[#This Row],[коэф]])),
IF((G20="4/16"),((база!$L$5*2*Таблица1[[#This Row],[Столбец1]]*Таблица1[[#This Row],[коэф]])),
IF((G20="3/16"),((база!$L$4*2*Таблица1[[#This Row],[Столбец1]]*Таблица1[[#This Row],[коэф]])),
IF((G20="4/4"),((база!$I$5*2*Таблица1[[#This Row],[Столбец1]]*Таблица1[[#This Row],[коэф]])),
IF(OR(G20="2/4",G20="3/4"),((база!$I$4*2*Таблица1[[#This Row],[Столбец1]]*Таблица1[[#This Row],[коэф]])),
IF((G20="5/8"),((база!$J$6*2*Таблица1[[#This Row],[Столбец1]]*Таблица1[[#This Row],[коэф]])),
IF((G20="4/8"),((база!$J$5*2*Таблица1[[#This Row],[Столбец1]]*Таблица1[[#This Row],[коэф]])),
IF(OR(G20="3/8",G20="2/8"),((база!$J$4*2*Таблица1[[#This Row],[Столбец1]]*Таблица1[[#This Row],[коэф]])))))))))))))),
(IF((G20="5/24"),((база!$M$6*2*Таблица1[[#This Row],[Столбец1]]*Таблица1[[#This Row],[коэф]])),
IF(OR(G20="4/24",G20="3/24"),((база!$M$5*2*Таблица1[[#This Row],[Столбец1]]*Таблица1[[#This Row],[коэф]])),
IF((G20="5/16"),((база!$L$6*2*Таблица1[[#This Row],[Столбец1]]*Таблица1[[#This Row],[коэф]])),
IF(OR(G20="4/16",G20="3/16"),((база!$L$5*2*Таблица1[[#This Row],[Столбец1]]*Таблица1[[#This Row],[коэф]])),
IF(OR(G20="2/4",G20="3/4",G20="4/4"),((база!$I$5*2*Таблица1[[#This Row],[Столбец1]]*Таблица1[[#This Row],[коэф]])),
IF((G20="5/8"),((база!$J$6*2*Таблица1[[#This Row],[Столбец1]]*Таблица1[[#This Row],[коэф]])),
IF(OR(G20="4/8",G20="3/8",G20="2/8"),((база!$J$5*2*Таблица1[[#This Row],[Столбец1]]*Таблица1[[#This Row],[коэф]])))))))))))</f>
        <v>0</v>
      </c>
      <c r="AQ20" s="712" t="str">
        <f>IFERROR(INDEX(база!T:T, MATCH(F20,база!Q:Q,0)),"")</f>
        <v/>
      </c>
      <c r="AR20" s="208" t="str">
        <f>IFERROR(INDEX(база!D:D, MATCH(F20,база!B:B,0)),"")</f>
        <v/>
      </c>
      <c r="AS20" s="758" t="str">
        <f>IFERROR(INDEX(база!E:E, MATCH(F20,база!B:B,0)),"")</f>
        <v/>
      </c>
    </row>
    <row r="21" spans="1:47" ht="15">
      <c r="A21" s="959" t="str">
        <f t="shared" si="1"/>
        <v>январь</v>
      </c>
      <c r="B21" t="n" s="959">
        <v>2024.0</v>
      </c>
      <c r="C21" t="s" s="959">
        <v>386</v>
      </c>
      <c r="D21" t="s" s="959">
        <v>365</v>
      </c>
      <c r="E21" t="s" s="959">
        <v>46</v>
      </c>
      <c r="F21" t="s" s="959">
        <v>295</v>
      </c>
      <c r="G21" t="s" s="959">
        <v>4</v>
      </c>
      <c r="H21" s="959"/>
      <c r="I21" s="959"/>
      <c r="J21" s="959"/>
      <c r="K21" s="959"/>
      <c r="L21" t="n" s="959">
        <v>2.0</v>
      </c>
      <c r="M21" s="48"/>
      <c r="N21" s="49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51"/>
      <c r="AG21" s="51"/>
      <c r="AH21" s="51"/>
      <c r="AI21" s="51"/>
      <c r="AJ21" s="51"/>
      <c r="AK21" s="51"/>
      <c r="AL21" s="51"/>
      <c r="AM21" s="212">
        <f>IF(AQ21=1,SUM(Q21:T21,W21:Z21,AC21:AF21,AI21:AL21),
IF(AQ21=2,SUM(P21,S21:V21,Y21:AB21,AE21:AH21,AK21:AL21),
IF(AQ21=3,SUM(P21:R21,U21:X21,AA21:AD21,AG21:AJ21),SUM(Таблица1[[#This Row],[1]:[31]])-Таблица1[[#This Row],[Столбец1]])))</f>
        <v>0</v>
      </c>
      <c r="AN21" s="778">
        <f t="array" ref="AN21">IF(AQ21=1,SUM(P21,U21:V21,AA21:AB21,AG21:AH21),
IF(AQ21=2,SUM(Q21:R21,W21:X21,AC21:AD21,AI21:AJ21),
IF(AQ21=3,SUM(S21:T21,Y21:Z21,AE21:AF21,AK21:AL21),
SUM(IFERROR(WEEKDAY($H$2:$AL$2,2)&gt;5,)*H21:AL21))))+Таблица1[[#This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1" s="292" t="b">
        <f>IF(AR21&lt;=3,(IF((G21="5/24"),((база!$M$6*Таблица1[[#This Row],[сумма]]*Таблица1[[#This Row],[коэф]])),
IF((G21="4/24"),((база!$M$5*Таблица1[[#This Row],[сумма]]*Таблица1[[#This Row],[коэф]])),
IF((G21="3/24"),((база!$M$4*Таблица1[[#This Row],[сумма]]*Таблица1[[#This Row],[коэф]])),
IF((G21="5/16"),((база!$L$6*Таблица1[[#This Row],[сумма]]*Таблица1[[#This Row],[коэф]])),
IF((G21="4/16"),((база!$L$5*Таблица1[[#This Row],[сумма]]*Таблица1[[#This Row],[коэф]])),
IF((G21="3/16"),((база!$L$4*Таблица1[[#This Row],[сумма]]*Таблица1[[#This Row],[коэф]])),
IF((G21="4/4"),((база!$I$5*Таблица1[[#This Row],[сумма]]*Таблица1[[#This Row],[коэф]])),
IF(OR(G21="2/4",G21="3/4"),((база!$I$4*Таблица1[[#This Row],[сумма]]*Таблица1[[#This Row],[коэф]])),
IF((G21="5/8"),((база!$J$6*Таблица1[[#This Row],[сумма]]*Таблица1[[#This Row],[коэф]])),
IF((G21="4/8"),((база!$J$5*Таблица1[[#This Row],[сумма]]*Таблица1[[#This Row],[коэф]])),
IF(OR(G21="3/8",G21="2/8"),((база!$J$4*Таблица1[[#This Row],[сумма]]*Таблица1[[#This Row],[коэф]])))))))))))))),
(IF((G21="5/24"),((база!$M$6*Таблица1[[#This Row],[сумма]]*Таблица1[[#This Row],[коэф]])),
IF(OR(G21="4/24",G21="3/24"),((база!$M$5*Таблица1[[#This Row],[сумма]]*Таблица1[[#This Row],[коэф]])),
IF((G21="5/16"),((база!$L$6*Таблица1[[#This Row],[сумма]]*Таблица1[[#This Row],[коэф]])),
IF(OR(G21="4/16",G21="3/16"),((база!$L$5*Таблица1[[#This Row],[сумма]]*Таблица1[[#This Row],[коэф]])),
IF(OR(G21="2/4",G21="3/4",G21="4/4"),((база!$I$5*Таблица1[[#This Row],[сумма]]*Таблица1[[#This Row],[коэф]])),
IF((G21="5/8"),((база!$J$6*Таблица1[[#This Row],[сумма]]*Таблица1[[#This Row],[коэф]])),
IF(OR(G21="4/8",G21="3/8",G21="2/8"),((база!$J$5*Таблица1[[#This Row],[сумма]]*Таблица1[[#This Row],[коэф]])))))))))))</f>
        <v>0</v>
      </c>
      <c r="AP21" s="730" t="b">
        <f>IF(AR21&lt;=3,(IF((G21="5/24"),((база!$M$6*2*Таблица1[[#This Row],[Столбец1]]*Таблица1[[#This Row],[коэф]])),
IF((G21="4/24"),((база!$M$5*2*Таблица1[[#This Row],[Столбец1]]*Таблица1[[#This Row],[коэф]])),
IF((G21="3/24"),((база!$M$4*2*Таблица1[[#This Row],[Столбец1]]*Таблица1[[#This Row],[коэф]])),
IF((G21="5/16"),((база!$L$6*2*Таблица1[[#This Row],[Столбец1]]*Таблица1[[#This Row],[коэф]])),
IF((G21="4/16"),((база!$L$5*2*Таблица1[[#This Row],[Столбец1]]*Таблица1[[#This Row],[коэф]])),
IF((G21="3/16"),((база!$L$4*2*Таблица1[[#This Row],[Столбец1]]*Таблица1[[#This Row],[коэф]])),
IF((G21="4/4"),((база!$I$5*2*Таблица1[[#This Row],[Столбец1]]*Таблица1[[#This Row],[коэф]])),
IF(OR(G21="2/4",G21="3/4"),((база!$I$4*2*Таблица1[[#This Row],[Столбец1]]*Таблица1[[#This Row],[коэф]])),
IF((G21="5/8"),((база!$J$6*2*Таблица1[[#This Row],[Столбец1]]*Таблица1[[#This Row],[коэф]])),
IF((G21="4/8"),((база!$J$5*2*Таблица1[[#This Row],[Столбец1]]*Таблица1[[#This Row],[коэф]])),
IF(OR(G21="3/8",G21="2/8"),((база!$J$4*2*Таблица1[[#This Row],[Столбец1]]*Таблица1[[#This Row],[коэф]])))))))))))))),
(IF((G21="5/24"),((база!$M$6*2*Таблица1[[#This Row],[Столбец1]]*Таблица1[[#This Row],[коэф]])),
IF(OR(G21="4/24",G21="3/24"),((база!$M$5*2*Таблица1[[#This Row],[Столбец1]]*Таблица1[[#This Row],[коэф]])),
IF((G21="5/16"),((база!$L$6*2*Таблица1[[#This Row],[Столбец1]]*Таблица1[[#This Row],[коэф]])),
IF(OR(G21="4/16",G21="3/16"),((база!$L$5*2*Таблица1[[#This Row],[Столбец1]]*Таблица1[[#This Row],[коэф]])),
IF(OR(G21="2/4",G21="3/4",G21="4/4"),((база!$I$5*2*Таблица1[[#This Row],[Столбец1]]*Таблица1[[#This Row],[коэф]])),
IF((G21="5/8"),((база!$J$6*2*Таблица1[[#This Row],[Столбец1]]*Таблица1[[#This Row],[коэф]])),
IF(OR(G21="4/8",G21="3/8",G21="2/8"),((база!$J$5*2*Таблица1[[#This Row],[Столбец1]]*Таблица1[[#This Row],[коэф]])))))))))))</f>
        <v>0</v>
      </c>
      <c r="AQ21" s="712" t="str">
        <f>IFERROR(INDEX(база!T:T, MATCH(#REF!,база!Q:Q,0)),"")</f>
        <v/>
      </c>
      <c r="AR21" s="208" t="str">
        <f>IFERROR(INDEX(база!D:D, MATCH(F21,база!B:B,0)),"")</f>
        <v/>
      </c>
      <c r="AS21" s="758" t="str">
        <f>IFERROR(INDEX(база!E:E, MATCH(F21,база!B:B,0)),"")</f>
        <v/>
      </c>
    </row>
    <row r="22" spans="1:47" ht="15.75" customHeight="1">
      <c r="A22" s="961" t="str">
        <f t="shared" si="1"/>
        <v>январь</v>
      </c>
      <c r="B22" t="n" s="961">
        <v>2024.0</v>
      </c>
      <c r="C22" t="s" s="961">
        <v>388</v>
      </c>
      <c r="D22" t="s" s="961">
        <v>364</v>
      </c>
      <c r="E22" t="s" s="961">
        <v>389</v>
      </c>
      <c r="F22" t="s" s="961">
        <v>257</v>
      </c>
      <c r="G22" t="s" s="961">
        <v>5</v>
      </c>
      <c r="H22" s="961"/>
      <c r="I22" s="961"/>
      <c r="J22" s="961"/>
      <c r="K22" s="961"/>
      <c r="L22" t="n" s="961">
        <v>7.2</v>
      </c>
      <c r="M22" s="48"/>
      <c r="N22" s="49"/>
      <c r="O22" s="49"/>
      <c r="P22" s="49"/>
      <c r="Q22" s="49"/>
      <c r="R22" t="n" s="46">
        <v>1.2</v>
      </c>
      <c r="S22" s="48"/>
      <c r="T22" s="48"/>
      <c r="U22" t="n" s="46">
        <v>3.0</v>
      </c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51"/>
      <c r="AG22" s="51"/>
      <c r="AH22" s="51"/>
      <c r="AI22" s="51"/>
      <c r="AJ22" s="51"/>
      <c r="AK22" s="51"/>
      <c r="AL22" s="51"/>
      <c r="AM22" s="212">
        <f>IF(AQ22=1,SUM(Q22:T22,W22:Z22,AC22:AF22,AI22:AL22),
IF(AQ22=2,SUM(P22,S22:V22,Y22:AB22,AE22:AH22,AK22:AL22),
IF(AQ22=3,SUM(P22:R22,U22:X22,AA22:AD22,AG22:AJ22),SUM(Таблица1[[#This Row],[1]:[31]])-Таблица1[[#This Row],[Столбец1]])))</f>
        <v>0</v>
      </c>
      <c r="AN22" s="778">
        <f t="array" ref="AN22">IF(AQ22=1,SUM(P22,U22:V22,AA22:AB22,AG22:AH22),
IF(AQ22=2,SUM(Q22:R22,W22:X22,AC22:AD22,AI22:AJ22),
IF(AQ22=3,SUM(S22:T22,Y22:Z22,AE22:AF22,AK22:AL22),
SUM(IFERROR(WEEKDAY($H$2:$AL$2,2)&gt;5,)*H22:AL22))))+Таблица1[[#This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2" s="292" t="b">
        <f>IF(AR22&lt;=3,(IF((G22="5/24"),((база!$M$6*Таблица1[[#This Row],[сумма]]*Таблица1[[#This Row],[коэф]])),
IF((G22="4/24"),((база!$M$5*Таблица1[[#This Row],[сумма]]*Таблица1[[#This Row],[коэф]])),
IF((G22="3/24"),((база!$M$4*Таблица1[[#This Row],[сумма]]*Таблица1[[#This Row],[коэф]])),
IF((G22="5/16"),((база!$L$6*Таблица1[[#This Row],[сумма]]*Таблица1[[#This Row],[коэф]])),
IF((G22="4/16"),((база!$L$5*Таблица1[[#This Row],[сумма]]*Таблица1[[#This Row],[коэф]])),
IF((G22="3/16"),((база!$L$4*Таблица1[[#This Row],[сумма]]*Таблица1[[#This Row],[коэф]])),
IF((G22="4/4"),((база!$I$5*Таблица1[[#This Row],[сумма]]*Таблица1[[#This Row],[коэф]])),
IF(OR(G22="2/4",G22="3/4"),((база!$I$4*Таблица1[[#This Row],[сумма]]*Таблица1[[#This Row],[коэф]])),
IF((G22="5/8"),((база!$J$6*Таблица1[[#This Row],[сумма]]*Таблица1[[#This Row],[коэф]])),
IF((G22="4/8"),((база!$J$5*Таблица1[[#This Row],[сумма]]*Таблица1[[#This Row],[коэф]])),
IF(OR(G22="3/8",G22="2/8"),((база!$J$4*Таблица1[[#This Row],[сумма]]*Таблица1[[#This Row],[коэф]])))))))))))))),
(IF((G22="5/24"),((база!$M$6*Таблица1[[#This Row],[сумма]]*Таблица1[[#This Row],[коэф]])),
IF(OR(G22="4/24",G22="3/24"),((база!$M$5*Таблица1[[#This Row],[сумма]]*Таблица1[[#This Row],[коэф]])),
IF((G22="5/16"),((база!$L$6*Таблица1[[#This Row],[сумма]]*Таблица1[[#This Row],[коэф]])),
IF(OR(G22="4/16",G22="3/16"),((база!$L$5*Таблица1[[#This Row],[сумма]]*Таблица1[[#This Row],[коэф]])),
IF(OR(G22="2/4",G22="3/4",G22="4/4"),((база!$I$5*Таблица1[[#This Row],[сумма]]*Таблица1[[#This Row],[коэф]])),
IF((G22="5/8"),((база!$J$6*Таблица1[[#This Row],[сумма]]*Таблица1[[#This Row],[коэф]])),
IF(OR(G22="4/8",G22="3/8",G22="2/8"),((база!$J$5*Таблица1[[#This Row],[сумма]]*Таблица1[[#This Row],[коэф]])))))))))))</f>
        <v>0</v>
      </c>
      <c r="AP22" s="730" t="b">
        <f>IF(AR22&lt;=3,(IF((G22="5/24"),((база!$M$6*2*Таблица1[[#This Row],[Столбец1]]*Таблица1[[#This Row],[коэф]])),
IF((G22="4/24"),((база!$M$5*2*Таблица1[[#This Row],[Столбец1]]*Таблица1[[#This Row],[коэф]])),
IF((G22="3/24"),((база!$M$4*2*Таблица1[[#This Row],[Столбец1]]*Таблица1[[#This Row],[коэф]])),
IF((G22="5/16"),((база!$L$6*2*Таблица1[[#This Row],[Столбец1]]*Таблица1[[#This Row],[коэф]])),
IF((G22="4/16"),((база!$L$5*2*Таблица1[[#This Row],[Столбец1]]*Таблица1[[#This Row],[коэф]])),
IF((G22="3/16"),((база!$L$4*2*Таблица1[[#This Row],[Столбец1]]*Таблица1[[#This Row],[коэф]])),
IF((G22="4/4"),((база!$I$5*2*Таблица1[[#This Row],[Столбец1]]*Таблица1[[#This Row],[коэф]])),
IF(OR(G22="2/4",G22="3/4"),((база!$I$4*2*Таблица1[[#This Row],[Столбец1]]*Таблица1[[#This Row],[коэф]])),
IF((G22="5/8"),((база!$J$6*2*Таблица1[[#This Row],[Столбец1]]*Таблица1[[#This Row],[коэф]])),
IF((G22="4/8"),((база!$J$5*2*Таблица1[[#This Row],[Столбец1]]*Таблица1[[#This Row],[коэф]])),
IF(OR(G22="3/8",G22="2/8"),((база!$J$4*2*Таблица1[[#This Row],[Столбец1]]*Таблица1[[#This Row],[коэф]])))))))))))))),
(IF((G22="5/24"),((база!$M$6*2*Таблица1[[#This Row],[Столбец1]]*Таблица1[[#This Row],[коэф]])),
IF(OR(G22="4/24",G22="3/24"),((база!$M$5*2*Таблица1[[#This Row],[Столбец1]]*Таблица1[[#This Row],[коэф]])),
IF((G22="5/16"),((база!$L$6*2*Таблица1[[#This Row],[Столбец1]]*Таблица1[[#This Row],[коэф]])),
IF(OR(G22="4/16",G22="3/16"),((база!$L$5*2*Таблица1[[#This Row],[Столбец1]]*Таблица1[[#This Row],[коэф]])),
IF(OR(G22="2/4",G22="3/4",G22="4/4"),((база!$I$5*2*Таблица1[[#This Row],[Столбец1]]*Таблица1[[#This Row],[коэф]])),
IF((G22="5/8"),((база!$J$6*2*Таблица1[[#This Row],[Столбец1]]*Таблица1[[#This Row],[коэф]])),
IF(OR(G22="4/8",G22="3/8",G22="2/8"),((база!$J$5*2*Таблица1[[#This Row],[Столбец1]]*Таблица1[[#This Row],[коэф]])))))))))))</f>
        <v>0</v>
      </c>
      <c r="AQ22" s="712" t="str">
        <f>IFERROR(INDEX(база!T:T, MATCH(F22,база!Q:Q,0)),"")</f>
        <v/>
      </c>
      <c r="AR22" s="208" t="str">
        <f>IFERROR(INDEX(база!D:D, MATCH(F22,база!B:B,0)),"")</f>
        <v/>
      </c>
      <c r="AS22" s="758" t="str">
        <f>IFERROR(INDEX(база!E:E, MATCH(F22,база!B:B,0)),"")</f>
        <v/>
      </c>
    </row>
    <row r="23" spans="1:47" s="46" customFormat="1" ht="15">
      <c r="A23" s="962" t="str">
        <f t="shared" si="1"/>
        <v>январь</v>
      </c>
      <c r="B23" t="n" s="962">
        <v>2024.0</v>
      </c>
      <c r="C23" t="s" s="962">
        <v>388</v>
      </c>
      <c r="D23" t="s" s="962">
        <v>364</v>
      </c>
      <c r="E23" t="s" s="962">
        <v>46</v>
      </c>
      <c r="F23" t="s" s="962">
        <v>373</v>
      </c>
      <c r="G23" t="s" s="962">
        <v>6</v>
      </c>
      <c r="H23" s="962"/>
      <c r="I23" s="962"/>
      <c r="J23" s="962"/>
      <c r="K23" t="n" s="962">
        <v>7.2</v>
      </c>
      <c r="L23" s="48"/>
      <c r="M23" s="48"/>
      <c r="N23" s="49"/>
      <c r="O23" s="48"/>
      <c r="P23" s="48"/>
      <c r="Q23" t="n" s="46">
        <v>7.2</v>
      </c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51"/>
      <c r="AM23" s="212">
        <f>IF(AQ23=1,SUM(Q23:T23,W23:Z23,AC23:AF23,AI23:AL23),
IF(AQ23=2,SUM(P23,S23:V23,Y23:AB23,AE23:AH23,AK23:AL23),
IF(AQ23=3,SUM(P23:R23,U23:X23,AA23:AD23,AG23:AJ23),SUM(Таблица1[[#This Row],[1]:[31]])-Таблица1[[#This Row],[Столбец1]])))</f>
        <v>0</v>
      </c>
      <c r="AN23" s="778">
        <f t="array" ref="AN23">IF(AQ23=1,SUM(P23,U23:V23,AA23:AB23,AG23:AH23),
IF(AQ23=2,SUM(Q23:R23,W23:X23,AC23:AD23,AI23:AJ23),
IF(AQ23=3,SUM(S23:T23,Y23:Z23,AE23:AF23,AK23:AL23),
SUM(IFERROR(WEEKDAY($H$2:$AL$2,2)&gt;5,)*H23:AL23))))+Таблица1[[#This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3" s="292" t="b">
        <f>IF(AR23&lt;=3,(IF((G23="5/24"),((база!$M$6*Таблица1[[#This Row],[сумма]]*Таблица1[[#This Row],[коэф]])),
IF((G23="4/24"),((база!$M$5*Таблица1[[#This Row],[сумма]]*Таблица1[[#This Row],[коэф]])),
IF((G23="3/24"),((база!$M$4*Таблица1[[#This Row],[сумма]]*Таблица1[[#This Row],[коэф]])),
IF((G23="5/16"),((база!$L$6*Таблица1[[#This Row],[сумма]]*Таблица1[[#This Row],[коэф]])),
IF((G23="4/16"),((база!$L$5*Таблица1[[#This Row],[сумма]]*Таблица1[[#This Row],[коэф]])),
IF((G23="3/16"),((база!$L$4*Таблица1[[#This Row],[сумма]]*Таблица1[[#This Row],[коэф]])),
IF((G23="4/4"),((база!$I$5*Таблица1[[#This Row],[сумма]]*Таблица1[[#This Row],[коэф]])),
IF(OR(G23="2/4",G23="3/4"),((база!$I$4*Таблица1[[#This Row],[сумма]]*Таблица1[[#This Row],[коэф]])),
IF((G23="5/8"),((база!$J$6*Таблица1[[#This Row],[сумма]]*Таблица1[[#This Row],[коэф]])),
IF((G23="4/8"),((база!$J$5*Таблица1[[#This Row],[сумма]]*Таблица1[[#This Row],[коэф]])),
IF(OR(G23="3/8",G23="2/8"),((база!$J$4*Таблица1[[#This Row],[сумма]]*Таблица1[[#This Row],[коэф]])))))))))))))),
(IF((G23="5/24"),((база!$M$6*Таблица1[[#This Row],[сумма]]*Таблица1[[#This Row],[коэф]])),
IF(OR(G23="4/24",G23="3/24"),((база!$M$5*Таблица1[[#This Row],[сумма]]*Таблица1[[#This Row],[коэф]])),
IF((G23="5/16"),((база!$L$6*Таблица1[[#This Row],[сумма]]*Таблица1[[#This Row],[коэф]])),
IF(OR(G23="4/16",G23="3/16"),((база!$L$5*Таблица1[[#This Row],[сумма]]*Таблица1[[#This Row],[коэф]])),
IF(OR(G23="2/4",G23="3/4",G23="4/4"),((база!$I$5*Таблица1[[#This Row],[сумма]]*Таблица1[[#This Row],[коэф]])),
IF((G23="5/8"),((база!$J$6*Таблица1[[#This Row],[сумма]]*Таблица1[[#This Row],[коэф]])),
IF(OR(G23="4/8",G23="3/8",G23="2/8"),((база!$J$5*Таблица1[[#This Row],[сумма]]*Таблица1[[#This Row],[коэф]])))))))))))</f>
        <v>0</v>
      </c>
      <c r="AP23" s="730" t="b">
        <f>IF(AR23&lt;=3,(IF((G23="5/24"),((база!$M$6*2*Таблица1[[#This Row],[Столбец1]]*Таблица1[[#This Row],[коэф]])),
IF((G23="4/24"),((база!$M$5*2*Таблица1[[#This Row],[Столбец1]]*Таблица1[[#This Row],[коэф]])),
IF((G23="3/24"),((база!$M$4*2*Таблица1[[#This Row],[Столбец1]]*Таблица1[[#This Row],[коэф]])),
IF((G23="5/16"),((база!$L$6*2*Таблица1[[#This Row],[Столбец1]]*Таблица1[[#This Row],[коэф]])),
IF((G23="4/16"),((база!$L$5*2*Таблица1[[#This Row],[Столбец1]]*Таблица1[[#This Row],[коэф]])),
IF((G23="3/16"),((база!$L$4*2*Таблица1[[#This Row],[Столбец1]]*Таблица1[[#This Row],[коэф]])),
IF((G23="4/4"),((база!$I$5*2*Таблица1[[#This Row],[Столбец1]]*Таблица1[[#This Row],[коэф]])),
IF(OR(G23="2/4",G23="3/4"),((база!$I$4*2*Таблица1[[#This Row],[Столбец1]]*Таблица1[[#This Row],[коэф]])),
IF((G23="5/8"),((база!$J$6*2*Таблица1[[#This Row],[Столбец1]]*Таблица1[[#This Row],[коэф]])),
IF((G23="4/8"),((база!$J$5*2*Таблица1[[#This Row],[Столбец1]]*Таблица1[[#This Row],[коэф]])),
IF(OR(G23="3/8",G23="2/8"),((база!$J$4*2*Таблица1[[#This Row],[Столбец1]]*Таблица1[[#This Row],[коэф]])))))))))))))),
(IF((G23="5/24"),((база!$M$6*2*Таблица1[[#This Row],[Столбец1]]*Таблица1[[#This Row],[коэф]])),
IF(OR(G23="4/24",G23="3/24"),((база!$M$5*2*Таблица1[[#This Row],[Столбец1]]*Таблица1[[#This Row],[коэф]])),
IF((G23="5/16"),((база!$L$6*2*Таблица1[[#This Row],[Столбец1]]*Таблица1[[#This Row],[коэф]])),
IF(OR(G23="4/16",G23="3/16"),((база!$L$5*2*Таблица1[[#This Row],[Столбец1]]*Таблица1[[#This Row],[коэф]])),
IF(OR(G23="2/4",G23="3/4",G23="4/4"),((база!$I$5*2*Таблица1[[#This Row],[Столбец1]]*Таблица1[[#This Row],[коэф]])),
IF((G23="5/8"),((база!$J$6*2*Таблица1[[#This Row],[Столбец1]]*Таблица1[[#This Row],[коэф]])),
IF(OR(G23="4/8",G23="3/8",G23="2/8"),((база!$J$5*2*Таблица1[[#This Row],[Столбец1]]*Таблица1[[#This Row],[коэф]])))))))))))</f>
        <v>0</v>
      </c>
      <c r="AQ23" s="712" t="str">
        <f>IFERROR(INDEX(база!T:T, MATCH(F23,база!Q:Q,0)),"")</f>
        <v/>
      </c>
      <c r="AR23" s="208" t="str">
        <f>IFERROR(INDEX(база!D:D, MATCH(F23,база!B:B,0)),"")</f>
        <v/>
      </c>
      <c r="AS23" s="758" t="str">
        <f>IFERROR(INDEX(база!E:E, MATCH(F23,база!B:B,0)),"")</f>
        <v/>
      </c>
    </row>
    <row r="24" spans="1:47" ht="15">
      <c r="A24" s="964" t="str">
        <f t="shared" si="1"/>
        <v>январь</v>
      </c>
      <c r="B24" t="n" s="964">
        <v>2024.0</v>
      </c>
      <c r="C24" t="s" s="964">
        <v>386</v>
      </c>
      <c r="D24" t="s" s="964">
        <v>364</v>
      </c>
      <c r="E24" t="s" s="964">
        <v>46</v>
      </c>
      <c r="F24" t="s" s="964">
        <v>376</v>
      </c>
      <c r="G24" t="s" s="964">
        <v>4</v>
      </c>
      <c r="H24" s="964"/>
      <c r="I24" s="964"/>
      <c r="J24" s="964"/>
      <c r="K24" s="964"/>
      <c r="L24" t="n" s="964">
        <v>7.2</v>
      </c>
      <c r="M24" s="48"/>
      <c r="N24" s="49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51"/>
      <c r="AM24" s="212">
        <f>IF(AQ24=1,SUM(Q24:T24,W24:Z24,AC24:AF24,AI24:AL24),
IF(AQ24=2,SUM(P24,S24:V24,Y24:AB24,AE24:AH24,AK24:AL24),
IF(AQ24=3,SUM(P24:R24,U24:X24,AA24:AD24,AG24:AJ24),SUM(Таблица1[[#This Row],[1]:[31]])-Таблица1[[#This Row],[Столбец1]])))</f>
        <v>0</v>
      </c>
      <c r="AN24" s="778">
        <f t="array" ref="AN24">IF(AQ24=1,SUM(P24,U24:V24,AA24:AB24,AG24:AH24),
IF(AQ24=2,SUM(Q24:R24,W24:X24,AC24:AD24,AI24:AJ24),
IF(AQ24=3,SUM(S24:T24,Y24:Z24,AE24:AF24,AK24:AL24),
SUM(IFERROR(WEEKDAY($H$2:$AL$2,2)&gt;5,)*H24:AL24))))+Таблица1[[#This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4" s="292" t="b">
        <f>IF(AR24&lt;=3,(IF((G24="5/24"),((база!$M$6*Таблица1[[#This Row],[сумма]]*Таблица1[[#This Row],[коэф]])),
IF((G24="4/24"),((база!$M$5*Таблица1[[#This Row],[сумма]]*Таблица1[[#This Row],[коэф]])),
IF((G24="3/24"),((база!$M$4*Таблица1[[#This Row],[сумма]]*Таблица1[[#This Row],[коэф]])),
IF((G24="5/16"),((база!$L$6*Таблица1[[#This Row],[сумма]]*Таблица1[[#This Row],[коэф]])),
IF((G24="4/16"),((база!$L$5*Таблица1[[#This Row],[сумма]]*Таблица1[[#This Row],[коэф]])),
IF((G24="3/16"),((база!$L$4*Таблица1[[#This Row],[сумма]]*Таблица1[[#This Row],[коэф]])),
IF((G24="4/4"),((база!$I$5*Таблица1[[#This Row],[сумма]]*Таблица1[[#This Row],[коэф]])),
IF(OR(G24="2/4",G24="3/4"),((база!$I$4*Таблица1[[#This Row],[сумма]]*Таблица1[[#This Row],[коэф]])),
IF((G24="5/8"),((база!$J$6*Таблица1[[#This Row],[сумма]]*Таблица1[[#This Row],[коэф]])),
IF((G24="4/8"),((база!$J$5*Таблица1[[#This Row],[сумма]]*Таблица1[[#This Row],[коэф]])),
IF(OR(G24="3/8",G24="2/8"),((база!$J$4*Таблица1[[#This Row],[сумма]]*Таблица1[[#This Row],[коэф]])))))))))))))),
(IF((G24="5/24"),((база!$M$6*Таблица1[[#This Row],[сумма]]*Таблица1[[#This Row],[коэф]])),
IF(OR(G24="4/24",G24="3/24"),((база!$M$5*Таблица1[[#This Row],[сумма]]*Таблица1[[#This Row],[коэф]])),
IF((G24="5/16"),((база!$L$6*Таблица1[[#This Row],[сумма]]*Таблица1[[#This Row],[коэф]])),
IF(OR(G24="4/16",G24="3/16"),((база!$L$5*Таблица1[[#This Row],[сумма]]*Таблица1[[#This Row],[коэф]])),
IF(OR(G24="2/4",G24="3/4",G24="4/4"),((база!$I$5*Таблица1[[#This Row],[сумма]]*Таблица1[[#This Row],[коэф]])),
IF((G24="5/8"),((база!$J$6*Таблица1[[#This Row],[сумма]]*Таблица1[[#This Row],[коэф]])),
IF(OR(G24="4/8",G24="3/8",G24="2/8"),((база!$J$5*Таблица1[[#This Row],[сумма]]*Таблица1[[#This Row],[коэф]])))))))))))</f>
        <v>0</v>
      </c>
      <c r="AP24" s="730" t="b">
        <f>IF(AR24&lt;=3,(IF((G24="5/24"),((база!$M$6*2*Таблица1[[#This Row],[Столбец1]]*Таблица1[[#This Row],[коэф]])),
IF((G24="4/24"),((база!$M$5*2*Таблица1[[#This Row],[Столбец1]]*Таблица1[[#This Row],[коэф]])),
IF((G24="3/24"),((база!$M$4*2*Таблица1[[#This Row],[Столбец1]]*Таблица1[[#This Row],[коэф]])),
IF((G24="5/16"),((база!$L$6*2*Таблица1[[#This Row],[Столбец1]]*Таблица1[[#This Row],[коэф]])),
IF((G24="4/16"),((база!$L$5*2*Таблица1[[#This Row],[Столбец1]]*Таблица1[[#This Row],[коэф]])),
IF((G24="3/16"),((база!$L$4*2*Таблица1[[#This Row],[Столбец1]]*Таблица1[[#This Row],[коэф]])),
IF((G24="4/4"),((база!$I$5*2*Таблица1[[#This Row],[Столбец1]]*Таблица1[[#This Row],[коэф]])),
IF(OR(G24="2/4",G24="3/4"),((база!$I$4*2*Таблица1[[#This Row],[Столбец1]]*Таблица1[[#This Row],[коэф]])),
IF((G24="5/8"),((база!$J$6*2*Таблица1[[#This Row],[Столбец1]]*Таблица1[[#This Row],[коэф]])),
IF((G24="4/8"),((база!$J$5*2*Таблица1[[#This Row],[Столбец1]]*Таблица1[[#This Row],[коэф]])),
IF(OR(G24="3/8",G24="2/8"),((база!$J$4*2*Таблица1[[#This Row],[Столбец1]]*Таблица1[[#This Row],[коэф]])))))))))))))),
(IF((G24="5/24"),((база!$M$6*2*Таблица1[[#This Row],[Столбец1]]*Таблица1[[#This Row],[коэф]])),
IF(OR(G24="4/24",G24="3/24"),((база!$M$5*2*Таблица1[[#This Row],[Столбец1]]*Таблица1[[#This Row],[коэф]])),
IF((G24="5/16"),((база!$L$6*2*Таблица1[[#This Row],[Столбец1]]*Таблица1[[#This Row],[коэф]])),
IF(OR(G24="4/16",G24="3/16"),((база!$L$5*2*Таблица1[[#This Row],[Столбец1]]*Таблица1[[#This Row],[коэф]])),
IF(OR(G24="2/4",G24="3/4",G24="4/4"),((база!$I$5*2*Таблица1[[#This Row],[Столбец1]]*Таблица1[[#This Row],[коэф]])),
IF((G24="5/8"),((база!$J$6*2*Таблица1[[#This Row],[Столбец1]]*Таблица1[[#This Row],[коэф]])),
IF(OR(G24="4/8",G24="3/8",G24="2/8"),((база!$J$5*2*Таблица1[[#This Row],[Столбец1]]*Таблица1[[#This Row],[коэф]])))))))))))</f>
        <v>0</v>
      </c>
      <c r="AQ24" s="712" t="str">
        <f>IFERROR(INDEX(база!T:T, MATCH(F24,база!Q:Q,0)),"")</f>
        <v/>
      </c>
      <c r="AR24" s="208" t="str">
        <f>IFERROR(INDEX(база!D:D, MATCH(F24,база!B:B,0)),"")</f>
        <v/>
      </c>
      <c r="AS24" s="758" t="str">
        <f>IFERROR(INDEX(база!E:E, MATCH(F24,база!B:B,0)),"")</f>
        <v/>
      </c>
    </row>
    <row r="25" spans="1:47" ht="15">
      <c r="A25" s="967" t="str">
        <f t="shared" si="1"/>
        <v>январь</v>
      </c>
      <c r="B25" t="n" s="967">
        <v>2024.0</v>
      </c>
      <c r="C25" t="s" s="967">
        <v>386</v>
      </c>
      <c r="D25" t="s" s="967">
        <v>365</v>
      </c>
      <c r="E25" t="s" s="967">
        <v>46</v>
      </c>
      <c r="F25" t="s" s="967">
        <v>377</v>
      </c>
      <c r="G25" t="s" s="967">
        <v>4</v>
      </c>
      <c r="H25" s="967"/>
      <c r="I25" s="967"/>
      <c r="J25" s="967"/>
      <c r="K25" t="n" s="967">
        <v>7.2</v>
      </c>
      <c r="L25" s="48"/>
      <c r="M25" t="n" s="46">
        <v>7.2</v>
      </c>
      <c r="N25" s="48"/>
      <c r="O25" s="48"/>
      <c r="P25" s="48"/>
      <c r="Q25" s="48"/>
      <c r="R25" t="n" s="46">
        <v>7.2</v>
      </c>
      <c r="S25" t="n" s="46">
        <v>7.2</v>
      </c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48"/>
      <c r="AJ25" s="48"/>
      <c r="AK25" s="48"/>
      <c r="AL25" s="51"/>
      <c r="AM25" s="212">
        <f>IF(AQ25=1,SUM(Q25:T25,W25:Z25,AC25:AF25,AI25:AL25),
IF(AQ25=2,SUM(P25,S25:V25,Y25:AB25,AE25:AH25,AK25:AL25),
IF(AQ25=3,SUM(P25:R25,U25:X25,AA25:AD25,AG25:AJ25),SUM(Таблица1[[#This Row],[1]:[31]])-Таблица1[[#This Row],[Столбец1]])))</f>
        <v>0</v>
      </c>
      <c r="AN25" s="778">
        <f t="array" ref="AN25">IF(AQ25=1,SUM(P25,U25:V25,AA25:AB25,AG25:AH25),
IF(AQ25=2,SUM(Q25:R25,W25:X25,AC25:AD25,AI25:AJ25),
IF(AQ25=3,SUM(S25:T25,Y25:Z25,AE25:AF25,AK25:AL25),
SUM(IFERROR(WEEKDAY($H$2:$AL$2,2)&gt;5,)*H25:AL25))))+Таблица1[[#This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5" s="292" t="b">
        <f>IF(AR25&lt;=3,(IF((G25="5/24"),((база!$M$6*Таблица1[[#This Row],[сумма]]*Таблица1[[#This Row],[коэф]])),
IF((G25="4/24"),((база!$M$5*Таблица1[[#This Row],[сумма]]*Таблица1[[#This Row],[коэф]])),
IF((G25="3/24"),((база!$M$4*Таблица1[[#This Row],[сумма]]*Таблица1[[#This Row],[коэф]])),
IF((G25="5/16"),((база!$L$6*Таблица1[[#This Row],[сумма]]*Таблица1[[#This Row],[коэф]])),
IF((G25="4/16"),((база!$L$5*Таблица1[[#This Row],[сумма]]*Таблица1[[#This Row],[коэф]])),
IF((G25="3/16"),((база!$L$4*Таблица1[[#This Row],[сумма]]*Таблица1[[#This Row],[коэф]])),
IF((G25="4/4"),((база!$I$5*Таблица1[[#This Row],[сумма]]*Таблица1[[#This Row],[коэф]])),
IF(OR(G25="2/4",G25="3/4"),((база!$I$4*Таблица1[[#This Row],[сумма]]*Таблица1[[#This Row],[коэф]])),
IF((G25="5/8"),((база!$J$6*Таблица1[[#This Row],[сумма]]*Таблица1[[#This Row],[коэф]])),
IF((G25="4/8"),((база!$J$5*Таблица1[[#This Row],[сумма]]*Таблица1[[#This Row],[коэф]])),
IF(OR(G25="3/8",G25="2/8"),((база!$J$4*Таблица1[[#This Row],[сумма]]*Таблица1[[#This Row],[коэф]])))))))))))))),
(IF((G25="5/24"),((база!$M$6*Таблица1[[#This Row],[сумма]]*Таблица1[[#This Row],[коэф]])),
IF(OR(G25="4/24",G25="3/24"),((база!$M$5*Таблица1[[#This Row],[сумма]]*Таблица1[[#This Row],[коэф]])),
IF((G25="5/16"),((база!$L$6*Таблица1[[#This Row],[сумма]]*Таблица1[[#This Row],[коэф]])),
IF(OR(G25="4/16",G25="3/16"),((база!$L$5*Таблица1[[#This Row],[сумма]]*Таблица1[[#This Row],[коэф]])),
IF(OR(G25="2/4",G25="3/4",G25="4/4"),((база!$I$5*Таблица1[[#This Row],[сумма]]*Таблица1[[#This Row],[коэф]])),
IF((G25="5/8"),((база!$J$6*Таблица1[[#This Row],[сумма]]*Таблица1[[#This Row],[коэф]])),
IF(OR(G25="4/8",G25="3/8",G25="2/8"),((база!$J$5*Таблица1[[#This Row],[сумма]]*Таблица1[[#This Row],[коэф]])))))))))))</f>
        <v>0</v>
      </c>
      <c r="AP25" s="730" t="b">
        <f>IF(AR25&lt;=3,(IF((G25="5/24"),((база!$M$6*2*Таблица1[[#This Row],[Столбец1]]*Таблица1[[#This Row],[коэф]])),
IF((G25="4/24"),((база!$M$5*2*Таблица1[[#This Row],[Столбец1]]*Таблица1[[#This Row],[коэф]])),
IF((G25="3/24"),((база!$M$4*2*Таблица1[[#This Row],[Столбец1]]*Таблица1[[#This Row],[коэф]])),
IF((G25="5/16"),((база!$L$6*2*Таблица1[[#This Row],[Столбец1]]*Таблица1[[#This Row],[коэф]])),
IF((G25="4/16"),((база!$L$5*2*Таблица1[[#This Row],[Столбец1]]*Таблица1[[#This Row],[коэф]])),
IF((G25="3/16"),((база!$L$4*2*Таблица1[[#This Row],[Столбец1]]*Таблица1[[#This Row],[коэф]])),
IF((G25="4/4"),((база!$I$5*2*Таблица1[[#This Row],[Столбец1]]*Таблица1[[#This Row],[коэф]])),
IF(OR(G25="2/4",G25="3/4"),((база!$I$4*2*Таблица1[[#This Row],[Столбец1]]*Таблица1[[#This Row],[коэф]])),
IF((G25="5/8"),((база!$J$6*2*Таблица1[[#This Row],[Столбец1]]*Таблица1[[#This Row],[коэф]])),
IF((G25="4/8"),((база!$J$5*2*Таблица1[[#This Row],[Столбец1]]*Таблица1[[#This Row],[коэф]])),
IF(OR(G25="3/8",G25="2/8"),((база!$J$4*2*Таблица1[[#This Row],[Столбец1]]*Таблица1[[#This Row],[коэф]])))))))))))))),
(IF((G25="5/24"),((база!$M$6*2*Таблица1[[#This Row],[Столбец1]]*Таблица1[[#This Row],[коэф]])),
IF(OR(G25="4/24",G25="3/24"),((база!$M$5*2*Таблица1[[#This Row],[Столбец1]]*Таблица1[[#This Row],[коэф]])),
IF((G25="5/16"),((база!$L$6*2*Таблица1[[#This Row],[Столбец1]]*Таблица1[[#This Row],[коэф]])),
IF(OR(G25="4/16",G25="3/16"),((база!$L$5*2*Таблица1[[#This Row],[Столбец1]]*Таблица1[[#This Row],[коэф]])),
IF(OR(G25="2/4",G25="3/4",G25="4/4"),((база!$I$5*2*Таблица1[[#This Row],[Столбец1]]*Таблица1[[#This Row],[коэф]])),
IF((G25="5/8"),((база!$J$6*2*Таблица1[[#This Row],[Столбец1]]*Таблица1[[#This Row],[коэф]])),
IF(OR(G25="4/8",G25="3/8",G25="2/8"),((база!$J$5*2*Таблица1[[#This Row],[Столбец1]]*Таблица1[[#This Row],[коэф]])))))))))))</f>
        <v>0</v>
      </c>
      <c r="AQ25" s="712" t="str">
        <f>IFERROR(INDEX(база!T:T, MATCH(F25,база!Q:Q,0)),"")</f>
        <v/>
      </c>
      <c r="AR25" s="208" t="str">
        <f>IFERROR(INDEX(база!D:D, MATCH(F25,база!B:B,0)),"")</f>
        <v/>
      </c>
      <c r="AS25" s="758" t="str">
        <f>IFERROR(INDEX(база!E:E, MATCH(F25,база!B:B,0)),"")</f>
        <v/>
      </c>
    </row>
    <row r="26" spans="1:47" ht="15">
      <c r="A26" s="969" t="str">
        <f t="shared" si="1"/>
        <v>январь</v>
      </c>
      <c r="B26" t="n" s="969">
        <v>2024.0</v>
      </c>
      <c r="C26" t="s" s="969">
        <v>392</v>
      </c>
      <c r="D26" t="s" s="969">
        <v>365</v>
      </c>
      <c r="E26" t="s" s="969">
        <v>46</v>
      </c>
      <c r="F26" t="s" s="969">
        <v>349</v>
      </c>
      <c r="G26" t="s" s="969">
        <v>6</v>
      </c>
      <c r="H26" s="969"/>
      <c r="I26" s="969"/>
      <c r="J26" s="969"/>
      <c r="K26" s="969"/>
      <c r="L26" t="n" s="969">
        <v>7.2</v>
      </c>
      <c r="M26" t="n" s="46">
        <v>7.2</v>
      </c>
      <c r="N26" s="49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51"/>
      <c r="AM26" s="212">
        <f>IF(AQ26=1,SUM(Q26:T26,W26:Z26,AC26:AF26,AI26:AL26),
IF(AQ26=2,SUM(P26,S26:V26,Y26:AB26,AE26:AH26,AK26:AL26),
IF(AQ26=3,SUM(P26:R26,U26:X26,AA26:AD26,AG26:AJ26),SUM(Таблица1[[#This Row],[1]:[31]])-Таблица1[[#This Row],[Столбец1]])))</f>
        <v>0</v>
      </c>
      <c r="AN26" s="778">
        <f t="array" ref="AN26">IF(AQ26=1,SUM(P26,U26:V26,AA26:AB26,AG26:AH26),
IF(AQ26=2,SUM(Q26:R26,W26:X26,AC26:AD26,AI26:AJ26),
IF(AQ26=3,SUM(S26:T26,Y26:Z26,AE26:AF26,AK26:AL26),
SUM(IFERROR(WEEKDAY($H$2:$AL$2,2)&gt;5,)*H26:AL26))))+Таблица1[[#This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6" s="292" t="b">
        <f>IF(AR26&lt;=3,(IF((G26="5/24"),((база!$M$6*Таблица1[[#This Row],[сумма]]*Таблица1[[#This Row],[коэф]])),
IF((G26="4/24"),((база!$M$5*Таблица1[[#This Row],[сумма]]*Таблица1[[#This Row],[коэф]])),
IF((G26="3/24"),((база!$M$4*Таблица1[[#This Row],[сумма]]*Таблица1[[#This Row],[коэф]])),
IF((G26="5/16"),((база!$L$6*Таблица1[[#This Row],[сумма]]*Таблица1[[#This Row],[коэф]])),
IF((G26="4/16"),((база!$L$5*Таблица1[[#This Row],[сумма]]*Таблица1[[#This Row],[коэф]])),
IF((G26="3/16"),((база!$L$4*Таблица1[[#This Row],[сумма]]*Таблица1[[#This Row],[коэф]])),
IF((G26="4/4"),((база!$I$5*Таблица1[[#This Row],[сумма]]*Таблица1[[#This Row],[коэф]])),
IF(OR(G26="2/4",G26="3/4"),((база!$I$4*Таблица1[[#This Row],[сумма]]*Таблица1[[#This Row],[коэф]])),
IF((G26="5/8"),((база!$J$6*Таблица1[[#This Row],[сумма]]*Таблица1[[#This Row],[коэф]])),
IF((G26="4/8"),((база!$J$5*Таблица1[[#This Row],[сумма]]*Таблица1[[#This Row],[коэф]])),
IF(OR(G26="3/8",G26="2/8"),((база!$J$4*Таблица1[[#This Row],[сумма]]*Таблица1[[#This Row],[коэф]])))))))))))))),
(IF((G26="5/24"),((база!$M$6*Таблица1[[#This Row],[сумма]]*Таблица1[[#This Row],[коэф]])),
IF(OR(G26="4/24",G26="3/24"),((база!$M$5*Таблица1[[#This Row],[сумма]]*Таблица1[[#This Row],[коэф]])),
IF((G26="5/16"),((база!$L$6*Таблица1[[#This Row],[сумма]]*Таблица1[[#This Row],[коэф]])),
IF(OR(G26="4/16",G26="3/16"),((база!$L$5*Таблица1[[#This Row],[сумма]]*Таблица1[[#This Row],[коэф]])),
IF(OR(G26="2/4",G26="3/4",G26="4/4"),((база!$I$5*Таблица1[[#This Row],[сумма]]*Таблица1[[#This Row],[коэф]])),
IF((G26="5/8"),((база!$J$6*Таблица1[[#This Row],[сумма]]*Таблица1[[#This Row],[коэф]])),
IF(OR(G26="4/8",G26="3/8",G26="2/8"),((база!$J$5*Таблица1[[#This Row],[сумма]]*Таблица1[[#This Row],[коэф]])))))))))))</f>
        <v>0</v>
      </c>
      <c r="AP26" s="730" t="b">
        <f>IF(AR26&lt;=3,(IF((G26="5/24"),((база!$M$6*2*Таблица1[[#This Row],[Столбец1]]*Таблица1[[#This Row],[коэф]])),
IF((G26="4/24"),((база!$M$5*2*Таблица1[[#This Row],[Столбец1]]*Таблица1[[#This Row],[коэф]])),
IF((G26="3/24"),((база!$M$4*2*Таблица1[[#This Row],[Столбец1]]*Таблица1[[#This Row],[коэф]])),
IF((G26="5/16"),((база!$L$6*2*Таблица1[[#This Row],[Столбец1]]*Таблица1[[#This Row],[коэф]])),
IF((G26="4/16"),((база!$L$5*2*Таблица1[[#This Row],[Столбец1]]*Таблица1[[#This Row],[коэф]])),
IF((G26="3/16"),((база!$L$4*2*Таблица1[[#This Row],[Столбец1]]*Таблица1[[#This Row],[коэф]])),
IF((G26="4/4"),((база!$I$5*2*Таблица1[[#This Row],[Столбец1]]*Таблица1[[#This Row],[коэф]])),
IF(OR(G26="2/4",G26="3/4"),((база!$I$4*2*Таблица1[[#This Row],[Столбец1]]*Таблица1[[#This Row],[коэф]])),
IF((G26="5/8"),((база!$J$6*2*Таблица1[[#This Row],[Столбец1]]*Таблица1[[#This Row],[коэф]])),
IF((G26="4/8"),((база!$J$5*2*Таблица1[[#This Row],[Столбец1]]*Таблица1[[#This Row],[коэф]])),
IF(OR(G26="3/8",G26="2/8"),((база!$J$4*2*Таблица1[[#This Row],[Столбец1]]*Таблица1[[#This Row],[коэф]])))))))))))))),
(IF((G26="5/24"),((база!$M$6*2*Таблица1[[#This Row],[Столбец1]]*Таблица1[[#This Row],[коэф]])),
IF(OR(G26="4/24",G26="3/24"),((база!$M$5*2*Таблица1[[#This Row],[Столбец1]]*Таблица1[[#This Row],[коэф]])),
IF((G26="5/16"),((база!$L$6*2*Таблица1[[#This Row],[Столбец1]]*Таблица1[[#This Row],[коэф]])),
IF(OR(G26="4/16",G26="3/16"),((база!$L$5*2*Таблица1[[#This Row],[Столбец1]]*Таблица1[[#This Row],[коэф]])),
IF(OR(G26="2/4",G26="3/4",G26="4/4"),((база!$I$5*2*Таблица1[[#This Row],[Столбец1]]*Таблица1[[#This Row],[коэф]])),
IF((G26="5/8"),((база!$J$6*2*Таблица1[[#This Row],[Столбец1]]*Таблица1[[#This Row],[коэф]])),
IF(OR(G26="4/8",G26="3/8",G26="2/8"),((база!$J$5*2*Таблица1[[#This Row],[Столбец1]]*Таблица1[[#This Row],[коэф]])))))))))))</f>
        <v>0</v>
      </c>
      <c r="AQ26" s="712" t="str">
        <f>IFERROR(INDEX(база!T:T, MATCH(F26,база!Q:Q,0)),"")</f>
        <v/>
      </c>
      <c r="AR26" s="208" t="str">
        <f>IFERROR(INDEX(база!D:D, MATCH(F26,база!B:B,0)),"")</f>
        <v/>
      </c>
      <c r="AS26" s="758" t="str">
        <f>IFERROR(INDEX(база!E:E, MATCH(F26,база!B:B,0)),"")</f>
        <v/>
      </c>
    </row>
    <row r="27" spans="1:47" ht="15">
      <c r="A27" s="970" t="str">
        <f t="shared" si="1"/>
        <v>январь</v>
      </c>
      <c r="B27" t="n" s="970">
        <v>2024.0</v>
      </c>
      <c r="C27" t="s" s="970">
        <v>388</v>
      </c>
      <c r="D27" t="s" s="970">
        <v>366</v>
      </c>
      <c r="E27" t="s" s="970">
        <v>46</v>
      </c>
      <c r="F27" t="s" s="970">
        <v>280</v>
      </c>
      <c r="G27" t="s" s="970">
        <v>4</v>
      </c>
      <c r="H27" s="970"/>
      <c r="I27" s="970"/>
      <c r="J27" s="970"/>
      <c r="K27" t="n" s="970">
        <v>2.0</v>
      </c>
      <c r="L27" t="n" s="46">
        <v>7.2</v>
      </c>
      <c r="M27" s="48"/>
      <c r="N27" s="49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48"/>
      <c r="AI27" s="48"/>
      <c r="AJ27" s="48"/>
      <c r="AK27" s="48"/>
      <c r="AL27" s="51"/>
      <c r="AM27" s="212">
        <f>IF(AQ27=1,SUM(Q27:T27,W27:Z27,AC27:AF27,AI27:AL27),
IF(AQ27=2,SUM(P27,S27:V27,Y27:AB27,AE27:AH27,AK27:AL27),
IF(AQ27=3,SUM(P27:R27,U27:X27,AA27:AD27,AG27:AJ27),SUM(Таблица1[[#This Row],[1]:[31]])-Таблица1[[#This Row],[Столбец1]])))</f>
        <v>0</v>
      </c>
      <c r="AN27" s="778">
        <f t="array" ref="AN27">IF(AQ27=1,SUM(P27,U27:V27,AA27:AB27,AG27:AH27),
IF(AQ27=2,SUM(Q27:R27,W27:X27,AC27:AD27,AI27:AJ27),
IF(AQ27=3,SUM(S27:T27,Y27:Z27,AE27:AF27,AK27:AL27),
SUM(IFERROR(WEEKDAY($H$2:$AL$2,2)&gt;5,)*H27:AL27))))+Таблица1[[#This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7" s="292" t="b">
        <f>IF(AR27&lt;=3,(IF((G27="5/24"),((база!$M$6*Таблица1[[#This Row],[сумма]]*Таблица1[[#This Row],[коэф]])),
IF((G27="4/24"),((база!$M$5*Таблица1[[#This Row],[сумма]]*Таблица1[[#This Row],[коэф]])),
IF((G27="3/24"),((база!$M$4*Таблица1[[#This Row],[сумма]]*Таблица1[[#This Row],[коэф]])),
IF((G27="5/16"),((база!$L$6*Таблица1[[#This Row],[сумма]]*Таблица1[[#This Row],[коэф]])),
IF((G27="4/16"),((база!$L$5*Таблица1[[#This Row],[сумма]]*Таблица1[[#This Row],[коэф]])),
IF((G27="3/16"),((база!$L$4*Таблица1[[#This Row],[сумма]]*Таблица1[[#This Row],[коэф]])),
IF((G27="4/4"),((база!$I$5*Таблица1[[#This Row],[сумма]]*Таблица1[[#This Row],[коэф]])),
IF(OR(G27="2/4",G27="3/4"),((база!$I$4*Таблица1[[#This Row],[сумма]]*Таблица1[[#This Row],[коэф]])),
IF((G27="5/8"),((база!$J$6*Таблица1[[#This Row],[сумма]]*Таблица1[[#This Row],[коэф]])),
IF((G27="4/8"),((база!$J$5*Таблица1[[#This Row],[сумма]]*Таблица1[[#This Row],[коэф]])),
IF(OR(G27="3/8",G27="2/8"),((база!$J$4*Таблица1[[#This Row],[сумма]]*Таблица1[[#This Row],[коэф]])))))))))))))),
(IF((G27="5/24"),((база!$M$6*Таблица1[[#This Row],[сумма]]*Таблица1[[#This Row],[коэф]])),
IF(OR(G27="4/24",G27="3/24"),((база!$M$5*Таблица1[[#This Row],[сумма]]*Таблица1[[#This Row],[коэф]])),
IF((G27="5/16"),((база!$L$6*Таблица1[[#This Row],[сумма]]*Таблица1[[#This Row],[коэф]])),
IF(OR(G27="4/16",G27="3/16"),((база!$L$5*Таблица1[[#This Row],[сумма]]*Таблица1[[#This Row],[коэф]])),
IF(OR(G27="2/4",G27="3/4",G27="4/4"),((база!$I$5*Таблица1[[#This Row],[сумма]]*Таблица1[[#This Row],[коэф]])),
IF((G27="5/8"),((база!$J$6*Таблица1[[#This Row],[сумма]]*Таблица1[[#This Row],[коэф]])),
IF(OR(G27="4/8",G27="3/8",G27="2/8"),((база!$J$5*Таблица1[[#This Row],[сумма]]*Таблица1[[#This Row],[коэф]])))))))))))</f>
        <v>0</v>
      </c>
      <c r="AP27" s="730" t="b">
        <f>IF(AR27&lt;=3,(IF((G27="5/24"),((база!$M$6*2*Таблица1[[#This Row],[Столбец1]]*Таблица1[[#This Row],[коэф]])),
IF((G27="4/24"),((база!$M$5*2*Таблица1[[#This Row],[Столбец1]]*Таблица1[[#This Row],[коэф]])),
IF((G27="3/24"),((база!$M$4*2*Таблица1[[#This Row],[Столбец1]]*Таблица1[[#This Row],[коэф]])),
IF((G27="5/16"),((база!$L$6*2*Таблица1[[#This Row],[Столбец1]]*Таблица1[[#This Row],[коэф]])),
IF((G27="4/16"),((база!$L$5*2*Таблица1[[#This Row],[Столбец1]]*Таблица1[[#This Row],[коэф]])),
IF((G27="3/16"),((база!$L$4*2*Таблица1[[#This Row],[Столбец1]]*Таблица1[[#This Row],[коэф]])),
IF((G27="4/4"),((база!$I$5*2*Таблица1[[#This Row],[Столбец1]]*Таблица1[[#This Row],[коэф]])),
IF(OR(G27="2/4",G27="3/4"),((база!$I$4*2*Таблица1[[#This Row],[Столбец1]]*Таблица1[[#This Row],[коэф]])),
IF((G27="5/8"),((база!$J$6*2*Таблица1[[#This Row],[Столбец1]]*Таблица1[[#This Row],[коэф]])),
IF((G27="4/8"),((база!$J$5*2*Таблица1[[#This Row],[Столбец1]]*Таблица1[[#This Row],[коэф]])),
IF(OR(G27="3/8",G27="2/8"),((база!$J$4*2*Таблица1[[#This Row],[Столбец1]]*Таблица1[[#This Row],[коэф]])))))))))))))),
(IF((G27="5/24"),((база!$M$6*2*Таблица1[[#This Row],[Столбец1]]*Таблица1[[#This Row],[коэф]])),
IF(OR(G27="4/24",G27="3/24"),((база!$M$5*2*Таблица1[[#This Row],[Столбец1]]*Таблица1[[#This Row],[коэф]])),
IF((G27="5/16"),((база!$L$6*2*Таблица1[[#This Row],[Столбец1]]*Таблица1[[#This Row],[коэф]])),
IF(OR(G27="4/16",G27="3/16"),((база!$L$5*2*Таблица1[[#This Row],[Столбец1]]*Таблица1[[#This Row],[коэф]])),
IF(OR(G27="2/4",G27="3/4",G27="4/4"),((база!$I$5*2*Таблица1[[#This Row],[Столбец1]]*Таблица1[[#This Row],[коэф]])),
IF((G27="5/8"),((база!$J$6*2*Таблица1[[#This Row],[Столбец1]]*Таблица1[[#This Row],[коэф]])),
IF(OR(G27="4/8",G27="3/8",G27="2/8"),((база!$J$5*2*Таблица1[[#This Row],[Столбец1]]*Таблица1[[#This Row],[коэф]])))))))))))</f>
        <v>0</v>
      </c>
      <c r="AQ27" s="712" t="str">
        <f>IFERROR(INDEX(база!T:T, MATCH(F27,база!Q:Q,0)),"")</f>
        <v/>
      </c>
      <c r="AR27" s="208" t="str">
        <f>IFERROR(INDEX(база!D:D, MATCH(F27,база!B:B,0)),"")</f>
        <v/>
      </c>
      <c r="AS27" s="758" t="str">
        <f>IFERROR(INDEX(база!E:E, MATCH(F27,база!B:B,0)),"")</f>
        <v/>
      </c>
    </row>
    <row r="28" spans="1:47" ht="15">
      <c r="A28" s="971" t="str">
        <f t="shared" si="1"/>
        <v>январь</v>
      </c>
      <c r="B28" t="n" s="971">
        <v>2024.0</v>
      </c>
      <c r="C28" t="s" s="971">
        <v>394</v>
      </c>
      <c r="D28" t="s" s="971">
        <v>364</v>
      </c>
      <c r="E28" t="s" s="971">
        <v>46</v>
      </c>
      <c r="F28" t="s" s="971">
        <v>280</v>
      </c>
      <c r="G28" t="s" s="971">
        <v>4</v>
      </c>
      <c r="H28" s="971"/>
      <c r="I28" s="971"/>
      <c r="J28" s="971"/>
      <c r="K28" t="n" s="971">
        <v>5.2</v>
      </c>
      <c r="L28" s="48"/>
      <c r="M28" s="48"/>
      <c r="N28" s="49"/>
      <c r="O28" s="48"/>
      <c r="P28" s="48"/>
      <c r="Q28" s="48"/>
      <c r="R28" t="n" s="46">
        <v>1.2</v>
      </c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  <c r="AJ28" s="48"/>
      <c r="AK28" s="48"/>
      <c r="AL28" s="51"/>
      <c r="AM28" s="212">
        <f>IF(AQ28=1,SUM(Q28:T28,W28:Z28,AC28:AF28,AI28:AL28),
IF(AQ28=2,SUM(P28,S28:V28,Y28:AB28,AE28:AH28,AK28:AL28),
IF(AQ28=3,SUM(P28:R28,U28:X28,AA28:AD28,AG28:AJ28),SUM(Таблица1[[#This Row],[1]:[31]])-Таблица1[[#This Row],[Столбец1]])))</f>
        <v>0</v>
      </c>
      <c r="AN28" s="778">
        <f t="array" ref="AN28">IF(AQ28=1,SUM(P28,U28:V28,AA28:AB28,AG28:AH28),
IF(AQ28=2,SUM(Q28:R28,W28:X28,AC28:AD28,AI28:AJ28),
IF(AQ28=3,SUM(S28:T28,Y28:Z28,AE28:AF28,AK28:AL28),
SUM(IFERROR(WEEKDAY($H$2:$AL$2,2)&gt;5,)*H28:AL28))))+Таблица1[[#This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8" s="292" t="b">
        <f>IF(AR28&lt;=3,(IF((G28="5/24"),((база!$M$6*Таблица1[[#This Row],[сумма]]*Таблица1[[#This Row],[коэф]])),
IF((G28="4/24"),((база!$M$5*Таблица1[[#This Row],[сумма]]*Таблица1[[#This Row],[коэф]])),
IF((G28="3/24"),((база!$M$4*Таблица1[[#This Row],[сумма]]*Таблица1[[#This Row],[коэф]])),
IF((G28="5/16"),((база!$L$6*Таблица1[[#This Row],[сумма]]*Таблица1[[#This Row],[коэф]])),
IF((G28="4/16"),((база!$L$5*Таблица1[[#This Row],[сумма]]*Таблица1[[#This Row],[коэф]])),
IF((G28="3/16"),((база!$L$4*Таблица1[[#This Row],[сумма]]*Таблица1[[#This Row],[коэф]])),
IF((G28="4/4"),((база!$I$5*Таблица1[[#This Row],[сумма]]*Таблица1[[#This Row],[коэф]])),
IF(OR(G28="2/4",G28="3/4"),((база!$I$4*Таблица1[[#This Row],[сумма]]*Таблица1[[#This Row],[коэф]])),
IF((G28="5/8"),((база!$J$6*Таблица1[[#This Row],[сумма]]*Таблица1[[#This Row],[коэф]])),
IF((G28="4/8"),((база!$J$5*Таблица1[[#This Row],[сумма]]*Таблица1[[#This Row],[коэф]])),
IF(OR(G28="3/8",G28="2/8"),((база!$J$4*Таблица1[[#This Row],[сумма]]*Таблица1[[#This Row],[коэф]])))))))))))))),
(IF((G28="5/24"),((база!$M$6*Таблица1[[#This Row],[сумма]]*Таблица1[[#This Row],[коэф]])),
IF(OR(G28="4/24",G28="3/24"),((база!$M$5*Таблица1[[#This Row],[сумма]]*Таблица1[[#This Row],[коэф]])),
IF((G28="5/16"),((база!$L$6*Таблица1[[#This Row],[сумма]]*Таблица1[[#This Row],[коэф]])),
IF(OR(G28="4/16",G28="3/16"),((база!$L$5*Таблица1[[#This Row],[сумма]]*Таблица1[[#This Row],[коэф]])),
IF(OR(G28="2/4",G28="3/4",G28="4/4"),((база!$I$5*Таблица1[[#This Row],[сумма]]*Таблица1[[#This Row],[коэф]])),
IF((G28="5/8"),((база!$J$6*Таблица1[[#This Row],[сумма]]*Таблица1[[#This Row],[коэф]])),
IF(OR(G28="4/8",G28="3/8",G28="2/8"),((база!$J$5*Таблица1[[#This Row],[сумма]]*Таблица1[[#This Row],[коэф]])))))))))))</f>
        <v>0</v>
      </c>
      <c r="AP28" s="730" t="b">
        <f>IF(AR28&lt;=3,(IF((G28="5/24"),((база!$M$6*2*Таблица1[[#This Row],[Столбец1]]*Таблица1[[#This Row],[коэф]])),
IF((G28="4/24"),((база!$M$5*2*Таблица1[[#This Row],[Столбец1]]*Таблица1[[#This Row],[коэф]])),
IF((G28="3/24"),((база!$M$4*2*Таблица1[[#This Row],[Столбец1]]*Таблица1[[#This Row],[коэф]])),
IF((G28="5/16"),((база!$L$6*2*Таблица1[[#This Row],[Столбец1]]*Таблица1[[#This Row],[коэф]])),
IF((G28="4/16"),((база!$L$5*2*Таблица1[[#This Row],[Столбец1]]*Таблица1[[#This Row],[коэф]])),
IF((G28="3/16"),((база!$L$4*2*Таблица1[[#This Row],[Столбец1]]*Таблица1[[#This Row],[коэф]])),
IF((G28="4/4"),((база!$I$5*2*Таблица1[[#This Row],[Столбец1]]*Таблица1[[#This Row],[коэф]])),
IF(OR(G28="2/4",G28="3/4"),((база!$I$4*2*Таблица1[[#This Row],[Столбец1]]*Таблица1[[#This Row],[коэф]])),
IF((G28="5/8"),((база!$J$6*2*Таблица1[[#This Row],[Столбец1]]*Таблица1[[#This Row],[коэф]])),
IF((G28="4/8"),((база!$J$5*2*Таблица1[[#This Row],[Столбец1]]*Таблица1[[#This Row],[коэф]])),
IF(OR(G28="3/8",G28="2/8"),((база!$J$4*2*Таблица1[[#This Row],[Столбец1]]*Таблица1[[#This Row],[коэф]])))))))))))))),
(IF((G28="5/24"),((база!$M$6*2*Таблица1[[#This Row],[Столбец1]]*Таблица1[[#This Row],[коэф]])),
IF(OR(G28="4/24",G28="3/24"),((база!$M$5*2*Таблица1[[#This Row],[Столбец1]]*Таблица1[[#This Row],[коэф]])),
IF((G28="5/16"),((база!$L$6*2*Таблица1[[#This Row],[Столбец1]]*Таблица1[[#This Row],[коэф]])),
IF(OR(G28="4/16",G28="3/16"),((база!$L$5*2*Таблица1[[#This Row],[Столбец1]]*Таблица1[[#This Row],[коэф]])),
IF(OR(G28="2/4",G28="3/4",G28="4/4"),((база!$I$5*2*Таблица1[[#This Row],[Столбец1]]*Таблица1[[#This Row],[коэф]])),
IF((G28="5/8"),((база!$J$6*2*Таблица1[[#This Row],[Столбец1]]*Таблица1[[#This Row],[коэф]])),
IF(OR(G28="4/8",G28="3/8",G28="2/8"),((база!$J$5*2*Таблица1[[#This Row],[Столбец1]]*Таблица1[[#This Row],[коэф]])))))))))))</f>
        <v>0</v>
      </c>
      <c r="AQ28" s="712" t="str">
        <f>IFERROR(INDEX(база!T:T, MATCH(F28,база!Q:Q,0)),"")</f>
        <v/>
      </c>
      <c r="AR28" s="208" t="str">
        <f>IFERROR(INDEX(база!D:D, MATCH(F28,база!B:B,0)),"")</f>
        <v/>
      </c>
      <c r="AS28" s="758" t="str">
        <f>IFERROR(INDEX(база!E:E, MATCH(F28,база!B:B,0)),"")</f>
        <v/>
      </c>
    </row>
    <row r="29" spans="1:47" ht="16.5" customHeight="1">
      <c r="A29" s="972" t="str">
        <f t="shared" si="1"/>
        <v>январь</v>
      </c>
      <c r="B29" t="n" s="972">
        <v>2024.0</v>
      </c>
      <c r="C29" t="s" s="972">
        <v>388</v>
      </c>
      <c r="D29" t="s" s="972">
        <v>367</v>
      </c>
      <c r="E29" t="s" s="972">
        <v>46</v>
      </c>
      <c r="F29" t="s" s="972">
        <v>280</v>
      </c>
      <c r="G29" t="s" s="972">
        <v>4</v>
      </c>
      <c r="H29" s="972"/>
      <c r="I29" s="972"/>
      <c r="J29" s="972"/>
      <c r="K29" s="972"/>
      <c r="L29" s="972"/>
      <c r="M29" t="n" s="972">
        <v>2.0</v>
      </c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48"/>
      <c r="AJ29" s="48"/>
      <c r="AK29" s="48"/>
      <c r="AL29" s="48"/>
      <c r="AM29" s="212">
        <f>IF(AQ29=1,SUM(Q29:T29,W29:Z29,AC29:AF29,AI29:AL29),
IF(AQ29=2,SUM(P29,S29:V29,Y29:AB29,AE29:AH29,AK29:AL29),
IF(AQ29=3,SUM(P29:R29,U29:X29,AA29:AD29,AG29:AJ29),SUM(Таблица1[[#This Row],[1]:[31]])-Таблица1[[#This Row],[Столбец1]])))</f>
        <v>0</v>
      </c>
      <c r="AN29" s="778">
        <f t="array" ref="AN29">IF(AQ29=1,SUM(P29,U29:V29,AA29:AB29,AG29:AH29),
IF(AQ29=2,SUM(Q29:R29,W29:X29,AC29:AD29,AI29:AJ29),
IF(AQ29=3,SUM(S29:T29,Y29:Z29,AE29:AF29,AK29:AL29),
SUM(IFERROR(WEEKDAY($H$2:$AL$2,2)&gt;5,)*H29:AL29))))+Таблица1[[#This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9" s="292" t="b">
        <f>IF(AR29&lt;=3,(IF((G29="5/24"),((база!$M$6*Таблица1[[#This Row],[сумма]]*Таблица1[[#This Row],[коэф]])),
IF((G29="4/24"),((база!$M$5*Таблица1[[#This Row],[сумма]]*Таблица1[[#This Row],[коэф]])),
IF((G29="3/24"),((база!$M$4*Таблица1[[#This Row],[сумма]]*Таблица1[[#This Row],[коэф]])),
IF((G29="5/16"),((база!$L$6*Таблица1[[#This Row],[сумма]]*Таблица1[[#This Row],[коэф]])),
IF((G29="4/16"),((база!$L$5*Таблица1[[#This Row],[сумма]]*Таблица1[[#This Row],[коэф]])),
IF((G29="3/16"),((база!$L$4*Таблица1[[#This Row],[сумма]]*Таблица1[[#This Row],[коэф]])),
IF((G29="4/4"),((база!$I$5*Таблица1[[#This Row],[сумма]]*Таблица1[[#This Row],[коэф]])),
IF(OR(G29="2/4",G29="3/4"),((база!$I$4*Таблица1[[#This Row],[сумма]]*Таблица1[[#This Row],[коэф]])),
IF((G29="5/8"),((база!$J$6*Таблица1[[#This Row],[сумма]]*Таблица1[[#This Row],[коэф]])),
IF((G29="4/8"),((база!$J$5*Таблица1[[#This Row],[сумма]]*Таблица1[[#This Row],[коэф]])),
IF(OR(G29="3/8",G29="2/8"),((база!$J$4*Таблица1[[#This Row],[сумма]]*Таблица1[[#This Row],[коэф]])))))))))))))),
(IF((G29="5/24"),((база!$M$6*Таблица1[[#This Row],[сумма]]*Таблица1[[#This Row],[коэф]])),
IF(OR(G29="4/24",G29="3/24"),((база!$M$5*Таблица1[[#This Row],[сумма]]*Таблица1[[#This Row],[коэф]])),
IF((G29="5/16"),((база!$L$6*Таблица1[[#This Row],[сумма]]*Таблица1[[#This Row],[коэф]])),
IF(OR(G29="4/16",G29="3/16"),((база!$L$5*Таблица1[[#This Row],[сумма]]*Таблица1[[#This Row],[коэф]])),
IF(OR(G29="2/4",G29="3/4",G29="4/4"),((база!$I$5*Таблица1[[#This Row],[сумма]]*Таблица1[[#This Row],[коэф]])),
IF((G29="5/8"),((база!$J$6*Таблица1[[#This Row],[сумма]]*Таблица1[[#This Row],[коэф]])),
IF(OR(G29="4/8",G29="3/8",G29="2/8"),((база!$J$5*Таблица1[[#This Row],[сумма]]*Таблица1[[#This Row],[коэф]])))))))))))</f>
        <v>0</v>
      </c>
      <c r="AP29" s="730" t="b">
        <f>IF(AR29&lt;=3,(IF((G29="5/24"),((база!$M$6*2*Таблица1[[#This Row],[Столбец1]]*Таблица1[[#This Row],[коэф]])),
IF((G29="4/24"),((база!$M$5*2*Таблица1[[#This Row],[Столбец1]]*Таблица1[[#This Row],[коэф]])),
IF((G29="3/24"),((база!$M$4*2*Таблица1[[#This Row],[Столбец1]]*Таблица1[[#This Row],[коэф]])),
IF((G29="5/16"),((база!$L$6*2*Таблица1[[#This Row],[Столбец1]]*Таблица1[[#This Row],[коэф]])),
IF((G29="4/16"),((база!$L$5*2*Таблица1[[#This Row],[Столбец1]]*Таблица1[[#This Row],[коэф]])),
IF((G29="3/16"),((база!$L$4*2*Таблица1[[#This Row],[Столбец1]]*Таблица1[[#This Row],[коэф]])),
IF((G29="4/4"),((база!$I$5*2*Таблица1[[#This Row],[Столбец1]]*Таблица1[[#This Row],[коэф]])),
IF(OR(G29="2/4",G29="3/4"),((база!$I$4*2*Таблица1[[#This Row],[Столбец1]]*Таблица1[[#This Row],[коэф]])),
IF((G29="5/8"),((база!$J$6*2*Таблица1[[#This Row],[Столбец1]]*Таблица1[[#This Row],[коэф]])),
IF((G29="4/8"),((база!$J$5*2*Таблица1[[#This Row],[Столбец1]]*Таблица1[[#This Row],[коэф]])),
IF(OR(G29="3/8",G29="2/8"),((база!$J$4*2*Таблица1[[#This Row],[Столбец1]]*Таблица1[[#This Row],[коэф]])))))))))))))),
(IF((G29="5/24"),((база!$M$6*2*Таблица1[[#This Row],[Столбец1]]*Таблица1[[#This Row],[коэф]])),
IF(OR(G29="4/24",G29="3/24"),((база!$M$5*2*Таблица1[[#This Row],[Столбец1]]*Таблица1[[#This Row],[коэф]])),
IF((G29="5/16"),((база!$L$6*2*Таблица1[[#This Row],[Столбец1]]*Таблица1[[#This Row],[коэф]])),
IF(OR(G29="4/16",G29="3/16"),((база!$L$5*2*Таблица1[[#This Row],[Столбец1]]*Таблица1[[#This Row],[коэф]])),
IF(OR(G29="2/4",G29="3/4",G29="4/4"),((база!$I$5*2*Таблица1[[#This Row],[Столбец1]]*Таблица1[[#This Row],[коэф]])),
IF((G29="5/8"),((база!$J$6*2*Таблица1[[#This Row],[Столбец1]]*Таблица1[[#This Row],[коэф]])),
IF(OR(G29="4/8",G29="3/8",G29="2/8"),((база!$J$5*2*Таблица1[[#This Row],[Столбец1]]*Таблица1[[#This Row],[коэф]])))))))))))</f>
        <v>0</v>
      </c>
      <c r="AQ29" s="712" t="str">
        <f>IFERROR(INDEX(база!T:T, MATCH(F29,база!Q:Q,0)),"")</f>
        <v/>
      </c>
      <c r="AR29" s="208" t="str">
        <f>IFERROR(INDEX(база!D:D, MATCH(F29,база!B:B,0)),"")</f>
        <v/>
      </c>
      <c r="AS29" s="758" t="str">
        <f>IFERROR(INDEX(база!E:E, MATCH(F29,база!B:B,0)),"")</f>
        <v/>
      </c>
      <c r="AU29" s="297"/>
    </row>
    <row r="30" spans="1:47" s="46" customFormat="1" ht="15.75" customHeight="1">
      <c r="A30" s="973" t="str">
        <f t="shared" si="1"/>
        <v>январь</v>
      </c>
      <c r="B30" t="n" s="973">
        <v>2024.0</v>
      </c>
      <c r="C30" t="s" s="973">
        <v>386</v>
      </c>
      <c r="D30" t="s" s="973">
        <v>365</v>
      </c>
      <c r="E30" t="s" s="973">
        <v>46</v>
      </c>
      <c r="F30" t="s" s="973">
        <v>370</v>
      </c>
      <c r="G30" t="s" s="973">
        <v>3</v>
      </c>
      <c r="H30" s="973"/>
      <c r="I30" s="973"/>
      <c r="J30" s="973"/>
      <c r="K30" s="973"/>
      <c r="L30" t="n" s="973">
        <v>7.2</v>
      </c>
      <c r="M30" s="48"/>
      <c r="N30" s="49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48"/>
      <c r="AJ30" s="48"/>
      <c r="AK30" s="48"/>
      <c r="AL30" s="51"/>
      <c r="AM30" s="212">
        <f>IF(AQ30=1,SUM(Q30:T30,W30:Z30,AC30:AF30,AI30:AL30),
IF(AQ30=2,SUM(P30,S30:V30,Y30:AB30,AE30:AH30,AK30:AL30),
IF(AQ30=3,SUM(P30:R30,U30:X30,AA30:AD30,AG30:AJ30),SUM(Таблица1[[#This Row],[1]:[31]])-Таблица1[[#This Row],[Столбец1]])))</f>
        <v>0</v>
      </c>
      <c r="AN30" s="778">
        <f t="array" ref="AN30">IF(AQ30=1,SUM(P30,U30:V30,AA30:AB30,AG30:AH30),
IF(AQ30=2,SUM(Q30:R30,W30:X30,AC30:AD30,AI30:AJ30),
IF(AQ30=3,SUM(S30:T30,Y30:Z30,AE30:AF30,AK30:AL30),
SUM(IFERROR(WEEKDAY($H$2:$AL$2,2)&gt;5,)*H30:AL30))))+Таблица1[[#This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0" s="292" t="b">
        <f>IF(AR30&lt;=3,(IF((G30="5/24"),((база!$M$6*Таблица1[[#This Row],[сумма]]*Таблица1[[#This Row],[коэф]])),
IF((G30="4/24"),((база!$M$5*Таблица1[[#This Row],[сумма]]*Таблица1[[#This Row],[коэф]])),
IF((G30="3/24"),((база!$M$4*Таблица1[[#This Row],[сумма]]*Таблица1[[#This Row],[коэф]])),
IF((G30="5/16"),((база!$L$6*Таблица1[[#This Row],[сумма]]*Таблица1[[#This Row],[коэф]])),
IF((G30="4/16"),((база!$L$5*Таблица1[[#This Row],[сумма]]*Таблица1[[#This Row],[коэф]])),
IF((G30="3/16"),((база!$L$4*Таблица1[[#This Row],[сумма]]*Таблица1[[#This Row],[коэф]])),
IF((G30="4/4"),((база!$I$5*Таблица1[[#This Row],[сумма]]*Таблица1[[#This Row],[коэф]])),
IF(OR(G30="2/4",G30="3/4"),((база!$I$4*Таблица1[[#This Row],[сумма]]*Таблица1[[#This Row],[коэф]])),
IF((G30="5/8"),((база!$J$6*Таблица1[[#This Row],[сумма]]*Таблица1[[#This Row],[коэф]])),
IF((G30="4/8"),((база!$J$5*Таблица1[[#This Row],[сумма]]*Таблица1[[#This Row],[коэф]])),
IF(OR(G30="3/8",G30="2/8"),((база!$J$4*Таблица1[[#This Row],[сумма]]*Таблица1[[#This Row],[коэф]])))))))))))))),
(IF((G30="5/24"),((база!$M$6*Таблица1[[#This Row],[сумма]]*Таблица1[[#This Row],[коэф]])),
IF(OR(G30="4/24",G30="3/24"),((база!$M$5*Таблица1[[#This Row],[сумма]]*Таблица1[[#This Row],[коэф]])),
IF((G30="5/16"),((база!$L$6*Таблица1[[#This Row],[сумма]]*Таблица1[[#This Row],[коэф]])),
IF(OR(G30="4/16",G30="3/16"),((база!$L$5*Таблица1[[#This Row],[сумма]]*Таблица1[[#This Row],[коэф]])),
IF(OR(G30="2/4",G30="3/4",G30="4/4"),((база!$I$5*Таблица1[[#This Row],[сумма]]*Таблица1[[#This Row],[коэф]])),
IF((G30="5/8"),((база!$J$6*Таблица1[[#This Row],[сумма]]*Таблица1[[#This Row],[коэф]])),
IF(OR(G30="4/8",G30="3/8",G30="2/8"),((база!$J$5*Таблица1[[#This Row],[сумма]]*Таблица1[[#This Row],[коэф]])))))))))))</f>
        <v>0</v>
      </c>
      <c r="AP30" s="730" t="b">
        <f>IF(AR30&lt;=3,(IF((G30="5/24"),((база!$M$6*2*Таблица1[[#This Row],[Столбец1]]*Таблица1[[#This Row],[коэф]])),
IF((G30="4/24"),((база!$M$5*2*Таблица1[[#This Row],[Столбец1]]*Таблица1[[#This Row],[коэф]])),
IF((G30="3/24"),((база!$M$4*2*Таблица1[[#This Row],[Столбец1]]*Таблица1[[#This Row],[коэф]])),
IF((G30="5/16"),((база!$L$6*2*Таблица1[[#This Row],[Столбец1]]*Таблица1[[#This Row],[коэф]])),
IF((G30="4/16"),((база!$L$5*2*Таблица1[[#This Row],[Столбец1]]*Таблица1[[#This Row],[коэф]])),
IF((G30="3/16"),((база!$L$4*2*Таблица1[[#This Row],[Столбец1]]*Таблица1[[#This Row],[коэф]])),
IF((G30="4/4"),((база!$I$5*2*Таблица1[[#This Row],[Столбец1]]*Таблица1[[#This Row],[коэф]])),
IF(OR(G30="2/4",G30="3/4"),((база!$I$4*2*Таблица1[[#This Row],[Столбец1]]*Таблица1[[#This Row],[коэф]])),
IF((G30="5/8"),((база!$J$6*2*Таблица1[[#This Row],[Столбец1]]*Таблица1[[#This Row],[коэф]])),
IF((G30="4/8"),((база!$J$5*2*Таблица1[[#This Row],[Столбец1]]*Таблица1[[#This Row],[коэф]])),
IF(OR(G30="3/8",G30="2/8"),((база!$J$4*2*Таблица1[[#This Row],[Столбец1]]*Таблица1[[#This Row],[коэф]])))))))))))))),
(IF((G30="5/24"),((база!$M$6*2*Таблица1[[#This Row],[Столбец1]]*Таблица1[[#This Row],[коэф]])),
IF(OR(G30="4/24",G30="3/24"),((база!$M$5*2*Таблица1[[#This Row],[Столбец1]]*Таблица1[[#This Row],[коэф]])),
IF((G30="5/16"),((база!$L$6*2*Таблица1[[#This Row],[Столбец1]]*Таблица1[[#This Row],[коэф]])),
IF(OR(G30="4/16",G30="3/16"),((база!$L$5*2*Таблица1[[#This Row],[Столбец1]]*Таблица1[[#This Row],[коэф]])),
IF(OR(G30="2/4",G30="3/4",G30="4/4"),((база!$I$5*2*Таблица1[[#This Row],[Столбец1]]*Таблица1[[#This Row],[коэф]])),
IF((G30="5/8"),((база!$J$6*2*Таблица1[[#This Row],[Столбец1]]*Таблица1[[#This Row],[коэф]])),
IF(OR(G30="4/8",G30="3/8",G30="2/8"),((база!$J$5*2*Таблица1[[#This Row],[Столбец1]]*Таблица1[[#This Row],[коэф]])))))))))))</f>
        <v>0</v>
      </c>
      <c r="AQ30" s="712" t="str">
        <f>IFERROR(INDEX(база!T:T, MATCH(F30,база!Q:Q,0)),"")</f>
        <v/>
      </c>
      <c r="AR30" s="208" t="str">
        <f>IFERROR(INDEX(база!D:D, MATCH(F30,база!B:B,0)),"")</f>
        <v/>
      </c>
      <c r="AS30" s="758" t="str">
        <f>IFERROR(INDEX(база!E:E, MATCH(F30,база!B:B,0)),"")</f>
        <v/>
      </c>
    </row>
    <row r="31" spans="1:47" ht="15">
      <c r="A31" s="974" t="str">
        <f t="shared" si="1"/>
        <v>январь</v>
      </c>
      <c r="B31" t="n" s="974">
        <v>2024.0</v>
      </c>
      <c r="C31" t="s" s="974">
        <v>390</v>
      </c>
      <c r="D31" t="s" s="974">
        <v>391</v>
      </c>
      <c r="E31" t="s" s="974">
        <v>46</v>
      </c>
      <c r="F31" t="s" s="974">
        <v>302</v>
      </c>
      <c r="G31" t="s" s="974">
        <v>4</v>
      </c>
      <c r="H31" s="974"/>
      <c r="I31" s="974"/>
      <c r="J31" s="974"/>
      <c r="K31" s="974"/>
      <c r="L31" s="974"/>
      <c r="M31" t="n" s="974">
        <v>7.2</v>
      </c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48"/>
      <c r="AJ31" s="48"/>
      <c r="AK31" s="48"/>
      <c r="AL31" s="51"/>
      <c r="AM31" s="212">
        <f>IF(AQ31=1,SUM(Q31:T31,W31:Z31,AC31:AF31,AI31:AL31),
IF(AQ31=2,SUM(P31,S31:V31,Y31:AB31,AE31:AH31,AK31:AL31),
IF(AQ31=3,SUM(P31:R31,U31:X31,AA31:AD31,AG31:AJ31),SUM(Таблица1[[#This Row],[1]:[31]])-Таблица1[[#This Row],[Столбец1]])))</f>
        <v>0</v>
      </c>
      <c r="AN31" s="778">
        <f t="array" ref="AN31">IF(AQ31=1,SUM(P31,U31:V31,AA31:AB31,AG31:AH31),
IF(AQ31=2,SUM(Q31:R31,W31:X31,AC31:AD31,AI31:AJ31),
IF(AQ31=3,SUM(S31:T31,Y31:Z31,AE31:AF31,AK31:AL31),
SUM(IFERROR(WEEKDAY($H$2:$AL$2,2)&gt;5,)*H31:AL31))))+Таблица1[[#This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1" s="292" t="b">
        <f>IF(AR31&lt;=3,(IF((G31="5/24"),((база!$M$6*Таблица1[[#This Row],[сумма]]*Таблица1[[#This Row],[коэф]])),
IF((G31="4/24"),((база!$M$5*Таблица1[[#This Row],[сумма]]*Таблица1[[#This Row],[коэф]])),
IF((G31="3/24"),((база!$M$4*Таблица1[[#This Row],[сумма]]*Таблица1[[#This Row],[коэф]])),
IF((G31="5/16"),((база!$L$6*Таблица1[[#This Row],[сумма]]*Таблица1[[#This Row],[коэф]])),
IF((G31="4/16"),((база!$L$5*Таблица1[[#This Row],[сумма]]*Таблица1[[#This Row],[коэф]])),
IF((G31="3/16"),((база!$L$4*Таблица1[[#This Row],[сумма]]*Таблица1[[#This Row],[коэф]])),
IF((G31="4/4"),((база!$I$5*Таблица1[[#This Row],[сумма]]*Таблица1[[#This Row],[коэф]])),
IF(OR(G31="2/4",G31="3/4"),((база!$I$4*Таблица1[[#This Row],[сумма]]*Таблица1[[#This Row],[коэф]])),
IF((G31="5/8"),((база!$J$6*Таблица1[[#This Row],[сумма]]*Таблица1[[#This Row],[коэф]])),
IF((G31="4/8"),((база!$J$5*Таблица1[[#This Row],[сумма]]*Таблица1[[#This Row],[коэф]])),
IF(OR(G31="3/8",G31="2/8"),((база!$J$4*Таблица1[[#This Row],[сумма]]*Таблица1[[#This Row],[коэф]])))))))))))))),
(IF((G31="5/24"),((база!$M$6*Таблица1[[#This Row],[сумма]]*Таблица1[[#This Row],[коэф]])),
IF(OR(G31="4/24",G31="3/24"),((база!$M$5*Таблица1[[#This Row],[сумма]]*Таблица1[[#This Row],[коэф]])),
IF((G31="5/16"),((база!$L$6*Таблица1[[#This Row],[сумма]]*Таблица1[[#This Row],[коэф]])),
IF(OR(G31="4/16",G31="3/16"),((база!$L$5*Таблица1[[#This Row],[сумма]]*Таблица1[[#This Row],[коэф]])),
IF(OR(G31="2/4",G31="3/4",G31="4/4"),((база!$I$5*Таблица1[[#This Row],[сумма]]*Таблица1[[#This Row],[коэф]])),
IF((G31="5/8"),((база!$J$6*Таблица1[[#This Row],[сумма]]*Таблица1[[#This Row],[коэф]])),
IF(OR(G31="4/8",G31="3/8",G31="2/8"),((база!$J$5*Таблица1[[#This Row],[сумма]]*Таблица1[[#This Row],[коэф]])))))))))))</f>
        <v>0</v>
      </c>
      <c r="AP31" s="730" t="b">
        <f>IF(AR31&lt;=3,(IF((G31="5/24"),((база!$M$6*2*Таблица1[[#This Row],[Столбец1]]*Таблица1[[#This Row],[коэф]])),
IF((G31="4/24"),((база!$M$5*2*Таблица1[[#This Row],[Столбец1]]*Таблица1[[#This Row],[коэф]])),
IF((G31="3/24"),((база!$M$4*2*Таблица1[[#This Row],[Столбец1]]*Таблица1[[#This Row],[коэф]])),
IF((G31="5/16"),((база!$L$6*2*Таблица1[[#This Row],[Столбец1]]*Таблица1[[#This Row],[коэф]])),
IF((G31="4/16"),((база!$L$5*2*Таблица1[[#This Row],[Столбец1]]*Таблица1[[#This Row],[коэф]])),
IF((G31="3/16"),((база!$L$4*2*Таблица1[[#This Row],[Столбец1]]*Таблица1[[#This Row],[коэф]])),
IF((G31="4/4"),((база!$I$5*2*Таблица1[[#This Row],[Столбец1]]*Таблица1[[#This Row],[коэф]])),
IF(OR(G31="2/4",G31="3/4"),((база!$I$4*2*Таблица1[[#This Row],[Столбец1]]*Таблица1[[#This Row],[коэф]])),
IF((G31="5/8"),((база!$J$6*2*Таблица1[[#This Row],[Столбец1]]*Таблица1[[#This Row],[коэф]])),
IF((G31="4/8"),((база!$J$5*2*Таблица1[[#This Row],[Столбец1]]*Таблица1[[#This Row],[коэф]])),
IF(OR(G31="3/8",G31="2/8"),((база!$J$4*2*Таблица1[[#This Row],[Столбец1]]*Таблица1[[#This Row],[коэф]])))))))))))))),
(IF((G31="5/24"),((база!$M$6*2*Таблица1[[#This Row],[Столбец1]]*Таблица1[[#This Row],[коэф]])),
IF(OR(G31="4/24",G31="3/24"),((база!$M$5*2*Таблица1[[#This Row],[Столбец1]]*Таблица1[[#This Row],[коэф]])),
IF((G31="5/16"),((база!$L$6*2*Таблица1[[#This Row],[Столбец1]]*Таблица1[[#This Row],[коэф]])),
IF(OR(G31="4/16",G31="3/16"),((база!$L$5*2*Таблица1[[#This Row],[Столбец1]]*Таблица1[[#This Row],[коэф]])),
IF(OR(G31="2/4",G31="3/4",G31="4/4"),((база!$I$5*2*Таблица1[[#This Row],[Столбец1]]*Таблица1[[#This Row],[коэф]])),
IF((G31="5/8"),((база!$J$6*2*Таблица1[[#This Row],[Столбец1]]*Таблица1[[#This Row],[коэф]])),
IF(OR(G31="4/8",G31="3/8",G31="2/8"),((база!$J$5*2*Таблица1[[#This Row],[Столбец1]]*Таблица1[[#This Row],[коэф]])))))))))))</f>
        <v>0</v>
      </c>
      <c r="AQ31" s="712" t="str">
        <f>IFERROR(INDEX(база!T:T, MATCH(F31,база!Q:Q,0)),"")</f>
        <v/>
      </c>
      <c r="AR31" s="208" t="str">
        <f>IFERROR(INDEX(база!D:D, MATCH(F31,база!B:B,0)),"")</f>
        <v/>
      </c>
      <c r="AS31" s="758" t="str">
        <f>IFERROR(INDEX(база!E:E, MATCH(F31,база!B:B,0)),"")</f>
        <v/>
      </c>
    </row>
    <row r="32" spans="1:47" ht="15">
      <c r="A32" s="976" t="str">
        <f t="shared" si="1"/>
        <v>январь</v>
      </c>
      <c r="B32" t="n" s="976">
        <v>2024.0</v>
      </c>
      <c r="C32" t="s" s="976">
        <v>392</v>
      </c>
      <c r="D32" t="s" s="976">
        <v>364</v>
      </c>
      <c r="E32" t="s" s="976">
        <v>389</v>
      </c>
      <c r="F32" t="s" s="976">
        <v>271</v>
      </c>
      <c r="G32" t="s" s="976">
        <v>5</v>
      </c>
      <c r="H32" s="976"/>
      <c r="I32" s="976"/>
      <c r="J32" s="976"/>
      <c r="K32" s="976"/>
      <c r="L32" s="976"/>
      <c r="M32" t="n" s="976">
        <v>7.2</v>
      </c>
      <c r="N32" t="n" s="46">
        <v>6.2</v>
      </c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48"/>
      <c r="AJ32" s="48"/>
      <c r="AK32" s="48"/>
      <c r="AL32" s="51"/>
      <c r="AM32" s="212">
        <f>IF(AQ32=1,SUM(Q32:T32,W32:Z32,AC32:AF32,AI32:AL32),
IF(AQ32=2,SUM(P32,S32:V32,Y32:AB32,AE32:AH32,AK32:AL32),
IF(AQ32=3,SUM(P32:R32,U32:X32,AA32:AD32,AG32:AJ32),SUM(Таблица1[[#This Row],[1]:[31]])-Таблица1[[#This Row],[Столбец1]])))</f>
        <v>0</v>
      </c>
      <c r="AN32" s="778">
        <f t="array" ref="AN32">IF(AQ32=1,SUM(P32,U32:V32,AA32:AB32,AG32:AH32),
IF(AQ32=2,SUM(Q32:R32,W32:X32,AC32:AD32,AI32:AJ32),
IF(AQ32=3,SUM(S32:T32,Y32:Z32,AE32:AF32,AK32:AL32),
SUM(IFERROR(WEEKDAY($H$2:$AL$2,2)&gt;5,)*H32:AL32))))+Таблица1[[#This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2" s="292" t="b">
        <f>IF(AR32&lt;=3,(IF((G32="5/24"),((база!$M$6*Таблица1[[#This Row],[сумма]]*Таблица1[[#This Row],[коэф]])),
IF((G32="4/24"),((база!$M$5*Таблица1[[#This Row],[сумма]]*Таблица1[[#This Row],[коэф]])),
IF((G32="3/24"),((база!$M$4*Таблица1[[#This Row],[сумма]]*Таблица1[[#This Row],[коэф]])),
IF((G32="5/16"),((база!$L$6*Таблица1[[#This Row],[сумма]]*Таблица1[[#This Row],[коэф]])),
IF((G32="4/16"),((база!$L$5*Таблица1[[#This Row],[сумма]]*Таблица1[[#This Row],[коэф]])),
IF((G32="3/16"),((база!$L$4*Таблица1[[#This Row],[сумма]]*Таблица1[[#This Row],[коэф]])),
IF((G32="4/4"),((база!$I$5*Таблица1[[#This Row],[сумма]]*Таблица1[[#This Row],[коэф]])),
IF(OR(G32="2/4",G32="3/4"),((база!$I$4*Таблица1[[#This Row],[сумма]]*Таблица1[[#This Row],[коэф]])),
IF((G32="5/8"),((база!$J$6*Таблица1[[#This Row],[сумма]]*Таблица1[[#This Row],[коэф]])),
IF((G32="4/8"),((база!$J$5*Таблица1[[#This Row],[сумма]]*Таблица1[[#This Row],[коэф]])),
IF(OR(G32="3/8",G32="2/8"),((база!$J$4*Таблица1[[#This Row],[сумма]]*Таблица1[[#This Row],[коэф]])))))))))))))),
(IF((G32="5/24"),((база!$M$6*Таблица1[[#This Row],[сумма]]*Таблица1[[#This Row],[коэф]])),
IF(OR(G32="4/24",G32="3/24"),((база!$M$5*Таблица1[[#This Row],[сумма]]*Таблица1[[#This Row],[коэф]])),
IF((G32="5/16"),((база!$L$6*Таблица1[[#This Row],[сумма]]*Таблица1[[#This Row],[коэф]])),
IF(OR(G32="4/16",G32="3/16"),((база!$L$5*Таблица1[[#This Row],[сумма]]*Таблица1[[#This Row],[коэф]])),
IF(OR(G32="2/4",G32="3/4",G32="4/4"),((база!$I$5*Таблица1[[#This Row],[сумма]]*Таблица1[[#This Row],[коэф]])),
IF((G32="5/8"),((база!$J$6*Таблица1[[#This Row],[сумма]]*Таблица1[[#This Row],[коэф]])),
IF(OR(G32="4/8",G32="3/8",G32="2/8"),((база!$J$5*Таблица1[[#This Row],[сумма]]*Таблица1[[#This Row],[коэф]])))))))))))</f>
        <v>0</v>
      </c>
      <c r="AP32" s="730" t="b">
        <f>IF(AR32&lt;=3,(IF((G32="5/24"),((база!$M$6*2*Таблица1[[#This Row],[Столбец1]]*Таблица1[[#This Row],[коэф]])),
IF((G32="4/24"),((база!$M$5*2*Таблица1[[#This Row],[Столбец1]]*Таблица1[[#This Row],[коэф]])),
IF((G32="3/24"),((база!$M$4*2*Таблица1[[#This Row],[Столбец1]]*Таблица1[[#This Row],[коэф]])),
IF((G32="5/16"),((база!$L$6*2*Таблица1[[#This Row],[Столбец1]]*Таблица1[[#This Row],[коэф]])),
IF((G32="4/16"),((база!$L$5*2*Таблица1[[#This Row],[Столбец1]]*Таблица1[[#This Row],[коэф]])),
IF((G32="3/16"),((база!$L$4*2*Таблица1[[#This Row],[Столбец1]]*Таблица1[[#This Row],[коэф]])),
IF((G32="4/4"),((база!$I$5*2*Таблица1[[#This Row],[Столбец1]]*Таблица1[[#This Row],[коэф]])),
IF(OR(G32="2/4",G32="3/4"),((база!$I$4*2*Таблица1[[#This Row],[Столбец1]]*Таблица1[[#This Row],[коэф]])),
IF((G32="5/8"),((база!$J$6*2*Таблица1[[#This Row],[Столбец1]]*Таблица1[[#This Row],[коэф]])),
IF((G32="4/8"),((база!$J$5*2*Таблица1[[#This Row],[Столбец1]]*Таблица1[[#This Row],[коэф]])),
IF(OR(G32="3/8",G32="2/8"),((база!$J$4*2*Таблица1[[#This Row],[Столбец1]]*Таблица1[[#This Row],[коэф]])))))))))))))),
(IF((G32="5/24"),((база!$M$6*2*Таблица1[[#This Row],[Столбец1]]*Таблица1[[#This Row],[коэф]])),
IF(OR(G32="4/24",G32="3/24"),((база!$M$5*2*Таблица1[[#This Row],[Столбец1]]*Таблица1[[#This Row],[коэф]])),
IF((G32="5/16"),((база!$L$6*2*Таблица1[[#This Row],[Столбец1]]*Таблица1[[#This Row],[коэф]])),
IF(OR(G32="4/16",G32="3/16"),((база!$L$5*2*Таблица1[[#This Row],[Столбец1]]*Таблица1[[#This Row],[коэф]])),
IF(OR(G32="2/4",G32="3/4",G32="4/4"),((база!$I$5*2*Таблица1[[#This Row],[Столбец1]]*Таблица1[[#This Row],[коэф]])),
IF((G32="5/8"),((база!$J$6*2*Таблица1[[#This Row],[Столбец1]]*Таблица1[[#This Row],[коэф]])),
IF(OR(G32="4/8",G32="3/8",G32="2/8"),((база!$J$5*2*Таблица1[[#This Row],[Столбец1]]*Таблица1[[#This Row],[коэф]])))))))))))</f>
        <v>0</v>
      </c>
      <c r="AQ32" s="712" t="str">
        <f>IFERROR(INDEX(база!T:T, MATCH(F32,база!Q:Q,0)),"")</f>
        <v/>
      </c>
      <c r="AR32" s="208" t="str">
        <f>IFERROR(INDEX(база!D:D, MATCH(F32,база!B:B,0)),"")</f>
        <v/>
      </c>
      <c r="AS32" s="758" t="str">
        <f>IFERROR(INDEX(база!E:E, MATCH(F32,база!B:B,0)),"")</f>
        <v/>
      </c>
    </row>
    <row r="33" spans="1:45" ht="15">
      <c r="A33" s="977" t="str">
        <f t="shared" si="1"/>
        <v>январь</v>
      </c>
      <c r="B33" t="n" s="977">
        <v>2024.0</v>
      </c>
      <c r="C33" t="s" s="977">
        <v>386</v>
      </c>
      <c r="D33" t="s" s="977">
        <v>364</v>
      </c>
      <c r="E33" t="s" s="977">
        <v>46</v>
      </c>
      <c r="F33" t="s" s="977">
        <v>352</v>
      </c>
      <c r="G33" t="s" s="977">
        <v>4</v>
      </c>
      <c r="H33" s="977"/>
      <c r="I33" s="977"/>
      <c r="J33" s="977"/>
      <c r="K33" t="n" s="977">
        <v>7.2</v>
      </c>
      <c r="L33" s="48"/>
      <c r="M33" s="48"/>
      <c r="N33" s="49"/>
      <c r="O33" s="48"/>
      <c r="P33" t="n" s="21">
        <v>7.2</v>
      </c>
      <c r="Q33" t="n" s="46">
        <v>7.2</v>
      </c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48"/>
      <c r="AJ33" s="48"/>
      <c r="AK33" s="48"/>
      <c r="AL33" s="51"/>
      <c r="AM33" s="212">
        <f>IF(AQ33=1,SUM(Q33:T33,W33:Z33,AC33:AF33,AI33:AL33),
IF(AQ33=2,SUM(P33,S33:V33,Y33:AB33,AE33:AH33,AK33:AL33),
IF(AQ33=3,SUM(P33:R33,U33:X33,AA33:AD33,AG33:AJ33),SUM(Таблица1[[#This Row],[1]:[31]])-Таблица1[[#This Row],[Столбец1]])))</f>
        <v>0</v>
      </c>
      <c r="AN33" s="778">
        <f t="array" ref="AN33">IF(AQ33=1,SUM(P33,U33:V33,AA33:AB33,AG33:AH33),
IF(AQ33=2,SUM(Q33:R33,W33:X33,AC33:AD33,AI33:AJ33),
IF(AQ33=3,SUM(S33:T33,Y33:Z33,AE33:AF33,AK33:AL33),
SUM(IFERROR(WEEKDAY($H$2:$AL$2,2)&gt;5,)*H33:AL33))))+Таблица1[[#This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3" s="292" t="b">
        <f>IF(AR33&lt;=3,(IF((G33="5/24"),((база!$M$6*Таблица1[[#This Row],[сумма]]*Таблица1[[#This Row],[коэф]])),
IF((G33="4/24"),((база!$M$5*Таблица1[[#This Row],[сумма]]*Таблица1[[#This Row],[коэф]])),
IF((G33="3/24"),((база!$M$4*Таблица1[[#This Row],[сумма]]*Таблица1[[#This Row],[коэф]])),
IF((G33="5/16"),((база!$L$6*Таблица1[[#This Row],[сумма]]*Таблица1[[#This Row],[коэф]])),
IF((G33="4/16"),((база!$L$5*Таблица1[[#This Row],[сумма]]*Таблица1[[#This Row],[коэф]])),
IF((G33="3/16"),((база!$L$4*Таблица1[[#This Row],[сумма]]*Таблица1[[#This Row],[коэф]])),
IF((G33="4/4"),((база!$I$5*Таблица1[[#This Row],[сумма]]*Таблица1[[#This Row],[коэф]])),
IF(OR(G33="2/4",G33="3/4"),((база!$I$4*Таблица1[[#This Row],[сумма]]*Таблица1[[#This Row],[коэф]])),
IF((G33="5/8"),((база!$J$6*Таблица1[[#This Row],[сумма]]*Таблица1[[#This Row],[коэф]])),
IF((G33="4/8"),((база!$J$5*Таблица1[[#This Row],[сумма]]*Таблица1[[#This Row],[коэф]])),
IF(OR(G33="3/8",G33="2/8"),((база!$J$4*Таблица1[[#This Row],[сумма]]*Таблица1[[#This Row],[коэф]])))))))))))))),
(IF((G33="5/24"),((база!$M$6*Таблица1[[#This Row],[сумма]]*Таблица1[[#This Row],[коэф]])),
IF(OR(G33="4/24",G33="3/24"),((база!$M$5*Таблица1[[#This Row],[сумма]]*Таблица1[[#This Row],[коэф]])),
IF((G33="5/16"),((база!$L$6*Таблица1[[#This Row],[сумма]]*Таблица1[[#This Row],[коэф]])),
IF(OR(G33="4/16",G33="3/16"),((база!$L$5*Таблица1[[#This Row],[сумма]]*Таблица1[[#This Row],[коэф]])),
IF(OR(G33="2/4",G33="3/4",G33="4/4"),((база!$I$5*Таблица1[[#This Row],[сумма]]*Таблица1[[#This Row],[коэф]])),
IF((G33="5/8"),((база!$J$6*Таблица1[[#This Row],[сумма]]*Таблица1[[#This Row],[коэф]])),
IF(OR(G33="4/8",G33="3/8",G33="2/8"),((база!$J$5*Таблица1[[#This Row],[сумма]]*Таблица1[[#This Row],[коэф]])))))))))))</f>
        <v>0</v>
      </c>
      <c r="AP33" s="730" t="b">
        <f>IF(AR33&lt;=3,(IF((G33="5/24"),((база!$M$6*2*Таблица1[[#This Row],[Столбец1]]*Таблица1[[#This Row],[коэф]])),
IF((G33="4/24"),((база!$M$5*2*Таблица1[[#This Row],[Столбец1]]*Таблица1[[#This Row],[коэф]])),
IF((G33="3/24"),((база!$M$4*2*Таблица1[[#This Row],[Столбец1]]*Таблица1[[#This Row],[коэф]])),
IF((G33="5/16"),((база!$L$6*2*Таблица1[[#This Row],[Столбец1]]*Таблица1[[#This Row],[коэф]])),
IF((G33="4/16"),((база!$L$5*2*Таблица1[[#This Row],[Столбец1]]*Таблица1[[#This Row],[коэф]])),
IF((G33="3/16"),((база!$L$4*2*Таблица1[[#This Row],[Столбец1]]*Таблица1[[#This Row],[коэф]])),
IF((G33="4/4"),((база!$I$5*2*Таблица1[[#This Row],[Столбец1]]*Таблица1[[#This Row],[коэф]])),
IF(OR(G33="2/4",G33="3/4"),((база!$I$4*2*Таблица1[[#This Row],[Столбец1]]*Таблица1[[#This Row],[коэф]])),
IF((G33="5/8"),((база!$J$6*2*Таблица1[[#This Row],[Столбец1]]*Таблица1[[#This Row],[коэф]])),
IF((G33="4/8"),((база!$J$5*2*Таблица1[[#This Row],[Столбец1]]*Таблица1[[#This Row],[коэф]])),
IF(OR(G33="3/8",G33="2/8"),((база!$J$4*2*Таблица1[[#This Row],[Столбец1]]*Таблица1[[#This Row],[коэф]])))))))))))))),
(IF((G33="5/24"),((база!$M$6*2*Таблица1[[#This Row],[Столбец1]]*Таблица1[[#This Row],[коэф]])),
IF(OR(G33="4/24",G33="3/24"),((база!$M$5*2*Таблица1[[#This Row],[Столбец1]]*Таблица1[[#This Row],[коэф]])),
IF((G33="5/16"),((база!$L$6*2*Таблица1[[#This Row],[Столбец1]]*Таблица1[[#This Row],[коэф]])),
IF(OR(G33="4/16",G33="3/16"),((база!$L$5*2*Таблица1[[#This Row],[Столбец1]]*Таблица1[[#This Row],[коэф]])),
IF(OR(G33="2/4",G33="3/4",G33="4/4"),((база!$I$5*2*Таблица1[[#This Row],[Столбец1]]*Таблица1[[#This Row],[коэф]])),
IF((G33="5/8"),((база!$J$6*2*Таблица1[[#This Row],[Столбец1]]*Таблица1[[#This Row],[коэф]])),
IF(OR(G33="4/8",G33="3/8",G33="2/8"),((база!$J$5*2*Таблица1[[#This Row],[Столбец1]]*Таблица1[[#This Row],[коэф]])))))))))))</f>
        <v>0</v>
      </c>
      <c r="AQ33" s="712" t="str">
        <f>IFERROR(INDEX(база!T:T, MATCH(F33,база!Q:Q,0)),"")</f>
        <v/>
      </c>
      <c r="AR33" s="208" t="str">
        <f>IFERROR(INDEX(база!D:D, MATCH(F33,база!B:B,0)),"")</f>
        <v/>
      </c>
      <c r="AS33" s="758" t="str">
        <f>IFERROR(INDEX(база!E:E, MATCH(F33,база!B:B,0)),"")</f>
        <v/>
      </c>
    </row>
    <row r="34" spans="1:45" ht="15">
      <c r="A34" s="978" t="str">
        <f t="shared" si="1"/>
        <v>январь</v>
      </c>
      <c r="B34" t="n" s="978">
        <v>2024.0</v>
      </c>
      <c r="C34" t="s" s="978">
        <v>386</v>
      </c>
      <c r="D34" t="s" s="978">
        <v>364</v>
      </c>
      <c r="E34" t="s" s="978">
        <v>46</v>
      </c>
      <c r="F34" t="s" s="978">
        <v>354</v>
      </c>
      <c r="G34" t="s" s="978">
        <v>4</v>
      </c>
      <c r="H34" s="978"/>
      <c r="I34" s="978"/>
      <c r="J34" s="978"/>
      <c r="K34" s="978"/>
      <c r="L34" s="978"/>
      <c r="M34" t="n" s="978">
        <v>7.2</v>
      </c>
      <c r="N34" s="49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48"/>
      <c r="AJ34" s="48"/>
      <c r="AK34" s="48"/>
      <c r="AL34" s="51"/>
      <c r="AM34" s="212">
        <f>IF(AQ34=1,SUM(Q34:T34,W34:Z34,AC34:AF34,AI34:AL34),
IF(AQ34=2,SUM(P34,S34:V34,Y34:AB34,AE34:AH34,AK34:AL34),
IF(AQ34=3,SUM(P34:R34,U34:X34,AA34:AD34,AG34:AJ34),SUM(Таблица1[[#This Row],[1]:[31]])-Таблица1[[#This Row],[Столбец1]])))</f>
        <v>0</v>
      </c>
      <c r="AN34" s="778">
        <f t="array" ref="AN34">IF(AQ34=1,SUM(P34,U34:V34,AA34:AB34,AG34:AH34),
IF(AQ34=2,SUM(Q34:R34,W34:X34,AC34:AD34,AI34:AJ34),
IF(AQ34=3,SUM(S34:T34,Y34:Z34,AE34:AF34,AK34:AL34),
SUM(IFERROR(WEEKDAY($H$2:$AL$2,2)&gt;5,)*H34:AL34))))+Таблица1[[#This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4" s="292" t="b">
        <f>IF(AR34&lt;=3,(IF((G34="5/24"),((база!$M$6*Таблица1[[#This Row],[сумма]]*Таблица1[[#This Row],[коэф]])),
IF((G34="4/24"),((база!$M$5*Таблица1[[#This Row],[сумма]]*Таблица1[[#This Row],[коэф]])),
IF((G34="3/24"),((база!$M$4*Таблица1[[#This Row],[сумма]]*Таблица1[[#This Row],[коэф]])),
IF((G34="5/16"),((база!$L$6*Таблица1[[#This Row],[сумма]]*Таблица1[[#This Row],[коэф]])),
IF((G34="4/16"),((база!$L$5*Таблица1[[#This Row],[сумма]]*Таблица1[[#This Row],[коэф]])),
IF((G34="3/16"),((база!$L$4*Таблица1[[#This Row],[сумма]]*Таблица1[[#This Row],[коэф]])),
IF((G34="4/4"),((база!$I$5*Таблица1[[#This Row],[сумма]]*Таблица1[[#This Row],[коэф]])),
IF(OR(G34="2/4",G34="3/4"),((база!$I$4*Таблица1[[#This Row],[сумма]]*Таблица1[[#This Row],[коэф]])),
IF((G34="5/8"),((база!$J$6*Таблица1[[#This Row],[сумма]]*Таблица1[[#This Row],[коэф]])),
IF((G34="4/8"),((база!$J$5*Таблица1[[#This Row],[сумма]]*Таблица1[[#This Row],[коэф]])),
IF(OR(G34="3/8",G34="2/8"),((база!$J$4*Таблица1[[#This Row],[сумма]]*Таблица1[[#This Row],[коэф]])))))))))))))),
(IF((G34="5/24"),((база!$M$6*Таблица1[[#This Row],[сумма]]*Таблица1[[#This Row],[коэф]])),
IF(OR(G34="4/24",G34="3/24"),((база!$M$5*Таблица1[[#This Row],[сумма]]*Таблица1[[#This Row],[коэф]])),
IF((G34="5/16"),((база!$L$6*Таблица1[[#This Row],[сумма]]*Таблица1[[#This Row],[коэф]])),
IF(OR(G34="4/16",G34="3/16"),((база!$L$5*Таблица1[[#This Row],[сумма]]*Таблица1[[#This Row],[коэф]])),
IF(OR(G34="2/4",G34="3/4",G34="4/4"),((база!$I$5*Таблица1[[#This Row],[сумма]]*Таблица1[[#This Row],[коэф]])),
IF((G34="5/8"),((база!$J$6*Таблица1[[#This Row],[сумма]]*Таблица1[[#This Row],[коэф]])),
IF(OR(G34="4/8",G34="3/8",G34="2/8"),((база!$J$5*Таблица1[[#This Row],[сумма]]*Таблица1[[#This Row],[коэф]])))))))))))</f>
        <v>0</v>
      </c>
      <c r="AP34" s="730" t="b">
        <f>IF(AR34&lt;=3,(IF((G34="5/24"),((база!$M$6*2*Таблица1[[#This Row],[Столбец1]]*Таблица1[[#This Row],[коэф]])),
IF((G34="4/24"),((база!$M$5*2*Таблица1[[#This Row],[Столбец1]]*Таблица1[[#This Row],[коэф]])),
IF((G34="3/24"),((база!$M$4*2*Таблица1[[#This Row],[Столбец1]]*Таблица1[[#This Row],[коэф]])),
IF((G34="5/16"),((база!$L$6*2*Таблица1[[#This Row],[Столбец1]]*Таблица1[[#This Row],[коэф]])),
IF((G34="4/16"),((база!$L$5*2*Таблица1[[#This Row],[Столбец1]]*Таблица1[[#This Row],[коэф]])),
IF((G34="3/16"),((база!$L$4*2*Таблица1[[#This Row],[Столбец1]]*Таблица1[[#This Row],[коэф]])),
IF((G34="4/4"),((база!$I$5*2*Таблица1[[#This Row],[Столбец1]]*Таблица1[[#This Row],[коэф]])),
IF(OR(G34="2/4",G34="3/4"),((база!$I$4*2*Таблица1[[#This Row],[Столбец1]]*Таблица1[[#This Row],[коэф]])),
IF((G34="5/8"),((база!$J$6*2*Таблица1[[#This Row],[Столбец1]]*Таблица1[[#This Row],[коэф]])),
IF((G34="4/8"),((база!$J$5*2*Таблица1[[#This Row],[Столбец1]]*Таблица1[[#This Row],[коэф]])),
IF(OR(G34="3/8",G34="2/8"),((база!$J$4*2*Таблица1[[#This Row],[Столбец1]]*Таблица1[[#This Row],[коэф]])))))))))))))),
(IF((G34="5/24"),((база!$M$6*2*Таблица1[[#This Row],[Столбец1]]*Таблица1[[#This Row],[коэф]])),
IF(OR(G34="4/24",G34="3/24"),((база!$M$5*2*Таблица1[[#This Row],[Столбец1]]*Таблица1[[#This Row],[коэф]])),
IF((G34="5/16"),((база!$L$6*2*Таблица1[[#This Row],[Столбец1]]*Таблица1[[#This Row],[коэф]])),
IF(OR(G34="4/16",G34="3/16"),((база!$L$5*2*Таблица1[[#This Row],[Столбец1]]*Таблица1[[#This Row],[коэф]])),
IF(OR(G34="2/4",G34="3/4",G34="4/4"),((база!$I$5*2*Таблица1[[#This Row],[Столбец1]]*Таблица1[[#This Row],[коэф]])),
IF((G34="5/8"),((база!$J$6*2*Таблица1[[#This Row],[Столбец1]]*Таблица1[[#This Row],[коэф]])),
IF(OR(G34="4/8",G34="3/8",G34="2/8"),((база!$J$5*2*Таблица1[[#This Row],[Столбец1]]*Таблица1[[#This Row],[коэф]])))))))))))</f>
        <v>0</v>
      </c>
      <c r="AQ34" s="712" t="str">
        <f>IFERROR(INDEX(база!T:T, MATCH(F34,база!Q:Q,0)),"")</f>
        <v/>
      </c>
      <c r="AR34" s="208" t="str">
        <f>IFERROR(INDEX(база!D:D, MATCH(F34,база!B:B,0)),"")</f>
        <v/>
      </c>
      <c r="AS34" s="758" t="str">
        <f>IFERROR(INDEX(база!E:E, MATCH(F34,база!B:B,0)),"")</f>
        <v/>
      </c>
    </row>
    <row r="35" spans="1:45" ht="15">
      <c r="A35" s="981" t="str">
        <f t="shared" si="1"/>
        <v>январь</v>
      </c>
      <c r="B35" t="n" s="981">
        <v>2024.0</v>
      </c>
      <c r="C35" t="s" s="981">
        <v>387</v>
      </c>
      <c r="D35" t="s" s="981">
        <v>364</v>
      </c>
      <c r="E35" t="s" s="981">
        <v>393</v>
      </c>
      <c r="F35" t="s" s="981">
        <v>266</v>
      </c>
      <c r="G35" t="s" s="981">
        <v>31</v>
      </c>
      <c r="H35" s="981"/>
      <c r="I35" s="981"/>
      <c r="J35" s="981"/>
      <c r="K35" s="981"/>
      <c r="L35" s="981"/>
      <c r="M35" t="n" s="981">
        <v>6.5</v>
      </c>
      <c r="N35" s="49"/>
      <c r="O35" s="48"/>
      <c r="P35" t="n" s="21">
        <v>7.2</v>
      </c>
      <c r="Q35" t="n" s="46">
        <v>7.2</v>
      </c>
      <c r="R35" t="n" s="46">
        <v>7.2</v>
      </c>
      <c r="S35" t="n" s="46">
        <v>7.2</v>
      </c>
      <c r="T35" t="n" s="46">
        <v>6.0</v>
      </c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48"/>
      <c r="AI35" s="48"/>
      <c r="AJ35" s="48"/>
      <c r="AK35" s="48"/>
      <c r="AL35" s="51"/>
      <c r="AM35" s="212">
        <f>IF(AQ35=1,SUM(Q35:T35,W35:Z35,AC35:AF35,AI35:AL35),
IF(AQ35=2,SUM(P35,S35:V35,Y35:AB35,AE35:AH35,AK35:AL35),
IF(AQ35=3,SUM(P35:R35,U35:X35,AA35:AD35,AG35:AJ35),SUM(Таблица1[[#This Row],[1]:[31]])-Таблица1[[#This Row],[Столбец1]])))</f>
        <v>0</v>
      </c>
      <c r="AN35" s="778">
        <f t="array" ref="AN35">IF(AQ35=1,SUM(P35,U35:V35,AA35:AB35,AG35:AH35),
IF(AQ35=2,SUM(Q35:R35,W35:X35,AC35:AD35,AI35:AJ35),
IF(AQ35=3,SUM(S35:T35,Y35:Z35,AE35:AF35,AK35:AL35),
SUM(IFERROR(WEEKDAY($H$2:$AL$2,2)&gt;5,)*H35:AL35))))+Таблица1[[#This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5" s="292" t="b">
        <f>IF(AR35&lt;=3,(IF((G35="5/24"),((база!$M$6*Таблица1[[#This Row],[сумма]]*Таблица1[[#This Row],[коэф]])),
IF((G35="4/24"),((база!$M$5*Таблица1[[#This Row],[сумма]]*Таблица1[[#This Row],[коэф]])),
IF((G35="3/24"),((база!$M$4*Таблица1[[#This Row],[сумма]]*Таблица1[[#This Row],[коэф]])),
IF((G35="5/16"),((база!$L$6*Таблица1[[#This Row],[сумма]]*Таблица1[[#This Row],[коэф]])),
IF((G35="4/16"),((база!$L$5*Таблица1[[#This Row],[сумма]]*Таблица1[[#This Row],[коэф]])),
IF((G35="3/16"),((база!$L$4*Таблица1[[#This Row],[сумма]]*Таблица1[[#This Row],[коэф]])),
IF((G35="4/4"),((база!$I$5*Таблица1[[#This Row],[сумма]]*Таблица1[[#This Row],[коэф]])),
IF(OR(G35="2/4",G35="3/4"),((база!$I$4*Таблица1[[#This Row],[сумма]]*Таблица1[[#This Row],[коэф]])),
IF((G35="5/8"),((база!$J$6*Таблица1[[#This Row],[сумма]]*Таблица1[[#This Row],[коэф]])),
IF((G35="4/8"),((база!$J$5*Таблица1[[#This Row],[сумма]]*Таблица1[[#This Row],[коэф]])),
IF(OR(G35="3/8",G35="2/8"),((база!$J$4*Таблица1[[#This Row],[сумма]]*Таблица1[[#This Row],[коэф]])))))))))))))),
(IF((G35="5/24"),((база!$M$6*Таблица1[[#This Row],[сумма]]*Таблица1[[#This Row],[коэф]])),
IF(OR(G35="4/24",G35="3/24"),((база!$M$5*Таблица1[[#This Row],[сумма]]*Таблица1[[#This Row],[коэф]])),
IF((G35="5/16"),((база!$L$6*Таблица1[[#This Row],[сумма]]*Таблица1[[#This Row],[коэф]])),
IF(OR(G35="4/16",G35="3/16"),((база!$L$5*Таблица1[[#This Row],[сумма]]*Таблица1[[#This Row],[коэф]])),
IF(OR(G35="2/4",G35="3/4",G35="4/4"),((база!$I$5*Таблица1[[#This Row],[сумма]]*Таблица1[[#This Row],[коэф]])),
IF((G35="5/8"),((база!$J$6*Таблица1[[#This Row],[сумма]]*Таблица1[[#This Row],[коэф]])),
IF(OR(G35="4/8",G35="3/8",G35="2/8"),((база!$J$5*Таблица1[[#This Row],[сумма]]*Таблица1[[#This Row],[коэф]])))))))))))</f>
        <v>0</v>
      </c>
      <c r="AP35" s="730" t="b">
        <f>IF(AR35&lt;=3,(IF((G35="5/24"),((база!$M$6*2*Таблица1[[#This Row],[Столбец1]]*Таблица1[[#This Row],[коэф]])),
IF((G35="4/24"),((база!$M$5*2*Таблица1[[#This Row],[Столбец1]]*Таблица1[[#This Row],[коэф]])),
IF((G35="3/24"),((база!$M$4*2*Таблица1[[#This Row],[Столбец1]]*Таблица1[[#This Row],[коэф]])),
IF((G35="5/16"),((база!$L$6*2*Таблица1[[#This Row],[Столбец1]]*Таблица1[[#This Row],[коэф]])),
IF((G35="4/16"),((база!$L$5*2*Таблица1[[#This Row],[Столбец1]]*Таблица1[[#This Row],[коэф]])),
IF((G35="3/16"),((база!$L$4*2*Таблица1[[#This Row],[Столбец1]]*Таблица1[[#This Row],[коэф]])),
IF((G35="4/4"),((база!$I$5*2*Таблица1[[#This Row],[Столбец1]]*Таблица1[[#This Row],[коэф]])),
IF(OR(G35="2/4",G35="3/4"),((база!$I$4*2*Таблица1[[#This Row],[Столбец1]]*Таблица1[[#This Row],[коэф]])),
IF((G35="5/8"),((база!$J$6*2*Таблица1[[#This Row],[Столбец1]]*Таблица1[[#This Row],[коэф]])),
IF((G35="4/8"),((база!$J$5*2*Таблица1[[#This Row],[Столбец1]]*Таблица1[[#This Row],[коэф]])),
IF(OR(G35="3/8",G35="2/8"),((база!$J$4*2*Таблица1[[#This Row],[Столбец1]]*Таблица1[[#This Row],[коэф]])))))))))))))),
(IF((G35="5/24"),((база!$M$6*2*Таблица1[[#This Row],[Столбец1]]*Таблица1[[#This Row],[коэф]])),
IF(OR(G35="4/24",G35="3/24"),((база!$M$5*2*Таблица1[[#This Row],[Столбец1]]*Таблица1[[#This Row],[коэф]])),
IF((G35="5/16"),((база!$L$6*2*Таблица1[[#This Row],[Столбец1]]*Таблица1[[#This Row],[коэф]])),
IF(OR(G35="4/16",G35="3/16"),((база!$L$5*2*Таблица1[[#This Row],[Столбец1]]*Таблица1[[#This Row],[коэф]])),
IF(OR(G35="2/4",G35="3/4",G35="4/4"),((база!$I$5*2*Таблица1[[#This Row],[Столбец1]]*Таблица1[[#This Row],[коэф]])),
IF((G35="5/8"),((база!$J$6*2*Таблица1[[#This Row],[Столбец1]]*Таблица1[[#This Row],[коэф]])),
IF(OR(G35="4/8",G35="3/8",G35="2/8"),((база!$J$5*2*Таблица1[[#This Row],[Столбец1]]*Таблица1[[#This Row],[коэф]])))))))))))</f>
        <v>0</v>
      </c>
      <c r="AQ35" s="712" t="str">
        <f>IFERROR(INDEX(база!T:T, MATCH(F35,база!Q:Q,0)),"")</f>
        <v/>
      </c>
      <c r="AR35" s="208" t="str">
        <f>IFERROR(INDEX(база!D:D, MATCH(F35,база!B:B,0)),"")</f>
        <v/>
      </c>
      <c r="AS35" s="758" t="str">
        <f>IFERROR(INDEX(база!E:E, MATCH(F35,база!B:B,0)),"")</f>
        <v/>
      </c>
    </row>
    <row r="36" spans="1:45" ht="15">
      <c r="A36" s="982" t="str">
        <f t="shared" si="1"/>
        <v>январь</v>
      </c>
      <c r="B36" t="n" s="982">
        <v>2024.0</v>
      </c>
      <c r="C36" t="s" s="982">
        <v>386</v>
      </c>
      <c r="D36" t="s" s="982">
        <v>365</v>
      </c>
      <c r="E36" t="s" s="982">
        <v>46</v>
      </c>
      <c r="F36" t="s" s="982">
        <v>359</v>
      </c>
      <c r="G36" t="s" s="982">
        <v>6</v>
      </c>
      <c r="H36" s="982"/>
      <c r="I36" s="982"/>
      <c r="J36" s="982"/>
      <c r="K36" s="982"/>
      <c r="L36" s="982"/>
      <c r="M36" t="n" s="982">
        <v>2.0</v>
      </c>
      <c r="N36" t="n" s="46">
        <v>2.0</v>
      </c>
      <c r="O36" s="48"/>
      <c r="P36" s="48"/>
      <c r="Q36" s="48"/>
      <c r="R36" s="48"/>
      <c r="S36" s="48"/>
      <c r="T36" t="n" s="46">
        <v>6.2</v>
      </c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51"/>
      <c r="AM36" s="212">
        <f>IF(AQ36=1,SUM(Q36:T36,W36:Z36,AC36:AF36,AI36:AL36),
IF(AQ36=2,SUM(P36,S36:V36,Y36:AB36,AE36:AH36,AK36:AL36),
IF(AQ36=3,SUM(P36:R36,U36:X36,AA36:AD36,AG36:AJ36),SUM(Таблица1[[#This Row],[1]:[31]])-Таблица1[[#This Row],[Столбец1]])))</f>
        <v>0</v>
      </c>
      <c r="AN36" s="778">
        <f t="array" ref="AN36">IF(AQ36=1,SUM(P36,U36:V36,AA36:AB36,AG36:AH36),
IF(AQ36=2,SUM(Q36:R36,W36:X36,AC36:AD36,AI36:AJ36),
IF(AQ36=3,SUM(S36:T36,Y36:Z36,AE36:AF36,AK36:AL36),
SUM(IFERROR(WEEKDAY($H$2:$AL$2,2)&gt;5,)*H36:AL36))))+Таблица1[[#This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6" s="292" t="b">
        <f>IF(AR36&lt;=3,(IF((G36="5/24"),((база!$M$6*Таблица1[[#This Row],[сумма]]*Таблица1[[#This Row],[коэф]])),
IF((G36="4/24"),((база!$M$5*Таблица1[[#This Row],[сумма]]*Таблица1[[#This Row],[коэф]])),
IF((G36="3/24"),((база!$M$4*Таблица1[[#This Row],[сумма]]*Таблица1[[#This Row],[коэф]])),
IF((G36="5/16"),((база!$L$6*Таблица1[[#This Row],[сумма]]*Таблица1[[#This Row],[коэф]])),
IF((G36="4/16"),((база!$L$5*Таблица1[[#This Row],[сумма]]*Таблица1[[#This Row],[коэф]])),
IF((G36="3/16"),((база!$L$4*Таблица1[[#This Row],[сумма]]*Таблица1[[#This Row],[коэф]])),
IF((G36="4/4"),((база!$I$5*Таблица1[[#This Row],[сумма]]*Таблица1[[#This Row],[коэф]])),
IF(OR(G36="2/4",G36="3/4"),((база!$I$4*Таблица1[[#This Row],[сумма]]*Таблица1[[#This Row],[коэф]])),
IF((G36="5/8"),((база!$J$6*Таблица1[[#This Row],[сумма]]*Таблица1[[#This Row],[коэф]])),
IF((G36="4/8"),((база!$J$5*Таблица1[[#This Row],[сумма]]*Таблица1[[#This Row],[коэф]])),
IF(OR(G36="3/8",G36="2/8"),((база!$J$4*Таблица1[[#This Row],[сумма]]*Таблица1[[#This Row],[коэф]])))))))))))))),
(IF((G36="5/24"),((база!$M$6*Таблица1[[#This Row],[сумма]]*Таблица1[[#This Row],[коэф]])),
IF(OR(G36="4/24",G36="3/24"),((база!$M$5*Таблица1[[#This Row],[сумма]]*Таблица1[[#This Row],[коэф]])),
IF((G36="5/16"),((база!$L$6*Таблица1[[#This Row],[сумма]]*Таблица1[[#This Row],[коэф]])),
IF(OR(G36="4/16",G36="3/16"),((база!$L$5*Таблица1[[#This Row],[сумма]]*Таблица1[[#This Row],[коэф]])),
IF(OR(G36="2/4",G36="3/4",G36="4/4"),((база!$I$5*Таблица1[[#This Row],[сумма]]*Таблица1[[#This Row],[коэф]])),
IF((G36="5/8"),((база!$J$6*Таблица1[[#This Row],[сумма]]*Таблица1[[#This Row],[коэф]])),
IF(OR(G36="4/8",G36="3/8",G36="2/8"),((база!$J$5*Таблица1[[#This Row],[сумма]]*Таблица1[[#This Row],[коэф]])))))))))))</f>
        <v>0</v>
      </c>
      <c r="AP36" s="730" t="b">
        <f>IF(AR36&lt;=3,(IF((G36="5/24"),((база!$M$6*2*Таблица1[[#This Row],[Столбец1]]*Таблица1[[#This Row],[коэф]])),
IF((G36="4/24"),((база!$M$5*2*Таблица1[[#This Row],[Столбец1]]*Таблица1[[#This Row],[коэф]])),
IF((G36="3/24"),((база!$M$4*2*Таблица1[[#This Row],[Столбец1]]*Таблица1[[#This Row],[коэф]])),
IF((G36="5/16"),((база!$L$6*2*Таблица1[[#This Row],[Столбец1]]*Таблица1[[#This Row],[коэф]])),
IF((G36="4/16"),((база!$L$5*2*Таблица1[[#This Row],[Столбец1]]*Таблица1[[#This Row],[коэф]])),
IF((G36="3/16"),((база!$L$4*2*Таблица1[[#This Row],[Столбец1]]*Таблица1[[#This Row],[коэф]])),
IF((G36="4/4"),((база!$I$5*2*Таблица1[[#This Row],[Столбец1]]*Таблица1[[#This Row],[коэф]])),
IF(OR(G36="2/4",G36="3/4"),((база!$I$4*2*Таблица1[[#This Row],[Столбец1]]*Таблица1[[#This Row],[коэф]])),
IF((G36="5/8"),((база!$J$6*2*Таблица1[[#This Row],[Столбец1]]*Таблица1[[#This Row],[коэф]])),
IF((G36="4/8"),((база!$J$5*2*Таблица1[[#This Row],[Столбец1]]*Таблица1[[#This Row],[коэф]])),
IF(OR(G36="3/8",G36="2/8"),((база!$J$4*2*Таблица1[[#This Row],[Столбец1]]*Таблица1[[#This Row],[коэф]])))))))))))))),
(IF((G36="5/24"),((база!$M$6*2*Таблица1[[#This Row],[Столбец1]]*Таблица1[[#This Row],[коэф]])),
IF(OR(G36="4/24",G36="3/24"),((база!$M$5*2*Таблица1[[#This Row],[Столбец1]]*Таблица1[[#This Row],[коэф]])),
IF((G36="5/16"),((база!$L$6*2*Таблица1[[#This Row],[Столбец1]]*Таблица1[[#This Row],[коэф]])),
IF(OR(G36="4/16",G36="3/16"),((база!$L$5*2*Таблица1[[#This Row],[Столбец1]]*Таблица1[[#This Row],[коэф]])),
IF(OR(G36="2/4",G36="3/4",G36="4/4"),((база!$I$5*2*Таблица1[[#This Row],[Столбец1]]*Таблица1[[#This Row],[коэф]])),
IF((G36="5/8"),((база!$J$6*2*Таблица1[[#This Row],[Столбец1]]*Таблица1[[#This Row],[коэф]])),
IF(OR(G36="4/8",G36="3/8",G36="2/8"),((база!$J$5*2*Таблица1[[#This Row],[Столбец1]]*Таблица1[[#This Row],[коэф]])))))))))))</f>
        <v>0</v>
      </c>
      <c r="AQ36" s="712" t="str">
        <f>IFERROR(INDEX(база!T:T, MATCH(F36,база!Q:Q,0)),"")</f>
        <v/>
      </c>
      <c r="AR36" s="208" t="str">
        <f>IFERROR(INDEX(база!D:D, MATCH(F36,база!B:B,0)),"")</f>
        <v/>
      </c>
      <c r="AS36" s="758" t="str">
        <f>IFERROR(INDEX(база!E:E, MATCH(F36,база!B:B,0)),"")</f>
        <v/>
      </c>
    </row>
    <row r="37" spans="1:45" s="46" customFormat="1" ht="15">
      <c r="A37" s="983" t="str">
        <f t="shared" si="1"/>
        <v>январь</v>
      </c>
      <c r="B37" t="n" s="983">
        <v>2024.0</v>
      </c>
      <c r="C37" t="s" s="983">
        <v>386</v>
      </c>
      <c r="D37" t="s" s="983">
        <v>364</v>
      </c>
      <c r="E37" t="s" s="983">
        <v>46</v>
      </c>
      <c r="F37" t="s" s="983">
        <v>262</v>
      </c>
      <c r="G37" t="s" s="983">
        <v>4</v>
      </c>
      <c r="H37" s="983"/>
      <c r="I37" s="983"/>
      <c r="J37" s="983"/>
      <c r="K37" s="983"/>
      <c r="L37" s="983"/>
      <c r="M37" t="n" s="983">
        <v>7.2</v>
      </c>
      <c r="N37" s="48"/>
      <c r="O37" s="48"/>
      <c r="P37" t="n" s="21">
        <v>2.2</v>
      </c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48"/>
      <c r="AI37" s="48"/>
      <c r="AJ37" s="48"/>
      <c r="AK37" s="48"/>
      <c r="AL37" s="51"/>
      <c r="AM37" s="212">
        <f>IF(AQ37=1,SUM(Q37:T37,W37:Z37,AC37:AF37,AI37:AL37),
IF(AQ37=2,SUM(P37,S37:V37,Y37:AB37,AE37:AH37,AK37:AL37),
IF(AQ37=3,SUM(P37:R37,U37:X37,AA37:AD37,AG37:AJ37),SUM(Таблица1[[#This Row],[1]:[31]])-Таблица1[[#This Row],[Столбец1]])))</f>
        <v>0</v>
      </c>
      <c r="AN37" s="778">
        <f t="array" ref="AN37">IF(AQ37=1,SUM(P37,U37:V37,AA37:AB37,AG37:AH37),
IF(AQ37=2,SUM(Q37:R37,W37:X37,AC37:AD37,AI37:AJ37),
IF(AQ37=3,SUM(S37:T37,Y37:Z37,AE37:AF37,AK37:AL37),
SUM(IFERROR(WEEKDAY($H$2:$AL$2,2)&gt;5,)*H37:AL37))))+Таблица1[[#This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7" s="292" t="b">
        <f>IF(AR37&lt;=3,(IF((G37="5/24"),((база!$M$6*Таблица1[[#This Row],[сумма]]*Таблица1[[#This Row],[коэф]])),
IF((G37="4/24"),((база!$M$5*Таблица1[[#This Row],[сумма]]*Таблица1[[#This Row],[коэф]])),
IF((G37="3/24"),((база!$M$4*Таблица1[[#This Row],[сумма]]*Таблица1[[#This Row],[коэф]])),
IF((G37="5/16"),((база!$L$6*Таблица1[[#This Row],[сумма]]*Таблица1[[#This Row],[коэф]])),
IF((G37="4/16"),((база!$L$5*Таблица1[[#This Row],[сумма]]*Таблица1[[#This Row],[коэф]])),
IF((G37="3/16"),((база!$L$4*Таблица1[[#This Row],[сумма]]*Таблица1[[#This Row],[коэф]])),
IF((G37="4/4"),((база!$I$5*Таблица1[[#This Row],[сумма]]*Таблица1[[#This Row],[коэф]])),
IF(OR(G37="2/4",G37="3/4"),((база!$I$4*Таблица1[[#This Row],[сумма]]*Таблица1[[#This Row],[коэф]])),
IF((G37="5/8"),((база!$J$6*Таблица1[[#This Row],[сумма]]*Таблица1[[#This Row],[коэф]])),
IF((G37="4/8"),((база!$J$5*Таблица1[[#This Row],[сумма]]*Таблица1[[#This Row],[коэф]])),
IF(OR(G37="3/8",G37="2/8"),((база!$J$4*Таблица1[[#This Row],[сумма]]*Таблица1[[#This Row],[коэф]])))))))))))))),
(IF((G37="5/24"),((база!$M$6*Таблица1[[#This Row],[сумма]]*Таблица1[[#This Row],[коэф]])),
IF(OR(G37="4/24",G37="3/24"),((база!$M$5*Таблица1[[#This Row],[сумма]]*Таблица1[[#This Row],[коэф]])),
IF((G37="5/16"),((база!$L$6*Таблица1[[#This Row],[сумма]]*Таблица1[[#This Row],[коэф]])),
IF(OR(G37="4/16",G37="3/16"),((база!$L$5*Таблица1[[#This Row],[сумма]]*Таблица1[[#This Row],[коэф]])),
IF(OR(G37="2/4",G37="3/4",G37="4/4"),((база!$I$5*Таблица1[[#This Row],[сумма]]*Таблица1[[#This Row],[коэф]])),
IF((G37="5/8"),((база!$J$6*Таблица1[[#This Row],[сумма]]*Таблица1[[#This Row],[коэф]])),
IF(OR(G37="4/8",G37="3/8",G37="2/8"),((база!$J$5*Таблица1[[#This Row],[сумма]]*Таблица1[[#This Row],[коэф]])))))))))))</f>
        <v>0</v>
      </c>
      <c r="AP37" s="730" t="b">
        <f>IF(AR37&lt;=3,(IF((G37="5/24"),((база!$M$6*2*Таблица1[[#This Row],[Столбец1]]*Таблица1[[#This Row],[коэф]])),
IF((G37="4/24"),((база!$M$5*2*Таблица1[[#This Row],[Столбец1]]*Таблица1[[#This Row],[коэф]])),
IF((G37="3/24"),((база!$M$4*2*Таблица1[[#This Row],[Столбец1]]*Таблица1[[#This Row],[коэф]])),
IF((G37="5/16"),((база!$L$6*2*Таблица1[[#This Row],[Столбец1]]*Таблица1[[#This Row],[коэф]])),
IF((G37="4/16"),((база!$L$5*2*Таблица1[[#This Row],[Столбец1]]*Таблица1[[#This Row],[коэф]])),
IF((G37="3/16"),((база!$L$4*2*Таблица1[[#This Row],[Столбец1]]*Таблица1[[#This Row],[коэф]])),
IF((G37="4/4"),((база!$I$5*2*Таблица1[[#This Row],[Столбец1]]*Таблица1[[#This Row],[коэф]])),
IF(OR(G37="2/4",G37="3/4"),((база!$I$4*2*Таблица1[[#This Row],[Столбец1]]*Таблица1[[#This Row],[коэф]])),
IF((G37="5/8"),((база!$J$6*2*Таблица1[[#This Row],[Столбец1]]*Таблица1[[#This Row],[коэф]])),
IF((G37="4/8"),((база!$J$5*2*Таблица1[[#This Row],[Столбец1]]*Таблица1[[#This Row],[коэф]])),
IF(OR(G37="3/8",G37="2/8"),((база!$J$4*2*Таблица1[[#This Row],[Столбец1]]*Таблица1[[#This Row],[коэф]])))))))))))))),
(IF((G37="5/24"),((база!$M$6*2*Таблица1[[#This Row],[Столбец1]]*Таблица1[[#This Row],[коэф]])),
IF(OR(G37="4/24",G37="3/24"),((база!$M$5*2*Таблица1[[#This Row],[Столбец1]]*Таблица1[[#This Row],[коэф]])),
IF((G37="5/16"),((база!$L$6*2*Таблица1[[#This Row],[Столбец1]]*Таблица1[[#This Row],[коэф]])),
IF(OR(G37="4/16",G37="3/16"),((база!$L$5*2*Таблица1[[#This Row],[Столбец1]]*Таблица1[[#This Row],[коэф]])),
IF(OR(G37="2/4",G37="3/4",G37="4/4"),((база!$I$5*2*Таблица1[[#This Row],[Столбец1]]*Таблица1[[#This Row],[коэф]])),
IF((G37="5/8"),((база!$J$6*2*Таблица1[[#This Row],[Столбец1]]*Таблица1[[#This Row],[коэф]])),
IF(OR(G37="4/8",G37="3/8",G37="2/8"),((база!$J$5*2*Таблица1[[#This Row],[Столбец1]]*Таблица1[[#This Row],[коэф]])))))))))))</f>
        <v>0</v>
      </c>
      <c r="AQ37" s="712" t="str">
        <f>IFERROR(INDEX(база!T:T, MATCH(F37,база!Q:Q,0)),"")</f>
        <v/>
      </c>
      <c r="AR37" s="208" t="str">
        <f>IFERROR(INDEX(база!D:D, MATCH(F37,база!B:B,0)),"")</f>
        <v/>
      </c>
      <c r="AS37" s="758" t="str">
        <f>IFERROR(INDEX(база!E:E, MATCH(F37,база!B:B,0)),"")</f>
        <v/>
      </c>
    </row>
    <row r="38" spans="1:45" ht="15">
      <c r="A38" s="985" t="str">
        <f t="shared" si="1"/>
        <v>январь</v>
      </c>
      <c r="B38" t="n" s="985">
        <v>2024.0</v>
      </c>
      <c r="C38" t="s" s="985">
        <v>386</v>
      </c>
      <c r="D38" t="s" s="985">
        <v>364</v>
      </c>
      <c r="E38" t="s" s="985">
        <v>46</v>
      </c>
      <c r="F38" t="s" s="985">
        <v>328</v>
      </c>
      <c r="G38" t="s" s="985">
        <v>4</v>
      </c>
      <c r="H38" s="985"/>
      <c r="I38" s="985"/>
      <c r="J38" s="985"/>
      <c r="K38" s="985"/>
      <c r="L38" s="985"/>
      <c r="M38" t="n" s="985">
        <v>7.2</v>
      </c>
      <c r="N38" s="49"/>
      <c r="O38" s="48"/>
      <c r="P38" s="48"/>
      <c r="Q38" s="48"/>
      <c r="R38" s="48"/>
      <c r="S38" t="n" s="46">
        <v>7.2</v>
      </c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8"/>
      <c r="AJ38" s="48"/>
      <c r="AK38" s="48"/>
      <c r="AL38" s="51"/>
      <c r="AM38" s="212">
        <f>IF(AQ38=1,SUM(Q38:T38,W38:Z38,AC38:AF38,AI38:AL38),
IF(AQ38=2,SUM(P38,S38:V38,Y38:AB38,AE38:AH38,AK38:AL38),
IF(AQ38=3,SUM(P38:R38,U38:X38,AA38:AD38,AG38:AJ38),SUM(Таблица1[[#This Row],[1]:[31]])-Таблица1[[#This Row],[Столбец1]])))</f>
        <v>0</v>
      </c>
      <c r="AN38" s="778">
        <f t="array" ref="AN38">IF(AQ38=1,SUM(P38,U38:V38,AA38:AB38,AG38:AH38),
IF(AQ38=2,SUM(Q38:R38,W38:X38,AC38:AD38,AI38:AJ38),
IF(AQ38=3,SUM(S38:T38,Y38:Z38,AE38:AF38,AK38:AL38),
SUM(IFERROR(WEEKDAY($H$2:$AL$2,2)&gt;5,)*H38:AL38))))+Таблица1[[#This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8" s="292" t="b">
        <f>IF(AR38&lt;=3,(IF((G38="5/24"),((база!$M$6*Таблица1[[#This Row],[сумма]]*Таблица1[[#This Row],[коэф]])),
IF((G38="4/24"),((база!$M$5*Таблица1[[#This Row],[сумма]]*Таблица1[[#This Row],[коэф]])),
IF((G38="3/24"),((база!$M$4*Таблица1[[#This Row],[сумма]]*Таблица1[[#This Row],[коэф]])),
IF((G38="5/16"),((база!$L$6*Таблица1[[#This Row],[сумма]]*Таблица1[[#This Row],[коэф]])),
IF((G38="4/16"),((база!$L$5*Таблица1[[#This Row],[сумма]]*Таблица1[[#This Row],[коэф]])),
IF((G38="3/16"),((база!$L$4*Таблица1[[#This Row],[сумма]]*Таблица1[[#This Row],[коэф]])),
IF((G38="4/4"),((база!$I$5*Таблица1[[#This Row],[сумма]]*Таблица1[[#This Row],[коэф]])),
IF(OR(G38="2/4",G38="3/4"),((база!$I$4*Таблица1[[#This Row],[сумма]]*Таблица1[[#This Row],[коэф]])),
IF((G38="5/8"),((база!$J$6*Таблица1[[#This Row],[сумма]]*Таблица1[[#This Row],[коэф]])),
IF((G38="4/8"),((база!$J$5*Таблица1[[#This Row],[сумма]]*Таблица1[[#This Row],[коэф]])),
IF(OR(G38="3/8",G38="2/8"),((база!$J$4*Таблица1[[#This Row],[сумма]]*Таблица1[[#This Row],[коэф]])))))))))))))),
(IF((G38="5/24"),((база!$M$6*Таблица1[[#This Row],[сумма]]*Таблица1[[#This Row],[коэф]])),
IF(OR(G38="4/24",G38="3/24"),((база!$M$5*Таблица1[[#This Row],[сумма]]*Таблица1[[#This Row],[коэф]])),
IF((G38="5/16"),((база!$L$6*Таблица1[[#This Row],[сумма]]*Таблица1[[#This Row],[коэф]])),
IF(OR(G38="4/16",G38="3/16"),((база!$L$5*Таблица1[[#This Row],[сумма]]*Таблица1[[#This Row],[коэф]])),
IF(OR(G38="2/4",G38="3/4",G38="4/4"),((база!$I$5*Таблица1[[#This Row],[сумма]]*Таблица1[[#This Row],[коэф]])),
IF((G38="5/8"),((база!$J$6*Таблица1[[#This Row],[сумма]]*Таблица1[[#This Row],[коэф]])),
IF(OR(G38="4/8",G38="3/8",G38="2/8"),((база!$J$5*Таблица1[[#This Row],[сумма]]*Таблица1[[#This Row],[коэф]])))))))))))</f>
        <v>0</v>
      </c>
      <c r="AP38" s="730" t="b">
        <f>IF(AR38&lt;=3,(IF((G38="5/24"),((база!$M$6*2*Таблица1[[#This Row],[Столбец1]]*Таблица1[[#This Row],[коэф]])),
IF((G38="4/24"),((база!$M$5*2*Таблица1[[#This Row],[Столбец1]]*Таблица1[[#This Row],[коэф]])),
IF((G38="3/24"),((база!$M$4*2*Таблица1[[#This Row],[Столбец1]]*Таблица1[[#This Row],[коэф]])),
IF((G38="5/16"),((база!$L$6*2*Таблица1[[#This Row],[Столбец1]]*Таблица1[[#This Row],[коэф]])),
IF((G38="4/16"),((база!$L$5*2*Таблица1[[#This Row],[Столбец1]]*Таблица1[[#This Row],[коэф]])),
IF((G38="3/16"),((база!$L$4*2*Таблица1[[#This Row],[Столбец1]]*Таблица1[[#This Row],[коэф]])),
IF((G38="4/4"),((база!$I$5*2*Таблица1[[#This Row],[Столбец1]]*Таблица1[[#This Row],[коэф]])),
IF(OR(G38="2/4",G38="3/4"),((база!$I$4*2*Таблица1[[#This Row],[Столбец1]]*Таблица1[[#This Row],[коэф]])),
IF((G38="5/8"),((база!$J$6*2*Таблица1[[#This Row],[Столбец1]]*Таблица1[[#This Row],[коэф]])),
IF((G38="4/8"),((база!$J$5*2*Таблица1[[#This Row],[Столбец1]]*Таблица1[[#This Row],[коэф]])),
IF(OR(G38="3/8",G38="2/8"),((база!$J$4*2*Таблица1[[#This Row],[Столбец1]]*Таблица1[[#This Row],[коэф]])))))))))))))),
(IF((G38="5/24"),((база!$M$6*2*Таблица1[[#This Row],[Столбец1]]*Таблица1[[#This Row],[коэф]])),
IF(OR(G38="4/24",G38="3/24"),((база!$M$5*2*Таблица1[[#This Row],[Столбец1]]*Таблица1[[#This Row],[коэф]])),
IF((G38="5/16"),((база!$L$6*2*Таблица1[[#This Row],[Столбец1]]*Таблица1[[#This Row],[коэф]])),
IF(OR(G38="4/16",G38="3/16"),((база!$L$5*2*Таблица1[[#This Row],[Столбец1]]*Таблица1[[#This Row],[коэф]])),
IF(OR(G38="2/4",G38="3/4",G38="4/4"),((база!$I$5*2*Таблица1[[#This Row],[Столбец1]]*Таблица1[[#This Row],[коэф]])),
IF((G38="5/8"),((база!$J$6*2*Таблица1[[#This Row],[Столбец1]]*Таблица1[[#This Row],[коэф]])),
IF(OR(G38="4/8",G38="3/8",G38="2/8"),((база!$J$5*2*Таблица1[[#This Row],[Столбец1]]*Таблица1[[#This Row],[коэф]])))))))))))</f>
        <v>0</v>
      </c>
      <c r="AQ38" s="712" t="str">
        <f>IFERROR(INDEX(база!T:T, MATCH(F38,база!Q:Q,0)),"")</f>
        <v/>
      </c>
      <c r="AR38" s="208" t="str">
        <f>IFERROR(INDEX(база!D:D, MATCH(F38,база!B:B,0)),"")</f>
        <v/>
      </c>
      <c r="AS38" s="758" t="str">
        <f>IFERROR(INDEX(база!E:E, MATCH(F38,база!B:B,0)),"")</f>
        <v/>
      </c>
    </row>
    <row r="39" spans="1:45" s="46" customFormat="1" ht="15">
      <c r="A39" s="986" t="str">
        <f t="shared" si="1"/>
        <v>январь</v>
      </c>
      <c r="B39" t="n" s="986">
        <v>2024.0</v>
      </c>
      <c r="C39" t="s" s="986">
        <v>392</v>
      </c>
      <c r="D39" t="s" s="986">
        <v>364</v>
      </c>
      <c r="E39" t="s" s="986">
        <v>389</v>
      </c>
      <c r="F39" t="s" s="986">
        <v>329</v>
      </c>
      <c r="G39" t="s" s="986">
        <v>5</v>
      </c>
      <c r="H39" s="986"/>
      <c r="I39" s="986"/>
      <c r="J39" s="986"/>
      <c r="K39" s="986"/>
      <c r="L39" s="986"/>
      <c r="M39" t="n" s="986">
        <v>3.6</v>
      </c>
      <c r="N39" t="n" s="46">
        <v>6.2</v>
      </c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48"/>
      <c r="AJ39" s="48"/>
      <c r="AK39" s="48"/>
      <c r="AL39" s="51"/>
      <c r="AM39" s="212">
        <f>IF(AQ39=1,SUM(Q39:T39,W39:Z39,AC39:AF39,AI39:AL39),
IF(AQ39=2,SUM(P39,S39:V39,Y39:AB39,AE39:AH39,AK39:AL39),
IF(AQ39=3,SUM(P39:R39,U39:X39,AA39:AD39,AG39:AJ39),SUM(Таблица1[[#This Row],[1]:[31]])-Таблица1[[#This Row],[Столбец1]])))</f>
        <v>0</v>
      </c>
      <c r="AN39" s="778">
        <f t="array" ref="AN39">IF(AQ39=1,SUM(P39,U39:V39,AA39:AB39,AG39:AH39),
IF(AQ39=2,SUM(Q39:R39,W39:X39,AC39:AD39,AI39:AJ39),
IF(AQ39=3,SUM(S39:T39,Y39:Z39,AE39:AF39,AK39:AL39),
SUM(IFERROR(WEEKDAY($H$2:$AL$2,2)&gt;5,)*H39:AL39))))+Таблица1[[#This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9" s="292" t="b">
        <f>IF(AR39&lt;=3,(IF((G39="5/24"),((база!$M$6*Таблица1[[#This Row],[сумма]]*Таблица1[[#This Row],[коэф]])),
IF((G39="4/24"),((база!$M$5*Таблица1[[#This Row],[сумма]]*Таблица1[[#This Row],[коэф]])),
IF((G39="3/24"),((база!$M$4*Таблица1[[#This Row],[сумма]]*Таблица1[[#This Row],[коэф]])),
IF((G39="5/16"),((база!$L$6*Таблица1[[#This Row],[сумма]]*Таблица1[[#This Row],[коэф]])),
IF((G39="4/16"),((база!$L$5*Таблица1[[#This Row],[сумма]]*Таблица1[[#This Row],[коэф]])),
IF((G39="3/16"),((база!$L$4*Таблица1[[#This Row],[сумма]]*Таблица1[[#This Row],[коэф]])),
IF((G39="4/4"),((база!$I$5*Таблица1[[#This Row],[сумма]]*Таблица1[[#This Row],[коэф]])),
IF(OR(G39="2/4",G39="3/4"),((база!$I$4*Таблица1[[#This Row],[сумма]]*Таблица1[[#This Row],[коэф]])),
IF((G39="5/8"),((база!$J$6*Таблица1[[#This Row],[сумма]]*Таблица1[[#This Row],[коэф]])),
IF((G39="4/8"),((база!$J$5*Таблица1[[#This Row],[сумма]]*Таблица1[[#This Row],[коэф]])),
IF(OR(G39="3/8",G39="2/8"),((база!$J$4*Таблица1[[#This Row],[сумма]]*Таблица1[[#This Row],[коэф]])))))))))))))),
(IF((G39="5/24"),((база!$M$6*Таблица1[[#This Row],[сумма]]*Таблица1[[#This Row],[коэф]])),
IF(OR(G39="4/24",G39="3/24"),((база!$M$5*Таблица1[[#This Row],[сумма]]*Таблица1[[#This Row],[коэф]])),
IF((G39="5/16"),((база!$L$6*Таблица1[[#This Row],[сумма]]*Таблица1[[#This Row],[коэф]])),
IF(OR(G39="4/16",G39="3/16"),((база!$L$5*Таблица1[[#This Row],[сумма]]*Таблица1[[#This Row],[коэф]])),
IF(OR(G39="2/4",G39="3/4",G39="4/4"),((база!$I$5*Таблица1[[#This Row],[сумма]]*Таблица1[[#This Row],[коэф]])),
IF((G39="5/8"),((база!$J$6*Таблица1[[#This Row],[сумма]]*Таблица1[[#This Row],[коэф]])),
IF(OR(G39="4/8",G39="3/8",G39="2/8"),((база!$J$5*Таблица1[[#This Row],[сумма]]*Таблица1[[#This Row],[коэф]])))))))))))</f>
        <v>0</v>
      </c>
      <c r="AP39" s="730" t="b">
        <f>IF(AR39&lt;=3,(IF((G39="5/24"),((база!$M$6*2*Таблица1[[#This Row],[Столбец1]]*Таблица1[[#This Row],[коэф]])),
IF((G39="4/24"),((база!$M$5*2*Таблица1[[#This Row],[Столбец1]]*Таблица1[[#This Row],[коэф]])),
IF((G39="3/24"),((база!$M$4*2*Таблица1[[#This Row],[Столбец1]]*Таблица1[[#This Row],[коэф]])),
IF((G39="5/16"),((база!$L$6*2*Таблица1[[#This Row],[Столбец1]]*Таблица1[[#This Row],[коэф]])),
IF((G39="4/16"),((база!$L$5*2*Таблица1[[#This Row],[Столбец1]]*Таблица1[[#This Row],[коэф]])),
IF((G39="3/16"),((база!$L$4*2*Таблица1[[#This Row],[Столбец1]]*Таблица1[[#This Row],[коэф]])),
IF((G39="4/4"),((база!$I$5*2*Таблица1[[#This Row],[Столбец1]]*Таблица1[[#This Row],[коэф]])),
IF(OR(G39="2/4",G39="3/4"),((база!$I$4*2*Таблица1[[#This Row],[Столбец1]]*Таблица1[[#This Row],[коэф]])),
IF((G39="5/8"),((база!$J$6*2*Таблица1[[#This Row],[Столбец1]]*Таблица1[[#This Row],[коэф]])),
IF((G39="4/8"),((база!$J$5*2*Таблица1[[#This Row],[Столбец1]]*Таблица1[[#This Row],[коэф]])),
IF(OR(G39="3/8",G39="2/8"),((база!$J$4*2*Таблица1[[#This Row],[Столбец1]]*Таблица1[[#This Row],[коэф]])))))))))))))),
(IF((G39="5/24"),((база!$M$6*2*Таблица1[[#This Row],[Столбец1]]*Таблица1[[#This Row],[коэф]])),
IF(OR(G39="4/24",G39="3/24"),((база!$M$5*2*Таблица1[[#This Row],[Столбец1]]*Таблица1[[#This Row],[коэф]])),
IF((G39="5/16"),((база!$L$6*2*Таблица1[[#This Row],[Столбец1]]*Таблица1[[#This Row],[коэф]])),
IF(OR(G39="4/16",G39="3/16"),((база!$L$5*2*Таблица1[[#This Row],[Столбец1]]*Таблица1[[#This Row],[коэф]])),
IF(OR(G39="2/4",G39="3/4",G39="4/4"),((база!$I$5*2*Таблица1[[#This Row],[Столбец1]]*Таблица1[[#This Row],[коэф]])),
IF((G39="5/8"),((база!$J$6*2*Таблица1[[#This Row],[Столбец1]]*Таблица1[[#This Row],[коэф]])),
IF(OR(G39="4/8",G39="3/8",G39="2/8"),((база!$J$5*2*Таблица1[[#This Row],[Столбец1]]*Таблица1[[#This Row],[коэф]])))))))))))</f>
        <v>0</v>
      </c>
      <c r="AQ39" s="712" t="str">
        <f>IFERROR(INDEX(база!T:T, MATCH(F39,база!Q:Q,0)),"")</f>
        <v/>
      </c>
      <c r="AR39" s="208" t="str">
        <f>IFERROR(INDEX(база!D:D, MATCH(F39,база!B:B,0)),"")</f>
        <v/>
      </c>
      <c r="AS39" s="758" t="str">
        <f>IFERROR(INDEX(база!E:E, MATCH(F39,база!B:B,0)),"")</f>
        <v/>
      </c>
    </row>
    <row r="40" spans="1:45" s="46" customFormat="1" ht="15">
      <c r="A40" s="988" t="str">
        <f t="shared" si="1"/>
        <v>январь</v>
      </c>
      <c r="B40" t="n" s="988">
        <v>2024.0</v>
      </c>
      <c r="C40" t="s" s="988">
        <v>390</v>
      </c>
      <c r="D40" t="s" s="988">
        <v>391</v>
      </c>
      <c r="E40" t="s" s="988">
        <v>46</v>
      </c>
      <c r="F40" t="s" s="988">
        <v>253</v>
      </c>
      <c r="G40" t="s" s="988">
        <v>6</v>
      </c>
      <c r="H40" s="988"/>
      <c r="I40" s="988"/>
      <c r="J40" s="988"/>
      <c r="K40" s="988"/>
      <c r="L40" s="988"/>
      <c r="M40" t="n" s="988">
        <v>2.2</v>
      </c>
      <c r="N40" s="49"/>
      <c r="O40" s="48"/>
      <c r="P40" s="49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48"/>
      <c r="AJ40" s="48"/>
      <c r="AK40" s="48"/>
      <c r="AL40" s="51"/>
      <c r="AM40" s="212">
        <f>IF(AQ40=1,SUM(Q40:T40,W40:Z40,AC40:AF40,AI40:AL40),
IF(AQ40=2,SUM(P40,S40:V40,Y40:AB40,AE40:AH40,AK40:AL40),
IF(AQ40=3,SUM(P40:R40,U40:X40,AA40:AD40,AG40:AJ40),SUM(Таблица1[[#This Row],[1]:[31]])-Таблица1[[#This Row],[Столбец1]])))</f>
        <v>0</v>
      </c>
      <c r="AN40" s="778">
        <f t="array" ref="AN40">IF(AQ40=1,SUM(P40,U40:V40,AA40:AB40,AG40:AH40),
IF(AQ40=2,SUM(Q40:R40,W40:X40,AC40:AD40,AI40:AJ40),
IF(AQ40=3,SUM(S40:T40,Y40:Z40,AE40:AF40,AK40:AL40),
SUM(IFERROR(WEEKDAY($H$2:$AL$2,2)&gt;5,)*H40:AL40))))+Таблица1[[#This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0" s="292" t="b">
        <f>IF(AR40&lt;=3,(IF((G40="5/24"),((база!$M$6*Таблица1[[#This Row],[сумма]]*Таблица1[[#This Row],[коэф]])),
IF((G40="4/24"),((база!$M$5*Таблица1[[#This Row],[сумма]]*Таблица1[[#This Row],[коэф]])),
IF((G40="3/24"),((база!$M$4*Таблица1[[#This Row],[сумма]]*Таблица1[[#This Row],[коэф]])),
IF((G40="5/16"),((база!$L$6*Таблица1[[#This Row],[сумма]]*Таблица1[[#This Row],[коэф]])),
IF((G40="4/16"),((база!$L$5*Таблица1[[#This Row],[сумма]]*Таблица1[[#This Row],[коэф]])),
IF((G40="3/16"),((база!$L$4*Таблица1[[#This Row],[сумма]]*Таблица1[[#This Row],[коэф]])),
IF((G40="4/4"),((база!$I$5*Таблица1[[#This Row],[сумма]]*Таблица1[[#This Row],[коэф]])),
IF(OR(G40="2/4",G40="3/4"),((база!$I$4*Таблица1[[#This Row],[сумма]]*Таблица1[[#This Row],[коэф]])),
IF((G40="5/8"),((база!$J$6*Таблица1[[#This Row],[сумма]]*Таблица1[[#This Row],[коэф]])),
IF((G40="4/8"),((база!$J$5*Таблица1[[#This Row],[сумма]]*Таблица1[[#This Row],[коэф]])),
IF(OR(G40="3/8",G40="2/8"),((база!$J$4*Таблица1[[#This Row],[сумма]]*Таблица1[[#This Row],[коэф]])))))))))))))),
(IF((G40="5/24"),((база!$M$6*Таблица1[[#This Row],[сумма]]*Таблица1[[#This Row],[коэф]])),
IF(OR(G40="4/24",G40="3/24"),((база!$M$5*Таблица1[[#This Row],[сумма]]*Таблица1[[#This Row],[коэф]])),
IF((G40="5/16"),((база!$L$6*Таблица1[[#This Row],[сумма]]*Таблица1[[#This Row],[коэф]])),
IF(OR(G40="4/16",G40="3/16"),((база!$L$5*Таблица1[[#This Row],[сумма]]*Таблица1[[#This Row],[коэф]])),
IF(OR(G40="2/4",G40="3/4",G40="4/4"),((база!$I$5*Таблица1[[#This Row],[сумма]]*Таблица1[[#This Row],[коэф]])),
IF((G40="5/8"),((база!$J$6*Таблица1[[#This Row],[сумма]]*Таблица1[[#This Row],[коэф]])),
IF(OR(G40="4/8",G40="3/8",G40="2/8"),((база!$J$5*Таблица1[[#This Row],[сумма]]*Таблица1[[#This Row],[коэф]])))))))))))</f>
        <v>0</v>
      </c>
      <c r="AP40" s="730" t="b">
        <f>IF(AR40&lt;=3,(IF((G40="5/24"),((база!$M$6*2*Таблица1[[#This Row],[Столбец1]]*Таблица1[[#This Row],[коэф]])),
IF((G40="4/24"),((база!$M$5*2*Таблица1[[#This Row],[Столбец1]]*Таблица1[[#This Row],[коэф]])),
IF((G40="3/24"),((база!$M$4*2*Таблица1[[#This Row],[Столбец1]]*Таблица1[[#This Row],[коэф]])),
IF((G40="5/16"),((база!$L$6*2*Таблица1[[#This Row],[Столбец1]]*Таблица1[[#This Row],[коэф]])),
IF((G40="4/16"),((база!$L$5*2*Таблица1[[#This Row],[Столбец1]]*Таблица1[[#This Row],[коэф]])),
IF((G40="3/16"),((база!$L$4*2*Таблица1[[#This Row],[Столбец1]]*Таблица1[[#This Row],[коэф]])),
IF((G40="4/4"),((база!$I$5*2*Таблица1[[#This Row],[Столбец1]]*Таблица1[[#This Row],[коэф]])),
IF(OR(G40="2/4",G40="3/4"),((база!$I$4*2*Таблица1[[#This Row],[Столбец1]]*Таблица1[[#This Row],[коэф]])),
IF((G40="5/8"),((база!$J$6*2*Таблица1[[#This Row],[Столбец1]]*Таблица1[[#This Row],[коэф]])),
IF((G40="4/8"),((база!$J$5*2*Таблица1[[#This Row],[Столбец1]]*Таблица1[[#This Row],[коэф]])),
IF(OR(G40="3/8",G40="2/8"),((база!$J$4*2*Таблица1[[#This Row],[Столбец1]]*Таблица1[[#This Row],[коэф]])))))))))))))),
(IF((G40="5/24"),((база!$M$6*2*Таблица1[[#This Row],[Столбец1]]*Таблица1[[#This Row],[коэф]])),
IF(OR(G40="4/24",G40="3/24"),((база!$M$5*2*Таблица1[[#This Row],[Столбец1]]*Таблица1[[#This Row],[коэф]])),
IF((G40="5/16"),((база!$L$6*2*Таблица1[[#This Row],[Столбец1]]*Таблица1[[#This Row],[коэф]])),
IF(OR(G40="4/16",G40="3/16"),((база!$L$5*2*Таблица1[[#This Row],[Столбец1]]*Таблица1[[#This Row],[коэф]])),
IF(OR(G40="2/4",G40="3/4",G40="4/4"),((база!$I$5*2*Таблица1[[#This Row],[Столбец1]]*Таблица1[[#This Row],[коэф]])),
IF((G40="5/8"),((база!$J$6*2*Таблица1[[#This Row],[Столбец1]]*Таблица1[[#This Row],[коэф]])),
IF(OR(G40="4/8",G40="3/8",G40="2/8"),((база!$J$5*2*Таблица1[[#This Row],[Столбец1]]*Таблица1[[#This Row],[коэф]])))))))))))</f>
        <v>0</v>
      </c>
      <c r="AQ40" s="712" t="str">
        <f>IFERROR(INDEX(база!T:T, MATCH(F40,база!Q:Q,0)),"")</f>
        <v/>
      </c>
      <c r="AR40" s="208" t="str">
        <f>IFERROR(INDEX(база!D:D, MATCH(F40,база!B:B,0)),"")</f>
        <v/>
      </c>
      <c r="AS40" s="758" t="str">
        <f>IFERROR(INDEX(база!E:E, MATCH(F40,база!B:B,0)),"")</f>
        <v/>
      </c>
    </row>
    <row r="41" spans="1:45" ht="15">
      <c r="A41" s="993" t="str">
        <f t="shared" si="1"/>
        <v>январь</v>
      </c>
      <c r="B41" t="n" s="993">
        <v>2024.0</v>
      </c>
      <c r="C41" t="s" s="993">
        <v>392</v>
      </c>
      <c r="D41" t="s" s="993">
        <v>364</v>
      </c>
      <c r="E41" t="s" s="993">
        <v>46</v>
      </c>
      <c r="F41" t="s" s="993">
        <v>322</v>
      </c>
      <c r="G41" t="s" s="993">
        <v>4</v>
      </c>
      <c r="H41" s="993"/>
      <c r="I41" s="993"/>
      <c r="J41" s="993"/>
      <c r="K41" s="993"/>
      <c r="L41" s="993"/>
      <c r="M41" t="n" s="993">
        <v>2.2</v>
      </c>
      <c r="N41" t="n" s="46">
        <v>2.2</v>
      </c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48"/>
      <c r="AI41" s="48"/>
      <c r="AJ41" s="48"/>
      <c r="AK41" s="48"/>
      <c r="AL41" s="48"/>
      <c r="AM41" s="212">
        <f>IF(AQ41=1,SUM(Q41:T41,W41:Z41,AC41:AF41,AI41:AL41),
IF(AQ41=2,SUM(P41,S41:V41,Y41:AB41,AE41:AH41,AK41:AL41),
IF(AQ41=3,SUM(P41:R41,U41:X41,AA41:AD41,AG41:AJ41),SUM(Таблица1[[#This Row],[1]:[31]])-Таблица1[[#This Row],[Столбец1]])))</f>
        <v>0</v>
      </c>
      <c r="AN41" s="778">
        <f t="array" ref="AN41">IF(AQ41=1,SUM(P41,U41:V41,AA41:AB41,AG41:AH41),
IF(AQ41=2,SUM(Q41:R41,W41:X41,AC41:AD41,AI41:AJ41),
IF(AQ41=3,SUM(S41:T41,Y41:Z41,AE41:AF41,AK41:AL41),
SUM(IFERROR(WEEKDAY($H$2:$AL$2,2)&gt;5,)*H41:AL41))))+Таблица1[[#This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1" s="292" t="b">
        <f>IF(AR41&lt;=3,(IF((G41="5/24"),((база!$M$6*Таблица1[[#This Row],[сумма]]*Таблица1[[#This Row],[коэф]])),
IF((G41="4/24"),((база!$M$5*Таблица1[[#This Row],[сумма]]*Таблица1[[#This Row],[коэф]])),
IF((G41="3/24"),((база!$M$4*Таблица1[[#This Row],[сумма]]*Таблица1[[#This Row],[коэф]])),
IF((G41="5/16"),((база!$L$6*Таблица1[[#This Row],[сумма]]*Таблица1[[#This Row],[коэф]])),
IF((G41="4/16"),((база!$L$5*Таблица1[[#This Row],[сумма]]*Таблица1[[#This Row],[коэф]])),
IF((G41="3/16"),((база!$L$4*Таблица1[[#This Row],[сумма]]*Таблица1[[#This Row],[коэф]])),
IF((G41="4/4"),((база!$I$5*Таблица1[[#This Row],[сумма]]*Таблица1[[#This Row],[коэф]])),
IF(OR(G41="2/4",G41="3/4"),((база!$I$4*Таблица1[[#This Row],[сумма]]*Таблица1[[#This Row],[коэф]])),
IF((G41="5/8"),((база!$J$6*Таблица1[[#This Row],[сумма]]*Таблица1[[#This Row],[коэф]])),
IF((G41="4/8"),((база!$J$5*Таблица1[[#This Row],[сумма]]*Таблица1[[#This Row],[коэф]])),
IF(OR(G41="3/8",G41="2/8"),((база!$J$4*Таблица1[[#This Row],[сумма]]*Таблица1[[#This Row],[коэф]])))))))))))))),
(IF((G41="5/24"),((база!$M$6*Таблица1[[#This Row],[сумма]]*Таблица1[[#This Row],[коэф]])),
IF(OR(G41="4/24",G41="3/24"),((база!$M$5*Таблица1[[#This Row],[сумма]]*Таблица1[[#This Row],[коэф]])),
IF((G41="5/16"),((база!$L$6*Таблица1[[#This Row],[сумма]]*Таблица1[[#This Row],[коэф]])),
IF(OR(G41="4/16",G41="3/16"),((база!$L$5*Таблица1[[#This Row],[сумма]]*Таблица1[[#This Row],[коэф]])),
IF(OR(G41="2/4",G41="3/4",G41="4/4"),((база!$I$5*Таблица1[[#This Row],[сумма]]*Таблица1[[#This Row],[коэф]])),
IF((G41="5/8"),((база!$J$6*Таблица1[[#This Row],[сумма]]*Таблица1[[#This Row],[коэф]])),
IF(OR(G41="4/8",G41="3/8",G41="2/8"),((база!$J$5*Таблица1[[#This Row],[сумма]]*Таблица1[[#This Row],[коэф]])))))))))))</f>
        <v>0</v>
      </c>
      <c r="AP41" s="730" t="b">
        <f>IF(AR41&lt;=3,(IF((G41="5/24"),((база!$M$6*2*Таблица1[[#This Row],[Столбец1]]*Таблица1[[#This Row],[коэф]])),
IF((G41="4/24"),((база!$M$5*2*Таблица1[[#This Row],[Столбец1]]*Таблица1[[#This Row],[коэф]])),
IF((G41="3/24"),((база!$M$4*2*Таблица1[[#This Row],[Столбец1]]*Таблица1[[#This Row],[коэф]])),
IF((G41="5/16"),((база!$L$6*2*Таблица1[[#This Row],[Столбец1]]*Таблица1[[#This Row],[коэф]])),
IF((G41="4/16"),((база!$L$5*2*Таблица1[[#This Row],[Столбец1]]*Таблица1[[#This Row],[коэф]])),
IF((G41="3/16"),((база!$L$4*2*Таблица1[[#This Row],[Столбец1]]*Таблица1[[#This Row],[коэф]])),
IF((G41="4/4"),((база!$I$5*2*Таблица1[[#This Row],[Столбец1]]*Таблица1[[#This Row],[коэф]])),
IF(OR(G41="2/4",G41="3/4"),((база!$I$4*2*Таблица1[[#This Row],[Столбец1]]*Таблица1[[#This Row],[коэф]])),
IF((G41="5/8"),((база!$J$6*2*Таблица1[[#This Row],[Столбец1]]*Таблица1[[#This Row],[коэф]])),
IF((G41="4/8"),((база!$J$5*2*Таблица1[[#This Row],[Столбец1]]*Таблица1[[#This Row],[коэф]])),
IF(OR(G41="3/8",G41="2/8"),((база!$J$4*2*Таблица1[[#This Row],[Столбец1]]*Таблица1[[#This Row],[коэф]])))))))))))))),
(IF((G41="5/24"),((база!$M$6*2*Таблица1[[#This Row],[Столбец1]]*Таблица1[[#This Row],[коэф]])),
IF(OR(G41="4/24",G41="3/24"),((база!$M$5*2*Таблица1[[#This Row],[Столбец1]]*Таблица1[[#This Row],[коэф]])),
IF((G41="5/16"),((база!$L$6*2*Таблица1[[#This Row],[Столбец1]]*Таблица1[[#This Row],[коэф]])),
IF(OR(G41="4/16",G41="3/16"),((база!$L$5*2*Таблица1[[#This Row],[Столбец1]]*Таблица1[[#This Row],[коэф]])),
IF(OR(G41="2/4",G41="3/4",G41="4/4"),((база!$I$5*2*Таблица1[[#This Row],[Столбец1]]*Таблица1[[#This Row],[коэф]])),
IF((G41="5/8"),((база!$J$6*2*Таблица1[[#This Row],[Столбец1]]*Таблица1[[#This Row],[коэф]])),
IF(OR(G41="4/8",G41="3/8",G41="2/8"),((база!$J$5*2*Таблица1[[#This Row],[Столбец1]]*Таблица1[[#This Row],[коэф]])))))))))))</f>
        <v>0</v>
      </c>
      <c r="AQ41" s="712" t="str">
        <f>IFERROR(INDEX(база!T:T, MATCH(F41,база!Q:Q,0)),"")</f>
        <v/>
      </c>
      <c r="AR41" s="208" t="str">
        <f>IFERROR(INDEX(база!D:D, MATCH(F41,база!B:B,0)),"")</f>
        <v/>
      </c>
      <c r="AS41" s="758" t="str">
        <f>IFERROR(INDEX(база!E:E, MATCH(F41,база!B:B,0)),"")</f>
        <v/>
      </c>
    </row>
    <row r="42" spans="1:45" ht="15">
      <c r="A42" s="994" t="str">
        <f t="shared" si="1"/>
        <v>январь</v>
      </c>
      <c r="B42" t="n" s="994">
        <v>2024.0</v>
      </c>
      <c r="C42" t="s" s="994">
        <v>392</v>
      </c>
      <c r="D42" t="s" s="994">
        <v>364</v>
      </c>
      <c r="E42" t="s" s="994">
        <v>46</v>
      </c>
      <c r="F42" t="s" s="994">
        <v>276</v>
      </c>
      <c r="G42" t="s" s="994">
        <v>4</v>
      </c>
      <c r="H42" s="994"/>
      <c r="I42" s="994"/>
      <c r="J42" s="994"/>
      <c r="K42" s="994"/>
      <c r="L42" s="994"/>
      <c r="M42" t="n" s="994">
        <v>7.2</v>
      </c>
      <c r="N42" t="n" s="46">
        <v>7.2</v>
      </c>
      <c r="O42" t="n" s="46">
        <v>7.0</v>
      </c>
      <c r="P42" s="49"/>
      <c r="Q42" s="49"/>
      <c r="R42" t="n" s="46">
        <v>3.0</v>
      </c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  <c r="AJ42" s="48"/>
      <c r="AK42" s="48"/>
      <c r="AL42" s="51"/>
      <c r="AM42" s="212">
        <f>IF(AQ42=1,SUM(Q42:T42,W42:Z42,AC42:AF42,AI42:AL42),
IF(AQ42=2,SUM(P42,S42:V42,Y42:AB42,AE42:AH42,AK42:AL42),
IF(AQ42=3,SUM(P42:R42,U42:X42,AA42:AD42,AG42:AJ42),SUM(Таблица1[[#This Row],[1]:[31]])-Таблица1[[#This Row],[Столбец1]])))</f>
        <v>0</v>
      </c>
      <c r="AN42" s="778">
        <f t="array" ref="AN42">IF(AQ42=1,SUM(P42,U42:V42,AA42:AB42,AG42:AH42),
IF(AQ42=2,SUM(Q42:R42,W42:X42,AC42:AD42,AI42:AJ42),
IF(AQ42=3,SUM(S42:T42,Y42:Z42,AE42:AF42,AK42:AL42),
SUM(IFERROR(WEEKDAY($H$2:$AL$2,2)&gt;5,)*H42:AL42))))+Таблица1[[#This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2" s="292" t="b">
        <f>IF(AR42&lt;=3,(IF((G42="5/24"),((база!$M$6*Таблица1[[#This Row],[сумма]]*Таблица1[[#This Row],[коэф]])),
IF((G42="4/24"),((база!$M$5*Таблица1[[#This Row],[сумма]]*Таблица1[[#This Row],[коэф]])),
IF((G42="3/24"),((база!$M$4*Таблица1[[#This Row],[сумма]]*Таблица1[[#This Row],[коэф]])),
IF((G42="5/16"),((база!$L$6*Таблица1[[#This Row],[сумма]]*Таблица1[[#This Row],[коэф]])),
IF((G42="4/16"),((база!$L$5*Таблица1[[#This Row],[сумма]]*Таблица1[[#This Row],[коэф]])),
IF((G42="3/16"),((база!$L$4*Таблица1[[#This Row],[сумма]]*Таблица1[[#This Row],[коэф]])),
IF((G42="4/4"),((база!$I$5*Таблица1[[#This Row],[сумма]]*Таблица1[[#This Row],[коэф]])),
IF(OR(G42="2/4",G42="3/4"),((база!$I$4*Таблица1[[#This Row],[сумма]]*Таблица1[[#This Row],[коэф]])),
IF((G42="5/8"),((база!$J$6*Таблица1[[#This Row],[сумма]]*Таблица1[[#This Row],[коэф]])),
IF((G42="4/8"),((база!$J$5*Таблица1[[#This Row],[сумма]]*Таблица1[[#This Row],[коэф]])),
IF(OR(G42="3/8",G42="2/8"),((база!$J$4*Таблица1[[#This Row],[сумма]]*Таблица1[[#This Row],[коэф]])))))))))))))),
(IF((G42="5/24"),((база!$M$6*Таблица1[[#This Row],[сумма]]*Таблица1[[#This Row],[коэф]])),
IF(OR(G42="4/24",G42="3/24"),((база!$M$5*Таблица1[[#This Row],[сумма]]*Таблица1[[#This Row],[коэф]])),
IF((G42="5/16"),((база!$L$6*Таблица1[[#This Row],[сумма]]*Таблица1[[#This Row],[коэф]])),
IF(OR(G42="4/16",G42="3/16"),((база!$L$5*Таблица1[[#This Row],[сумма]]*Таблица1[[#This Row],[коэф]])),
IF(OR(G42="2/4",G42="3/4",G42="4/4"),((база!$I$5*Таблица1[[#This Row],[сумма]]*Таблица1[[#This Row],[коэф]])),
IF((G42="5/8"),((база!$J$6*Таблица1[[#This Row],[сумма]]*Таблица1[[#This Row],[коэф]])),
IF(OR(G42="4/8",G42="3/8",G42="2/8"),((база!$J$5*Таблица1[[#This Row],[сумма]]*Таблица1[[#This Row],[коэф]])))))))))))</f>
        <v>0</v>
      </c>
      <c r="AP42" s="730" t="b">
        <f>IF(AR42&lt;=3,(IF((G42="5/24"),((база!$M$6*2*Таблица1[[#This Row],[Столбец1]]*Таблица1[[#This Row],[коэф]])),
IF((G42="4/24"),((база!$M$5*2*Таблица1[[#This Row],[Столбец1]]*Таблица1[[#This Row],[коэф]])),
IF((G42="3/24"),((база!$M$4*2*Таблица1[[#This Row],[Столбец1]]*Таблица1[[#This Row],[коэф]])),
IF((G42="5/16"),((база!$L$6*2*Таблица1[[#This Row],[Столбец1]]*Таблица1[[#This Row],[коэф]])),
IF((G42="4/16"),((база!$L$5*2*Таблица1[[#This Row],[Столбец1]]*Таблица1[[#This Row],[коэф]])),
IF((G42="3/16"),((база!$L$4*2*Таблица1[[#This Row],[Столбец1]]*Таблица1[[#This Row],[коэф]])),
IF((G42="4/4"),((база!$I$5*2*Таблица1[[#This Row],[Столбец1]]*Таблица1[[#This Row],[коэф]])),
IF(OR(G42="2/4",G42="3/4"),((база!$I$4*2*Таблица1[[#This Row],[Столбец1]]*Таблица1[[#This Row],[коэф]])),
IF((G42="5/8"),((база!$J$6*2*Таблица1[[#This Row],[Столбец1]]*Таблица1[[#This Row],[коэф]])),
IF((G42="4/8"),((база!$J$5*2*Таблица1[[#This Row],[Столбец1]]*Таблица1[[#This Row],[коэф]])),
IF(OR(G42="3/8",G42="2/8"),((база!$J$4*2*Таблица1[[#This Row],[Столбец1]]*Таблица1[[#This Row],[коэф]])))))))))))))),
(IF((G42="5/24"),((база!$M$6*2*Таблица1[[#This Row],[Столбец1]]*Таблица1[[#This Row],[коэф]])),
IF(OR(G42="4/24",G42="3/24"),((база!$M$5*2*Таблица1[[#This Row],[Столбец1]]*Таблица1[[#This Row],[коэф]])),
IF((G42="5/16"),((база!$L$6*2*Таблица1[[#This Row],[Столбец1]]*Таблица1[[#This Row],[коэф]])),
IF(OR(G42="4/16",G42="3/16"),((база!$L$5*2*Таблица1[[#This Row],[Столбец1]]*Таблица1[[#This Row],[коэф]])),
IF(OR(G42="2/4",G42="3/4",G42="4/4"),((база!$I$5*2*Таблица1[[#This Row],[Столбец1]]*Таблица1[[#This Row],[коэф]])),
IF((G42="5/8"),((база!$J$6*2*Таблица1[[#This Row],[Столбец1]]*Таблица1[[#This Row],[коэф]])),
IF(OR(G42="4/8",G42="3/8",G42="2/8"),((база!$J$5*2*Таблица1[[#This Row],[Столбец1]]*Таблица1[[#This Row],[коэф]])))))))))))</f>
        <v>0</v>
      </c>
      <c r="AQ42" s="712" t="str">
        <f>IFERROR(INDEX(база!T:T, MATCH(F42,база!Q:Q,0)),"")</f>
        <v/>
      </c>
      <c r="AR42" s="208" t="str">
        <f>IFERROR(INDEX(база!D:D, MATCH(F42,база!B:B,0)),"")</f>
        <v/>
      </c>
      <c r="AS42" s="758" t="str">
        <f>IFERROR(INDEX(база!E:E, MATCH(F42,база!B:B,0)),"")</f>
        <v/>
      </c>
    </row>
    <row r="43" spans="1:45" ht="15">
      <c r="A43" s="996" t="str">
        <f t="shared" si="1"/>
        <v>январь</v>
      </c>
      <c r="B43" t="n" s="996">
        <v>2024.0</v>
      </c>
      <c r="C43" t="s" s="996">
        <v>388</v>
      </c>
      <c r="D43" t="s" s="996">
        <v>381</v>
      </c>
      <c r="E43" t="s" s="996">
        <v>46</v>
      </c>
      <c r="F43" t="s" s="996">
        <v>347</v>
      </c>
      <c r="G43" t="s" s="996">
        <v>6</v>
      </c>
      <c r="H43" s="996"/>
      <c r="I43" s="996"/>
      <c r="J43" s="996"/>
      <c r="K43" s="996"/>
      <c r="L43" s="996"/>
      <c r="M43" t="n" s="996">
        <v>3.2</v>
      </c>
      <c r="N43" s="49"/>
      <c r="O43" s="48"/>
      <c r="P43" s="48"/>
      <c r="Q43" t="n" s="46">
        <v>2.2</v>
      </c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  <c r="AJ43" s="48"/>
      <c r="AK43" s="48"/>
      <c r="AL43" s="51"/>
      <c r="AM43" s="212">
        <f>IF(AQ43=1,SUM(Q43:T43,W43:Z43,AC43:AF43,AI43:AL43),
IF(AQ43=2,SUM(P43,S43:V43,Y43:AB43,AE43:AH43,AK43:AL43),
IF(AQ43=3,SUM(P43:R43,U43:X43,AA43:AD43,AG43:AJ43),SUM(Таблица1[[#This Row],[1]:[31]])-Таблица1[[#This Row],[Столбец1]])))</f>
        <v>0</v>
      </c>
      <c r="AN43" s="778">
        <f t="array" ref="AN43">IF(AQ43=1,SUM(P43,U43:V43,AA43:AB43,AG43:AH43),
IF(AQ43=2,SUM(Q43:R43,W43:X43,AC43:AD43,AI43:AJ43),
IF(AQ43=3,SUM(S43:T43,Y43:Z43,AE43:AF43,AK43:AL43),
SUM(IFERROR(WEEKDAY($H$2:$AL$2,2)&gt;5,)*H43:AL43))))+Таблица1[[#This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3" s="292" t="b">
        <f>IF(AR43&lt;=3,(IF((G43="5/24"),((база!$M$6*Таблица1[[#This Row],[сумма]]*Таблица1[[#This Row],[коэф]])),
IF((G43="4/24"),((база!$M$5*Таблица1[[#This Row],[сумма]]*Таблица1[[#This Row],[коэф]])),
IF((G43="3/24"),((база!$M$4*Таблица1[[#This Row],[сумма]]*Таблица1[[#This Row],[коэф]])),
IF((G43="5/16"),((база!$L$6*Таблица1[[#This Row],[сумма]]*Таблица1[[#This Row],[коэф]])),
IF((G43="4/16"),((база!$L$5*Таблица1[[#This Row],[сумма]]*Таблица1[[#This Row],[коэф]])),
IF((G43="3/16"),((база!$L$4*Таблица1[[#This Row],[сумма]]*Таблица1[[#This Row],[коэф]])),
IF((G43="4/4"),((база!$I$5*Таблица1[[#This Row],[сумма]]*Таблица1[[#This Row],[коэф]])),
IF(OR(G43="2/4",G43="3/4"),((база!$I$4*Таблица1[[#This Row],[сумма]]*Таблица1[[#This Row],[коэф]])),
IF((G43="5/8"),((база!$J$6*Таблица1[[#This Row],[сумма]]*Таблица1[[#This Row],[коэф]])),
IF((G43="4/8"),((база!$J$5*Таблица1[[#This Row],[сумма]]*Таблица1[[#This Row],[коэф]])),
IF(OR(G43="3/8",G43="2/8"),((база!$J$4*Таблица1[[#This Row],[сумма]]*Таблица1[[#This Row],[коэф]])))))))))))))),
(IF((G43="5/24"),((база!$M$6*Таблица1[[#This Row],[сумма]]*Таблица1[[#This Row],[коэф]])),
IF(OR(G43="4/24",G43="3/24"),((база!$M$5*Таблица1[[#This Row],[сумма]]*Таблица1[[#This Row],[коэф]])),
IF((G43="5/16"),((база!$L$6*Таблица1[[#This Row],[сумма]]*Таблица1[[#This Row],[коэф]])),
IF(OR(G43="4/16",G43="3/16"),((база!$L$5*Таблица1[[#This Row],[сумма]]*Таблица1[[#This Row],[коэф]])),
IF(OR(G43="2/4",G43="3/4",G43="4/4"),((база!$I$5*Таблица1[[#This Row],[сумма]]*Таблица1[[#This Row],[коэф]])),
IF((G43="5/8"),((база!$J$6*Таблица1[[#This Row],[сумма]]*Таблица1[[#This Row],[коэф]])),
IF(OR(G43="4/8",G43="3/8",G43="2/8"),((база!$J$5*Таблица1[[#This Row],[сумма]]*Таблица1[[#This Row],[коэф]])))))))))))</f>
        <v>0</v>
      </c>
      <c r="AP43" s="730" t="b">
        <f>IF(AR43&lt;=3,(IF((G43="5/24"),((база!$M$6*2*Таблица1[[#This Row],[Столбец1]]*Таблица1[[#This Row],[коэф]])),
IF((G43="4/24"),((база!$M$5*2*Таблица1[[#This Row],[Столбец1]]*Таблица1[[#This Row],[коэф]])),
IF((G43="3/24"),((база!$M$4*2*Таблица1[[#This Row],[Столбец1]]*Таблица1[[#This Row],[коэф]])),
IF((G43="5/16"),((база!$L$6*2*Таблица1[[#This Row],[Столбец1]]*Таблица1[[#This Row],[коэф]])),
IF((G43="4/16"),((база!$L$5*2*Таблица1[[#This Row],[Столбец1]]*Таблица1[[#This Row],[коэф]])),
IF((G43="3/16"),((база!$L$4*2*Таблица1[[#This Row],[Столбец1]]*Таблица1[[#This Row],[коэф]])),
IF((G43="4/4"),((база!$I$5*2*Таблица1[[#This Row],[Столбец1]]*Таблица1[[#This Row],[коэф]])),
IF(OR(G43="2/4",G43="3/4"),((база!$I$4*2*Таблица1[[#This Row],[Столбец1]]*Таблица1[[#This Row],[коэф]])),
IF((G43="5/8"),((база!$J$6*2*Таблица1[[#This Row],[Столбец1]]*Таблица1[[#This Row],[коэф]])),
IF((G43="4/8"),((база!$J$5*2*Таблица1[[#This Row],[Столбец1]]*Таблица1[[#This Row],[коэф]])),
IF(OR(G43="3/8",G43="2/8"),((база!$J$4*2*Таблица1[[#This Row],[Столбец1]]*Таблица1[[#This Row],[коэф]])))))))))))))),
(IF((G43="5/24"),((база!$M$6*2*Таблица1[[#This Row],[Столбец1]]*Таблица1[[#This Row],[коэф]])),
IF(OR(G43="4/24",G43="3/24"),((база!$M$5*2*Таблица1[[#This Row],[Столбец1]]*Таблица1[[#This Row],[коэф]])),
IF((G43="5/16"),((база!$L$6*2*Таблица1[[#This Row],[Столбец1]]*Таблица1[[#This Row],[коэф]])),
IF(OR(G43="4/16",G43="3/16"),((база!$L$5*2*Таблица1[[#This Row],[Столбец1]]*Таблица1[[#This Row],[коэф]])),
IF(OR(G43="2/4",G43="3/4",G43="4/4"),((база!$I$5*2*Таблица1[[#This Row],[Столбец1]]*Таблица1[[#This Row],[коэф]])),
IF((G43="5/8"),((база!$J$6*2*Таблица1[[#This Row],[Столбец1]]*Таблица1[[#This Row],[коэф]])),
IF(OR(G43="4/8",G43="3/8",G43="2/8"),((база!$J$5*2*Таблица1[[#This Row],[Столбец1]]*Таблица1[[#This Row],[коэф]])))))))))))</f>
        <v>0</v>
      </c>
      <c r="AQ43" s="712" t="str">
        <f>IFERROR(INDEX(база!T:T, MATCH(F43,база!Q:Q,0)),"")</f>
        <v/>
      </c>
      <c r="AR43" s="208" t="str">
        <f>IFERROR(INDEX(база!D:D, MATCH(F43,база!B:B,0)),"")</f>
        <v/>
      </c>
      <c r="AS43" s="758" t="str">
        <f>IFERROR(INDEX(база!E:E, MATCH(F43,база!B:B,0)),"")</f>
        <v/>
      </c>
    </row>
    <row r="44" spans="1:45" ht="15">
      <c r="A44" s="998" t="str">
        <f t="shared" si="1"/>
        <v>январь</v>
      </c>
      <c r="B44" t="n" s="998">
        <v>2024.0</v>
      </c>
      <c r="C44" t="s" s="998">
        <v>387</v>
      </c>
      <c r="D44" t="s" s="998">
        <v>364</v>
      </c>
      <c r="E44" t="s" s="998">
        <v>46</v>
      </c>
      <c r="F44" t="s" s="998">
        <v>286</v>
      </c>
      <c r="G44" t="s" s="998">
        <v>71</v>
      </c>
      <c r="H44" s="998"/>
      <c r="I44" s="998"/>
      <c r="J44" s="998"/>
      <c r="K44" s="998"/>
      <c r="L44" s="998"/>
      <c r="M44" t="n" s="998">
        <v>7.2</v>
      </c>
      <c r="N44" t="n" s="46">
        <v>7.2</v>
      </c>
      <c r="O44" s="48"/>
      <c r="P44" s="48"/>
      <c r="Q44" s="48"/>
      <c r="R44" s="48"/>
      <c r="S44" s="48"/>
      <c r="T44" t="n" s="46">
        <v>7.2</v>
      </c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  <c r="AJ44" s="48"/>
      <c r="AK44" s="48"/>
      <c r="AL44" s="51"/>
      <c r="AM44" s="212">
        <f>IF(AQ44=1,SUM(Q44:T44,W44:Z44,AC44:AF44,AI44:AL44),
IF(AQ44=2,SUM(P44,S44:V44,Y44:AB44,AE44:AH44,AK44:AL44),
IF(AQ44=3,SUM(P44:R44,U44:X44,AA44:AD44,AG44:AJ44),SUM(Таблица1[[#This Row],[1]:[31]])-Таблица1[[#This Row],[Столбец1]])))</f>
        <v>0</v>
      </c>
      <c r="AN44" s="778">
        <f t="array" ref="AN44">IF(AQ44=1,SUM(P44,U44:V44,AA44:AB44,AG44:AH44),
IF(AQ44=2,SUM(Q44:R44,W44:X44,AC44:AD44,AI44:AJ44),
IF(AQ44=3,SUM(S44:T44,Y44:Z44,AE44:AF44,AK44:AL44),
SUM(IFERROR(WEEKDAY($H$2:$AL$2,2)&gt;5,)*H44:AL44))))+Таблица1[[#This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4" s="292" t="b">
        <f>IF(AR44&lt;=3,(IF((G44="5/24"),((база!$M$6*Таблица1[[#This Row],[сумма]]*Таблица1[[#This Row],[коэф]])),
IF((G44="4/24"),((база!$M$5*Таблица1[[#This Row],[сумма]]*Таблица1[[#This Row],[коэф]])),
IF((G44="3/24"),((база!$M$4*Таблица1[[#This Row],[сумма]]*Таблица1[[#This Row],[коэф]])),
IF((G44="5/16"),((база!$L$6*Таблица1[[#This Row],[сумма]]*Таблица1[[#This Row],[коэф]])),
IF((G44="4/16"),((база!$L$5*Таблица1[[#This Row],[сумма]]*Таблица1[[#This Row],[коэф]])),
IF((G44="3/16"),((база!$L$4*Таблица1[[#This Row],[сумма]]*Таблица1[[#This Row],[коэф]])),
IF((G44="4/4"),((база!$I$5*Таблица1[[#This Row],[сумма]]*Таблица1[[#This Row],[коэф]])),
IF(OR(G44="2/4",G44="3/4"),((база!$I$4*Таблица1[[#This Row],[сумма]]*Таблица1[[#This Row],[коэф]])),
IF((G44="5/8"),((база!$J$6*Таблица1[[#This Row],[сумма]]*Таблица1[[#This Row],[коэф]])),
IF((G44="4/8"),((база!$J$5*Таблица1[[#This Row],[сумма]]*Таблица1[[#This Row],[коэф]])),
IF(OR(G44="3/8",G44="2/8"),((база!$J$4*Таблица1[[#This Row],[сумма]]*Таблица1[[#This Row],[коэф]])))))))))))))),
(IF((G44="5/24"),((база!$M$6*Таблица1[[#This Row],[сумма]]*Таблица1[[#This Row],[коэф]])),
IF(OR(G44="4/24",G44="3/24"),((база!$M$5*Таблица1[[#This Row],[сумма]]*Таблица1[[#This Row],[коэф]])),
IF((G44="5/16"),((база!$L$6*Таблица1[[#This Row],[сумма]]*Таблица1[[#This Row],[коэф]])),
IF(OR(G44="4/16",G44="3/16"),((база!$L$5*Таблица1[[#This Row],[сумма]]*Таблица1[[#This Row],[коэф]])),
IF(OR(G44="2/4",G44="3/4",G44="4/4"),((база!$I$5*Таблица1[[#This Row],[сумма]]*Таблица1[[#This Row],[коэф]])),
IF((G44="5/8"),((база!$J$6*Таблица1[[#This Row],[сумма]]*Таблица1[[#This Row],[коэф]])),
IF(OR(G44="4/8",G44="3/8",G44="2/8"),((база!$J$5*Таблица1[[#This Row],[сумма]]*Таблица1[[#This Row],[коэф]])))))))))))</f>
        <v>0</v>
      </c>
      <c r="AP44" s="730" t="b">
        <f>IF(AR44&lt;=3,(IF((G44="5/24"),((база!$M$6*2*Таблица1[[#This Row],[Столбец1]]*Таблица1[[#This Row],[коэф]])),
IF((G44="4/24"),((база!$M$5*2*Таблица1[[#This Row],[Столбец1]]*Таблица1[[#This Row],[коэф]])),
IF((G44="3/24"),((база!$M$4*2*Таблица1[[#This Row],[Столбец1]]*Таблица1[[#This Row],[коэф]])),
IF((G44="5/16"),((база!$L$6*2*Таблица1[[#This Row],[Столбец1]]*Таблица1[[#This Row],[коэф]])),
IF((G44="4/16"),((база!$L$5*2*Таблица1[[#This Row],[Столбец1]]*Таблица1[[#This Row],[коэф]])),
IF((G44="3/16"),((база!$L$4*2*Таблица1[[#This Row],[Столбец1]]*Таблица1[[#This Row],[коэф]])),
IF((G44="4/4"),((база!$I$5*2*Таблица1[[#This Row],[Столбец1]]*Таблица1[[#This Row],[коэф]])),
IF(OR(G44="2/4",G44="3/4"),((база!$I$4*2*Таблица1[[#This Row],[Столбец1]]*Таблица1[[#This Row],[коэф]])),
IF((G44="5/8"),((база!$J$6*2*Таблица1[[#This Row],[Столбец1]]*Таблица1[[#This Row],[коэф]])),
IF((G44="4/8"),((база!$J$5*2*Таблица1[[#This Row],[Столбец1]]*Таблица1[[#This Row],[коэф]])),
IF(OR(G44="3/8",G44="2/8"),((база!$J$4*2*Таблица1[[#This Row],[Столбец1]]*Таблица1[[#This Row],[коэф]])))))))))))))),
(IF((G44="5/24"),((база!$M$6*2*Таблица1[[#This Row],[Столбец1]]*Таблица1[[#This Row],[коэф]])),
IF(OR(G44="4/24",G44="3/24"),((база!$M$5*2*Таблица1[[#This Row],[Столбец1]]*Таблица1[[#This Row],[коэф]])),
IF((G44="5/16"),((база!$L$6*2*Таблица1[[#This Row],[Столбец1]]*Таблица1[[#This Row],[коэф]])),
IF(OR(G44="4/16",G44="3/16"),((база!$L$5*2*Таблица1[[#This Row],[Столбец1]]*Таблица1[[#This Row],[коэф]])),
IF(OR(G44="2/4",G44="3/4",G44="4/4"),((база!$I$5*2*Таблица1[[#This Row],[Столбец1]]*Таблица1[[#This Row],[коэф]])),
IF((G44="5/8"),((база!$J$6*2*Таблица1[[#This Row],[Столбец1]]*Таблица1[[#This Row],[коэф]])),
IF(OR(G44="4/8",G44="3/8",G44="2/8"),((база!$J$5*2*Таблица1[[#This Row],[Столбец1]]*Таблица1[[#This Row],[коэф]])))))))))))</f>
        <v>0</v>
      </c>
      <c r="AQ44" s="712" t="str">
        <f>IFERROR(INDEX(база!T:T, MATCH(F44,база!Q:Q,0)),"")</f>
        <v/>
      </c>
      <c r="AR44" s="208" t="str">
        <f>IFERROR(INDEX(база!D:D, MATCH(F44,база!B:B,0)),"")</f>
        <v/>
      </c>
      <c r="AS44" s="758" t="str">
        <f>IFERROR(INDEX(база!E:E, MATCH(F44,база!B:B,0)),"")</f>
        <v/>
      </c>
    </row>
    <row r="45" spans="1:45" ht="15">
      <c r="A45" s="999" t="str">
        <f t="shared" si="1"/>
        <v>январь</v>
      </c>
      <c r="B45" t="n" s="999">
        <v>2024.0</v>
      </c>
      <c r="C45" t="s" s="999">
        <v>388</v>
      </c>
      <c r="D45" t="s" s="999">
        <v>364</v>
      </c>
      <c r="E45" t="s" s="999">
        <v>46</v>
      </c>
      <c r="F45" t="s" s="999">
        <v>291</v>
      </c>
      <c r="G45" t="s" s="999">
        <v>6</v>
      </c>
      <c r="H45" s="999"/>
      <c r="I45" s="999"/>
      <c r="J45" s="999"/>
      <c r="K45" s="999"/>
      <c r="L45" s="999"/>
      <c r="M45" t="n" s="999">
        <v>7.2</v>
      </c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  <c r="AJ45" s="48"/>
      <c r="AK45" s="48"/>
      <c r="AL45" s="51"/>
      <c r="AM45" s="212">
        <f>IF(AQ45=1,SUM(Q45:T45,W45:Z45,AC45:AF45,AI45:AL45),
IF(AQ45=2,SUM(P45,S45:V45,Y45:AB45,AE45:AH45,AK45:AL45),
IF(AQ45=3,SUM(P45:R45,U45:X45,AA45:AD45,AG45:AJ45),SUM(Таблица1[[#This Row],[1]:[31]])-Таблица1[[#This Row],[Столбец1]])))</f>
        <v>0</v>
      </c>
      <c r="AN45" s="778">
        <f t="array" ref="AN45">IF(AQ45=1,SUM(P45,U45:V45,AA45:AB45,AG45:AH45),
IF(AQ45=2,SUM(Q45:R45,W45:X45,AC45:AD45,AI45:AJ45),
IF(AQ45=3,SUM(S45:T45,Y45:Z45,AE45:AF45,AK45:AL45),
SUM(IFERROR(WEEKDAY($H$2:$AL$2,2)&gt;5,)*H45:AL45))))+Таблица1[[#This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5" s="292" t="b">
        <f>IF(AR45&lt;=3,(IF((G45="5/24"),((база!$M$6*Таблица1[[#This Row],[сумма]]*Таблица1[[#This Row],[коэф]])),
IF((G45="4/24"),((база!$M$5*Таблица1[[#This Row],[сумма]]*Таблица1[[#This Row],[коэф]])),
IF((G45="3/24"),((база!$M$4*Таблица1[[#This Row],[сумма]]*Таблица1[[#This Row],[коэф]])),
IF((G45="5/16"),((база!$L$6*Таблица1[[#This Row],[сумма]]*Таблица1[[#This Row],[коэф]])),
IF((G45="4/16"),((база!$L$5*Таблица1[[#This Row],[сумма]]*Таблица1[[#This Row],[коэф]])),
IF((G45="3/16"),((база!$L$4*Таблица1[[#This Row],[сумма]]*Таблица1[[#This Row],[коэф]])),
IF((G45="4/4"),((база!$I$5*Таблица1[[#This Row],[сумма]]*Таблица1[[#This Row],[коэф]])),
IF(OR(G45="2/4",G45="3/4"),((база!$I$4*Таблица1[[#This Row],[сумма]]*Таблица1[[#This Row],[коэф]])),
IF((G45="5/8"),((база!$J$6*Таблица1[[#This Row],[сумма]]*Таблица1[[#This Row],[коэф]])),
IF((G45="4/8"),((база!$J$5*Таблица1[[#This Row],[сумма]]*Таблица1[[#This Row],[коэф]])),
IF(OR(G45="3/8",G45="2/8"),((база!$J$4*Таблица1[[#This Row],[сумма]]*Таблица1[[#This Row],[коэф]])))))))))))))),
(IF((G45="5/24"),((база!$M$6*Таблица1[[#This Row],[сумма]]*Таблица1[[#This Row],[коэф]])),
IF(OR(G45="4/24",G45="3/24"),((база!$M$5*Таблица1[[#This Row],[сумма]]*Таблица1[[#This Row],[коэф]])),
IF((G45="5/16"),((база!$L$6*Таблица1[[#This Row],[сумма]]*Таблица1[[#This Row],[коэф]])),
IF(OR(G45="4/16",G45="3/16"),((база!$L$5*Таблица1[[#This Row],[сумма]]*Таблица1[[#This Row],[коэф]])),
IF(OR(G45="2/4",G45="3/4",G45="4/4"),((база!$I$5*Таблица1[[#This Row],[сумма]]*Таблица1[[#This Row],[коэф]])),
IF((G45="5/8"),((база!$J$6*Таблица1[[#This Row],[сумма]]*Таблица1[[#This Row],[коэф]])),
IF(OR(G45="4/8",G45="3/8",G45="2/8"),((база!$J$5*Таблица1[[#This Row],[сумма]]*Таблица1[[#This Row],[коэф]])))))))))))</f>
        <v>0</v>
      </c>
      <c r="AP45" s="730" t="b">
        <f>IF(AR45&lt;=3,(IF((G45="5/24"),((база!$M$6*2*Таблица1[[#This Row],[Столбец1]]*Таблица1[[#This Row],[коэф]])),
IF((G45="4/24"),((база!$M$5*2*Таблица1[[#This Row],[Столбец1]]*Таблица1[[#This Row],[коэф]])),
IF((G45="3/24"),((база!$M$4*2*Таблица1[[#This Row],[Столбец1]]*Таблица1[[#This Row],[коэф]])),
IF((G45="5/16"),((база!$L$6*2*Таблица1[[#This Row],[Столбец1]]*Таблица1[[#This Row],[коэф]])),
IF((G45="4/16"),((база!$L$5*2*Таблица1[[#This Row],[Столбец1]]*Таблица1[[#This Row],[коэф]])),
IF((G45="3/16"),((база!$L$4*2*Таблица1[[#This Row],[Столбец1]]*Таблица1[[#This Row],[коэф]])),
IF((G45="4/4"),((база!$I$5*2*Таблица1[[#This Row],[Столбец1]]*Таблица1[[#This Row],[коэф]])),
IF(OR(G45="2/4",G45="3/4"),((база!$I$4*2*Таблица1[[#This Row],[Столбец1]]*Таблица1[[#This Row],[коэф]])),
IF((G45="5/8"),((база!$J$6*2*Таблица1[[#This Row],[Столбец1]]*Таблица1[[#This Row],[коэф]])),
IF((G45="4/8"),((база!$J$5*2*Таблица1[[#This Row],[Столбец1]]*Таблица1[[#This Row],[коэф]])),
IF(OR(G45="3/8",G45="2/8"),((база!$J$4*2*Таблица1[[#This Row],[Столбец1]]*Таблица1[[#This Row],[коэф]])))))))))))))),
(IF((G45="5/24"),((база!$M$6*2*Таблица1[[#This Row],[Столбец1]]*Таблица1[[#This Row],[коэф]])),
IF(OR(G45="4/24",G45="3/24"),((база!$M$5*2*Таблица1[[#This Row],[Столбец1]]*Таблица1[[#This Row],[коэф]])),
IF((G45="5/16"),((база!$L$6*2*Таблица1[[#This Row],[Столбец1]]*Таблица1[[#This Row],[коэф]])),
IF(OR(G45="4/16",G45="3/16"),((база!$L$5*2*Таблица1[[#This Row],[Столбец1]]*Таблица1[[#This Row],[коэф]])),
IF(OR(G45="2/4",G45="3/4",G45="4/4"),((база!$I$5*2*Таблица1[[#This Row],[Столбец1]]*Таблица1[[#This Row],[коэф]])),
IF((G45="5/8"),((база!$J$6*2*Таблица1[[#This Row],[Столбец1]]*Таблица1[[#This Row],[коэф]])),
IF(OR(G45="4/8",G45="3/8",G45="2/8"),((база!$J$5*2*Таблица1[[#This Row],[Столбец1]]*Таблица1[[#This Row],[коэф]])))))))))))</f>
        <v>0</v>
      </c>
      <c r="AQ45" s="712" t="str">
        <f>IFERROR(INDEX(база!T:T, MATCH(F45,база!Q:Q,0)),"")</f>
        <v/>
      </c>
      <c r="AR45" s="208" t="str">
        <f>IFERROR(INDEX(база!D:D, MATCH(F45,база!B:B,0)),"")</f>
        <v/>
      </c>
      <c r="AS45" s="758" t="str">
        <f>IFERROR(INDEX(база!E:E, MATCH(F45,база!B:B,0)),"")</f>
        <v/>
      </c>
    </row>
    <row r="46" spans="1:45" ht="15">
      <c r="A46" s="1002" t="str">
        <f t="shared" si="1"/>
        <v>январь</v>
      </c>
      <c r="B46" t="n" s="1002">
        <v>2024.0</v>
      </c>
      <c r="C46" t="s" s="1002">
        <v>386</v>
      </c>
      <c r="D46" t="s" s="1002">
        <v>365</v>
      </c>
      <c r="E46" t="s" s="1002">
        <v>46</v>
      </c>
      <c r="F46" t="s" s="1002">
        <v>370</v>
      </c>
      <c r="G46" t="s" s="1002">
        <v>4</v>
      </c>
      <c r="H46" s="1002"/>
      <c r="I46" s="1002"/>
      <c r="J46" s="1002"/>
      <c r="K46" s="1002"/>
      <c r="L46" s="1002"/>
      <c r="M46" s="1002"/>
      <c r="N46" t="n" s="1002">
        <v>7.2</v>
      </c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  <c r="AJ46" s="48"/>
      <c r="AK46" s="48"/>
      <c r="AL46" s="51"/>
      <c r="AM46" s="212">
        <f>IF(AQ46=1,SUM(Q46:T46,W46:Z46,AC46:AF46,AI46:AL46),
IF(AQ46=2,SUM(P46,S46:V46,Y46:AB46,AE46:AH46,AK46:AL46),
IF(AQ46=3,SUM(P46:R46,U46:X46,AA46:AD46,AG46:AJ46),SUM(Таблица1[[#This Row],[1]:[31]])-Таблица1[[#This Row],[Столбец1]])))</f>
        <v>0</v>
      </c>
      <c r="AN46" s="778">
        <f t="array" ref="AN46">IF(AQ46=1,SUM(P46,U46:V46,AA46:AB46,AG46:AH46),
IF(AQ46=2,SUM(Q46:R46,W46:X46,AC46:AD46,AI46:AJ46),
IF(AQ46=3,SUM(S46:T46,Y46:Z46,AE46:AF46,AK46:AL46),
SUM(IFERROR(WEEKDAY($H$2:$AL$2,2)&gt;5,)*H46:AL46))))+Таблица1[[#This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6" s="292" t="b">
        <f>IF(AR46&lt;=3,(IF((G46="5/24"),((база!$M$6*Таблица1[[#This Row],[сумма]]*Таблица1[[#This Row],[коэф]])),
IF((G46="4/24"),((база!$M$5*Таблица1[[#This Row],[сумма]]*Таблица1[[#This Row],[коэф]])),
IF((G46="3/24"),((база!$M$4*Таблица1[[#This Row],[сумма]]*Таблица1[[#This Row],[коэф]])),
IF((G46="5/16"),((база!$L$6*Таблица1[[#This Row],[сумма]]*Таблица1[[#This Row],[коэф]])),
IF((G46="4/16"),((база!$L$5*Таблица1[[#This Row],[сумма]]*Таблица1[[#This Row],[коэф]])),
IF((G46="3/16"),((база!$L$4*Таблица1[[#This Row],[сумма]]*Таблица1[[#This Row],[коэф]])),
IF((G46="4/4"),((база!$I$5*Таблица1[[#This Row],[сумма]]*Таблица1[[#This Row],[коэф]])),
IF(OR(G46="2/4",G46="3/4"),((база!$I$4*Таблица1[[#This Row],[сумма]]*Таблица1[[#This Row],[коэф]])),
IF((G46="5/8"),((база!$J$6*Таблица1[[#This Row],[сумма]]*Таблица1[[#This Row],[коэф]])),
IF((G46="4/8"),((база!$J$5*Таблица1[[#This Row],[сумма]]*Таблица1[[#This Row],[коэф]])),
IF(OR(G46="3/8",G46="2/8"),((база!$J$4*Таблица1[[#This Row],[сумма]]*Таблица1[[#This Row],[коэф]])))))))))))))),
(IF((G46="5/24"),((база!$M$6*Таблица1[[#This Row],[сумма]]*Таблица1[[#This Row],[коэф]])),
IF(OR(G46="4/24",G46="3/24"),((база!$M$5*Таблица1[[#This Row],[сумма]]*Таблица1[[#This Row],[коэф]])),
IF((G46="5/16"),((база!$L$6*Таблица1[[#This Row],[сумма]]*Таблица1[[#This Row],[коэф]])),
IF(OR(G46="4/16",G46="3/16"),((база!$L$5*Таблица1[[#This Row],[сумма]]*Таблица1[[#This Row],[коэф]])),
IF(OR(G46="2/4",G46="3/4",G46="4/4"),((база!$I$5*Таблица1[[#This Row],[сумма]]*Таблица1[[#This Row],[коэф]])),
IF((G46="5/8"),((база!$J$6*Таблица1[[#This Row],[сумма]]*Таблица1[[#This Row],[коэф]])),
IF(OR(G46="4/8",G46="3/8",G46="2/8"),((база!$J$5*Таблица1[[#This Row],[сумма]]*Таблица1[[#This Row],[коэф]])))))))))))</f>
        <v>0</v>
      </c>
      <c r="AP46" s="730" t="b">
        <f>IF(AR46&lt;=3,(IF((G46="5/24"),((база!$M$6*2*Таблица1[[#This Row],[Столбец1]]*Таблица1[[#This Row],[коэф]])),
IF((G46="4/24"),((база!$M$5*2*Таблица1[[#This Row],[Столбец1]]*Таблица1[[#This Row],[коэф]])),
IF((G46="3/24"),((база!$M$4*2*Таблица1[[#This Row],[Столбец1]]*Таблица1[[#This Row],[коэф]])),
IF((G46="5/16"),((база!$L$6*2*Таблица1[[#This Row],[Столбец1]]*Таблица1[[#This Row],[коэф]])),
IF((G46="4/16"),((база!$L$5*2*Таблица1[[#This Row],[Столбец1]]*Таблица1[[#This Row],[коэф]])),
IF((G46="3/16"),((база!$L$4*2*Таблица1[[#This Row],[Столбец1]]*Таблица1[[#This Row],[коэф]])),
IF((G46="4/4"),((база!$I$5*2*Таблица1[[#This Row],[Столбец1]]*Таблица1[[#This Row],[коэф]])),
IF(OR(G46="2/4",G46="3/4"),((база!$I$4*2*Таблица1[[#This Row],[Столбец1]]*Таблица1[[#This Row],[коэф]])),
IF((G46="5/8"),((база!$J$6*2*Таблица1[[#This Row],[Столбец1]]*Таблица1[[#This Row],[коэф]])),
IF((G46="4/8"),((база!$J$5*2*Таблица1[[#This Row],[Столбец1]]*Таблица1[[#This Row],[коэф]])),
IF(OR(G46="3/8",G46="2/8"),((база!$J$4*2*Таблица1[[#This Row],[Столбец1]]*Таблица1[[#This Row],[коэф]])))))))))))))),
(IF((G46="5/24"),((база!$M$6*2*Таблица1[[#This Row],[Столбец1]]*Таблица1[[#This Row],[коэф]])),
IF(OR(G46="4/24",G46="3/24"),((база!$M$5*2*Таблица1[[#This Row],[Столбец1]]*Таблица1[[#This Row],[коэф]])),
IF((G46="5/16"),((база!$L$6*2*Таблица1[[#This Row],[Столбец1]]*Таблица1[[#This Row],[коэф]])),
IF(OR(G46="4/16",G46="3/16"),((база!$L$5*2*Таблица1[[#This Row],[Столбец1]]*Таблица1[[#This Row],[коэф]])),
IF(OR(G46="2/4",G46="3/4",G46="4/4"),((база!$I$5*2*Таблица1[[#This Row],[Столбец1]]*Таблица1[[#This Row],[коэф]])),
IF((G46="5/8"),((база!$J$6*2*Таблица1[[#This Row],[Столбец1]]*Таблица1[[#This Row],[коэф]])),
IF(OR(G46="4/8",G46="3/8",G46="2/8"),((база!$J$5*2*Таблица1[[#This Row],[Столбец1]]*Таблица1[[#This Row],[коэф]])))))))))))</f>
        <v>0</v>
      </c>
      <c r="AQ46" s="712" t="str">
        <f>IFERROR(INDEX(база!T:T, MATCH(F46,база!Q:Q,0)),"")</f>
        <v/>
      </c>
      <c r="AR46" s="208" t="str">
        <f>IFERROR(INDEX(база!D:D, MATCH(F46,база!B:B,0)),"")</f>
        <v/>
      </c>
      <c r="AS46" s="758" t="str">
        <f>IFERROR(INDEX(база!E:E, MATCH(F46,база!B:B,0)),"")</f>
        <v/>
      </c>
    </row>
    <row r="47" spans="1:45" ht="15">
      <c r="A47" s="1006" t="str">
        <f t="shared" si="1"/>
        <v>январь</v>
      </c>
      <c r="B47" t="n" s="1006">
        <v>2024.0</v>
      </c>
      <c r="C47" t="s" s="1006">
        <v>388</v>
      </c>
      <c r="D47" t="s" s="1006">
        <v>365</v>
      </c>
      <c r="E47" t="s" s="1006">
        <v>46</v>
      </c>
      <c r="F47" t="s" s="1006">
        <v>377</v>
      </c>
      <c r="G47" t="s" s="1006">
        <v>4</v>
      </c>
      <c r="H47" s="1006"/>
      <c r="I47" s="1006"/>
      <c r="J47" s="1006"/>
      <c r="K47" s="1006"/>
      <c r="L47" s="1006"/>
      <c r="M47" s="1006"/>
      <c r="N47" t="n" s="1006">
        <v>5.2</v>
      </c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48"/>
      <c r="AI47" s="48"/>
      <c r="AJ47" s="48"/>
      <c r="AK47" s="48"/>
      <c r="AL47" s="51"/>
      <c r="AM47" s="212">
        <f>IF(AQ47=1,SUM(Q47:T47,W47:Z47,AC47:AF47,AI47:AL47),
IF(AQ47=2,SUM(P47,S47:V47,Y47:AB47,AE47:AH47,AK47:AL47),
IF(AQ47=3,SUM(P47:R47,U47:X47,AA47:AD47,AG47:AJ47),SUM(Таблица1[[#This Row],[1]:[31]])-Таблица1[[#This Row],[Столбец1]])))</f>
        <v>0</v>
      </c>
      <c r="AN47" s="778">
        <f t="array" ref="AN47">IF(AQ47=1,SUM(P47,U47:V47,AA47:AB47,AG47:AH47),
IF(AQ47=2,SUM(Q47:R47,W47:X47,AC47:AD47,AI47:AJ47),
IF(AQ47=3,SUM(S47:T47,Y47:Z47,AE47:AF47,AK47:AL47),
SUM(IFERROR(WEEKDAY($H$2:$AL$2,2)&gt;5,)*H47:AL47))))+Таблица1[[#This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7" s="292" t="b">
        <f>IF(AR47&lt;=3,(IF((G47="5/24"),((база!$M$6*Таблица1[[#This Row],[сумма]]*Таблица1[[#This Row],[коэф]])),
IF((G47="4/24"),((база!$M$5*Таблица1[[#This Row],[сумма]]*Таблица1[[#This Row],[коэф]])),
IF((G47="3/24"),((база!$M$4*Таблица1[[#This Row],[сумма]]*Таблица1[[#This Row],[коэф]])),
IF((G47="5/16"),((база!$L$6*Таблица1[[#This Row],[сумма]]*Таблица1[[#This Row],[коэф]])),
IF((G47="4/16"),((база!$L$5*Таблица1[[#This Row],[сумма]]*Таблица1[[#This Row],[коэф]])),
IF((G47="3/16"),((база!$L$4*Таблица1[[#This Row],[сумма]]*Таблица1[[#This Row],[коэф]])),
IF((G47="4/4"),((база!$I$5*Таблица1[[#This Row],[сумма]]*Таблица1[[#This Row],[коэф]])),
IF(OR(G47="2/4",G47="3/4"),((база!$I$4*Таблица1[[#This Row],[сумма]]*Таблица1[[#This Row],[коэф]])),
IF((G47="5/8"),((база!$J$6*Таблица1[[#This Row],[сумма]]*Таблица1[[#This Row],[коэф]])),
IF((G47="4/8"),((база!$J$5*Таблица1[[#This Row],[сумма]]*Таблица1[[#This Row],[коэф]])),
IF(OR(G47="3/8",G47="2/8"),((база!$J$4*Таблица1[[#This Row],[сумма]]*Таблица1[[#This Row],[коэф]])))))))))))))),
(IF((G47="5/24"),((база!$M$6*Таблица1[[#This Row],[сумма]]*Таблица1[[#This Row],[коэф]])),
IF(OR(G47="4/24",G47="3/24"),((база!$M$5*Таблица1[[#This Row],[сумма]]*Таблица1[[#This Row],[коэф]])),
IF((G47="5/16"),((база!$L$6*Таблица1[[#This Row],[сумма]]*Таблица1[[#This Row],[коэф]])),
IF(OR(G47="4/16",G47="3/16"),((база!$L$5*Таблица1[[#This Row],[сумма]]*Таблица1[[#This Row],[коэф]])),
IF(OR(G47="2/4",G47="3/4",G47="4/4"),((база!$I$5*Таблица1[[#This Row],[сумма]]*Таблица1[[#This Row],[коэф]])),
IF((G47="5/8"),((база!$J$6*Таблица1[[#This Row],[сумма]]*Таблица1[[#This Row],[коэф]])),
IF(OR(G47="4/8",G47="3/8",G47="2/8"),((база!$J$5*Таблица1[[#This Row],[сумма]]*Таблица1[[#This Row],[коэф]])))))))))))</f>
        <v>0</v>
      </c>
      <c r="AP47" s="730" t="b">
        <f>IF(AR47&lt;=3,(IF((G47="5/24"),((база!$M$6*2*Таблица1[[#This Row],[Столбец1]]*Таблица1[[#This Row],[коэф]])),
IF((G47="4/24"),((база!$M$5*2*Таблица1[[#This Row],[Столбец1]]*Таблица1[[#This Row],[коэф]])),
IF((G47="3/24"),((база!$M$4*2*Таблица1[[#This Row],[Столбец1]]*Таблица1[[#This Row],[коэф]])),
IF((G47="5/16"),((база!$L$6*2*Таблица1[[#This Row],[Столбец1]]*Таблица1[[#This Row],[коэф]])),
IF((G47="4/16"),((база!$L$5*2*Таблица1[[#This Row],[Столбец1]]*Таблица1[[#This Row],[коэф]])),
IF((G47="3/16"),((база!$L$4*2*Таблица1[[#This Row],[Столбец1]]*Таблица1[[#This Row],[коэф]])),
IF((G47="4/4"),((база!$I$5*2*Таблица1[[#This Row],[Столбец1]]*Таблица1[[#This Row],[коэф]])),
IF(OR(G47="2/4",G47="3/4"),((база!$I$4*2*Таблица1[[#This Row],[Столбец1]]*Таблица1[[#This Row],[коэф]])),
IF((G47="5/8"),((база!$J$6*2*Таблица1[[#This Row],[Столбец1]]*Таблица1[[#This Row],[коэф]])),
IF((G47="4/8"),((база!$J$5*2*Таблица1[[#This Row],[Столбец1]]*Таблица1[[#This Row],[коэф]])),
IF(OR(G47="3/8",G47="2/8"),((база!$J$4*2*Таблица1[[#This Row],[Столбец1]]*Таблица1[[#This Row],[коэф]])))))))))))))),
(IF((G47="5/24"),((база!$M$6*2*Таблица1[[#This Row],[Столбец1]]*Таблица1[[#This Row],[коэф]])),
IF(OR(G47="4/24",G47="3/24"),((база!$M$5*2*Таблица1[[#This Row],[Столбец1]]*Таблица1[[#This Row],[коэф]])),
IF((G47="5/16"),((база!$L$6*2*Таблица1[[#This Row],[Столбец1]]*Таблица1[[#This Row],[коэф]])),
IF(OR(G47="4/16",G47="3/16"),((база!$L$5*2*Таблица1[[#This Row],[Столбец1]]*Таблица1[[#This Row],[коэф]])),
IF(OR(G47="2/4",G47="3/4",G47="4/4"),((база!$I$5*2*Таблица1[[#This Row],[Столбец1]]*Таблица1[[#This Row],[коэф]])),
IF((G47="5/8"),((база!$J$6*2*Таблица1[[#This Row],[Столбец1]]*Таблица1[[#This Row],[коэф]])),
IF(OR(G47="4/8",G47="3/8",G47="2/8"),((база!$J$5*2*Таблица1[[#This Row],[Столбец1]]*Таблица1[[#This Row],[коэф]])))))))))))</f>
        <v>0</v>
      </c>
      <c r="AQ47" s="712" t="str">
        <f>IFERROR(INDEX(база!T:T, MATCH(F47,база!Q:Q,0)),"")</f>
        <v/>
      </c>
      <c r="AR47" s="208" t="str">
        <f>IFERROR(INDEX(база!D:D, MATCH(F47,база!B:B,0)),"")</f>
        <v/>
      </c>
      <c r="AS47" s="758" t="str">
        <f>IFERROR(INDEX(база!E:E, MATCH(F47,база!B:B,0)),"")</f>
        <v/>
      </c>
    </row>
    <row r="48" spans="1:45" ht="15">
      <c r="A48" s="1008" t="str">
        <f t="shared" si="1"/>
        <v>январь</v>
      </c>
      <c r="B48" t="n" s="1008">
        <v>2024.0</v>
      </c>
      <c r="C48" t="s" s="1008">
        <v>392</v>
      </c>
      <c r="D48" t="s" s="1008">
        <v>364</v>
      </c>
      <c r="E48" t="s" s="1008">
        <v>46</v>
      </c>
      <c r="F48" t="s" s="1008">
        <v>353</v>
      </c>
      <c r="G48" t="s" s="1008">
        <v>6</v>
      </c>
      <c r="H48" s="1008"/>
      <c r="I48" s="1008"/>
      <c r="J48" s="1008"/>
      <c r="K48" s="1008"/>
      <c r="L48" s="1008"/>
      <c r="M48" t="n" s="1008">
        <v>2.0</v>
      </c>
      <c r="N48" s="49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48"/>
      <c r="AJ48" s="48"/>
      <c r="AK48" s="48"/>
      <c r="AL48" s="51"/>
      <c r="AM48" s="212">
        <f>IF(AQ48=1,SUM(Q48:T48,W48:Z48,AC48:AF48,AI48:AL48),
IF(AQ48=2,SUM(P48,S48:V48,Y48:AB48,AE48:AH48,AK48:AL48),
IF(AQ48=3,SUM(P48:R48,U48:X48,AA48:AD48,AG48:AJ48),SUM(Таблица1[[#This Row],[1]:[31]])-Таблица1[[#This Row],[Столбец1]])))</f>
        <v>0</v>
      </c>
      <c r="AN48" s="778">
        <f t="array" ref="AN48">IF(AQ48=1,SUM(P48,U48:V48,AA48:AB48,AG48:AH48),
IF(AQ48=2,SUM(Q48:R48,W48:X48,AC48:AD48,AI48:AJ48),
IF(AQ48=3,SUM(S48:T48,Y48:Z48,AE48:AF48,AK48:AL48),
SUM(IFERROR(WEEKDAY($H$2:$AL$2,2)&gt;5,)*H48:AL48))))+Таблица1[[#This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8" s="292" t="b">
        <f>IF(AR48&lt;=3,(IF((G48="5/24"),((база!$M$6*Таблица1[[#This Row],[сумма]]*Таблица1[[#This Row],[коэф]])),
IF((G48="4/24"),((база!$M$5*Таблица1[[#This Row],[сумма]]*Таблица1[[#This Row],[коэф]])),
IF((G48="3/24"),((база!$M$4*Таблица1[[#This Row],[сумма]]*Таблица1[[#This Row],[коэф]])),
IF((G48="5/16"),((база!$L$6*Таблица1[[#This Row],[сумма]]*Таблица1[[#This Row],[коэф]])),
IF((G48="4/16"),((база!$L$5*Таблица1[[#This Row],[сумма]]*Таблица1[[#This Row],[коэф]])),
IF((G48="3/16"),((база!$L$4*Таблица1[[#This Row],[сумма]]*Таблица1[[#This Row],[коэф]])),
IF((G48="4/4"),((база!$I$5*Таблица1[[#This Row],[сумма]]*Таблица1[[#This Row],[коэф]])),
IF(OR(G48="2/4",G48="3/4"),((база!$I$4*Таблица1[[#This Row],[сумма]]*Таблица1[[#This Row],[коэф]])),
IF((G48="5/8"),((база!$J$6*Таблица1[[#This Row],[сумма]]*Таблица1[[#This Row],[коэф]])),
IF((G48="4/8"),((база!$J$5*Таблица1[[#This Row],[сумма]]*Таблица1[[#This Row],[коэф]])),
IF(OR(G48="3/8",G48="2/8"),((база!$J$4*Таблица1[[#This Row],[сумма]]*Таблица1[[#This Row],[коэф]])))))))))))))),
(IF((G48="5/24"),((база!$M$6*Таблица1[[#This Row],[сумма]]*Таблица1[[#This Row],[коэф]])),
IF(OR(G48="4/24",G48="3/24"),((база!$M$5*Таблица1[[#This Row],[сумма]]*Таблица1[[#This Row],[коэф]])),
IF((G48="5/16"),((база!$L$6*Таблица1[[#This Row],[сумма]]*Таблица1[[#This Row],[коэф]])),
IF(OR(G48="4/16",G48="3/16"),((база!$L$5*Таблица1[[#This Row],[сумма]]*Таблица1[[#This Row],[коэф]])),
IF(OR(G48="2/4",G48="3/4",G48="4/4"),((база!$I$5*Таблица1[[#This Row],[сумма]]*Таблица1[[#This Row],[коэф]])),
IF((G48="5/8"),((база!$J$6*Таблица1[[#This Row],[сумма]]*Таблица1[[#This Row],[коэф]])),
IF(OR(G48="4/8",G48="3/8",G48="2/8"),((база!$J$5*Таблица1[[#This Row],[сумма]]*Таблица1[[#This Row],[коэф]])))))))))))</f>
        <v>0</v>
      </c>
      <c r="AP48" s="730" t="b">
        <f>IF(AR48&lt;=3,(IF((G48="5/24"),((база!$M$6*2*Таблица1[[#This Row],[Столбец1]]*Таблица1[[#This Row],[коэф]])),
IF((G48="4/24"),((база!$M$5*2*Таблица1[[#This Row],[Столбец1]]*Таблица1[[#This Row],[коэф]])),
IF((G48="3/24"),((база!$M$4*2*Таблица1[[#This Row],[Столбец1]]*Таблица1[[#This Row],[коэф]])),
IF((G48="5/16"),((база!$L$6*2*Таблица1[[#This Row],[Столбец1]]*Таблица1[[#This Row],[коэф]])),
IF((G48="4/16"),((база!$L$5*2*Таблица1[[#This Row],[Столбец1]]*Таблица1[[#This Row],[коэф]])),
IF((G48="3/16"),((база!$L$4*2*Таблица1[[#This Row],[Столбец1]]*Таблица1[[#This Row],[коэф]])),
IF((G48="4/4"),((база!$I$5*2*Таблица1[[#This Row],[Столбец1]]*Таблица1[[#This Row],[коэф]])),
IF(OR(G48="2/4",G48="3/4"),((база!$I$4*2*Таблица1[[#This Row],[Столбец1]]*Таблица1[[#This Row],[коэф]])),
IF((G48="5/8"),((база!$J$6*2*Таблица1[[#This Row],[Столбец1]]*Таблица1[[#This Row],[коэф]])),
IF((G48="4/8"),((база!$J$5*2*Таблица1[[#This Row],[Столбец1]]*Таблица1[[#This Row],[коэф]])),
IF(OR(G48="3/8",G48="2/8"),((база!$J$4*2*Таблица1[[#This Row],[Столбец1]]*Таблица1[[#This Row],[коэф]])))))))))))))),
(IF((G48="5/24"),((база!$M$6*2*Таблица1[[#This Row],[Столбец1]]*Таблица1[[#This Row],[коэф]])),
IF(OR(G48="4/24",G48="3/24"),((база!$M$5*2*Таблица1[[#This Row],[Столбец1]]*Таблица1[[#This Row],[коэф]])),
IF((G48="5/16"),((база!$L$6*2*Таблица1[[#This Row],[Столбец1]]*Таблица1[[#This Row],[коэф]])),
IF(OR(G48="4/16",G48="3/16"),((база!$L$5*2*Таблица1[[#This Row],[Столбец1]]*Таблица1[[#This Row],[коэф]])),
IF(OR(G48="2/4",G48="3/4",G48="4/4"),((база!$I$5*2*Таблица1[[#This Row],[Столбец1]]*Таблица1[[#This Row],[коэф]])),
IF((G48="5/8"),((база!$J$6*2*Таблица1[[#This Row],[Столбец1]]*Таблица1[[#This Row],[коэф]])),
IF(OR(G48="4/8",G48="3/8",G48="2/8"),((база!$J$5*2*Таблица1[[#This Row],[Столбец1]]*Таблица1[[#This Row],[коэф]])))))))))))</f>
        <v>0</v>
      </c>
      <c r="AQ48" s="712" t="str">
        <f>IFERROR(INDEX(база!T:T, MATCH(F48,база!Q:Q,0)),"")</f>
        <v/>
      </c>
      <c r="AR48" s="208" t="str">
        <f>IFERROR(INDEX(база!D:D, MATCH(F48,база!B:B,0)),"")</f>
        <v/>
      </c>
      <c r="AS48" s="758" t="str">
        <f>IFERROR(INDEX(база!E:E, MATCH(F48,база!B:B,0)),"")</f>
        <v/>
      </c>
    </row>
    <row r="49" spans="1:45" ht="15">
      <c r="A49" s="1009" t="str">
        <f t="shared" si="1"/>
        <v>январь</v>
      </c>
      <c r="B49" t="n" s="1009">
        <v>2024.0</v>
      </c>
      <c r="C49" t="s" s="1009">
        <v>390</v>
      </c>
      <c r="D49" t="s" s="1009">
        <v>391</v>
      </c>
      <c r="E49" t="s" s="1009">
        <v>46</v>
      </c>
      <c r="F49" t="s" s="1009">
        <v>280</v>
      </c>
      <c r="G49" t="s" s="1009">
        <v>4</v>
      </c>
      <c r="H49" s="1009"/>
      <c r="I49" s="1009"/>
      <c r="J49" s="1009"/>
      <c r="K49" s="1009"/>
      <c r="L49" s="1009"/>
      <c r="M49" t="n" s="46">
        <v>2.0</v>
      </c>
      <c r="N49" t="n" s="1009">
        <v>4.0</v>
      </c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48"/>
      <c r="AJ49" s="48"/>
      <c r="AK49" s="48"/>
      <c r="AL49" s="51"/>
      <c r="AM49" s="212">
        <f>IF(AQ49=1,SUM(Q49:T49,W49:Z49,AC49:AF49,AI49:AL49),
IF(AQ49=2,SUM(P49,S49:V49,Y49:AB49,AE49:AH49,AK49:AL49),
IF(AQ49=3,SUM(P49:R49,U49:X49,AA49:AD49,AG49:AJ49),SUM(Таблица1[[#This Row],[1]:[31]])-Таблица1[[#This Row],[Столбец1]])))</f>
        <v>0</v>
      </c>
      <c r="AN49" s="778">
        <f t="array" ref="AN49">IF(AQ49=1,SUM(P49,U49:V49,AA49:AB49,AG49:AH49),
IF(AQ49=2,SUM(Q49:R49,W49:X49,AC49:AD49,AI49:AJ49),
IF(AQ49=3,SUM(S49:T49,Y49:Z49,AE49:AF49,AK49:AL49),
SUM(IFERROR(WEEKDAY($H$2:$AL$2,2)&gt;5,)*H49:AL49))))+Таблица1[[#This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9" s="292" t="b">
        <f>IF(AR49&lt;=3,(IF((G49="5/24"),((база!$M$6*Таблица1[[#This Row],[сумма]]*Таблица1[[#This Row],[коэф]])),
IF((G49="4/24"),((база!$M$5*Таблица1[[#This Row],[сумма]]*Таблица1[[#This Row],[коэф]])),
IF((G49="3/24"),((база!$M$4*Таблица1[[#This Row],[сумма]]*Таблица1[[#This Row],[коэф]])),
IF((G49="5/16"),((база!$L$6*Таблица1[[#This Row],[сумма]]*Таблица1[[#This Row],[коэф]])),
IF((G49="4/16"),((база!$L$5*Таблица1[[#This Row],[сумма]]*Таблица1[[#This Row],[коэф]])),
IF((G49="3/16"),((база!$L$4*Таблица1[[#This Row],[сумма]]*Таблица1[[#This Row],[коэф]])),
IF((G49="4/4"),((база!$I$5*Таблица1[[#This Row],[сумма]]*Таблица1[[#This Row],[коэф]])),
IF(OR(G49="2/4",G49="3/4"),((база!$I$4*Таблица1[[#This Row],[сумма]]*Таблица1[[#This Row],[коэф]])),
IF((G49="5/8"),((база!$J$6*Таблица1[[#This Row],[сумма]]*Таблица1[[#This Row],[коэф]])),
IF((G49="4/8"),((база!$J$5*Таблица1[[#This Row],[сумма]]*Таблица1[[#This Row],[коэф]])),
IF(OR(G49="3/8",G49="2/8"),((база!$J$4*Таблица1[[#This Row],[сумма]]*Таблица1[[#This Row],[коэф]])))))))))))))),
(IF((G49="5/24"),((база!$M$6*Таблица1[[#This Row],[сумма]]*Таблица1[[#This Row],[коэф]])),
IF(OR(G49="4/24",G49="3/24"),((база!$M$5*Таблица1[[#This Row],[сумма]]*Таблица1[[#This Row],[коэф]])),
IF((G49="5/16"),((база!$L$6*Таблица1[[#This Row],[сумма]]*Таблица1[[#This Row],[коэф]])),
IF(OR(G49="4/16",G49="3/16"),((база!$L$5*Таблица1[[#This Row],[сумма]]*Таблица1[[#This Row],[коэф]])),
IF(OR(G49="2/4",G49="3/4",G49="4/4"),((база!$I$5*Таблица1[[#This Row],[сумма]]*Таблица1[[#This Row],[коэф]])),
IF((G49="5/8"),((база!$J$6*Таблица1[[#This Row],[сумма]]*Таблица1[[#This Row],[коэф]])),
IF(OR(G49="4/8",G49="3/8",G49="2/8"),((база!$J$5*Таблица1[[#This Row],[сумма]]*Таблица1[[#This Row],[коэф]])))))))))))</f>
        <v>0</v>
      </c>
      <c r="AP49" s="730" t="b">
        <f>IF(AR49&lt;=3,(IF((G49="5/24"),((база!$M$6*2*Таблица1[[#This Row],[Столбец1]]*Таблица1[[#This Row],[коэф]])),
IF((G49="4/24"),((база!$M$5*2*Таблица1[[#This Row],[Столбец1]]*Таблица1[[#This Row],[коэф]])),
IF((G49="3/24"),((база!$M$4*2*Таблица1[[#This Row],[Столбец1]]*Таблица1[[#This Row],[коэф]])),
IF((G49="5/16"),((база!$L$6*2*Таблица1[[#This Row],[Столбец1]]*Таблица1[[#This Row],[коэф]])),
IF((G49="4/16"),((база!$L$5*2*Таблица1[[#This Row],[Столбец1]]*Таблица1[[#This Row],[коэф]])),
IF((G49="3/16"),((база!$L$4*2*Таблица1[[#This Row],[Столбец1]]*Таблица1[[#This Row],[коэф]])),
IF((G49="4/4"),((база!$I$5*2*Таблица1[[#This Row],[Столбец1]]*Таблица1[[#This Row],[коэф]])),
IF(OR(G49="2/4",G49="3/4"),((база!$I$4*2*Таблица1[[#This Row],[Столбец1]]*Таблица1[[#This Row],[коэф]])),
IF((G49="5/8"),((база!$J$6*2*Таблица1[[#This Row],[Столбец1]]*Таблица1[[#This Row],[коэф]])),
IF((G49="4/8"),((база!$J$5*2*Таблица1[[#This Row],[Столбец1]]*Таблица1[[#This Row],[коэф]])),
IF(OR(G49="3/8",G49="2/8"),((база!$J$4*2*Таблица1[[#This Row],[Столбец1]]*Таблица1[[#This Row],[коэф]])))))))))))))),
(IF((G49="5/24"),((база!$M$6*2*Таблица1[[#This Row],[Столбец1]]*Таблица1[[#This Row],[коэф]])),
IF(OR(G49="4/24",G49="3/24"),((база!$M$5*2*Таблица1[[#This Row],[Столбец1]]*Таблица1[[#This Row],[коэф]])),
IF((G49="5/16"),((база!$L$6*2*Таблица1[[#This Row],[Столбец1]]*Таблица1[[#This Row],[коэф]])),
IF(OR(G49="4/16",G49="3/16"),((база!$L$5*2*Таблица1[[#This Row],[Столбец1]]*Таблица1[[#This Row],[коэф]])),
IF(OR(G49="2/4",G49="3/4",G49="4/4"),((база!$I$5*2*Таблица1[[#This Row],[Столбец1]]*Таблица1[[#This Row],[коэф]])),
IF((G49="5/8"),((база!$J$6*2*Таблица1[[#This Row],[Столбец1]]*Таблица1[[#This Row],[коэф]])),
IF(OR(G49="4/8",G49="3/8",G49="2/8"),((база!$J$5*2*Таблица1[[#This Row],[Столбец1]]*Таблица1[[#This Row],[коэф]])))))))))))</f>
        <v>0</v>
      </c>
      <c r="AQ49" s="712" t="str">
        <f>IFERROR(INDEX(база!T:T, MATCH(F49,база!Q:Q,0)),"")</f>
        <v/>
      </c>
      <c r="AR49" s="208" t="str">
        <f>IFERROR(INDEX(база!D:D, MATCH(F49,база!B:B,0)),"")</f>
        <v/>
      </c>
      <c r="AS49" s="758" t="str">
        <f>IFERROR(INDEX(база!E:E, MATCH(F49,база!B:B,0)),"")</f>
        <v/>
      </c>
    </row>
    <row r="50" spans="1:45" ht="15">
      <c r="A50" s="1011" t="str">
        <f t="shared" si="1"/>
        <v>январь</v>
      </c>
      <c r="B50" t="n" s="1011">
        <v>2024.0</v>
      </c>
      <c r="C50" t="s" s="1011">
        <v>388</v>
      </c>
      <c r="D50" t="s" s="1011">
        <v>364</v>
      </c>
      <c r="E50" t="s" s="1011">
        <v>46</v>
      </c>
      <c r="F50" t="s" s="1011">
        <v>322</v>
      </c>
      <c r="G50" t="s" s="1011">
        <v>4</v>
      </c>
      <c r="H50" s="1011"/>
      <c r="I50" s="1011"/>
      <c r="J50" s="1011"/>
      <c r="K50" s="1011"/>
      <c r="L50" s="1011"/>
      <c r="M50" s="1011"/>
      <c r="N50" t="n" s="1011">
        <v>5.0</v>
      </c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  <c r="AJ50" s="48"/>
      <c r="AK50" s="48"/>
      <c r="AL50" s="51"/>
      <c r="AM50" s="212">
        <f>IF(AQ50=1,SUM(Q50:T50,W50:Z50,AC50:AF50,AI50:AL50),
IF(AQ50=2,SUM(P50,S50:V50,Y50:AB50,AE50:AH50,AK50:AL50),
IF(AQ50=3,SUM(P50:R50,U50:X50,AA50:AD50,AG50:AJ50),SUM(Таблица1[[#This Row],[1]:[31]])-Таблица1[[#This Row],[Столбец1]])))</f>
        <v>0</v>
      </c>
      <c r="AN50" s="778">
        <f t="array" ref="AN50">IF(AQ50=1,SUM(P50,U50:V50,AA50:AB50,AG50:AH50),
IF(AQ50=2,SUM(Q50:R50,W50:X50,AC50:AD50,AI50:AJ50),
IF(AQ50=3,SUM(S50:T50,Y50:Z50,AE50:AF50,AK50:AL50),
SUM(IFERROR(WEEKDAY($H$2:$AL$2,2)&gt;5,)*H50:AL50))))+Таблица1[[#This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0" s="292" t="b">
        <f>IF(AR50&lt;=3,(IF((G50="5/24"),((база!$M$6*Таблица1[[#This Row],[сумма]]*Таблица1[[#This Row],[коэф]])),
IF((G50="4/24"),((база!$M$5*Таблица1[[#This Row],[сумма]]*Таблица1[[#This Row],[коэф]])),
IF((G50="3/24"),((база!$M$4*Таблица1[[#This Row],[сумма]]*Таблица1[[#This Row],[коэф]])),
IF((G50="5/16"),((база!$L$6*Таблица1[[#This Row],[сумма]]*Таблица1[[#This Row],[коэф]])),
IF((G50="4/16"),((база!$L$5*Таблица1[[#This Row],[сумма]]*Таблица1[[#This Row],[коэф]])),
IF((G50="3/16"),((база!$L$4*Таблица1[[#This Row],[сумма]]*Таблица1[[#This Row],[коэф]])),
IF((G50="4/4"),((база!$I$5*Таблица1[[#This Row],[сумма]]*Таблица1[[#This Row],[коэф]])),
IF(OR(G50="2/4",G50="3/4"),((база!$I$4*Таблица1[[#This Row],[сумма]]*Таблица1[[#This Row],[коэф]])),
IF((G50="5/8"),((база!$J$6*Таблица1[[#This Row],[сумма]]*Таблица1[[#This Row],[коэф]])),
IF((G50="4/8"),((база!$J$5*Таблица1[[#This Row],[сумма]]*Таблица1[[#This Row],[коэф]])),
IF(OR(G50="3/8",G50="2/8"),((база!$J$4*Таблица1[[#This Row],[сумма]]*Таблица1[[#This Row],[коэф]])))))))))))))),
(IF((G50="5/24"),((база!$M$6*Таблица1[[#This Row],[сумма]]*Таблица1[[#This Row],[коэф]])),
IF(OR(G50="4/24",G50="3/24"),((база!$M$5*Таблица1[[#This Row],[сумма]]*Таблица1[[#This Row],[коэф]])),
IF((G50="5/16"),((база!$L$6*Таблица1[[#This Row],[сумма]]*Таблица1[[#This Row],[коэф]])),
IF(OR(G50="4/16",G50="3/16"),((база!$L$5*Таблица1[[#This Row],[сумма]]*Таблица1[[#This Row],[коэф]])),
IF(OR(G50="2/4",G50="3/4",G50="4/4"),((база!$I$5*Таблица1[[#This Row],[сумма]]*Таблица1[[#This Row],[коэф]])),
IF((G50="5/8"),((база!$J$6*Таблица1[[#This Row],[сумма]]*Таблица1[[#This Row],[коэф]])),
IF(OR(G50="4/8",G50="3/8",G50="2/8"),((база!$J$5*Таблица1[[#This Row],[сумма]]*Таблица1[[#This Row],[коэф]])))))))))))</f>
        <v>0</v>
      </c>
      <c r="AP50" s="730" t="b">
        <f>IF(AR50&lt;=3,(IF((G50="5/24"),((база!$M$6*2*Таблица1[[#This Row],[Столбец1]]*Таблица1[[#This Row],[коэф]])),
IF((G50="4/24"),((база!$M$5*2*Таблица1[[#This Row],[Столбец1]]*Таблица1[[#This Row],[коэф]])),
IF((G50="3/24"),((база!$M$4*2*Таблица1[[#This Row],[Столбец1]]*Таблица1[[#This Row],[коэф]])),
IF((G50="5/16"),((база!$L$6*2*Таблица1[[#This Row],[Столбец1]]*Таблица1[[#This Row],[коэф]])),
IF((G50="4/16"),((база!$L$5*2*Таблица1[[#This Row],[Столбец1]]*Таблица1[[#This Row],[коэф]])),
IF((G50="3/16"),((база!$L$4*2*Таблица1[[#This Row],[Столбец1]]*Таблица1[[#This Row],[коэф]])),
IF((G50="4/4"),((база!$I$5*2*Таблица1[[#This Row],[Столбец1]]*Таблица1[[#This Row],[коэф]])),
IF(OR(G50="2/4",G50="3/4"),((база!$I$4*2*Таблица1[[#This Row],[Столбец1]]*Таблица1[[#This Row],[коэф]])),
IF((G50="5/8"),((база!$J$6*2*Таблица1[[#This Row],[Столбец1]]*Таблица1[[#This Row],[коэф]])),
IF((G50="4/8"),((база!$J$5*2*Таблица1[[#This Row],[Столбец1]]*Таблица1[[#This Row],[коэф]])),
IF(OR(G50="3/8",G50="2/8"),((база!$J$4*2*Таблица1[[#This Row],[Столбец1]]*Таблица1[[#This Row],[коэф]])))))))))))))),
(IF((G50="5/24"),((база!$M$6*2*Таблица1[[#This Row],[Столбец1]]*Таблица1[[#This Row],[коэф]])),
IF(OR(G50="4/24",G50="3/24"),((база!$M$5*2*Таблица1[[#This Row],[Столбец1]]*Таблица1[[#This Row],[коэф]])),
IF((G50="5/16"),((база!$L$6*2*Таблица1[[#This Row],[Столбец1]]*Таблица1[[#This Row],[коэф]])),
IF(OR(G50="4/16",G50="3/16"),((база!$L$5*2*Таблица1[[#This Row],[Столбец1]]*Таблица1[[#This Row],[коэф]])),
IF(OR(G50="2/4",G50="3/4",G50="4/4"),((база!$I$5*2*Таблица1[[#This Row],[Столбец1]]*Таблица1[[#This Row],[коэф]])),
IF((G50="5/8"),((база!$J$6*2*Таблица1[[#This Row],[Столбец1]]*Таблица1[[#This Row],[коэф]])),
IF(OR(G50="4/8",G50="3/8",G50="2/8"),((база!$J$5*2*Таблица1[[#This Row],[Столбец1]]*Таблица1[[#This Row],[коэф]])))))))))))</f>
        <v>0</v>
      </c>
      <c r="AQ50" s="712" t="str">
        <f>IFERROR(INDEX(база!T:T, MATCH(F50,база!Q:Q,0)),"")</f>
        <v/>
      </c>
      <c r="AR50" s="208" t="str">
        <f>IFERROR(INDEX(база!D:D, MATCH(F50,база!B:B,0)),"")</f>
        <v/>
      </c>
      <c r="AS50" s="758" t="str">
        <f>IFERROR(INDEX(база!E:E, MATCH(F50,база!B:B,0)),"")</f>
        <v/>
      </c>
    </row>
    <row r="51" spans="1:45" ht="15">
      <c r="A51" s="1012" t="str">
        <f t="shared" si="1"/>
        <v>январь</v>
      </c>
      <c r="B51" t="n" s="1012">
        <v>2024.0</v>
      </c>
      <c r="C51" t="s" s="1012">
        <v>392</v>
      </c>
      <c r="D51" t="s" s="1012">
        <v>364</v>
      </c>
      <c r="E51" t="s" s="1012">
        <v>46</v>
      </c>
      <c r="F51" t="s" s="1012">
        <v>303</v>
      </c>
      <c r="G51" t="s" s="1012">
        <v>6</v>
      </c>
      <c r="H51" s="1012"/>
      <c r="I51" s="1012"/>
      <c r="J51" s="1012"/>
      <c r="K51" s="1012"/>
      <c r="L51" s="1012"/>
      <c r="M51" s="1012"/>
      <c r="N51" t="n" s="1012">
        <v>3.6</v>
      </c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48"/>
      <c r="AJ51" s="48"/>
      <c r="AK51" s="48"/>
      <c r="AL51" s="51"/>
      <c r="AM51" s="212">
        <f>IF(AQ51=1,SUM(Q51:T51,W51:Z51,AC51:AF51,AI51:AL51),
IF(AQ51=2,SUM(P51,S51:V51,Y51:AB51,AE51:AH51,AK51:AL51),
IF(AQ51=3,SUM(P51:R51,U51:X51,AA51:AD51,AG51:AJ51),SUM(Таблица1[[#This Row],[1]:[31]])-Таблица1[[#This Row],[Столбец1]])))</f>
        <v>0</v>
      </c>
      <c r="AN51" s="778">
        <f t="array" ref="AN51">IF(AQ51=1,SUM(P51,U51:V51,AA51:AB51,AG51:AH51),
IF(AQ51=2,SUM(Q51:R51,W51:X51,AC51:AD51,AI51:AJ51),
IF(AQ51=3,SUM(S51:T51,Y51:Z51,AE51:AF51,AK51:AL51),
SUM(IFERROR(WEEKDAY($H$2:$AL$2,2)&gt;5,)*H51:AL51))))+Таблица1[[#This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1" s="292" t="b">
        <f>IF(AR51&lt;=3,(IF((G51="5/24"),((база!$M$6*Таблица1[[#This Row],[сумма]]*Таблица1[[#This Row],[коэф]])),
IF((G51="4/24"),((база!$M$5*Таблица1[[#This Row],[сумма]]*Таблица1[[#This Row],[коэф]])),
IF((G51="3/24"),((база!$M$4*Таблица1[[#This Row],[сумма]]*Таблица1[[#This Row],[коэф]])),
IF((G51="5/16"),((база!$L$6*Таблица1[[#This Row],[сумма]]*Таблица1[[#This Row],[коэф]])),
IF((G51="4/16"),((база!$L$5*Таблица1[[#This Row],[сумма]]*Таблица1[[#This Row],[коэф]])),
IF((G51="3/16"),((база!$L$4*Таблица1[[#This Row],[сумма]]*Таблица1[[#This Row],[коэф]])),
IF((G51="4/4"),((база!$I$5*Таблица1[[#This Row],[сумма]]*Таблица1[[#This Row],[коэф]])),
IF(OR(G51="2/4",G51="3/4"),((база!$I$4*Таблица1[[#This Row],[сумма]]*Таблица1[[#This Row],[коэф]])),
IF((G51="5/8"),((база!$J$6*Таблица1[[#This Row],[сумма]]*Таблица1[[#This Row],[коэф]])),
IF((G51="4/8"),((база!$J$5*Таблица1[[#This Row],[сумма]]*Таблица1[[#This Row],[коэф]])),
IF(OR(G51="3/8",G51="2/8"),((база!$J$4*Таблица1[[#This Row],[сумма]]*Таблица1[[#This Row],[коэф]])))))))))))))),
(IF((G51="5/24"),((база!$M$6*Таблица1[[#This Row],[сумма]]*Таблица1[[#This Row],[коэф]])),
IF(OR(G51="4/24",G51="3/24"),((база!$M$5*Таблица1[[#This Row],[сумма]]*Таблица1[[#This Row],[коэф]])),
IF((G51="5/16"),((база!$L$6*Таблица1[[#This Row],[сумма]]*Таблица1[[#This Row],[коэф]])),
IF(OR(G51="4/16",G51="3/16"),((база!$L$5*Таблица1[[#This Row],[сумма]]*Таблица1[[#This Row],[коэф]])),
IF(OR(G51="2/4",G51="3/4",G51="4/4"),((база!$I$5*Таблица1[[#This Row],[сумма]]*Таблица1[[#This Row],[коэф]])),
IF((G51="5/8"),((база!$J$6*Таблица1[[#This Row],[сумма]]*Таблица1[[#This Row],[коэф]])),
IF(OR(G51="4/8",G51="3/8",G51="2/8"),((база!$J$5*Таблица1[[#This Row],[сумма]]*Таблица1[[#This Row],[коэф]])))))))))))</f>
        <v>0</v>
      </c>
      <c r="AP51" s="730" t="b">
        <f>IF(AR51&lt;=3,(IF((G51="5/24"),((база!$M$6*2*Таблица1[[#This Row],[Столбец1]]*Таблица1[[#This Row],[коэф]])),
IF((G51="4/24"),((база!$M$5*2*Таблица1[[#This Row],[Столбец1]]*Таблица1[[#This Row],[коэф]])),
IF((G51="3/24"),((база!$M$4*2*Таблица1[[#This Row],[Столбец1]]*Таблица1[[#This Row],[коэф]])),
IF((G51="5/16"),((база!$L$6*2*Таблица1[[#This Row],[Столбец1]]*Таблица1[[#This Row],[коэф]])),
IF((G51="4/16"),((база!$L$5*2*Таблица1[[#This Row],[Столбец1]]*Таблица1[[#This Row],[коэф]])),
IF((G51="3/16"),((база!$L$4*2*Таблица1[[#This Row],[Столбец1]]*Таблица1[[#This Row],[коэф]])),
IF((G51="4/4"),((база!$I$5*2*Таблица1[[#This Row],[Столбец1]]*Таблица1[[#This Row],[коэф]])),
IF(OR(G51="2/4",G51="3/4"),((база!$I$4*2*Таблица1[[#This Row],[Столбец1]]*Таблица1[[#This Row],[коэф]])),
IF((G51="5/8"),((база!$J$6*2*Таблица1[[#This Row],[Столбец1]]*Таблица1[[#This Row],[коэф]])),
IF((G51="4/8"),((база!$J$5*2*Таблица1[[#This Row],[Столбец1]]*Таблица1[[#This Row],[коэф]])),
IF(OR(G51="3/8",G51="2/8"),((база!$J$4*2*Таблица1[[#This Row],[Столбец1]]*Таблица1[[#This Row],[коэф]])))))))))))))),
(IF((G51="5/24"),((база!$M$6*2*Таблица1[[#This Row],[Столбец1]]*Таблица1[[#This Row],[коэф]])),
IF(OR(G51="4/24",G51="3/24"),((база!$M$5*2*Таблица1[[#This Row],[Столбец1]]*Таблица1[[#This Row],[коэф]])),
IF((G51="5/16"),((база!$L$6*2*Таблица1[[#This Row],[Столбец1]]*Таблица1[[#This Row],[коэф]])),
IF(OR(G51="4/16",G51="3/16"),((база!$L$5*2*Таблица1[[#This Row],[Столбец1]]*Таблица1[[#This Row],[коэф]])),
IF(OR(G51="2/4",G51="3/4",G51="4/4"),((база!$I$5*2*Таблица1[[#This Row],[Столбец1]]*Таблица1[[#This Row],[коэф]])),
IF((G51="5/8"),((база!$J$6*2*Таблица1[[#This Row],[Столбец1]]*Таблица1[[#This Row],[коэф]])),
IF(OR(G51="4/8",G51="3/8",G51="2/8"),((база!$J$5*2*Таблица1[[#This Row],[Столбец1]]*Таблица1[[#This Row],[коэф]])))))))))))</f>
        <v>0</v>
      </c>
      <c r="AQ51" s="712" t="str">
        <f>IFERROR(INDEX(база!T:T, MATCH(F51,база!Q:Q,0)),"")</f>
        <v/>
      </c>
      <c r="AR51" s="208" t="str">
        <f>IFERROR(INDEX(база!D:D, MATCH(F51,база!B:B,0)),"")</f>
        <v/>
      </c>
      <c r="AS51" s="758" t="str">
        <f>IFERROR(INDEX(база!E:E, MATCH(F51,база!B:B,0)),"")</f>
        <v/>
      </c>
    </row>
    <row r="52" spans="1:45" ht="15">
      <c r="A52" s="1013" t="str">
        <f t="shared" si="1"/>
        <v>январь</v>
      </c>
      <c r="B52" t="n" s="1013">
        <v>2024.0</v>
      </c>
      <c r="C52" t="s" s="1013">
        <v>388</v>
      </c>
      <c r="D52" t="s" s="1013">
        <v>364</v>
      </c>
      <c r="E52" t="s" s="1013">
        <v>46</v>
      </c>
      <c r="F52" t="s" s="1013">
        <v>303</v>
      </c>
      <c r="G52" t="s" s="1013">
        <v>6</v>
      </c>
      <c r="H52" s="1013"/>
      <c r="I52" s="1013"/>
      <c r="J52" s="1013"/>
      <c r="K52" s="1013"/>
      <c r="L52" s="1013"/>
      <c r="M52" t="n" s="46">
        <v>3.6</v>
      </c>
      <c r="N52" t="n" s="1013">
        <v>3.6</v>
      </c>
      <c r="O52" t="n" s="46">
        <v>5.0</v>
      </c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  <c r="AJ52" s="48"/>
      <c r="AK52" s="48"/>
      <c r="AL52" s="51"/>
      <c r="AM52" s="212">
        <f>IF(AQ52=1,SUM(Q52:T52,W52:Z52,AC52:AF52,AI52:AL52),
IF(AQ52=2,SUM(P52,S52:V52,Y52:AB52,AE52:AH52,AK52:AL52),
IF(AQ52=3,SUM(P52:R52,U52:X52,AA52:AD52,AG52:AJ52),SUM(Таблица1[[#This Row],[1]:[31]])-Таблица1[[#This Row],[Столбец1]])))</f>
        <v>0</v>
      </c>
      <c r="AN52" s="778">
        <f t="array" ref="AN52">IF(AQ52=1,SUM(P52,U52:V52,AA52:AB52,AG52:AH52),
IF(AQ52=2,SUM(Q52:R52,W52:X52,AC52:AD52,AI52:AJ52),
IF(AQ52=3,SUM(S52:T52,Y52:Z52,AE52:AF52,AK52:AL52),
SUM(IFERROR(WEEKDAY($H$2:$AL$2,2)&gt;5,)*H52:AL52))))+Таблица1[[#This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2" s="292" t="b">
        <f>IF(AR52&lt;=3,(IF((G52="5/24"),((база!$M$6*Таблица1[[#This Row],[сумма]]*Таблица1[[#This Row],[коэф]])),
IF((G52="4/24"),((база!$M$5*Таблица1[[#This Row],[сумма]]*Таблица1[[#This Row],[коэф]])),
IF((G52="3/24"),((база!$M$4*Таблица1[[#This Row],[сумма]]*Таблица1[[#This Row],[коэф]])),
IF((G52="5/16"),((база!$L$6*Таблица1[[#This Row],[сумма]]*Таблица1[[#This Row],[коэф]])),
IF((G52="4/16"),((база!$L$5*Таблица1[[#This Row],[сумма]]*Таблица1[[#This Row],[коэф]])),
IF((G52="3/16"),((база!$L$4*Таблица1[[#This Row],[сумма]]*Таблица1[[#This Row],[коэф]])),
IF((G52="4/4"),((база!$I$5*Таблица1[[#This Row],[сумма]]*Таблица1[[#This Row],[коэф]])),
IF(OR(G52="2/4",G52="3/4"),((база!$I$4*Таблица1[[#This Row],[сумма]]*Таблица1[[#This Row],[коэф]])),
IF((G52="5/8"),((база!$J$6*Таблица1[[#This Row],[сумма]]*Таблица1[[#This Row],[коэф]])),
IF((G52="4/8"),((база!$J$5*Таблица1[[#This Row],[сумма]]*Таблица1[[#This Row],[коэф]])),
IF(OR(G52="3/8",G52="2/8"),((база!$J$4*Таблица1[[#This Row],[сумма]]*Таблица1[[#This Row],[коэф]])))))))))))))),
(IF((G52="5/24"),((база!$M$6*Таблица1[[#This Row],[сумма]]*Таблица1[[#This Row],[коэф]])),
IF(OR(G52="4/24",G52="3/24"),((база!$M$5*Таблица1[[#This Row],[сумма]]*Таблица1[[#This Row],[коэф]])),
IF((G52="5/16"),((база!$L$6*Таблица1[[#This Row],[сумма]]*Таблица1[[#This Row],[коэф]])),
IF(OR(G52="4/16",G52="3/16"),((база!$L$5*Таблица1[[#This Row],[сумма]]*Таблица1[[#This Row],[коэф]])),
IF(OR(G52="2/4",G52="3/4",G52="4/4"),((база!$I$5*Таблица1[[#This Row],[сумма]]*Таблица1[[#This Row],[коэф]])),
IF((G52="5/8"),((база!$J$6*Таблица1[[#This Row],[сумма]]*Таблица1[[#This Row],[коэф]])),
IF(OR(G52="4/8",G52="3/8",G52="2/8"),((база!$J$5*Таблица1[[#This Row],[сумма]]*Таблица1[[#This Row],[коэф]])))))))))))</f>
        <v>0</v>
      </c>
      <c r="AP52" s="730" t="b">
        <f>IF(AR52&lt;=3,(IF((G52="5/24"),((база!$M$6*2*Таблица1[[#This Row],[Столбец1]]*Таблица1[[#This Row],[коэф]])),
IF((G52="4/24"),((база!$M$5*2*Таблица1[[#This Row],[Столбец1]]*Таблица1[[#This Row],[коэф]])),
IF((G52="3/24"),((база!$M$4*2*Таблица1[[#This Row],[Столбец1]]*Таблица1[[#This Row],[коэф]])),
IF((G52="5/16"),((база!$L$6*2*Таблица1[[#This Row],[Столбец1]]*Таблица1[[#This Row],[коэф]])),
IF((G52="4/16"),((база!$L$5*2*Таблица1[[#This Row],[Столбец1]]*Таблица1[[#This Row],[коэф]])),
IF((G52="3/16"),((база!$L$4*2*Таблица1[[#This Row],[Столбец1]]*Таблица1[[#This Row],[коэф]])),
IF((G52="4/4"),((база!$I$5*2*Таблица1[[#This Row],[Столбец1]]*Таблица1[[#This Row],[коэф]])),
IF(OR(G52="2/4",G52="3/4"),((база!$I$4*2*Таблица1[[#This Row],[Столбец1]]*Таблица1[[#This Row],[коэф]])),
IF((G52="5/8"),((база!$J$6*2*Таблица1[[#This Row],[Столбец1]]*Таблица1[[#This Row],[коэф]])),
IF((G52="4/8"),((база!$J$5*2*Таблица1[[#This Row],[Столбец1]]*Таблица1[[#This Row],[коэф]])),
IF(OR(G52="3/8",G52="2/8"),((база!$J$4*2*Таблица1[[#This Row],[Столбец1]]*Таблица1[[#This Row],[коэф]])))))))))))))),
(IF((G52="5/24"),((база!$M$6*2*Таблица1[[#This Row],[Столбец1]]*Таблица1[[#This Row],[коэф]])),
IF(OR(G52="4/24",G52="3/24"),((база!$M$5*2*Таблица1[[#This Row],[Столбец1]]*Таблица1[[#This Row],[коэф]])),
IF((G52="5/16"),((база!$L$6*2*Таблица1[[#This Row],[Столбец1]]*Таблица1[[#This Row],[коэф]])),
IF(OR(G52="4/16",G52="3/16"),((база!$L$5*2*Таблица1[[#This Row],[Столбец1]]*Таблица1[[#This Row],[коэф]])),
IF(OR(G52="2/4",G52="3/4",G52="4/4"),((база!$I$5*2*Таблица1[[#This Row],[Столбец1]]*Таблица1[[#This Row],[коэф]])),
IF((G52="5/8"),((база!$J$6*2*Таблица1[[#This Row],[Столбец1]]*Таблица1[[#This Row],[коэф]])),
IF(OR(G52="4/8",G52="3/8",G52="2/8"),((база!$J$5*2*Таблица1[[#This Row],[Столбец1]]*Таблица1[[#This Row],[коэф]])))))))))))</f>
        <v>0</v>
      </c>
      <c r="AQ52" s="712" t="str">
        <f>IFERROR(INDEX(база!T:T, MATCH(F52,база!Q:Q,0)),"")</f>
        <v/>
      </c>
      <c r="AR52" s="208" t="str">
        <f>IFERROR(INDEX(база!D:D, MATCH(F52,база!B:B,0)),"")</f>
        <v/>
      </c>
      <c r="AS52" s="758" t="str">
        <f>IFERROR(INDEX(база!E:E, MATCH(F52,база!B:B,0)),"")</f>
        <v/>
      </c>
    </row>
    <row r="53" spans="1:45" ht="15">
      <c r="A53" s="1014" t="str">
        <f t="shared" si="1"/>
        <v>январь</v>
      </c>
      <c r="B53" t="n" s="1014">
        <v>2024.0</v>
      </c>
      <c r="C53" t="s" s="1014">
        <v>388</v>
      </c>
      <c r="D53" t="s" s="1014">
        <v>364</v>
      </c>
      <c r="E53" t="s" s="1014">
        <v>46</v>
      </c>
      <c r="F53" t="s" s="1014">
        <v>303</v>
      </c>
      <c r="G53" t="s" s="1014">
        <v>4</v>
      </c>
      <c r="H53" s="1014"/>
      <c r="I53" s="1014"/>
      <c r="J53" s="1014"/>
      <c r="K53" s="1014"/>
      <c r="L53" s="1014"/>
      <c r="M53" t="n" s="1014">
        <v>3.3</v>
      </c>
      <c r="N53" s="49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48"/>
      <c r="AJ53" s="48"/>
      <c r="AK53" s="48"/>
      <c r="AL53" s="51"/>
      <c r="AM53" s="212">
        <f>IF(AQ53=1,SUM(Q53:T53,W53:Z53,AC53:AF53,AI53:AL53),
IF(AQ53=2,SUM(P53,S53:V53,Y53:AB53,AE53:AH53,AK53:AL53),
IF(AQ53=3,SUM(P53:R53,U53:X53,AA53:AD53,AG53:AJ53),SUM(Таблица1[[#This Row],[1]:[31]])-Таблица1[[#This Row],[Столбец1]])))</f>
        <v>0</v>
      </c>
      <c r="AN53" s="778">
        <f t="array" ref="AN53">IF(AQ53=1,SUM(P53,U53:V53,AA53:AB53,AG53:AH53),
IF(AQ53=2,SUM(Q53:R53,W53:X53,AC53:AD53,AI53:AJ53),
IF(AQ53=3,SUM(S53:T53,Y53:Z53,AE53:AF53,AK53:AL53),
SUM(IFERROR(WEEKDAY($H$2:$AL$2,2)&gt;5,)*H53:AL53))))+Таблица1[[#This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3" s="292" t="b">
        <f>IF(AR53&lt;=3,(IF((G53="5/24"),((база!$M$6*Таблица1[[#This Row],[сумма]]*Таблица1[[#This Row],[коэф]])),
IF((G53="4/24"),((база!$M$5*Таблица1[[#This Row],[сумма]]*Таблица1[[#This Row],[коэф]])),
IF((G53="3/24"),((база!$M$4*Таблица1[[#This Row],[сумма]]*Таблица1[[#This Row],[коэф]])),
IF((G53="5/16"),((база!$L$6*Таблица1[[#This Row],[сумма]]*Таблица1[[#This Row],[коэф]])),
IF((G53="4/16"),((база!$L$5*Таблица1[[#This Row],[сумма]]*Таблица1[[#This Row],[коэф]])),
IF((G53="3/16"),((база!$L$4*Таблица1[[#This Row],[сумма]]*Таблица1[[#This Row],[коэф]])),
IF((G53="4/4"),((база!$I$5*Таблица1[[#This Row],[сумма]]*Таблица1[[#This Row],[коэф]])),
IF(OR(G53="2/4",G53="3/4"),((база!$I$4*Таблица1[[#This Row],[сумма]]*Таблица1[[#This Row],[коэф]])),
IF((G53="5/8"),((база!$J$6*Таблица1[[#This Row],[сумма]]*Таблица1[[#This Row],[коэф]])),
IF((G53="4/8"),((база!$J$5*Таблица1[[#This Row],[сумма]]*Таблица1[[#This Row],[коэф]])),
IF(OR(G53="3/8",G53="2/8"),((база!$J$4*Таблица1[[#This Row],[сумма]]*Таблица1[[#This Row],[коэф]])))))))))))))),
(IF((G53="5/24"),((база!$M$6*Таблица1[[#This Row],[сумма]]*Таблица1[[#This Row],[коэф]])),
IF(OR(G53="4/24",G53="3/24"),((база!$M$5*Таблица1[[#This Row],[сумма]]*Таблица1[[#This Row],[коэф]])),
IF((G53="5/16"),((база!$L$6*Таблица1[[#This Row],[сумма]]*Таблица1[[#This Row],[коэф]])),
IF(OR(G53="4/16",G53="3/16"),((база!$L$5*Таблица1[[#This Row],[сумма]]*Таблица1[[#This Row],[коэф]])),
IF(OR(G53="2/4",G53="3/4",G53="4/4"),((база!$I$5*Таблица1[[#This Row],[сумма]]*Таблица1[[#This Row],[коэф]])),
IF((G53="5/8"),((база!$J$6*Таблица1[[#This Row],[сумма]]*Таблица1[[#This Row],[коэф]])),
IF(OR(G53="4/8",G53="3/8",G53="2/8"),((база!$J$5*Таблица1[[#This Row],[сумма]]*Таблица1[[#This Row],[коэф]])))))))))))</f>
        <v>0</v>
      </c>
      <c r="AP53" s="730" t="b">
        <f>IF(AR53&lt;=3,(IF((G53="5/24"),((база!$M$6*2*Таблица1[[#This Row],[Столбец1]]*Таблица1[[#This Row],[коэф]])),
IF((G53="4/24"),((база!$M$5*2*Таблица1[[#This Row],[Столбец1]]*Таблица1[[#This Row],[коэф]])),
IF((G53="3/24"),((база!$M$4*2*Таблица1[[#This Row],[Столбец1]]*Таблица1[[#This Row],[коэф]])),
IF((G53="5/16"),((база!$L$6*2*Таблица1[[#This Row],[Столбец1]]*Таблица1[[#This Row],[коэф]])),
IF((G53="4/16"),((база!$L$5*2*Таблица1[[#This Row],[Столбец1]]*Таблица1[[#This Row],[коэф]])),
IF((G53="3/16"),((база!$L$4*2*Таблица1[[#This Row],[Столбец1]]*Таблица1[[#This Row],[коэф]])),
IF((G53="4/4"),((база!$I$5*2*Таблица1[[#This Row],[Столбец1]]*Таблица1[[#This Row],[коэф]])),
IF(OR(G53="2/4",G53="3/4"),((база!$I$4*2*Таблица1[[#This Row],[Столбец1]]*Таблица1[[#This Row],[коэф]])),
IF((G53="5/8"),((база!$J$6*2*Таблица1[[#This Row],[Столбец1]]*Таблица1[[#This Row],[коэф]])),
IF((G53="4/8"),((база!$J$5*2*Таблица1[[#This Row],[Столбец1]]*Таблица1[[#This Row],[коэф]])),
IF(OR(G53="3/8",G53="2/8"),((база!$J$4*2*Таблица1[[#This Row],[Столбец1]]*Таблица1[[#This Row],[коэф]])))))))))))))),
(IF((G53="5/24"),((база!$M$6*2*Таблица1[[#This Row],[Столбец1]]*Таблица1[[#This Row],[коэф]])),
IF(OR(G53="4/24",G53="3/24"),((база!$M$5*2*Таблица1[[#This Row],[Столбец1]]*Таблица1[[#This Row],[коэф]])),
IF((G53="5/16"),((база!$L$6*2*Таблица1[[#This Row],[Столбец1]]*Таблица1[[#This Row],[коэф]])),
IF(OR(G53="4/16",G53="3/16"),((база!$L$5*2*Таблица1[[#This Row],[Столбец1]]*Таблица1[[#This Row],[коэф]])),
IF(OR(G53="2/4",G53="3/4",G53="4/4"),((база!$I$5*2*Таблица1[[#This Row],[Столбец1]]*Таблица1[[#This Row],[коэф]])),
IF((G53="5/8"),((база!$J$6*2*Таблица1[[#This Row],[Столбец1]]*Таблица1[[#This Row],[коэф]])),
IF(OR(G53="4/8",G53="3/8",G53="2/8"),((база!$J$5*2*Таблица1[[#This Row],[Столбец1]]*Таблица1[[#This Row],[коэф]])))))))))))</f>
        <v>0</v>
      </c>
      <c r="AQ53" s="712" t="str">
        <f>IFERROR(INDEX(база!T:T, MATCH(F53,база!Q:Q,0)),"")</f>
        <v/>
      </c>
      <c r="AR53" s="208" t="str">
        <f>IFERROR(INDEX(база!D:D, MATCH(F53,база!B:B,0)),"")</f>
        <v/>
      </c>
      <c r="AS53" s="758" t="str">
        <f>IFERROR(INDEX(база!E:E, MATCH(F53,база!B:B,0)),"")</f>
        <v/>
      </c>
    </row>
    <row r="54" spans="1:45" s="46" customFormat="1" ht="15">
      <c r="A54" s="1015" t="str">
        <f t="shared" si="1"/>
        <v>январь</v>
      </c>
      <c r="B54" t="n" s="1015">
        <v>2024.0</v>
      </c>
      <c r="C54" t="s" s="1015">
        <v>386</v>
      </c>
      <c r="D54" t="s" s="1015">
        <v>364</v>
      </c>
      <c r="E54" t="s" s="1015">
        <v>46</v>
      </c>
      <c r="F54" t="s" s="1015">
        <v>303</v>
      </c>
      <c r="G54" t="s" s="1015">
        <v>6</v>
      </c>
      <c r="H54" s="1015"/>
      <c r="I54" s="1015"/>
      <c r="J54" s="1015"/>
      <c r="K54" s="1015"/>
      <c r="L54" s="1015"/>
      <c r="M54" t="n" s="1015">
        <v>0.3</v>
      </c>
      <c r="N54" s="49"/>
      <c r="O54" t="n" s="46">
        <v>2.2</v>
      </c>
      <c r="P54" s="48"/>
      <c r="Q54" s="48"/>
      <c r="R54" s="48"/>
      <c r="S54" s="48"/>
      <c r="T54" t="n" s="46">
        <v>6.0</v>
      </c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48"/>
      <c r="AJ54" s="48"/>
      <c r="AK54" s="48"/>
      <c r="AL54" s="51"/>
      <c r="AM54" s="212">
        <f>IF(AQ54=1,SUM(Q54:T54,W54:Z54,AC54:AF54,AI54:AL54),
IF(AQ54=2,SUM(P54,S54:V54,Y54:AB54,AE54:AH54,AK54:AL54),
IF(AQ54=3,SUM(P54:R54,U54:X54,AA54:AD54,AG54:AJ54),SUM(Таблица1[[#This Row],[1]:[31]])-Таблица1[[#This Row],[Столбец1]])))</f>
        <v>0</v>
      </c>
      <c r="AN54" s="778">
        <f t="array" ref="AN54">IF(AQ54=1,SUM(P54,U54:V54,AA54:AB54,AG54:AH54),
IF(AQ54=2,SUM(Q54:R54,W54:X54,AC54:AD54,AI54:AJ54),
IF(AQ54=3,SUM(S54:T54,Y54:Z54,AE54:AF54,AK54:AL54),
SUM(IFERROR(WEEKDAY($H$2:$AL$2,2)&gt;5,)*H54:AL54))))+Таблица1[[#This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4" s="292" t="b">
        <f>IF(AR54&lt;=3,(IF((G54="5/24"),((база!$M$6*Таблица1[[#This Row],[сумма]]*Таблица1[[#This Row],[коэф]])),
IF((G54="4/24"),((база!$M$5*Таблица1[[#This Row],[сумма]]*Таблица1[[#This Row],[коэф]])),
IF((G54="3/24"),((база!$M$4*Таблица1[[#This Row],[сумма]]*Таблица1[[#This Row],[коэф]])),
IF((G54="5/16"),((база!$L$6*Таблица1[[#This Row],[сумма]]*Таблица1[[#This Row],[коэф]])),
IF((G54="4/16"),((база!$L$5*Таблица1[[#This Row],[сумма]]*Таблица1[[#This Row],[коэф]])),
IF((G54="3/16"),((база!$L$4*Таблица1[[#This Row],[сумма]]*Таблица1[[#This Row],[коэф]])),
IF((G54="4/4"),((база!$I$5*Таблица1[[#This Row],[сумма]]*Таблица1[[#This Row],[коэф]])),
IF(OR(G54="2/4",G54="3/4"),((база!$I$4*Таблица1[[#This Row],[сумма]]*Таблица1[[#This Row],[коэф]])),
IF((G54="5/8"),((база!$J$6*Таблица1[[#This Row],[сумма]]*Таблица1[[#This Row],[коэф]])),
IF((G54="4/8"),((база!$J$5*Таблица1[[#This Row],[сумма]]*Таблица1[[#This Row],[коэф]])),
IF(OR(G54="3/8",G54="2/8"),((база!$J$4*Таблица1[[#This Row],[сумма]]*Таблица1[[#This Row],[коэф]])))))))))))))),
(IF((G54="5/24"),((база!$M$6*Таблица1[[#This Row],[сумма]]*Таблица1[[#This Row],[коэф]])),
IF(OR(G54="4/24",G54="3/24"),((база!$M$5*Таблица1[[#This Row],[сумма]]*Таблица1[[#This Row],[коэф]])),
IF((G54="5/16"),((база!$L$6*Таблица1[[#This Row],[сумма]]*Таблица1[[#This Row],[коэф]])),
IF(OR(G54="4/16",G54="3/16"),((база!$L$5*Таблица1[[#This Row],[сумма]]*Таблица1[[#This Row],[коэф]])),
IF(OR(G54="2/4",G54="3/4",G54="4/4"),((база!$I$5*Таблица1[[#This Row],[сумма]]*Таблица1[[#This Row],[коэф]])),
IF((G54="5/8"),((база!$J$6*Таблица1[[#This Row],[сумма]]*Таблица1[[#This Row],[коэф]])),
IF(OR(G54="4/8",G54="3/8",G54="2/8"),((база!$J$5*Таблица1[[#This Row],[сумма]]*Таблица1[[#This Row],[коэф]])))))))))))</f>
        <v>0</v>
      </c>
      <c r="AP54" s="730" t="b">
        <f>IF(AR54&lt;=3,(IF((G54="5/24"),((база!$M$6*2*Таблица1[[#This Row],[Столбец1]]*Таблица1[[#This Row],[коэф]])),
IF((G54="4/24"),((база!$M$5*2*Таблица1[[#This Row],[Столбец1]]*Таблица1[[#This Row],[коэф]])),
IF((G54="3/24"),((база!$M$4*2*Таблица1[[#This Row],[Столбец1]]*Таблица1[[#This Row],[коэф]])),
IF((G54="5/16"),((база!$L$6*2*Таблица1[[#This Row],[Столбец1]]*Таблица1[[#This Row],[коэф]])),
IF((G54="4/16"),((база!$L$5*2*Таблица1[[#This Row],[Столбец1]]*Таблица1[[#This Row],[коэф]])),
IF((G54="3/16"),((база!$L$4*2*Таблица1[[#This Row],[Столбец1]]*Таблица1[[#This Row],[коэф]])),
IF((G54="4/4"),((база!$I$5*2*Таблица1[[#This Row],[Столбец1]]*Таблица1[[#This Row],[коэф]])),
IF(OR(G54="2/4",G54="3/4"),((база!$I$4*2*Таблица1[[#This Row],[Столбец1]]*Таблица1[[#This Row],[коэф]])),
IF((G54="5/8"),((база!$J$6*2*Таблица1[[#This Row],[Столбец1]]*Таблица1[[#This Row],[коэф]])),
IF((G54="4/8"),((база!$J$5*2*Таблица1[[#This Row],[Столбец1]]*Таблица1[[#This Row],[коэф]])),
IF(OR(G54="3/8",G54="2/8"),((база!$J$4*2*Таблица1[[#This Row],[Столбец1]]*Таблица1[[#This Row],[коэф]])))))))))))))),
(IF((G54="5/24"),((база!$M$6*2*Таблица1[[#This Row],[Столбец1]]*Таблица1[[#This Row],[коэф]])),
IF(OR(G54="4/24",G54="3/24"),((база!$M$5*2*Таблица1[[#This Row],[Столбец1]]*Таблица1[[#This Row],[коэф]])),
IF((G54="5/16"),((база!$L$6*2*Таблица1[[#This Row],[Столбец1]]*Таблица1[[#This Row],[коэф]])),
IF(OR(G54="4/16",G54="3/16"),((база!$L$5*2*Таблица1[[#This Row],[Столбец1]]*Таблица1[[#This Row],[коэф]])),
IF(OR(G54="2/4",G54="3/4",G54="4/4"),((база!$I$5*2*Таблица1[[#This Row],[Столбец1]]*Таблица1[[#This Row],[коэф]])),
IF((G54="5/8"),((база!$J$6*2*Таблица1[[#This Row],[Столбец1]]*Таблица1[[#This Row],[коэф]])),
IF(OR(G54="4/8",G54="3/8",G54="2/8"),((база!$J$5*2*Таблица1[[#This Row],[Столбец1]]*Таблица1[[#This Row],[коэф]])))))))))))</f>
        <v>0</v>
      </c>
      <c r="AQ54" s="712" t="str">
        <f>IFERROR(INDEX(база!T:T, MATCH(F54,база!Q:Q,0)),"")</f>
        <v/>
      </c>
      <c r="AR54" s="208" t="str">
        <f>IFERROR(INDEX(база!D:D, MATCH(F54,база!B:B,0)),"")</f>
        <v/>
      </c>
      <c r="AS54" s="758" t="str">
        <f>IFERROR(INDEX(база!E:E, MATCH(F54,база!B:B,0)),"")</f>
        <v/>
      </c>
    </row>
    <row r="55" spans="1:45" ht="15">
      <c r="A55" s="1018" t="str">
        <f t="shared" si="1"/>
        <v>январь</v>
      </c>
      <c r="B55" t="n" s="1018">
        <v>2024.0</v>
      </c>
      <c r="C55" t="s" s="1018">
        <v>388</v>
      </c>
      <c r="D55" t="s" s="1018">
        <v>364</v>
      </c>
      <c r="E55" t="s" s="1018">
        <v>46</v>
      </c>
      <c r="F55" t="s" s="1018">
        <v>331</v>
      </c>
      <c r="G55" t="s" s="1018">
        <v>6</v>
      </c>
      <c r="H55" s="1018"/>
      <c r="I55" s="1018"/>
      <c r="J55" s="1018"/>
      <c r="K55" s="1018"/>
      <c r="L55" s="1018"/>
      <c r="M55" t="n" s="1018">
        <v>3.0</v>
      </c>
      <c r="N55" t="n" s="46">
        <v>4.2</v>
      </c>
      <c r="O55" t="n" s="46">
        <v>3.0</v>
      </c>
      <c r="P55" t="n" s="21">
        <v>3.2</v>
      </c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48"/>
      <c r="AI55" s="48"/>
      <c r="AJ55" s="48"/>
      <c r="AK55" s="48"/>
      <c r="AL55" s="51"/>
      <c r="AM55" s="212">
        <f>IF(AQ55=1,SUM(Q55:T55,W55:Z55,AC55:AF55,AI55:AL55),
IF(AQ55=2,SUM(P55,S55:V55,Y55:AB55,AE55:AH55,AK55:AL55),
IF(AQ55=3,SUM(P55:R55,U55:X55,AA55:AD55,AG55:AJ55),SUM(Таблица1[[#This Row],[1]:[31]])-Таблица1[[#This Row],[Столбец1]])))</f>
        <v>0</v>
      </c>
      <c r="AN55" s="778">
        <f t="array" ref="AN55">IF(AQ55=1,SUM(P55,U55:V55,AA55:AB55,AG55:AH55),
IF(AQ55=2,SUM(Q55:R55,W55:X55,AC55:AD55,AI55:AJ55),
IF(AQ55=3,SUM(S55:T55,Y55:Z55,AE55:AF55,AK55:AL55),
SUM(IFERROR(WEEKDAY($H$2:$AL$2,2)&gt;5,)*H55:AL55))))+Таблица1[[#This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5" s="292" t="b">
        <f>IF(AR55&lt;=3,(IF((G55="5/24"),((база!$M$6*Таблица1[[#This Row],[сумма]]*Таблица1[[#This Row],[коэф]])),
IF((G55="4/24"),((база!$M$5*Таблица1[[#This Row],[сумма]]*Таблица1[[#This Row],[коэф]])),
IF((G55="3/24"),((база!$M$4*Таблица1[[#This Row],[сумма]]*Таблица1[[#This Row],[коэф]])),
IF((G55="5/16"),((база!$L$6*Таблица1[[#This Row],[сумма]]*Таблица1[[#This Row],[коэф]])),
IF((G55="4/16"),((база!$L$5*Таблица1[[#This Row],[сумма]]*Таблица1[[#This Row],[коэф]])),
IF((G55="3/16"),((база!$L$4*Таблица1[[#This Row],[сумма]]*Таблица1[[#This Row],[коэф]])),
IF((G55="4/4"),((база!$I$5*Таблица1[[#This Row],[сумма]]*Таблица1[[#This Row],[коэф]])),
IF(OR(G55="2/4",G55="3/4"),((база!$I$4*Таблица1[[#This Row],[сумма]]*Таблица1[[#This Row],[коэф]])),
IF((G55="5/8"),((база!$J$6*Таблица1[[#This Row],[сумма]]*Таблица1[[#This Row],[коэф]])),
IF((G55="4/8"),((база!$J$5*Таблица1[[#This Row],[сумма]]*Таблица1[[#This Row],[коэф]])),
IF(OR(G55="3/8",G55="2/8"),((база!$J$4*Таблица1[[#This Row],[сумма]]*Таблица1[[#This Row],[коэф]])))))))))))))),
(IF((G55="5/24"),((база!$M$6*Таблица1[[#This Row],[сумма]]*Таблица1[[#This Row],[коэф]])),
IF(OR(G55="4/24",G55="3/24"),((база!$M$5*Таблица1[[#This Row],[сумма]]*Таблица1[[#This Row],[коэф]])),
IF((G55="5/16"),((база!$L$6*Таблица1[[#This Row],[сумма]]*Таблица1[[#This Row],[коэф]])),
IF(OR(G55="4/16",G55="3/16"),((база!$L$5*Таблица1[[#This Row],[сумма]]*Таблица1[[#This Row],[коэф]])),
IF(OR(G55="2/4",G55="3/4",G55="4/4"),((база!$I$5*Таблица1[[#This Row],[сумма]]*Таблица1[[#This Row],[коэф]])),
IF((G55="5/8"),((база!$J$6*Таблица1[[#This Row],[сумма]]*Таблица1[[#This Row],[коэф]])),
IF(OR(G55="4/8",G55="3/8",G55="2/8"),((база!$J$5*Таблица1[[#This Row],[сумма]]*Таблица1[[#This Row],[коэф]])))))))))))</f>
        <v>0</v>
      </c>
      <c r="AP55" s="730" t="b">
        <f>IF(AR55&lt;=3,(IF((G55="5/24"),((база!$M$6*2*Таблица1[[#This Row],[Столбец1]]*Таблица1[[#This Row],[коэф]])),
IF((G55="4/24"),((база!$M$5*2*Таблица1[[#This Row],[Столбец1]]*Таблица1[[#This Row],[коэф]])),
IF((G55="3/24"),((база!$M$4*2*Таблица1[[#This Row],[Столбец1]]*Таблица1[[#This Row],[коэф]])),
IF((G55="5/16"),((база!$L$6*2*Таблица1[[#This Row],[Столбец1]]*Таблица1[[#This Row],[коэф]])),
IF((G55="4/16"),((база!$L$5*2*Таблица1[[#This Row],[Столбец1]]*Таблица1[[#This Row],[коэф]])),
IF((G55="3/16"),((база!$L$4*2*Таблица1[[#This Row],[Столбец1]]*Таблица1[[#This Row],[коэф]])),
IF((G55="4/4"),((база!$I$5*2*Таблица1[[#This Row],[Столбец1]]*Таблица1[[#This Row],[коэф]])),
IF(OR(G55="2/4",G55="3/4"),((база!$I$4*2*Таблица1[[#This Row],[Столбец1]]*Таблица1[[#This Row],[коэф]])),
IF((G55="5/8"),((база!$J$6*2*Таблица1[[#This Row],[Столбец1]]*Таблица1[[#This Row],[коэф]])),
IF((G55="4/8"),((база!$J$5*2*Таблица1[[#This Row],[Столбец1]]*Таблица1[[#This Row],[коэф]])),
IF(OR(G55="3/8",G55="2/8"),((база!$J$4*2*Таблица1[[#This Row],[Столбец1]]*Таблица1[[#This Row],[коэф]])))))))))))))),
(IF((G55="5/24"),((база!$M$6*2*Таблица1[[#This Row],[Столбец1]]*Таблица1[[#This Row],[коэф]])),
IF(OR(G55="4/24",G55="3/24"),((база!$M$5*2*Таблица1[[#This Row],[Столбец1]]*Таблица1[[#This Row],[коэф]])),
IF((G55="5/16"),((база!$L$6*2*Таблица1[[#This Row],[Столбец1]]*Таблица1[[#This Row],[коэф]])),
IF(OR(G55="4/16",G55="3/16"),((база!$L$5*2*Таблица1[[#This Row],[Столбец1]]*Таблица1[[#This Row],[коэф]])),
IF(OR(G55="2/4",G55="3/4",G55="4/4"),((база!$I$5*2*Таблица1[[#This Row],[Столбец1]]*Таблица1[[#This Row],[коэф]])),
IF((G55="5/8"),((база!$J$6*2*Таблица1[[#This Row],[Столбец1]]*Таблица1[[#This Row],[коэф]])),
IF(OR(G55="4/8",G55="3/8",G55="2/8"),((база!$J$5*2*Таблица1[[#This Row],[Столбец1]]*Таблица1[[#This Row],[коэф]])))))))))))</f>
        <v>0</v>
      </c>
      <c r="AQ55" s="712" t="str">
        <f>IFERROR(INDEX(база!T:T, MATCH(F55,база!Q:Q,0)),"")</f>
        <v/>
      </c>
      <c r="AR55" s="208" t="str">
        <f>IFERROR(INDEX(база!D:D, MATCH(F55,база!B:B,0)),"")</f>
        <v/>
      </c>
      <c r="AS55" s="758" t="str">
        <f>IFERROR(INDEX(база!E:E, MATCH(F55,база!B:B,0)),"")</f>
        <v/>
      </c>
    </row>
    <row r="56" spans="1:45" s="46" customFormat="1" ht="15">
      <c r="A56" s="1020" t="str">
        <f t="shared" si="1"/>
        <v>январь</v>
      </c>
      <c r="B56" t="n" s="1020">
        <v>2024.0</v>
      </c>
      <c r="C56" t="s" s="1020">
        <v>388</v>
      </c>
      <c r="D56" t="s" s="1020">
        <v>364</v>
      </c>
      <c r="E56" t="s" s="1020">
        <v>46</v>
      </c>
      <c r="F56" t="s" s="1020">
        <v>353</v>
      </c>
      <c r="G56" t="s" s="1020">
        <v>4</v>
      </c>
      <c r="H56" s="1020"/>
      <c r="I56" s="1020"/>
      <c r="J56" s="1020"/>
      <c r="K56" s="1020"/>
      <c r="L56" s="1020"/>
      <c r="M56" t="n" s="1020">
        <v>3.0</v>
      </c>
      <c r="N56" s="49"/>
      <c r="O56" t="n" s="46">
        <v>4.2</v>
      </c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48"/>
      <c r="AJ56" s="48"/>
      <c r="AK56" s="48"/>
      <c r="AL56" s="51"/>
      <c r="AM56" s="212">
        <f>IF(AQ56=1,SUM(Q56:T56,W56:Z56,AC56:AF56,AI56:AL56),
IF(AQ56=2,SUM(P56,S56:V56,Y56:AB56,AE56:AH56,AK56:AL56),
IF(AQ56=3,SUM(P56:R56,U56:X56,AA56:AD56,AG56:AJ56),SUM(Таблица1[[#This Row],[1]:[31]])-Таблица1[[#This Row],[Столбец1]])))</f>
        <v>0</v>
      </c>
      <c r="AN56" s="778">
        <f t="array" ref="AN56">IF(AQ56=1,SUM(P56,U56:V56,AA56:AB56,AG56:AH56),
IF(AQ56=2,SUM(Q56:R56,W56:X56,AC56:AD56,AI56:AJ56),
IF(AQ56=3,SUM(S56:T56,Y56:Z56,AE56:AF56,AK56:AL56),
SUM(IFERROR(WEEKDAY($H$2:$AL$2,2)&gt;5,)*H56:AL56))))+Таблица1[[#This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6" s="292" t="b">
        <f>IF(AR56&lt;=3,(IF((G56="5/24"),((база!$M$6*Таблица1[[#This Row],[сумма]]*Таблица1[[#This Row],[коэф]])),
IF((G56="4/24"),((база!$M$5*Таблица1[[#This Row],[сумма]]*Таблица1[[#This Row],[коэф]])),
IF((G56="3/24"),((база!$M$4*Таблица1[[#This Row],[сумма]]*Таблица1[[#This Row],[коэф]])),
IF((G56="5/16"),((база!$L$6*Таблица1[[#This Row],[сумма]]*Таблица1[[#This Row],[коэф]])),
IF((G56="4/16"),((база!$L$5*Таблица1[[#This Row],[сумма]]*Таблица1[[#This Row],[коэф]])),
IF((G56="3/16"),((база!$L$4*Таблица1[[#This Row],[сумма]]*Таблица1[[#This Row],[коэф]])),
IF((G56="4/4"),((база!$I$5*Таблица1[[#This Row],[сумма]]*Таблица1[[#This Row],[коэф]])),
IF(OR(G56="2/4",G56="3/4"),((база!$I$4*Таблица1[[#This Row],[сумма]]*Таблица1[[#This Row],[коэф]])),
IF((G56="5/8"),((база!$J$6*Таблица1[[#This Row],[сумма]]*Таблица1[[#This Row],[коэф]])),
IF((G56="4/8"),((база!$J$5*Таблица1[[#This Row],[сумма]]*Таблица1[[#This Row],[коэф]])),
IF(OR(G56="3/8",G56="2/8"),((база!$J$4*Таблица1[[#This Row],[сумма]]*Таблица1[[#This Row],[коэф]])))))))))))))),
(IF((G56="5/24"),((база!$M$6*Таблица1[[#This Row],[сумма]]*Таблица1[[#This Row],[коэф]])),
IF(OR(G56="4/24",G56="3/24"),((база!$M$5*Таблица1[[#This Row],[сумма]]*Таблица1[[#This Row],[коэф]])),
IF((G56="5/16"),((база!$L$6*Таблица1[[#This Row],[сумма]]*Таблица1[[#This Row],[коэф]])),
IF(OR(G56="4/16",G56="3/16"),((база!$L$5*Таблица1[[#This Row],[сумма]]*Таблица1[[#This Row],[коэф]])),
IF(OR(G56="2/4",G56="3/4",G56="4/4"),((база!$I$5*Таблица1[[#This Row],[сумма]]*Таблица1[[#This Row],[коэф]])),
IF((G56="5/8"),((база!$J$6*Таблица1[[#This Row],[сумма]]*Таблица1[[#This Row],[коэф]])),
IF(OR(G56="4/8",G56="3/8",G56="2/8"),((база!$J$5*Таблица1[[#This Row],[сумма]]*Таблица1[[#This Row],[коэф]])))))))))))</f>
        <v>0</v>
      </c>
      <c r="AP56" s="730" t="b">
        <f>IF(AR56&lt;=3,(IF((G56="5/24"),((база!$M$6*2*Таблица1[[#This Row],[Столбец1]]*Таблица1[[#This Row],[коэф]])),
IF((G56="4/24"),((база!$M$5*2*Таблица1[[#This Row],[Столбец1]]*Таблица1[[#This Row],[коэф]])),
IF((G56="3/24"),((база!$M$4*2*Таблица1[[#This Row],[Столбец1]]*Таблица1[[#This Row],[коэф]])),
IF((G56="5/16"),((база!$L$6*2*Таблица1[[#This Row],[Столбец1]]*Таблица1[[#This Row],[коэф]])),
IF((G56="4/16"),((база!$L$5*2*Таблица1[[#This Row],[Столбец1]]*Таблица1[[#This Row],[коэф]])),
IF((G56="3/16"),((база!$L$4*2*Таблица1[[#This Row],[Столбец1]]*Таблица1[[#This Row],[коэф]])),
IF((G56="4/4"),((база!$I$5*2*Таблица1[[#This Row],[Столбец1]]*Таблица1[[#This Row],[коэф]])),
IF(OR(G56="2/4",G56="3/4"),((база!$I$4*2*Таблица1[[#This Row],[Столбец1]]*Таблица1[[#This Row],[коэф]])),
IF((G56="5/8"),((база!$J$6*2*Таблица1[[#This Row],[Столбец1]]*Таблица1[[#This Row],[коэф]])),
IF((G56="4/8"),((база!$J$5*2*Таблица1[[#This Row],[Столбец1]]*Таблица1[[#This Row],[коэф]])),
IF(OR(G56="3/8",G56="2/8"),((база!$J$4*2*Таблица1[[#This Row],[Столбец1]]*Таблица1[[#This Row],[коэф]])))))))))))))),
(IF((G56="5/24"),((база!$M$6*2*Таблица1[[#This Row],[Столбец1]]*Таблица1[[#This Row],[коэф]])),
IF(OR(G56="4/24",G56="3/24"),((база!$M$5*2*Таблица1[[#This Row],[Столбец1]]*Таблица1[[#This Row],[коэф]])),
IF((G56="5/16"),((база!$L$6*2*Таблица1[[#This Row],[Столбец1]]*Таблица1[[#This Row],[коэф]])),
IF(OR(G56="4/16",G56="3/16"),((база!$L$5*2*Таблица1[[#This Row],[Столбец1]]*Таблица1[[#This Row],[коэф]])),
IF(OR(G56="2/4",G56="3/4",G56="4/4"),((база!$I$5*2*Таблица1[[#This Row],[Столбец1]]*Таблица1[[#This Row],[коэф]])),
IF((G56="5/8"),((база!$J$6*2*Таблица1[[#This Row],[Столбец1]]*Таблица1[[#This Row],[коэф]])),
IF(OR(G56="4/8",G56="3/8",G56="2/8"),((база!$J$5*2*Таблица1[[#This Row],[Столбец1]]*Таблица1[[#This Row],[коэф]])))))))))))</f>
        <v>0</v>
      </c>
      <c r="AQ56" s="712" t="str">
        <f>IFERROR(INDEX(база!T:T, MATCH(F56,база!Q:Q,0)),"")</f>
        <v/>
      </c>
      <c r="AR56" s="208" t="str">
        <f>IFERROR(INDEX(база!D:D, MATCH(F56,база!B:B,0)),"")</f>
        <v/>
      </c>
      <c r="AS56" s="758" t="str">
        <f>IFERROR(INDEX(база!E:E, MATCH(F56,база!B:B,0)),"")</f>
        <v/>
      </c>
    </row>
    <row r="57" spans="1:45" s="46" customFormat="1" ht="15">
      <c r="A57" s="1022" t="str">
        <f>A55</f>
        <v>январь</v>
      </c>
      <c r="B57" t="n" s="1022">
        <v>2024.0</v>
      </c>
      <c r="C57" t="s" s="1022">
        <v>388</v>
      </c>
      <c r="D57" t="s" s="1022">
        <v>364</v>
      </c>
      <c r="E57" t="s" s="1022">
        <v>46</v>
      </c>
      <c r="F57" t="s" s="1022">
        <v>304</v>
      </c>
      <c r="G57" t="s" s="1022">
        <v>4</v>
      </c>
      <c r="H57" s="1022"/>
      <c r="I57" s="1022"/>
      <c r="J57" s="1022"/>
      <c r="K57" s="1022"/>
      <c r="L57" s="1022"/>
      <c r="M57" t="n" s="46">
        <v>7.2</v>
      </c>
      <c r="N57" t="n" s="46">
        <v>7.2</v>
      </c>
      <c r="O57" s="49"/>
      <c r="P57" s="49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48"/>
      <c r="AI57" s="48"/>
      <c r="AJ57" s="48"/>
      <c r="AK57" s="48"/>
      <c r="AL57" s="51"/>
      <c r="AM57" s="212">
        <f>IF(AQ57=1,SUM(Q57:T57,W57:Z57,AC57:AF57,AI57:AL57),
IF(AQ57=2,SUM(P57,S57:V57,Y57:AB57,AE57:AH57,AK57:AL57),
IF(AQ57=3,SUM(P57:R57,U57:X57,AA57:AD57,AG57:AJ57),SUM(Таблица1[[#This Row],[1]:[31]])-Таблица1[[#This Row],[Столбец1]])))</f>
        <v>0</v>
      </c>
      <c r="AN57" s="778">
        <f t="array" ref="AN57">IF(AQ57=1,SUM(P57,U57:V57,AA57:AB57,AG57:AH57),
IF(AQ57=2,SUM(Q57:R57,W57:X57,AC57:AD57,AI57:AJ57),
IF(AQ57=3,SUM(S57:T57,Y57:Z57,AE57:AF57,AK57:AL57),
SUM(IFERROR(WEEKDAY($H$2:$AL$2,2)&gt;5,)*H57:AL57))))+Таблица1[[#This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7" s="292" t="b">
        <f>IF(AR57&lt;=3,(IF((G57="5/24"),((база!$M$6*Таблица1[[#This Row],[сумма]]*Таблица1[[#This Row],[коэф]])),
IF((G57="4/24"),((база!$M$5*Таблица1[[#This Row],[сумма]]*Таблица1[[#This Row],[коэф]])),
IF((G57="3/24"),((база!$M$4*Таблица1[[#This Row],[сумма]]*Таблица1[[#This Row],[коэф]])),
IF((G57="5/16"),((база!$L$6*Таблица1[[#This Row],[сумма]]*Таблица1[[#This Row],[коэф]])),
IF((G57="4/16"),((база!$L$5*Таблица1[[#This Row],[сумма]]*Таблица1[[#This Row],[коэф]])),
IF((G57="3/16"),((база!$L$4*Таблица1[[#This Row],[сумма]]*Таблица1[[#This Row],[коэф]])),
IF((G57="4/4"),((база!$I$5*Таблица1[[#This Row],[сумма]]*Таблица1[[#This Row],[коэф]])),
IF(OR(G57="2/4",G57="3/4"),((база!$I$4*Таблица1[[#This Row],[сумма]]*Таблица1[[#This Row],[коэф]])),
IF((G57="5/8"),((база!$J$6*Таблица1[[#This Row],[сумма]]*Таблица1[[#This Row],[коэф]])),
IF((G57="4/8"),((база!$J$5*Таблица1[[#This Row],[сумма]]*Таблица1[[#This Row],[коэф]])),
IF(OR(G57="3/8",G57="2/8"),((база!$J$4*Таблица1[[#This Row],[сумма]]*Таблица1[[#This Row],[коэф]])))))))))))))),
(IF((G57="5/24"),((база!$M$6*Таблица1[[#This Row],[сумма]]*Таблица1[[#This Row],[коэф]])),
IF(OR(G57="4/24",G57="3/24"),((база!$M$5*Таблица1[[#This Row],[сумма]]*Таблица1[[#This Row],[коэф]])),
IF((G57="5/16"),((база!$L$6*Таблица1[[#This Row],[сумма]]*Таблица1[[#This Row],[коэф]])),
IF(OR(G57="4/16",G57="3/16"),((база!$L$5*Таблица1[[#This Row],[сумма]]*Таблица1[[#This Row],[коэф]])),
IF(OR(G57="2/4",G57="3/4",G57="4/4"),((база!$I$5*Таблица1[[#This Row],[сумма]]*Таблица1[[#This Row],[коэф]])),
IF((G57="5/8"),((база!$J$6*Таблица1[[#This Row],[сумма]]*Таблица1[[#This Row],[коэф]])),
IF(OR(G57="4/8",G57="3/8",G57="2/8"),((база!$J$5*Таблица1[[#This Row],[сумма]]*Таблица1[[#This Row],[коэф]])))))))))))</f>
        <v>0</v>
      </c>
      <c r="AP57" s="730" t="b">
        <f>IF(AR57&lt;=3,(IF((G57="5/24"),((база!$M$6*2*Таблица1[[#This Row],[Столбец1]]*Таблица1[[#This Row],[коэф]])),
IF((G57="4/24"),((база!$M$5*2*Таблица1[[#This Row],[Столбец1]]*Таблица1[[#This Row],[коэф]])),
IF((G57="3/24"),((база!$M$4*2*Таблица1[[#This Row],[Столбец1]]*Таблица1[[#This Row],[коэф]])),
IF((G57="5/16"),((база!$L$6*2*Таблица1[[#This Row],[Столбец1]]*Таблица1[[#This Row],[коэф]])),
IF((G57="4/16"),((база!$L$5*2*Таблица1[[#This Row],[Столбец1]]*Таблица1[[#This Row],[коэф]])),
IF((G57="3/16"),((база!$L$4*2*Таблица1[[#This Row],[Столбец1]]*Таблица1[[#This Row],[коэф]])),
IF((G57="4/4"),((база!$I$5*2*Таблица1[[#This Row],[Столбец1]]*Таблица1[[#This Row],[коэф]])),
IF(OR(G57="2/4",G57="3/4"),((база!$I$4*2*Таблица1[[#This Row],[Столбец1]]*Таблица1[[#This Row],[коэф]])),
IF((G57="5/8"),((база!$J$6*2*Таблица1[[#This Row],[Столбец1]]*Таблица1[[#This Row],[коэф]])),
IF((G57="4/8"),((база!$J$5*2*Таблица1[[#This Row],[Столбец1]]*Таблица1[[#This Row],[коэф]])),
IF(OR(G57="3/8",G57="2/8"),((база!$J$4*2*Таблица1[[#This Row],[Столбец1]]*Таблица1[[#This Row],[коэф]])))))))))))))),
(IF((G57="5/24"),((база!$M$6*2*Таблица1[[#This Row],[Столбец1]]*Таблица1[[#This Row],[коэф]])),
IF(OR(G57="4/24",G57="3/24"),((база!$M$5*2*Таблица1[[#This Row],[Столбец1]]*Таблица1[[#This Row],[коэф]])),
IF((G57="5/16"),((база!$L$6*2*Таблица1[[#This Row],[Столбец1]]*Таблица1[[#This Row],[коэф]])),
IF(OR(G57="4/16",G57="3/16"),((база!$L$5*2*Таблица1[[#This Row],[Столбец1]]*Таблица1[[#This Row],[коэф]])),
IF(OR(G57="2/4",G57="3/4",G57="4/4"),((база!$I$5*2*Таблица1[[#This Row],[Столбец1]]*Таблица1[[#This Row],[коэф]])),
IF((G57="5/8"),((база!$J$6*2*Таблица1[[#This Row],[Столбец1]]*Таблица1[[#This Row],[коэф]])),
IF(OR(G57="4/8",G57="3/8",G57="2/8"),((база!$J$5*2*Таблица1[[#This Row],[Столбец1]]*Таблица1[[#This Row],[коэф]])))))))))))</f>
        <v>0</v>
      </c>
      <c r="AQ57" s="712" t="str">
        <f>IFERROR(INDEX(база!T:T, MATCH(F57,база!Q:Q,0)),"")</f>
        <v/>
      </c>
      <c r="AR57" s="208" t="str">
        <f>IFERROR(INDEX(база!D:D, MATCH(F57,база!B:B,0)),"")</f>
        <v/>
      </c>
      <c r="AS57" s="758" t="str">
        <f>IFERROR(INDEX(база!E:E, MATCH(F57,база!B:B,0)),"")</f>
        <v/>
      </c>
    </row>
    <row r="58" spans="1:45" ht="15">
      <c r="A58" s="1023" t="str">
        <f t="shared" si="1"/>
        <v>январь</v>
      </c>
      <c r="B58" t="n" s="1023">
        <v>2024.0</v>
      </c>
      <c r="C58" t="s" s="1023">
        <v>392</v>
      </c>
      <c r="D58" t="s" s="1023">
        <v>364</v>
      </c>
      <c r="E58" t="s" s="1023">
        <v>46</v>
      </c>
      <c r="F58" t="s" s="1023">
        <v>298</v>
      </c>
      <c r="G58" t="s" s="1023">
        <v>4</v>
      </c>
      <c r="H58" s="1023"/>
      <c r="I58" s="1023"/>
      <c r="J58" s="1023"/>
      <c r="K58" s="1023"/>
      <c r="L58" s="1023"/>
      <c r="M58" s="1023"/>
      <c r="N58" s="1023"/>
      <c r="O58" t="n" s="1023">
        <v>3.0</v>
      </c>
      <c r="P58" t="n" s="21">
        <v>3.0</v>
      </c>
      <c r="Q58" s="48"/>
      <c r="R58" t="n" s="46">
        <v>7.2</v>
      </c>
      <c r="S58" t="n" s="46">
        <v>7.0</v>
      </c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48"/>
      <c r="AJ58" s="48"/>
      <c r="AK58" s="48"/>
      <c r="AL58" s="51"/>
      <c r="AM58" s="212">
        <f>IF(AQ58=1,SUM(Q58:T58,W58:Z58,AC58:AF58,AI58:AL58),
IF(AQ58=2,SUM(P58,S58:V58,Y58:AB58,AE58:AH58,AK58:AL58),
IF(AQ58=3,SUM(P58:R58,U58:X58,AA58:AD58,AG58:AJ58),SUM(Таблица1[[#This Row],[1]:[31]])-Таблица1[[#This Row],[Столбец1]])))</f>
        <v>0</v>
      </c>
      <c r="AN58" s="778">
        <f t="array" ref="AN58">IF(AQ58=1,SUM(P58,U58:V58,AA58:AB58,AG58:AH58),
IF(AQ58=2,SUM(Q58:R58,W58:X58,AC58:AD58,AI58:AJ58),
IF(AQ58=3,SUM(S58:T58,Y58:Z58,AE58:AF58,AK58:AL58),
SUM(IFERROR(WEEKDAY($H$2:$AL$2,2)&gt;5,)*H58:AL58))))+Таблица1[[#This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8" s="292" t="b">
        <f>IF(AR58&lt;=3,(IF((G58="5/24"),((база!$M$6*Таблица1[[#This Row],[сумма]]*Таблица1[[#This Row],[коэф]])),
IF((G58="4/24"),((база!$M$5*Таблица1[[#This Row],[сумма]]*Таблица1[[#This Row],[коэф]])),
IF((G58="3/24"),((база!$M$4*Таблица1[[#This Row],[сумма]]*Таблица1[[#This Row],[коэф]])),
IF((G58="5/16"),((база!$L$6*Таблица1[[#This Row],[сумма]]*Таблица1[[#This Row],[коэф]])),
IF((G58="4/16"),((база!$L$5*Таблица1[[#This Row],[сумма]]*Таблица1[[#This Row],[коэф]])),
IF((G58="3/16"),((база!$L$4*Таблица1[[#This Row],[сумма]]*Таблица1[[#This Row],[коэф]])),
IF((G58="4/4"),((база!$I$5*Таблица1[[#This Row],[сумма]]*Таблица1[[#This Row],[коэф]])),
IF(OR(G58="2/4",G58="3/4"),((база!$I$4*Таблица1[[#This Row],[сумма]]*Таблица1[[#This Row],[коэф]])),
IF((G58="5/8"),((база!$J$6*Таблица1[[#This Row],[сумма]]*Таблица1[[#This Row],[коэф]])),
IF((G58="4/8"),((база!$J$5*Таблица1[[#This Row],[сумма]]*Таблица1[[#This Row],[коэф]])),
IF(OR(G58="3/8",G58="2/8"),((база!$J$4*Таблица1[[#This Row],[сумма]]*Таблица1[[#This Row],[коэф]])))))))))))))),
(IF((G58="5/24"),((база!$M$6*Таблица1[[#This Row],[сумма]]*Таблица1[[#This Row],[коэф]])),
IF(OR(G58="4/24",G58="3/24"),((база!$M$5*Таблица1[[#This Row],[сумма]]*Таблица1[[#This Row],[коэф]])),
IF((G58="5/16"),((база!$L$6*Таблица1[[#This Row],[сумма]]*Таблица1[[#This Row],[коэф]])),
IF(OR(G58="4/16",G58="3/16"),((база!$L$5*Таблица1[[#This Row],[сумма]]*Таблица1[[#This Row],[коэф]])),
IF(OR(G58="2/4",G58="3/4",G58="4/4"),((база!$I$5*Таблица1[[#This Row],[сумма]]*Таблица1[[#This Row],[коэф]])),
IF((G58="5/8"),((база!$J$6*Таблица1[[#This Row],[сумма]]*Таблица1[[#This Row],[коэф]])),
IF(OR(G58="4/8",G58="3/8",G58="2/8"),((база!$J$5*Таблица1[[#This Row],[сумма]]*Таблица1[[#This Row],[коэф]])))))))))))</f>
        <v>0</v>
      </c>
      <c r="AP58" s="730" t="b">
        <f>IF(AR58&lt;=3,(IF((G58="5/24"),((база!$M$6*2*Таблица1[[#This Row],[Столбец1]]*Таблица1[[#This Row],[коэф]])),
IF((G58="4/24"),((база!$M$5*2*Таблица1[[#This Row],[Столбец1]]*Таблица1[[#This Row],[коэф]])),
IF((G58="3/24"),((база!$M$4*2*Таблица1[[#This Row],[Столбец1]]*Таблица1[[#This Row],[коэф]])),
IF((G58="5/16"),((база!$L$6*2*Таблица1[[#This Row],[Столбец1]]*Таблица1[[#This Row],[коэф]])),
IF((G58="4/16"),((база!$L$5*2*Таблица1[[#This Row],[Столбец1]]*Таблица1[[#This Row],[коэф]])),
IF((G58="3/16"),((база!$L$4*2*Таблица1[[#This Row],[Столбец1]]*Таблица1[[#This Row],[коэф]])),
IF((G58="4/4"),((база!$I$5*2*Таблица1[[#This Row],[Столбец1]]*Таблица1[[#This Row],[коэф]])),
IF(OR(G58="2/4",G58="3/4"),((база!$I$4*2*Таблица1[[#This Row],[Столбец1]]*Таблица1[[#This Row],[коэф]])),
IF((G58="5/8"),((база!$J$6*2*Таблица1[[#This Row],[Столбец1]]*Таблица1[[#This Row],[коэф]])),
IF((G58="4/8"),((база!$J$5*2*Таблица1[[#This Row],[Столбец1]]*Таблица1[[#This Row],[коэф]])),
IF(OR(G58="3/8",G58="2/8"),((база!$J$4*2*Таблица1[[#This Row],[Столбец1]]*Таблица1[[#This Row],[коэф]])))))))))))))),
(IF((G58="5/24"),((база!$M$6*2*Таблица1[[#This Row],[Столбец1]]*Таблица1[[#This Row],[коэф]])),
IF(OR(G58="4/24",G58="3/24"),((база!$M$5*2*Таблица1[[#This Row],[Столбец1]]*Таблица1[[#This Row],[коэф]])),
IF((G58="5/16"),((база!$L$6*2*Таблица1[[#This Row],[Столбец1]]*Таблица1[[#This Row],[коэф]])),
IF(OR(G58="4/16",G58="3/16"),((база!$L$5*2*Таблица1[[#This Row],[Столбец1]]*Таблица1[[#This Row],[коэф]])),
IF(OR(G58="2/4",G58="3/4",G58="4/4"),((база!$I$5*2*Таблица1[[#This Row],[Столбец1]]*Таблица1[[#This Row],[коэф]])),
IF((G58="5/8"),((база!$J$6*2*Таблица1[[#This Row],[Столбец1]]*Таблица1[[#This Row],[коэф]])),
IF(OR(G58="4/8",G58="3/8",G58="2/8"),((база!$J$5*2*Таблица1[[#This Row],[Столбец1]]*Таблица1[[#This Row],[коэф]])))))))))))</f>
        <v>0</v>
      </c>
      <c r="AQ58" s="712" t="str">
        <f>IFERROR(INDEX(база!T:T, MATCH(F58,база!Q:Q,0)),"")</f>
        <v/>
      </c>
      <c r="AR58" s="208" t="str">
        <f>IFERROR(INDEX(база!D:D, MATCH(F58,база!B:B,0)),"")</f>
        <v/>
      </c>
      <c r="AS58" s="758" t="str">
        <f>IFERROR(INDEX(база!E:E, MATCH(F58,база!B:B,0)),"")</f>
        <v/>
      </c>
    </row>
    <row r="59" spans="1:45" ht="15">
      <c r="A59" s="1024" t="str">
        <f t="shared" si="1"/>
        <v>январь</v>
      </c>
      <c r="B59" t="n" s="1024">
        <v>2024.0</v>
      </c>
      <c r="C59" t="s" s="1024">
        <v>388</v>
      </c>
      <c r="D59" t="s" s="1024">
        <v>364</v>
      </c>
      <c r="E59" t="s" s="1024">
        <v>46</v>
      </c>
      <c r="F59" t="s" s="1024">
        <v>298</v>
      </c>
      <c r="G59" t="s" s="1024">
        <v>4</v>
      </c>
      <c r="H59" s="1024"/>
      <c r="I59" s="1024"/>
      <c r="J59" s="1024"/>
      <c r="K59" s="1024"/>
      <c r="L59" s="1024"/>
      <c r="M59" s="1024"/>
      <c r="N59" s="1024"/>
      <c r="O59" t="n" s="1024">
        <v>1.2</v>
      </c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48"/>
      <c r="AJ59" s="48"/>
      <c r="AK59" s="48"/>
      <c r="AL59" s="51"/>
      <c r="AM59" s="212">
        <f>IF(AQ59=1,SUM(Q59:T59,W59:Z59,AC59:AF59,AI59:AL59),
IF(AQ59=2,SUM(P59,S59:V59,Y59:AB59,AE59:AH59,AK59:AL59),
IF(AQ59=3,SUM(P59:R59,U59:X59,AA59:AD59,AG59:AJ59),SUM(Таблица1[[#This Row],[1]:[31]])-Таблица1[[#This Row],[Столбец1]])))</f>
        <v>0</v>
      </c>
      <c r="AN59" s="778">
        <f t="array" ref="AN59">IF(AQ59=1,SUM(P59,U59:V59,AA59:AB59,AG59:AH59),
IF(AQ59=2,SUM(Q59:R59,W59:X59,AC59:AD59,AI59:AJ59),
IF(AQ59=3,SUM(S59:T59,Y59:Z59,AE59:AF59,AK59:AL59),
SUM(IFERROR(WEEKDAY($H$2:$AL$2,2)&gt;5,)*H59:AL59))))+Таблица1[[#This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9" s="292" t="b">
        <f>IF(AR59&lt;=3,(IF((G59="5/24"),((база!$M$6*Таблица1[[#This Row],[сумма]]*Таблица1[[#This Row],[коэф]])),
IF((G59="4/24"),((база!$M$5*Таблица1[[#This Row],[сумма]]*Таблица1[[#This Row],[коэф]])),
IF((G59="3/24"),((база!$M$4*Таблица1[[#This Row],[сумма]]*Таблица1[[#This Row],[коэф]])),
IF((G59="5/16"),((база!$L$6*Таблица1[[#This Row],[сумма]]*Таблица1[[#This Row],[коэф]])),
IF((G59="4/16"),((база!$L$5*Таблица1[[#This Row],[сумма]]*Таблица1[[#This Row],[коэф]])),
IF((G59="3/16"),((база!$L$4*Таблица1[[#This Row],[сумма]]*Таблица1[[#This Row],[коэф]])),
IF((G59="4/4"),((база!$I$5*Таблица1[[#This Row],[сумма]]*Таблица1[[#This Row],[коэф]])),
IF(OR(G59="2/4",G59="3/4"),((база!$I$4*Таблица1[[#This Row],[сумма]]*Таблица1[[#This Row],[коэф]])),
IF((G59="5/8"),((база!$J$6*Таблица1[[#This Row],[сумма]]*Таблица1[[#This Row],[коэф]])),
IF((G59="4/8"),((база!$J$5*Таблица1[[#This Row],[сумма]]*Таблица1[[#This Row],[коэф]])),
IF(OR(G59="3/8",G59="2/8"),((база!$J$4*Таблица1[[#This Row],[сумма]]*Таблица1[[#This Row],[коэф]])))))))))))))),
(IF((G59="5/24"),((база!$M$6*Таблица1[[#This Row],[сумма]]*Таблица1[[#This Row],[коэф]])),
IF(OR(G59="4/24",G59="3/24"),((база!$M$5*Таблица1[[#This Row],[сумма]]*Таблица1[[#This Row],[коэф]])),
IF((G59="5/16"),((база!$L$6*Таблица1[[#This Row],[сумма]]*Таблица1[[#This Row],[коэф]])),
IF(OR(G59="4/16",G59="3/16"),((база!$L$5*Таблица1[[#This Row],[сумма]]*Таблица1[[#This Row],[коэф]])),
IF(OR(G59="2/4",G59="3/4",G59="4/4"),((база!$I$5*Таблица1[[#This Row],[сумма]]*Таблица1[[#This Row],[коэф]])),
IF((G59="5/8"),((база!$J$6*Таблица1[[#This Row],[сумма]]*Таблица1[[#This Row],[коэф]])),
IF(OR(G59="4/8",G59="3/8",G59="2/8"),((база!$J$5*Таблица1[[#This Row],[сумма]]*Таблица1[[#This Row],[коэф]])))))))))))</f>
        <v>0</v>
      </c>
      <c r="AP59" s="730" t="b">
        <f>IF(AR59&lt;=3,(IF((G59="5/24"),((база!$M$6*2*Таблица1[[#This Row],[Столбец1]]*Таблица1[[#This Row],[коэф]])),
IF((G59="4/24"),((база!$M$5*2*Таблица1[[#This Row],[Столбец1]]*Таблица1[[#This Row],[коэф]])),
IF((G59="3/24"),((база!$M$4*2*Таблица1[[#This Row],[Столбец1]]*Таблица1[[#This Row],[коэф]])),
IF((G59="5/16"),((база!$L$6*2*Таблица1[[#This Row],[Столбец1]]*Таблица1[[#This Row],[коэф]])),
IF((G59="4/16"),((база!$L$5*2*Таблица1[[#This Row],[Столбец1]]*Таблица1[[#This Row],[коэф]])),
IF((G59="3/16"),((база!$L$4*2*Таблица1[[#This Row],[Столбец1]]*Таблица1[[#This Row],[коэф]])),
IF((G59="4/4"),((база!$I$5*2*Таблица1[[#This Row],[Столбец1]]*Таблица1[[#This Row],[коэф]])),
IF(OR(G59="2/4",G59="3/4"),((база!$I$4*2*Таблица1[[#This Row],[Столбец1]]*Таблица1[[#This Row],[коэф]])),
IF((G59="5/8"),((база!$J$6*2*Таблица1[[#This Row],[Столбец1]]*Таблица1[[#This Row],[коэф]])),
IF((G59="4/8"),((база!$J$5*2*Таблица1[[#This Row],[Столбец1]]*Таблица1[[#This Row],[коэф]])),
IF(OR(G59="3/8",G59="2/8"),((база!$J$4*2*Таблица1[[#This Row],[Столбец1]]*Таблица1[[#This Row],[коэф]])))))))))))))),
(IF((G59="5/24"),((база!$M$6*2*Таблица1[[#This Row],[Столбец1]]*Таблица1[[#This Row],[коэф]])),
IF(OR(G59="4/24",G59="3/24"),((база!$M$5*2*Таблица1[[#This Row],[Столбец1]]*Таблица1[[#This Row],[коэф]])),
IF((G59="5/16"),((база!$L$6*2*Таблица1[[#This Row],[Столбец1]]*Таблица1[[#This Row],[коэф]])),
IF(OR(G59="4/16",G59="3/16"),((база!$L$5*2*Таблица1[[#This Row],[Столбец1]]*Таблица1[[#This Row],[коэф]])),
IF(OR(G59="2/4",G59="3/4",G59="4/4"),((база!$I$5*2*Таблица1[[#This Row],[Столбец1]]*Таблица1[[#This Row],[коэф]])),
IF((G59="5/8"),((база!$J$6*2*Таблица1[[#This Row],[Столбец1]]*Таблица1[[#This Row],[коэф]])),
IF(OR(G59="4/8",G59="3/8",G59="2/8"),((база!$J$5*2*Таблица1[[#This Row],[Столбец1]]*Таблица1[[#This Row],[коэф]])))))))))))</f>
        <v>0</v>
      </c>
      <c r="AQ59" s="712" t="str">
        <f>IFERROR(INDEX(база!T:T, MATCH(F59,база!Q:Q,0)),"")</f>
        <v/>
      </c>
      <c r="AR59" s="208" t="str">
        <f>IFERROR(INDEX(база!D:D, MATCH(F59,база!B:B,0)),"")</f>
        <v/>
      </c>
      <c r="AS59" s="758" t="str">
        <f>IFERROR(INDEX(база!E:E, MATCH(F59,база!B:B,0)),"")</f>
        <v/>
      </c>
    </row>
    <row r="60" spans="1:45" ht="15">
      <c r="A60" s="1025" t="str">
        <f t="shared" si="1"/>
        <v>январь</v>
      </c>
      <c r="B60" t="n" s="1025">
        <v>2024.0</v>
      </c>
      <c r="C60" t="s" s="1025">
        <v>388</v>
      </c>
      <c r="D60" t="s" s="1025">
        <v>369</v>
      </c>
      <c r="E60" t="s" s="1025">
        <v>393</v>
      </c>
      <c r="F60" t="s" s="1025">
        <v>251</v>
      </c>
      <c r="G60" t="s" s="1025">
        <v>4</v>
      </c>
      <c r="H60" s="1025"/>
      <c r="I60" s="1025"/>
      <c r="J60" s="1025"/>
      <c r="K60" s="1025"/>
      <c r="L60" s="1025"/>
      <c r="M60" s="1025"/>
      <c r="N60" s="1025"/>
      <c r="O60" t="n" s="1025">
        <v>7.2</v>
      </c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48"/>
      <c r="AJ60" s="48"/>
      <c r="AK60" s="48"/>
      <c r="AL60" s="51"/>
      <c r="AM60" s="212">
        <f>IF(AQ60=1,SUM(Q60:T60,W60:Z60,AC60:AF60,AI60:AL60),
IF(AQ60=2,SUM(P60,S60:V60,Y60:AB60,AE60:AH60,AK60:AL60),
IF(AQ60=3,SUM(P60:R60,U60:X60,AA60:AD60,AG60:AJ60),SUM(Таблица1[[#This Row],[1]:[31]])-Таблица1[[#This Row],[Столбец1]])))</f>
        <v>0</v>
      </c>
      <c r="AN60" s="778">
        <f t="array" ref="AN60">IF(AQ60=1,SUM(P60,U60:V60,AA60:AB60,AG60:AH60),
IF(AQ60=2,SUM(Q60:R60,W60:X60,AC60:AD60,AI60:AJ60),
IF(AQ60=3,SUM(S60:T60,Y60:Z60,AE60:AF60,AK60:AL60),
SUM(IFERROR(WEEKDAY($H$2:$AL$2,2)&gt;5,)*H60:AL60))))+Таблица1[[#This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0" s="292" t="b">
        <f>IF(AR60&lt;=3,(IF((G60="5/24"),((база!$M$6*Таблица1[[#This Row],[сумма]]*Таблица1[[#This Row],[коэф]])),
IF((G60="4/24"),((база!$M$5*Таблица1[[#This Row],[сумма]]*Таблица1[[#This Row],[коэф]])),
IF((G60="3/24"),((база!$M$4*Таблица1[[#This Row],[сумма]]*Таблица1[[#This Row],[коэф]])),
IF((G60="5/16"),((база!$L$6*Таблица1[[#This Row],[сумма]]*Таблица1[[#This Row],[коэф]])),
IF((G60="4/16"),((база!$L$5*Таблица1[[#This Row],[сумма]]*Таблица1[[#This Row],[коэф]])),
IF((G60="3/16"),((база!$L$4*Таблица1[[#This Row],[сумма]]*Таблица1[[#This Row],[коэф]])),
IF((G60="4/4"),((база!$I$5*Таблица1[[#This Row],[сумма]]*Таблица1[[#This Row],[коэф]])),
IF(OR(G60="2/4",G60="3/4"),((база!$I$4*Таблица1[[#This Row],[сумма]]*Таблица1[[#This Row],[коэф]])),
IF((G60="5/8"),((база!$J$6*Таблица1[[#This Row],[сумма]]*Таблица1[[#This Row],[коэф]])),
IF((G60="4/8"),((база!$J$5*Таблица1[[#This Row],[сумма]]*Таблица1[[#This Row],[коэф]])),
IF(OR(G60="3/8",G60="2/8"),((база!$J$4*Таблица1[[#This Row],[сумма]]*Таблица1[[#This Row],[коэф]])))))))))))))),
(IF((G60="5/24"),((база!$M$6*Таблица1[[#This Row],[сумма]]*Таблица1[[#This Row],[коэф]])),
IF(OR(G60="4/24",G60="3/24"),((база!$M$5*Таблица1[[#This Row],[сумма]]*Таблица1[[#This Row],[коэф]])),
IF((G60="5/16"),((база!$L$6*Таблица1[[#This Row],[сумма]]*Таблица1[[#This Row],[коэф]])),
IF(OR(G60="4/16",G60="3/16"),((база!$L$5*Таблица1[[#This Row],[сумма]]*Таблица1[[#This Row],[коэф]])),
IF(OR(G60="2/4",G60="3/4",G60="4/4"),((база!$I$5*Таблица1[[#This Row],[сумма]]*Таблица1[[#This Row],[коэф]])),
IF((G60="5/8"),((база!$J$6*Таблица1[[#This Row],[сумма]]*Таблица1[[#This Row],[коэф]])),
IF(OR(G60="4/8",G60="3/8",G60="2/8"),((база!$J$5*Таблица1[[#This Row],[сумма]]*Таблица1[[#This Row],[коэф]])))))))))))</f>
        <v>0</v>
      </c>
      <c r="AP60" s="730" t="b">
        <f>IF(AR60&lt;=3,(IF((G60="5/24"),((база!$M$6*2*Таблица1[[#This Row],[Столбец1]]*Таблица1[[#This Row],[коэф]])),
IF((G60="4/24"),((база!$M$5*2*Таблица1[[#This Row],[Столбец1]]*Таблица1[[#This Row],[коэф]])),
IF((G60="3/24"),((база!$M$4*2*Таблица1[[#This Row],[Столбец1]]*Таблица1[[#This Row],[коэф]])),
IF((G60="5/16"),((база!$L$6*2*Таблица1[[#This Row],[Столбец1]]*Таблица1[[#This Row],[коэф]])),
IF((G60="4/16"),((база!$L$5*2*Таблица1[[#This Row],[Столбец1]]*Таблица1[[#This Row],[коэф]])),
IF((G60="3/16"),((база!$L$4*2*Таблица1[[#This Row],[Столбец1]]*Таблица1[[#This Row],[коэф]])),
IF((G60="4/4"),((база!$I$5*2*Таблица1[[#This Row],[Столбец1]]*Таблица1[[#This Row],[коэф]])),
IF(OR(G60="2/4",G60="3/4"),((база!$I$4*2*Таблица1[[#This Row],[Столбец1]]*Таблица1[[#This Row],[коэф]])),
IF((G60="5/8"),((база!$J$6*2*Таблица1[[#This Row],[Столбец1]]*Таблица1[[#This Row],[коэф]])),
IF((G60="4/8"),((база!$J$5*2*Таблица1[[#This Row],[Столбец1]]*Таблица1[[#This Row],[коэф]])),
IF(OR(G60="3/8",G60="2/8"),((база!$J$4*2*Таблица1[[#This Row],[Столбец1]]*Таблица1[[#This Row],[коэф]])))))))))))))),
(IF((G60="5/24"),((база!$M$6*2*Таблица1[[#This Row],[Столбец1]]*Таблица1[[#This Row],[коэф]])),
IF(OR(G60="4/24",G60="3/24"),((база!$M$5*2*Таблица1[[#This Row],[Столбец1]]*Таблица1[[#This Row],[коэф]])),
IF((G60="5/16"),((база!$L$6*2*Таблица1[[#This Row],[Столбец1]]*Таблица1[[#This Row],[коэф]])),
IF(OR(G60="4/16",G60="3/16"),((база!$L$5*2*Таблица1[[#This Row],[Столбец1]]*Таблица1[[#This Row],[коэф]])),
IF(OR(G60="2/4",G60="3/4",G60="4/4"),((база!$I$5*2*Таблица1[[#This Row],[Столбец1]]*Таблица1[[#This Row],[коэф]])),
IF((G60="5/8"),((база!$J$6*2*Таблица1[[#This Row],[Столбец1]]*Таблица1[[#This Row],[коэф]])),
IF(OR(G60="4/8",G60="3/8",G60="2/8"),((база!$J$5*2*Таблица1[[#This Row],[Столбец1]]*Таблица1[[#This Row],[коэф]])))))))))))</f>
        <v>0</v>
      </c>
      <c r="AQ60" s="712" t="str">
        <f>IFERROR(INDEX(база!T:T, MATCH(F60,база!Q:Q,0)),"")</f>
        <v/>
      </c>
      <c r="AR60" s="208" t="str">
        <f>IFERROR(INDEX(база!D:D, MATCH(F60,база!B:B,0)),"")</f>
        <v/>
      </c>
      <c r="AS60" s="758" t="str">
        <f>IFERROR(INDEX(база!E:E, MATCH(F60,база!B:B,0)),"")</f>
        <v/>
      </c>
    </row>
    <row r="61" spans="1:45" ht="15">
      <c r="A61" s="1026" t="str">
        <f t="shared" si="1"/>
        <v>январь</v>
      </c>
      <c r="B61" t="n" s="1026">
        <v>2024.0</v>
      </c>
      <c r="C61" t="s" s="1026">
        <v>387</v>
      </c>
      <c r="D61" t="s" s="1026">
        <v>364</v>
      </c>
      <c r="E61" t="s" s="1026">
        <v>46</v>
      </c>
      <c r="F61" t="s" s="1026">
        <v>260</v>
      </c>
      <c r="G61" t="s" s="1026">
        <v>4</v>
      </c>
      <c r="H61" s="1026"/>
      <c r="I61" s="1026"/>
      <c r="J61" s="1026"/>
      <c r="K61" s="1026"/>
      <c r="L61" s="1026"/>
      <c r="M61" s="1026"/>
      <c r="N61" s="1026"/>
      <c r="O61" t="n" s="1026">
        <v>3.0</v>
      </c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48"/>
      <c r="AJ61" s="48"/>
      <c r="AK61" s="48"/>
      <c r="AL61" s="51"/>
      <c r="AM61" s="212">
        <f>IF(AQ61=1,SUM(Q61:T61,W61:Z61,AC61:AF61,AI61:AL61),
IF(AQ61=2,SUM(P61,S61:V61,Y61:AB61,AE61:AH61,AK61:AL61),
IF(AQ61=3,SUM(P61:R61,U61:X61,AA61:AD61,AG61:AJ61),SUM(Таблица1[[#This Row],[1]:[31]])-Таблица1[[#This Row],[Столбец1]])))</f>
        <v>0</v>
      </c>
      <c r="AN61" s="778">
        <f t="array" ref="AN61">IF(AQ61=1,SUM(P61,U61:V61,AA61:AB61,AG61:AH61),
IF(AQ61=2,SUM(Q61:R61,W61:X61,AC61:AD61,AI61:AJ61),
IF(AQ61=3,SUM(S61:T61,Y61:Z61,AE61:AF61,AK61:AL61),
SUM(IFERROR(WEEKDAY($H$2:$AL$2,2)&gt;5,)*H61:AL61))))+Таблица1[[#This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1" s="292" t="b">
        <f>IF(AR61&lt;=3,(IF((G61="5/24"),((база!$M$6*Таблица1[[#This Row],[сумма]]*Таблица1[[#This Row],[коэф]])),
IF((G61="4/24"),((база!$M$5*Таблица1[[#This Row],[сумма]]*Таблица1[[#This Row],[коэф]])),
IF((G61="3/24"),((база!$M$4*Таблица1[[#This Row],[сумма]]*Таблица1[[#This Row],[коэф]])),
IF((G61="5/16"),((база!$L$6*Таблица1[[#This Row],[сумма]]*Таблица1[[#This Row],[коэф]])),
IF((G61="4/16"),((база!$L$5*Таблица1[[#This Row],[сумма]]*Таблица1[[#This Row],[коэф]])),
IF((G61="3/16"),((база!$L$4*Таблица1[[#This Row],[сумма]]*Таблица1[[#This Row],[коэф]])),
IF((G61="4/4"),((база!$I$5*Таблица1[[#This Row],[сумма]]*Таблица1[[#This Row],[коэф]])),
IF(OR(G61="2/4",G61="3/4"),((база!$I$4*Таблица1[[#This Row],[сумма]]*Таблица1[[#This Row],[коэф]])),
IF((G61="5/8"),((база!$J$6*Таблица1[[#This Row],[сумма]]*Таблица1[[#This Row],[коэф]])),
IF((G61="4/8"),((база!$J$5*Таблица1[[#This Row],[сумма]]*Таблица1[[#This Row],[коэф]])),
IF(OR(G61="3/8",G61="2/8"),((база!$J$4*Таблица1[[#This Row],[сумма]]*Таблица1[[#This Row],[коэф]])))))))))))))),
(IF((G61="5/24"),((база!$M$6*Таблица1[[#This Row],[сумма]]*Таблица1[[#This Row],[коэф]])),
IF(OR(G61="4/24",G61="3/24"),((база!$M$5*Таблица1[[#This Row],[сумма]]*Таблица1[[#This Row],[коэф]])),
IF((G61="5/16"),((база!$L$6*Таблица1[[#This Row],[сумма]]*Таблица1[[#This Row],[коэф]])),
IF(OR(G61="4/16",G61="3/16"),((база!$L$5*Таблица1[[#This Row],[сумма]]*Таблица1[[#This Row],[коэф]])),
IF(OR(G61="2/4",G61="3/4",G61="4/4"),((база!$I$5*Таблица1[[#This Row],[сумма]]*Таблица1[[#This Row],[коэф]])),
IF((G61="5/8"),((база!$J$6*Таблица1[[#This Row],[сумма]]*Таблица1[[#This Row],[коэф]])),
IF(OR(G61="4/8",G61="3/8",G61="2/8"),((база!$J$5*Таблица1[[#This Row],[сумма]]*Таблица1[[#This Row],[коэф]])))))))))))</f>
        <v>0</v>
      </c>
      <c r="AP61" s="730" t="b">
        <f>IF(AR61&lt;=3,(IF((G61="5/24"),((база!$M$6*2*Таблица1[[#This Row],[Столбец1]]*Таблица1[[#This Row],[коэф]])),
IF((G61="4/24"),((база!$M$5*2*Таблица1[[#This Row],[Столбец1]]*Таблица1[[#This Row],[коэф]])),
IF((G61="3/24"),((база!$M$4*2*Таблица1[[#This Row],[Столбец1]]*Таблица1[[#This Row],[коэф]])),
IF((G61="5/16"),((база!$L$6*2*Таблица1[[#This Row],[Столбец1]]*Таблица1[[#This Row],[коэф]])),
IF((G61="4/16"),((база!$L$5*2*Таблица1[[#This Row],[Столбец1]]*Таблица1[[#This Row],[коэф]])),
IF((G61="3/16"),((база!$L$4*2*Таблица1[[#This Row],[Столбец1]]*Таблица1[[#This Row],[коэф]])),
IF((G61="4/4"),((база!$I$5*2*Таблица1[[#This Row],[Столбец1]]*Таблица1[[#This Row],[коэф]])),
IF(OR(G61="2/4",G61="3/4"),((база!$I$4*2*Таблица1[[#This Row],[Столбец1]]*Таблица1[[#This Row],[коэф]])),
IF((G61="5/8"),((база!$J$6*2*Таблица1[[#This Row],[Столбец1]]*Таблица1[[#This Row],[коэф]])),
IF((G61="4/8"),((база!$J$5*2*Таблица1[[#This Row],[Столбец1]]*Таблица1[[#This Row],[коэф]])),
IF(OR(G61="3/8",G61="2/8"),((база!$J$4*2*Таблица1[[#This Row],[Столбец1]]*Таблица1[[#This Row],[коэф]])))))))))))))),
(IF((G61="5/24"),((база!$M$6*2*Таблица1[[#This Row],[Столбец1]]*Таблица1[[#This Row],[коэф]])),
IF(OR(G61="4/24",G61="3/24"),((база!$M$5*2*Таблица1[[#This Row],[Столбец1]]*Таблица1[[#This Row],[коэф]])),
IF((G61="5/16"),((база!$L$6*2*Таблица1[[#This Row],[Столбец1]]*Таблица1[[#This Row],[коэф]])),
IF(OR(G61="4/16",G61="3/16"),((база!$L$5*2*Таблица1[[#This Row],[Столбец1]]*Таблица1[[#This Row],[коэф]])),
IF(OR(G61="2/4",G61="3/4",G61="4/4"),((база!$I$5*2*Таблица1[[#This Row],[Столбец1]]*Таблица1[[#This Row],[коэф]])),
IF((G61="5/8"),((база!$J$6*2*Таблица1[[#This Row],[Столбец1]]*Таблица1[[#This Row],[коэф]])),
IF(OR(G61="4/8",G61="3/8",G61="2/8"),((база!$J$5*2*Таблица1[[#This Row],[Столбец1]]*Таблица1[[#This Row],[коэф]])))))))))))</f>
        <v>0</v>
      </c>
      <c r="AQ61" s="712" t="str">
        <f>IFERROR(INDEX(база!T:T, MATCH(F61,база!Q:Q,0)),"")</f>
        <v/>
      </c>
      <c r="AR61" s="208" t="str">
        <f>IFERROR(INDEX(база!D:D, MATCH(F61,база!B:B,0)),"")</f>
        <v/>
      </c>
      <c r="AS61" s="758" t="str">
        <f>IFERROR(INDEX(база!E:E, MATCH(F61,база!B:B,0)),"")</f>
        <v/>
      </c>
    </row>
    <row r="62" spans="1:45" ht="15">
      <c r="A62" s="1027" t="str">
        <f t="shared" si="1"/>
        <v>январь</v>
      </c>
      <c r="B62" t="n" s="1027">
        <v>2024.0</v>
      </c>
      <c r="C62" t="s" s="1027">
        <v>396</v>
      </c>
      <c r="D62" t="s" s="1027">
        <v>364</v>
      </c>
      <c r="E62" t="s" s="1027">
        <v>46</v>
      </c>
      <c r="F62" t="s" s="1027">
        <v>260</v>
      </c>
      <c r="G62" t="s" s="1027">
        <v>31</v>
      </c>
      <c r="H62" s="1027"/>
      <c r="I62" s="1027"/>
      <c r="J62" s="1027"/>
      <c r="K62" s="1027"/>
      <c r="L62" s="1027"/>
      <c r="M62" s="1027"/>
      <c r="N62" s="1027"/>
      <c r="O62" t="n" s="1027">
        <v>3.0</v>
      </c>
      <c r="P62" s="48"/>
      <c r="Q62" s="48"/>
      <c r="R62" t="n" s="46">
        <v>7.2</v>
      </c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48"/>
      <c r="AJ62" s="48"/>
      <c r="AK62" s="48"/>
      <c r="AL62" s="51"/>
      <c r="AM62" s="212">
        <f>IF(AQ62=1,SUM(Q62:T62,W62:Z62,AC62:AF62,AI62:AL62),
IF(AQ62=2,SUM(P62,S62:V62,Y62:AB62,AE62:AH62,AK62:AL62),
IF(AQ62=3,SUM(P62:R62,U62:X62,AA62:AD62,AG62:AJ62),SUM(Таблица1[[#This Row],[1]:[31]])-Таблица1[[#This Row],[Столбец1]])))</f>
        <v>0</v>
      </c>
      <c r="AN62" s="778">
        <f t="array" ref="AN62">IF(AQ62=1,SUM(P62,U62:V62,AA62:AB62,AG62:AH62),
IF(AQ62=2,SUM(Q62:R62,W62:X62,AC62:AD62,AI62:AJ62),
IF(AQ62=3,SUM(S62:T62,Y62:Z62,AE62:AF62,AK62:AL62),
SUM(IFERROR(WEEKDAY($H$2:$AL$2,2)&gt;5,)*H62:AL62))))+Таблица1[[#This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2" s="292" t="b">
        <f>IF(AR62&lt;=3,(IF((G62="5/24"),((база!$M$6*Таблица1[[#This Row],[сумма]]*Таблица1[[#This Row],[коэф]])),
IF((G62="4/24"),((база!$M$5*Таблица1[[#This Row],[сумма]]*Таблица1[[#This Row],[коэф]])),
IF((G62="3/24"),((база!$M$4*Таблица1[[#This Row],[сумма]]*Таблица1[[#This Row],[коэф]])),
IF((G62="5/16"),((база!$L$6*Таблица1[[#This Row],[сумма]]*Таблица1[[#This Row],[коэф]])),
IF((G62="4/16"),((база!$L$5*Таблица1[[#This Row],[сумма]]*Таблица1[[#This Row],[коэф]])),
IF((G62="3/16"),((база!$L$4*Таблица1[[#This Row],[сумма]]*Таблица1[[#This Row],[коэф]])),
IF((G62="4/4"),((база!$I$5*Таблица1[[#This Row],[сумма]]*Таблица1[[#This Row],[коэф]])),
IF(OR(G62="2/4",G62="3/4"),((база!$I$4*Таблица1[[#This Row],[сумма]]*Таблица1[[#This Row],[коэф]])),
IF((G62="5/8"),((база!$J$6*Таблица1[[#This Row],[сумма]]*Таблица1[[#This Row],[коэф]])),
IF((G62="4/8"),((база!$J$5*Таблица1[[#This Row],[сумма]]*Таблица1[[#This Row],[коэф]])),
IF(OR(G62="3/8",G62="2/8"),((база!$J$4*Таблица1[[#This Row],[сумма]]*Таблица1[[#This Row],[коэф]])))))))))))))),
(IF((G62="5/24"),((база!$M$6*Таблица1[[#This Row],[сумма]]*Таблица1[[#This Row],[коэф]])),
IF(OR(G62="4/24",G62="3/24"),((база!$M$5*Таблица1[[#This Row],[сумма]]*Таблица1[[#This Row],[коэф]])),
IF((G62="5/16"),((база!$L$6*Таблица1[[#This Row],[сумма]]*Таблица1[[#This Row],[коэф]])),
IF(OR(G62="4/16",G62="3/16"),((база!$L$5*Таблица1[[#This Row],[сумма]]*Таблица1[[#This Row],[коэф]])),
IF(OR(G62="2/4",G62="3/4",G62="4/4"),((база!$I$5*Таблица1[[#This Row],[сумма]]*Таблица1[[#This Row],[коэф]])),
IF((G62="5/8"),((база!$J$6*Таблица1[[#This Row],[сумма]]*Таблица1[[#This Row],[коэф]])),
IF(OR(G62="4/8",G62="3/8",G62="2/8"),((база!$J$5*Таблица1[[#This Row],[сумма]]*Таблица1[[#This Row],[коэф]])))))))))))</f>
        <v>0</v>
      </c>
      <c r="AP62" s="730" t="b">
        <f>IF(AR62&lt;=3,(IF((G62="5/24"),((база!$M$6*2*Таблица1[[#This Row],[Столбец1]]*Таблица1[[#This Row],[коэф]])),
IF((G62="4/24"),((база!$M$5*2*Таблица1[[#This Row],[Столбец1]]*Таблица1[[#This Row],[коэф]])),
IF((G62="3/24"),((база!$M$4*2*Таблица1[[#This Row],[Столбец1]]*Таблица1[[#This Row],[коэф]])),
IF((G62="5/16"),((база!$L$6*2*Таблица1[[#This Row],[Столбец1]]*Таблица1[[#This Row],[коэф]])),
IF((G62="4/16"),((база!$L$5*2*Таблица1[[#This Row],[Столбец1]]*Таблица1[[#This Row],[коэф]])),
IF((G62="3/16"),((база!$L$4*2*Таблица1[[#This Row],[Столбец1]]*Таблица1[[#This Row],[коэф]])),
IF((G62="4/4"),((база!$I$5*2*Таблица1[[#This Row],[Столбец1]]*Таблица1[[#This Row],[коэф]])),
IF(OR(G62="2/4",G62="3/4"),((база!$I$4*2*Таблица1[[#This Row],[Столбец1]]*Таблица1[[#This Row],[коэф]])),
IF((G62="5/8"),((база!$J$6*2*Таблица1[[#This Row],[Столбец1]]*Таблица1[[#This Row],[коэф]])),
IF((G62="4/8"),((база!$J$5*2*Таблица1[[#This Row],[Столбец1]]*Таблица1[[#This Row],[коэф]])),
IF(OR(G62="3/8",G62="2/8"),((база!$J$4*2*Таблица1[[#This Row],[Столбец1]]*Таблица1[[#This Row],[коэф]])))))))))))))),
(IF((G62="5/24"),((база!$M$6*2*Таблица1[[#This Row],[Столбец1]]*Таблица1[[#This Row],[коэф]])),
IF(OR(G62="4/24",G62="3/24"),((база!$M$5*2*Таблица1[[#This Row],[Столбец1]]*Таблица1[[#This Row],[коэф]])),
IF((G62="5/16"),((база!$L$6*2*Таблица1[[#This Row],[Столбец1]]*Таблица1[[#This Row],[коэф]])),
IF(OR(G62="4/16",G62="3/16"),((база!$L$5*2*Таблица1[[#This Row],[Столбец1]]*Таблица1[[#This Row],[коэф]])),
IF(OR(G62="2/4",G62="3/4",G62="4/4"),((база!$I$5*2*Таблица1[[#This Row],[Столбец1]]*Таблица1[[#This Row],[коэф]])),
IF((G62="5/8"),((база!$J$6*2*Таблица1[[#This Row],[Столбец1]]*Таблица1[[#This Row],[коэф]])),
IF(OR(G62="4/8",G62="3/8",G62="2/8"),((база!$J$5*2*Таблица1[[#This Row],[Столбец1]]*Таблица1[[#This Row],[коэф]])))))))))))</f>
        <v>0</v>
      </c>
      <c r="AQ62" s="712" t="str">
        <f>IFERROR(INDEX(база!T:T, MATCH(F62,база!Q:Q,0)),"")</f>
        <v/>
      </c>
      <c r="AR62" s="208" t="str">
        <f>IFERROR(INDEX(база!D:D, MATCH(F62,база!B:B,0)),"")</f>
        <v/>
      </c>
      <c r="AS62" s="758" t="str">
        <f>IFERROR(INDEX(база!E:E, MATCH(F62,база!B:B,0)),"")</f>
        <v/>
      </c>
    </row>
    <row r="63" spans="1:45" ht="15">
      <c r="A63" s="1028" t="str">
        <f t="shared" si="1"/>
        <v>январь</v>
      </c>
      <c r="B63" t="n" s="1028">
        <v>2024.0</v>
      </c>
      <c r="C63" t="s" s="1028">
        <v>392</v>
      </c>
      <c r="D63" t="s" s="1028">
        <v>364</v>
      </c>
      <c r="E63" t="s" s="1028">
        <v>46</v>
      </c>
      <c r="F63" t="s" s="1028">
        <v>352</v>
      </c>
      <c r="G63" t="s" s="1028">
        <v>4</v>
      </c>
      <c r="H63" s="1028"/>
      <c r="I63" s="1028"/>
      <c r="J63" s="1028"/>
      <c r="K63" s="1028"/>
      <c r="L63" s="1028"/>
      <c r="M63" s="1028"/>
      <c r="N63" s="1028"/>
      <c r="O63" t="n" s="1028">
        <v>7.2</v>
      </c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  <c r="AJ63" s="48"/>
      <c r="AK63" s="48"/>
      <c r="AL63" s="51"/>
      <c r="AM63" s="212">
        <f>IF(AQ63=1,SUM(Q63:T63,W63:Z63,AC63:AF63,AI63:AL63),
IF(AQ63=2,SUM(P63,S63:V63,Y63:AB63,AE63:AH63,AK63:AL63),
IF(AQ63=3,SUM(P63:R63,U63:X63,AA63:AD63,AG63:AJ63),SUM(Таблица1[[#This Row],[1]:[31]])-Таблица1[[#This Row],[Столбец1]])))</f>
        <v>0</v>
      </c>
      <c r="AN63" s="778">
        <f t="array" ref="AN63">IF(AQ63=1,SUM(P63,U63:V63,AA63:AB63,AG63:AH63),
IF(AQ63=2,SUM(Q63:R63,W63:X63,AC63:AD63,AI63:AJ63),
IF(AQ63=3,SUM(S63:T63,Y63:Z63,AE63:AF63,AK63:AL63),
SUM(IFERROR(WEEKDAY($H$2:$AL$2,2)&gt;5,)*H63:AL63))))+Таблица1[[#This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3" s="292" t="b">
        <f>IF(AR63&lt;=3,(IF((G63="5/24"),((база!$M$6*Таблица1[[#This Row],[сумма]]*Таблица1[[#This Row],[коэф]])),
IF((G63="4/24"),((база!$M$5*Таблица1[[#This Row],[сумма]]*Таблица1[[#This Row],[коэф]])),
IF((G63="3/24"),((база!$M$4*Таблица1[[#This Row],[сумма]]*Таблица1[[#This Row],[коэф]])),
IF((G63="5/16"),((база!$L$6*Таблица1[[#This Row],[сумма]]*Таблица1[[#This Row],[коэф]])),
IF((G63="4/16"),((база!$L$5*Таблица1[[#This Row],[сумма]]*Таблица1[[#This Row],[коэф]])),
IF((G63="3/16"),((база!$L$4*Таблица1[[#This Row],[сумма]]*Таблица1[[#This Row],[коэф]])),
IF((G63="4/4"),((база!$I$5*Таблица1[[#This Row],[сумма]]*Таблица1[[#This Row],[коэф]])),
IF(OR(G63="2/4",G63="3/4"),((база!$I$4*Таблица1[[#This Row],[сумма]]*Таблица1[[#This Row],[коэф]])),
IF((G63="5/8"),((база!$J$6*Таблица1[[#This Row],[сумма]]*Таблица1[[#This Row],[коэф]])),
IF((G63="4/8"),((база!$J$5*Таблица1[[#This Row],[сумма]]*Таблица1[[#This Row],[коэф]])),
IF(OR(G63="3/8",G63="2/8"),((база!$J$4*Таблица1[[#This Row],[сумма]]*Таблица1[[#This Row],[коэф]])))))))))))))),
(IF((G63="5/24"),((база!$M$6*Таблица1[[#This Row],[сумма]]*Таблица1[[#This Row],[коэф]])),
IF(OR(G63="4/24",G63="3/24"),((база!$M$5*Таблица1[[#This Row],[сумма]]*Таблица1[[#This Row],[коэф]])),
IF((G63="5/16"),((база!$L$6*Таблица1[[#This Row],[сумма]]*Таблица1[[#This Row],[коэф]])),
IF(OR(G63="4/16",G63="3/16"),((база!$L$5*Таблица1[[#This Row],[сумма]]*Таблица1[[#This Row],[коэф]])),
IF(OR(G63="2/4",G63="3/4",G63="4/4"),((база!$I$5*Таблица1[[#This Row],[сумма]]*Таблица1[[#This Row],[коэф]])),
IF((G63="5/8"),((база!$J$6*Таблица1[[#This Row],[сумма]]*Таблица1[[#This Row],[коэф]])),
IF(OR(G63="4/8",G63="3/8",G63="2/8"),((база!$J$5*Таблица1[[#This Row],[сумма]]*Таблица1[[#This Row],[коэф]])))))))))))</f>
        <v>0</v>
      </c>
      <c r="AP63" s="730" t="b">
        <f>IF(AR63&lt;=3,(IF((G63="5/24"),((база!$M$6*2*Таблица1[[#This Row],[Столбец1]]*Таблица1[[#This Row],[коэф]])),
IF((G63="4/24"),((база!$M$5*2*Таблица1[[#This Row],[Столбец1]]*Таблица1[[#This Row],[коэф]])),
IF((G63="3/24"),((база!$M$4*2*Таблица1[[#This Row],[Столбец1]]*Таблица1[[#This Row],[коэф]])),
IF((G63="5/16"),((база!$L$6*2*Таблица1[[#This Row],[Столбец1]]*Таблица1[[#This Row],[коэф]])),
IF((G63="4/16"),((база!$L$5*2*Таблица1[[#This Row],[Столбец1]]*Таблица1[[#This Row],[коэф]])),
IF((G63="3/16"),((база!$L$4*2*Таблица1[[#This Row],[Столбец1]]*Таблица1[[#This Row],[коэф]])),
IF((G63="4/4"),((база!$I$5*2*Таблица1[[#This Row],[Столбец1]]*Таблица1[[#This Row],[коэф]])),
IF(OR(G63="2/4",G63="3/4"),((база!$I$4*2*Таблица1[[#This Row],[Столбец1]]*Таблица1[[#This Row],[коэф]])),
IF((G63="5/8"),((база!$J$6*2*Таблица1[[#This Row],[Столбец1]]*Таблица1[[#This Row],[коэф]])),
IF((G63="4/8"),((база!$J$5*2*Таблица1[[#This Row],[Столбец1]]*Таблица1[[#This Row],[коэф]])),
IF(OR(G63="3/8",G63="2/8"),((база!$J$4*2*Таблица1[[#This Row],[Столбец1]]*Таблица1[[#This Row],[коэф]])))))))))))))),
(IF((G63="5/24"),((база!$M$6*2*Таблица1[[#This Row],[Столбец1]]*Таблица1[[#This Row],[коэф]])),
IF(OR(G63="4/24",G63="3/24"),((база!$M$5*2*Таблица1[[#This Row],[Столбец1]]*Таблица1[[#This Row],[коэф]])),
IF((G63="5/16"),((база!$L$6*2*Таблица1[[#This Row],[Столбец1]]*Таблица1[[#This Row],[коэф]])),
IF(OR(G63="4/16",G63="3/16"),((база!$L$5*2*Таблица1[[#This Row],[Столбец1]]*Таблица1[[#This Row],[коэф]])),
IF(OR(G63="2/4",G63="3/4",G63="4/4"),((база!$I$5*2*Таблица1[[#This Row],[Столбец1]]*Таблица1[[#This Row],[коэф]])),
IF((G63="5/8"),((база!$J$6*2*Таблица1[[#This Row],[Столбец1]]*Таблица1[[#This Row],[коэф]])),
IF(OR(G63="4/8",G63="3/8",G63="2/8"),((база!$J$5*2*Таблица1[[#This Row],[Столбец1]]*Таблица1[[#This Row],[коэф]])))))))))))</f>
        <v>0</v>
      </c>
      <c r="AQ63" s="712" t="str">
        <f>IFERROR(INDEX(база!T:T, MATCH(F63,база!Q:Q,0)),"")</f>
        <v/>
      </c>
      <c r="AR63" s="208" t="str">
        <f>IFERROR(INDEX(база!D:D, MATCH(F63,база!B:B,0)),"")</f>
        <v/>
      </c>
      <c r="AS63" s="758" t="str">
        <f>IFERROR(INDEX(база!E:E, MATCH(F63,база!B:B,0)),"")</f>
        <v/>
      </c>
    </row>
    <row r="64" spans="1:45" ht="15">
      <c r="A64" s="1029" t="str">
        <f t="shared" si="1"/>
        <v>январь</v>
      </c>
      <c r="B64" t="n" s="1029">
        <v>2024.0</v>
      </c>
      <c r="C64" t="s" s="1029">
        <v>397</v>
      </c>
      <c r="D64" t="s" s="1029">
        <v>364</v>
      </c>
      <c r="E64" t="s" s="1029">
        <v>46</v>
      </c>
      <c r="F64" t="s" s="1029">
        <v>358</v>
      </c>
      <c r="G64" t="s" s="1029">
        <v>6</v>
      </c>
      <c r="H64" s="1029"/>
      <c r="I64" s="1029"/>
      <c r="J64" s="1029"/>
      <c r="K64" s="1029"/>
      <c r="L64" s="1029"/>
      <c r="M64" s="1029"/>
      <c r="N64" s="1029"/>
      <c r="O64" t="n" s="1029">
        <v>7.2</v>
      </c>
      <c r="P64" s="48"/>
      <c r="Q64" t="n" s="46">
        <v>7.2</v>
      </c>
      <c r="R64" s="48"/>
      <c r="S64" t="n" s="46">
        <v>7.2</v>
      </c>
      <c r="T64" s="48"/>
      <c r="U64" t="n" s="46">
        <v>7.2</v>
      </c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  <c r="AJ64" s="48"/>
      <c r="AK64" s="48"/>
      <c r="AL64" s="51"/>
      <c r="AM64" s="212">
        <f>IF(AQ64=1,SUM(Q64:T64,W64:Z64,AC64:AF64,AI64:AL64),
IF(AQ64=2,SUM(P64,S64:V64,Y64:AB64,AE64:AH64,AK64:AL64),
IF(AQ64=3,SUM(P64:R64,U64:X64,AA64:AD64,AG64:AJ64),SUM(Таблица1[[#This Row],[1]:[31]])-Таблица1[[#This Row],[Столбец1]])))</f>
        <v>0</v>
      </c>
      <c r="AN64" s="778">
        <f t="array" ref="AN64">IF(AQ64=1,SUM(P64,U64:V64,AA64:AB64,AG64:AH64),
IF(AQ64=2,SUM(Q64:R64,W64:X64,AC64:AD64,AI64:AJ64),
IF(AQ64=3,SUM(S64:T64,Y64:Z64,AE64:AF64,AK64:AL64),
SUM(IFERROR(WEEKDAY($H$2:$AL$2,2)&gt;5,)*H64:AL64))))+Таблица1[[#This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4" s="292" t="b">
        <f>IF(AR64&lt;=3,(IF((G64="5/24"),((база!$M$6*Таблица1[[#This Row],[сумма]]*Таблица1[[#This Row],[коэф]])),
IF((G64="4/24"),((база!$M$5*Таблица1[[#This Row],[сумма]]*Таблица1[[#This Row],[коэф]])),
IF((G64="3/24"),((база!$M$4*Таблица1[[#This Row],[сумма]]*Таблица1[[#This Row],[коэф]])),
IF((G64="5/16"),((база!$L$6*Таблица1[[#This Row],[сумма]]*Таблица1[[#This Row],[коэф]])),
IF((G64="4/16"),((база!$L$5*Таблица1[[#This Row],[сумма]]*Таблица1[[#This Row],[коэф]])),
IF((G64="3/16"),((база!$L$4*Таблица1[[#This Row],[сумма]]*Таблица1[[#This Row],[коэф]])),
IF((G64="4/4"),((база!$I$5*Таблица1[[#This Row],[сумма]]*Таблица1[[#This Row],[коэф]])),
IF(OR(G64="2/4",G64="3/4"),((база!$I$4*Таблица1[[#This Row],[сумма]]*Таблица1[[#This Row],[коэф]])),
IF((G64="5/8"),((база!$J$6*Таблица1[[#This Row],[сумма]]*Таблица1[[#This Row],[коэф]])),
IF((G64="4/8"),((база!$J$5*Таблица1[[#This Row],[сумма]]*Таблица1[[#This Row],[коэф]])),
IF(OR(G64="3/8",G64="2/8"),((база!$J$4*Таблица1[[#This Row],[сумма]]*Таблица1[[#This Row],[коэф]])))))))))))))),
(IF((G64="5/24"),((база!$M$6*Таблица1[[#This Row],[сумма]]*Таблица1[[#This Row],[коэф]])),
IF(OR(G64="4/24",G64="3/24"),((база!$M$5*Таблица1[[#This Row],[сумма]]*Таблица1[[#This Row],[коэф]])),
IF((G64="5/16"),((база!$L$6*Таблица1[[#This Row],[сумма]]*Таблица1[[#This Row],[коэф]])),
IF(OR(G64="4/16",G64="3/16"),((база!$L$5*Таблица1[[#This Row],[сумма]]*Таблица1[[#This Row],[коэф]])),
IF(OR(G64="2/4",G64="3/4",G64="4/4"),((база!$I$5*Таблица1[[#This Row],[сумма]]*Таблица1[[#This Row],[коэф]])),
IF((G64="5/8"),((база!$J$6*Таблица1[[#This Row],[сумма]]*Таблица1[[#This Row],[коэф]])),
IF(OR(G64="4/8",G64="3/8",G64="2/8"),((база!$J$5*Таблица1[[#This Row],[сумма]]*Таблица1[[#This Row],[коэф]])))))))))))</f>
        <v>0</v>
      </c>
      <c r="AP64" s="730" t="b">
        <f>IF(AR64&lt;=3,(IF((G64="5/24"),((база!$M$6*2*Таблица1[[#This Row],[Столбец1]]*Таблица1[[#This Row],[коэф]])),
IF((G64="4/24"),((база!$M$5*2*Таблица1[[#This Row],[Столбец1]]*Таблица1[[#This Row],[коэф]])),
IF((G64="3/24"),((база!$M$4*2*Таблица1[[#This Row],[Столбец1]]*Таблица1[[#This Row],[коэф]])),
IF((G64="5/16"),((база!$L$6*2*Таблица1[[#This Row],[Столбец1]]*Таблица1[[#This Row],[коэф]])),
IF((G64="4/16"),((база!$L$5*2*Таблица1[[#This Row],[Столбец1]]*Таблица1[[#This Row],[коэф]])),
IF((G64="3/16"),((база!$L$4*2*Таблица1[[#This Row],[Столбец1]]*Таблица1[[#This Row],[коэф]])),
IF((G64="4/4"),((база!$I$5*2*Таблица1[[#This Row],[Столбец1]]*Таблица1[[#This Row],[коэф]])),
IF(OR(G64="2/4",G64="3/4"),((база!$I$4*2*Таблица1[[#This Row],[Столбец1]]*Таблица1[[#This Row],[коэф]])),
IF((G64="5/8"),((база!$J$6*2*Таблица1[[#This Row],[Столбец1]]*Таблица1[[#This Row],[коэф]])),
IF((G64="4/8"),((база!$J$5*2*Таблица1[[#This Row],[Столбец1]]*Таблица1[[#This Row],[коэф]])),
IF(OR(G64="3/8",G64="2/8"),((база!$J$4*2*Таблица1[[#This Row],[Столбец1]]*Таблица1[[#This Row],[коэф]])))))))))))))),
(IF((G64="5/24"),((база!$M$6*2*Таблица1[[#This Row],[Столбец1]]*Таблица1[[#This Row],[коэф]])),
IF(OR(G64="4/24",G64="3/24"),((база!$M$5*2*Таблица1[[#This Row],[Столбец1]]*Таблица1[[#This Row],[коэф]])),
IF((G64="5/16"),((база!$L$6*2*Таблица1[[#This Row],[Столбец1]]*Таблица1[[#This Row],[коэф]])),
IF(OR(G64="4/16",G64="3/16"),((база!$L$5*2*Таблица1[[#This Row],[Столбец1]]*Таблица1[[#This Row],[коэф]])),
IF(OR(G64="2/4",G64="3/4",G64="4/4"),((база!$I$5*2*Таблица1[[#This Row],[Столбец1]]*Таблица1[[#This Row],[коэф]])),
IF((G64="5/8"),((база!$J$6*2*Таблица1[[#This Row],[Столбец1]]*Таблица1[[#This Row],[коэф]])),
IF(OR(G64="4/8",G64="3/8",G64="2/8"),((база!$J$5*2*Таблица1[[#This Row],[Столбец1]]*Таблица1[[#This Row],[коэф]])))))))))))</f>
        <v>0</v>
      </c>
      <c r="AQ64" s="712" t="str">
        <f>IFERROR(INDEX(база!T:T, MATCH(F64,база!Q:Q,0)),"")</f>
        <v/>
      </c>
      <c r="AR64" s="208" t="str">
        <f>IFERROR(INDEX(база!D:D, MATCH(F64,база!B:B,0)),"")</f>
        <v/>
      </c>
      <c r="AS64" s="758" t="str">
        <f>IFERROR(INDEX(база!E:E, MATCH(F64,база!B:B,0)),"")</f>
        <v/>
      </c>
    </row>
    <row r="65" spans="1:45" ht="15">
      <c r="A65" s="1030" t="str">
        <f t="shared" si="1"/>
        <v>январь</v>
      </c>
      <c r="B65" t="n" s="1030">
        <v>2024.0</v>
      </c>
      <c r="C65" t="s" s="1030">
        <v>386</v>
      </c>
      <c r="D65" t="s" s="1030">
        <v>364</v>
      </c>
      <c r="E65" t="s" s="1030">
        <v>389</v>
      </c>
      <c r="F65" t="s" s="1030">
        <v>292</v>
      </c>
      <c r="G65" t="s" s="1030">
        <v>5</v>
      </c>
      <c r="H65" s="1030"/>
      <c r="I65" s="1030"/>
      <c r="J65" s="1030"/>
      <c r="K65" s="1030"/>
      <c r="L65" s="1030"/>
      <c r="M65" s="1030"/>
      <c r="N65" s="1030"/>
      <c r="O65" t="n" s="1030">
        <v>3.2</v>
      </c>
      <c r="P65" t="n" s="21">
        <v>6.0</v>
      </c>
      <c r="Q65" s="48"/>
      <c r="R65" t="n" s="46">
        <v>3.6</v>
      </c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8"/>
      <c r="AK65" s="48"/>
      <c r="AL65" s="51"/>
      <c r="AM65" s="212">
        <f>IF(AQ65=1,SUM(Q65:T65,W65:Z65,AC65:AF65,AI65:AL65),
IF(AQ65=2,SUM(P65,S65:V65,Y65:AB65,AE65:AH65,AK65:AL65),
IF(AQ65=3,SUM(P65:R65,U65:X65,AA65:AD65,AG65:AJ65),SUM(Таблица1[[#This Row],[1]:[31]])-Таблица1[[#This Row],[Столбец1]])))</f>
        <v>0</v>
      </c>
      <c r="AN65" s="778">
        <f t="array" ref="AN65">IF(AQ65=1,SUM(P65,U65:V65,AA65:AB65,AG65:AH65),
IF(AQ65=2,SUM(Q65:R65,W65:X65,AC65:AD65,AI65:AJ65),
IF(AQ65=3,SUM(S65:T65,Y65:Z65,AE65:AF65,AK65:AL65),
SUM(IFERROR(WEEKDAY($H$2:$AL$2,2)&gt;5,)*H65:AL65))))+Таблица1[[#This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5" s="292" t="b">
        <f>IF(AR65&lt;=3,(IF((G65="5/24"),((база!$M$6*Таблица1[[#This Row],[сумма]]*Таблица1[[#This Row],[коэф]])),
IF((G65="4/24"),((база!$M$5*Таблица1[[#This Row],[сумма]]*Таблица1[[#This Row],[коэф]])),
IF((G65="3/24"),((база!$M$4*Таблица1[[#This Row],[сумма]]*Таблица1[[#This Row],[коэф]])),
IF((G65="5/16"),((база!$L$6*Таблица1[[#This Row],[сумма]]*Таблица1[[#This Row],[коэф]])),
IF((G65="4/16"),((база!$L$5*Таблица1[[#This Row],[сумма]]*Таблица1[[#This Row],[коэф]])),
IF((G65="3/16"),((база!$L$4*Таблица1[[#This Row],[сумма]]*Таблица1[[#This Row],[коэф]])),
IF((G65="4/4"),((база!$I$5*Таблица1[[#This Row],[сумма]]*Таблица1[[#This Row],[коэф]])),
IF(OR(G65="2/4",G65="3/4"),((база!$I$4*Таблица1[[#This Row],[сумма]]*Таблица1[[#This Row],[коэф]])),
IF((G65="5/8"),((база!$J$6*Таблица1[[#This Row],[сумма]]*Таблица1[[#This Row],[коэф]])),
IF((G65="4/8"),((база!$J$5*Таблица1[[#This Row],[сумма]]*Таблица1[[#This Row],[коэф]])),
IF(OR(G65="3/8",G65="2/8"),((база!$J$4*Таблица1[[#This Row],[сумма]]*Таблица1[[#This Row],[коэф]])))))))))))))),
(IF((G65="5/24"),((база!$M$6*Таблица1[[#This Row],[сумма]]*Таблица1[[#This Row],[коэф]])),
IF(OR(G65="4/24",G65="3/24"),((база!$M$5*Таблица1[[#This Row],[сумма]]*Таблица1[[#This Row],[коэф]])),
IF((G65="5/16"),((база!$L$6*Таблица1[[#This Row],[сумма]]*Таблица1[[#This Row],[коэф]])),
IF(OR(G65="4/16",G65="3/16"),((база!$L$5*Таблица1[[#This Row],[сумма]]*Таблица1[[#This Row],[коэф]])),
IF(OR(G65="2/4",G65="3/4",G65="4/4"),((база!$I$5*Таблица1[[#This Row],[сумма]]*Таблица1[[#This Row],[коэф]])),
IF((G65="5/8"),((база!$J$6*Таблица1[[#This Row],[сумма]]*Таблица1[[#This Row],[коэф]])),
IF(OR(G65="4/8",G65="3/8",G65="2/8"),((база!$J$5*Таблица1[[#This Row],[сумма]]*Таблица1[[#This Row],[коэф]])))))))))))</f>
        <v>0</v>
      </c>
      <c r="AP65" s="730" t="b">
        <f>IF(AR65&lt;=3,(IF((G65="5/24"),((база!$M$6*2*Таблица1[[#This Row],[Столбец1]]*Таблица1[[#This Row],[коэф]])),
IF((G65="4/24"),((база!$M$5*2*Таблица1[[#This Row],[Столбец1]]*Таблица1[[#This Row],[коэф]])),
IF((G65="3/24"),((база!$M$4*2*Таблица1[[#This Row],[Столбец1]]*Таблица1[[#This Row],[коэф]])),
IF((G65="5/16"),((база!$L$6*2*Таблица1[[#This Row],[Столбец1]]*Таблица1[[#This Row],[коэф]])),
IF((G65="4/16"),((база!$L$5*2*Таблица1[[#This Row],[Столбец1]]*Таблица1[[#This Row],[коэф]])),
IF((G65="3/16"),((база!$L$4*2*Таблица1[[#This Row],[Столбец1]]*Таблица1[[#This Row],[коэф]])),
IF((G65="4/4"),((база!$I$5*2*Таблица1[[#This Row],[Столбец1]]*Таблица1[[#This Row],[коэф]])),
IF(OR(G65="2/4",G65="3/4"),((база!$I$4*2*Таблица1[[#This Row],[Столбец1]]*Таблица1[[#This Row],[коэф]])),
IF((G65="5/8"),((база!$J$6*2*Таблица1[[#This Row],[Столбец1]]*Таблица1[[#This Row],[коэф]])),
IF((G65="4/8"),((база!$J$5*2*Таблица1[[#This Row],[Столбец1]]*Таблица1[[#This Row],[коэф]])),
IF(OR(G65="3/8",G65="2/8"),((база!$J$4*2*Таблица1[[#This Row],[Столбец1]]*Таблица1[[#This Row],[коэф]])))))))))))))),
(IF((G65="5/24"),((база!$M$6*2*Таблица1[[#This Row],[Столбец1]]*Таблица1[[#This Row],[коэф]])),
IF(OR(G65="4/24",G65="3/24"),((база!$M$5*2*Таблица1[[#This Row],[Столбец1]]*Таблица1[[#This Row],[коэф]])),
IF((G65="5/16"),((база!$L$6*2*Таблица1[[#This Row],[Столбец1]]*Таблица1[[#This Row],[коэф]])),
IF(OR(G65="4/16",G65="3/16"),((база!$L$5*2*Таблица1[[#This Row],[Столбец1]]*Таблица1[[#This Row],[коэф]])),
IF(OR(G65="2/4",G65="3/4",G65="4/4"),((база!$I$5*2*Таблица1[[#This Row],[Столбец1]]*Таблица1[[#This Row],[коэф]])),
IF((G65="5/8"),((база!$J$6*2*Таблица1[[#This Row],[Столбец1]]*Таблица1[[#This Row],[коэф]])),
IF(OR(G65="4/8",G65="3/8",G65="2/8"),((база!$J$5*2*Таблица1[[#This Row],[Столбец1]]*Таблица1[[#This Row],[коэф]])))))))))))</f>
        <v>0</v>
      </c>
      <c r="AQ65" s="712" t="str">
        <f>IFERROR(INDEX(база!T:T, MATCH(F65,база!Q:Q,0)),"")</f>
        <v/>
      </c>
      <c r="AR65" s="208" t="str">
        <f>IFERROR(INDEX(база!D:D, MATCH(F65,база!B:B,0)),"")</f>
        <v/>
      </c>
      <c r="AS65" s="758" t="str">
        <f>IFERROR(INDEX(база!E:E, MATCH(F65,база!B:B,0)),"")</f>
        <v/>
      </c>
    </row>
    <row r="66" spans="1:45" ht="15">
      <c r="A66" s="1031" t="str">
        <f t="shared" si="1"/>
        <v>январь</v>
      </c>
      <c r="B66" t="n" s="1031">
        <v>2024.0</v>
      </c>
      <c r="C66" t="s" s="1031">
        <v>388</v>
      </c>
      <c r="D66" t="s" s="1031">
        <v>364</v>
      </c>
      <c r="E66" t="s" s="1031">
        <v>46</v>
      </c>
      <c r="F66" t="s" s="1031">
        <v>325</v>
      </c>
      <c r="G66" t="s" s="1031">
        <v>4</v>
      </c>
      <c r="H66" s="1031"/>
      <c r="I66" s="1031"/>
      <c r="J66" s="1031"/>
      <c r="K66" s="1031"/>
      <c r="L66" s="1031"/>
      <c r="M66" s="1031"/>
      <c r="N66" s="1031"/>
      <c r="O66" t="n" s="1031">
        <v>7.2</v>
      </c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  <c r="AJ66" s="48"/>
      <c r="AK66" s="48"/>
      <c r="AL66" s="51"/>
      <c r="AM66" s="212">
        <f>IF(AQ66=1,SUM(Q66:T66,W66:Z66,AC66:AF66,AI66:AL66),
IF(AQ66=2,SUM(P66,S66:V66,Y66:AB66,AE66:AH66,AK66:AL66),
IF(AQ66=3,SUM(P66:R66,U66:X66,AA66:AD66,AG66:AJ66),SUM(Таблица1[[#This Row],[1]:[31]])-Таблица1[[#This Row],[Столбец1]])))</f>
        <v>0</v>
      </c>
      <c r="AN66" s="778">
        <f t="array" ref="AN66">IF(AQ66=1,SUM(P66,U66:V66,AA66:AB66,AG66:AH66),
IF(AQ66=2,SUM(Q66:R66,W66:X66,AC66:AD66,AI66:AJ66),
IF(AQ66=3,SUM(S66:T66,Y66:Z66,AE66:AF66,AK66:AL66),
SUM(IFERROR(WEEKDAY($H$2:$AL$2,2)&gt;5,)*H66:AL66))))+Таблица1[[#This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6" s="292" t="b">
        <f>IF(AR66&lt;=3,(IF((G66="5/24"),((база!$M$6*Таблица1[[#This Row],[сумма]]*Таблица1[[#This Row],[коэф]])),
IF((G66="4/24"),((база!$M$5*Таблица1[[#This Row],[сумма]]*Таблица1[[#This Row],[коэф]])),
IF((G66="3/24"),((база!$M$4*Таблица1[[#This Row],[сумма]]*Таблица1[[#This Row],[коэф]])),
IF((G66="5/16"),((база!$L$6*Таблица1[[#This Row],[сумма]]*Таблица1[[#This Row],[коэф]])),
IF((G66="4/16"),((база!$L$5*Таблица1[[#This Row],[сумма]]*Таблица1[[#This Row],[коэф]])),
IF((G66="3/16"),((база!$L$4*Таблица1[[#This Row],[сумма]]*Таблица1[[#This Row],[коэф]])),
IF((G66="4/4"),((база!$I$5*Таблица1[[#This Row],[сумма]]*Таблица1[[#This Row],[коэф]])),
IF(OR(G66="2/4",G66="3/4"),((база!$I$4*Таблица1[[#This Row],[сумма]]*Таблица1[[#This Row],[коэф]])),
IF((G66="5/8"),((база!$J$6*Таблица1[[#This Row],[сумма]]*Таблица1[[#This Row],[коэф]])),
IF((G66="4/8"),((база!$J$5*Таблица1[[#This Row],[сумма]]*Таблица1[[#This Row],[коэф]])),
IF(OR(G66="3/8",G66="2/8"),((база!$J$4*Таблица1[[#This Row],[сумма]]*Таблица1[[#This Row],[коэф]])))))))))))))),
(IF((G66="5/24"),((база!$M$6*Таблица1[[#This Row],[сумма]]*Таблица1[[#This Row],[коэф]])),
IF(OR(G66="4/24",G66="3/24"),((база!$M$5*Таблица1[[#This Row],[сумма]]*Таблица1[[#This Row],[коэф]])),
IF((G66="5/16"),((база!$L$6*Таблица1[[#This Row],[сумма]]*Таблица1[[#This Row],[коэф]])),
IF(OR(G66="4/16",G66="3/16"),((база!$L$5*Таблица1[[#This Row],[сумма]]*Таблица1[[#This Row],[коэф]])),
IF(OR(G66="2/4",G66="3/4",G66="4/4"),((база!$I$5*Таблица1[[#This Row],[сумма]]*Таблица1[[#This Row],[коэф]])),
IF((G66="5/8"),((база!$J$6*Таблица1[[#This Row],[сумма]]*Таблица1[[#This Row],[коэф]])),
IF(OR(G66="4/8",G66="3/8",G66="2/8"),((база!$J$5*Таблица1[[#This Row],[сумма]]*Таблица1[[#This Row],[коэф]])))))))))))</f>
        <v>0</v>
      </c>
      <c r="AP66" s="730" t="b">
        <f>IF(AR66&lt;=3,(IF((G66="5/24"),((база!$M$6*2*Таблица1[[#This Row],[Столбец1]]*Таблица1[[#This Row],[коэф]])),
IF((G66="4/24"),((база!$M$5*2*Таблица1[[#This Row],[Столбец1]]*Таблица1[[#This Row],[коэф]])),
IF((G66="3/24"),((база!$M$4*2*Таблица1[[#This Row],[Столбец1]]*Таблица1[[#This Row],[коэф]])),
IF((G66="5/16"),((база!$L$6*2*Таблица1[[#This Row],[Столбец1]]*Таблица1[[#This Row],[коэф]])),
IF((G66="4/16"),((база!$L$5*2*Таблица1[[#This Row],[Столбец1]]*Таблица1[[#This Row],[коэф]])),
IF((G66="3/16"),((база!$L$4*2*Таблица1[[#This Row],[Столбец1]]*Таблица1[[#This Row],[коэф]])),
IF((G66="4/4"),((база!$I$5*2*Таблица1[[#This Row],[Столбец1]]*Таблица1[[#This Row],[коэф]])),
IF(OR(G66="2/4",G66="3/4"),((база!$I$4*2*Таблица1[[#This Row],[Столбец1]]*Таблица1[[#This Row],[коэф]])),
IF((G66="5/8"),((база!$J$6*2*Таблица1[[#This Row],[Столбец1]]*Таблица1[[#This Row],[коэф]])),
IF((G66="4/8"),((база!$J$5*2*Таблица1[[#This Row],[Столбец1]]*Таблица1[[#This Row],[коэф]])),
IF(OR(G66="3/8",G66="2/8"),((база!$J$4*2*Таблица1[[#This Row],[Столбец1]]*Таблица1[[#This Row],[коэф]])))))))))))))),
(IF((G66="5/24"),((база!$M$6*2*Таблица1[[#This Row],[Столбец1]]*Таблица1[[#This Row],[коэф]])),
IF(OR(G66="4/24",G66="3/24"),((база!$M$5*2*Таблица1[[#This Row],[Столбец1]]*Таблица1[[#This Row],[коэф]])),
IF((G66="5/16"),((база!$L$6*2*Таблица1[[#This Row],[Столбец1]]*Таблица1[[#This Row],[коэф]])),
IF(OR(G66="4/16",G66="3/16"),((база!$L$5*2*Таблица1[[#This Row],[Столбец1]]*Таблица1[[#This Row],[коэф]])),
IF(OR(G66="2/4",G66="3/4",G66="4/4"),((база!$I$5*2*Таблица1[[#This Row],[Столбец1]]*Таблица1[[#This Row],[коэф]])),
IF((G66="5/8"),((база!$J$6*2*Таблица1[[#This Row],[Столбец1]]*Таблица1[[#This Row],[коэф]])),
IF(OR(G66="4/8",G66="3/8",G66="2/8"),((база!$J$5*2*Таблица1[[#This Row],[Столбец1]]*Таблица1[[#This Row],[коэф]])))))))))))</f>
        <v>0</v>
      </c>
      <c r="AQ66" s="712" t="str">
        <f>IFERROR(INDEX(база!T:T, MATCH(F66,база!Q:Q,0)),"")</f>
        <v/>
      </c>
      <c r="AR66" s="208" t="str">
        <f>IFERROR(INDEX(база!D:D, MATCH(F66,база!B:B,0)),"")</f>
        <v/>
      </c>
      <c r="AS66" s="758" t="str">
        <f>IFERROR(INDEX(база!E:E, MATCH(F66,база!B:B,0)),"")</f>
        <v/>
      </c>
    </row>
    <row r="67" spans="1:45" ht="15">
      <c r="A67" s="1032" t="str">
        <f t="shared" si="1"/>
        <v>январь</v>
      </c>
      <c r="B67" t="n" s="1032">
        <v>2024.0</v>
      </c>
      <c r="C67" t="s" s="1032">
        <v>386</v>
      </c>
      <c r="D67" t="s" s="1032">
        <v>364</v>
      </c>
      <c r="E67" t="s" s="1032">
        <v>46</v>
      </c>
      <c r="F67" t="s" s="1032">
        <v>378</v>
      </c>
      <c r="G67" t="s" s="1032">
        <v>4</v>
      </c>
      <c r="H67" s="1032"/>
      <c r="I67" s="1032"/>
      <c r="J67" s="1032"/>
      <c r="K67" s="1032"/>
      <c r="L67" s="1032"/>
      <c r="M67" s="1032"/>
      <c r="N67" t="n" s="1032">
        <v>7.2</v>
      </c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8"/>
      <c r="AJ67" s="48"/>
      <c r="AK67" s="48"/>
      <c r="AL67" s="51"/>
      <c r="AM67" s="212">
        <f>IF(AQ67=1,SUM(Q67:T67,W67:Z67,AC67:AF67,AI67:AL67),
IF(AQ67=2,SUM(P67,S67:V67,Y67:AB67,AE67:AH67,AK67:AL67),
IF(AQ67=3,SUM(P67:R67,U67:X67,AA67:AD67,AG67:AJ67),SUM(Таблица1[[#This Row],[1]:[31]])-Таблица1[[#This Row],[Столбец1]])))</f>
        <v>0</v>
      </c>
      <c r="AN67" s="778">
        <f t="array" ref="AN67">IF(AQ67=1,SUM(P67,U67:V67,AA67:AB67,AG67:AH67),
IF(AQ67=2,SUM(Q67:R67,W67:X67,AC67:AD67,AI67:AJ67),
IF(AQ67=3,SUM(S67:T67,Y67:Z67,AE67:AF67,AK67:AL67),
SUM(IFERROR(WEEKDAY($H$2:$AL$2,2)&gt;5,)*H67:AL67))))+Таблица1[[#This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7" s="292" t="b">
        <f>IF(AR67&lt;=3,(IF((G67="5/24"),((база!$M$6*Таблица1[[#This Row],[сумма]]*Таблица1[[#This Row],[коэф]])),
IF((G67="4/24"),((база!$M$5*Таблица1[[#This Row],[сумма]]*Таблица1[[#This Row],[коэф]])),
IF((G67="3/24"),((база!$M$4*Таблица1[[#This Row],[сумма]]*Таблица1[[#This Row],[коэф]])),
IF((G67="5/16"),((база!$L$6*Таблица1[[#This Row],[сумма]]*Таблица1[[#This Row],[коэф]])),
IF((G67="4/16"),((база!$L$5*Таблица1[[#This Row],[сумма]]*Таблица1[[#This Row],[коэф]])),
IF((G67="3/16"),((база!$L$4*Таблица1[[#This Row],[сумма]]*Таблица1[[#This Row],[коэф]])),
IF((G67="4/4"),((база!$I$5*Таблица1[[#This Row],[сумма]]*Таблица1[[#This Row],[коэф]])),
IF(OR(G67="2/4",G67="3/4"),((база!$I$4*Таблица1[[#This Row],[сумма]]*Таблица1[[#This Row],[коэф]])),
IF((G67="5/8"),((база!$J$6*Таблица1[[#This Row],[сумма]]*Таблица1[[#This Row],[коэф]])),
IF((G67="4/8"),((база!$J$5*Таблица1[[#This Row],[сумма]]*Таблица1[[#This Row],[коэф]])),
IF(OR(G67="3/8",G67="2/8"),((база!$J$4*Таблица1[[#This Row],[сумма]]*Таблица1[[#This Row],[коэф]])))))))))))))),
(IF((G67="5/24"),((база!$M$6*Таблица1[[#This Row],[сумма]]*Таблица1[[#This Row],[коэф]])),
IF(OR(G67="4/24",G67="3/24"),((база!$M$5*Таблица1[[#This Row],[сумма]]*Таблица1[[#This Row],[коэф]])),
IF((G67="5/16"),((база!$L$6*Таблица1[[#This Row],[сумма]]*Таблица1[[#This Row],[коэф]])),
IF(OR(G67="4/16",G67="3/16"),((база!$L$5*Таблица1[[#This Row],[сумма]]*Таблица1[[#This Row],[коэф]])),
IF(OR(G67="2/4",G67="3/4",G67="4/4"),((база!$I$5*Таблица1[[#This Row],[сумма]]*Таблица1[[#This Row],[коэф]])),
IF((G67="5/8"),((база!$J$6*Таблица1[[#This Row],[сумма]]*Таблица1[[#This Row],[коэф]])),
IF(OR(G67="4/8",G67="3/8",G67="2/8"),((база!$J$5*Таблица1[[#This Row],[сумма]]*Таблица1[[#This Row],[коэф]])))))))))))</f>
        <v>0</v>
      </c>
      <c r="AP67" s="730" t="b">
        <f>IF(AR67&lt;=3,(IF((G67="5/24"),((база!$M$6*2*Таблица1[[#This Row],[Столбец1]]*Таблица1[[#This Row],[коэф]])),
IF((G67="4/24"),((база!$M$5*2*Таблица1[[#This Row],[Столбец1]]*Таблица1[[#This Row],[коэф]])),
IF((G67="3/24"),((база!$M$4*2*Таблица1[[#This Row],[Столбец1]]*Таблица1[[#This Row],[коэф]])),
IF((G67="5/16"),((база!$L$6*2*Таблица1[[#This Row],[Столбец1]]*Таблица1[[#This Row],[коэф]])),
IF((G67="4/16"),((база!$L$5*2*Таблица1[[#This Row],[Столбец1]]*Таблица1[[#This Row],[коэф]])),
IF((G67="3/16"),((база!$L$4*2*Таблица1[[#This Row],[Столбец1]]*Таблица1[[#This Row],[коэф]])),
IF((G67="4/4"),((база!$I$5*2*Таблица1[[#This Row],[Столбец1]]*Таблица1[[#This Row],[коэф]])),
IF(OR(G67="2/4",G67="3/4"),((база!$I$4*2*Таблица1[[#This Row],[Столбец1]]*Таблица1[[#This Row],[коэф]])),
IF((G67="5/8"),((база!$J$6*2*Таблица1[[#This Row],[Столбец1]]*Таблица1[[#This Row],[коэф]])),
IF((G67="4/8"),((база!$J$5*2*Таблица1[[#This Row],[Столбец1]]*Таблица1[[#This Row],[коэф]])),
IF(OR(G67="3/8",G67="2/8"),((база!$J$4*2*Таблица1[[#This Row],[Столбец1]]*Таблица1[[#This Row],[коэф]])))))))))))))),
(IF((G67="5/24"),((база!$M$6*2*Таблица1[[#This Row],[Столбец1]]*Таблица1[[#This Row],[коэф]])),
IF(OR(G67="4/24",G67="3/24"),((база!$M$5*2*Таблица1[[#This Row],[Столбец1]]*Таблица1[[#This Row],[коэф]])),
IF((G67="5/16"),((база!$L$6*2*Таблица1[[#This Row],[Столбец1]]*Таблица1[[#This Row],[коэф]])),
IF(OR(G67="4/16",G67="3/16"),((база!$L$5*2*Таблица1[[#This Row],[Столбец1]]*Таблица1[[#This Row],[коэф]])),
IF(OR(G67="2/4",G67="3/4",G67="4/4"),((база!$I$5*2*Таблица1[[#This Row],[Столбец1]]*Таблица1[[#This Row],[коэф]])),
IF((G67="5/8"),((база!$J$6*2*Таблица1[[#This Row],[Столбец1]]*Таблица1[[#This Row],[коэф]])),
IF(OR(G67="4/8",G67="3/8",G67="2/8"),((база!$J$5*2*Таблица1[[#This Row],[Столбец1]]*Таблица1[[#This Row],[коэф]])))))))))))</f>
        <v>0</v>
      </c>
      <c r="AQ67" s="712" t="str">
        <f>IFERROR(INDEX(база!T:T, MATCH(F67,база!Q:Q,0)),"")</f>
        <v/>
      </c>
      <c r="AR67" s="208" t="str">
        <f>IFERROR(INDEX(база!D:D, MATCH(F67,база!B:B,0)),"")</f>
        <v/>
      </c>
      <c r="AS67" s="758" t="str">
        <f>IFERROR(INDEX(база!E:E, MATCH(F67,база!B:B,0)),"")</f>
        <v/>
      </c>
    </row>
    <row r="68" spans="1:45" ht="15">
      <c r="A68" s="1033" t="str">
        <f t="shared" si="1"/>
        <v>январь</v>
      </c>
      <c r="B68" t="n" s="1033">
        <v>2024.0</v>
      </c>
      <c r="C68" t="s" s="1033">
        <v>392</v>
      </c>
      <c r="D68" t="s" s="1033">
        <v>364</v>
      </c>
      <c r="E68" t="s" s="1033">
        <v>46</v>
      </c>
      <c r="F68" t="s" s="1033">
        <v>378</v>
      </c>
      <c r="G68" t="s" s="1033">
        <v>6</v>
      </c>
      <c r="H68" s="1033"/>
      <c r="I68" s="1033"/>
      <c r="J68" s="1033"/>
      <c r="K68" s="1033"/>
      <c r="L68" s="1033"/>
      <c r="M68" t="n" s="1033">
        <v>7.2</v>
      </c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8"/>
      <c r="AK68" s="48"/>
      <c r="AL68" s="51"/>
      <c r="AM68" s="212">
        <f>IF(AQ68=1,SUM(Q68:T68,W68:Z68,AC68:AF68,AI68:AL68),
IF(AQ68=2,SUM(P68,S68:V68,Y68:AB68,AE68:AH68,AK68:AL68),
IF(AQ68=3,SUM(P68:R68,U68:X68,AA68:AD68,AG68:AJ68),SUM(Таблица1[[#This Row],[1]:[31]])-Таблица1[[#This Row],[Столбец1]])))</f>
        <v>0</v>
      </c>
      <c r="AN68" s="778">
        <f t="array" ref="AN68">IF(AQ68=1,SUM(P68,U68:V68,AA68:AB68,AG68:AH68),
IF(AQ68=2,SUM(Q68:R68,W68:X68,AC68:AD68,AI68:AJ68),
IF(AQ68=3,SUM(S68:T68,Y68:Z68,AE68:AF68,AK68:AL68),
SUM(IFERROR(WEEKDAY($H$2:$AL$2,2)&gt;5,)*H68:AL68))))+Таблица1[[#This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8" s="292" t="b">
        <f>IF(AR68&lt;=3,(IF((G68="5/24"),((база!$M$6*Таблица1[[#This Row],[сумма]]*Таблица1[[#This Row],[коэф]])),
IF((G68="4/24"),((база!$M$5*Таблица1[[#This Row],[сумма]]*Таблица1[[#This Row],[коэф]])),
IF((G68="3/24"),((база!$M$4*Таблица1[[#This Row],[сумма]]*Таблица1[[#This Row],[коэф]])),
IF((G68="5/16"),((база!$L$6*Таблица1[[#This Row],[сумма]]*Таблица1[[#This Row],[коэф]])),
IF((G68="4/16"),((база!$L$5*Таблица1[[#This Row],[сумма]]*Таблица1[[#This Row],[коэф]])),
IF((G68="3/16"),((база!$L$4*Таблица1[[#This Row],[сумма]]*Таблица1[[#This Row],[коэф]])),
IF((G68="4/4"),((база!$I$5*Таблица1[[#This Row],[сумма]]*Таблица1[[#This Row],[коэф]])),
IF(OR(G68="2/4",G68="3/4"),((база!$I$4*Таблица1[[#This Row],[сумма]]*Таблица1[[#This Row],[коэф]])),
IF((G68="5/8"),((база!$J$6*Таблица1[[#This Row],[сумма]]*Таблица1[[#This Row],[коэф]])),
IF((G68="4/8"),((база!$J$5*Таблица1[[#This Row],[сумма]]*Таблица1[[#This Row],[коэф]])),
IF(OR(G68="3/8",G68="2/8"),((база!$J$4*Таблица1[[#This Row],[сумма]]*Таблица1[[#This Row],[коэф]])))))))))))))),
(IF((G68="5/24"),((база!$M$6*Таблица1[[#This Row],[сумма]]*Таблица1[[#This Row],[коэф]])),
IF(OR(G68="4/24",G68="3/24"),((база!$M$5*Таблица1[[#This Row],[сумма]]*Таблица1[[#This Row],[коэф]])),
IF((G68="5/16"),((база!$L$6*Таблица1[[#This Row],[сумма]]*Таблица1[[#This Row],[коэф]])),
IF(OR(G68="4/16",G68="3/16"),((база!$L$5*Таблица1[[#This Row],[сумма]]*Таблица1[[#This Row],[коэф]])),
IF(OR(G68="2/4",G68="3/4",G68="4/4"),((база!$I$5*Таблица1[[#This Row],[сумма]]*Таблица1[[#This Row],[коэф]])),
IF((G68="5/8"),((база!$J$6*Таблица1[[#This Row],[сумма]]*Таблица1[[#This Row],[коэф]])),
IF(OR(G68="4/8",G68="3/8",G68="2/8"),((база!$J$5*Таблица1[[#This Row],[сумма]]*Таблица1[[#This Row],[коэф]])))))))))))</f>
        <v>0</v>
      </c>
      <c r="AP68" s="730" t="b">
        <f>IF(AR68&lt;=3,(IF((G68="5/24"),((база!$M$6*2*Таблица1[[#This Row],[Столбец1]]*Таблица1[[#This Row],[коэф]])),
IF((G68="4/24"),((база!$M$5*2*Таблица1[[#This Row],[Столбец1]]*Таблица1[[#This Row],[коэф]])),
IF((G68="3/24"),((база!$M$4*2*Таблица1[[#This Row],[Столбец1]]*Таблица1[[#This Row],[коэф]])),
IF((G68="5/16"),((база!$L$6*2*Таблица1[[#This Row],[Столбец1]]*Таблица1[[#This Row],[коэф]])),
IF((G68="4/16"),((база!$L$5*2*Таблица1[[#This Row],[Столбец1]]*Таблица1[[#This Row],[коэф]])),
IF((G68="3/16"),((база!$L$4*2*Таблица1[[#This Row],[Столбец1]]*Таблица1[[#This Row],[коэф]])),
IF((G68="4/4"),((база!$I$5*2*Таблица1[[#This Row],[Столбец1]]*Таблица1[[#This Row],[коэф]])),
IF(OR(G68="2/4",G68="3/4"),((база!$I$4*2*Таблица1[[#This Row],[Столбец1]]*Таблица1[[#This Row],[коэф]])),
IF((G68="5/8"),((база!$J$6*2*Таблица1[[#This Row],[Столбец1]]*Таблица1[[#This Row],[коэф]])),
IF((G68="4/8"),((база!$J$5*2*Таблица1[[#This Row],[Столбец1]]*Таблица1[[#This Row],[коэф]])),
IF(OR(G68="3/8",G68="2/8"),((база!$J$4*2*Таблица1[[#This Row],[Столбец1]]*Таблица1[[#This Row],[коэф]])))))))))))))),
(IF((G68="5/24"),((база!$M$6*2*Таблица1[[#This Row],[Столбец1]]*Таблица1[[#This Row],[коэф]])),
IF(OR(G68="4/24",G68="3/24"),((база!$M$5*2*Таблица1[[#This Row],[Столбец1]]*Таблица1[[#This Row],[коэф]])),
IF((G68="5/16"),((база!$L$6*2*Таблица1[[#This Row],[Столбец1]]*Таблица1[[#This Row],[коэф]])),
IF(OR(G68="4/16",G68="3/16"),((база!$L$5*2*Таблица1[[#This Row],[Столбец1]]*Таблица1[[#This Row],[коэф]])),
IF(OR(G68="2/4",G68="3/4",G68="4/4"),((база!$I$5*2*Таблица1[[#This Row],[Столбец1]]*Таблица1[[#This Row],[коэф]])),
IF((G68="5/8"),((база!$J$6*2*Таблица1[[#This Row],[Столбец1]]*Таблица1[[#This Row],[коэф]])),
IF(OR(G68="4/8",G68="3/8",G68="2/8"),((база!$J$5*2*Таблица1[[#This Row],[Столбец1]]*Таблица1[[#This Row],[коэф]])))))))))))</f>
        <v>0</v>
      </c>
      <c r="AQ68" s="712" t="str">
        <f>IFERROR(INDEX(база!T:T, MATCH(F68,база!Q:Q,0)),"")</f>
        <v/>
      </c>
      <c r="AR68" s="208" t="str">
        <f>IFERROR(INDEX(база!D:D, MATCH(F68,база!B:B,0)),"")</f>
        <v/>
      </c>
      <c r="AS68" s="758" t="str">
        <f>IFERROR(INDEX(база!E:E, MATCH(F68,база!B:B,0)),"")</f>
        <v/>
      </c>
    </row>
    <row r="69" spans="1:45" ht="15">
      <c r="A69" s="1034" t="str">
        <f t="shared" si="1"/>
        <v>январь</v>
      </c>
      <c r="B69" t="n" s="1034">
        <v>2024.0</v>
      </c>
      <c r="C69" t="s" s="1034">
        <v>396</v>
      </c>
      <c r="D69" t="s" s="1034">
        <v>365</v>
      </c>
      <c r="E69" t="s" s="1034">
        <v>46</v>
      </c>
      <c r="F69" t="s" s="1034">
        <v>356</v>
      </c>
      <c r="G69" t="s" s="1034">
        <v>4</v>
      </c>
      <c r="H69" s="1034"/>
      <c r="I69" s="1034"/>
      <c r="J69" s="1034"/>
      <c r="K69" s="1034"/>
      <c r="L69" s="1034"/>
      <c r="M69" s="1034"/>
      <c r="N69" s="1034"/>
      <c r="O69" t="n" s="1034">
        <v>7.2</v>
      </c>
      <c r="P69" s="48"/>
      <c r="Q69" s="48"/>
      <c r="R69" s="48"/>
      <c r="S69" s="48"/>
      <c r="T69" s="48"/>
      <c r="U69" t="n" s="46">
        <v>7.2</v>
      </c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8"/>
      <c r="AK69" s="48"/>
      <c r="AL69" s="51"/>
      <c r="AM69" s="212">
        <f>IF(AQ69=1,SUM(Q69:T69,W69:Z69,AC69:AF69,AI69:AL69),
IF(AQ69=2,SUM(P69,S69:V69,Y69:AB69,AE69:AH69,AK69:AL69),
IF(AQ69=3,SUM(P69:R69,U69:X69,AA69:AD69,AG69:AJ69),SUM(Таблица1[[#This Row],[1]:[31]])-Таблица1[[#This Row],[Столбец1]])))</f>
        <v>0</v>
      </c>
      <c r="AN69" s="778">
        <f t="array" ref="AN69">IF(AQ69=1,SUM(P69,U69:V69,AA69:AB69,AG69:AH69),
IF(AQ69=2,SUM(Q69:R69,W69:X69,AC69:AD69,AI69:AJ69),
IF(AQ69=3,SUM(S69:T69,Y69:Z69,AE69:AF69,AK69:AL69),
SUM(IFERROR(WEEKDAY($H$2:$AL$2,2)&gt;5,)*H69:AL69))))+Таблица1[[#This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9" s="292" t="b">
        <f>IF(AR69&lt;=3,(IF((G69="5/24"),((база!$M$6*Таблица1[[#This Row],[сумма]]*Таблица1[[#This Row],[коэф]])),
IF((G69="4/24"),((база!$M$5*Таблица1[[#This Row],[сумма]]*Таблица1[[#This Row],[коэф]])),
IF((G69="3/24"),((база!$M$4*Таблица1[[#This Row],[сумма]]*Таблица1[[#This Row],[коэф]])),
IF((G69="5/16"),((база!$L$6*Таблица1[[#This Row],[сумма]]*Таблица1[[#This Row],[коэф]])),
IF((G69="4/16"),((база!$L$5*Таблица1[[#This Row],[сумма]]*Таблица1[[#This Row],[коэф]])),
IF((G69="3/16"),((база!$L$4*Таблица1[[#This Row],[сумма]]*Таблица1[[#This Row],[коэф]])),
IF((G69="4/4"),((база!$I$5*Таблица1[[#This Row],[сумма]]*Таблица1[[#This Row],[коэф]])),
IF(OR(G69="2/4",G69="3/4"),((база!$I$4*Таблица1[[#This Row],[сумма]]*Таблица1[[#This Row],[коэф]])),
IF((G69="5/8"),((база!$J$6*Таблица1[[#This Row],[сумма]]*Таблица1[[#This Row],[коэф]])),
IF((G69="4/8"),((база!$J$5*Таблица1[[#This Row],[сумма]]*Таблица1[[#This Row],[коэф]])),
IF(OR(G69="3/8",G69="2/8"),((база!$J$4*Таблица1[[#This Row],[сумма]]*Таблица1[[#This Row],[коэф]])))))))))))))),
(IF((G69="5/24"),((база!$M$6*Таблица1[[#This Row],[сумма]]*Таблица1[[#This Row],[коэф]])),
IF(OR(G69="4/24",G69="3/24"),((база!$M$5*Таблица1[[#This Row],[сумма]]*Таблица1[[#This Row],[коэф]])),
IF((G69="5/16"),((база!$L$6*Таблица1[[#This Row],[сумма]]*Таблица1[[#This Row],[коэф]])),
IF(OR(G69="4/16",G69="3/16"),((база!$L$5*Таблица1[[#This Row],[сумма]]*Таблица1[[#This Row],[коэф]])),
IF(OR(G69="2/4",G69="3/4",G69="4/4"),((база!$I$5*Таблица1[[#This Row],[сумма]]*Таблица1[[#This Row],[коэф]])),
IF((G69="5/8"),((база!$J$6*Таблица1[[#This Row],[сумма]]*Таблица1[[#This Row],[коэф]])),
IF(OR(G69="4/8",G69="3/8",G69="2/8"),((база!$J$5*Таблица1[[#This Row],[сумма]]*Таблица1[[#This Row],[коэф]])))))))))))</f>
        <v>0</v>
      </c>
      <c r="AP69" s="730" t="b">
        <f>IF(AR69&lt;=3,(IF((G69="5/24"),((база!$M$6*2*Таблица1[[#This Row],[Столбец1]]*Таблица1[[#This Row],[коэф]])),
IF((G69="4/24"),((база!$M$5*2*Таблица1[[#This Row],[Столбец1]]*Таблица1[[#This Row],[коэф]])),
IF((G69="3/24"),((база!$M$4*2*Таблица1[[#This Row],[Столбец1]]*Таблица1[[#This Row],[коэф]])),
IF((G69="5/16"),((база!$L$6*2*Таблица1[[#This Row],[Столбец1]]*Таблица1[[#This Row],[коэф]])),
IF((G69="4/16"),((база!$L$5*2*Таблица1[[#This Row],[Столбец1]]*Таблица1[[#This Row],[коэф]])),
IF((G69="3/16"),((база!$L$4*2*Таблица1[[#This Row],[Столбец1]]*Таблица1[[#This Row],[коэф]])),
IF((G69="4/4"),((база!$I$5*2*Таблица1[[#This Row],[Столбец1]]*Таблица1[[#This Row],[коэф]])),
IF(OR(G69="2/4",G69="3/4"),((база!$I$4*2*Таблица1[[#This Row],[Столбец1]]*Таблица1[[#This Row],[коэф]])),
IF((G69="5/8"),((база!$J$6*2*Таблица1[[#This Row],[Столбец1]]*Таблица1[[#This Row],[коэф]])),
IF((G69="4/8"),((база!$J$5*2*Таблица1[[#This Row],[Столбец1]]*Таблица1[[#This Row],[коэф]])),
IF(OR(G69="3/8",G69="2/8"),((база!$J$4*2*Таблица1[[#This Row],[Столбец1]]*Таблица1[[#This Row],[коэф]])))))))))))))),
(IF((G69="5/24"),((база!$M$6*2*Таблица1[[#This Row],[Столбец1]]*Таблица1[[#This Row],[коэф]])),
IF(OR(G69="4/24",G69="3/24"),((база!$M$5*2*Таблица1[[#This Row],[Столбец1]]*Таблица1[[#This Row],[коэф]])),
IF((G69="5/16"),((база!$L$6*2*Таблица1[[#This Row],[Столбец1]]*Таблица1[[#This Row],[коэф]])),
IF(OR(G69="4/16",G69="3/16"),((база!$L$5*2*Таблица1[[#This Row],[Столбец1]]*Таблица1[[#This Row],[коэф]])),
IF(OR(G69="2/4",G69="3/4",G69="4/4"),((база!$I$5*2*Таблица1[[#This Row],[Столбец1]]*Таблица1[[#This Row],[коэф]])),
IF((G69="5/8"),((база!$J$6*2*Таблица1[[#This Row],[Столбец1]]*Таблица1[[#This Row],[коэф]])),
IF(OR(G69="4/8",G69="3/8",G69="2/8"),((база!$J$5*2*Таблица1[[#This Row],[Столбец1]]*Таблица1[[#This Row],[коэф]])))))))))))</f>
        <v>0</v>
      </c>
      <c r="AQ69" s="712" t="str">
        <f>IFERROR(INDEX(база!T:T, MATCH(F69,база!Q:Q,0)),"")</f>
        <v/>
      </c>
      <c r="AR69" s="208" t="str">
        <f>IFERROR(INDEX(база!D:D, MATCH(F69,база!B:B,0)),"")</f>
        <v/>
      </c>
      <c r="AS69" s="758" t="str">
        <f>IFERROR(INDEX(база!E:E, MATCH(F69,база!B:B,0)),"")</f>
        <v/>
      </c>
    </row>
    <row r="70" spans="1:45" ht="15">
      <c r="A70" s="1036" t="str">
        <f t="shared" ref="A70:A86" si="2">A69</f>
        <v>январь</v>
      </c>
      <c r="B70" t="n" s="1036">
        <v>2024.0</v>
      </c>
      <c r="C70" t="s" s="1036">
        <v>386</v>
      </c>
      <c r="D70" t="s" s="1036">
        <v>365</v>
      </c>
      <c r="E70" t="s" s="1036">
        <v>389</v>
      </c>
      <c r="F70" t="s" s="1036">
        <v>329</v>
      </c>
      <c r="G70" t="s" s="1036">
        <v>5</v>
      </c>
      <c r="H70" s="1036"/>
      <c r="I70" s="1036"/>
      <c r="J70" s="1036"/>
      <c r="K70" s="1036"/>
      <c r="L70" s="1036"/>
      <c r="M70" s="1036"/>
      <c r="N70" s="1036"/>
      <c r="O70" t="n" s="1036">
        <v>3.6</v>
      </c>
      <c r="P70" s="48"/>
      <c r="Q70" s="48"/>
      <c r="R70" s="48"/>
      <c r="S70" s="48"/>
      <c r="T70" s="48"/>
      <c r="U70" t="n" s="46">
        <v>2.2</v>
      </c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8"/>
      <c r="AK70" s="48"/>
      <c r="AL70" s="51"/>
      <c r="AM70" s="212">
        <f>IF(AQ70=1,SUM(Q70:T70,W70:Z70,AC70:AF70,AI70:AL70),
IF(AQ70=2,SUM(P70,S70:V70,Y70:AB70,AE70:AH70,AK70:AL70),
IF(AQ70=3,SUM(P70:R70,U70:X70,AA70:AD70,AG70:AJ70),SUM(Таблица1[[#This Row],[1]:[31]])-Таблица1[[#This Row],[Столбец1]])))</f>
        <v>0</v>
      </c>
      <c r="AN70" s="778">
        <f t="array" ref="AN70">IF(AQ70=1,SUM(P70,U70:V70,AA70:AB70,AG70:AH70),
IF(AQ70=2,SUM(Q70:R70,W70:X70,AC70:AD70,AI70:AJ70),
IF(AQ70=3,SUM(S70:T70,Y70:Z70,AE70:AF70,AK70:AL70),
SUM(IFERROR(WEEKDAY($H$2:$AL$2,2)&gt;5,)*H70:AL70))))+Таблица1[[#This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0" s="292" t="b">
        <f>IF(AR70&lt;=3,(IF((G70="5/24"),((база!$M$6*Таблица1[[#This Row],[сумма]]*Таблица1[[#This Row],[коэф]])),
IF((G70="4/24"),((база!$M$5*Таблица1[[#This Row],[сумма]]*Таблица1[[#This Row],[коэф]])),
IF((G70="3/24"),((база!$M$4*Таблица1[[#This Row],[сумма]]*Таблица1[[#This Row],[коэф]])),
IF((G70="5/16"),((база!$L$6*Таблица1[[#This Row],[сумма]]*Таблица1[[#This Row],[коэф]])),
IF((G70="4/16"),((база!$L$5*Таблица1[[#This Row],[сумма]]*Таблица1[[#This Row],[коэф]])),
IF((G70="3/16"),((база!$L$4*Таблица1[[#This Row],[сумма]]*Таблица1[[#This Row],[коэф]])),
IF((G70="4/4"),((база!$I$5*Таблица1[[#This Row],[сумма]]*Таблица1[[#This Row],[коэф]])),
IF(OR(G70="2/4",G70="3/4"),((база!$I$4*Таблица1[[#This Row],[сумма]]*Таблица1[[#This Row],[коэф]])),
IF((G70="5/8"),((база!$J$6*Таблица1[[#This Row],[сумма]]*Таблица1[[#This Row],[коэф]])),
IF((G70="4/8"),((база!$J$5*Таблица1[[#This Row],[сумма]]*Таблица1[[#This Row],[коэф]])),
IF(OR(G70="3/8",G70="2/8"),((база!$J$4*Таблица1[[#This Row],[сумма]]*Таблица1[[#This Row],[коэф]])))))))))))))),
(IF((G70="5/24"),((база!$M$6*Таблица1[[#This Row],[сумма]]*Таблица1[[#This Row],[коэф]])),
IF(OR(G70="4/24",G70="3/24"),((база!$M$5*Таблица1[[#This Row],[сумма]]*Таблица1[[#This Row],[коэф]])),
IF((G70="5/16"),((база!$L$6*Таблица1[[#This Row],[сумма]]*Таблица1[[#This Row],[коэф]])),
IF(OR(G70="4/16",G70="3/16"),((база!$L$5*Таблица1[[#This Row],[сумма]]*Таблица1[[#This Row],[коэф]])),
IF(OR(G70="2/4",G70="3/4",G70="4/4"),((база!$I$5*Таблица1[[#This Row],[сумма]]*Таблица1[[#This Row],[коэф]])),
IF((G70="5/8"),((база!$J$6*Таблица1[[#This Row],[сумма]]*Таблица1[[#This Row],[коэф]])),
IF(OR(G70="4/8",G70="3/8",G70="2/8"),((база!$J$5*Таблица1[[#This Row],[сумма]]*Таблица1[[#This Row],[коэф]])))))))))))</f>
        <v>0</v>
      </c>
      <c r="AP70" s="730" t="b">
        <f>IF(AR70&lt;=3,(IF((G70="5/24"),((база!$M$6*2*Таблица1[[#This Row],[Столбец1]]*Таблица1[[#This Row],[коэф]])),
IF((G70="4/24"),((база!$M$5*2*Таблица1[[#This Row],[Столбец1]]*Таблица1[[#This Row],[коэф]])),
IF((G70="3/24"),((база!$M$4*2*Таблица1[[#This Row],[Столбец1]]*Таблица1[[#This Row],[коэф]])),
IF((G70="5/16"),((база!$L$6*2*Таблица1[[#This Row],[Столбец1]]*Таблица1[[#This Row],[коэф]])),
IF((G70="4/16"),((база!$L$5*2*Таблица1[[#This Row],[Столбец1]]*Таблица1[[#This Row],[коэф]])),
IF((G70="3/16"),((база!$L$4*2*Таблица1[[#This Row],[Столбец1]]*Таблица1[[#This Row],[коэф]])),
IF((G70="4/4"),((база!$I$5*2*Таблица1[[#This Row],[Столбец1]]*Таблица1[[#This Row],[коэф]])),
IF(OR(G70="2/4",G70="3/4"),((база!$I$4*2*Таблица1[[#This Row],[Столбец1]]*Таблица1[[#This Row],[коэф]])),
IF((G70="5/8"),((база!$J$6*2*Таблица1[[#This Row],[Столбец1]]*Таблица1[[#This Row],[коэф]])),
IF((G70="4/8"),((база!$J$5*2*Таблица1[[#This Row],[Столбец1]]*Таблица1[[#This Row],[коэф]])),
IF(OR(G70="3/8",G70="2/8"),((база!$J$4*2*Таблица1[[#This Row],[Столбец1]]*Таблица1[[#This Row],[коэф]])))))))))))))),
(IF((G70="5/24"),((база!$M$6*2*Таблица1[[#This Row],[Столбец1]]*Таблица1[[#This Row],[коэф]])),
IF(OR(G70="4/24",G70="3/24"),((база!$M$5*2*Таблица1[[#This Row],[Столбец1]]*Таблица1[[#This Row],[коэф]])),
IF((G70="5/16"),((база!$L$6*2*Таблица1[[#This Row],[Столбец1]]*Таблица1[[#This Row],[коэф]])),
IF(OR(G70="4/16",G70="3/16"),((база!$L$5*2*Таблица1[[#This Row],[Столбец1]]*Таблица1[[#This Row],[коэф]])),
IF(OR(G70="2/4",G70="3/4",G70="4/4"),((база!$I$5*2*Таблица1[[#This Row],[Столбец1]]*Таблица1[[#This Row],[коэф]])),
IF((G70="5/8"),((база!$J$6*2*Таблица1[[#This Row],[Столбец1]]*Таблица1[[#This Row],[коэф]])),
IF(OR(G70="4/8",G70="3/8",G70="2/8"),((база!$J$5*2*Таблица1[[#This Row],[Столбец1]]*Таблица1[[#This Row],[коэф]])))))))))))</f>
        <v>0</v>
      </c>
      <c r="AQ70" s="712" t="str">
        <f>IFERROR(INDEX(база!T:T, MATCH(F70,база!Q:Q,0)),"")</f>
        <v/>
      </c>
      <c r="AR70" s="208" t="str">
        <f>IFERROR(INDEX(база!D:D, MATCH(F70,база!B:B,0)),"")</f>
        <v/>
      </c>
      <c r="AS70" s="758" t="str">
        <f>IFERROR(INDEX(база!E:E, MATCH(F70,база!B:B,0)),"")</f>
        <v/>
      </c>
    </row>
    <row r="71" spans="1:45" ht="15">
      <c r="A71" s="1037" t="str">
        <f t="shared" si="2"/>
        <v>январь</v>
      </c>
      <c r="B71" t="n" s="1037">
        <v>2024.0</v>
      </c>
      <c r="C71" t="s" s="1037">
        <v>388</v>
      </c>
      <c r="D71" t="s" s="1037">
        <v>369</v>
      </c>
      <c r="E71" t="s" s="1037">
        <v>389</v>
      </c>
      <c r="F71" t="s" s="1037">
        <v>329</v>
      </c>
      <c r="G71" t="s" s="1037">
        <v>5</v>
      </c>
      <c r="H71" s="1037"/>
      <c r="I71" s="1037"/>
      <c r="J71" s="1037"/>
      <c r="K71" s="1037"/>
      <c r="L71" s="1037"/>
      <c r="M71" s="1037"/>
      <c r="N71" s="1037"/>
      <c r="O71" t="n" s="1037">
        <v>3.6</v>
      </c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8"/>
      <c r="AK71" s="48"/>
      <c r="AL71" s="51"/>
      <c r="AM71" s="212">
        <f>IF(AQ71=1,SUM(Q71:T71,W71:Z71,AC71:AF71,AI71:AL71),
IF(AQ71=2,SUM(P71,S71:V71,Y71:AB71,AE71:AH71,AK71:AL71),
IF(AQ71=3,SUM(P71:R71,U71:X71,AA71:AD71,AG71:AJ71),SUM(Таблица1[[#This Row],[1]:[31]])-Таблица1[[#This Row],[Столбец1]])))</f>
        <v>0</v>
      </c>
      <c r="AN71" s="778">
        <f t="array" ref="AN71">IF(AQ71=1,SUM(P71,U71:V71,AA71:AB71,AG71:AH71),
IF(AQ71=2,SUM(Q71:R71,W71:X71,AC71:AD71,AI71:AJ71),
IF(AQ71=3,SUM(S71:T71,Y71:Z71,AE71:AF71,AK71:AL71),
SUM(IFERROR(WEEKDAY($H$2:$AL$2,2)&gt;5,)*H71:AL71))))+Таблица1[[#This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1" s="292" t="b">
        <f>IF(AR71&lt;=3,(IF((G71="5/24"),((база!$M$6*Таблица1[[#This Row],[сумма]]*Таблица1[[#This Row],[коэф]])),
IF((G71="4/24"),((база!$M$5*Таблица1[[#This Row],[сумма]]*Таблица1[[#This Row],[коэф]])),
IF((G71="3/24"),((база!$M$4*Таблица1[[#This Row],[сумма]]*Таблица1[[#This Row],[коэф]])),
IF((G71="5/16"),((база!$L$6*Таблица1[[#This Row],[сумма]]*Таблица1[[#This Row],[коэф]])),
IF((G71="4/16"),((база!$L$5*Таблица1[[#This Row],[сумма]]*Таблица1[[#This Row],[коэф]])),
IF((G71="3/16"),((база!$L$4*Таблица1[[#This Row],[сумма]]*Таблица1[[#This Row],[коэф]])),
IF((G71="4/4"),((база!$I$5*Таблица1[[#This Row],[сумма]]*Таблица1[[#This Row],[коэф]])),
IF(OR(G71="2/4",G71="3/4"),((база!$I$4*Таблица1[[#This Row],[сумма]]*Таблица1[[#This Row],[коэф]])),
IF((G71="5/8"),((база!$J$6*Таблица1[[#This Row],[сумма]]*Таблица1[[#This Row],[коэф]])),
IF((G71="4/8"),((база!$J$5*Таблица1[[#This Row],[сумма]]*Таблица1[[#This Row],[коэф]])),
IF(OR(G71="3/8",G71="2/8"),((база!$J$4*Таблица1[[#This Row],[сумма]]*Таблица1[[#This Row],[коэф]])))))))))))))),
(IF((G71="5/24"),((база!$M$6*Таблица1[[#This Row],[сумма]]*Таблица1[[#This Row],[коэф]])),
IF(OR(G71="4/24",G71="3/24"),((база!$M$5*Таблица1[[#This Row],[сумма]]*Таблица1[[#This Row],[коэф]])),
IF((G71="5/16"),((база!$L$6*Таблица1[[#This Row],[сумма]]*Таблица1[[#This Row],[коэф]])),
IF(OR(G71="4/16",G71="3/16"),((база!$L$5*Таблица1[[#This Row],[сумма]]*Таблица1[[#This Row],[коэф]])),
IF(OR(G71="2/4",G71="3/4",G71="4/4"),((база!$I$5*Таблица1[[#This Row],[сумма]]*Таблица1[[#This Row],[коэф]])),
IF((G71="5/8"),((база!$J$6*Таблица1[[#This Row],[сумма]]*Таблица1[[#This Row],[коэф]])),
IF(OR(G71="4/8",G71="3/8",G71="2/8"),((база!$J$5*Таблица1[[#This Row],[сумма]]*Таблица1[[#This Row],[коэф]])))))))))))</f>
        <v>0</v>
      </c>
      <c r="AP71" s="730" t="b">
        <f>IF(AR71&lt;=3,(IF((G71="5/24"),((база!$M$6*2*Таблица1[[#This Row],[Столбец1]]*Таблица1[[#This Row],[коэф]])),
IF((G71="4/24"),((база!$M$5*2*Таблица1[[#This Row],[Столбец1]]*Таблица1[[#This Row],[коэф]])),
IF((G71="3/24"),((база!$M$4*2*Таблица1[[#This Row],[Столбец1]]*Таблица1[[#This Row],[коэф]])),
IF((G71="5/16"),((база!$L$6*2*Таблица1[[#This Row],[Столбец1]]*Таблица1[[#This Row],[коэф]])),
IF((G71="4/16"),((база!$L$5*2*Таблица1[[#This Row],[Столбец1]]*Таблица1[[#This Row],[коэф]])),
IF((G71="3/16"),((база!$L$4*2*Таблица1[[#This Row],[Столбец1]]*Таблица1[[#This Row],[коэф]])),
IF((G71="4/4"),((база!$I$5*2*Таблица1[[#This Row],[Столбец1]]*Таблица1[[#This Row],[коэф]])),
IF(OR(G71="2/4",G71="3/4"),((база!$I$4*2*Таблица1[[#This Row],[Столбец1]]*Таблица1[[#This Row],[коэф]])),
IF((G71="5/8"),((база!$J$6*2*Таблица1[[#This Row],[Столбец1]]*Таблица1[[#This Row],[коэф]])),
IF((G71="4/8"),((база!$J$5*2*Таблица1[[#This Row],[Столбец1]]*Таблица1[[#This Row],[коэф]])),
IF(OR(G71="3/8",G71="2/8"),((база!$J$4*2*Таблица1[[#This Row],[Столбец1]]*Таблица1[[#This Row],[коэф]])))))))))))))),
(IF((G71="5/24"),((база!$M$6*2*Таблица1[[#This Row],[Столбец1]]*Таблица1[[#This Row],[коэф]])),
IF(OR(G71="4/24",G71="3/24"),((база!$M$5*2*Таблица1[[#This Row],[Столбец1]]*Таблица1[[#This Row],[коэф]])),
IF((G71="5/16"),((база!$L$6*2*Таблица1[[#This Row],[Столбец1]]*Таблица1[[#This Row],[коэф]])),
IF(OR(G71="4/16",G71="3/16"),((база!$L$5*2*Таблица1[[#This Row],[Столбец1]]*Таблица1[[#This Row],[коэф]])),
IF(OR(G71="2/4",G71="3/4",G71="4/4"),((база!$I$5*2*Таблица1[[#This Row],[Столбец1]]*Таблица1[[#This Row],[коэф]])),
IF((G71="5/8"),((база!$J$6*2*Таблица1[[#This Row],[Столбец1]]*Таблица1[[#This Row],[коэф]])),
IF(OR(G71="4/8",G71="3/8",G71="2/8"),((база!$J$5*2*Таблица1[[#This Row],[Столбец1]]*Таблица1[[#This Row],[коэф]])))))))))))</f>
        <v>0</v>
      </c>
      <c r="AQ71" s="712" t="str">
        <f>IFERROR(INDEX(база!T:T, MATCH(F71,база!Q:Q,0)),"")</f>
        <v/>
      </c>
      <c r="AR71" s="208" t="str">
        <f>IFERROR(INDEX(база!D:D, MATCH(F71,база!B:B,0)),"")</f>
        <v/>
      </c>
      <c r="AS71" s="758" t="str">
        <f>IFERROR(INDEX(база!E:E, MATCH(F71,база!B:B,0)),"")</f>
        <v/>
      </c>
    </row>
    <row r="72" spans="1:45" ht="15">
      <c r="A72" s="1039" t="str">
        <f t="shared" si="2"/>
        <v>январь</v>
      </c>
      <c r="B72" t="n" s="1039">
        <v>2024.0</v>
      </c>
      <c r="C72" t="s" s="1039">
        <v>386</v>
      </c>
      <c r="D72" t="s" s="1039">
        <v>364</v>
      </c>
      <c r="E72" t="s" s="1039">
        <v>46</v>
      </c>
      <c r="F72" t="s" s="1039">
        <v>280</v>
      </c>
      <c r="G72" t="s" s="1039">
        <v>4</v>
      </c>
      <c r="H72" s="1039"/>
      <c r="I72" s="1039"/>
      <c r="J72" s="1039"/>
      <c r="K72" s="1039"/>
      <c r="L72" s="1039"/>
      <c r="M72" s="1039"/>
      <c r="N72" s="1039"/>
      <c r="O72" t="n" s="1039">
        <v>1.0</v>
      </c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  <c r="AJ72" s="48"/>
      <c r="AK72" s="48"/>
      <c r="AL72" s="51"/>
      <c r="AM72" s="212">
        <f>IF(AQ72=1,SUM(Q72:T72,W72:Z72,AC72:AF72,AI72:AL72),
IF(AQ72=2,SUM(P72,S72:V72,Y72:AB72,AE72:AH72,AK72:AL72),
IF(AQ72=3,SUM(P72:R72,U72:X72,AA72:AD72,AG72:AJ72),SUM(Таблица1[[#This Row],[1]:[31]])-Таблица1[[#This Row],[Столбец1]])))</f>
        <v>0</v>
      </c>
      <c r="AN72" s="778">
        <f t="array" ref="AN72">IF(AQ72=1,SUM(P72,U72:V72,AA72:AB72,AG72:AH72),
IF(AQ72=2,SUM(Q72:R72,W72:X72,AC72:AD72,AI72:AJ72),
IF(AQ72=3,SUM(S72:T72,Y72:Z72,AE72:AF72,AK72:AL72),
SUM(IFERROR(WEEKDAY($H$2:$AL$2,2)&gt;5,)*H72:AL72))))+Таблица1[[#This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2" s="292" t="b">
        <f>IF(AR72&lt;=3,(IF((G72="5/24"),((база!$M$6*Таблица1[[#This Row],[сумма]]*Таблица1[[#This Row],[коэф]])),
IF((G72="4/24"),((база!$M$5*Таблица1[[#This Row],[сумма]]*Таблица1[[#This Row],[коэф]])),
IF((G72="3/24"),((база!$M$4*Таблица1[[#This Row],[сумма]]*Таблица1[[#This Row],[коэф]])),
IF((G72="5/16"),((база!$L$6*Таблица1[[#This Row],[сумма]]*Таблица1[[#This Row],[коэф]])),
IF((G72="4/16"),((база!$L$5*Таблица1[[#This Row],[сумма]]*Таблица1[[#This Row],[коэф]])),
IF((G72="3/16"),((база!$L$4*Таблица1[[#This Row],[сумма]]*Таблица1[[#This Row],[коэф]])),
IF((G72="4/4"),((база!$I$5*Таблица1[[#This Row],[сумма]]*Таблица1[[#This Row],[коэф]])),
IF(OR(G72="2/4",G72="3/4"),((база!$I$4*Таблица1[[#This Row],[сумма]]*Таблица1[[#This Row],[коэф]])),
IF((G72="5/8"),((база!$J$6*Таблица1[[#This Row],[сумма]]*Таблица1[[#This Row],[коэф]])),
IF((G72="4/8"),((база!$J$5*Таблица1[[#This Row],[сумма]]*Таблица1[[#This Row],[коэф]])),
IF(OR(G72="3/8",G72="2/8"),((база!$J$4*Таблица1[[#This Row],[сумма]]*Таблица1[[#This Row],[коэф]])))))))))))))),
(IF((G72="5/24"),((база!$M$6*Таблица1[[#This Row],[сумма]]*Таблица1[[#This Row],[коэф]])),
IF(OR(G72="4/24",G72="3/24"),((база!$M$5*Таблица1[[#This Row],[сумма]]*Таблица1[[#This Row],[коэф]])),
IF((G72="5/16"),((база!$L$6*Таблица1[[#This Row],[сумма]]*Таблица1[[#This Row],[коэф]])),
IF(OR(G72="4/16",G72="3/16"),((база!$L$5*Таблица1[[#This Row],[сумма]]*Таблица1[[#This Row],[коэф]])),
IF(OR(G72="2/4",G72="3/4",G72="4/4"),((база!$I$5*Таблица1[[#This Row],[сумма]]*Таблица1[[#This Row],[коэф]])),
IF((G72="5/8"),((база!$J$6*Таблица1[[#This Row],[сумма]]*Таблица1[[#This Row],[коэф]])),
IF(OR(G72="4/8",G72="3/8",G72="2/8"),((база!$J$5*Таблица1[[#This Row],[сумма]]*Таблица1[[#This Row],[коэф]])))))))))))</f>
        <v>0</v>
      </c>
      <c r="AP72" s="730" t="b">
        <f>IF(AR72&lt;=3,(IF((G72="5/24"),((база!$M$6*2*Таблица1[[#This Row],[Столбец1]]*Таблица1[[#This Row],[коэф]])),
IF((G72="4/24"),((база!$M$5*2*Таблица1[[#This Row],[Столбец1]]*Таблица1[[#This Row],[коэф]])),
IF((G72="3/24"),((база!$M$4*2*Таблица1[[#This Row],[Столбец1]]*Таблица1[[#This Row],[коэф]])),
IF((G72="5/16"),((база!$L$6*2*Таблица1[[#This Row],[Столбец1]]*Таблица1[[#This Row],[коэф]])),
IF((G72="4/16"),((база!$L$5*2*Таблица1[[#This Row],[Столбец1]]*Таблица1[[#This Row],[коэф]])),
IF((G72="3/16"),((база!$L$4*2*Таблица1[[#This Row],[Столбец1]]*Таблица1[[#This Row],[коэф]])),
IF((G72="4/4"),((база!$I$5*2*Таблица1[[#This Row],[Столбец1]]*Таблица1[[#This Row],[коэф]])),
IF(OR(G72="2/4",G72="3/4"),((база!$I$4*2*Таблица1[[#This Row],[Столбец1]]*Таблица1[[#This Row],[коэф]])),
IF((G72="5/8"),((база!$J$6*2*Таблица1[[#This Row],[Столбец1]]*Таблица1[[#This Row],[коэф]])),
IF((G72="4/8"),((база!$J$5*2*Таблица1[[#This Row],[Столбец1]]*Таблица1[[#This Row],[коэф]])),
IF(OR(G72="3/8",G72="2/8"),((база!$J$4*2*Таблица1[[#This Row],[Столбец1]]*Таблица1[[#This Row],[коэф]])))))))))))))),
(IF((G72="5/24"),((база!$M$6*2*Таблица1[[#This Row],[Столбец1]]*Таблица1[[#This Row],[коэф]])),
IF(OR(G72="4/24",G72="3/24"),((база!$M$5*2*Таблица1[[#This Row],[Столбец1]]*Таблица1[[#This Row],[коэф]])),
IF((G72="5/16"),((база!$L$6*2*Таблица1[[#This Row],[Столбец1]]*Таблица1[[#This Row],[коэф]])),
IF(OR(G72="4/16",G72="3/16"),((база!$L$5*2*Таблица1[[#This Row],[Столбец1]]*Таблица1[[#This Row],[коэф]])),
IF(OR(G72="2/4",G72="3/4",G72="4/4"),((база!$I$5*2*Таблица1[[#This Row],[Столбец1]]*Таблица1[[#This Row],[коэф]])),
IF((G72="5/8"),((база!$J$6*2*Таблица1[[#This Row],[Столбец1]]*Таблица1[[#This Row],[коэф]])),
IF(OR(G72="4/8",G72="3/8",G72="2/8"),((база!$J$5*2*Таблица1[[#This Row],[Столбец1]]*Таблица1[[#This Row],[коэф]])))))))))))</f>
        <v>0</v>
      </c>
      <c r="AQ72" s="712" t="str">
        <f>IFERROR(INDEX(база!T:T, MATCH(F72,база!Q:Q,0)),"")</f>
        <v/>
      </c>
      <c r="AR72" s="208" t="str">
        <f>IFERROR(INDEX(база!D:D, MATCH(F72,база!B:B,0)),"")</f>
        <v/>
      </c>
      <c r="AS72" s="758" t="str">
        <f>IFERROR(INDEX(база!E:E, MATCH(F72,база!B:B,0)),"")</f>
        <v/>
      </c>
    </row>
    <row r="73" spans="1:45" ht="15">
      <c r="A73" s="1040" t="str">
        <f t="shared" si="2"/>
        <v>январь</v>
      </c>
      <c r="B73" t="n" s="1040">
        <v>2024.0</v>
      </c>
      <c r="C73" t="s" s="1040">
        <v>388</v>
      </c>
      <c r="D73" t="s" s="1040">
        <v>381</v>
      </c>
      <c r="E73" t="s" s="1040">
        <v>46</v>
      </c>
      <c r="F73" t="s" s="1040">
        <v>361</v>
      </c>
      <c r="G73" t="s" s="1040">
        <v>4</v>
      </c>
      <c r="H73" s="1040"/>
      <c r="I73" s="1040"/>
      <c r="J73" s="1040"/>
      <c r="K73" s="1040"/>
      <c r="L73" s="1040"/>
      <c r="M73" s="1040"/>
      <c r="N73" s="1040"/>
      <c r="O73" t="n" s="1040">
        <v>0.1</v>
      </c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  <c r="AJ73" s="48"/>
      <c r="AK73" s="48"/>
      <c r="AL73" s="51"/>
      <c r="AM73" s="212">
        <f>IF(AQ73=1,SUM(Q73:T73,W73:Z73,AC73:AF73,AI73:AL73),
IF(AQ73=2,SUM(P73,S73:V73,Y73:AB73,AE73:AH73,AK73:AL73),
IF(AQ73=3,SUM(P73:R73,U73:X73,AA73:AD73,AG73:AJ73),SUM(Таблица1[[#This Row],[1]:[31]])-Таблица1[[#This Row],[Столбец1]])))</f>
        <v>0</v>
      </c>
      <c r="AN73" s="778">
        <f t="array" ref="AN73">IF(AQ73=1,SUM(P73,U73:V73,AA73:AB73,AG73:AH73),
IF(AQ73=2,SUM(Q73:R73,W73:X73,AC73:AD73,AI73:AJ73),
IF(AQ73=3,SUM(S73:T73,Y73:Z73,AE73:AF73,AK73:AL73),
SUM(IFERROR(WEEKDAY($H$2:$AL$2,2)&gt;5,)*H73:AL73))))+Таблица1[[#This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3" s="292" t="b">
        <f>IF(AR73&lt;=3,(IF((G73="5/24"),((база!$M$6*Таблица1[[#This Row],[сумма]]*Таблица1[[#This Row],[коэф]])),
IF((G73="4/24"),((база!$M$5*Таблица1[[#This Row],[сумма]]*Таблица1[[#This Row],[коэф]])),
IF((G73="3/24"),((база!$M$4*Таблица1[[#This Row],[сумма]]*Таблица1[[#This Row],[коэф]])),
IF((G73="5/16"),((база!$L$6*Таблица1[[#This Row],[сумма]]*Таблица1[[#This Row],[коэф]])),
IF((G73="4/16"),((база!$L$5*Таблица1[[#This Row],[сумма]]*Таблица1[[#This Row],[коэф]])),
IF((G73="3/16"),((база!$L$4*Таблица1[[#This Row],[сумма]]*Таблица1[[#This Row],[коэф]])),
IF((G73="4/4"),((база!$I$5*Таблица1[[#This Row],[сумма]]*Таблица1[[#This Row],[коэф]])),
IF(OR(G73="2/4",G73="3/4"),((база!$I$4*Таблица1[[#This Row],[сумма]]*Таблица1[[#This Row],[коэф]])),
IF((G73="5/8"),((база!$J$6*Таблица1[[#This Row],[сумма]]*Таблица1[[#This Row],[коэф]])),
IF((G73="4/8"),((база!$J$5*Таблица1[[#This Row],[сумма]]*Таблица1[[#This Row],[коэф]])),
IF(OR(G73="3/8",G73="2/8"),((база!$J$4*Таблица1[[#This Row],[сумма]]*Таблица1[[#This Row],[коэф]])))))))))))))),
(IF((G73="5/24"),((база!$M$6*Таблица1[[#This Row],[сумма]]*Таблица1[[#This Row],[коэф]])),
IF(OR(G73="4/24",G73="3/24"),((база!$M$5*Таблица1[[#This Row],[сумма]]*Таблица1[[#This Row],[коэф]])),
IF((G73="5/16"),((база!$L$6*Таблица1[[#This Row],[сумма]]*Таблица1[[#This Row],[коэф]])),
IF(OR(G73="4/16",G73="3/16"),((база!$L$5*Таблица1[[#This Row],[сумма]]*Таблица1[[#This Row],[коэф]])),
IF(OR(G73="2/4",G73="3/4",G73="4/4"),((база!$I$5*Таблица1[[#This Row],[сумма]]*Таблица1[[#This Row],[коэф]])),
IF((G73="5/8"),((база!$J$6*Таблица1[[#This Row],[сумма]]*Таблица1[[#This Row],[коэф]])),
IF(OR(G73="4/8",G73="3/8",G73="2/8"),((база!$J$5*Таблица1[[#This Row],[сумма]]*Таблица1[[#This Row],[коэф]])))))))))))</f>
        <v>0</v>
      </c>
      <c r="AP73" s="730" t="b">
        <f>IF(AR73&lt;=3,(IF((G73="5/24"),((база!$M$6*2*Таблица1[[#This Row],[Столбец1]]*Таблица1[[#This Row],[коэф]])),
IF((G73="4/24"),((база!$M$5*2*Таблица1[[#This Row],[Столбец1]]*Таблица1[[#This Row],[коэф]])),
IF((G73="3/24"),((база!$M$4*2*Таблица1[[#This Row],[Столбец1]]*Таблица1[[#This Row],[коэф]])),
IF((G73="5/16"),((база!$L$6*2*Таблица1[[#This Row],[Столбец1]]*Таблица1[[#This Row],[коэф]])),
IF((G73="4/16"),((база!$L$5*2*Таблица1[[#This Row],[Столбец1]]*Таблица1[[#This Row],[коэф]])),
IF((G73="3/16"),((база!$L$4*2*Таблица1[[#This Row],[Столбец1]]*Таблица1[[#This Row],[коэф]])),
IF((G73="4/4"),((база!$I$5*2*Таблица1[[#This Row],[Столбец1]]*Таблица1[[#This Row],[коэф]])),
IF(OR(G73="2/4",G73="3/4"),((база!$I$4*2*Таблица1[[#This Row],[Столбец1]]*Таблица1[[#This Row],[коэф]])),
IF((G73="5/8"),((база!$J$6*2*Таблица1[[#This Row],[Столбец1]]*Таблица1[[#This Row],[коэф]])),
IF((G73="4/8"),((база!$J$5*2*Таблица1[[#This Row],[Столбец1]]*Таблица1[[#This Row],[коэф]])),
IF(OR(G73="3/8",G73="2/8"),((база!$J$4*2*Таблица1[[#This Row],[Столбец1]]*Таблица1[[#This Row],[коэф]])))))))))))))),
(IF((G73="5/24"),((база!$M$6*2*Таблица1[[#This Row],[Столбец1]]*Таблица1[[#This Row],[коэф]])),
IF(OR(G73="4/24",G73="3/24"),((база!$M$5*2*Таблица1[[#This Row],[Столбец1]]*Таблица1[[#This Row],[коэф]])),
IF((G73="5/16"),((база!$L$6*2*Таблица1[[#This Row],[Столбец1]]*Таблица1[[#This Row],[коэф]])),
IF(OR(G73="4/16",G73="3/16"),((база!$L$5*2*Таблица1[[#This Row],[Столбец1]]*Таблица1[[#This Row],[коэф]])),
IF(OR(G73="2/4",G73="3/4",G73="4/4"),((база!$I$5*2*Таблица1[[#This Row],[Столбец1]]*Таблица1[[#This Row],[коэф]])),
IF((G73="5/8"),((база!$J$6*2*Таблица1[[#This Row],[Столбец1]]*Таблица1[[#This Row],[коэф]])),
IF(OR(G73="4/8",G73="3/8",G73="2/8"),((база!$J$5*2*Таблица1[[#This Row],[Столбец1]]*Таблица1[[#This Row],[коэф]])))))))))))</f>
        <v>0</v>
      </c>
      <c r="AQ73" s="712" t="str">
        <f>IFERROR(INDEX(база!T:T, MATCH(F73,база!Q:Q,0)),"")</f>
        <v/>
      </c>
      <c r="AR73" s="208" t="str">
        <f>IFERROR(INDEX(база!D:D, MATCH(F73,база!B:B,0)),"")</f>
        <v/>
      </c>
      <c r="AS73" s="758" t="str">
        <f>IFERROR(INDEX(база!E:E, MATCH(F73,база!B:B,0)),"")</f>
        <v/>
      </c>
    </row>
    <row r="74" spans="1:45" ht="15">
      <c r="A74" s="1042" t="str">
        <f t="shared" si="2"/>
        <v>январь</v>
      </c>
      <c r="B74" t="n" s="1042">
        <v>2024.0</v>
      </c>
      <c r="C74" t="s" s="1042">
        <v>388</v>
      </c>
      <c r="D74" t="s" s="1042">
        <v>364</v>
      </c>
      <c r="E74" t="s" s="1042">
        <v>46</v>
      </c>
      <c r="F74" t="s" s="1042">
        <v>262</v>
      </c>
      <c r="G74" t="s" s="1042">
        <v>4</v>
      </c>
      <c r="H74" s="1042"/>
      <c r="I74" s="1042"/>
      <c r="J74" s="1042"/>
      <c r="K74" s="1042"/>
      <c r="L74" s="1042"/>
      <c r="M74" s="1042"/>
      <c r="N74" s="1042"/>
      <c r="O74" t="n" s="1042">
        <v>3.0</v>
      </c>
      <c r="P74" s="49"/>
      <c r="Q74" s="49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51"/>
      <c r="AG74" s="51"/>
      <c r="AH74" s="51"/>
      <c r="AI74" s="51"/>
      <c r="AJ74" s="51"/>
      <c r="AK74" s="51"/>
      <c r="AL74" s="51"/>
      <c r="AM74" s="212">
        <f>IF(AQ74=1,SUM(Q74:T74,W74:Z74,AC74:AF74,AI74:AL74),
IF(AQ74=2,SUM(P74,S74:V74,Y74:AB74,AE74:AH74,AK74:AL74),
IF(AQ74=3,SUM(P74:R74,U74:X74,AA74:AD74,AG74:AJ74),SUM(Таблица1[[#This Row],[1]:[31]])-Таблица1[[#This Row],[Столбец1]])))</f>
        <v>0</v>
      </c>
      <c r="AN74" s="778">
        <f t="array" ref="AN74">IF(AQ74=1,SUM(P74,U74:V74,AA74:AB74,AG74:AH74),
IF(AQ74=2,SUM(Q74:R74,W74:X74,AC74:AD74,AI74:AJ74),
IF(AQ74=3,SUM(S74:T74,Y74:Z74,AE74:AF74,AK74:AL74),
SUM(IFERROR(WEEKDAY($H$2:$AL$2,2)&gt;5,)*H74:AL74))))+Таблица1[[#This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4" s="292" t="b">
        <f>IF(AR74&lt;=3,(IF((G74="5/24"),((база!$M$6*Таблица1[[#This Row],[сумма]]*Таблица1[[#This Row],[коэф]])),
IF((G74="4/24"),((база!$M$5*Таблица1[[#This Row],[сумма]]*Таблица1[[#This Row],[коэф]])),
IF((G74="3/24"),((база!$M$4*Таблица1[[#This Row],[сумма]]*Таблица1[[#This Row],[коэф]])),
IF((G74="5/16"),((база!$L$6*Таблица1[[#This Row],[сумма]]*Таблица1[[#This Row],[коэф]])),
IF((G74="4/16"),((база!$L$5*Таблица1[[#This Row],[сумма]]*Таблица1[[#This Row],[коэф]])),
IF((G74="3/16"),((база!$L$4*Таблица1[[#This Row],[сумма]]*Таблица1[[#This Row],[коэф]])),
IF((G74="4/4"),((база!$I$5*Таблица1[[#This Row],[сумма]]*Таблица1[[#This Row],[коэф]])),
IF(OR(G74="2/4",G74="3/4"),((база!$I$4*Таблица1[[#This Row],[сумма]]*Таблица1[[#This Row],[коэф]])),
IF((G74="5/8"),((база!$J$6*Таблица1[[#This Row],[сумма]]*Таблица1[[#This Row],[коэф]])),
IF((G74="4/8"),((база!$J$5*Таблица1[[#This Row],[сумма]]*Таблица1[[#This Row],[коэф]])),
IF(OR(G74="3/8",G74="2/8"),((база!$J$4*Таблица1[[#This Row],[сумма]]*Таблица1[[#This Row],[коэф]])))))))))))))),
(IF((G74="5/24"),((база!$M$6*Таблица1[[#This Row],[сумма]]*Таблица1[[#This Row],[коэф]])),
IF(OR(G74="4/24",G74="3/24"),((база!$M$5*Таблица1[[#This Row],[сумма]]*Таблица1[[#This Row],[коэф]])),
IF((G74="5/16"),((база!$L$6*Таблица1[[#This Row],[сумма]]*Таблица1[[#This Row],[коэф]])),
IF(OR(G74="4/16",G74="3/16"),((база!$L$5*Таблица1[[#This Row],[сумма]]*Таблица1[[#This Row],[коэф]])),
IF(OR(G74="2/4",G74="3/4",G74="4/4"),((база!$I$5*Таблица1[[#This Row],[сумма]]*Таблица1[[#This Row],[коэф]])),
IF((G74="5/8"),((база!$J$6*Таблица1[[#This Row],[сумма]]*Таблица1[[#This Row],[коэф]])),
IF(OR(G74="4/8",G74="3/8",G74="2/8"),((база!$J$5*Таблица1[[#This Row],[сумма]]*Таблица1[[#This Row],[коэф]])))))))))))</f>
        <v>0</v>
      </c>
      <c r="AP74" s="730" t="b">
        <f>IF(AR74&lt;=3,(IF((G74="5/24"),((база!$M$6*2*Таблица1[[#This Row],[Столбец1]]*Таблица1[[#This Row],[коэф]])),
IF((G74="4/24"),((база!$M$5*2*Таблица1[[#This Row],[Столбец1]]*Таблица1[[#This Row],[коэф]])),
IF((G74="3/24"),((база!$M$4*2*Таблица1[[#This Row],[Столбец1]]*Таблица1[[#This Row],[коэф]])),
IF((G74="5/16"),((база!$L$6*2*Таблица1[[#This Row],[Столбец1]]*Таблица1[[#This Row],[коэф]])),
IF((G74="4/16"),((база!$L$5*2*Таблица1[[#This Row],[Столбец1]]*Таблица1[[#This Row],[коэф]])),
IF((G74="3/16"),((база!$L$4*2*Таблица1[[#This Row],[Столбец1]]*Таблица1[[#This Row],[коэф]])),
IF((G74="4/4"),((база!$I$5*2*Таблица1[[#This Row],[Столбец1]]*Таблица1[[#This Row],[коэф]])),
IF(OR(G74="2/4",G74="3/4"),((база!$I$4*2*Таблица1[[#This Row],[Столбец1]]*Таблица1[[#This Row],[коэф]])),
IF((G74="5/8"),((база!$J$6*2*Таблица1[[#This Row],[Столбец1]]*Таблица1[[#This Row],[коэф]])),
IF((G74="4/8"),((база!$J$5*2*Таблица1[[#This Row],[Столбец1]]*Таблица1[[#This Row],[коэф]])),
IF(OR(G74="3/8",G74="2/8"),((база!$J$4*2*Таблица1[[#This Row],[Столбец1]]*Таблица1[[#This Row],[коэф]])))))))))))))),
(IF((G74="5/24"),((база!$M$6*2*Таблица1[[#This Row],[Столбец1]]*Таблица1[[#This Row],[коэф]])),
IF(OR(G74="4/24",G74="3/24"),((база!$M$5*2*Таблица1[[#This Row],[Столбец1]]*Таблица1[[#This Row],[коэф]])),
IF((G74="5/16"),((база!$L$6*2*Таблица1[[#This Row],[Столбец1]]*Таблица1[[#This Row],[коэф]])),
IF(OR(G74="4/16",G74="3/16"),((база!$L$5*2*Таблица1[[#This Row],[Столбец1]]*Таблица1[[#This Row],[коэф]])),
IF(OR(G74="2/4",G74="3/4",G74="4/4"),((база!$I$5*2*Таблица1[[#This Row],[Столбец1]]*Таблица1[[#This Row],[коэф]])),
IF((G74="5/8"),((база!$J$6*2*Таблица1[[#This Row],[Столбец1]]*Таблица1[[#This Row],[коэф]])),
IF(OR(G74="4/8",G74="3/8",G74="2/8"),((база!$J$5*2*Таблица1[[#This Row],[Столбец1]]*Таблица1[[#This Row],[коэф]])))))))))))</f>
        <v>0</v>
      </c>
      <c r="AQ74" s="712" t="str">
        <f>IFERROR(INDEX(база!T:T, MATCH(F74,база!Q:Q,0)),"")</f>
        <v/>
      </c>
      <c r="AR74" s="208" t="str">
        <f>IFERROR(INDEX(база!D:D, MATCH(F74,база!B:B,0)),"")</f>
        <v/>
      </c>
      <c r="AS74" s="758" t="str">
        <f>IFERROR(INDEX(база!E:E, MATCH(F74,база!B:B,0)),"")</f>
        <v/>
      </c>
    </row>
    <row r="75" spans="1:45" ht="15">
      <c r="A75" s="1043" t="str">
        <f t="shared" si="2"/>
        <v>январь</v>
      </c>
      <c r="B75" t="n" s="1043">
        <v>2024.0</v>
      </c>
      <c r="C75" t="s" s="1043">
        <v>396</v>
      </c>
      <c r="D75" t="s" s="1043">
        <v>364</v>
      </c>
      <c r="E75" t="s" s="1043">
        <v>46</v>
      </c>
      <c r="F75" t="s" s="1043">
        <v>262</v>
      </c>
      <c r="G75" t="s" s="1043">
        <v>4</v>
      </c>
      <c r="H75" s="1043"/>
      <c r="I75" s="1043"/>
      <c r="J75" s="1043"/>
      <c r="K75" s="1043"/>
      <c r="L75" s="1043"/>
      <c r="M75" s="1043"/>
      <c r="N75" s="1043"/>
      <c r="O75" t="n" s="1043">
        <v>4.2</v>
      </c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51"/>
      <c r="AG75" s="51"/>
      <c r="AH75" s="51"/>
      <c r="AI75" s="51"/>
      <c r="AJ75" s="51"/>
      <c r="AK75" s="51"/>
      <c r="AL75" s="51"/>
      <c r="AM75" s="212">
        <f>IF(AQ75=1,SUM(Q75:T75,W75:Z75,AC75:AF75,AI75:AL75),
IF(AQ75=2,SUM(P75,S75:V75,Y75:AB75,AE75:AH75,AK75:AL75),
IF(AQ75=3,SUM(P75:R75,U75:X75,AA75:AD75,AG75:AJ75),SUM(Таблица1[[#This Row],[1]:[31]])-Таблица1[[#This Row],[Столбец1]])))</f>
        <v>0</v>
      </c>
      <c r="AN75" s="778">
        <f t="array" ref="AN75">IF(AQ75=1,SUM(P75,U75:V75,AA75:AB75,AG75:AH75),
IF(AQ75=2,SUM(Q75:R75,W75:X75,AC75:AD75,AI75:AJ75),
IF(AQ75=3,SUM(S75:T75,Y75:Z75,AE75:AF75,AK75:AL75),
SUM(IFERROR(WEEKDAY($H$2:$AL$2,2)&gt;5,)*H75:AL75))))+Таблица1[[#This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5" s="292" t="b">
        <f>IF(AR75&lt;=3,(IF((G75="5/24"),((база!$M$6*Таблица1[[#This Row],[сумма]]*Таблица1[[#This Row],[коэф]])),
IF((G75="4/24"),((база!$M$5*Таблица1[[#This Row],[сумма]]*Таблица1[[#This Row],[коэф]])),
IF((G75="3/24"),((база!$M$4*Таблица1[[#This Row],[сумма]]*Таблица1[[#This Row],[коэф]])),
IF((G75="5/16"),((база!$L$6*Таблица1[[#This Row],[сумма]]*Таблица1[[#This Row],[коэф]])),
IF((G75="4/16"),((база!$L$5*Таблица1[[#This Row],[сумма]]*Таблица1[[#This Row],[коэф]])),
IF((G75="3/16"),((база!$L$4*Таблица1[[#This Row],[сумма]]*Таблица1[[#This Row],[коэф]])),
IF((G75="4/4"),((база!$I$5*Таблица1[[#This Row],[сумма]]*Таблица1[[#This Row],[коэф]])),
IF(OR(G75="2/4",G75="3/4"),((база!$I$4*Таблица1[[#This Row],[сумма]]*Таблица1[[#This Row],[коэф]])),
IF((G75="5/8"),((база!$J$6*Таблица1[[#This Row],[сумма]]*Таблица1[[#This Row],[коэф]])),
IF((G75="4/8"),((база!$J$5*Таблица1[[#This Row],[сумма]]*Таблица1[[#This Row],[коэф]])),
IF(OR(G75="3/8",G75="2/8"),((база!$J$4*Таблица1[[#This Row],[сумма]]*Таблица1[[#This Row],[коэф]])))))))))))))),
(IF((G75="5/24"),((база!$M$6*Таблица1[[#This Row],[сумма]]*Таблица1[[#This Row],[коэф]])),
IF(OR(G75="4/24",G75="3/24"),((база!$M$5*Таблица1[[#This Row],[сумма]]*Таблица1[[#This Row],[коэф]])),
IF((G75="5/16"),((база!$L$6*Таблица1[[#This Row],[сумма]]*Таблица1[[#This Row],[коэф]])),
IF(OR(G75="4/16",G75="3/16"),((база!$L$5*Таблица1[[#This Row],[сумма]]*Таблица1[[#This Row],[коэф]])),
IF(OR(G75="2/4",G75="3/4",G75="4/4"),((база!$I$5*Таблица1[[#This Row],[сумма]]*Таблица1[[#This Row],[коэф]])),
IF((G75="5/8"),((база!$J$6*Таблица1[[#This Row],[сумма]]*Таблица1[[#This Row],[коэф]])),
IF(OR(G75="4/8",G75="3/8",G75="2/8"),((база!$J$5*Таблица1[[#This Row],[сумма]]*Таблица1[[#This Row],[коэф]])))))))))))</f>
        <v>0</v>
      </c>
      <c r="AP75" s="730" t="b">
        <f>IF(AR75&lt;=3,(IF((G75="5/24"),((база!$M$6*2*Таблица1[[#This Row],[Столбец1]]*Таблица1[[#This Row],[коэф]])),
IF((G75="4/24"),((база!$M$5*2*Таблица1[[#This Row],[Столбец1]]*Таблица1[[#This Row],[коэф]])),
IF((G75="3/24"),((база!$M$4*2*Таблица1[[#This Row],[Столбец1]]*Таблица1[[#This Row],[коэф]])),
IF((G75="5/16"),((база!$L$6*2*Таблица1[[#This Row],[Столбец1]]*Таблица1[[#This Row],[коэф]])),
IF((G75="4/16"),((база!$L$5*2*Таблица1[[#This Row],[Столбец1]]*Таблица1[[#This Row],[коэф]])),
IF((G75="3/16"),((база!$L$4*2*Таблица1[[#This Row],[Столбец1]]*Таблица1[[#This Row],[коэф]])),
IF((G75="4/4"),((база!$I$5*2*Таблица1[[#This Row],[Столбец1]]*Таблица1[[#This Row],[коэф]])),
IF(OR(G75="2/4",G75="3/4"),((база!$I$4*2*Таблица1[[#This Row],[Столбец1]]*Таблица1[[#This Row],[коэф]])),
IF((G75="5/8"),((база!$J$6*2*Таблица1[[#This Row],[Столбец1]]*Таблица1[[#This Row],[коэф]])),
IF((G75="4/8"),((база!$J$5*2*Таблица1[[#This Row],[Столбец1]]*Таблица1[[#This Row],[коэф]])),
IF(OR(G75="3/8",G75="2/8"),((база!$J$4*2*Таблица1[[#This Row],[Столбец1]]*Таблица1[[#This Row],[коэф]])))))))))))))),
(IF((G75="5/24"),((база!$M$6*2*Таблица1[[#This Row],[Столбец1]]*Таблица1[[#This Row],[коэф]])),
IF(OR(G75="4/24",G75="3/24"),((база!$M$5*2*Таблица1[[#This Row],[Столбец1]]*Таблица1[[#This Row],[коэф]])),
IF((G75="5/16"),((база!$L$6*2*Таблица1[[#This Row],[Столбец1]]*Таблица1[[#This Row],[коэф]])),
IF(OR(G75="4/16",G75="3/16"),((база!$L$5*2*Таблица1[[#This Row],[Столбец1]]*Таблица1[[#This Row],[коэф]])),
IF(OR(G75="2/4",G75="3/4",G75="4/4"),((база!$I$5*2*Таблица1[[#This Row],[Столбец1]]*Таблица1[[#This Row],[коэф]])),
IF((G75="5/8"),((база!$J$6*2*Таблица1[[#This Row],[Столбец1]]*Таблица1[[#This Row],[коэф]])),
IF(OR(G75="4/8",G75="3/8",G75="2/8"),((база!$J$5*2*Таблица1[[#This Row],[Столбец1]]*Таблица1[[#This Row],[коэф]])))))))))))</f>
        <v>0</v>
      </c>
      <c r="AQ75" s="712" t="str">
        <f>IFERROR(INDEX(база!T:T, MATCH(F75,база!Q:Q,0)),"")</f>
        <v/>
      </c>
      <c r="AR75" s="208" t="str">
        <f>IFERROR(INDEX(база!D:D, MATCH(F75,база!B:B,0)),"")</f>
        <v/>
      </c>
      <c r="AS75" s="758" t="str">
        <f>IFERROR(INDEX(база!E:E, MATCH(F75,база!B:B,0)),"")</f>
        <v/>
      </c>
    </row>
    <row r="76" spans="1:45" ht="15">
      <c r="A76" s="1045" t="str">
        <f>A75</f>
        <v>январь</v>
      </c>
      <c r="B76" t="n" s="1045">
        <v>2024.0</v>
      </c>
      <c r="C76" t="s" s="1045">
        <v>386</v>
      </c>
      <c r="D76" t="s" s="1045">
        <v>364</v>
      </c>
      <c r="E76" t="s" s="1045">
        <v>46</v>
      </c>
      <c r="F76" t="s" s="1045">
        <v>322</v>
      </c>
      <c r="G76" t="s" s="1045">
        <v>6</v>
      </c>
      <c r="H76" s="1045"/>
      <c r="I76" s="1045"/>
      <c r="J76" s="1045"/>
      <c r="K76" s="1045"/>
      <c r="L76" s="1045"/>
      <c r="M76" s="1045"/>
      <c r="N76" s="1045"/>
      <c r="O76" t="n" s="1045">
        <v>3.0</v>
      </c>
      <c r="P76" t="n" s="21">
        <v>3.2</v>
      </c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51"/>
      <c r="AG76" s="51"/>
      <c r="AH76" s="48"/>
      <c r="AI76" s="48"/>
      <c r="AJ76" s="48"/>
      <c r="AK76" s="48"/>
      <c r="AL76" s="51"/>
      <c r="AM76" s="212">
        <f>IF(AQ76=1,SUM(Q76:T76,W76:Z76,AC76:AF76,AI76:AL76),
IF(AQ76=2,SUM(P76,S76:V76,Y76:AB76,AE76:AH76,AK76:AL76),
IF(AQ76=3,SUM(P76:R76,U76:X76,AA76:AD76,AG76:AJ76),SUM(Таблица1[[#This Row],[1]:[31]])-Таблица1[[#This Row],[Столбец1]])))</f>
        <v>0</v>
      </c>
      <c r="AN76" s="778">
        <f t="array" ref="AN76">IF(AQ76=1,SUM(P76,U76:V76,AA76:AB76,AG76:AH76),
IF(AQ76=2,SUM(Q76:R76,W76:X76,AC76:AD76,AI76:AJ76),
IF(AQ76=3,SUM(S76:T76,Y76:Z76,AE76:AF76,AK76:AL76),
SUM(IFERROR(WEEKDAY($H$2:$AL$2,2)&gt;5,)*H76:AL76))))+Таблица1[[#This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6" s="292" t="b">
        <f>IF(AR76&lt;=3,(IF((G76="5/24"),((база!$M$6*Таблица1[[#This Row],[сумма]]*Таблица1[[#This Row],[коэф]])),
IF((G76="4/24"),((база!$M$5*Таблица1[[#This Row],[сумма]]*Таблица1[[#This Row],[коэф]])),
IF((G76="3/24"),((база!$M$4*Таблица1[[#This Row],[сумма]]*Таблица1[[#This Row],[коэф]])),
IF((G76="5/16"),((база!$L$6*Таблица1[[#This Row],[сумма]]*Таблица1[[#This Row],[коэф]])),
IF((G76="4/16"),((база!$L$5*Таблица1[[#This Row],[сумма]]*Таблица1[[#This Row],[коэф]])),
IF((G76="3/16"),((база!$L$4*Таблица1[[#This Row],[сумма]]*Таблица1[[#This Row],[коэф]])),
IF((G76="4/4"),((база!$I$5*Таблица1[[#This Row],[сумма]]*Таблица1[[#This Row],[коэф]])),
IF(OR(G76="2/4",G76="3/4"),((база!$I$4*Таблица1[[#This Row],[сумма]]*Таблица1[[#This Row],[коэф]])),
IF((G76="5/8"),((база!$J$6*Таблица1[[#This Row],[сумма]]*Таблица1[[#This Row],[коэф]])),
IF((G76="4/8"),((база!$J$5*Таблица1[[#This Row],[сумма]]*Таблица1[[#This Row],[коэф]])),
IF(OR(G76="3/8",G76="2/8"),((база!$J$4*Таблица1[[#This Row],[сумма]]*Таблица1[[#This Row],[коэф]])))))))))))))),
(IF((G76="5/24"),((база!$M$6*Таблица1[[#This Row],[сумма]]*Таблица1[[#This Row],[коэф]])),
IF(OR(G76="4/24",G76="3/24"),((база!$M$5*Таблица1[[#This Row],[сумма]]*Таблица1[[#This Row],[коэф]])),
IF((G76="5/16"),((база!$L$6*Таблица1[[#This Row],[сумма]]*Таблица1[[#This Row],[коэф]])),
IF(OR(G76="4/16",G76="3/16"),((база!$L$5*Таблица1[[#This Row],[сумма]]*Таблица1[[#This Row],[коэф]])),
IF(OR(G76="2/4",G76="3/4",G76="4/4"),((база!$I$5*Таблица1[[#This Row],[сумма]]*Таблица1[[#This Row],[коэф]])),
IF((G76="5/8"),((база!$J$6*Таблица1[[#This Row],[сумма]]*Таблица1[[#This Row],[коэф]])),
IF(OR(G76="4/8",G76="3/8",G76="2/8"),((база!$J$5*Таблица1[[#This Row],[сумма]]*Таблица1[[#This Row],[коэф]])))))))))))</f>
        <v>0</v>
      </c>
      <c r="AP76" s="730" t="b">
        <f>IF(AR76&lt;=3,(IF((G76="5/24"),((база!$M$6*2*Таблица1[[#This Row],[Столбец1]]*Таблица1[[#This Row],[коэф]])),
IF((G76="4/24"),((база!$M$5*2*Таблица1[[#This Row],[Столбец1]]*Таблица1[[#This Row],[коэф]])),
IF((G76="3/24"),((база!$M$4*2*Таблица1[[#This Row],[Столбец1]]*Таблица1[[#This Row],[коэф]])),
IF((G76="5/16"),((база!$L$6*2*Таблица1[[#This Row],[Столбец1]]*Таблица1[[#This Row],[коэф]])),
IF((G76="4/16"),((база!$L$5*2*Таблица1[[#This Row],[Столбец1]]*Таблица1[[#This Row],[коэф]])),
IF((G76="3/16"),((база!$L$4*2*Таблица1[[#This Row],[Столбец1]]*Таблица1[[#This Row],[коэф]])),
IF((G76="4/4"),((база!$I$5*2*Таблица1[[#This Row],[Столбец1]]*Таблица1[[#This Row],[коэф]])),
IF(OR(G76="2/4",G76="3/4"),((база!$I$4*2*Таблица1[[#This Row],[Столбец1]]*Таблица1[[#This Row],[коэф]])),
IF((G76="5/8"),((база!$J$6*2*Таблица1[[#This Row],[Столбец1]]*Таблица1[[#This Row],[коэф]])),
IF((G76="4/8"),((база!$J$5*2*Таблица1[[#This Row],[Столбец1]]*Таблица1[[#This Row],[коэф]])),
IF(OR(G76="3/8",G76="2/8"),((база!$J$4*2*Таблица1[[#This Row],[Столбец1]]*Таблица1[[#This Row],[коэф]])))))))))))))),
(IF((G76="5/24"),((база!$M$6*2*Таблица1[[#This Row],[Столбец1]]*Таблица1[[#This Row],[коэф]])),
IF(OR(G76="4/24",G76="3/24"),((база!$M$5*2*Таблица1[[#This Row],[Столбец1]]*Таблица1[[#This Row],[коэф]])),
IF((G76="5/16"),((база!$L$6*2*Таблица1[[#This Row],[Столбец1]]*Таблица1[[#This Row],[коэф]])),
IF(OR(G76="4/16",G76="3/16"),((база!$L$5*2*Таблица1[[#This Row],[Столбец1]]*Таблица1[[#This Row],[коэф]])),
IF(OR(G76="2/4",G76="3/4",G76="4/4"),((база!$I$5*2*Таблица1[[#This Row],[Столбец1]]*Таблица1[[#This Row],[коэф]])),
IF((G76="5/8"),((база!$J$6*2*Таблица1[[#This Row],[Столбец1]]*Таблица1[[#This Row],[коэф]])),
IF(OR(G76="4/8",G76="3/8",G76="2/8"),((база!$J$5*2*Таблица1[[#This Row],[Столбец1]]*Таблица1[[#This Row],[коэф]])))))))))))</f>
        <v>0</v>
      </c>
      <c r="AQ76" s="712" t="str">
        <f>IFERROR(INDEX(база!T:T, MATCH(F76,база!Q:Q,0)),"")</f>
        <v/>
      </c>
      <c r="AR76" s="208" t="str">
        <f>IFERROR(INDEX(база!D:D, MATCH(F76,база!B:B,0)),"")</f>
        <v/>
      </c>
      <c r="AS76" s="758" t="str">
        <f>IFERROR(INDEX(база!E:E, MATCH(F76,база!B:B,0)),"")</f>
        <v/>
      </c>
    </row>
    <row r="77" spans="1:45" ht="15">
      <c r="A77" s="1048" t="str">
        <f t="shared" si="2"/>
        <v>январь</v>
      </c>
      <c r="B77" t="n" s="1048">
        <v>2024.0</v>
      </c>
      <c r="C77" t="s" s="1048">
        <v>397</v>
      </c>
      <c r="D77" t="s" s="1048">
        <v>364</v>
      </c>
      <c r="E77" t="s" s="1048">
        <v>46</v>
      </c>
      <c r="F77" t="s" s="1048">
        <v>286</v>
      </c>
      <c r="G77" t="s" s="1048">
        <v>71</v>
      </c>
      <c r="H77" s="1048"/>
      <c r="I77" s="1048"/>
      <c r="J77" s="1048"/>
      <c r="K77" s="1048"/>
      <c r="L77" s="1048"/>
      <c r="M77" s="1048"/>
      <c r="N77" s="1048"/>
      <c r="O77" t="n" s="1048">
        <v>7.2</v>
      </c>
      <c r="P77" s="49"/>
      <c r="Q77" s="49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51"/>
      <c r="AG77" s="51"/>
      <c r="AH77" s="48"/>
      <c r="AI77" s="48"/>
      <c r="AJ77" s="48"/>
      <c r="AK77" s="48"/>
      <c r="AL77" s="51"/>
      <c r="AM77" s="212">
        <f>IF(AQ77=1,SUM(Q77:T77,W77:Z77,AC77:AF77,AI77:AL77),
IF(AQ77=2,SUM(P77,S77:V77,Y77:AB77,AE77:AH77,AK77:AL77),
IF(AQ77=3,SUM(P77:R77,U77:X77,AA77:AD77,AG77:AJ77),SUM(Таблица1[[#This Row],[1]:[31]])-Таблица1[[#This Row],[Столбец1]])))</f>
        <v>0</v>
      </c>
      <c r="AN77" s="778">
        <f t="array" ref="AN77">IF(AQ77=1,SUM(P77,U77:V77,AA77:AB77,AG77:AH77),
IF(AQ77=2,SUM(Q77:R77,W77:X77,AC77:AD77,AI77:AJ77),
IF(AQ77=3,SUM(S77:T77,Y77:Z77,AE77:AF77,AK77:AL77),
SUM(IFERROR(WEEKDAY($H$2:$AL$2,2)&gt;5,)*H77:AL77))))+Таблица1[[#This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7" s="292" t="b">
        <f>IF(AR77&lt;=3,(IF((G77="5/24"),((база!$M$6*Таблица1[[#This Row],[сумма]]*Таблица1[[#This Row],[коэф]])),
IF((G77="4/24"),((база!$M$5*Таблица1[[#This Row],[сумма]]*Таблица1[[#This Row],[коэф]])),
IF((G77="3/24"),((база!$M$4*Таблица1[[#This Row],[сумма]]*Таблица1[[#This Row],[коэф]])),
IF((G77="5/16"),((база!$L$6*Таблица1[[#This Row],[сумма]]*Таблица1[[#This Row],[коэф]])),
IF((G77="4/16"),((база!$L$5*Таблица1[[#This Row],[сумма]]*Таблица1[[#This Row],[коэф]])),
IF((G77="3/16"),((база!$L$4*Таблица1[[#This Row],[сумма]]*Таблица1[[#This Row],[коэф]])),
IF((G77="4/4"),((база!$I$5*Таблица1[[#This Row],[сумма]]*Таблица1[[#This Row],[коэф]])),
IF(OR(G77="2/4",G77="3/4"),((база!$I$4*Таблица1[[#This Row],[сумма]]*Таблица1[[#This Row],[коэф]])),
IF((G77="5/8"),((база!$J$6*Таблица1[[#This Row],[сумма]]*Таблица1[[#This Row],[коэф]])),
IF((G77="4/8"),((база!$J$5*Таблица1[[#This Row],[сумма]]*Таблица1[[#This Row],[коэф]])),
IF(OR(G77="3/8",G77="2/8"),((база!$J$4*Таблица1[[#This Row],[сумма]]*Таблица1[[#This Row],[коэф]])))))))))))))),
(IF((G77="5/24"),((база!$M$6*Таблица1[[#This Row],[сумма]]*Таблица1[[#This Row],[коэф]])),
IF(OR(G77="4/24",G77="3/24"),((база!$M$5*Таблица1[[#This Row],[сумма]]*Таблица1[[#This Row],[коэф]])),
IF((G77="5/16"),((база!$L$6*Таблица1[[#This Row],[сумма]]*Таблица1[[#This Row],[коэф]])),
IF(OR(G77="4/16",G77="3/16"),((база!$L$5*Таблица1[[#This Row],[сумма]]*Таблица1[[#This Row],[коэф]])),
IF(OR(G77="2/4",G77="3/4",G77="4/4"),((база!$I$5*Таблица1[[#This Row],[сумма]]*Таблица1[[#This Row],[коэф]])),
IF((G77="5/8"),((база!$J$6*Таблица1[[#This Row],[сумма]]*Таблица1[[#This Row],[коэф]])),
IF(OR(G77="4/8",G77="3/8",G77="2/8"),((база!$J$5*Таблица1[[#This Row],[сумма]]*Таблица1[[#This Row],[коэф]])))))))))))</f>
        <v>0</v>
      </c>
      <c r="AP77" s="730" t="b">
        <f>IF(AR77&lt;=3,(IF((G77="5/24"),((база!$M$6*2*Таблица1[[#This Row],[Столбец1]]*Таблица1[[#This Row],[коэф]])),
IF((G77="4/24"),((база!$M$5*2*Таблица1[[#This Row],[Столбец1]]*Таблица1[[#This Row],[коэф]])),
IF((G77="3/24"),((база!$M$4*2*Таблица1[[#This Row],[Столбец1]]*Таблица1[[#This Row],[коэф]])),
IF((G77="5/16"),((база!$L$6*2*Таблица1[[#This Row],[Столбец1]]*Таблица1[[#This Row],[коэф]])),
IF((G77="4/16"),((база!$L$5*2*Таблица1[[#This Row],[Столбец1]]*Таблица1[[#This Row],[коэф]])),
IF((G77="3/16"),((база!$L$4*2*Таблица1[[#This Row],[Столбец1]]*Таблица1[[#This Row],[коэф]])),
IF((G77="4/4"),((база!$I$5*2*Таблица1[[#This Row],[Столбец1]]*Таблица1[[#This Row],[коэф]])),
IF(OR(G77="2/4",G77="3/4"),((база!$I$4*2*Таблица1[[#This Row],[Столбец1]]*Таблица1[[#This Row],[коэф]])),
IF((G77="5/8"),((база!$J$6*2*Таблица1[[#This Row],[Столбец1]]*Таблица1[[#This Row],[коэф]])),
IF((G77="4/8"),((база!$J$5*2*Таблица1[[#This Row],[Столбец1]]*Таблица1[[#This Row],[коэф]])),
IF(OR(G77="3/8",G77="2/8"),((база!$J$4*2*Таблица1[[#This Row],[Столбец1]]*Таблица1[[#This Row],[коэф]])))))))))))))),
(IF((G77="5/24"),((база!$M$6*2*Таблица1[[#This Row],[Столбец1]]*Таблица1[[#This Row],[коэф]])),
IF(OR(G77="4/24",G77="3/24"),((база!$M$5*2*Таблица1[[#This Row],[Столбец1]]*Таблица1[[#This Row],[коэф]])),
IF((G77="5/16"),((база!$L$6*2*Таблица1[[#This Row],[Столбец1]]*Таблица1[[#This Row],[коэф]])),
IF(OR(G77="4/16",G77="3/16"),((база!$L$5*2*Таблица1[[#This Row],[Столбец1]]*Таблица1[[#This Row],[коэф]])),
IF(OR(G77="2/4",G77="3/4",G77="4/4"),((база!$I$5*2*Таблица1[[#This Row],[Столбец1]]*Таблица1[[#This Row],[коэф]])),
IF((G77="5/8"),((база!$J$6*2*Таблица1[[#This Row],[Столбец1]]*Таблица1[[#This Row],[коэф]])),
IF(OR(G77="4/8",G77="3/8",G77="2/8"),((база!$J$5*2*Таблица1[[#This Row],[Столбец1]]*Таблица1[[#This Row],[коэф]])))))))))))</f>
        <v>0</v>
      </c>
      <c r="AQ77" s="712" t="str">
        <f>IFERROR(INDEX(база!T:T, MATCH(F77,база!Q:Q,0)),"")</f>
        <v/>
      </c>
      <c r="AR77" s="208" t="str">
        <f>IFERROR(INDEX(база!D:D, MATCH(F77,база!B:B,0)),"")</f>
        <v/>
      </c>
      <c r="AS77" s="758" t="str">
        <f>IFERROR(INDEX(база!E:E, MATCH(F77,база!B:B,0)),"")</f>
        <v/>
      </c>
    </row>
    <row r="78" spans="1:45" ht="15">
      <c r="A78" s="1051" t="str">
        <f t="shared" si="2"/>
        <v>январь</v>
      </c>
      <c r="B78" t="n" s="1051">
        <v>2024.0</v>
      </c>
      <c r="C78" t="s" s="1051">
        <v>388</v>
      </c>
      <c r="D78" t="s" s="1051">
        <v>364</v>
      </c>
      <c r="E78" t="s" s="1051">
        <v>46</v>
      </c>
      <c r="F78" t="s" s="1051">
        <v>353</v>
      </c>
      <c r="G78" t="s" s="1051">
        <v>6</v>
      </c>
      <c r="H78" s="1051"/>
      <c r="I78" s="1051"/>
      <c r="J78" s="1051"/>
      <c r="K78" s="1051"/>
      <c r="L78" s="1051"/>
      <c r="M78" s="1051"/>
      <c r="N78" s="1051"/>
      <c r="O78" t="n" s="1051">
        <v>3.0</v>
      </c>
      <c r="P78" t="n" s="21">
        <v>5.0</v>
      </c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48"/>
      <c r="AB78" s="48"/>
      <c r="AC78" s="48"/>
      <c r="AD78" s="48"/>
      <c r="AE78" s="48"/>
      <c r="AF78" s="51"/>
      <c r="AG78" s="51"/>
      <c r="AH78" s="48"/>
      <c r="AI78" s="48"/>
      <c r="AJ78" s="48"/>
      <c r="AK78" s="48"/>
      <c r="AL78" s="51"/>
      <c r="AM78" s="212">
        <f>IF(AQ78=1,SUM(Q78:T78,W78:Z78,AC78:AF78,AI78:AL78),
IF(AQ78=2,SUM(P78,S78:V78,Y78:AB78,AE78:AH78,AK78:AL78),
IF(AQ78=3,SUM(P78:R78,U78:X78,AA78:AD78,AG78:AJ78),SUM(Таблица1[[#This Row],[1]:[31]])-Таблица1[[#This Row],[Столбец1]])))</f>
        <v>0</v>
      </c>
      <c r="AN78" s="778">
        <f t="array" ref="AN78">IF(AQ78=1,SUM(P78,U78:V78,AA78:AB78,AG78:AH78),
IF(AQ78=2,SUM(Q78:R78,W78:X78,AC78:AD78,AI78:AJ78),
IF(AQ78=3,SUM(S78:T78,Y78:Z78,AE78:AF78,AK78:AL78),
SUM(IFERROR(WEEKDAY($H$2:$AL$2,2)&gt;5,)*H78:AL78))))+Таблица1[[#This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8" s="292" t="b">
        <f>IF(AR78&lt;=3,(IF((G78="5/24"),((база!$M$6*Таблица1[[#This Row],[сумма]]*Таблица1[[#This Row],[коэф]])),
IF((G78="4/24"),((база!$M$5*Таблица1[[#This Row],[сумма]]*Таблица1[[#This Row],[коэф]])),
IF((G78="3/24"),((база!$M$4*Таблица1[[#This Row],[сумма]]*Таблица1[[#This Row],[коэф]])),
IF((G78="5/16"),((база!$L$6*Таблица1[[#This Row],[сумма]]*Таблица1[[#This Row],[коэф]])),
IF((G78="4/16"),((база!$L$5*Таблица1[[#This Row],[сумма]]*Таблица1[[#This Row],[коэф]])),
IF((G78="3/16"),((база!$L$4*Таблица1[[#This Row],[сумма]]*Таблица1[[#This Row],[коэф]])),
IF((G78="4/4"),((база!$I$5*Таблица1[[#This Row],[сумма]]*Таблица1[[#This Row],[коэф]])),
IF(OR(G78="2/4",G78="3/4"),((база!$I$4*Таблица1[[#This Row],[сумма]]*Таблица1[[#This Row],[коэф]])),
IF((G78="5/8"),((база!$J$6*Таблица1[[#This Row],[сумма]]*Таблица1[[#This Row],[коэф]])),
IF((G78="4/8"),((база!$J$5*Таблица1[[#This Row],[сумма]]*Таблица1[[#This Row],[коэф]])),
IF(OR(G78="3/8",G78="2/8"),((база!$J$4*Таблица1[[#This Row],[сумма]]*Таблица1[[#This Row],[коэф]])))))))))))))),
(IF((G78="5/24"),((база!$M$6*Таблица1[[#This Row],[сумма]]*Таблица1[[#This Row],[коэф]])),
IF(OR(G78="4/24",G78="3/24"),((база!$M$5*Таблица1[[#This Row],[сумма]]*Таблица1[[#This Row],[коэф]])),
IF((G78="5/16"),((база!$L$6*Таблица1[[#This Row],[сумма]]*Таблица1[[#This Row],[коэф]])),
IF(OR(G78="4/16",G78="3/16"),((база!$L$5*Таблица1[[#This Row],[сумма]]*Таблица1[[#This Row],[коэф]])),
IF(OR(G78="2/4",G78="3/4",G78="4/4"),((база!$I$5*Таблица1[[#This Row],[сумма]]*Таблица1[[#This Row],[коэф]])),
IF((G78="5/8"),((база!$J$6*Таблица1[[#This Row],[сумма]]*Таблица1[[#This Row],[коэф]])),
IF(OR(G78="4/8",G78="3/8",G78="2/8"),((база!$J$5*Таблица1[[#This Row],[сумма]]*Таблица1[[#This Row],[коэф]])))))))))))</f>
        <v>0</v>
      </c>
      <c r="AP78" s="730" t="b">
        <f>IF(AR78&lt;=3,(IF((G78="5/24"),((база!$M$6*2*Таблица1[[#This Row],[Столбец1]]*Таблица1[[#This Row],[коэф]])),
IF((G78="4/24"),((база!$M$5*2*Таблица1[[#This Row],[Столбец1]]*Таблица1[[#This Row],[коэф]])),
IF((G78="3/24"),((база!$M$4*2*Таблица1[[#This Row],[Столбец1]]*Таблица1[[#This Row],[коэф]])),
IF((G78="5/16"),((база!$L$6*2*Таблица1[[#This Row],[Столбец1]]*Таблица1[[#This Row],[коэф]])),
IF((G78="4/16"),((база!$L$5*2*Таблица1[[#This Row],[Столбец1]]*Таблица1[[#This Row],[коэф]])),
IF((G78="3/16"),((база!$L$4*2*Таблица1[[#This Row],[Столбец1]]*Таблица1[[#This Row],[коэф]])),
IF((G78="4/4"),((база!$I$5*2*Таблица1[[#This Row],[Столбец1]]*Таблица1[[#This Row],[коэф]])),
IF(OR(G78="2/4",G78="3/4"),((база!$I$4*2*Таблица1[[#This Row],[Столбец1]]*Таблица1[[#This Row],[коэф]])),
IF((G78="5/8"),((база!$J$6*2*Таблица1[[#This Row],[Столбец1]]*Таблица1[[#This Row],[коэф]])),
IF((G78="4/8"),((база!$J$5*2*Таблица1[[#This Row],[Столбец1]]*Таблица1[[#This Row],[коэф]])),
IF(OR(G78="3/8",G78="2/8"),((база!$J$4*2*Таблица1[[#This Row],[Столбец1]]*Таблица1[[#This Row],[коэф]])))))))))))))),
(IF((G78="5/24"),((база!$M$6*2*Таблица1[[#This Row],[Столбец1]]*Таблица1[[#This Row],[коэф]])),
IF(OR(G78="4/24",G78="3/24"),((база!$M$5*2*Таблица1[[#This Row],[Столбец1]]*Таблица1[[#This Row],[коэф]])),
IF((G78="5/16"),((база!$L$6*2*Таблица1[[#This Row],[Столбец1]]*Таблица1[[#This Row],[коэф]])),
IF(OR(G78="4/16",G78="3/16"),((база!$L$5*2*Таблица1[[#This Row],[Столбец1]]*Таблица1[[#This Row],[коэф]])),
IF(OR(G78="2/4",G78="3/4",G78="4/4"),((база!$I$5*2*Таблица1[[#This Row],[Столбец1]]*Таблица1[[#This Row],[коэф]])),
IF((G78="5/8"),((база!$J$6*2*Таблица1[[#This Row],[Столбец1]]*Таблица1[[#This Row],[коэф]])),
IF(OR(G78="4/8",G78="3/8",G78="2/8"),((база!$J$5*2*Таблица1[[#This Row],[Столбец1]]*Таблица1[[#This Row],[коэф]])))))))))))</f>
        <v>0</v>
      </c>
      <c r="AQ78" s="712" t="str">
        <f>IFERROR(INDEX(база!T:T, MATCH(F78,база!Q:Q,0)),"")</f>
        <v/>
      </c>
      <c r="AR78" s="208" t="str">
        <f>IFERROR(INDEX(база!D:D, MATCH(F78,база!B:B,0)),"")</f>
        <v/>
      </c>
      <c r="AS78" s="758" t="str">
        <f>IFERROR(INDEX(база!E:E, MATCH(F78,база!B:B,0)),"")</f>
        <v/>
      </c>
    </row>
    <row r="79" spans="1:45" ht="15">
      <c r="A79" s="1054" t="str">
        <f t="shared" si="2"/>
        <v>январь</v>
      </c>
      <c r="B79" t="n" s="1054">
        <v>2024.0</v>
      </c>
      <c r="C79" t="s" s="1054">
        <v>388</v>
      </c>
      <c r="D79" t="s" s="1054">
        <v>364</v>
      </c>
      <c r="E79" t="s" s="1054">
        <v>46</v>
      </c>
      <c r="F79" t="s" s="1054">
        <v>282</v>
      </c>
      <c r="G79" t="s" s="1054">
        <v>4</v>
      </c>
      <c r="H79" s="1054"/>
      <c r="I79" s="1054"/>
      <c r="J79" s="1054"/>
      <c r="K79" s="1054"/>
      <c r="L79" s="1054"/>
      <c r="M79" s="1054"/>
      <c r="N79" s="1054"/>
      <c r="O79" s="1054"/>
      <c r="P79" t="n" s="1054">
        <v>7.2</v>
      </c>
      <c r="Q79" t="n" s="46">
        <v>7.2</v>
      </c>
      <c r="R79" t="n" s="46">
        <v>7.2</v>
      </c>
      <c r="S79" t="n" s="46">
        <v>7.2</v>
      </c>
      <c r="T79" t="n" s="46">
        <v>6.0</v>
      </c>
      <c r="U79" s="48"/>
      <c r="V79" s="48"/>
      <c r="W79" s="48"/>
      <c r="X79" s="48"/>
      <c r="Y79" s="48"/>
      <c r="Z79" s="48"/>
      <c r="AA79" s="48"/>
      <c r="AB79" s="48"/>
      <c r="AC79" s="48"/>
      <c r="AD79" s="48"/>
      <c r="AE79" s="48"/>
      <c r="AF79" s="48"/>
      <c r="AG79" s="48"/>
      <c r="AH79" s="48"/>
      <c r="AI79" s="48"/>
      <c r="AJ79" s="48"/>
      <c r="AK79" s="51"/>
      <c r="AL79" s="51"/>
      <c r="AM79" s="212">
        <f>IF(AQ79=1,SUM(Q79:T79,W79:Z79,AC79:AF79,AI79:AL79),
IF(AQ79=2,SUM(P79,S79:V79,Y79:AB79,AE79:AH79,AK79:AL79),
IF(AQ79=3,SUM(P79:R79,U79:X79,AA79:AD79,AG79:AJ79),SUM(Таблица1[[#This Row],[1]:[31]])-Таблица1[[#This Row],[Столбец1]])))</f>
        <v>0</v>
      </c>
      <c r="AN79" s="778">
        <f t="array" ref="AN79">IF(AQ79=1,SUM(P79,U79:V79,AA79:AB79,AG79:AH79),
IF(AQ79=2,SUM(Q79:R79,W79:X79,AC79:AD79,AI79:AJ79),
IF(AQ79=3,SUM(S79:T79,Y79:Z79,AE79:AF79,AK79:AL79),
SUM(IFERROR(WEEKDAY($H$2:$AL$2,2)&gt;5,)*H79:AL79))))+Таблица1[[#This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9" s="292" t="b">
        <f>IF(AR79&lt;=3,(IF((G79="5/24"),((база!$M$6*Таблица1[[#This Row],[сумма]]*Таблица1[[#This Row],[коэф]])),
IF((G79="4/24"),((база!$M$5*Таблица1[[#This Row],[сумма]]*Таблица1[[#This Row],[коэф]])),
IF((G79="3/24"),((база!$M$4*Таблица1[[#This Row],[сумма]]*Таблица1[[#This Row],[коэф]])),
IF((G79="5/16"),((база!$L$6*Таблица1[[#This Row],[сумма]]*Таблица1[[#This Row],[коэф]])),
IF((G79="4/16"),((база!$L$5*Таблица1[[#This Row],[сумма]]*Таблица1[[#This Row],[коэф]])),
IF((G79="3/16"),((база!$L$4*Таблица1[[#This Row],[сумма]]*Таблица1[[#This Row],[коэф]])),
IF((G79="4/4"),((база!$I$5*Таблица1[[#This Row],[сумма]]*Таблица1[[#This Row],[коэф]])),
IF(OR(G79="2/4",G79="3/4"),((база!$I$4*Таблица1[[#This Row],[сумма]]*Таблица1[[#This Row],[коэф]])),
IF((G79="5/8"),((база!$J$6*Таблица1[[#This Row],[сумма]]*Таблица1[[#This Row],[коэф]])),
IF((G79="4/8"),((база!$J$5*Таблица1[[#This Row],[сумма]]*Таблица1[[#This Row],[коэф]])),
IF(OR(G79="3/8",G79="2/8"),((база!$J$4*Таблица1[[#This Row],[сумма]]*Таблица1[[#This Row],[коэф]])))))))))))))),
(IF((G79="5/24"),((база!$M$6*Таблица1[[#This Row],[сумма]]*Таблица1[[#This Row],[коэф]])),
IF(OR(G79="4/24",G79="3/24"),((база!$M$5*Таблица1[[#This Row],[сумма]]*Таблица1[[#This Row],[коэф]])),
IF((G79="5/16"),((база!$L$6*Таблица1[[#This Row],[сумма]]*Таблица1[[#This Row],[коэф]])),
IF(OR(G79="4/16",G79="3/16"),((база!$L$5*Таблица1[[#This Row],[сумма]]*Таблица1[[#This Row],[коэф]])),
IF(OR(G79="2/4",G79="3/4",G79="4/4"),((база!$I$5*Таблица1[[#This Row],[сумма]]*Таблица1[[#This Row],[коэф]])),
IF((G79="5/8"),((база!$J$6*Таблица1[[#This Row],[сумма]]*Таблица1[[#This Row],[коэф]])),
IF(OR(G79="4/8",G79="3/8",G79="2/8"),((база!$J$5*Таблица1[[#This Row],[сумма]]*Таблица1[[#This Row],[коэф]])))))))))))</f>
        <v>0</v>
      </c>
      <c r="AP79" s="730" t="b">
        <f>IF(AR79&lt;=3,(IF((G79="5/24"),((база!$M$6*2*Таблица1[[#This Row],[Столбец1]]*Таблица1[[#This Row],[коэф]])),
IF((G79="4/24"),((база!$M$5*2*Таблица1[[#This Row],[Столбец1]]*Таблица1[[#This Row],[коэф]])),
IF((G79="3/24"),((база!$M$4*2*Таблица1[[#This Row],[Столбец1]]*Таблица1[[#This Row],[коэф]])),
IF((G79="5/16"),((база!$L$6*2*Таблица1[[#This Row],[Столбец1]]*Таблица1[[#This Row],[коэф]])),
IF((G79="4/16"),((база!$L$5*2*Таблица1[[#This Row],[Столбец1]]*Таблица1[[#This Row],[коэф]])),
IF((G79="3/16"),((база!$L$4*2*Таблица1[[#This Row],[Столбец1]]*Таблица1[[#This Row],[коэф]])),
IF((G79="4/4"),((база!$I$5*2*Таблица1[[#This Row],[Столбец1]]*Таблица1[[#This Row],[коэф]])),
IF(OR(G79="2/4",G79="3/4"),((база!$I$4*2*Таблица1[[#This Row],[Столбец1]]*Таблица1[[#This Row],[коэф]])),
IF((G79="5/8"),((база!$J$6*2*Таблица1[[#This Row],[Столбец1]]*Таблица1[[#This Row],[коэф]])),
IF((G79="4/8"),((база!$J$5*2*Таблица1[[#This Row],[Столбец1]]*Таблица1[[#This Row],[коэф]])),
IF(OR(G79="3/8",G79="2/8"),((база!$J$4*2*Таблица1[[#This Row],[Столбец1]]*Таблица1[[#This Row],[коэф]])))))))))))))),
(IF((G79="5/24"),((база!$M$6*2*Таблица1[[#This Row],[Столбец1]]*Таблица1[[#This Row],[коэф]])),
IF(OR(G79="4/24",G79="3/24"),((база!$M$5*2*Таблица1[[#This Row],[Столбец1]]*Таблица1[[#This Row],[коэф]])),
IF((G79="5/16"),((база!$L$6*2*Таблица1[[#This Row],[Столбец1]]*Таблица1[[#This Row],[коэф]])),
IF(OR(G79="4/16",G79="3/16"),((база!$L$5*2*Таблица1[[#This Row],[Столбец1]]*Таблица1[[#This Row],[коэф]])),
IF(OR(G79="2/4",G79="3/4",G79="4/4"),((база!$I$5*2*Таблица1[[#This Row],[Столбец1]]*Таблица1[[#This Row],[коэф]])),
IF((G79="5/8"),((база!$J$6*2*Таблица1[[#This Row],[Столбец1]]*Таблица1[[#This Row],[коэф]])),
IF(OR(G79="4/8",G79="3/8",G79="2/8"),((база!$J$5*2*Таблица1[[#This Row],[Столбец1]]*Таблица1[[#This Row],[коэф]])))))))))))</f>
        <v>0</v>
      </c>
      <c r="AQ79" s="712" t="str">
        <f>IFERROR(INDEX(база!T:T, MATCH(F79,база!Q:Q,0)),"")</f>
        <v/>
      </c>
      <c r="AR79" s="208" t="str">
        <f>IFERROR(INDEX(база!D:D, MATCH(F79,база!B:B,0)),"")</f>
        <v/>
      </c>
      <c r="AS79" s="758" t="str">
        <f>IFERROR(INDEX(база!E:E, MATCH(F79,база!B:B,0)),"")</f>
        <v/>
      </c>
    </row>
    <row r="80" spans="1:45" ht="15">
      <c r="A80" s="1055" t="str">
        <f>A79</f>
        <v>январь</v>
      </c>
      <c r="B80" t="n" s="1055">
        <v>2024.0</v>
      </c>
      <c r="C80" t="s" s="1055">
        <v>386</v>
      </c>
      <c r="D80" t="s" s="1055">
        <v>364</v>
      </c>
      <c r="E80" t="s" s="1055">
        <v>46</v>
      </c>
      <c r="F80" t="s" s="1055">
        <v>285</v>
      </c>
      <c r="G80" t="s" s="1055">
        <v>3</v>
      </c>
      <c r="H80" s="1055"/>
      <c r="I80" s="1055"/>
      <c r="J80" s="1055"/>
      <c r="K80" s="1055"/>
      <c r="L80" s="1055"/>
      <c r="M80" s="1055"/>
      <c r="N80" s="1055"/>
      <c r="O80" s="1055"/>
      <c r="P80" t="n" s="1055">
        <v>3.6</v>
      </c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  <c r="AB80" s="48"/>
      <c r="AC80" s="48"/>
      <c r="AD80" s="48"/>
      <c r="AE80" s="48"/>
      <c r="AF80" s="48"/>
      <c r="AG80" s="48"/>
      <c r="AH80" s="48"/>
      <c r="AI80" s="48"/>
      <c r="AJ80" s="51"/>
      <c r="AK80" s="51"/>
      <c r="AL80" s="51"/>
      <c r="AM80" s="212">
        <f>IF(AQ80=1,SUM(Q80:T80,W80:Z80,AC80:AF80,AI80:AL80),
IF(AQ80=2,SUM(P80,S80:V80,Y80:AB80,AE80:AH80,AK80:AL80),
IF(AQ80=3,SUM(P80:R80,U80:X80,AA80:AD80,AG80:AJ80),SUM(Таблица1[[#This Row],[1]:[31]])-Таблица1[[#This Row],[Столбец1]])))</f>
        <v>0</v>
      </c>
      <c r="AN80" s="778">
        <f t="array" ref="AN80">IF(AQ80=1,SUM(P80,U80:V80,AA80:AB80,AG80:AH80),
IF(AQ80=2,SUM(Q80:R80,W80:X80,AC80:AD80,AI80:AJ80),
IF(AQ80=3,SUM(S80:T80,Y80:Z80,AE80:AF80,AK80:AL80),
SUM(IFERROR(WEEKDAY($H$2:$AL$2,2)&gt;5,)*H80:AL80))))+Таблица1[[#This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0" s="292" t="b">
        <f>IF(AR80&lt;=3,(IF((G80="5/24"),((база!$M$6*Таблица1[[#This Row],[сумма]]*Таблица1[[#This Row],[коэф]])),
IF((G80="4/24"),((база!$M$5*Таблица1[[#This Row],[сумма]]*Таблица1[[#This Row],[коэф]])),
IF((G80="3/24"),((база!$M$4*Таблица1[[#This Row],[сумма]]*Таблица1[[#This Row],[коэф]])),
IF((G80="5/16"),((база!$L$6*Таблица1[[#This Row],[сумма]]*Таблица1[[#This Row],[коэф]])),
IF((G80="4/16"),((база!$L$5*Таблица1[[#This Row],[сумма]]*Таблица1[[#This Row],[коэф]])),
IF((G80="3/16"),((база!$L$4*Таблица1[[#This Row],[сумма]]*Таблица1[[#This Row],[коэф]])),
IF((G80="4/4"),((база!$I$5*Таблица1[[#This Row],[сумма]]*Таблица1[[#This Row],[коэф]])),
IF(OR(G80="2/4",G80="3/4"),((база!$I$4*Таблица1[[#This Row],[сумма]]*Таблица1[[#This Row],[коэф]])),
IF((G80="5/8"),((база!$J$6*Таблица1[[#This Row],[сумма]]*Таблица1[[#This Row],[коэф]])),
IF((G80="4/8"),((база!$J$5*Таблица1[[#This Row],[сумма]]*Таблица1[[#This Row],[коэф]])),
IF(OR(G80="3/8",G80="2/8"),((база!$J$4*Таблица1[[#This Row],[сумма]]*Таблица1[[#This Row],[коэф]])))))))))))))),
(IF((G80="5/24"),((база!$M$6*Таблица1[[#This Row],[сумма]]*Таблица1[[#This Row],[коэф]])),
IF(OR(G80="4/24",G80="3/24"),((база!$M$5*Таблица1[[#This Row],[сумма]]*Таблица1[[#This Row],[коэф]])),
IF((G80="5/16"),((база!$L$6*Таблица1[[#This Row],[сумма]]*Таблица1[[#This Row],[коэф]])),
IF(OR(G80="4/16",G80="3/16"),((база!$L$5*Таблица1[[#This Row],[сумма]]*Таблица1[[#This Row],[коэф]])),
IF(OR(G80="2/4",G80="3/4",G80="4/4"),((база!$I$5*Таблица1[[#This Row],[сумма]]*Таблица1[[#This Row],[коэф]])),
IF((G80="5/8"),((база!$J$6*Таблица1[[#This Row],[сумма]]*Таблица1[[#This Row],[коэф]])),
IF(OR(G80="4/8",G80="3/8",G80="2/8"),((база!$J$5*Таблица1[[#This Row],[сумма]]*Таблица1[[#This Row],[коэф]])))))))))))</f>
        <v>0</v>
      </c>
      <c r="AP80" s="730" t="b">
        <f>IF(AR80&lt;=3,(IF((G80="5/24"),((база!$M$6*2*Таблица1[[#This Row],[Столбец1]]*Таблица1[[#This Row],[коэф]])),
IF((G80="4/24"),((база!$M$5*2*Таблица1[[#This Row],[Столбец1]]*Таблица1[[#This Row],[коэф]])),
IF((G80="3/24"),((база!$M$4*2*Таблица1[[#This Row],[Столбец1]]*Таблица1[[#This Row],[коэф]])),
IF((G80="5/16"),((база!$L$6*2*Таблица1[[#This Row],[Столбец1]]*Таблица1[[#This Row],[коэф]])),
IF((G80="4/16"),((база!$L$5*2*Таблица1[[#This Row],[Столбец1]]*Таблица1[[#This Row],[коэф]])),
IF((G80="3/16"),((база!$L$4*2*Таблица1[[#This Row],[Столбец1]]*Таблица1[[#This Row],[коэф]])),
IF((G80="4/4"),((база!$I$5*2*Таблица1[[#This Row],[Столбец1]]*Таблица1[[#This Row],[коэф]])),
IF(OR(G80="2/4",G80="3/4"),((база!$I$4*2*Таблица1[[#This Row],[Столбец1]]*Таблица1[[#This Row],[коэф]])),
IF((G80="5/8"),((база!$J$6*2*Таблица1[[#This Row],[Столбец1]]*Таблица1[[#This Row],[коэф]])),
IF((G80="4/8"),((база!$J$5*2*Таблица1[[#This Row],[Столбец1]]*Таблица1[[#This Row],[коэф]])),
IF(OR(G80="3/8",G80="2/8"),((база!$J$4*2*Таблица1[[#This Row],[Столбец1]]*Таблица1[[#This Row],[коэф]])))))))))))))),
(IF((G80="5/24"),((база!$M$6*2*Таблица1[[#This Row],[Столбец1]]*Таблица1[[#This Row],[коэф]])),
IF(OR(G80="4/24",G80="3/24"),((база!$M$5*2*Таблица1[[#This Row],[Столбец1]]*Таблица1[[#This Row],[коэф]])),
IF((G80="5/16"),((база!$L$6*2*Таблица1[[#This Row],[Столбец1]]*Таблица1[[#This Row],[коэф]])),
IF(OR(G80="4/16",G80="3/16"),((база!$L$5*2*Таблица1[[#This Row],[Столбец1]]*Таблица1[[#This Row],[коэф]])),
IF(OR(G80="2/4",G80="3/4",G80="4/4"),((база!$I$5*2*Таблица1[[#This Row],[Столбец1]]*Таблица1[[#This Row],[коэф]])),
IF((G80="5/8"),((база!$J$6*2*Таблица1[[#This Row],[Столбец1]]*Таблица1[[#This Row],[коэф]])),
IF(OR(G80="4/8",G80="3/8",G80="2/8"),((база!$J$5*2*Таблица1[[#This Row],[Столбец1]]*Таблица1[[#This Row],[коэф]])))))))))))</f>
        <v>0</v>
      </c>
      <c r="AQ80" s="712" t="str">
        <f>IFERROR(INDEX(база!T:T, MATCH(F80,база!Q:Q,0)),"")</f>
        <v/>
      </c>
      <c r="AR80" s="208" t="str">
        <f>IFERROR(INDEX(база!D:D, MATCH(F80,база!B:B,0)),"")</f>
        <v/>
      </c>
      <c r="AS80" s="758" t="str">
        <f>IFERROR(INDEX(база!E:E, MATCH(F80,база!B:B,0)),"")</f>
        <v/>
      </c>
    </row>
    <row r="81" spans="1:45" ht="15">
      <c r="A81" s="1056" t="str">
        <f t="shared" si="2"/>
        <v>январь</v>
      </c>
      <c r="B81" t="n" s="1056">
        <v>2024.0</v>
      </c>
      <c r="C81" t="s" s="1056">
        <v>388</v>
      </c>
      <c r="D81" t="s" s="1056">
        <v>364</v>
      </c>
      <c r="E81" t="s" s="1056">
        <v>46</v>
      </c>
      <c r="F81" t="s" s="1056">
        <v>285</v>
      </c>
      <c r="G81" t="s" s="1056">
        <v>4</v>
      </c>
      <c r="H81" s="1056"/>
      <c r="I81" s="1056"/>
      <c r="J81" s="1056"/>
      <c r="K81" s="1056"/>
      <c r="L81" s="1056"/>
      <c r="M81" s="1056"/>
      <c r="N81" s="1056"/>
      <c r="O81" s="1056"/>
      <c r="P81" t="n" s="1056">
        <v>3.6</v>
      </c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51"/>
      <c r="AK81" s="51"/>
      <c r="AL81" s="51"/>
      <c r="AM81" s="212">
        <f>IF(AQ81=1,SUM(Q81:T81,W81:Z81,AC81:AF81,AI81:AL81),
IF(AQ81=2,SUM(P81,S81:V81,Y81:AB81,AE81:AH81,AK81:AL81),
IF(AQ81=3,SUM(P81:R81,U81:X81,AA81:AD81,AG81:AJ81),SUM(Таблица1[[#This Row],[1]:[31]])-Таблица1[[#This Row],[Столбец1]])))</f>
        <v>0</v>
      </c>
      <c r="AN81" s="778">
        <f t="array" ref="AN81">IF(AQ81=1,SUM(P81,U81:V81,AA81:AB81,AG81:AH81),
IF(AQ81=2,SUM(Q81:R81,W81:X81,AC81:AD81,AI81:AJ81),
IF(AQ81=3,SUM(S81:T81,Y81:Z81,AE81:AF81,AK81:AL81),
SUM(IFERROR(WEEKDAY($H$2:$AL$2,2)&gt;5,)*H81:AL81))))+Таблица1[[#This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1" s="292" t="b">
        <f>IF(AR81&lt;=3,(IF((G81="5/24"),((база!$M$6*Таблица1[[#This Row],[сумма]]*Таблица1[[#This Row],[коэф]])),
IF((G81="4/24"),((база!$M$5*Таблица1[[#This Row],[сумма]]*Таблица1[[#This Row],[коэф]])),
IF((G81="3/24"),((база!$M$4*Таблица1[[#This Row],[сумма]]*Таблица1[[#This Row],[коэф]])),
IF((G81="5/16"),((база!$L$6*Таблица1[[#This Row],[сумма]]*Таблица1[[#This Row],[коэф]])),
IF((G81="4/16"),((база!$L$5*Таблица1[[#This Row],[сумма]]*Таблица1[[#This Row],[коэф]])),
IF((G81="3/16"),((база!$L$4*Таблица1[[#This Row],[сумма]]*Таблица1[[#This Row],[коэф]])),
IF((G81="4/4"),((база!$I$5*Таблица1[[#This Row],[сумма]]*Таблица1[[#This Row],[коэф]])),
IF(OR(G81="2/4",G81="3/4"),((база!$I$4*Таблица1[[#This Row],[сумма]]*Таблица1[[#This Row],[коэф]])),
IF((G81="5/8"),((база!$J$6*Таблица1[[#This Row],[сумма]]*Таблица1[[#This Row],[коэф]])),
IF((G81="4/8"),((база!$J$5*Таблица1[[#This Row],[сумма]]*Таблица1[[#This Row],[коэф]])),
IF(OR(G81="3/8",G81="2/8"),((база!$J$4*Таблица1[[#This Row],[сумма]]*Таблица1[[#This Row],[коэф]])))))))))))))),
(IF((G81="5/24"),((база!$M$6*Таблица1[[#This Row],[сумма]]*Таблица1[[#This Row],[коэф]])),
IF(OR(G81="4/24",G81="3/24"),((база!$M$5*Таблица1[[#This Row],[сумма]]*Таблица1[[#This Row],[коэф]])),
IF((G81="5/16"),((база!$L$6*Таблица1[[#This Row],[сумма]]*Таблица1[[#This Row],[коэф]])),
IF(OR(G81="4/16",G81="3/16"),((база!$L$5*Таблица1[[#This Row],[сумма]]*Таблица1[[#This Row],[коэф]])),
IF(OR(G81="2/4",G81="3/4",G81="4/4"),((база!$I$5*Таблица1[[#This Row],[сумма]]*Таблица1[[#This Row],[коэф]])),
IF((G81="5/8"),((база!$J$6*Таблица1[[#This Row],[сумма]]*Таблица1[[#This Row],[коэф]])),
IF(OR(G81="4/8",G81="3/8",G81="2/8"),((база!$J$5*Таблица1[[#This Row],[сумма]]*Таблица1[[#This Row],[коэф]])))))))))))</f>
        <v>0</v>
      </c>
      <c r="AP81" s="730" t="b">
        <f>IF(AR81&lt;=3,(IF((G81="5/24"),((база!$M$6*2*Таблица1[[#This Row],[Столбец1]]*Таблица1[[#This Row],[коэф]])),
IF((G81="4/24"),((база!$M$5*2*Таблица1[[#This Row],[Столбец1]]*Таблица1[[#This Row],[коэф]])),
IF((G81="3/24"),((база!$M$4*2*Таблица1[[#This Row],[Столбец1]]*Таблица1[[#This Row],[коэф]])),
IF((G81="5/16"),((база!$L$6*2*Таблица1[[#This Row],[Столбец1]]*Таблица1[[#This Row],[коэф]])),
IF((G81="4/16"),((база!$L$5*2*Таблица1[[#This Row],[Столбец1]]*Таблица1[[#This Row],[коэф]])),
IF((G81="3/16"),((база!$L$4*2*Таблица1[[#This Row],[Столбец1]]*Таблица1[[#This Row],[коэф]])),
IF((G81="4/4"),((база!$I$5*2*Таблица1[[#This Row],[Столбец1]]*Таблица1[[#This Row],[коэф]])),
IF(OR(G81="2/4",G81="3/4"),((база!$I$4*2*Таблица1[[#This Row],[Столбец1]]*Таблица1[[#This Row],[коэф]])),
IF((G81="5/8"),((база!$J$6*2*Таблица1[[#This Row],[Столбец1]]*Таблица1[[#This Row],[коэф]])),
IF((G81="4/8"),((база!$J$5*2*Таблица1[[#This Row],[Столбец1]]*Таблица1[[#This Row],[коэф]])),
IF(OR(G81="3/8",G81="2/8"),((база!$J$4*2*Таблица1[[#This Row],[Столбец1]]*Таблица1[[#This Row],[коэф]])))))))))))))),
(IF((G81="5/24"),((база!$M$6*2*Таблица1[[#This Row],[Столбец1]]*Таблица1[[#This Row],[коэф]])),
IF(OR(G81="4/24",G81="3/24"),((база!$M$5*2*Таблица1[[#This Row],[Столбец1]]*Таблица1[[#This Row],[коэф]])),
IF((G81="5/16"),((база!$L$6*2*Таблица1[[#This Row],[Столбец1]]*Таблица1[[#This Row],[коэф]])),
IF(OR(G81="4/16",G81="3/16"),((база!$L$5*2*Таблица1[[#This Row],[Столбец1]]*Таблица1[[#This Row],[коэф]])),
IF(OR(G81="2/4",G81="3/4",G81="4/4"),((база!$I$5*2*Таблица1[[#This Row],[Столбец1]]*Таблица1[[#This Row],[коэф]])),
IF((G81="5/8"),((база!$J$6*2*Таблица1[[#This Row],[Столбец1]]*Таблица1[[#This Row],[коэф]])),
IF(OR(G81="4/8",G81="3/8",G81="2/8"),((база!$J$5*2*Таблица1[[#This Row],[Столбец1]]*Таблица1[[#This Row],[коэф]])))))))))))</f>
        <v>0</v>
      </c>
      <c r="AQ81" s="712" t="str">
        <f>IFERROR(INDEX(база!T:T, MATCH(F81,база!Q:Q,0)),"")</f>
        <v/>
      </c>
      <c r="AR81" s="208" t="str">
        <f>IFERROR(INDEX(база!D:D, MATCH(F81,база!B:B,0)),"")</f>
        <v/>
      </c>
      <c r="AS81" s="758" t="str">
        <f>IFERROR(INDEX(база!E:E, MATCH(F81,база!B:B,0)),"")</f>
        <v/>
      </c>
    </row>
    <row r="82" spans="1:45" ht="15">
      <c r="A82" s="1057" t="str">
        <f t="shared" si="2"/>
        <v>январь</v>
      </c>
      <c r="B82" t="n" s="1057">
        <v>2024.0</v>
      </c>
      <c r="C82" t="s" s="1057">
        <v>388</v>
      </c>
      <c r="D82" t="s" s="1057">
        <v>364</v>
      </c>
      <c r="E82" t="s" s="1057">
        <v>46</v>
      </c>
      <c r="F82" t="s" s="1057">
        <v>304</v>
      </c>
      <c r="G82" t="s" s="1057">
        <v>6</v>
      </c>
      <c r="H82" s="1057"/>
      <c r="I82" s="1057"/>
      <c r="J82" s="1057"/>
      <c r="K82" s="1057"/>
      <c r="L82" s="1057"/>
      <c r="M82" s="1057"/>
      <c r="N82" s="1057"/>
      <c r="O82" t="n" s="1057">
        <v>7.2</v>
      </c>
      <c r="P82" t="n" s="21">
        <v>5.0</v>
      </c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51"/>
      <c r="AK82" s="51"/>
      <c r="AL82" s="51"/>
      <c r="AM82" s="212">
        <f>IF(AQ82=1,SUM(Q82:T82,W82:Z82,AC82:AF82,AI82:AL82),
IF(AQ82=2,SUM(P82,S82:V82,Y82:AB82,AE82:AH82,AK82:AL82),
IF(AQ82=3,SUM(P82:R82,U82:X82,AA82:AD82,AG82:AJ82),SUM(Таблица1[[#This Row],[1]:[31]])-Таблица1[[#This Row],[Столбец1]])))</f>
        <v>0</v>
      </c>
      <c r="AN82" s="778">
        <f t="array" ref="AN82">IF(AQ82=1,SUM(P82,U82:V82,AA82:AB82,AG82:AH82),
IF(AQ82=2,SUM(Q82:R82,W82:X82,AC82:AD82,AI82:AJ82),
IF(AQ82=3,SUM(S82:T82,Y82:Z82,AE82:AF82,AK82:AL82),
SUM(IFERROR(WEEKDAY($H$2:$AL$2,2)&gt;5,)*H82:AL82))))+Таблица1[[#This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2" s="292" t="b">
        <f>IF(AR82&lt;=3,(IF((G82="5/24"),((база!$M$6*Таблица1[[#This Row],[сумма]]*Таблица1[[#This Row],[коэф]])),
IF((G82="4/24"),((база!$M$5*Таблица1[[#This Row],[сумма]]*Таблица1[[#This Row],[коэф]])),
IF((G82="3/24"),((база!$M$4*Таблица1[[#This Row],[сумма]]*Таблица1[[#This Row],[коэф]])),
IF((G82="5/16"),((база!$L$6*Таблица1[[#This Row],[сумма]]*Таблица1[[#This Row],[коэф]])),
IF((G82="4/16"),((база!$L$5*Таблица1[[#This Row],[сумма]]*Таблица1[[#This Row],[коэф]])),
IF((G82="3/16"),((база!$L$4*Таблица1[[#This Row],[сумма]]*Таблица1[[#This Row],[коэф]])),
IF((G82="4/4"),((база!$I$5*Таблица1[[#This Row],[сумма]]*Таблица1[[#This Row],[коэф]])),
IF(OR(G82="2/4",G82="3/4"),((база!$I$4*Таблица1[[#This Row],[сумма]]*Таблица1[[#This Row],[коэф]])),
IF((G82="5/8"),((база!$J$6*Таблица1[[#This Row],[сумма]]*Таблица1[[#This Row],[коэф]])),
IF((G82="4/8"),((база!$J$5*Таблица1[[#This Row],[сумма]]*Таблица1[[#This Row],[коэф]])),
IF(OR(G82="3/8",G82="2/8"),((база!$J$4*Таблица1[[#This Row],[сумма]]*Таблица1[[#This Row],[коэф]])))))))))))))),
(IF((G82="5/24"),((база!$M$6*Таблица1[[#This Row],[сумма]]*Таблица1[[#This Row],[коэф]])),
IF(OR(G82="4/24",G82="3/24"),((база!$M$5*Таблица1[[#This Row],[сумма]]*Таблица1[[#This Row],[коэф]])),
IF((G82="5/16"),((база!$L$6*Таблица1[[#This Row],[сумма]]*Таблица1[[#This Row],[коэф]])),
IF(OR(G82="4/16",G82="3/16"),((база!$L$5*Таблица1[[#This Row],[сумма]]*Таблица1[[#This Row],[коэф]])),
IF(OR(G82="2/4",G82="3/4",G82="4/4"),((база!$I$5*Таблица1[[#This Row],[сумма]]*Таблица1[[#This Row],[коэф]])),
IF((G82="5/8"),((база!$J$6*Таблица1[[#This Row],[сумма]]*Таблица1[[#This Row],[коэф]])),
IF(OR(G82="4/8",G82="3/8",G82="2/8"),((база!$J$5*Таблица1[[#This Row],[сумма]]*Таблица1[[#This Row],[коэф]])))))))))))</f>
        <v>0</v>
      </c>
      <c r="AP82" s="730" t="b">
        <f>IF(AR82&lt;=3,(IF((G82="5/24"),((база!$M$6*2*Таблица1[[#This Row],[Столбец1]]*Таблица1[[#This Row],[коэф]])),
IF((G82="4/24"),((база!$M$5*2*Таблица1[[#This Row],[Столбец1]]*Таблица1[[#This Row],[коэф]])),
IF((G82="3/24"),((база!$M$4*2*Таблица1[[#This Row],[Столбец1]]*Таблица1[[#This Row],[коэф]])),
IF((G82="5/16"),((база!$L$6*2*Таблица1[[#This Row],[Столбец1]]*Таблица1[[#This Row],[коэф]])),
IF((G82="4/16"),((база!$L$5*2*Таблица1[[#This Row],[Столбец1]]*Таблица1[[#This Row],[коэф]])),
IF((G82="3/16"),((база!$L$4*2*Таблица1[[#This Row],[Столбец1]]*Таблица1[[#This Row],[коэф]])),
IF((G82="4/4"),((база!$I$5*2*Таблица1[[#This Row],[Столбец1]]*Таблица1[[#This Row],[коэф]])),
IF(OR(G82="2/4",G82="3/4"),((база!$I$4*2*Таблица1[[#This Row],[Столбец1]]*Таблица1[[#This Row],[коэф]])),
IF((G82="5/8"),((база!$J$6*2*Таблица1[[#This Row],[Столбец1]]*Таблица1[[#This Row],[коэф]])),
IF((G82="4/8"),((база!$J$5*2*Таблица1[[#This Row],[Столбец1]]*Таблица1[[#This Row],[коэф]])),
IF(OR(G82="3/8",G82="2/8"),((база!$J$4*2*Таблица1[[#This Row],[Столбец1]]*Таблица1[[#This Row],[коэф]])))))))))))))),
(IF((G82="5/24"),((база!$M$6*2*Таблица1[[#This Row],[Столбец1]]*Таблица1[[#This Row],[коэф]])),
IF(OR(G82="4/24",G82="3/24"),((база!$M$5*2*Таблица1[[#This Row],[Столбец1]]*Таблица1[[#This Row],[коэф]])),
IF((G82="5/16"),((база!$L$6*2*Таблица1[[#This Row],[Столбец1]]*Таблица1[[#This Row],[коэф]])),
IF(OR(G82="4/16",G82="3/16"),((база!$L$5*2*Таблица1[[#This Row],[Столбец1]]*Таблица1[[#This Row],[коэф]])),
IF(OR(G82="2/4",G82="3/4",G82="4/4"),((база!$I$5*2*Таблица1[[#This Row],[Столбец1]]*Таблица1[[#This Row],[коэф]])),
IF((G82="5/8"),((база!$J$6*2*Таблица1[[#This Row],[Столбец1]]*Таблица1[[#This Row],[коэф]])),
IF(OR(G82="4/8",G82="3/8",G82="2/8"),((база!$J$5*2*Таблица1[[#This Row],[Столбец1]]*Таблица1[[#This Row],[коэф]])))))))))))</f>
        <v>0</v>
      </c>
      <c r="AQ82" s="712" t="str">
        <f>IFERROR(INDEX(база!T:T, MATCH(F82,база!Q:Q,0)),"")</f>
        <v/>
      </c>
      <c r="AR82" s="208" t="str">
        <f>IFERROR(INDEX(база!D:D, MATCH(F82,база!B:B,0)),"")</f>
        <v/>
      </c>
      <c r="AS82" s="758" t="str">
        <f>IFERROR(INDEX(база!E:E, MATCH(F82,база!B:B,0)),"")</f>
        <v/>
      </c>
    </row>
    <row r="83" spans="1:45" ht="15">
      <c r="A83" s="1058" t="str">
        <f t="shared" si="2"/>
        <v>январь</v>
      </c>
      <c r="B83" t="n" s="1058">
        <v>2024.0</v>
      </c>
      <c r="C83" t="s" s="1058">
        <v>387</v>
      </c>
      <c r="D83" t="s" s="1058">
        <v>395</v>
      </c>
      <c r="E83" t="s" s="1058">
        <v>389</v>
      </c>
      <c r="F83" t="s" s="1058">
        <v>255</v>
      </c>
      <c r="G83" t="s" s="1058">
        <v>5</v>
      </c>
      <c r="H83" s="1058"/>
      <c r="I83" s="1058"/>
      <c r="J83" s="1058"/>
      <c r="K83" s="1058"/>
      <c r="L83" s="1058"/>
      <c r="M83" s="1058"/>
      <c r="N83" s="1058"/>
      <c r="O83" s="1058"/>
      <c r="P83" t="n" s="1058">
        <v>7.2</v>
      </c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  <c r="AD83" s="48"/>
      <c r="AE83" s="48"/>
      <c r="AF83" s="51"/>
      <c r="AG83" s="51"/>
      <c r="AH83" s="51"/>
      <c r="AI83" s="51"/>
      <c r="AJ83" s="51"/>
      <c r="AK83" s="48"/>
      <c r="AL83" s="51"/>
      <c r="AM83" s="212">
        <f>IF(AQ83=1,SUM(Q83:T83,W83:Z83,AC83:AF83,AI83:AL83),
IF(AQ83=2,SUM(P83,S83:V83,Y83:AB83,AE83:AH83,AK83:AL83),
IF(AQ83=3,SUM(P83:R83,U83:X83,AA83:AD83,AG83:AJ83),SUM(Таблица1[[#This Row],[1]:[31]])-Таблица1[[#This Row],[Столбец1]])))</f>
        <v>0</v>
      </c>
      <c r="AN83" s="778">
        <f t="array" ref="AN83">IF(AQ83=1,SUM(P83,U83:V83,AA83:AB83,AG83:AH83),
IF(AQ83=2,SUM(Q83:R83,W83:X83,AC83:AD83,AI83:AJ83),
IF(AQ83=3,SUM(S83:T83,Y83:Z83,AE83:AF83,AK83:AL83),
SUM(IFERROR(WEEKDAY($H$2:$AL$2,2)&gt;5,)*H83:AL83))))+Таблица1[[#This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3" s="292" t="b">
        <f>IF(AR83&lt;=3,(IF((G83="5/24"),((база!$M$6*Таблица1[[#This Row],[сумма]]*Таблица1[[#This Row],[коэф]])),
IF((G83="4/24"),((база!$M$5*Таблица1[[#This Row],[сумма]]*Таблица1[[#This Row],[коэф]])),
IF((G83="3/24"),((база!$M$4*Таблица1[[#This Row],[сумма]]*Таблица1[[#This Row],[коэф]])),
IF((G83="5/16"),((база!$L$6*Таблица1[[#This Row],[сумма]]*Таблица1[[#This Row],[коэф]])),
IF((G83="4/16"),((база!$L$5*Таблица1[[#This Row],[сумма]]*Таблица1[[#This Row],[коэф]])),
IF((G83="3/16"),((база!$L$4*Таблица1[[#This Row],[сумма]]*Таблица1[[#This Row],[коэф]])),
IF((G83="4/4"),((база!$I$5*Таблица1[[#This Row],[сумма]]*Таблица1[[#This Row],[коэф]])),
IF(OR(G83="2/4",G83="3/4"),((база!$I$4*Таблица1[[#This Row],[сумма]]*Таблица1[[#This Row],[коэф]])),
IF((G83="5/8"),((база!$J$6*Таблица1[[#This Row],[сумма]]*Таблица1[[#This Row],[коэф]])),
IF((G83="4/8"),((база!$J$5*Таблица1[[#This Row],[сумма]]*Таблица1[[#This Row],[коэф]])),
IF(OR(G83="3/8",G83="2/8"),((база!$J$4*Таблица1[[#This Row],[сумма]]*Таблица1[[#This Row],[коэф]])))))))))))))),
(IF((G83="5/24"),((база!$M$6*Таблица1[[#This Row],[сумма]]*Таблица1[[#This Row],[коэф]])),
IF(OR(G83="4/24",G83="3/24"),((база!$M$5*Таблица1[[#This Row],[сумма]]*Таблица1[[#This Row],[коэф]])),
IF((G83="5/16"),((база!$L$6*Таблица1[[#This Row],[сумма]]*Таблица1[[#This Row],[коэф]])),
IF(OR(G83="4/16",G83="3/16"),((база!$L$5*Таблица1[[#This Row],[сумма]]*Таблица1[[#This Row],[коэф]])),
IF(OR(G83="2/4",G83="3/4",G83="4/4"),((база!$I$5*Таблица1[[#This Row],[сумма]]*Таблица1[[#This Row],[коэф]])),
IF((G83="5/8"),((база!$J$6*Таблица1[[#This Row],[сумма]]*Таблица1[[#This Row],[коэф]])),
IF(OR(G83="4/8",G83="3/8",G83="2/8"),((база!$J$5*Таблица1[[#This Row],[сумма]]*Таблица1[[#This Row],[коэф]])))))))))))</f>
        <v>0</v>
      </c>
      <c r="AP83" s="730" t="b">
        <f>IF(AR83&lt;=3,(IF((G83="5/24"),((база!$M$6*2*Таблица1[[#This Row],[Столбец1]]*Таблица1[[#This Row],[коэф]])),
IF((G83="4/24"),((база!$M$5*2*Таблица1[[#This Row],[Столбец1]]*Таблица1[[#This Row],[коэф]])),
IF((G83="3/24"),((база!$M$4*2*Таблица1[[#This Row],[Столбец1]]*Таблица1[[#This Row],[коэф]])),
IF((G83="5/16"),((база!$L$6*2*Таблица1[[#This Row],[Столбец1]]*Таблица1[[#This Row],[коэф]])),
IF((G83="4/16"),((база!$L$5*2*Таблица1[[#This Row],[Столбец1]]*Таблица1[[#This Row],[коэф]])),
IF((G83="3/16"),((база!$L$4*2*Таблица1[[#This Row],[Столбец1]]*Таблица1[[#This Row],[коэф]])),
IF((G83="4/4"),((база!$I$5*2*Таблица1[[#This Row],[Столбец1]]*Таблица1[[#This Row],[коэф]])),
IF(OR(G83="2/4",G83="3/4"),((база!$I$4*2*Таблица1[[#This Row],[Столбец1]]*Таблица1[[#This Row],[коэф]])),
IF((G83="5/8"),((база!$J$6*2*Таблица1[[#This Row],[Столбец1]]*Таблица1[[#This Row],[коэф]])),
IF((G83="4/8"),((база!$J$5*2*Таблица1[[#This Row],[Столбец1]]*Таблица1[[#This Row],[коэф]])),
IF(OR(G83="3/8",G83="2/8"),((база!$J$4*2*Таблица1[[#This Row],[Столбец1]]*Таблица1[[#This Row],[коэф]])))))))))))))),
(IF((G83="5/24"),((база!$M$6*2*Таблица1[[#This Row],[Столбец1]]*Таблица1[[#This Row],[коэф]])),
IF(OR(G83="4/24",G83="3/24"),((база!$M$5*2*Таблица1[[#This Row],[Столбец1]]*Таблица1[[#This Row],[коэф]])),
IF((G83="5/16"),((база!$L$6*2*Таблица1[[#This Row],[Столбец1]]*Таблица1[[#This Row],[коэф]])),
IF(OR(G83="4/16",G83="3/16"),((база!$L$5*2*Таблица1[[#This Row],[Столбец1]]*Таблица1[[#This Row],[коэф]])),
IF(OR(G83="2/4",G83="3/4",G83="4/4"),((база!$I$5*2*Таблица1[[#This Row],[Столбец1]]*Таблица1[[#This Row],[коэф]])),
IF((G83="5/8"),((база!$J$6*2*Таблица1[[#This Row],[Столбец1]]*Таблица1[[#This Row],[коэф]])),
IF(OR(G83="4/8",G83="3/8",G83="2/8"),((база!$J$5*2*Таблица1[[#This Row],[Столбец1]]*Таблица1[[#This Row],[коэф]])))))))))))</f>
        <v>0</v>
      </c>
      <c r="AQ83" s="712" t="str">
        <f>IFERROR(INDEX(база!T:T, MATCH(F83,база!Q:Q,0)),"")</f>
        <v/>
      </c>
      <c r="AR83" s="208" t="str">
        <f>IFERROR(INDEX(база!D:D, MATCH(F83,база!B:B,0)),"")</f>
        <v/>
      </c>
      <c r="AS83" s="758" t="str">
        <f>IFERROR(INDEX(база!E:E, MATCH(F83,база!B:B,0)),"")</f>
        <v/>
      </c>
    </row>
    <row r="84" spans="1:45" ht="15">
      <c r="A84" s="1059" t="str">
        <f t="shared" si="2"/>
        <v>январь</v>
      </c>
      <c r="B84" t="n" s="1059">
        <v>2024.0</v>
      </c>
      <c r="C84" t="s" s="1059">
        <v>394</v>
      </c>
      <c r="D84" t="s" s="1059">
        <v>364</v>
      </c>
      <c r="E84" t="s" s="1059">
        <v>46</v>
      </c>
      <c r="F84" t="s" s="1059">
        <v>296</v>
      </c>
      <c r="G84" t="s" s="1059">
        <v>4</v>
      </c>
      <c r="H84" s="1059"/>
      <c r="I84" s="1059"/>
      <c r="J84" s="1059"/>
      <c r="K84" s="1059"/>
      <c r="L84" s="1059"/>
      <c r="M84" s="1059"/>
      <c r="N84" s="1059"/>
      <c r="O84" s="1059"/>
      <c r="P84" t="n" s="1059">
        <v>1.2</v>
      </c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51"/>
      <c r="AG84" s="51"/>
      <c r="AH84" s="51"/>
      <c r="AI84" s="51"/>
      <c r="AJ84" s="51"/>
      <c r="AK84" s="51"/>
      <c r="AL84" s="51"/>
      <c r="AM84" s="212">
        <f>IF(AQ84=1,SUM(Q84:T84,W84:Z84,AC84:AF84,AI84:AL84),
IF(AQ84=2,SUM(P84,S84:V84,Y84:AB84,AE84:AH84,AK84:AL84),
IF(AQ84=3,SUM(P84:R84,U84:X84,AA84:AD84,AG84:AJ84),SUM(Таблица1[[#This Row],[1]:[31]])-Таблица1[[#This Row],[Столбец1]])))</f>
        <v>0</v>
      </c>
      <c r="AN84" s="778">
        <f t="array" ref="AN84">IF(AQ84=1,SUM(P84,U84:V84,AA84:AB84,AG84:AH84),
IF(AQ84=2,SUM(Q84:R84,W84:X84,AC84:AD84,AI84:AJ84),
IF(AQ84=3,SUM(S84:T84,Y84:Z84,AE84:AF84,AK84:AL84),
SUM(IFERROR(WEEKDAY($H$2:$AL$2,2)&gt;5,)*H84:AL84))))+Таблица1[[#This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4" s="292" t="b">
        <f>IF(AR84&lt;=3,(IF((G84="5/24"),((база!$M$6*Таблица1[[#This Row],[сумма]]*Таблица1[[#This Row],[коэф]])),
IF((G84="4/24"),((база!$M$5*Таблица1[[#This Row],[сумма]]*Таблица1[[#This Row],[коэф]])),
IF((G84="3/24"),((база!$M$4*Таблица1[[#This Row],[сумма]]*Таблица1[[#This Row],[коэф]])),
IF((G84="5/16"),((база!$L$6*Таблица1[[#This Row],[сумма]]*Таблица1[[#This Row],[коэф]])),
IF((G84="4/16"),((база!$L$5*Таблица1[[#This Row],[сумма]]*Таблица1[[#This Row],[коэф]])),
IF((G84="3/16"),((база!$L$4*Таблица1[[#This Row],[сумма]]*Таблица1[[#This Row],[коэф]])),
IF((G84="4/4"),((база!$I$5*Таблица1[[#This Row],[сумма]]*Таблица1[[#This Row],[коэф]])),
IF(OR(G84="2/4",G84="3/4"),((база!$I$4*Таблица1[[#This Row],[сумма]]*Таблица1[[#This Row],[коэф]])),
IF((G84="5/8"),((база!$J$6*Таблица1[[#This Row],[сумма]]*Таблица1[[#This Row],[коэф]])),
IF((G84="4/8"),((база!$J$5*Таблица1[[#This Row],[сумма]]*Таблица1[[#This Row],[коэф]])),
IF(OR(G84="3/8",G84="2/8"),((база!$J$4*Таблица1[[#This Row],[сумма]]*Таблица1[[#This Row],[коэф]])))))))))))))),
(IF((G84="5/24"),((база!$M$6*Таблица1[[#This Row],[сумма]]*Таблица1[[#This Row],[коэф]])),
IF(OR(G84="4/24",G84="3/24"),((база!$M$5*Таблица1[[#This Row],[сумма]]*Таблица1[[#This Row],[коэф]])),
IF((G84="5/16"),((база!$L$6*Таблица1[[#This Row],[сумма]]*Таблица1[[#This Row],[коэф]])),
IF(OR(G84="4/16",G84="3/16"),((база!$L$5*Таблица1[[#This Row],[сумма]]*Таблица1[[#This Row],[коэф]])),
IF(OR(G84="2/4",G84="3/4",G84="4/4"),((база!$I$5*Таблица1[[#This Row],[сумма]]*Таблица1[[#This Row],[коэф]])),
IF((G84="5/8"),((база!$J$6*Таблица1[[#This Row],[сумма]]*Таблица1[[#This Row],[коэф]])),
IF(OR(G84="4/8",G84="3/8",G84="2/8"),((база!$J$5*Таблица1[[#This Row],[сумма]]*Таблица1[[#This Row],[коэф]])))))))))))</f>
        <v>0</v>
      </c>
      <c r="AP84" s="730" t="b">
        <f>IF(AR84&lt;=3,(IF((G84="5/24"),((база!$M$6*2*Таблица1[[#This Row],[Столбец1]]*Таблица1[[#This Row],[коэф]])),
IF((G84="4/24"),((база!$M$5*2*Таблица1[[#This Row],[Столбец1]]*Таблица1[[#This Row],[коэф]])),
IF((G84="3/24"),((база!$M$4*2*Таблица1[[#This Row],[Столбец1]]*Таблица1[[#This Row],[коэф]])),
IF((G84="5/16"),((база!$L$6*2*Таблица1[[#This Row],[Столбец1]]*Таблица1[[#This Row],[коэф]])),
IF((G84="4/16"),((база!$L$5*2*Таблица1[[#This Row],[Столбец1]]*Таблица1[[#This Row],[коэф]])),
IF((G84="3/16"),((база!$L$4*2*Таблица1[[#This Row],[Столбец1]]*Таблица1[[#This Row],[коэф]])),
IF((G84="4/4"),((база!$I$5*2*Таблица1[[#This Row],[Столбец1]]*Таблица1[[#This Row],[коэф]])),
IF(OR(G84="2/4",G84="3/4"),((база!$I$4*2*Таблица1[[#This Row],[Столбец1]]*Таблица1[[#This Row],[коэф]])),
IF((G84="5/8"),((база!$J$6*2*Таблица1[[#This Row],[Столбец1]]*Таблица1[[#This Row],[коэф]])),
IF((G84="4/8"),((база!$J$5*2*Таблица1[[#This Row],[Столбец1]]*Таблица1[[#This Row],[коэф]])),
IF(OR(G84="3/8",G84="2/8"),((база!$J$4*2*Таблица1[[#This Row],[Столбец1]]*Таблица1[[#This Row],[коэф]])))))))))))))),
(IF((G84="5/24"),((база!$M$6*2*Таблица1[[#This Row],[Столбец1]]*Таблица1[[#This Row],[коэф]])),
IF(OR(G84="4/24",G84="3/24"),((база!$M$5*2*Таблица1[[#This Row],[Столбец1]]*Таблица1[[#This Row],[коэф]])),
IF((G84="5/16"),((база!$L$6*2*Таблица1[[#This Row],[Столбец1]]*Таблица1[[#This Row],[коэф]])),
IF(OR(G84="4/16",G84="3/16"),((база!$L$5*2*Таблица1[[#This Row],[Столбец1]]*Таблица1[[#This Row],[коэф]])),
IF(OR(G84="2/4",G84="3/4",G84="4/4"),((база!$I$5*2*Таблица1[[#This Row],[Столбец1]]*Таблица1[[#This Row],[коэф]])),
IF((G84="5/8"),((база!$J$6*2*Таблица1[[#This Row],[Столбец1]]*Таблица1[[#This Row],[коэф]])),
IF(OR(G84="4/8",G84="3/8",G84="2/8"),((база!$J$5*2*Таблица1[[#This Row],[Столбец1]]*Таблица1[[#This Row],[коэф]])))))))))))</f>
        <v>0</v>
      </c>
      <c r="AQ84" s="712" t="str">
        <f>IFERROR(INDEX(база!T:T, MATCH(F84,база!Q:Q,0)),"")</f>
        <v/>
      </c>
      <c r="AR84" s="208" t="str">
        <f>IFERROR(INDEX(база!D:D, MATCH(F84,база!B:B,0)),"")</f>
        <v/>
      </c>
      <c r="AS84" s="758" t="str">
        <f>IFERROR(INDEX(база!E:E, MATCH(F84,база!B:B,0)),"")</f>
        <v/>
      </c>
    </row>
    <row r="85" spans="1:45" ht="15">
      <c r="A85" s="1060" t="str">
        <f t="shared" si="2"/>
        <v>январь</v>
      </c>
      <c r="B85" t="n" s="1060">
        <v>2024.0</v>
      </c>
      <c r="C85" t="s" s="1060">
        <v>396</v>
      </c>
      <c r="D85" t="s" s="1060">
        <v>364</v>
      </c>
      <c r="E85" t="s" s="1060">
        <v>389</v>
      </c>
      <c r="F85" t="s" s="1060">
        <v>296</v>
      </c>
      <c r="G85" t="s" s="1060">
        <v>5</v>
      </c>
      <c r="H85" s="1060"/>
      <c r="I85" s="1060"/>
      <c r="J85" s="1060"/>
      <c r="K85" s="1060"/>
      <c r="L85" s="1060"/>
      <c r="M85" s="1060"/>
      <c r="N85" s="1060"/>
      <c r="O85" s="1060"/>
      <c r="P85" t="n" s="1060">
        <v>6.0</v>
      </c>
      <c r="Q85" t="n" s="46">
        <v>7.2</v>
      </c>
      <c r="R85" t="n" s="46">
        <v>7.2</v>
      </c>
      <c r="S85" s="48"/>
      <c r="T85" t="n" s="46">
        <v>6.0</v>
      </c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8"/>
      <c r="AK85" s="51"/>
      <c r="AL85" s="51"/>
      <c r="AM85" s="212">
        <f>IF(AQ85=1,SUM(Q85:T85,W85:Z85,AC85:AF85,AI85:AL85),
IF(AQ85=2,SUM(P85,S85:V85,Y85:AB85,AE85:AH85,AK85:AL85),
IF(AQ85=3,SUM(P85:R85,U85:X85,AA85:AD85,AG85:AJ85),SUM(Таблица1[[#This Row],[1]:[31]])-Таблица1[[#This Row],[Столбец1]])))</f>
        <v>0</v>
      </c>
      <c r="AN85" s="778">
        <f t="array" ref="AN85">IF(AQ85=1,SUM(P85,U85:V85,AA85:AB85,AG85:AH85),
IF(AQ85=2,SUM(Q85:R85,W85:X85,AC85:AD85,AI85:AJ85),
IF(AQ85=3,SUM(S85:T85,Y85:Z85,AE85:AF85,AK85:AL85),
SUM(IFERROR(WEEKDAY($H$2:$AL$2,2)&gt;5,)*H85:AL85))))+Таблица1[[#This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5" s="292" t="b">
        <f>IF(AR85&lt;=3,(IF((G85="5/24"),((база!$M$6*Таблица1[[#This Row],[сумма]]*Таблица1[[#This Row],[коэф]])),
IF((G85="4/24"),((база!$M$5*Таблица1[[#This Row],[сумма]]*Таблица1[[#This Row],[коэф]])),
IF((G85="3/24"),((база!$M$4*Таблица1[[#This Row],[сумма]]*Таблица1[[#This Row],[коэф]])),
IF((G85="5/16"),((база!$L$6*Таблица1[[#This Row],[сумма]]*Таблица1[[#This Row],[коэф]])),
IF((G85="4/16"),((база!$L$5*Таблица1[[#This Row],[сумма]]*Таблица1[[#This Row],[коэф]])),
IF((G85="3/16"),((база!$L$4*Таблица1[[#This Row],[сумма]]*Таблица1[[#This Row],[коэф]])),
IF((G85="4/4"),((база!$I$5*Таблица1[[#This Row],[сумма]]*Таблица1[[#This Row],[коэф]])),
IF(OR(G85="2/4",G85="3/4"),((база!$I$4*Таблица1[[#This Row],[сумма]]*Таблица1[[#This Row],[коэф]])),
IF((G85="5/8"),((база!$J$6*Таблица1[[#This Row],[сумма]]*Таблица1[[#This Row],[коэф]])),
IF((G85="4/8"),((база!$J$5*Таблица1[[#This Row],[сумма]]*Таблица1[[#This Row],[коэф]])),
IF(OR(G85="3/8",G85="2/8"),((база!$J$4*Таблица1[[#This Row],[сумма]]*Таблица1[[#This Row],[коэф]])))))))))))))),
(IF((G85="5/24"),((база!$M$6*Таблица1[[#This Row],[сумма]]*Таблица1[[#This Row],[коэф]])),
IF(OR(G85="4/24",G85="3/24"),((база!$M$5*Таблица1[[#This Row],[сумма]]*Таблица1[[#This Row],[коэф]])),
IF((G85="5/16"),((база!$L$6*Таблица1[[#This Row],[сумма]]*Таблица1[[#This Row],[коэф]])),
IF(OR(G85="4/16",G85="3/16"),((база!$L$5*Таблица1[[#This Row],[сумма]]*Таблица1[[#This Row],[коэф]])),
IF(OR(G85="2/4",G85="3/4",G85="4/4"),((база!$I$5*Таблица1[[#This Row],[сумма]]*Таблица1[[#This Row],[коэф]])),
IF((G85="5/8"),((база!$J$6*Таблица1[[#This Row],[сумма]]*Таблица1[[#This Row],[коэф]])),
IF(OR(G85="4/8",G85="3/8",G85="2/8"),((база!$J$5*Таблица1[[#This Row],[сумма]]*Таблица1[[#This Row],[коэф]])))))))))))</f>
        <v>0</v>
      </c>
      <c r="AP85" s="730" t="b">
        <f>IF(AR85&lt;=3,(IF((G85="5/24"),((база!$M$6*2*Таблица1[[#This Row],[Столбец1]]*Таблица1[[#This Row],[коэф]])),
IF((G85="4/24"),((база!$M$5*2*Таблица1[[#This Row],[Столбец1]]*Таблица1[[#This Row],[коэф]])),
IF((G85="3/24"),((база!$M$4*2*Таблица1[[#This Row],[Столбец1]]*Таблица1[[#This Row],[коэф]])),
IF((G85="5/16"),((база!$L$6*2*Таблица1[[#This Row],[Столбец1]]*Таблица1[[#This Row],[коэф]])),
IF((G85="4/16"),((база!$L$5*2*Таблица1[[#This Row],[Столбец1]]*Таблица1[[#This Row],[коэф]])),
IF((G85="3/16"),((база!$L$4*2*Таблица1[[#This Row],[Столбец1]]*Таблица1[[#This Row],[коэф]])),
IF((G85="4/4"),((база!$I$5*2*Таблица1[[#This Row],[Столбец1]]*Таблица1[[#This Row],[коэф]])),
IF(OR(G85="2/4",G85="3/4"),((база!$I$4*2*Таблица1[[#This Row],[Столбец1]]*Таблица1[[#This Row],[коэф]])),
IF((G85="5/8"),((база!$J$6*2*Таблица1[[#This Row],[Столбец1]]*Таблица1[[#This Row],[коэф]])),
IF((G85="4/8"),((база!$J$5*2*Таблица1[[#This Row],[Столбец1]]*Таблица1[[#This Row],[коэф]])),
IF(OR(G85="3/8",G85="2/8"),((база!$J$4*2*Таблица1[[#This Row],[Столбец1]]*Таблица1[[#This Row],[коэф]])))))))))))))),
(IF((G85="5/24"),((база!$M$6*2*Таблица1[[#This Row],[Столбец1]]*Таблица1[[#This Row],[коэф]])),
IF(OR(G85="4/24",G85="3/24"),((база!$M$5*2*Таблица1[[#This Row],[Столбец1]]*Таблица1[[#This Row],[коэф]])),
IF((G85="5/16"),((база!$L$6*2*Таблица1[[#This Row],[Столбец1]]*Таблица1[[#This Row],[коэф]])),
IF(OR(G85="4/16",G85="3/16"),((база!$L$5*2*Таблица1[[#This Row],[Столбец1]]*Таблица1[[#This Row],[коэф]])),
IF(OR(G85="2/4",G85="3/4",G85="4/4"),((база!$I$5*2*Таблица1[[#This Row],[Столбец1]]*Таблица1[[#This Row],[коэф]])),
IF((G85="5/8"),((база!$J$6*2*Таблица1[[#This Row],[Столбец1]]*Таблица1[[#This Row],[коэф]])),
IF(OR(G85="4/8",G85="3/8",G85="2/8"),((база!$J$5*2*Таблица1[[#This Row],[Столбец1]]*Таблица1[[#This Row],[коэф]])))))))))))</f>
        <v>0</v>
      </c>
      <c r="AQ85" s="712" t="str">
        <f>IFERROR(INDEX(база!T:T, MATCH(F85,база!Q:Q,0)),"")</f>
        <v/>
      </c>
      <c r="AR85" s="208" t="str">
        <f>IFERROR(INDEX(база!D:D, MATCH(F85,база!B:B,0)),"")</f>
        <v/>
      </c>
      <c r="AS85" s="758" t="str">
        <f>IFERROR(INDEX(база!E:E, MATCH(F85,база!B:B,0)),"")</f>
        <v/>
      </c>
    </row>
    <row r="86" spans="1:45" ht="15">
      <c r="A86" s="1063" t="str">
        <f t="shared" si="2"/>
        <v>январь</v>
      </c>
      <c r="B86" t="n" s="1063">
        <v>2024.0</v>
      </c>
      <c r="C86" t="s" s="1063">
        <v>396</v>
      </c>
      <c r="D86" t="s" s="1063">
        <v>364</v>
      </c>
      <c r="E86" t="s" s="1063">
        <v>46</v>
      </c>
      <c r="F86" t="s" s="1063">
        <v>277</v>
      </c>
      <c r="G86" t="s" s="1063">
        <v>4</v>
      </c>
      <c r="H86" s="1063"/>
      <c r="I86" s="1063"/>
      <c r="J86" s="1063"/>
      <c r="K86" s="1063"/>
      <c r="L86" s="1063"/>
      <c r="M86" s="1063"/>
      <c r="N86" s="1063"/>
      <c r="O86" s="1063"/>
      <c r="P86" t="n" s="1063">
        <v>7.2</v>
      </c>
      <c r="Q86" s="48"/>
      <c r="R86" t="n" s="46">
        <v>3.2</v>
      </c>
      <c r="S86" t="n" s="46">
        <v>7.2</v>
      </c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51"/>
      <c r="AG86" s="51"/>
      <c r="AH86" s="51"/>
      <c r="AI86" s="51"/>
      <c r="AJ86" s="51"/>
      <c r="AK86" s="51"/>
      <c r="AL86" s="51"/>
      <c r="AM86" s="212">
        <f>IF(AQ86=1,SUM(Q86:T86,W86:Z86,AC86:AF86,AI86:AL86),
IF(AQ86=2,SUM(P86,S86:V86,Y86:AB86,AE86:AH86,AK86:AL86),
IF(AQ86=3,SUM(P86:R86,U86:X86,AA86:AD86,AG86:AJ86),SUM(Таблица1[[#This Row],[1]:[31]])-Таблица1[[#This Row],[Столбец1]])))</f>
        <v>0</v>
      </c>
      <c r="AN86" s="778">
        <f t="array" ref="AN86">IF(AQ86=1,SUM(P86,U86:V86,AA86:AB86,AG86:AH86),
IF(AQ86=2,SUM(Q86:R86,W86:X86,AC86:AD86,AI86:AJ86),
IF(AQ86=3,SUM(S86:T86,Y86:Z86,AE86:AF86,AK86:AL86),
SUM(IFERROR(WEEKDAY($H$2:$AL$2,2)&gt;5,)*H86:AL86))))+Таблица1[[#This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6" s="292" t="b">
        <f>IF(AR86&lt;=3,(IF((G86="5/24"),((база!$M$6*Таблица1[[#This Row],[сумма]]*Таблица1[[#This Row],[коэф]])),
IF((G86="4/24"),((база!$M$5*Таблица1[[#This Row],[сумма]]*Таблица1[[#This Row],[коэф]])),
IF((G86="3/24"),((база!$M$4*Таблица1[[#This Row],[сумма]]*Таблица1[[#This Row],[коэф]])),
IF((G86="5/16"),((база!$L$6*Таблица1[[#This Row],[сумма]]*Таблица1[[#This Row],[коэф]])),
IF((G86="4/16"),((база!$L$5*Таблица1[[#This Row],[сумма]]*Таблица1[[#This Row],[коэф]])),
IF((G86="3/16"),((база!$L$4*Таблица1[[#This Row],[сумма]]*Таблица1[[#This Row],[коэф]])),
IF((G86="4/4"),((база!$I$5*Таблица1[[#This Row],[сумма]]*Таблица1[[#This Row],[коэф]])),
IF(OR(G86="2/4",G86="3/4"),((база!$I$4*Таблица1[[#This Row],[сумма]]*Таблица1[[#This Row],[коэф]])),
IF((G86="5/8"),((база!$J$6*Таблица1[[#This Row],[сумма]]*Таблица1[[#This Row],[коэф]])),
IF((G86="4/8"),((база!$J$5*Таблица1[[#This Row],[сумма]]*Таблица1[[#This Row],[коэф]])),
IF(OR(G86="3/8",G86="2/8"),((база!$J$4*Таблица1[[#This Row],[сумма]]*Таблица1[[#This Row],[коэф]])))))))))))))),
(IF((G86="5/24"),((база!$M$6*Таблица1[[#This Row],[сумма]]*Таблица1[[#This Row],[коэф]])),
IF(OR(G86="4/24",G86="3/24"),((база!$M$5*Таблица1[[#This Row],[сумма]]*Таблица1[[#This Row],[коэф]])),
IF((G86="5/16"),((база!$L$6*Таблица1[[#This Row],[сумма]]*Таблица1[[#This Row],[коэф]])),
IF(OR(G86="4/16",G86="3/16"),((база!$L$5*Таблица1[[#This Row],[сумма]]*Таблица1[[#This Row],[коэф]])),
IF(OR(G86="2/4",G86="3/4",G86="4/4"),((база!$I$5*Таблица1[[#This Row],[сумма]]*Таблица1[[#This Row],[коэф]])),
IF((G86="5/8"),((база!$J$6*Таблица1[[#This Row],[сумма]]*Таблица1[[#This Row],[коэф]])),
IF(OR(G86="4/8",G86="3/8",G86="2/8"),((база!$J$5*Таблица1[[#This Row],[сумма]]*Таблица1[[#This Row],[коэф]])))))))))))</f>
        <v>0</v>
      </c>
      <c r="AP86" s="730" t="b">
        <f>IF(AR86&lt;=3,(IF((G86="5/24"),((база!$M$6*2*Таблица1[[#This Row],[Столбец1]]*Таблица1[[#This Row],[коэф]])),
IF((G86="4/24"),((база!$M$5*2*Таблица1[[#This Row],[Столбец1]]*Таблица1[[#This Row],[коэф]])),
IF((G86="3/24"),((база!$M$4*2*Таблица1[[#This Row],[Столбец1]]*Таблица1[[#This Row],[коэф]])),
IF((G86="5/16"),((база!$L$6*2*Таблица1[[#This Row],[Столбец1]]*Таблица1[[#This Row],[коэф]])),
IF((G86="4/16"),((база!$L$5*2*Таблица1[[#This Row],[Столбец1]]*Таблица1[[#This Row],[коэф]])),
IF((G86="3/16"),((база!$L$4*2*Таблица1[[#This Row],[Столбец1]]*Таблица1[[#This Row],[коэф]])),
IF((G86="4/4"),((база!$I$5*2*Таблица1[[#This Row],[Столбец1]]*Таблица1[[#This Row],[коэф]])),
IF(OR(G86="2/4",G86="3/4"),((база!$I$4*2*Таблица1[[#This Row],[Столбец1]]*Таблица1[[#This Row],[коэф]])),
IF((G86="5/8"),((база!$J$6*2*Таблица1[[#This Row],[Столбец1]]*Таблица1[[#This Row],[коэф]])),
IF((G86="4/8"),((база!$J$5*2*Таблица1[[#This Row],[Столбец1]]*Таблица1[[#This Row],[коэф]])),
IF(OR(G86="3/8",G86="2/8"),((база!$J$4*2*Таблица1[[#This Row],[Столбец1]]*Таблица1[[#This Row],[коэф]])))))))))))))),
(IF((G86="5/24"),((база!$M$6*2*Таблица1[[#This Row],[Столбец1]]*Таблица1[[#This Row],[коэф]])),
IF(OR(G86="4/24",G86="3/24"),((база!$M$5*2*Таблица1[[#This Row],[Столбец1]]*Таблица1[[#This Row],[коэф]])),
IF((G86="5/16"),((база!$L$6*2*Таблица1[[#This Row],[Столбец1]]*Таблица1[[#This Row],[коэф]])),
IF(OR(G86="4/16",G86="3/16"),((база!$L$5*2*Таблица1[[#This Row],[Столбец1]]*Таблица1[[#This Row],[коэф]])),
IF(OR(G86="2/4",G86="3/4",G86="4/4"),((база!$I$5*2*Таблица1[[#This Row],[Столбец1]]*Таблица1[[#This Row],[коэф]])),
IF((G86="5/8"),((база!$J$6*2*Таблица1[[#This Row],[Столбец1]]*Таблица1[[#This Row],[коэф]])),
IF(OR(G86="4/8",G86="3/8",G86="2/8"),((база!$J$5*2*Таблица1[[#This Row],[Столбец1]]*Таблица1[[#This Row],[коэф]])))))))))))</f>
        <v>0</v>
      </c>
      <c r="AQ86" s="712" t="str">
        <f>IFERROR(INDEX(база!T:T, MATCH(F86,база!Q:Q,0)),"")</f>
        <v/>
      </c>
      <c r="AR86" s="208" t="str">
        <f>IFERROR(INDEX(база!D:D, MATCH(F86,база!B:B,0)),"")</f>
        <v/>
      </c>
      <c r="AS86" s="758" t="str">
        <f>IFERROR(INDEX(база!E:E, MATCH(F86,база!B:B,0)),"")</f>
        <v/>
      </c>
    </row>
    <row r="87" spans="1:45" ht="15">
      <c r="A87" s="1064" t="str">
        <f>A86</f>
        <v>январь</v>
      </c>
      <c r="B87" t="n" s="1064">
        <v>2024.0</v>
      </c>
      <c r="C87" t="s" s="1064">
        <v>396</v>
      </c>
      <c r="D87" t="s" s="1064">
        <v>364</v>
      </c>
      <c r="E87" t="s" s="1064">
        <v>46</v>
      </c>
      <c r="F87" t="s" s="1064">
        <v>256</v>
      </c>
      <c r="G87" t="s" s="1064">
        <v>31</v>
      </c>
      <c r="H87" s="1064"/>
      <c r="I87" s="1064"/>
      <c r="J87" s="1064"/>
      <c r="K87" s="1064"/>
      <c r="L87" s="1064"/>
      <c r="M87" s="1064"/>
      <c r="N87" s="1064"/>
      <c r="O87" s="1064"/>
      <c r="P87" t="n" s="1064">
        <v>7.2</v>
      </c>
      <c r="Q87" s="48"/>
      <c r="R87" t="n" s="46">
        <v>7.2</v>
      </c>
      <c r="S87" t="n" s="46">
        <v>7.2</v>
      </c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51"/>
      <c r="AG87" s="51"/>
      <c r="AH87" s="51"/>
      <c r="AI87" s="51"/>
      <c r="AJ87" s="51"/>
      <c r="AK87" s="51"/>
      <c r="AL87" s="51"/>
      <c r="AM87" s="212">
        <f>IF(AQ87=1,SUM(Q87:T87,W87:Z87,AC87:AF87,AI87:AL87),
IF(AQ87=2,SUM(P87,S87:V87,Y87:AB87,AE87:AH87,AK87:AL87),
IF(AQ87=3,SUM(P87:R87,U87:X87,AA87:AD87,AG87:AJ87),SUM(Таблица1[[#This Row],[1]:[31]])-Таблица1[[#This Row],[Столбец1]])))</f>
        <v>0</v>
      </c>
      <c r="AN87" s="778">
        <f t="array" ref="AN87">IF(AQ87=1,SUM(P87,U87:V87,AA87:AB87,AG87:AH87),
IF(AQ87=2,SUM(Q87:R87,W87:X87,AC87:AD87,AI87:AJ87),
IF(AQ87=3,SUM(S87:T87,Y87:Z87,AE87:AF87,AK87:AL87),
SUM(IFERROR(WEEKDAY($H$2:$AL$2,2)&gt;5,)*H87:AL87))))+Таблица1[[#This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7" s="292" t="b">
        <f>IF(AR87&lt;=3,(IF((G87="5/24"),((база!$M$6*Таблица1[[#This Row],[сумма]]*Таблица1[[#This Row],[коэф]])),
IF((G87="4/24"),((база!$M$5*Таблица1[[#This Row],[сумма]]*Таблица1[[#This Row],[коэф]])),
IF((G87="3/24"),((база!$M$4*Таблица1[[#This Row],[сумма]]*Таблица1[[#This Row],[коэф]])),
IF((G87="5/16"),((база!$L$6*Таблица1[[#This Row],[сумма]]*Таблица1[[#This Row],[коэф]])),
IF((G87="4/16"),((база!$L$5*Таблица1[[#This Row],[сумма]]*Таблица1[[#This Row],[коэф]])),
IF((G87="3/16"),((база!$L$4*Таблица1[[#This Row],[сумма]]*Таблица1[[#This Row],[коэф]])),
IF((G87="4/4"),((база!$I$5*Таблица1[[#This Row],[сумма]]*Таблица1[[#This Row],[коэф]])),
IF(OR(G87="2/4",G87="3/4"),((база!$I$4*Таблица1[[#This Row],[сумма]]*Таблица1[[#This Row],[коэф]])),
IF((G87="5/8"),((база!$J$6*Таблица1[[#This Row],[сумма]]*Таблица1[[#This Row],[коэф]])),
IF((G87="4/8"),((база!$J$5*Таблица1[[#This Row],[сумма]]*Таблица1[[#This Row],[коэф]])),
IF(OR(G87="3/8",G87="2/8"),((база!$J$4*Таблица1[[#This Row],[сумма]]*Таблица1[[#This Row],[коэф]])))))))))))))),
(IF((G87="5/24"),((база!$M$6*Таблица1[[#This Row],[сумма]]*Таблица1[[#This Row],[коэф]])),
IF(OR(G87="4/24",G87="3/24"),((база!$M$5*Таблица1[[#This Row],[сумма]]*Таблица1[[#This Row],[коэф]])),
IF((G87="5/16"),((база!$L$6*Таблица1[[#This Row],[сумма]]*Таблица1[[#This Row],[коэф]])),
IF(OR(G87="4/16",G87="3/16"),((база!$L$5*Таблица1[[#This Row],[сумма]]*Таблица1[[#This Row],[коэф]])),
IF(OR(G87="2/4",G87="3/4",G87="4/4"),((база!$I$5*Таблица1[[#This Row],[сумма]]*Таблица1[[#This Row],[коэф]])),
IF((G87="5/8"),((база!$J$6*Таблица1[[#This Row],[сумма]]*Таблица1[[#This Row],[коэф]])),
IF(OR(G87="4/8",G87="3/8",G87="2/8"),((база!$J$5*Таблица1[[#This Row],[сумма]]*Таблица1[[#This Row],[коэф]])))))))))))</f>
        <v>0</v>
      </c>
      <c r="AP87" s="730" t="b">
        <f>IF(AR87&lt;=3,(IF((G87="5/24"),((база!$M$6*2*Таблица1[[#This Row],[Столбец1]]*Таблица1[[#This Row],[коэф]])),
IF((G87="4/24"),((база!$M$5*2*Таблица1[[#This Row],[Столбец1]]*Таблица1[[#This Row],[коэф]])),
IF((G87="3/24"),((база!$M$4*2*Таблица1[[#This Row],[Столбец1]]*Таблица1[[#This Row],[коэф]])),
IF((G87="5/16"),((база!$L$6*2*Таблица1[[#This Row],[Столбец1]]*Таблица1[[#This Row],[коэф]])),
IF((G87="4/16"),((база!$L$5*2*Таблица1[[#This Row],[Столбец1]]*Таблица1[[#This Row],[коэф]])),
IF((G87="3/16"),((база!$L$4*2*Таблица1[[#This Row],[Столбец1]]*Таблица1[[#This Row],[коэф]])),
IF((G87="4/4"),((база!$I$5*2*Таблица1[[#This Row],[Столбец1]]*Таблица1[[#This Row],[коэф]])),
IF(OR(G87="2/4",G87="3/4"),((база!$I$4*2*Таблица1[[#This Row],[Столбец1]]*Таблица1[[#This Row],[коэф]])),
IF((G87="5/8"),((база!$J$6*2*Таблица1[[#This Row],[Столбец1]]*Таблица1[[#This Row],[коэф]])),
IF((G87="4/8"),((база!$J$5*2*Таблица1[[#This Row],[Столбец1]]*Таблица1[[#This Row],[коэф]])),
IF(OR(G87="3/8",G87="2/8"),((база!$J$4*2*Таблица1[[#This Row],[Столбец1]]*Таблица1[[#This Row],[коэф]])))))))))))))),
(IF((G87="5/24"),((база!$M$6*2*Таблица1[[#This Row],[Столбец1]]*Таблица1[[#This Row],[коэф]])),
IF(OR(G87="4/24",G87="3/24"),((база!$M$5*2*Таблица1[[#This Row],[Столбец1]]*Таблица1[[#This Row],[коэф]])),
IF((G87="5/16"),((база!$L$6*2*Таблица1[[#This Row],[Столбец1]]*Таблица1[[#This Row],[коэф]])),
IF(OR(G87="4/16",G87="3/16"),((база!$L$5*2*Таблица1[[#This Row],[Столбец1]]*Таблица1[[#This Row],[коэф]])),
IF(OR(G87="2/4",G87="3/4",G87="4/4"),((база!$I$5*2*Таблица1[[#This Row],[Столбец1]]*Таблица1[[#This Row],[коэф]])),
IF((G87="5/8"),((база!$J$6*2*Таблица1[[#This Row],[Столбец1]]*Таблица1[[#This Row],[коэф]])),
IF(OR(G87="4/8",G87="3/8",G87="2/8"),((база!$J$5*2*Таблица1[[#This Row],[Столбец1]]*Таблица1[[#This Row],[коэф]])))))))))))</f>
        <v>0</v>
      </c>
      <c r="AQ87" s="712" t="str">
        <f>IFERROR(INDEX(база!T:T, MATCH(F87,база!Q:Q,0)),"")</f>
        <v/>
      </c>
      <c r="AR87" s="208" t="str">
        <f>IFERROR(INDEX(база!D:D, MATCH(F87,база!B:B,0)),"")</f>
        <v/>
      </c>
      <c r="AS87" s="758" t="str">
        <f>IFERROR(INDEX(база!E:E, MATCH(F87,база!B:B,0)),"")</f>
        <v/>
      </c>
    </row>
    <row r="88" spans="1:45" ht="15">
      <c r="A88" s="1065" t="str">
        <f>A87</f>
        <v>январь</v>
      </c>
      <c r="B88" t="n" s="1065">
        <v>2024.0</v>
      </c>
      <c r="C88" t="s" s="1065">
        <v>387</v>
      </c>
      <c r="D88" t="s" s="1065">
        <v>364</v>
      </c>
      <c r="E88" t="s" s="1065">
        <v>46</v>
      </c>
      <c r="F88" t="s" s="1065">
        <v>260</v>
      </c>
      <c r="G88" t="s" s="1065">
        <v>31</v>
      </c>
      <c r="H88" s="1065"/>
      <c r="I88" s="1065"/>
      <c r="J88" s="1065"/>
      <c r="K88" s="1065"/>
      <c r="L88" s="1065"/>
      <c r="M88" s="1065"/>
      <c r="N88" s="1065"/>
      <c r="O88" t="n" s="1065">
        <v>3.0</v>
      </c>
      <c r="P88" s="48"/>
      <c r="Q88" t="n" s="46">
        <v>7.2</v>
      </c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51"/>
      <c r="AG88" s="51"/>
      <c r="AH88" s="51"/>
      <c r="AI88" s="51"/>
      <c r="AJ88" s="51"/>
      <c r="AK88" s="51"/>
      <c r="AL88" s="51"/>
      <c r="AM88" s="212">
        <f>IF(AQ88=1,SUM(Q88:T88,W88:Z88,AC88:AF88,AI88:AL88),
IF(AQ88=2,SUM(P88,S88:V88,Y88:AB88,AE88:AH88,AK88:AL88),
IF(AQ88=3,SUM(P88:R88,U88:X88,AA88:AD88,AG88:AJ88),SUM(Таблица1[[#This Row],[1]:[31]])-Таблица1[[#This Row],[Столбец1]])))</f>
        <v>0</v>
      </c>
      <c r="AN88" s="778">
        <f t="array" ref="AN88">IF(AQ88=1,SUM(P88,U88:V88,AA88:AB88,AG88:AH88),
IF(AQ88=2,SUM(Q88:R88,W88:X88,AC88:AD88,AI88:AJ88),
IF(AQ88=3,SUM(S88:T88,Y88:Z88,AE88:AF88,AK88:AL88),
SUM(IFERROR(WEEKDAY($H$2:$AL$2,2)&gt;5,)*H88:AL88))))+Таблица1[[#This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8" s="292" t="b">
        <f>IF(AR88&lt;=3,(IF((G88="5/24"),((база!$M$6*Таблица1[[#This Row],[сумма]]*Таблица1[[#This Row],[коэф]])),
IF((G88="4/24"),((база!$M$5*Таблица1[[#This Row],[сумма]]*Таблица1[[#This Row],[коэф]])),
IF((G88="3/24"),((база!$M$4*Таблица1[[#This Row],[сумма]]*Таблица1[[#This Row],[коэф]])),
IF((G88="5/16"),((база!$L$6*Таблица1[[#This Row],[сумма]]*Таблица1[[#This Row],[коэф]])),
IF((G88="4/16"),((база!$L$5*Таблица1[[#This Row],[сумма]]*Таблица1[[#This Row],[коэф]])),
IF((G88="3/16"),((база!$L$4*Таблица1[[#This Row],[сумма]]*Таблица1[[#This Row],[коэф]])),
IF((G88="4/4"),((база!$I$5*Таблица1[[#This Row],[сумма]]*Таблица1[[#This Row],[коэф]])),
IF(OR(G88="2/4",G88="3/4"),((база!$I$4*Таблица1[[#This Row],[сумма]]*Таблица1[[#This Row],[коэф]])),
IF((G88="5/8"),((база!$J$6*Таблица1[[#This Row],[сумма]]*Таблица1[[#This Row],[коэф]])),
IF((G88="4/8"),((база!$J$5*Таблица1[[#This Row],[сумма]]*Таблица1[[#This Row],[коэф]])),
IF(OR(G88="3/8",G88="2/8"),((база!$J$4*Таблица1[[#This Row],[сумма]]*Таблица1[[#This Row],[коэф]])))))))))))))),
(IF((G88="5/24"),((база!$M$6*Таблица1[[#This Row],[сумма]]*Таблица1[[#This Row],[коэф]])),
IF(OR(G88="4/24",G88="3/24"),((база!$M$5*Таблица1[[#This Row],[сумма]]*Таблица1[[#This Row],[коэф]])),
IF((G88="5/16"),((база!$L$6*Таблица1[[#This Row],[сумма]]*Таблица1[[#This Row],[коэф]])),
IF(OR(G88="4/16",G88="3/16"),((база!$L$5*Таблица1[[#This Row],[сумма]]*Таблица1[[#This Row],[коэф]])),
IF(OR(G88="2/4",G88="3/4",G88="4/4"),((база!$I$5*Таблица1[[#This Row],[сумма]]*Таблица1[[#This Row],[коэф]])),
IF((G88="5/8"),((база!$J$6*Таблица1[[#This Row],[сумма]]*Таблица1[[#This Row],[коэф]])),
IF(OR(G88="4/8",G88="3/8",G88="2/8"),((база!$J$5*Таблица1[[#This Row],[сумма]]*Таблица1[[#This Row],[коэф]])))))))))))</f>
        <v>0</v>
      </c>
      <c r="AP88" s="730" t="b">
        <f>IF(AR88&lt;=3,(IF((G88="5/24"),((база!$M$6*2*Таблица1[[#This Row],[Столбец1]]*Таблица1[[#This Row],[коэф]])),
IF((G88="4/24"),((база!$M$5*2*Таблица1[[#This Row],[Столбец1]]*Таблица1[[#This Row],[коэф]])),
IF((G88="3/24"),((база!$M$4*2*Таблица1[[#This Row],[Столбец1]]*Таблица1[[#This Row],[коэф]])),
IF((G88="5/16"),((база!$L$6*2*Таблица1[[#This Row],[Столбец1]]*Таблица1[[#This Row],[коэф]])),
IF((G88="4/16"),((база!$L$5*2*Таблица1[[#This Row],[Столбец1]]*Таблица1[[#This Row],[коэф]])),
IF((G88="3/16"),((база!$L$4*2*Таблица1[[#This Row],[Столбец1]]*Таблица1[[#This Row],[коэф]])),
IF((G88="4/4"),((база!$I$5*2*Таблица1[[#This Row],[Столбец1]]*Таблица1[[#This Row],[коэф]])),
IF(OR(G88="2/4",G88="3/4"),((база!$I$4*2*Таблица1[[#This Row],[Столбец1]]*Таблица1[[#This Row],[коэф]])),
IF((G88="5/8"),((база!$J$6*2*Таблица1[[#This Row],[Столбец1]]*Таблица1[[#This Row],[коэф]])),
IF((G88="4/8"),((база!$J$5*2*Таблица1[[#This Row],[Столбец1]]*Таблица1[[#This Row],[коэф]])),
IF(OR(G88="3/8",G88="2/8"),((база!$J$4*2*Таблица1[[#This Row],[Столбец1]]*Таблица1[[#This Row],[коэф]])))))))))))))),
(IF((G88="5/24"),((база!$M$6*2*Таблица1[[#This Row],[Столбец1]]*Таблица1[[#This Row],[коэф]])),
IF(OR(G88="4/24",G88="3/24"),((база!$M$5*2*Таблица1[[#This Row],[Столбец1]]*Таблица1[[#This Row],[коэф]])),
IF((G88="5/16"),((база!$L$6*2*Таблица1[[#This Row],[Столбец1]]*Таблица1[[#This Row],[коэф]])),
IF(OR(G88="4/16",G88="3/16"),((база!$L$5*2*Таблица1[[#This Row],[Столбец1]]*Таблица1[[#This Row],[коэф]])),
IF(OR(G88="2/4",G88="3/4",G88="4/4"),((база!$I$5*2*Таблица1[[#This Row],[Столбец1]]*Таблица1[[#This Row],[коэф]])),
IF((G88="5/8"),((база!$J$6*2*Таблица1[[#This Row],[Столбец1]]*Таблица1[[#This Row],[коэф]])),
IF(OR(G88="4/8",G88="3/8",G88="2/8"),((база!$J$5*2*Таблица1[[#This Row],[Столбец1]]*Таблица1[[#This Row],[коэф]])))))))))))</f>
        <v>0</v>
      </c>
      <c r="AQ88" s="712" t="str">
        <f>IFERROR(INDEX(база!T:T, MATCH(F88,база!Q:Q,0)),"")</f>
        <v/>
      </c>
      <c r="AR88" s="208" t="str">
        <f>IFERROR(INDEX(база!D:D, MATCH(F88,база!B:B,0)),"")</f>
        <v/>
      </c>
      <c r="AS88" s="758" t="str">
        <f>IFERROR(INDEX(база!E:E, MATCH(F88,база!B:B,0)),"")</f>
        <v/>
      </c>
    </row>
    <row r="89" spans="1:45" ht="15">
      <c r="A89" s="1068" t="str">
        <f t="shared" ref="A89:A120" si="3">A88</f>
        <v>январь</v>
      </c>
      <c r="B89" t="n" s="1068">
        <v>2024.0</v>
      </c>
      <c r="C89" t="s" s="1068">
        <v>387</v>
      </c>
      <c r="D89" t="s" s="1068">
        <v>395</v>
      </c>
      <c r="E89" t="s" s="1068">
        <v>398</v>
      </c>
      <c r="F89" t="s" s="1068">
        <v>356</v>
      </c>
      <c r="G89" t="s" s="1068">
        <v>31</v>
      </c>
      <c r="H89" s="1068"/>
      <c r="I89" s="1068"/>
      <c r="J89" s="1068"/>
      <c r="K89" s="1068"/>
      <c r="L89" s="1068"/>
      <c r="M89" s="1068"/>
      <c r="N89" s="1068"/>
      <c r="O89" s="1068"/>
      <c r="P89" t="n" s="1068">
        <v>7.2</v>
      </c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B89" s="48"/>
      <c r="AC89" s="48"/>
      <c r="AD89" s="48"/>
      <c r="AE89" s="48"/>
      <c r="AF89" s="48"/>
      <c r="AG89" s="48"/>
      <c r="AH89" s="48"/>
      <c r="AI89" s="48"/>
      <c r="AJ89" s="48"/>
      <c r="AK89" s="48"/>
      <c r="AL89" s="51"/>
      <c r="AM89" s="212">
        <f>IF(AQ89=1,SUM(Q89:T89,W89:Z89,AC89:AF89,AI89:AL89),
IF(AQ89=2,SUM(P89,S89:V89,Y89:AB89,AE89:AH89,AK89:AL89),
IF(AQ89=3,SUM(P89:R89,U89:X89,AA89:AD89,AG89:AJ89),SUM(Таблица1[[#This Row],[1]:[31]])-Таблица1[[#This Row],[Столбец1]])))</f>
        <v>0</v>
      </c>
      <c r="AN89" s="778">
        <f t="array" ref="AN89">IF(AQ89=1,SUM(P89,U89:V89,AA89:AB89,AG89:AH89),
IF(AQ89=2,SUM(Q89:R89,W89:X89,AC89:AD89,AI89:AJ89),
IF(AQ89=3,SUM(S89:T89,Y89:Z89,AE89:AF89,AK89:AL89),
SUM(IFERROR(WEEKDAY($H$2:$AL$2,2)&gt;5,)*H89:AL89))))+Таблица1[[#This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9" s="292" t="b">
        <f>IF(AR89&lt;=3,(IF((G89="5/24"),((база!$M$6*Таблица1[[#This Row],[сумма]]*Таблица1[[#This Row],[коэф]])),
IF((G89="4/24"),((база!$M$5*Таблица1[[#This Row],[сумма]]*Таблица1[[#This Row],[коэф]])),
IF((G89="3/24"),((база!$M$4*Таблица1[[#This Row],[сумма]]*Таблица1[[#This Row],[коэф]])),
IF((G89="5/16"),((база!$L$6*Таблица1[[#This Row],[сумма]]*Таблица1[[#This Row],[коэф]])),
IF((G89="4/16"),((база!$L$5*Таблица1[[#This Row],[сумма]]*Таблица1[[#This Row],[коэф]])),
IF((G89="3/16"),((база!$L$4*Таблица1[[#This Row],[сумма]]*Таблица1[[#This Row],[коэф]])),
IF((G89="4/4"),((база!$I$5*Таблица1[[#This Row],[сумма]]*Таблица1[[#This Row],[коэф]])),
IF(OR(G89="2/4",G89="3/4"),((база!$I$4*Таблица1[[#This Row],[сумма]]*Таблица1[[#This Row],[коэф]])),
IF((G89="5/8"),((база!$J$6*Таблица1[[#This Row],[сумма]]*Таблица1[[#This Row],[коэф]])),
IF((G89="4/8"),((база!$J$5*Таблица1[[#This Row],[сумма]]*Таблица1[[#This Row],[коэф]])),
IF(OR(G89="3/8",G89="2/8"),((база!$J$4*Таблица1[[#This Row],[сумма]]*Таблица1[[#This Row],[коэф]])))))))))))))),
(IF((G89="5/24"),((база!$M$6*Таблица1[[#This Row],[сумма]]*Таблица1[[#This Row],[коэф]])),
IF(OR(G89="4/24",G89="3/24"),((база!$M$5*Таблица1[[#This Row],[сумма]]*Таблица1[[#This Row],[коэф]])),
IF((G89="5/16"),((база!$L$6*Таблица1[[#This Row],[сумма]]*Таблица1[[#This Row],[коэф]])),
IF(OR(G89="4/16",G89="3/16"),((база!$L$5*Таблица1[[#This Row],[сумма]]*Таблица1[[#This Row],[коэф]])),
IF(OR(G89="2/4",G89="3/4",G89="4/4"),((база!$I$5*Таблица1[[#This Row],[сумма]]*Таблица1[[#This Row],[коэф]])),
IF((G89="5/8"),((база!$J$6*Таблица1[[#This Row],[сумма]]*Таблица1[[#This Row],[коэф]])),
IF(OR(G89="4/8",G89="3/8",G89="2/8"),((база!$J$5*Таблица1[[#This Row],[сумма]]*Таблица1[[#This Row],[коэф]])))))))))))</f>
        <v>0</v>
      </c>
      <c r="AP89" s="730" t="b">
        <f>IF(AR89&lt;=3,(IF((G89="5/24"),((база!$M$6*2*Таблица1[[#This Row],[Столбец1]]*Таблица1[[#This Row],[коэф]])),
IF((G89="4/24"),((база!$M$5*2*Таблица1[[#This Row],[Столбец1]]*Таблица1[[#This Row],[коэф]])),
IF((G89="3/24"),((база!$M$4*2*Таблица1[[#This Row],[Столбец1]]*Таблица1[[#This Row],[коэф]])),
IF((G89="5/16"),((база!$L$6*2*Таблица1[[#This Row],[Столбец1]]*Таблица1[[#This Row],[коэф]])),
IF((G89="4/16"),((база!$L$5*2*Таблица1[[#This Row],[Столбец1]]*Таблица1[[#This Row],[коэф]])),
IF((G89="3/16"),((база!$L$4*2*Таблица1[[#This Row],[Столбец1]]*Таблица1[[#This Row],[коэф]])),
IF((G89="4/4"),((база!$I$5*2*Таблица1[[#This Row],[Столбец1]]*Таблица1[[#This Row],[коэф]])),
IF(OR(G89="2/4",G89="3/4"),((база!$I$4*2*Таблица1[[#This Row],[Столбец1]]*Таблица1[[#This Row],[коэф]])),
IF((G89="5/8"),((база!$J$6*2*Таблица1[[#This Row],[Столбец1]]*Таблица1[[#This Row],[коэф]])),
IF((G89="4/8"),((база!$J$5*2*Таблица1[[#This Row],[Столбец1]]*Таблица1[[#This Row],[коэф]])),
IF(OR(G89="3/8",G89="2/8"),((база!$J$4*2*Таблица1[[#This Row],[Столбец1]]*Таблица1[[#This Row],[коэф]])))))))))))))),
(IF((G89="5/24"),((база!$M$6*2*Таблица1[[#This Row],[Столбец1]]*Таблица1[[#This Row],[коэф]])),
IF(OR(G89="4/24",G89="3/24"),((база!$M$5*2*Таблица1[[#This Row],[Столбец1]]*Таблица1[[#This Row],[коэф]])),
IF((G89="5/16"),((база!$L$6*2*Таблица1[[#This Row],[Столбец1]]*Таблица1[[#This Row],[коэф]])),
IF(OR(G89="4/16",G89="3/16"),((база!$L$5*2*Таблица1[[#This Row],[Столбец1]]*Таблица1[[#This Row],[коэф]])),
IF(OR(G89="2/4",G89="3/4",G89="4/4"),((база!$I$5*2*Таблица1[[#This Row],[Столбец1]]*Таблица1[[#This Row],[коэф]])),
IF((G89="5/8"),((база!$J$6*2*Таблица1[[#This Row],[Столбец1]]*Таблица1[[#This Row],[коэф]])),
IF(OR(G89="4/8",G89="3/8",G89="2/8"),((база!$J$5*2*Таблица1[[#This Row],[Столбец1]]*Таблица1[[#This Row],[коэф]])))))))))))</f>
        <v>0</v>
      </c>
      <c r="AQ89" s="712" t="str">
        <f>IFERROR(INDEX(база!T:T, MATCH(F89,база!Q:Q,0)),"")</f>
        <v/>
      </c>
      <c r="AR89" s="208" t="str">
        <f>IFERROR(INDEX(база!D:D, MATCH(F89,база!B:B,0)),"")</f>
        <v/>
      </c>
      <c r="AS89" s="758" t="str">
        <f>IFERROR(INDEX(база!E:E, MATCH(F89,база!B:B,0)),"")</f>
        <v/>
      </c>
    </row>
    <row r="90" spans="1:45" ht="15">
      <c r="A90" s="1070" t="str">
        <f t="shared" si="3"/>
        <v>январь</v>
      </c>
      <c r="B90" t="n" s="1070">
        <v>2024.0</v>
      </c>
      <c r="C90" t="s" s="1070">
        <v>388</v>
      </c>
      <c r="D90" t="s" s="1070">
        <v>365</v>
      </c>
      <c r="E90" t="s" s="1070">
        <v>46</v>
      </c>
      <c r="F90" t="s" s="1070">
        <v>325</v>
      </c>
      <c r="G90" t="s" s="1070">
        <v>6</v>
      </c>
      <c r="H90" s="1070"/>
      <c r="I90" s="1070"/>
      <c r="J90" s="1070"/>
      <c r="K90" s="1070"/>
      <c r="L90" s="1070"/>
      <c r="M90" s="1070"/>
      <c r="N90" s="1070"/>
      <c r="O90" s="1070"/>
      <c r="P90" t="n" s="1070">
        <v>7.2</v>
      </c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B90" s="48"/>
      <c r="AC90" s="48"/>
      <c r="AD90" s="48"/>
      <c r="AE90" s="48"/>
      <c r="AF90" s="48"/>
      <c r="AG90" s="48"/>
      <c r="AH90" s="48"/>
      <c r="AI90" s="48"/>
      <c r="AJ90" s="48"/>
      <c r="AK90" s="48"/>
      <c r="AL90" s="51"/>
      <c r="AM90" s="212">
        <f>IF(AQ90=1,SUM(Q90:T90,W90:Z90,AC90:AF90,AI90:AL90),
IF(AQ90=2,SUM(P90,S90:V90,Y90:AB90,AE90:AH90,AK90:AL90),
IF(AQ90=3,SUM(P90:R90,U90:X90,AA90:AD90,AG90:AJ90),SUM(Таблица1[[#This Row],[1]:[31]])-Таблица1[[#This Row],[Столбец1]])))</f>
        <v>0</v>
      </c>
      <c r="AN90" s="778">
        <f t="array" ref="AN90">IF(AQ90=1,SUM(P90,U90:V90,AA90:AB90,AG90:AH90),
IF(AQ90=2,SUM(Q90:R90,W90:X90,AC90:AD90,AI90:AJ90),
IF(AQ90=3,SUM(S90:T90,Y90:Z90,AE90:AF90,AK90:AL90),
SUM(IFERROR(WEEKDAY($H$2:$AL$2,2)&gt;5,)*H90:AL90))))+Таблица1[[#This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90" s="292" t="b">
        <f>IF(AR90&lt;=3,(IF((G90="5/24"),((база!$M$6*Таблица1[[#This Row],[сумма]]*Таблица1[[#This Row],[коэф]])),
IF((G90="4/24"),((база!$M$5*Таблица1[[#This Row],[сумма]]*Таблица1[[#This Row],[коэф]])),
IF((G90="3/24"),((база!$M$4*Таблица1[[#This Row],[сумма]]*Таблица1[[#This Row],[коэф]])),
IF((G90="5/16"),((база!$L$6*Таблица1[[#This Row],[сумма]]*Таблица1[[#This Row],[коэф]])),
IF((G90="4/16"),((база!$L$5*Таблица1[[#This Row],[сумма]]*Таблица1[[#This Row],[коэф]])),
IF((G90="3/16"),((база!$L$4*Таблица1[[#This Row],[сумма]]*Таблица1[[#This Row],[коэф]])),
IF((G90="4/4"),((база!$I$5*Таблица1[[#This Row],[сумма]]*Таблица1[[#This Row],[коэф]])),
IF(OR(G90="2/4",G90="3/4"),((база!$I$4*Таблица1[[#This Row],[сумма]]*Таблица1[[#This Row],[коэф]])),
IF((G90="5/8"),((база!$J$6*Таблица1[[#This Row],[сумма]]*Таблица1[[#This Row],[коэф]])),
IF((G90="4/8"),((база!$J$5*Таблица1[[#This Row],[сумма]]*Таблица1[[#This Row],[коэф]])),
IF(OR(G90="3/8",G90="2/8"),((база!$J$4*Таблица1[[#This Row],[сумма]]*Таблица1[[#This Row],[коэф]])))))))))))))),
(IF((G90="5/24"),((база!$M$6*Таблица1[[#This Row],[сумма]]*Таблица1[[#This Row],[коэф]])),
IF(OR(G90="4/24",G90="3/24"),((база!$M$5*Таблица1[[#This Row],[сумма]]*Таблица1[[#This Row],[коэф]])),
IF((G90="5/16"),((база!$L$6*Таблица1[[#This Row],[сумма]]*Таблица1[[#This Row],[коэф]])),
IF(OR(G90="4/16",G90="3/16"),((база!$L$5*Таблица1[[#This Row],[сумма]]*Таблица1[[#This Row],[коэф]])),
IF(OR(G90="2/4",G90="3/4",G90="4/4"),((база!$I$5*Таблица1[[#This Row],[сумма]]*Таблица1[[#This Row],[коэф]])),
IF((G90="5/8"),((база!$J$6*Таблица1[[#This Row],[сумма]]*Таблица1[[#This Row],[коэф]])),
IF(OR(G90="4/8",G90="3/8",G90="2/8"),((база!$J$5*Таблица1[[#This Row],[сумма]]*Таблица1[[#This Row],[коэф]])))))))))))</f>
        <v>0</v>
      </c>
      <c r="AP90" s="730" t="b">
        <f>IF(AR90&lt;=3,(IF((G90="5/24"),((база!$M$6*2*Таблица1[[#This Row],[Столбец1]]*Таблица1[[#This Row],[коэф]])),
IF((G90="4/24"),((база!$M$5*2*Таблица1[[#This Row],[Столбец1]]*Таблица1[[#This Row],[коэф]])),
IF((G90="3/24"),((база!$M$4*2*Таблица1[[#This Row],[Столбец1]]*Таблица1[[#This Row],[коэф]])),
IF((G90="5/16"),((база!$L$6*2*Таблица1[[#This Row],[Столбец1]]*Таблица1[[#This Row],[коэф]])),
IF((G90="4/16"),((база!$L$5*2*Таблица1[[#This Row],[Столбец1]]*Таблица1[[#This Row],[коэф]])),
IF((G90="3/16"),((база!$L$4*2*Таблица1[[#This Row],[Столбец1]]*Таблица1[[#This Row],[коэф]])),
IF((G90="4/4"),((база!$I$5*2*Таблица1[[#This Row],[Столбец1]]*Таблица1[[#This Row],[коэф]])),
IF(OR(G90="2/4",G90="3/4"),((база!$I$4*2*Таблица1[[#This Row],[Столбец1]]*Таблица1[[#This Row],[коэф]])),
IF((G90="5/8"),((база!$J$6*2*Таблица1[[#This Row],[Столбец1]]*Таблица1[[#This Row],[коэф]])),
IF((G90="4/8"),((база!$J$5*2*Таблица1[[#This Row],[Столбец1]]*Таблица1[[#This Row],[коэф]])),
IF(OR(G90="3/8",G90="2/8"),((база!$J$4*2*Таблица1[[#This Row],[Столбец1]]*Таблица1[[#This Row],[коэф]])))))))))))))),
(IF((G90="5/24"),((база!$M$6*2*Таблица1[[#This Row],[Столбец1]]*Таблица1[[#This Row],[коэф]])),
IF(OR(G90="4/24",G90="3/24"),((база!$M$5*2*Таблица1[[#This Row],[Столбец1]]*Таблица1[[#This Row],[коэф]])),
IF((G90="5/16"),((база!$L$6*2*Таблица1[[#This Row],[Столбец1]]*Таблица1[[#This Row],[коэф]])),
IF(OR(G90="4/16",G90="3/16"),((база!$L$5*2*Таблица1[[#This Row],[Столбец1]]*Таблица1[[#This Row],[коэф]])),
IF(OR(G90="2/4",G90="3/4",G90="4/4"),((база!$I$5*2*Таблица1[[#This Row],[Столбец1]]*Таблица1[[#This Row],[коэф]])),
IF((G90="5/8"),((база!$J$6*2*Таблица1[[#This Row],[Столбец1]]*Таблица1[[#This Row],[коэф]])),
IF(OR(G90="4/8",G90="3/8",G90="2/8"),((база!$J$5*2*Таблица1[[#This Row],[Столбец1]]*Таблица1[[#This Row],[коэф]])))))))))))</f>
        <v>0</v>
      </c>
      <c r="AQ90" s="712" t="str">
        <f>IFERROR(INDEX(база!T:T, MATCH(F90,база!Q:Q,0)),"")</f>
        <v/>
      </c>
      <c r="AR90" s="208" t="str">
        <f>IFERROR(INDEX(база!D:D, MATCH(F90,база!B:B,0)),"")</f>
        <v/>
      </c>
      <c r="AS90" s="758" t="str">
        <f>IFERROR(INDEX(база!E:E, MATCH(F90,база!B:B,0)),"")</f>
        <v/>
      </c>
    </row>
    <row r="91" spans="1:45" ht="15">
      <c r="A91" s="1073" t="str">
        <f t="shared" si="3"/>
        <v>январь</v>
      </c>
      <c r="B91" t="n" s="1073">
        <v>2024.0</v>
      </c>
      <c r="C91" t="s" s="1073">
        <v>386</v>
      </c>
      <c r="D91" t="s" s="1073">
        <v>364</v>
      </c>
      <c r="E91" t="s" s="1073">
        <v>393</v>
      </c>
      <c r="F91" t="s" s="1073">
        <v>251</v>
      </c>
      <c r="G91" t="s" s="1073">
        <v>4</v>
      </c>
      <c r="H91" s="1073"/>
      <c r="I91" s="1073"/>
      <c r="J91" s="1073"/>
      <c r="K91" s="1073"/>
      <c r="L91" s="1073"/>
      <c r="M91" s="1073"/>
      <c r="N91" s="1073"/>
      <c r="O91" s="1073"/>
      <c r="P91" t="n" s="1073">
        <v>7.2</v>
      </c>
      <c r="Q91" t="n" s="46">
        <v>7.2</v>
      </c>
      <c r="R91" s="48"/>
      <c r="S91" s="48"/>
      <c r="T91" s="48"/>
      <c r="U91" s="48"/>
      <c r="V91" s="48"/>
      <c r="W91" s="48"/>
      <c r="X91" s="48"/>
      <c r="Y91" s="48"/>
      <c r="Z91" s="48"/>
      <c r="AA91" s="48"/>
      <c r="AB91" s="48"/>
      <c r="AC91" s="48"/>
      <c r="AD91" s="48"/>
      <c r="AE91" s="48"/>
      <c r="AF91" s="48"/>
      <c r="AG91" s="48"/>
      <c r="AH91" s="48"/>
      <c r="AI91" s="48"/>
      <c r="AJ91" s="48"/>
      <c r="AK91" s="48"/>
      <c r="AL91" s="51"/>
      <c r="AM91" s="212">
        <f>IF(AQ91=1,SUM(Q91:T91,W91:Z91,AC91:AF91,AI91:AL91),
IF(AQ91=2,SUM(P91,S91:V91,Y91:AB91,AE91:AH91,AK91:AL91),
IF(AQ91=3,SUM(P91:R91,U91:X91,AA91:AD91,AG91:AJ91),SUM(Таблица1[[#This Row],[1]:[31]])-Таблица1[[#This Row],[Столбец1]])))</f>
        <v>0</v>
      </c>
      <c r="AN91" s="778">
        <f t="array" ref="AN91">IF(AQ91=1,SUM(P91,U91:V91,AA91:AB91,AG91:AH91),
IF(AQ91=2,SUM(Q91:R91,W91:X91,AC91:AD91,AI91:AJ91),
IF(AQ91=3,SUM(S91:T91,Y91:Z91,AE91:AF91,AK91:AL91),
SUM(IFERROR(WEEKDAY($H$2:$AL$2,2)&gt;5,)*H91:AL91))))+Таблица1[[#This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91" s="292" t="b">
        <f>IF(AR91&lt;=3,(IF((G91="5/24"),((база!$M$6*Таблица1[[#This Row],[сумма]]*Таблица1[[#This Row],[коэф]])),
IF((G91="4/24"),((база!$M$5*Таблица1[[#This Row],[сумма]]*Таблица1[[#This Row],[коэф]])),
IF((G91="3/24"),((база!$M$4*Таблица1[[#This Row],[сумма]]*Таблица1[[#This Row],[коэф]])),
IF((G91="5/16"),((база!$L$6*Таблица1[[#This Row],[сумма]]*Таблица1[[#This Row],[коэф]])),
IF((G91="4/16"),((база!$L$5*Таблица1[[#This Row],[сумма]]*Таблица1[[#This Row],[коэф]])),
IF((G91="3/16"),((база!$L$4*Таблица1[[#This Row],[сумма]]*Таблица1[[#This Row],[коэф]])),
IF((G91="4/4"),((база!$I$5*Таблица1[[#This Row],[сумма]]*Таблица1[[#This Row],[коэф]])),
IF(OR(G91="2/4",G91="3/4"),((база!$I$4*Таблица1[[#This Row],[сумма]]*Таблица1[[#This Row],[коэф]])),
IF((G91="5/8"),((база!$J$6*Таблица1[[#This Row],[сумма]]*Таблица1[[#This Row],[коэф]])),
IF((G91="4/8"),((база!$J$5*Таблица1[[#This Row],[сумма]]*Таблица1[[#This Row],[коэф]])),
IF(OR(G91="3/8",G91="2/8"),((база!$J$4*Таблица1[[#This Row],[сумма]]*Таблица1[[#This Row],[коэф]])))))))))))))),
(IF((G91="5/24"),((база!$M$6*Таблица1[[#This Row],[сумма]]*Таблица1[[#This Row],[коэф]])),
IF(OR(G91="4/24",G91="3/24"),((база!$M$5*Таблица1[[#This Row],[сумма]]*Таблица1[[#This Row],[коэф]])),
IF((G91="5/16"),((база!$L$6*Таблица1[[#This Row],[сумма]]*Таблица1[[#This Row],[коэф]])),
IF(OR(G91="4/16",G91="3/16"),((база!$L$5*Таблица1[[#This Row],[сумма]]*Таблица1[[#This Row],[коэф]])),
IF(OR(G91="2/4",G91="3/4",G91="4/4"),((база!$I$5*Таблица1[[#This Row],[сумма]]*Таблица1[[#This Row],[коэф]])),
IF((G91="5/8"),((база!$J$6*Таблица1[[#This Row],[сумма]]*Таблица1[[#This Row],[коэф]])),
IF(OR(G91="4/8",G91="3/8",G91="2/8"),((база!$J$5*Таблица1[[#This Row],[сумма]]*Таблица1[[#This Row],[коэф]])))))))))))</f>
        <v>0</v>
      </c>
      <c r="AP91" s="730" t="b">
        <f>IF(AR91&lt;=3,(IF((G91="5/24"),((база!$M$6*2*Таблица1[[#This Row],[Столбец1]]*Таблица1[[#This Row],[коэф]])),
IF((G91="4/24"),((база!$M$5*2*Таблица1[[#This Row],[Столбец1]]*Таблица1[[#This Row],[коэф]])),
IF((G91="3/24"),((база!$M$4*2*Таблица1[[#This Row],[Столбец1]]*Таблица1[[#This Row],[коэф]])),
IF((G91="5/16"),((база!$L$6*2*Таблица1[[#This Row],[Столбец1]]*Таблица1[[#This Row],[коэф]])),
IF((G91="4/16"),((база!$L$5*2*Таблица1[[#This Row],[Столбец1]]*Таблица1[[#This Row],[коэф]])),
IF((G91="3/16"),((база!$L$4*2*Таблица1[[#This Row],[Столбец1]]*Таблица1[[#This Row],[коэф]])),
IF((G91="4/4"),((база!$I$5*2*Таблица1[[#This Row],[Столбец1]]*Таблица1[[#This Row],[коэф]])),
IF(OR(G91="2/4",G91="3/4"),((база!$I$4*2*Таблица1[[#This Row],[Столбец1]]*Таблица1[[#This Row],[коэф]])),
IF((G91="5/8"),((база!$J$6*2*Таблица1[[#This Row],[Столбец1]]*Таблица1[[#This Row],[коэф]])),
IF((G91="4/8"),((база!$J$5*2*Таблица1[[#This Row],[Столбец1]]*Таблица1[[#This Row],[коэф]])),
IF(OR(G91="3/8",G91="2/8"),((база!$J$4*2*Таблица1[[#This Row],[Столбец1]]*Таблица1[[#This Row],[коэф]])))))))))))))),
(IF((G91="5/24"),((база!$M$6*2*Таблица1[[#This Row],[Столбец1]]*Таблица1[[#This Row],[коэф]])),
IF(OR(G91="4/24",G91="3/24"),((база!$M$5*2*Таблица1[[#This Row],[Столбец1]]*Таблица1[[#This Row],[коэф]])),
IF((G91="5/16"),((база!$L$6*2*Таблица1[[#This Row],[Столбец1]]*Таблица1[[#This Row],[коэф]])),
IF(OR(G91="4/16",G91="3/16"),((база!$L$5*2*Таблица1[[#This Row],[Столбец1]]*Таблица1[[#This Row],[коэф]])),
IF(OR(G91="2/4",G91="3/4",G91="4/4"),((база!$I$5*2*Таблица1[[#This Row],[Столбец1]]*Таблица1[[#This Row],[коэф]])),
IF((G91="5/8"),((база!$J$6*2*Таблица1[[#This Row],[Столбец1]]*Таблица1[[#This Row],[коэф]])),
IF(OR(G91="4/8",G91="3/8",G91="2/8"),((база!$J$5*2*Таблица1[[#This Row],[Столбец1]]*Таблица1[[#This Row],[коэф]])))))))))))</f>
        <v>0</v>
      </c>
      <c r="AQ91" s="712" t="str">
        <f>IFERROR(INDEX(база!T:T, MATCH(F91,база!Q:Q,0)),"")</f>
        <v/>
      </c>
      <c r="AR91" s="208" t="str">
        <f>IFERROR(INDEX(база!D:D, MATCH(F91,база!B:B,0)),"")</f>
        <v/>
      </c>
      <c r="AS91" s="758" t="str">
        <f>IFERROR(INDEX(база!E:E, MATCH(F91,база!B:B,0)),"")</f>
        <v/>
      </c>
    </row>
    <row r="92" spans="1:45" ht="15.75" customHeight="1">
      <c r="A92" s="1076" t="str">
        <f t="shared" si="3"/>
        <v>январь</v>
      </c>
      <c r="B92" t="n" s="1076">
        <v>2024.0</v>
      </c>
      <c r="C92" t="s" s="1076">
        <v>386</v>
      </c>
      <c r="D92" t="s" s="1076">
        <v>365</v>
      </c>
      <c r="E92" t="s" s="1076">
        <v>389</v>
      </c>
      <c r="F92" t="s" s="1076">
        <v>271</v>
      </c>
      <c r="G92" t="s" s="1076">
        <v>5</v>
      </c>
      <c r="H92" s="1076"/>
      <c r="I92" s="1076"/>
      <c r="J92" s="1076"/>
      <c r="K92" s="1076"/>
      <c r="L92" s="1076"/>
      <c r="M92" s="1076"/>
      <c r="N92" s="1076"/>
      <c r="O92" s="1076"/>
      <c r="P92" t="n" s="1076">
        <v>1.0</v>
      </c>
      <c r="Q92" s="48"/>
      <c r="R92" s="48"/>
      <c r="S92" s="48"/>
      <c r="T92" s="48"/>
      <c r="U92" t="n" s="46">
        <v>2.0</v>
      </c>
      <c r="V92" s="48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48"/>
      <c r="AH92" s="48"/>
      <c r="AI92" s="48"/>
      <c r="AJ92" s="48"/>
      <c r="AK92" s="48"/>
      <c r="AL92" s="51"/>
      <c r="AM92" s="212">
        <f>IF(AQ92=1,SUM(Q92:T92,W92:Z92,AC92:AF92,AI92:AL92),
IF(AQ92=2,SUM(P92,S92:V92,Y92:AB92,AE92:AH92,AK92:AL92),
IF(AQ92=3,SUM(P92:R92,U92:X92,AA92:AD92,AG92:AJ92),SUM(Таблица1[[#This Row],[1]:[31]])-Таблица1[[#This Row],[Столбец1]])))</f>
        <v>0</v>
      </c>
      <c r="AN92" s="778">
        <f t="array" ref="AN92">IF(AQ92=1,SUM(P92,U92:V92,AA92:AB92,AG92:AH92),
IF(AQ92=2,SUM(Q92:R92,W92:X92,AC92:AD92,AI92:AJ92),
IF(AQ92=3,SUM(S92:T92,Y92:Z92,AE92:AF92,AK92:AL92),
SUM(IFERROR(WEEKDAY($H$2:$AL$2,2)&gt;5,)*H92:AL92))))+Таблица1[[#This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92" s="292" t="b">
        <f>IF(AR92&lt;=3,(IF((G92="5/24"),((база!$M$6*Таблица1[[#This Row],[сумма]]*Таблица1[[#This Row],[коэф]])),
IF((G92="4/24"),((база!$M$5*Таблица1[[#This Row],[сумма]]*Таблица1[[#This Row],[коэф]])),
IF((G92="3/24"),((база!$M$4*Таблица1[[#This Row],[сумма]]*Таблица1[[#This Row],[коэф]])),
IF((G92="5/16"),((база!$L$6*Таблица1[[#This Row],[сумма]]*Таблица1[[#This Row],[коэф]])),
IF((G92="4/16"),((база!$L$5*Таблица1[[#This Row],[сумма]]*Таблица1[[#This Row],[коэф]])),
IF((G92="3/16"),((база!$L$4*Таблица1[[#This Row],[сумма]]*Таблица1[[#This Row],[коэф]])),
IF((G92="4/4"),((база!$I$5*Таблица1[[#This Row],[сумма]]*Таблица1[[#This Row],[коэф]])),
IF(OR(G92="2/4",G92="3/4"),((база!$I$4*Таблица1[[#This Row],[сумма]]*Таблица1[[#This Row],[коэф]])),
IF((G92="5/8"),((база!$J$6*Таблица1[[#This Row],[сумма]]*Таблица1[[#This Row],[коэф]])),
IF((G92="4/8"),((база!$J$5*Таблица1[[#This Row],[сумма]]*Таблица1[[#This Row],[коэф]])),
IF(OR(G92="3/8",G92="2/8"),((база!$J$4*Таблица1[[#This Row],[сумма]]*Таблица1[[#This Row],[коэф]])))))))))))))),
(IF((G92="5/24"),((база!$M$6*Таблица1[[#This Row],[сумма]]*Таблица1[[#This Row],[коэф]])),
IF(OR(G92="4/24",G92="3/24"),((база!$M$5*Таблица1[[#This Row],[сумма]]*Таблица1[[#This Row],[коэф]])),
IF((G92="5/16"),((база!$L$6*Таблица1[[#This Row],[сумма]]*Таблица1[[#This Row],[коэф]])),
IF(OR(G92="4/16",G92="3/16"),((база!$L$5*Таблица1[[#This Row],[сумма]]*Таблица1[[#This Row],[коэф]])),
IF(OR(G92="2/4",G92="3/4",G92="4/4"),((база!$I$5*Таблица1[[#This Row],[сумма]]*Таблица1[[#This Row],[коэф]])),
IF((G92="5/8"),((база!$J$6*Таблица1[[#This Row],[сумма]]*Таблица1[[#This Row],[коэф]])),
IF(OR(G92="4/8",G92="3/8",G92="2/8"),((база!$J$5*Таблица1[[#This Row],[сумма]]*Таблица1[[#This Row],[коэф]])))))))))))</f>
        <v>0</v>
      </c>
      <c r="AP92" s="730" t="b">
        <f>IF(AR92&lt;=3,(IF((G92="5/24"),((база!$M$6*2*Таблица1[[#This Row],[Столбец1]]*Таблица1[[#This Row],[коэф]])),
IF((G92="4/24"),((база!$M$5*2*Таблица1[[#This Row],[Столбец1]]*Таблица1[[#This Row],[коэф]])),
IF((G92="3/24"),((база!$M$4*2*Таблица1[[#This Row],[Столбец1]]*Таблица1[[#This Row],[коэф]])),
IF((G92="5/16"),((база!$L$6*2*Таблица1[[#This Row],[Столбец1]]*Таблица1[[#This Row],[коэф]])),
IF((G92="4/16"),((база!$L$5*2*Таблица1[[#This Row],[Столбец1]]*Таблица1[[#This Row],[коэф]])),
IF((G92="3/16"),((база!$L$4*2*Таблица1[[#This Row],[Столбец1]]*Таблица1[[#This Row],[коэф]])),
IF((G92="4/4"),((база!$I$5*2*Таблица1[[#This Row],[Столбец1]]*Таблица1[[#This Row],[коэф]])),
IF(OR(G92="2/4",G92="3/4"),((база!$I$4*2*Таблица1[[#This Row],[Столбец1]]*Таблица1[[#This Row],[коэф]])),
IF((G92="5/8"),((база!$J$6*2*Таблица1[[#This Row],[Столбец1]]*Таблица1[[#This Row],[коэф]])),
IF((G92="4/8"),((база!$J$5*2*Таблица1[[#This Row],[Столбец1]]*Таблица1[[#This Row],[коэф]])),
IF(OR(G92="3/8",G92="2/8"),((база!$J$4*2*Таблица1[[#This Row],[Столбец1]]*Таблица1[[#This Row],[коэф]])))))))))))))),
(IF((G92="5/24"),((база!$M$6*2*Таблица1[[#This Row],[Столбец1]]*Таблица1[[#This Row],[коэф]])),
IF(OR(G92="4/24",G92="3/24"),((база!$M$5*2*Таблица1[[#This Row],[Столбец1]]*Таблица1[[#This Row],[коэф]])),
IF((G92="5/16"),((база!$L$6*2*Таблица1[[#This Row],[Столбец1]]*Таблица1[[#This Row],[коэф]])),
IF(OR(G92="4/16",G92="3/16"),((база!$L$5*2*Таблица1[[#This Row],[Столбец1]]*Таблица1[[#This Row],[коэф]])),
IF(OR(G92="2/4",G92="3/4",G92="4/4"),((база!$I$5*2*Таблица1[[#This Row],[Столбец1]]*Таблица1[[#This Row],[коэф]])),
IF((G92="5/8"),((база!$J$6*2*Таблица1[[#This Row],[Столбец1]]*Таблица1[[#This Row],[коэф]])),
IF(OR(G92="4/8",G92="3/8",G92="2/8"),((база!$J$5*2*Таблица1[[#This Row],[Столбец1]]*Таблица1[[#This Row],[коэф]])))))))))))</f>
        <v>0</v>
      </c>
      <c r="AQ92" s="712" t="str">
        <f>IFERROR(INDEX(база!T:T, MATCH(F92,база!Q:Q,0)),"")</f>
        <v/>
      </c>
      <c r="AR92" s="208" t="str">
        <f>IFERROR(INDEX(база!D:D, MATCH(F92,база!B:B,0)),"")</f>
        <v/>
      </c>
      <c r="AS92" s="758" t="str">
        <f>IFERROR(INDEX(база!E:E, MATCH(F92,база!B:B,0)),"")</f>
        <v/>
      </c>
    </row>
    <row r="93" spans="1:45" ht="15.75" customHeight="1">
      <c r="A93" s="1077" t="str">
        <f t="shared" si="3"/>
        <v>январь</v>
      </c>
      <c r="B93" t="n" s="1077">
        <v>2024.0</v>
      </c>
      <c r="C93" t="s" s="1077">
        <v>386</v>
      </c>
      <c r="D93" t="s" s="1077">
        <v>364</v>
      </c>
      <c r="E93" t="s" s="1077">
        <v>389</v>
      </c>
      <c r="F93" t="s" s="1077">
        <v>257</v>
      </c>
      <c r="G93" t="s" s="1077">
        <v>5</v>
      </c>
      <c r="H93" s="1077"/>
      <c r="I93" s="1077"/>
      <c r="J93" s="1077"/>
      <c r="K93" s="1077"/>
      <c r="L93" s="1077"/>
      <c r="M93" s="1077"/>
      <c r="N93" s="1077"/>
      <c r="O93" s="1077"/>
      <c r="P93" t="n" s="1077">
        <v>5.2</v>
      </c>
      <c r="Q93" s="563"/>
      <c r="R93" s="563"/>
      <c r="S93" s="563"/>
      <c r="T93" s="563"/>
      <c r="U93" s="563"/>
      <c r="V93" s="563"/>
      <c r="W93" s="563"/>
      <c r="X93" s="563"/>
      <c r="Y93" s="48"/>
      <c r="Z93" s="48"/>
      <c r="AA93" s="48"/>
      <c r="AB93" s="48"/>
      <c r="AC93" s="48"/>
      <c r="AD93" s="48"/>
      <c r="AE93" s="48"/>
      <c r="AF93" s="48"/>
      <c r="AG93" s="48"/>
      <c r="AH93" s="48"/>
      <c r="AI93" s="48"/>
      <c r="AJ93" s="48"/>
      <c r="AK93" s="48"/>
      <c r="AL93" s="51"/>
      <c r="AM93" s="212">
        <f>IF(AQ93=1,SUM(Q93:T93,W93:Z93,AC93:AF93,AI93:AL93),
IF(AQ93=2,SUM(P93,S93:V93,Y93:AB93,AE93:AH93,AK93:AL93),
IF(AQ93=3,SUM(P93:R93,U93:X93,AA93:AD93,AG93:AJ93),SUM(Таблица1[[#This Row],[1]:[31]])-Таблица1[[#This Row],[Столбец1]])))</f>
        <v>0</v>
      </c>
      <c r="AN93" s="778">
        <f t="array" ref="AN93">IF(AQ93=1,SUM(P93,U93:V93,AA93:AB93,AG93:AH93),
IF(AQ93=2,SUM(Q93:R93,W93:X93,AC93:AD93,AI93:AJ93),
IF(AQ93=3,SUM(S93:T93,Y93:Z93,AE93:AF93,AK93:AL93),
SUM(IFERROR(WEEKDAY($H$2:$AL$2,2)&gt;5,)*H93:AL93))))+Таблица1[[#This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93" s="292" t="b">
        <f>IF(AR93&lt;=3,(IF((G93="5/24"),((база!$M$6*Таблица1[[#This Row],[сумма]]*Таблица1[[#This Row],[коэф]])),
IF((G93="4/24"),((база!$M$5*Таблица1[[#This Row],[сумма]]*Таблица1[[#This Row],[коэф]])),
IF((G93="3/24"),((база!$M$4*Таблица1[[#This Row],[сумма]]*Таблица1[[#This Row],[коэф]])),
IF((G93="5/16"),((база!$L$6*Таблица1[[#This Row],[сумма]]*Таблица1[[#This Row],[коэф]])),
IF((G93="4/16"),((база!$L$5*Таблица1[[#This Row],[сумма]]*Таблица1[[#This Row],[коэф]])),
IF((G93="3/16"),((база!$L$4*Таблица1[[#This Row],[сумма]]*Таблица1[[#This Row],[коэф]])),
IF((G93="4/4"),((база!$I$5*Таблица1[[#This Row],[сумма]]*Таблица1[[#This Row],[коэф]])),
IF(OR(G93="2/4",G93="3/4"),((база!$I$4*Таблица1[[#This Row],[сумма]]*Таблица1[[#This Row],[коэф]])),
IF((G93="5/8"),((база!$J$6*Таблица1[[#This Row],[сумма]]*Таблица1[[#This Row],[коэф]])),
IF((G93="4/8"),((база!$J$5*Таблица1[[#This Row],[сумма]]*Таблица1[[#This Row],[коэф]])),
IF(OR(G93="3/8",G93="2/8"),((база!$J$4*Таблица1[[#This Row],[сумма]]*Таблица1[[#This Row],[коэф]])))))))))))))),
(IF((G93="5/24"),((база!$M$6*Таблица1[[#This Row],[сумма]]*Таблица1[[#This Row],[коэф]])),
IF(OR(G93="4/24",G93="3/24"),((база!$M$5*Таблица1[[#This Row],[сумма]]*Таблица1[[#This Row],[коэф]])),
IF((G93="5/16"),((база!$L$6*Таблица1[[#This Row],[сумма]]*Таблица1[[#This Row],[коэф]])),
IF(OR(G93="4/16",G93="3/16"),((база!$L$5*Таблица1[[#This Row],[сумма]]*Таблица1[[#This Row],[коэф]])),
IF(OR(G93="2/4",G93="3/4",G93="4/4"),((база!$I$5*Таблица1[[#This Row],[сумма]]*Таблица1[[#This Row],[коэф]])),
IF((G93="5/8"),((база!$J$6*Таблица1[[#This Row],[сумма]]*Таблица1[[#This Row],[коэф]])),
IF(OR(G93="4/8",G93="3/8",G93="2/8"),((база!$J$5*Таблица1[[#This Row],[сумма]]*Таблица1[[#This Row],[коэф]])))))))))))</f>
        <v>0</v>
      </c>
      <c r="AP93" s="730" t="b">
        <f>IF(AR93&lt;=3,(IF((G93="5/24"),((база!$M$6*2*Таблица1[[#This Row],[Столбец1]]*Таблица1[[#This Row],[коэф]])),
IF((G93="4/24"),((база!$M$5*2*Таблица1[[#This Row],[Столбец1]]*Таблица1[[#This Row],[коэф]])),
IF((G93="3/24"),((база!$M$4*2*Таблица1[[#This Row],[Столбец1]]*Таблица1[[#This Row],[коэф]])),
IF((G93="5/16"),((база!$L$6*2*Таблица1[[#This Row],[Столбец1]]*Таблица1[[#This Row],[коэф]])),
IF((G93="4/16"),((база!$L$5*2*Таблица1[[#This Row],[Столбец1]]*Таблица1[[#This Row],[коэф]])),
IF((G93="3/16"),((база!$L$4*2*Таблица1[[#This Row],[Столбец1]]*Таблица1[[#This Row],[коэф]])),
IF((G93="4/4"),((база!$I$5*2*Таблица1[[#This Row],[Столбец1]]*Таблица1[[#This Row],[коэф]])),
IF(OR(G93="2/4",G93="3/4"),((база!$I$4*2*Таблица1[[#This Row],[Столбец1]]*Таблица1[[#This Row],[коэф]])),
IF((G93="5/8"),((база!$J$6*2*Таблица1[[#This Row],[Столбец1]]*Таблица1[[#This Row],[коэф]])),
IF((G93="4/8"),((база!$J$5*2*Таблица1[[#This Row],[Столбец1]]*Таблица1[[#This Row],[коэф]])),
IF(OR(G93="3/8",G93="2/8"),((база!$J$4*2*Таблица1[[#This Row],[Столбец1]]*Таблица1[[#This Row],[коэф]])))))))))))))),
(IF((G93="5/24"),((база!$M$6*2*Таблица1[[#This Row],[Столбец1]]*Таблица1[[#This Row],[коэф]])),
IF(OR(G93="4/24",G93="3/24"),((база!$M$5*2*Таблица1[[#This Row],[Столбец1]]*Таблица1[[#This Row],[коэф]])),
IF((G93="5/16"),((база!$L$6*2*Таблица1[[#This Row],[Столбец1]]*Таблица1[[#This Row],[коэф]])),
IF(OR(G93="4/16",G93="3/16"),((база!$L$5*2*Таблица1[[#This Row],[Столбец1]]*Таблица1[[#This Row],[коэф]])),
IF(OR(G93="2/4",G93="3/4",G93="4/4"),((база!$I$5*2*Таблица1[[#This Row],[Столбец1]]*Таблица1[[#This Row],[коэф]])),
IF((G93="5/8"),((база!$J$6*2*Таблица1[[#This Row],[Столбец1]]*Таблица1[[#This Row],[коэф]])),
IF(OR(G93="4/8",G93="3/8",G93="2/8"),((база!$J$5*2*Таблица1[[#This Row],[Столбец1]]*Таблица1[[#This Row],[коэф]])))))))))))</f>
        <v>0</v>
      </c>
      <c r="AQ93" s="712" t="str">
        <f>IFERROR(INDEX(база!T:T, MATCH(F93,база!Q:Q,0)),"")</f>
        <v/>
      </c>
      <c r="AR93" s="208" t="str">
        <f>IFERROR(INDEX(база!D:D, MATCH(F93,база!B:B,0)),"")</f>
        <v/>
      </c>
      <c r="AS93" s="758" t="str">
        <f>IFERROR(INDEX(база!E:E, MATCH(F93,база!B:B,0)),"")</f>
        <v/>
      </c>
    </row>
    <row r="94" spans="1:45" ht="15.75" customHeight="1">
      <c r="A94" s="1079" t="str">
        <f t="shared" si="3"/>
        <v>январь</v>
      </c>
      <c r="B94" t="n" s="1079">
        <v>2024.0</v>
      </c>
      <c r="C94" t="s" s="1079">
        <v>392</v>
      </c>
      <c r="D94" t="s" s="1079">
        <v>364</v>
      </c>
      <c r="E94" t="s" s="1079">
        <v>46</v>
      </c>
      <c r="F94" t="s" s="1079">
        <v>295</v>
      </c>
      <c r="G94" t="s" s="1079">
        <v>6</v>
      </c>
      <c r="H94" s="1079"/>
      <c r="I94" s="1079"/>
      <c r="J94" s="1079"/>
      <c r="K94" s="1079"/>
      <c r="L94" s="1079"/>
      <c r="M94" s="1079"/>
      <c r="N94" s="1079"/>
      <c r="O94" s="1079"/>
      <c r="P94" t="n" s="1079">
        <v>1.0</v>
      </c>
      <c r="Q94" s="48"/>
      <c r="R94" s="48"/>
      <c r="S94" s="48"/>
      <c r="T94" s="563"/>
      <c r="U94" s="563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51"/>
      <c r="AG94" s="51"/>
      <c r="AH94" s="51"/>
      <c r="AI94" s="51"/>
      <c r="AJ94" s="51"/>
      <c r="AK94" s="51"/>
      <c r="AL94" s="51"/>
      <c r="AM94" s="212">
        <f>IF(AQ94=1,SUM(Q94:T94,W94:Z94,AC94:AF94,AI94:AL94),
IF(AQ94=2,SUM(P94,S94:V94,Y94:AB94,AE94:AH94,AK94:AL94),
IF(AQ94=3,SUM(P94:R94,U94:X94,AA94:AD94,AG94:AJ94),SUM(Таблица1[[#This Row],[1]:[31]])-Таблица1[[#This Row],[Столбец1]])))</f>
        <v>0</v>
      </c>
      <c r="AN94" s="778">
        <f t="array" ref="AN94">IF(AQ94=1,SUM(P94,U94:V94,AA94:AB94,AG94:AH94),
IF(AQ94=2,SUM(Q94:R94,W94:X94,AC94:AD94,AI94:AJ94),
IF(AQ94=3,SUM(S94:T94,Y94:Z94,AE94:AF94,AK94:AL94),
SUM(IFERROR(WEEKDAY($H$2:$AL$2,2)&gt;5,)*H94:AL94))))+Таблица1[[#This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94" s="292" t="b">
        <f>IF(AR94&lt;=3,(IF((G94="5/24"),((база!$M$6*Таблица1[[#This Row],[сумма]]*Таблица1[[#This Row],[коэф]])),
IF((G94="4/24"),((база!$M$5*Таблица1[[#This Row],[сумма]]*Таблица1[[#This Row],[коэф]])),
IF((G94="3/24"),((база!$M$4*Таблица1[[#This Row],[сумма]]*Таблица1[[#This Row],[коэф]])),
IF((G94="5/16"),((база!$L$6*Таблица1[[#This Row],[сумма]]*Таблица1[[#This Row],[коэф]])),
IF((G94="4/16"),((база!$L$5*Таблица1[[#This Row],[сумма]]*Таблица1[[#This Row],[коэф]])),
IF((G94="3/16"),((база!$L$4*Таблица1[[#This Row],[сумма]]*Таблица1[[#This Row],[коэф]])),
IF((G94="4/4"),((база!$I$5*Таблица1[[#This Row],[сумма]]*Таблица1[[#This Row],[коэф]])),
IF(OR(G94="2/4",G94="3/4"),((база!$I$4*Таблица1[[#This Row],[сумма]]*Таблица1[[#This Row],[коэф]])),
IF((G94="5/8"),((база!$J$6*Таблица1[[#This Row],[сумма]]*Таблица1[[#This Row],[коэф]])),
IF((G94="4/8"),((база!$J$5*Таблица1[[#This Row],[сумма]]*Таблица1[[#This Row],[коэф]])),
IF(OR(G94="3/8",G94="2/8"),((база!$J$4*Таблица1[[#This Row],[сумма]]*Таблица1[[#This Row],[коэф]])))))))))))))),
(IF((G94="5/24"),((база!$M$6*Таблица1[[#This Row],[сумма]]*Таблица1[[#This Row],[коэф]])),
IF(OR(G94="4/24",G94="3/24"),((база!$M$5*Таблица1[[#This Row],[сумма]]*Таблица1[[#This Row],[коэф]])),
IF((G94="5/16"),((база!$L$6*Таблица1[[#This Row],[сумма]]*Таблица1[[#This Row],[коэф]])),
IF(OR(G94="4/16",G94="3/16"),((база!$L$5*Таблица1[[#This Row],[сумма]]*Таблица1[[#This Row],[коэф]])),
IF(OR(G94="2/4",G94="3/4",G94="4/4"),((база!$I$5*Таблица1[[#This Row],[сумма]]*Таблица1[[#This Row],[коэф]])),
IF((G94="5/8"),((база!$J$6*Таблица1[[#This Row],[сумма]]*Таблица1[[#This Row],[коэф]])),
IF(OR(G94="4/8",G94="3/8",G94="2/8"),((база!$J$5*Таблица1[[#This Row],[сумма]]*Таблица1[[#This Row],[коэф]])))))))))))</f>
        <v>0</v>
      </c>
      <c r="AP94" s="730" t="b">
        <f>IF(AR94&lt;=3,(IF((G94="5/24"),((база!$M$6*2*Таблица1[[#This Row],[Столбец1]]*Таблица1[[#This Row],[коэф]])),
IF((G94="4/24"),((база!$M$5*2*Таблица1[[#This Row],[Столбец1]]*Таблица1[[#This Row],[коэф]])),
IF((G94="3/24"),((база!$M$4*2*Таблица1[[#This Row],[Столбец1]]*Таблица1[[#This Row],[коэф]])),
IF((G94="5/16"),((база!$L$6*2*Таблица1[[#This Row],[Столбец1]]*Таблица1[[#This Row],[коэф]])),
IF((G94="4/16"),((база!$L$5*2*Таблица1[[#This Row],[Столбец1]]*Таблица1[[#This Row],[коэф]])),
IF((G94="3/16"),((база!$L$4*2*Таблица1[[#This Row],[Столбец1]]*Таблица1[[#This Row],[коэф]])),
IF((G94="4/4"),((база!$I$5*2*Таблица1[[#This Row],[Столбец1]]*Таблица1[[#This Row],[коэф]])),
IF(OR(G94="2/4",G94="3/4"),((база!$I$4*2*Таблица1[[#This Row],[Столбец1]]*Таблица1[[#This Row],[коэф]])),
IF((G94="5/8"),((база!$J$6*2*Таблица1[[#This Row],[Столбец1]]*Таблица1[[#This Row],[коэф]])),
IF((G94="4/8"),((база!$J$5*2*Таблица1[[#This Row],[Столбец1]]*Таблица1[[#This Row],[коэф]])),
IF(OR(G94="3/8",G94="2/8"),((база!$J$4*2*Таблица1[[#This Row],[Столбец1]]*Таблица1[[#This Row],[коэф]])))))))))))))),
(IF((G94="5/24"),((база!$M$6*2*Таблица1[[#This Row],[Столбец1]]*Таблица1[[#This Row],[коэф]])),
IF(OR(G94="4/24",G94="3/24"),((база!$M$5*2*Таблица1[[#This Row],[Столбец1]]*Таблица1[[#This Row],[коэф]])),
IF((G94="5/16"),((база!$L$6*2*Таблица1[[#This Row],[Столбец1]]*Таблица1[[#This Row],[коэф]])),
IF(OR(G94="4/16",G94="3/16"),((база!$L$5*2*Таблица1[[#This Row],[Столбец1]]*Таблица1[[#This Row],[коэф]])),
IF(OR(G94="2/4",G94="3/4",G94="4/4"),((база!$I$5*2*Таблица1[[#This Row],[Столбец1]]*Таблица1[[#This Row],[коэф]])),
IF((G94="5/8"),((база!$J$6*2*Таблица1[[#This Row],[Столбец1]]*Таблица1[[#This Row],[коэф]])),
IF(OR(G94="4/8",G94="3/8",G94="2/8"),((база!$J$5*2*Таблица1[[#This Row],[Столбец1]]*Таблица1[[#This Row],[коэф]])))))))))))</f>
        <v>0</v>
      </c>
      <c r="AQ94" s="712" t="str">
        <f>IFERROR(INDEX(база!T:T, MATCH(F94,база!Q:Q,0)),"")</f>
        <v/>
      </c>
      <c r="AR94" s="208" t="str">
        <f>IFERROR(INDEX(база!D:D, MATCH(F94,база!B:B,0)),"")</f>
        <v/>
      </c>
      <c r="AS94" s="758" t="str">
        <f>IFERROR(INDEX(база!E:E, MATCH(F94,база!B:B,0)),"")</f>
        <v/>
      </c>
    </row>
    <row r="95" spans="1:45" ht="15.75" customHeight="1">
      <c r="A95" s="1080" t="str">
        <f t="shared" si="3"/>
        <v>январь</v>
      </c>
      <c r="B95" t="n" s="1080">
        <v>2024.0</v>
      </c>
      <c r="C95" t="s" s="1080">
        <v>388</v>
      </c>
      <c r="D95" t="s" s="1080">
        <v>364</v>
      </c>
      <c r="E95" t="s" s="1080">
        <v>46</v>
      </c>
      <c r="F95" t="s" s="1080">
        <v>295</v>
      </c>
      <c r="G95" t="s" s="1080">
        <v>4</v>
      </c>
      <c r="H95" s="1080"/>
      <c r="I95" s="1080"/>
      <c r="J95" s="1080"/>
      <c r="K95" s="1080"/>
      <c r="L95" s="1080"/>
      <c r="M95" s="1080"/>
      <c r="N95" s="1080"/>
      <c r="O95" s="1080"/>
      <c r="P95" t="n" s="1080">
        <v>6.2</v>
      </c>
      <c r="Q95" s="48"/>
      <c r="R95" t="n" s="46">
        <v>3.2</v>
      </c>
      <c r="S95" s="563"/>
      <c r="T95" s="563"/>
      <c r="U95" s="563"/>
      <c r="V95" s="563"/>
      <c r="W95" s="563"/>
      <c r="X95" s="563"/>
      <c r="Y95" s="48"/>
      <c r="Z95" s="48"/>
      <c r="AA95" s="48"/>
      <c r="AB95" s="48"/>
      <c r="AC95" s="48"/>
      <c r="AD95" s="48"/>
      <c r="AE95" s="48"/>
      <c r="AF95" s="48"/>
      <c r="AG95" s="48"/>
      <c r="AH95" s="48"/>
      <c r="AI95" s="48"/>
      <c r="AJ95" s="51"/>
      <c r="AK95" s="51"/>
      <c r="AL95" s="51"/>
      <c r="AM95" s="212">
        <f>IF(AQ95=1,SUM(Q95:T95,W95:Z95,AC95:AF95,AI95:AL95),
IF(AQ95=2,SUM(P95,S95:V95,Y95:AB95,AE95:AH95,AK95:AL95),
IF(AQ95=3,SUM(P95:R95,U95:X95,AA95:AD95,AG95:AJ95),SUM(Таблица1[[#This Row],[1]:[31]])-Таблица1[[#This Row],[Столбец1]])))</f>
        <v>0</v>
      </c>
      <c r="AN95" s="778">
        <f t="array" ref="AN95">IF(AQ95=1,SUM(P95,U95:V95,AA95:AB95,AG95:AH95),
IF(AQ95=2,SUM(Q95:R95,W95:X95,AC95:AD95,AI95:AJ95),
IF(AQ95=3,SUM(S95:T95,Y95:Z95,AE95:AF95,AK95:AL95),
SUM(IFERROR(WEEKDAY($H$2:$AL$2,2)&gt;5,)*H95:AL95))))+Таблица1[[#This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95" s="292" t="b">
        <f>IF(AR95&lt;=3,(IF((G95="5/24"),((база!$M$6*Таблица1[[#This Row],[сумма]]*Таблица1[[#This Row],[коэф]])),
IF((G95="4/24"),((база!$M$5*Таблица1[[#This Row],[сумма]]*Таблица1[[#This Row],[коэф]])),
IF((G95="3/24"),((база!$M$4*Таблица1[[#This Row],[сумма]]*Таблица1[[#This Row],[коэф]])),
IF((G95="5/16"),((база!$L$6*Таблица1[[#This Row],[сумма]]*Таблица1[[#This Row],[коэф]])),
IF((G95="4/16"),((база!$L$5*Таблица1[[#This Row],[сумма]]*Таблица1[[#This Row],[коэф]])),
IF((G95="3/16"),((база!$L$4*Таблица1[[#This Row],[сумма]]*Таблица1[[#This Row],[коэф]])),
IF((G95="4/4"),((база!$I$5*Таблица1[[#This Row],[сумма]]*Таблица1[[#This Row],[коэф]])),
IF(OR(G95="2/4",G95="3/4"),((база!$I$4*Таблица1[[#This Row],[сумма]]*Таблица1[[#This Row],[коэф]])),
IF((G95="5/8"),((база!$J$6*Таблица1[[#This Row],[сумма]]*Таблица1[[#This Row],[коэф]])),
IF((G95="4/8"),((база!$J$5*Таблица1[[#This Row],[сумма]]*Таблица1[[#This Row],[коэф]])),
IF(OR(G95="3/8",G95="2/8"),((база!$J$4*Таблица1[[#This Row],[сумма]]*Таблица1[[#This Row],[коэф]])))))))))))))),
(IF((G95="5/24"),((база!$M$6*Таблица1[[#This Row],[сумма]]*Таблица1[[#This Row],[коэф]])),
IF(OR(G95="4/24",G95="3/24"),((база!$M$5*Таблица1[[#This Row],[сумма]]*Таблица1[[#This Row],[коэф]])),
IF((G95="5/16"),((база!$L$6*Таблица1[[#This Row],[сумма]]*Таблица1[[#This Row],[коэф]])),
IF(OR(G95="4/16",G95="3/16"),((база!$L$5*Таблица1[[#This Row],[сумма]]*Таблица1[[#This Row],[коэф]])),
IF(OR(G95="2/4",G95="3/4",G95="4/4"),((база!$I$5*Таблица1[[#This Row],[сумма]]*Таблица1[[#This Row],[коэф]])),
IF((G95="5/8"),((база!$J$6*Таблица1[[#This Row],[сумма]]*Таблица1[[#This Row],[коэф]])),
IF(OR(G95="4/8",G95="3/8",G95="2/8"),((база!$J$5*Таблица1[[#This Row],[сумма]]*Таблица1[[#This Row],[коэф]])))))))))))</f>
        <v>0</v>
      </c>
      <c r="AP95" s="730" t="b">
        <f>IF(AR95&lt;=3,(IF((G95="5/24"),((база!$M$6*2*Таблица1[[#This Row],[Столбец1]]*Таблица1[[#This Row],[коэф]])),
IF((G95="4/24"),((база!$M$5*2*Таблица1[[#This Row],[Столбец1]]*Таблица1[[#This Row],[коэф]])),
IF((G95="3/24"),((база!$M$4*2*Таблица1[[#This Row],[Столбец1]]*Таблица1[[#This Row],[коэф]])),
IF((G95="5/16"),((база!$L$6*2*Таблица1[[#This Row],[Столбец1]]*Таблица1[[#This Row],[коэф]])),
IF((G95="4/16"),((база!$L$5*2*Таблица1[[#This Row],[Столбец1]]*Таблица1[[#This Row],[коэф]])),
IF((G95="3/16"),((база!$L$4*2*Таблица1[[#This Row],[Столбец1]]*Таблица1[[#This Row],[коэф]])),
IF((G95="4/4"),((база!$I$5*2*Таблица1[[#This Row],[Столбец1]]*Таблица1[[#This Row],[коэф]])),
IF(OR(G95="2/4",G95="3/4"),((база!$I$4*2*Таблица1[[#This Row],[Столбец1]]*Таблица1[[#This Row],[коэф]])),
IF((G95="5/8"),((база!$J$6*2*Таблица1[[#This Row],[Столбец1]]*Таблица1[[#This Row],[коэф]])),
IF((G95="4/8"),((база!$J$5*2*Таблица1[[#This Row],[Столбец1]]*Таблица1[[#This Row],[коэф]])),
IF(OR(G95="3/8",G95="2/8"),((база!$J$4*2*Таблица1[[#This Row],[Столбец1]]*Таблица1[[#This Row],[коэф]])))))))))))))),
(IF((G95="5/24"),((база!$M$6*2*Таблица1[[#This Row],[Столбец1]]*Таблица1[[#This Row],[коэф]])),
IF(OR(G95="4/24",G95="3/24"),((база!$M$5*2*Таблица1[[#This Row],[Столбец1]]*Таблица1[[#This Row],[коэф]])),
IF((G95="5/16"),((база!$L$6*2*Таблица1[[#This Row],[Столбец1]]*Таблица1[[#This Row],[коэф]])),
IF(OR(G95="4/16",G95="3/16"),((база!$L$5*2*Таблица1[[#This Row],[Столбец1]]*Таблица1[[#This Row],[коэф]])),
IF(OR(G95="2/4",G95="3/4",G95="4/4"),((база!$I$5*2*Таблица1[[#This Row],[Столбец1]]*Таблица1[[#This Row],[коэф]])),
IF((G95="5/8"),((база!$J$6*2*Таблица1[[#This Row],[Столбец1]]*Таблица1[[#This Row],[коэф]])),
IF(OR(G95="4/8",G95="3/8",G95="2/8"),((база!$J$5*2*Таблица1[[#This Row],[Столбец1]]*Таблица1[[#This Row],[коэф]])))))))))))</f>
        <v>0</v>
      </c>
      <c r="AQ95" s="712" t="str">
        <f>IFERROR(INDEX(база!T:T, MATCH(F95,база!Q:Q,0)),"")</f>
        <v/>
      </c>
      <c r="AR95" s="208" t="str">
        <f>IFERROR(INDEX(база!D:D, MATCH(F95,база!B:B,0)),"")</f>
        <v/>
      </c>
      <c r="AS95" s="758" t="str">
        <f>IFERROR(INDEX(база!E:E, MATCH(F95,база!B:B,0)),"")</f>
        <v/>
      </c>
    </row>
    <row r="96" spans="1:45" ht="15" customHeight="1">
      <c r="A96" s="1084" t="str">
        <f t="shared" si="3"/>
        <v>январь</v>
      </c>
      <c r="B96" t="n" s="1084">
        <v>2024.0</v>
      </c>
      <c r="C96" t="s" s="1084">
        <v>388</v>
      </c>
      <c r="D96" t="s" s="1084">
        <v>364</v>
      </c>
      <c r="E96" t="s" s="1084">
        <v>46</v>
      </c>
      <c r="F96" t="s" s="1084">
        <v>322</v>
      </c>
      <c r="G96" t="s" s="1084">
        <v>6</v>
      </c>
      <c r="H96" s="1084"/>
      <c r="I96" s="1084"/>
      <c r="J96" s="1084"/>
      <c r="K96" s="1084"/>
      <c r="L96" s="1084"/>
      <c r="M96" s="1084"/>
      <c r="N96" s="1084"/>
      <c r="O96" s="1084"/>
      <c r="P96" t="n" s="1084">
        <v>4.0</v>
      </c>
      <c r="Q96" s="563"/>
      <c r="R96" s="563"/>
      <c r="S96" s="563"/>
      <c r="T96" s="563"/>
      <c r="U96" s="563"/>
      <c r="V96" s="563"/>
      <c r="W96" s="563"/>
      <c r="X96" s="563"/>
      <c r="Y96" s="48"/>
      <c r="Z96" s="48"/>
      <c r="AA96" s="48"/>
      <c r="AB96" s="48"/>
      <c r="AC96" s="48"/>
      <c r="AD96" s="48"/>
      <c r="AE96" s="48"/>
      <c r="AF96" s="48"/>
      <c r="AG96" s="48"/>
      <c r="AH96" s="48"/>
      <c r="AI96" s="48"/>
      <c r="AJ96" s="48"/>
      <c r="AK96" s="51"/>
      <c r="AL96" s="51"/>
      <c r="AM96" s="212">
        <f>IF(AQ96=1,SUM(Q96:T96,W96:Z96,AC96:AF96,AI96:AL96),
IF(AQ96=2,SUM(P96,S96:V96,Y96:AB96,AE96:AH96,AK96:AL96),
IF(AQ96=3,SUM(P96:R96,U96:X96,AA96:AD96,AG96:AJ96),SUM(Таблица1[[#This Row],[1]:[31]])-Таблица1[[#This Row],[Столбец1]])))</f>
        <v>0</v>
      </c>
      <c r="AN96" s="778">
        <f t="array" ref="AN96">IF(AQ96=1,SUM(P96,U96:V96,AA96:AB96,AG96:AH96),
IF(AQ96=2,SUM(Q96:R96,W96:X96,AC96:AD96,AI96:AJ96),
IF(AQ96=3,SUM(S96:T96,Y96:Z96,AE96:AF96,AK96:AL96),
SUM(IFERROR(WEEKDAY($H$2:$AL$2,2)&gt;5,)*H96:AL96))))+Таблица1[[#This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96" s="292" t="b">
        <f>IF(AR96&lt;=3,(IF((G96="5/24"),((база!$M$6*Таблица1[[#This Row],[сумма]]*Таблица1[[#This Row],[коэф]])),
IF((G96="4/24"),((база!$M$5*Таблица1[[#This Row],[сумма]]*Таблица1[[#This Row],[коэф]])),
IF((G96="3/24"),((база!$M$4*Таблица1[[#This Row],[сумма]]*Таблица1[[#This Row],[коэф]])),
IF((G96="5/16"),((база!$L$6*Таблица1[[#This Row],[сумма]]*Таблица1[[#This Row],[коэф]])),
IF((G96="4/16"),((база!$L$5*Таблица1[[#This Row],[сумма]]*Таблица1[[#This Row],[коэф]])),
IF((G96="3/16"),((база!$L$4*Таблица1[[#This Row],[сумма]]*Таблица1[[#This Row],[коэф]])),
IF((G96="4/4"),((база!$I$5*Таблица1[[#This Row],[сумма]]*Таблица1[[#This Row],[коэф]])),
IF(OR(G96="2/4",G96="3/4"),((база!$I$4*Таблица1[[#This Row],[сумма]]*Таблица1[[#This Row],[коэф]])),
IF((G96="5/8"),((база!$J$6*Таблица1[[#This Row],[сумма]]*Таблица1[[#This Row],[коэф]])),
IF((G96="4/8"),((база!$J$5*Таблица1[[#This Row],[сумма]]*Таблица1[[#This Row],[коэф]])),
IF(OR(G96="3/8",G96="2/8"),((база!$J$4*Таблица1[[#This Row],[сумма]]*Таблица1[[#This Row],[коэф]])))))))))))))),
(IF((G96="5/24"),((база!$M$6*Таблица1[[#This Row],[сумма]]*Таблица1[[#This Row],[коэф]])),
IF(OR(G96="4/24",G96="3/24"),((база!$M$5*Таблица1[[#This Row],[сумма]]*Таблица1[[#This Row],[коэф]])),
IF((G96="5/16"),((база!$L$6*Таблица1[[#This Row],[сумма]]*Таблица1[[#This Row],[коэф]])),
IF(OR(G96="4/16",G96="3/16"),((база!$L$5*Таблица1[[#This Row],[сумма]]*Таблица1[[#This Row],[коэф]])),
IF(OR(G96="2/4",G96="3/4",G96="4/4"),((база!$I$5*Таблица1[[#This Row],[сумма]]*Таблица1[[#This Row],[коэф]])),
IF((G96="5/8"),((база!$J$6*Таблица1[[#This Row],[сумма]]*Таблица1[[#This Row],[коэф]])),
IF(OR(G96="4/8",G96="3/8",G96="2/8"),((база!$J$5*Таблица1[[#This Row],[сумма]]*Таблица1[[#This Row],[коэф]])))))))))))</f>
        <v>0</v>
      </c>
      <c r="AP96" s="730" t="b">
        <f>IF(AR96&lt;=3,(IF((G96="5/24"),((база!$M$6*2*Таблица1[[#This Row],[Столбец1]]*Таблица1[[#This Row],[коэф]])),
IF((G96="4/24"),((база!$M$5*2*Таблица1[[#This Row],[Столбец1]]*Таблица1[[#This Row],[коэф]])),
IF((G96="3/24"),((база!$M$4*2*Таблица1[[#This Row],[Столбец1]]*Таблица1[[#This Row],[коэф]])),
IF((G96="5/16"),((база!$L$6*2*Таблица1[[#This Row],[Столбец1]]*Таблица1[[#This Row],[коэф]])),
IF((G96="4/16"),((база!$L$5*2*Таблица1[[#This Row],[Столбец1]]*Таблица1[[#This Row],[коэф]])),
IF((G96="3/16"),((база!$L$4*2*Таблица1[[#This Row],[Столбец1]]*Таблица1[[#This Row],[коэф]])),
IF((G96="4/4"),((база!$I$5*2*Таблица1[[#This Row],[Столбец1]]*Таблица1[[#This Row],[коэф]])),
IF(OR(G96="2/4",G96="3/4"),((база!$I$4*2*Таблица1[[#This Row],[Столбец1]]*Таблица1[[#This Row],[коэф]])),
IF((G96="5/8"),((база!$J$6*2*Таблица1[[#This Row],[Столбец1]]*Таблица1[[#This Row],[коэф]])),
IF((G96="4/8"),((база!$J$5*2*Таблица1[[#This Row],[Столбец1]]*Таблица1[[#This Row],[коэф]])),
IF(OR(G96="3/8",G96="2/8"),((база!$J$4*2*Таблица1[[#This Row],[Столбец1]]*Таблица1[[#This Row],[коэф]])))))))))))))),
(IF((G96="5/24"),((база!$M$6*2*Таблица1[[#This Row],[Столбец1]]*Таблица1[[#This Row],[коэф]])),
IF(OR(G96="4/24",G96="3/24"),((база!$M$5*2*Таблица1[[#This Row],[Столбец1]]*Таблица1[[#This Row],[коэф]])),
IF((G96="5/16"),((база!$L$6*2*Таблица1[[#This Row],[Столбец1]]*Таблица1[[#This Row],[коэф]])),
IF(OR(G96="4/16",G96="3/16"),((база!$L$5*2*Таблица1[[#This Row],[Столбец1]]*Таблица1[[#This Row],[коэф]])),
IF(OR(G96="2/4",G96="3/4",G96="4/4"),((база!$I$5*2*Таблица1[[#This Row],[Столбец1]]*Таблица1[[#This Row],[коэф]])),
IF((G96="5/8"),((база!$J$6*2*Таблица1[[#This Row],[Столбец1]]*Таблица1[[#This Row],[коэф]])),
IF(OR(G96="4/8",G96="3/8",G96="2/8"),((база!$J$5*2*Таблица1[[#This Row],[Столбец1]]*Таблица1[[#This Row],[коэф]])))))))))))</f>
        <v>0</v>
      </c>
      <c r="AQ96" s="712" t="str">
        <f>IFERROR(INDEX(база!T:T, MATCH(F96,база!Q:Q,0)),"")</f>
        <v/>
      </c>
      <c r="AR96" s="208" t="str">
        <f>IFERROR(INDEX(база!D:D, MATCH(F96,база!B:B,0)),"")</f>
        <v/>
      </c>
      <c r="AS96" s="758" t="str">
        <f>IFERROR(INDEX(база!E:E, MATCH(F96,база!B:B,0)),"")</f>
        <v/>
      </c>
    </row>
    <row r="97" spans="1:45" ht="15" customHeight="1">
      <c r="A97" s="1085" t="str">
        <f t="shared" si="3"/>
        <v>январь</v>
      </c>
      <c r="B97" t="n" s="1085">
        <v>2024.0</v>
      </c>
      <c r="C97" t="s" s="1085">
        <v>388</v>
      </c>
      <c r="D97" t="s" s="1085">
        <v>364</v>
      </c>
      <c r="E97" t="s" s="1085">
        <v>46</v>
      </c>
      <c r="F97" t="s" s="1085">
        <v>326</v>
      </c>
      <c r="G97" t="s" s="1085">
        <v>4</v>
      </c>
      <c r="H97" s="1085"/>
      <c r="I97" s="1085"/>
      <c r="J97" s="1085"/>
      <c r="K97" s="1085"/>
      <c r="L97" s="1085"/>
      <c r="M97" s="1085"/>
      <c r="N97" s="1085"/>
      <c r="O97" s="1085"/>
      <c r="P97" t="n" s="1085">
        <v>7.2</v>
      </c>
      <c r="Q97" s="563"/>
      <c r="R97" t="n" s="46">
        <v>7.2</v>
      </c>
      <c r="S97" s="48"/>
      <c r="T97" s="48"/>
      <c r="U97" s="48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51"/>
      <c r="AG97" s="51"/>
      <c r="AH97" s="51"/>
      <c r="AI97" s="51"/>
      <c r="AJ97" s="51"/>
      <c r="AK97" s="51"/>
      <c r="AL97" s="51"/>
      <c r="AM97" s="212">
        <f>IF(AQ97=1,SUM(Q97:T97,W97:Z97,AC97:AF97,AI97:AL97),
IF(AQ97=2,SUM(P97,S97:V97,Y97:AB97,AE97:AH97,AK97:AL97),
IF(AQ97=3,SUM(P97:R97,U97:X97,AA97:AD97,AG97:AJ97),SUM(Таблица1[[#This Row],[1]:[31]])-Таблица1[[#This Row],[Столбец1]])))</f>
        <v>0</v>
      </c>
      <c r="AN97" s="778">
        <f t="array" ref="AN97">IF(AQ97=1,SUM(P97,U97:V97,AA97:AB97,AG97:AH97),
IF(AQ97=2,SUM(Q97:R97,W97:X97,AC97:AD97,AI97:AJ97),
IF(AQ97=3,SUM(S97:T97,Y97:Z97,AE97:AF97,AK97:AL97),
SUM(IFERROR(WEEKDAY($H$2:$AL$2,2)&gt;5,)*H97:AL97))))+Таблица1[[#This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97" s="292" t="b">
        <f>IF(AR97&lt;=3,(IF((G97="5/24"),((база!$M$6*Таблица1[[#This Row],[сумма]]*Таблица1[[#This Row],[коэф]])),
IF((G97="4/24"),((база!$M$5*Таблица1[[#This Row],[сумма]]*Таблица1[[#This Row],[коэф]])),
IF((G97="3/24"),((база!$M$4*Таблица1[[#This Row],[сумма]]*Таблица1[[#This Row],[коэф]])),
IF((G97="5/16"),((база!$L$6*Таблица1[[#This Row],[сумма]]*Таблица1[[#This Row],[коэф]])),
IF((G97="4/16"),((база!$L$5*Таблица1[[#This Row],[сумма]]*Таблица1[[#This Row],[коэф]])),
IF((G97="3/16"),((база!$L$4*Таблица1[[#This Row],[сумма]]*Таблица1[[#This Row],[коэф]])),
IF((G97="4/4"),((база!$I$5*Таблица1[[#This Row],[сумма]]*Таблица1[[#This Row],[коэф]])),
IF(OR(G97="2/4",G97="3/4"),((база!$I$4*Таблица1[[#This Row],[сумма]]*Таблица1[[#This Row],[коэф]])),
IF((G97="5/8"),((база!$J$6*Таблица1[[#This Row],[сумма]]*Таблица1[[#This Row],[коэф]])),
IF((G97="4/8"),((база!$J$5*Таблица1[[#This Row],[сумма]]*Таблица1[[#This Row],[коэф]])),
IF(OR(G97="3/8",G97="2/8"),((база!$J$4*Таблица1[[#This Row],[сумма]]*Таблица1[[#This Row],[коэф]])))))))))))))),
(IF((G97="5/24"),((база!$M$6*Таблица1[[#This Row],[сумма]]*Таблица1[[#This Row],[коэф]])),
IF(OR(G97="4/24",G97="3/24"),((база!$M$5*Таблица1[[#This Row],[сумма]]*Таблица1[[#This Row],[коэф]])),
IF((G97="5/16"),((база!$L$6*Таблица1[[#This Row],[сумма]]*Таблица1[[#This Row],[коэф]])),
IF(OR(G97="4/16",G97="3/16"),((база!$L$5*Таблица1[[#This Row],[сумма]]*Таблица1[[#This Row],[коэф]])),
IF(OR(G97="2/4",G97="3/4",G97="4/4"),((база!$I$5*Таблица1[[#This Row],[сумма]]*Таблица1[[#This Row],[коэф]])),
IF((G97="5/8"),((база!$J$6*Таблица1[[#This Row],[сумма]]*Таблица1[[#This Row],[коэф]])),
IF(OR(G97="4/8",G97="3/8",G97="2/8"),((база!$J$5*Таблица1[[#This Row],[сумма]]*Таблица1[[#This Row],[коэф]])))))))))))</f>
        <v>0</v>
      </c>
      <c r="AP97" s="730" t="b">
        <f>IF(AR97&lt;=3,(IF((G97="5/24"),((база!$M$6*2*Таблица1[[#This Row],[Столбец1]]*Таблица1[[#This Row],[коэф]])),
IF((G97="4/24"),((база!$M$5*2*Таблица1[[#This Row],[Столбец1]]*Таблица1[[#This Row],[коэф]])),
IF((G97="3/24"),((база!$M$4*2*Таблица1[[#This Row],[Столбец1]]*Таблица1[[#This Row],[коэф]])),
IF((G97="5/16"),((база!$L$6*2*Таблица1[[#This Row],[Столбец1]]*Таблица1[[#This Row],[коэф]])),
IF((G97="4/16"),((база!$L$5*2*Таблица1[[#This Row],[Столбец1]]*Таблица1[[#This Row],[коэф]])),
IF((G97="3/16"),((база!$L$4*2*Таблица1[[#This Row],[Столбец1]]*Таблица1[[#This Row],[коэф]])),
IF((G97="4/4"),((база!$I$5*2*Таблица1[[#This Row],[Столбец1]]*Таблица1[[#This Row],[коэф]])),
IF(OR(G97="2/4",G97="3/4"),((база!$I$4*2*Таблица1[[#This Row],[Столбец1]]*Таблица1[[#This Row],[коэф]])),
IF((G97="5/8"),((база!$J$6*2*Таблица1[[#This Row],[Столбец1]]*Таблица1[[#This Row],[коэф]])),
IF((G97="4/8"),((база!$J$5*2*Таблица1[[#This Row],[Столбец1]]*Таблица1[[#This Row],[коэф]])),
IF(OR(G97="3/8",G97="2/8"),((база!$J$4*2*Таблица1[[#This Row],[Столбец1]]*Таблица1[[#This Row],[коэф]])))))))))))))),
(IF((G97="5/24"),((база!$M$6*2*Таблица1[[#This Row],[Столбец1]]*Таблица1[[#This Row],[коэф]])),
IF(OR(G97="4/24",G97="3/24"),((база!$M$5*2*Таблица1[[#This Row],[Столбец1]]*Таблица1[[#This Row],[коэф]])),
IF((G97="5/16"),((база!$L$6*2*Таблица1[[#This Row],[Столбец1]]*Таблица1[[#This Row],[коэф]])),
IF(OR(G97="4/16",G97="3/16"),((база!$L$5*2*Таблица1[[#This Row],[Столбец1]]*Таблица1[[#This Row],[коэф]])),
IF(OR(G97="2/4",G97="3/4",G97="4/4"),((база!$I$5*2*Таблица1[[#This Row],[Столбец1]]*Таблица1[[#This Row],[коэф]])),
IF((G97="5/8"),((база!$J$6*2*Таблица1[[#This Row],[Столбец1]]*Таблица1[[#This Row],[коэф]])),
IF(OR(G97="4/8",G97="3/8",G97="2/8"),((база!$J$5*2*Таблица1[[#This Row],[Столбец1]]*Таблица1[[#This Row],[коэф]])))))))))))</f>
        <v>0</v>
      </c>
      <c r="AQ97" s="712" t="str">
        <f>IFERROR(INDEX(база!T:T, MATCH(F97,база!Q:Q,0)),"")</f>
        <v/>
      </c>
      <c r="AR97" s="208" t="str">
        <f>IFERROR(INDEX(база!D:D, MATCH(F97,база!B:B,0)),"")</f>
        <v/>
      </c>
      <c r="AS97" s="758" t="str">
        <f>IFERROR(INDEX(база!E:E, MATCH(F97,база!B:B,0)),"")</f>
        <v/>
      </c>
    </row>
    <row r="98" spans="1:45" ht="15" customHeight="1">
      <c r="A98" s="1086" t="str">
        <f t="shared" si="3"/>
        <v>январь</v>
      </c>
      <c r="B98" t="n" s="1086">
        <v>2024.0</v>
      </c>
      <c r="C98" t="s" s="1086">
        <v>386</v>
      </c>
      <c r="D98" t="s" s="1086">
        <v>364</v>
      </c>
      <c r="E98" t="s" s="1086">
        <v>46</v>
      </c>
      <c r="F98" t="s" s="1086">
        <v>281</v>
      </c>
      <c r="G98" t="s" s="1086">
        <v>4</v>
      </c>
      <c r="H98" s="1086"/>
      <c r="I98" s="1086"/>
      <c r="J98" s="1086"/>
      <c r="K98" s="1086"/>
      <c r="L98" s="1086"/>
      <c r="M98" s="1086"/>
      <c r="N98" s="1086"/>
      <c r="O98" s="1086"/>
      <c r="P98" t="n" s="1086">
        <v>3.5</v>
      </c>
      <c r="Q98" s="563"/>
      <c r="R98" s="563"/>
      <c r="S98" s="563"/>
      <c r="T98" s="563"/>
      <c r="U98" s="563"/>
      <c r="V98" s="563"/>
      <c r="W98" s="563"/>
      <c r="X98" s="563"/>
      <c r="Y98" s="48"/>
      <c r="Z98" s="48"/>
      <c r="AA98" s="48"/>
      <c r="AB98" s="48"/>
      <c r="AC98" s="48"/>
      <c r="AD98" s="48"/>
      <c r="AE98" s="48"/>
      <c r="AF98" s="48"/>
      <c r="AG98" s="48"/>
      <c r="AH98" s="48"/>
      <c r="AI98" s="48"/>
      <c r="AJ98" s="48"/>
      <c r="AK98" s="48"/>
      <c r="AL98" s="51"/>
      <c r="AM98" s="212">
        <f>IF(AQ98=1,SUM(Q98:T98,W98:Z98,AC98:AF98,AI98:AL98),
IF(AQ98=2,SUM(P98,S98:V98,Y98:AB98,AE98:AH98,AK98:AL98),
IF(AQ98=3,SUM(P98:R98,U98:X98,AA98:AD98,AG98:AJ98),SUM(Таблица1[[#This Row],[1]:[31]])-Таблица1[[#This Row],[Столбец1]])))</f>
        <v>0</v>
      </c>
      <c r="AN98" s="778">
        <f t="array" ref="AN98">IF(AQ98=1,SUM(P98,U98:V98,AA98:AB98,AG98:AH98),
IF(AQ98=2,SUM(Q98:R98,W98:X98,AC98:AD98,AI98:AJ98),
IF(AQ98=3,SUM(S98:T98,Y98:Z98,AE98:AF98,AK98:AL98),
SUM(IFERROR(WEEKDAY($H$2:$AL$2,2)&gt;5,)*H98:AL98))))+Таблица1[[#This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98" s="292" t="b">
        <f>IF(AR98&lt;=3,(IF((G98="5/24"),((база!$M$6*Таблица1[[#This Row],[сумма]]*Таблица1[[#This Row],[коэф]])),
IF((G98="4/24"),((база!$M$5*Таблица1[[#This Row],[сумма]]*Таблица1[[#This Row],[коэф]])),
IF((G98="3/24"),((база!$M$4*Таблица1[[#This Row],[сумма]]*Таблица1[[#This Row],[коэф]])),
IF((G98="5/16"),((база!$L$6*Таблица1[[#This Row],[сумма]]*Таблица1[[#This Row],[коэф]])),
IF((G98="4/16"),((база!$L$5*Таблица1[[#This Row],[сумма]]*Таблица1[[#This Row],[коэф]])),
IF((G98="3/16"),((база!$L$4*Таблица1[[#This Row],[сумма]]*Таблица1[[#This Row],[коэф]])),
IF((G98="4/4"),((база!$I$5*Таблица1[[#This Row],[сумма]]*Таблица1[[#This Row],[коэф]])),
IF(OR(G98="2/4",G98="3/4"),((база!$I$4*Таблица1[[#This Row],[сумма]]*Таблица1[[#This Row],[коэф]])),
IF((G98="5/8"),((база!$J$6*Таблица1[[#This Row],[сумма]]*Таблица1[[#This Row],[коэф]])),
IF((G98="4/8"),((база!$J$5*Таблица1[[#This Row],[сумма]]*Таблица1[[#This Row],[коэф]])),
IF(OR(G98="3/8",G98="2/8"),((база!$J$4*Таблица1[[#This Row],[сумма]]*Таблица1[[#This Row],[коэф]])))))))))))))),
(IF((G98="5/24"),((база!$M$6*Таблица1[[#This Row],[сумма]]*Таблица1[[#This Row],[коэф]])),
IF(OR(G98="4/24",G98="3/24"),((база!$M$5*Таблица1[[#This Row],[сумма]]*Таблица1[[#This Row],[коэф]])),
IF((G98="5/16"),((база!$L$6*Таблица1[[#This Row],[сумма]]*Таблица1[[#This Row],[коэф]])),
IF(OR(G98="4/16",G98="3/16"),((база!$L$5*Таблица1[[#This Row],[сумма]]*Таблица1[[#This Row],[коэф]])),
IF(OR(G98="2/4",G98="3/4",G98="4/4"),((база!$I$5*Таблица1[[#This Row],[сумма]]*Таблица1[[#This Row],[коэф]])),
IF((G98="5/8"),((база!$J$6*Таблица1[[#This Row],[сумма]]*Таблица1[[#This Row],[коэф]])),
IF(OR(G98="4/8",G98="3/8",G98="2/8"),((база!$J$5*Таблица1[[#This Row],[сумма]]*Таблица1[[#This Row],[коэф]])))))))))))</f>
        <v>0</v>
      </c>
      <c r="AP98" s="730" t="b">
        <f>IF(AR98&lt;=3,(IF((G98="5/24"),((база!$M$6*2*Таблица1[[#This Row],[Столбец1]]*Таблица1[[#This Row],[коэф]])),
IF((G98="4/24"),((база!$M$5*2*Таблица1[[#This Row],[Столбец1]]*Таблица1[[#This Row],[коэф]])),
IF((G98="3/24"),((база!$M$4*2*Таблица1[[#This Row],[Столбец1]]*Таблица1[[#This Row],[коэф]])),
IF((G98="5/16"),((база!$L$6*2*Таблица1[[#This Row],[Столбец1]]*Таблица1[[#This Row],[коэф]])),
IF((G98="4/16"),((база!$L$5*2*Таблица1[[#This Row],[Столбец1]]*Таблица1[[#This Row],[коэф]])),
IF((G98="3/16"),((база!$L$4*2*Таблица1[[#This Row],[Столбец1]]*Таблица1[[#This Row],[коэф]])),
IF((G98="4/4"),((база!$I$5*2*Таблица1[[#This Row],[Столбец1]]*Таблица1[[#This Row],[коэф]])),
IF(OR(G98="2/4",G98="3/4"),((база!$I$4*2*Таблица1[[#This Row],[Столбец1]]*Таблица1[[#This Row],[коэф]])),
IF((G98="5/8"),((база!$J$6*2*Таблица1[[#This Row],[Столбец1]]*Таблица1[[#This Row],[коэф]])),
IF((G98="4/8"),((база!$J$5*2*Таблица1[[#This Row],[Столбец1]]*Таблица1[[#This Row],[коэф]])),
IF(OR(G98="3/8",G98="2/8"),((база!$J$4*2*Таблица1[[#This Row],[Столбец1]]*Таблица1[[#This Row],[коэф]])))))))))))))),
(IF((G98="5/24"),((база!$M$6*2*Таблица1[[#This Row],[Столбец1]]*Таблица1[[#This Row],[коэф]])),
IF(OR(G98="4/24",G98="3/24"),((база!$M$5*2*Таблица1[[#This Row],[Столбец1]]*Таблица1[[#This Row],[коэф]])),
IF((G98="5/16"),((база!$L$6*2*Таблица1[[#This Row],[Столбец1]]*Таблица1[[#This Row],[коэф]])),
IF(OR(G98="4/16",G98="3/16"),((база!$L$5*2*Таблица1[[#This Row],[Столбец1]]*Таблица1[[#This Row],[коэф]])),
IF(OR(G98="2/4",G98="3/4",G98="4/4"),((база!$I$5*2*Таблица1[[#This Row],[Столбец1]]*Таблица1[[#This Row],[коэф]])),
IF((G98="5/8"),((база!$J$6*2*Таблица1[[#This Row],[Столбец1]]*Таблица1[[#This Row],[коэф]])),
IF(OR(G98="4/8",G98="3/8",G98="2/8"),((база!$J$5*2*Таблица1[[#This Row],[Столбец1]]*Таблица1[[#This Row],[коэф]])))))))))))</f>
        <v>0</v>
      </c>
      <c r="AQ98" s="712" t="str">
        <f>IFERROR(INDEX(база!T:T, MATCH(F98,база!Q:Q,0)),"")</f>
        <v/>
      </c>
      <c r="AR98" s="208" t="str">
        <f>IFERROR(INDEX(база!D:D, MATCH(F98,база!B:B,0)),"")</f>
        <v/>
      </c>
      <c r="AS98" s="758" t="str">
        <f>IFERROR(INDEX(база!E:E, MATCH(F98,база!B:B,0)),"")</f>
        <v/>
      </c>
    </row>
    <row r="99" spans="1:45" ht="15" customHeight="1">
      <c r="A99" s="1089" t="str">
        <f t="shared" si="3"/>
        <v>январь</v>
      </c>
      <c r="B99" t="n" s="1089">
        <v>2024.0</v>
      </c>
      <c r="C99" t="s" s="1089">
        <v>386</v>
      </c>
      <c r="D99" t="s" s="1089">
        <v>364</v>
      </c>
      <c r="E99" t="s" s="1089">
        <v>46</v>
      </c>
      <c r="F99" t="s" s="1089">
        <v>304</v>
      </c>
      <c r="G99" t="s" s="1089">
        <v>4</v>
      </c>
      <c r="H99" s="1089"/>
      <c r="I99" s="1089"/>
      <c r="J99" s="1089"/>
      <c r="K99" s="1089"/>
      <c r="L99" s="1089"/>
      <c r="M99" s="1089"/>
      <c r="N99" s="1089"/>
      <c r="O99" s="1089"/>
      <c r="P99" t="n" s="1089">
        <v>2.2</v>
      </c>
      <c r="Q99" s="563"/>
      <c r="R99" s="563"/>
      <c r="S99" s="563"/>
      <c r="T99" s="563"/>
      <c r="U99" s="563"/>
      <c r="V99" s="563"/>
      <c r="W99" s="563"/>
      <c r="X99" s="563"/>
      <c r="Y99" s="48"/>
      <c r="Z99" s="48"/>
      <c r="AA99" s="48"/>
      <c r="AB99" s="48"/>
      <c r="AC99" s="48"/>
      <c r="AD99" s="48"/>
      <c r="AE99" s="48"/>
      <c r="AF99" s="48"/>
      <c r="AG99" s="48"/>
      <c r="AH99" s="48"/>
      <c r="AI99" s="48"/>
      <c r="AJ99" s="51"/>
      <c r="AK99" s="51"/>
      <c r="AL99" s="51"/>
      <c r="AM99" s="212">
        <f>IF(AQ99=1,SUM(Q99:T99,W99:Z99,AC99:AF99,AI99:AL99),
IF(AQ99=2,SUM(P99,S99:V99,Y99:AB99,AE99:AH99,AK99:AL99),
IF(AQ99=3,SUM(P99:R99,U99:X99,AA99:AD99,AG99:AJ99),SUM(Таблица1[[#This Row],[1]:[31]])-Таблица1[[#This Row],[Столбец1]])))</f>
        <v>0</v>
      </c>
      <c r="AN99" s="778">
        <f t="array" ref="AN99">IF(AQ99=1,SUM(P99,U99:V99,AA99:AB99,AG99:AH99),
IF(AQ99=2,SUM(Q99:R99,W99:X99,AC99:AD99,AI99:AJ99),
IF(AQ99=3,SUM(S99:T99,Y99:Z99,AE99:AF99,AK99:AL99),
SUM(IFERROR(WEEKDAY($H$2:$AL$2,2)&gt;5,)*H99:AL99))))+Таблица1[[#This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99" s="292" t="b">
        <f>IF(AR99&lt;=3,(IF((G99="5/24"),((база!$M$6*Таблица1[[#This Row],[сумма]]*Таблица1[[#This Row],[коэф]])),
IF((G99="4/24"),((база!$M$5*Таблица1[[#This Row],[сумма]]*Таблица1[[#This Row],[коэф]])),
IF((G99="3/24"),((база!$M$4*Таблица1[[#This Row],[сумма]]*Таблица1[[#This Row],[коэф]])),
IF((G99="5/16"),((база!$L$6*Таблица1[[#This Row],[сумма]]*Таблица1[[#This Row],[коэф]])),
IF((G99="4/16"),((база!$L$5*Таблица1[[#This Row],[сумма]]*Таблица1[[#This Row],[коэф]])),
IF((G99="3/16"),((база!$L$4*Таблица1[[#This Row],[сумма]]*Таблица1[[#This Row],[коэф]])),
IF((G99="4/4"),((база!$I$5*Таблица1[[#This Row],[сумма]]*Таблица1[[#This Row],[коэф]])),
IF(OR(G99="2/4",G99="3/4"),((база!$I$4*Таблица1[[#This Row],[сумма]]*Таблица1[[#This Row],[коэф]])),
IF((G99="5/8"),((база!$J$6*Таблица1[[#This Row],[сумма]]*Таблица1[[#This Row],[коэф]])),
IF((G99="4/8"),((база!$J$5*Таблица1[[#This Row],[сумма]]*Таблица1[[#This Row],[коэф]])),
IF(OR(G99="3/8",G99="2/8"),((база!$J$4*Таблица1[[#This Row],[сумма]]*Таблица1[[#This Row],[коэф]])))))))))))))),
(IF((G99="5/24"),((база!$M$6*Таблица1[[#This Row],[сумма]]*Таблица1[[#This Row],[коэф]])),
IF(OR(G99="4/24",G99="3/24"),((база!$M$5*Таблица1[[#This Row],[сумма]]*Таблица1[[#This Row],[коэф]])),
IF((G99="5/16"),((база!$L$6*Таблица1[[#This Row],[сумма]]*Таблица1[[#This Row],[коэф]])),
IF(OR(G99="4/16",G99="3/16"),((база!$L$5*Таблица1[[#This Row],[сумма]]*Таблица1[[#This Row],[коэф]])),
IF(OR(G99="2/4",G99="3/4",G99="4/4"),((база!$I$5*Таблица1[[#This Row],[сумма]]*Таблица1[[#This Row],[коэф]])),
IF((G99="5/8"),((база!$J$6*Таблица1[[#This Row],[сумма]]*Таблица1[[#This Row],[коэф]])),
IF(OR(G99="4/8",G99="3/8",G99="2/8"),((база!$J$5*Таблица1[[#This Row],[сумма]]*Таблица1[[#This Row],[коэф]])))))))))))</f>
        <v>0</v>
      </c>
      <c r="AP99" s="730" t="b">
        <f>IF(AR99&lt;=3,(IF((G99="5/24"),((база!$M$6*2*Таблица1[[#This Row],[Столбец1]]*Таблица1[[#This Row],[коэф]])),
IF((G99="4/24"),((база!$M$5*2*Таблица1[[#This Row],[Столбец1]]*Таблица1[[#This Row],[коэф]])),
IF((G99="3/24"),((база!$M$4*2*Таблица1[[#This Row],[Столбец1]]*Таблица1[[#This Row],[коэф]])),
IF((G99="5/16"),((база!$L$6*2*Таблица1[[#This Row],[Столбец1]]*Таблица1[[#This Row],[коэф]])),
IF((G99="4/16"),((база!$L$5*2*Таблица1[[#This Row],[Столбец1]]*Таблица1[[#This Row],[коэф]])),
IF((G99="3/16"),((база!$L$4*2*Таблица1[[#This Row],[Столбец1]]*Таблица1[[#This Row],[коэф]])),
IF((G99="4/4"),((база!$I$5*2*Таблица1[[#This Row],[Столбец1]]*Таблица1[[#This Row],[коэф]])),
IF(OR(G99="2/4",G99="3/4"),((база!$I$4*2*Таблица1[[#This Row],[Столбец1]]*Таблица1[[#This Row],[коэф]])),
IF((G99="5/8"),((база!$J$6*2*Таблица1[[#This Row],[Столбец1]]*Таблица1[[#This Row],[коэф]])),
IF((G99="4/8"),((база!$J$5*2*Таблица1[[#This Row],[Столбец1]]*Таблица1[[#This Row],[коэф]])),
IF(OR(G99="3/8",G99="2/8"),((база!$J$4*2*Таблица1[[#This Row],[Столбец1]]*Таблица1[[#This Row],[коэф]])))))))))))))),
(IF((G99="5/24"),((база!$M$6*2*Таблица1[[#This Row],[Столбец1]]*Таблица1[[#This Row],[коэф]])),
IF(OR(G99="4/24",G99="3/24"),((база!$M$5*2*Таблица1[[#This Row],[Столбец1]]*Таблица1[[#This Row],[коэф]])),
IF((G99="5/16"),((база!$L$6*2*Таблица1[[#This Row],[Столбец1]]*Таблица1[[#This Row],[коэф]])),
IF(OR(G99="4/16",G99="3/16"),((база!$L$5*2*Таблица1[[#This Row],[Столбец1]]*Таблица1[[#This Row],[коэф]])),
IF(OR(G99="2/4",G99="3/4",G99="4/4"),((база!$I$5*2*Таблица1[[#This Row],[Столбец1]]*Таблица1[[#This Row],[коэф]])),
IF((G99="5/8"),((база!$J$6*2*Таблица1[[#This Row],[Столбец1]]*Таблица1[[#This Row],[коэф]])),
IF(OR(G99="4/8",G99="3/8",G99="2/8"),((база!$J$5*2*Таблица1[[#This Row],[Столбец1]]*Таблица1[[#This Row],[коэф]])))))))))))</f>
        <v>0</v>
      </c>
      <c r="AQ99" s="712" t="str">
        <f>IFERROR(INDEX(база!T:T, MATCH(F99,база!Q:Q,0)),"")</f>
        <v/>
      </c>
      <c r="AR99" s="208" t="str">
        <f>IFERROR(INDEX(база!D:D, MATCH(F99,база!B:B,0)),"")</f>
        <v/>
      </c>
      <c r="AS99" s="758" t="str">
        <f>IFERROR(INDEX(база!E:E, MATCH(F99,база!B:B,0)),"")</f>
        <v/>
      </c>
    </row>
    <row r="100" spans="1:45" s="46" customFormat="1" ht="15">
      <c r="A100" s="1090" t="str">
        <f t="shared" si="3"/>
        <v>январь</v>
      </c>
      <c r="B100" t="n" s="1090">
        <v>2024.0</v>
      </c>
      <c r="C100" t="s" s="1090">
        <v>388</v>
      </c>
      <c r="D100" t="s" s="1090">
        <v>366</v>
      </c>
      <c r="E100" t="s" s="1090">
        <v>46</v>
      </c>
      <c r="F100" t="s" s="1090">
        <v>328</v>
      </c>
      <c r="G100" t="s" s="1090">
        <v>4</v>
      </c>
      <c r="H100" s="1090"/>
      <c r="I100" s="1090"/>
      <c r="J100" s="1090"/>
      <c r="K100" s="1090"/>
      <c r="L100" s="1090"/>
      <c r="M100" s="1090"/>
      <c r="N100" s="1090"/>
      <c r="O100" t="n" s="1090">
        <v>7.2</v>
      </c>
      <c r="P100" s="300"/>
      <c r="Q100" s="563"/>
      <c r="R100" s="48"/>
      <c r="S100" s="48"/>
      <c r="T100" s="48"/>
      <c r="U100" s="48"/>
      <c r="V100" s="563"/>
      <c r="W100" s="563"/>
      <c r="X100" s="48"/>
      <c r="Y100" s="48"/>
      <c r="Z100" s="48"/>
      <c r="AA100" s="48"/>
      <c r="AB100" s="48"/>
      <c r="AC100" s="48"/>
      <c r="AD100" s="48"/>
      <c r="AE100" s="48"/>
      <c r="AF100" s="48"/>
      <c r="AG100" s="48"/>
      <c r="AH100" s="48"/>
      <c r="AI100" s="48"/>
      <c r="AJ100" s="48"/>
      <c r="AK100" s="48"/>
      <c r="AL100" s="51"/>
      <c r="AM100" s="212">
        <f>IF(AQ100=1,SUM(Q100:T100,W100:Z100,AC100:AF100,AI100:AL100),
IF(AQ100=2,SUM(P100,S100:V100,Y100:AB100,AE100:AH100,AK100:AL100),
IF(AQ100=3,SUM(P100:R100,U100:X100,AA100:AD100,AG100:AJ100),SUM(Таблица1[[#This Row],[1]:[31]])-Таблица1[[#This Row],[Столбец1]])))</f>
        <v>0</v>
      </c>
      <c r="AN100" s="778">
        <f t="array" ref="AN100">IF(AQ100=1,SUM(P100,U100:V100,AA100:AB100,AG100:AH100),
IF(AQ100=2,SUM(Q100:R100,W100:X100,AC100:AD100,AI100:AJ100),
IF(AQ100=3,SUM(S100:T100,Y100:Z100,AE100:AF100,AK100:AL100),
SUM(IFERROR(WEEKDAY($H$2:$AL$2,2)&gt;5,)*H100:AL100))))+Таблица1[[#This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00" s="292" t="b">
        <f>IF(AR100&lt;=3,(IF((G100="5/24"),((база!$M$6*Таблица1[[#This Row],[сумма]]*Таблица1[[#This Row],[коэф]])),
IF((G100="4/24"),((база!$M$5*Таблица1[[#This Row],[сумма]]*Таблица1[[#This Row],[коэф]])),
IF((G100="3/24"),((база!$M$4*Таблица1[[#This Row],[сумма]]*Таблица1[[#This Row],[коэф]])),
IF((G100="5/16"),((база!$L$6*Таблица1[[#This Row],[сумма]]*Таблица1[[#This Row],[коэф]])),
IF((G100="4/16"),((база!$L$5*Таблица1[[#This Row],[сумма]]*Таблица1[[#This Row],[коэф]])),
IF((G100="3/16"),((база!$L$4*Таблица1[[#This Row],[сумма]]*Таблица1[[#This Row],[коэф]])),
IF((G100="4/4"),((база!$I$5*Таблица1[[#This Row],[сумма]]*Таблица1[[#This Row],[коэф]])),
IF(OR(G100="2/4",G100="3/4"),((база!$I$4*Таблица1[[#This Row],[сумма]]*Таблица1[[#This Row],[коэф]])),
IF((G100="5/8"),((база!$J$6*Таблица1[[#This Row],[сумма]]*Таблица1[[#This Row],[коэф]])),
IF((G100="4/8"),((база!$J$5*Таблица1[[#This Row],[сумма]]*Таблица1[[#This Row],[коэф]])),
IF(OR(G100="3/8",G100="2/8"),((база!$J$4*Таблица1[[#This Row],[сумма]]*Таблица1[[#This Row],[коэф]])))))))))))))),
(IF((G100="5/24"),((база!$M$6*Таблица1[[#This Row],[сумма]]*Таблица1[[#This Row],[коэф]])),
IF(OR(G100="4/24",G100="3/24"),((база!$M$5*Таблица1[[#This Row],[сумма]]*Таблица1[[#This Row],[коэф]])),
IF((G100="5/16"),((база!$L$6*Таблица1[[#This Row],[сумма]]*Таблица1[[#This Row],[коэф]])),
IF(OR(G100="4/16",G100="3/16"),((база!$L$5*Таблица1[[#This Row],[сумма]]*Таблица1[[#This Row],[коэф]])),
IF(OR(G100="2/4",G100="3/4",G100="4/4"),((база!$I$5*Таблица1[[#This Row],[сумма]]*Таблица1[[#This Row],[коэф]])),
IF((G100="5/8"),((база!$J$6*Таблица1[[#This Row],[сумма]]*Таблица1[[#This Row],[коэф]])),
IF(OR(G100="4/8",G100="3/8",G100="2/8"),((база!$J$5*Таблица1[[#This Row],[сумма]]*Таблица1[[#This Row],[коэф]])))))))))))</f>
        <v>0</v>
      </c>
      <c r="AP100" s="730" t="b">
        <f>IF(AR100&lt;=3,(IF((G100="5/24"),((база!$M$6*2*Таблица1[[#This Row],[Столбец1]]*Таблица1[[#This Row],[коэф]])),
IF((G100="4/24"),((база!$M$5*2*Таблица1[[#This Row],[Столбец1]]*Таблица1[[#This Row],[коэф]])),
IF((G100="3/24"),((база!$M$4*2*Таблица1[[#This Row],[Столбец1]]*Таблица1[[#This Row],[коэф]])),
IF((G100="5/16"),((база!$L$6*2*Таблица1[[#This Row],[Столбец1]]*Таблица1[[#This Row],[коэф]])),
IF((G100="4/16"),((база!$L$5*2*Таблица1[[#This Row],[Столбец1]]*Таблица1[[#This Row],[коэф]])),
IF((G100="3/16"),((база!$L$4*2*Таблица1[[#This Row],[Столбец1]]*Таблица1[[#This Row],[коэф]])),
IF((G100="4/4"),((база!$I$5*2*Таблица1[[#This Row],[Столбец1]]*Таблица1[[#This Row],[коэф]])),
IF(OR(G100="2/4",G100="3/4"),((база!$I$4*2*Таблица1[[#This Row],[Столбец1]]*Таблица1[[#This Row],[коэф]])),
IF((G100="5/8"),((база!$J$6*2*Таблица1[[#This Row],[Столбец1]]*Таблица1[[#This Row],[коэф]])),
IF((G100="4/8"),((база!$J$5*2*Таблица1[[#This Row],[Столбец1]]*Таблица1[[#This Row],[коэф]])),
IF(OR(G100="3/8",G100="2/8"),((база!$J$4*2*Таблица1[[#This Row],[Столбец1]]*Таблица1[[#This Row],[коэф]])))))))))))))),
(IF((G100="5/24"),((база!$M$6*2*Таблица1[[#This Row],[Столбец1]]*Таблица1[[#This Row],[коэф]])),
IF(OR(G100="4/24",G100="3/24"),((база!$M$5*2*Таблица1[[#This Row],[Столбец1]]*Таблица1[[#This Row],[коэф]])),
IF((G100="5/16"),((база!$L$6*2*Таблица1[[#This Row],[Столбец1]]*Таблица1[[#This Row],[коэф]])),
IF(OR(G100="4/16",G100="3/16"),((база!$L$5*2*Таблица1[[#This Row],[Столбец1]]*Таблица1[[#This Row],[коэф]])),
IF(OR(G100="2/4",G100="3/4",G100="4/4"),((база!$I$5*2*Таблица1[[#This Row],[Столбец1]]*Таблица1[[#This Row],[коэф]])),
IF((G100="5/8"),((база!$J$6*2*Таблица1[[#This Row],[Столбец1]]*Таблица1[[#This Row],[коэф]])),
IF(OR(G100="4/8",G100="3/8",G100="2/8"),((база!$J$5*2*Таблица1[[#This Row],[Столбец1]]*Таблица1[[#This Row],[коэф]])))))))))))</f>
        <v>0</v>
      </c>
      <c r="AQ100" s="712" t="str">
        <f>IFERROR(INDEX(база!T:T, MATCH(F100,база!Q:Q,0)),"")</f>
        <v/>
      </c>
      <c r="AR100" s="208" t="str">
        <f>IFERROR(INDEX(база!D:D, MATCH(F100,база!B:B,0)),"")</f>
        <v/>
      </c>
      <c r="AS100" s="758" t="str">
        <f>IFERROR(INDEX(база!E:E, MATCH(F100,база!B:B,0)),"")</f>
        <v/>
      </c>
    </row>
    <row r="101" spans="1:45" ht="15" customHeight="1">
      <c r="A101" s="1091" t="str">
        <f t="shared" si="3"/>
        <v>январь</v>
      </c>
      <c r="B101" t="n" s="1091">
        <v>2024.0</v>
      </c>
      <c r="C101" t="s" s="1091">
        <v>392</v>
      </c>
      <c r="D101" t="s" s="1091">
        <v>364</v>
      </c>
      <c r="E101" t="s" s="1091">
        <v>46</v>
      </c>
      <c r="F101" t="s" s="1091">
        <v>328</v>
      </c>
      <c r="G101" t="s" s="1091">
        <v>4</v>
      </c>
      <c r="H101" s="1091"/>
      <c r="I101" s="1091"/>
      <c r="J101" s="1091"/>
      <c r="K101" s="1091"/>
      <c r="L101" s="1091"/>
      <c r="M101" s="1091"/>
      <c r="N101" s="1091"/>
      <c r="O101" s="1091"/>
      <c r="P101" t="n" s="1091">
        <v>7.2</v>
      </c>
      <c r="Q101" s="563"/>
      <c r="R101" s="48"/>
      <c r="S101" s="48"/>
      <c r="T101" s="48"/>
      <c r="U101" s="48"/>
      <c r="V101" s="563"/>
      <c r="W101" s="563"/>
      <c r="X101" s="48"/>
      <c r="Y101" s="48"/>
      <c r="Z101" s="48"/>
      <c r="AA101" s="48"/>
      <c r="AB101" s="48"/>
      <c r="AC101" s="48"/>
      <c r="AD101" s="48"/>
      <c r="AE101" s="48"/>
      <c r="AF101" s="51"/>
      <c r="AG101" s="51"/>
      <c r="AH101" s="51"/>
      <c r="AI101" s="51"/>
      <c r="AJ101" s="51"/>
      <c r="AK101" s="51"/>
      <c r="AL101" s="51"/>
      <c r="AM101" s="212">
        <f>IF(AQ101=1,SUM(Q101:T101,W101:Z101,AC101:AF101,AI101:AL101),
IF(AQ101=2,SUM(P101,S101:V101,Y101:AB101,AE101:AH101,AK101:AL101),
IF(AQ101=3,SUM(P101:R101,U101:X101,AA101:AD101,AG101:AJ101),SUM(Таблица1[[#This Row],[1]:[31]])-Таблица1[[#This Row],[Столбец1]])))</f>
        <v>0</v>
      </c>
      <c r="AN101" s="778">
        <f t="array" ref="AN101">IF(AQ101=1,SUM(P101,U101:V101,AA101:AB101,AG101:AH101),
IF(AQ101=2,SUM(Q101:R101,W101:X101,AC101:AD101,AI101:AJ101),
IF(AQ101=3,SUM(S101:T101,Y101:Z101,AE101:AF101,AK101:AL101),
SUM(IFERROR(WEEKDAY($H$2:$AL$2,2)&gt;5,)*H101:AL101))))+Таблица1[[#This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01" s="292" t="b">
        <f>IF(AR101&lt;=3,(IF((G101="5/24"),((база!$M$6*Таблица1[[#This Row],[сумма]]*Таблица1[[#This Row],[коэф]])),
IF((G101="4/24"),((база!$M$5*Таблица1[[#This Row],[сумма]]*Таблица1[[#This Row],[коэф]])),
IF((G101="3/24"),((база!$M$4*Таблица1[[#This Row],[сумма]]*Таблица1[[#This Row],[коэф]])),
IF((G101="5/16"),((база!$L$6*Таблица1[[#This Row],[сумма]]*Таблица1[[#This Row],[коэф]])),
IF((G101="4/16"),((база!$L$5*Таблица1[[#This Row],[сумма]]*Таблица1[[#This Row],[коэф]])),
IF((G101="3/16"),((база!$L$4*Таблица1[[#This Row],[сумма]]*Таблица1[[#This Row],[коэф]])),
IF((G101="4/4"),((база!$I$5*Таблица1[[#This Row],[сумма]]*Таблица1[[#This Row],[коэф]])),
IF(OR(G101="2/4",G101="3/4"),((база!$I$4*Таблица1[[#This Row],[сумма]]*Таблица1[[#This Row],[коэф]])),
IF((G101="5/8"),((база!$J$6*Таблица1[[#This Row],[сумма]]*Таблица1[[#This Row],[коэф]])),
IF((G101="4/8"),((база!$J$5*Таблица1[[#This Row],[сумма]]*Таблица1[[#This Row],[коэф]])),
IF(OR(G101="3/8",G101="2/8"),((база!$J$4*Таблица1[[#This Row],[сумма]]*Таблица1[[#This Row],[коэф]])))))))))))))),
(IF((G101="5/24"),((база!$M$6*Таблица1[[#This Row],[сумма]]*Таблица1[[#This Row],[коэф]])),
IF(OR(G101="4/24",G101="3/24"),((база!$M$5*Таблица1[[#This Row],[сумма]]*Таблица1[[#This Row],[коэф]])),
IF((G101="5/16"),((база!$L$6*Таблица1[[#This Row],[сумма]]*Таблица1[[#This Row],[коэф]])),
IF(OR(G101="4/16",G101="3/16"),((база!$L$5*Таблица1[[#This Row],[сумма]]*Таблица1[[#This Row],[коэф]])),
IF(OR(G101="2/4",G101="3/4",G101="4/4"),((база!$I$5*Таблица1[[#This Row],[сумма]]*Таблица1[[#This Row],[коэф]])),
IF((G101="5/8"),((база!$J$6*Таблица1[[#This Row],[сумма]]*Таблица1[[#This Row],[коэф]])),
IF(OR(G101="4/8",G101="3/8",G101="2/8"),((база!$J$5*Таблица1[[#This Row],[сумма]]*Таблица1[[#This Row],[коэф]])))))))))))</f>
        <v>0</v>
      </c>
      <c r="AP101" s="730" t="b">
        <f>IF(AR101&lt;=3,(IF((G101="5/24"),((база!$M$6*2*Таблица1[[#This Row],[Столбец1]]*Таблица1[[#This Row],[коэф]])),
IF((G101="4/24"),((база!$M$5*2*Таблица1[[#This Row],[Столбец1]]*Таблица1[[#This Row],[коэф]])),
IF((G101="3/24"),((база!$M$4*2*Таблица1[[#This Row],[Столбец1]]*Таблица1[[#This Row],[коэф]])),
IF((G101="5/16"),((база!$L$6*2*Таблица1[[#This Row],[Столбец1]]*Таблица1[[#This Row],[коэф]])),
IF((G101="4/16"),((база!$L$5*2*Таблица1[[#This Row],[Столбец1]]*Таблица1[[#This Row],[коэф]])),
IF((G101="3/16"),((база!$L$4*2*Таблица1[[#This Row],[Столбец1]]*Таблица1[[#This Row],[коэф]])),
IF((G101="4/4"),((база!$I$5*2*Таблица1[[#This Row],[Столбец1]]*Таблица1[[#This Row],[коэф]])),
IF(OR(G101="2/4",G101="3/4"),((база!$I$4*2*Таблица1[[#This Row],[Столбец1]]*Таблица1[[#This Row],[коэф]])),
IF((G101="5/8"),((база!$J$6*2*Таблица1[[#This Row],[Столбец1]]*Таблица1[[#This Row],[коэф]])),
IF((G101="4/8"),((база!$J$5*2*Таблица1[[#This Row],[Столбец1]]*Таблица1[[#This Row],[коэф]])),
IF(OR(G101="3/8",G101="2/8"),((база!$J$4*2*Таблица1[[#This Row],[Столбец1]]*Таблица1[[#This Row],[коэф]])))))))))))))),
(IF((G101="5/24"),((база!$M$6*2*Таблица1[[#This Row],[Столбец1]]*Таблица1[[#This Row],[коэф]])),
IF(OR(G101="4/24",G101="3/24"),((база!$M$5*2*Таблица1[[#This Row],[Столбец1]]*Таблица1[[#This Row],[коэф]])),
IF((G101="5/16"),((база!$L$6*2*Таблица1[[#This Row],[Столбец1]]*Таблица1[[#This Row],[коэф]])),
IF(OR(G101="4/16",G101="3/16"),((база!$L$5*2*Таблица1[[#This Row],[Столбец1]]*Таблица1[[#This Row],[коэф]])),
IF(OR(G101="2/4",G101="3/4",G101="4/4"),((база!$I$5*2*Таблица1[[#This Row],[Столбец1]]*Таблица1[[#This Row],[коэф]])),
IF((G101="5/8"),((база!$J$6*2*Таблица1[[#This Row],[Столбец1]]*Таблица1[[#This Row],[коэф]])),
IF(OR(G101="4/8",G101="3/8",G101="2/8"),((база!$J$5*2*Таблица1[[#This Row],[Столбец1]]*Таблица1[[#This Row],[коэф]])))))))))))</f>
        <v>0</v>
      </c>
      <c r="AQ101" s="712" t="str">
        <f>IFERROR(INDEX(база!T:T, MATCH(F101,база!Q:Q,0)),"")</f>
        <v/>
      </c>
      <c r="AR101" s="208" t="str">
        <f>IFERROR(INDEX(база!D:D, MATCH(F101,база!B:B,0)),"")</f>
        <v/>
      </c>
      <c r="AS101" s="758" t="str">
        <f>IFERROR(INDEX(база!E:E, MATCH(F101,база!B:B,0)),"")</f>
        <v/>
      </c>
    </row>
    <row r="102" spans="1:45" ht="15" customHeight="1">
      <c r="A102" s="1092" t="str">
        <f t="shared" si="3"/>
        <v>январь</v>
      </c>
      <c r="B102" t="n" s="1092">
        <v>2024.0</v>
      </c>
      <c r="C102" t="s" s="1092">
        <v>386</v>
      </c>
      <c r="D102" t="s" s="1092">
        <v>364</v>
      </c>
      <c r="E102" t="s" s="1092">
        <v>46</v>
      </c>
      <c r="F102" t="s" s="1092">
        <v>297</v>
      </c>
      <c r="G102" t="s" s="1092">
        <v>4</v>
      </c>
      <c r="H102" s="1092"/>
      <c r="I102" s="1092"/>
      <c r="J102" s="1092"/>
      <c r="K102" s="1092"/>
      <c r="L102" s="1092"/>
      <c r="M102" s="1092"/>
      <c r="N102" s="1092"/>
      <c r="O102" s="1092"/>
      <c r="P102" s="1092"/>
      <c r="Q102" t="n" s="1092">
        <v>7.2</v>
      </c>
      <c r="R102" s="563"/>
      <c r="S102" s="563"/>
      <c r="T102" s="563"/>
      <c r="U102" s="563"/>
      <c r="V102" s="563"/>
      <c r="W102" s="563"/>
      <c r="X102" s="563"/>
      <c r="Y102" s="48"/>
      <c r="Z102" s="48"/>
      <c r="AA102" s="48"/>
      <c r="AB102" s="48"/>
      <c r="AC102" s="48"/>
      <c r="AD102" s="48"/>
      <c r="AE102" s="48"/>
      <c r="AF102" s="48"/>
      <c r="AG102" s="48"/>
      <c r="AH102" s="48"/>
      <c r="AI102" s="48"/>
      <c r="AJ102" s="48"/>
      <c r="AK102" s="48"/>
      <c r="AL102" s="51"/>
      <c r="AM102" s="212">
        <f>IF(AQ102=1,SUM(Q102:T102,W102:Z102,AC102:AF102,AI102:AL102),
IF(AQ102=2,SUM(P102,S102:V102,Y102:AB102,AE102:AH102,AK102:AL102),
IF(AQ102=3,SUM(P102:R102,U102:X102,AA102:AD102,AG102:AJ102),SUM(Таблица1[[#This Row],[1]:[31]])-Таблица1[[#This Row],[Столбец1]])))</f>
        <v>0</v>
      </c>
      <c r="AN102" s="778">
        <f t="array" ref="AN102">IF(AQ102=1,SUM(P102,U102:V102,AA102:AB102,AG102:AH102),
IF(AQ102=2,SUM(Q102:R102,W102:X102,AC102:AD102,AI102:AJ102),
IF(AQ102=3,SUM(S102:T102,Y102:Z102,AE102:AF102,AK102:AL102),
SUM(IFERROR(WEEKDAY($H$2:$AL$2,2)&gt;5,)*H102:AL102))))+Таблица1[[#This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02" s="292" t="b">
        <f>IF(AR102&lt;=3,(IF((G102="5/24"),((база!$M$6*Таблица1[[#This Row],[сумма]]*Таблица1[[#This Row],[коэф]])),
IF((G102="4/24"),((база!$M$5*Таблица1[[#This Row],[сумма]]*Таблица1[[#This Row],[коэф]])),
IF((G102="3/24"),((база!$M$4*Таблица1[[#This Row],[сумма]]*Таблица1[[#This Row],[коэф]])),
IF((G102="5/16"),((база!$L$6*Таблица1[[#This Row],[сумма]]*Таблица1[[#This Row],[коэф]])),
IF((G102="4/16"),((база!$L$5*Таблица1[[#This Row],[сумма]]*Таблица1[[#This Row],[коэф]])),
IF((G102="3/16"),((база!$L$4*Таблица1[[#This Row],[сумма]]*Таблица1[[#This Row],[коэф]])),
IF((G102="4/4"),((база!$I$5*Таблица1[[#This Row],[сумма]]*Таблица1[[#This Row],[коэф]])),
IF(OR(G102="2/4",G102="3/4"),((база!$I$4*Таблица1[[#This Row],[сумма]]*Таблица1[[#This Row],[коэф]])),
IF((G102="5/8"),((база!$J$6*Таблица1[[#This Row],[сумма]]*Таблица1[[#This Row],[коэф]])),
IF((G102="4/8"),((база!$J$5*Таблица1[[#This Row],[сумма]]*Таблица1[[#This Row],[коэф]])),
IF(OR(G102="3/8",G102="2/8"),((база!$J$4*Таблица1[[#This Row],[сумма]]*Таблица1[[#This Row],[коэф]])))))))))))))),
(IF((G102="5/24"),((база!$M$6*Таблица1[[#This Row],[сумма]]*Таблица1[[#This Row],[коэф]])),
IF(OR(G102="4/24",G102="3/24"),((база!$M$5*Таблица1[[#This Row],[сумма]]*Таблица1[[#This Row],[коэф]])),
IF((G102="5/16"),((база!$L$6*Таблица1[[#This Row],[сумма]]*Таблица1[[#This Row],[коэф]])),
IF(OR(G102="4/16",G102="3/16"),((база!$L$5*Таблица1[[#This Row],[сумма]]*Таблица1[[#This Row],[коэф]])),
IF(OR(G102="2/4",G102="3/4",G102="4/4"),((база!$I$5*Таблица1[[#This Row],[сумма]]*Таблица1[[#This Row],[коэф]])),
IF((G102="5/8"),((база!$J$6*Таблица1[[#This Row],[сумма]]*Таблица1[[#This Row],[коэф]])),
IF(OR(G102="4/8",G102="3/8",G102="2/8"),((база!$J$5*Таблица1[[#This Row],[сумма]]*Таблица1[[#This Row],[коэф]])))))))))))</f>
        <v>0</v>
      </c>
      <c r="AP102" s="730" t="b">
        <f>IF(AR102&lt;=3,(IF((G102="5/24"),((база!$M$6*2*Таблица1[[#This Row],[Столбец1]]*Таблица1[[#This Row],[коэф]])),
IF((G102="4/24"),((база!$M$5*2*Таблица1[[#This Row],[Столбец1]]*Таблица1[[#This Row],[коэф]])),
IF((G102="3/24"),((база!$M$4*2*Таблица1[[#This Row],[Столбец1]]*Таблица1[[#This Row],[коэф]])),
IF((G102="5/16"),((база!$L$6*2*Таблица1[[#This Row],[Столбец1]]*Таблица1[[#This Row],[коэф]])),
IF((G102="4/16"),((база!$L$5*2*Таблица1[[#This Row],[Столбец1]]*Таблица1[[#This Row],[коэф]])),
IF((G102="3/16"),((база!$L$4*2*Таблица1[[#This Row],[Столбец1]]*Таблица1[[#This Row],[коэф]])),
IF((G102="4/4"),((база!$I$5*2*Таблица1[[#This Row],[Столбец1]]*Таблица1[[#This Row],[коэф]])),
IF(OR(G102="2/4",G102="3/4"),((база!$I$4*2*Таблица1[[#This Row],[Столбец1]]*Таблица1[[#This Row],[коэф]])),
IF((G102="5/8"),((база!$J$6*2*Таблица1[[#This Row],[Столбец1]]*Таблица1[[#This Row],[коэф]])),
IF((G102="4/8"),((база!$J$5*2*Таблица1[[#This Row],[Столбец1]]*Таблица1[[#This Row],[коэф]])),
IF(OR(G102="3/8",G102="2/8"),((база!$J$4*2*Таблица1[[#This Row],[Столбец1]]*Таблица1[[#This Row],[коэф]])))))))))))))),
(IF((G102="5/24"),((база!$M$6*2*Таблица1[[#This Row],[Столбец1]]*Таблица1[[#This Row],[коэф]])),
IF(OR(G102="4/24",G102="3/24"),((база!$M$5*2*Таблица1[[#This Row],[Столбец1]]*Таблица1[[#This Row],[коэф]])),
IF((G102="5/16"),((база!$L$6*2*Таблица1[[#This Row],[Столбец1]]*Таблица1[[#This Row],[коэф]])),
IF(OR(G102="4/16",G102="3/16"),((база!$L$5*2*Таблица1[[#This Row],[Столбец1]]*Таблица1[[#This Row],[коэф]])),
IF(OR(G102="2/4",G102="3/4",G102="4/4"),((база!$I$5*2*Таблица1[[#This Row],[Столбец1]]*Таблица1[[#This Row],[коэф]])),
IF((G102="5/8"),((база!$J$6*2*Таблица1[[#This Row],[Столбец1]]*Таблица1[[#This Row],[коэф]])),
IF(OR(G102="4/8",G102="3/8",G102="2/8"),((база!$J$5*2*Таблица1[[#This Row],[Столбец1]]*Таблица1[[#This Row],[коэф]])))))))))))</f>
        <v>0</v>
      </c>
      <c r="AQ102" s="712" t="str">
        <f>IFERROR(INDEX(база!T:T, MATCH(F102,база!Q:Q,0)),"")</f>
        <v/>
      </c>
      <c r="AR102" s="208" t="str">
        <f>IFERROR(INDEX(база!D:D, MATCH(F102,база!B:B,0)),"")</f>
        <v/>
      </c>
      <c r="AS102" s="758" t="str">
        <f>IFERROR(INDEX(база!E:E, MATCH(F102,база!B:B,0)),"")</f>
        <v/>
      </c>
    </row>
    <row r="103" spans="1:45" ht="15" customHeight="1">
      <c r="A103" s="1093" t="str">
        <f t="shared" si="3"/>
        <v>январь</v>
      </c>
      <c r="B103" t="n" s="1093">
        <v>2024.0</v>
      </c>
      <c r="C103" t="s" s="1093">
        <v>388</v>
      </c>
      <c r="D103" t="s" s="1093">
        <v>364</v>
      </c>
      <c r="E103" t="s" s="1093">
        <v>393</v>
      </c>
      <c r="F103" t="s" s="1093">
        <v>302</v>
      </c>
      <c r="G103" t="s" s="1093">
        <v>4</v>
      </c>
      <c r="H103" s="1093"/>
      <c r="I103" s="1093"/>
      <c r="J103" s="1093"/>
      <c r="K103" s="1093"/>
      <c r="L103" s="1093"/>
      <c r="M103" s="1093"/>
      <c r="N103" s="1093"/>
      <c r="O103" s="1093"/>
      <c r="P103" s="1093"/>
      <c r="Q103" t="n" s="1093">
        <v>6.0</v>
      </c>
      <c r="R103" s="563"/>
      <c r="S103" s="563"/>
      <c r="T103" s="563"/>
      <c r="U103" s="563"/>
      <c r="V103" s="48"/>
      <c r="W103" s="48"/>
      <c r="X103" s="48"/>
      <c r="Y103" s="48"/>
      <c r="Z103" s="48"/>
      <c r="AA103" s="48"/>
      <c r="AB103" s="48"/>
      <c r="AC103" s="48"/>
      <c r="AD103" s="48"/>
      <c r="AE103" s="48"/>
      <c r="AF103" s="48"/>
      <c r="AG103" s="48"/>
      <c r="AH103" s="48"/>
      <c r="AI103" s="48"/>
      <c r="AJ103" s="48"/>
      <c r="AK103" s="48"/>
      <c r="AL103" s="258"/>
      <c r="AM103" s="212">
        <f>IF(AQ103=1,SUM(Q103:T103,W103:Z103,AC103:AF103,AI103:AL103),
IF(AQ103=2,SUM(P103,S103:V103,Y103:AB103,AE103:AH103,AK103:AL103),
IF(AQ103=3,SUM(P103:R103,U103:X103,AA103:AD103,AG103:AJ103),SUM(Таблица1[[#This Row],[1]:[31]])-Таблица1[[#This Row],[Столбец1]])))</f>
        <v>0</v>
      </c>
      <c r="AN103" s="778">
        <f t="array" ref="AN103">IF(AQ103=1,SUM(P103,U103:V103,AA103:AB103,AG103:AH103),
IF(AQ103=2,SUM(Q103:R103,W103:X103,AC103:AD103,AI103:AJ103),
IF(AQ103=3,SUM(S103:T103,Y103:Z103,AE103:AF103,AK103:AL103),
SUM(IFERROR(WEEKDAY($H$2:$AL$2,2)&gt;5,)*H103:AL103))))+Таблица1[[#This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03" s="292" t="b">
        <f>IF(AR103&lt;=3,(IF((G103="5/24"),((база!$M$6*Таблица1[[#This Row],[сумма]]*Таблица1[[#This Row],[коэф]])),
IF((G103="4/24"),((база!$M$5*Таблица1[[#This Row],[сумма]]*Таблица1[[#This Row],[коэф]])),
IF((G103="3/24"),((база!$M$4*Таблица1[[#This Row],[сумма]]*Таблица1[[#This Row],[коэф]])),
IF((G103="5/16"),((база!$L$6*Таблица1[[#This Row],[сумма]]*Таблица1[[#This Row],[коэф]])),
IF((G103="4/16"),((база!$L$5*Таблица1[[#This Row],[сумма]]*Таблица1[[#This Row],[коэф]])),
IF((G103="3/16"),((база!$L$4*Таблица1[[#This Row],[сумма]]*Таблица1[[#This Row],[коэф]])),
IF((G103="4/4"),((база!$I$5*Таблица1[[#This Row],[сумма]]*Таблица1[[#This Row],[коэф]])),
IF(OR(G103="2/4",G103="3/4"),((база!$I$4*Таблица1[[#This Row],[сумма]]*Таблица1[[#This Row],[коэф]])),
IF((G103="5/8"),((база!$J$6*Таблица1[[#This Row],[сумма]]*Таблица1[[#This Row],[коэф]])),
IF((G103="4/8"),((база!$J$5*Таблица1[[#This Row],[сумма]]*Таблица1[[#This Row],[коэф]])),
IF(OR(G103="3/8",G103="2/8"),((база!$J$4*Таблица1[[#This Row],[сумма]]*Таблица1[[#This Row],[коэф]])))))))))))))),
(IF((G103="5/24"),((база!$M$6*Таблица1[[#This Row],[сумма]]*Таблица1[[#This Row],[коэф]])),
IF(OR(G103="4/24",G103="3/24"),((база!$M$5*Таблица1[[#This Row],[сумма]]*Таблица1[[#This Row],[коэф]])),
IF((G103="5/16"),((база!$L$6*Таблица1[[#This Row],[сумма]]*Таблица1[[#This Row],[коэф]])),
IF(OR(G103="4/16",G103="3/16"),((база!$L$5*Таблица1[[#This Row],[сумма]]*Таблица1[[#This Row],[коэф]])),
IF(OR(G103="2/4",G103="3/4",G103="4/4"),((база!$I$5*Таблица1[[#This Row],[сумма]]*Таблица1[[#This Row],[коэф]])),
IF((G103="5/8"),((база!$J$6*Таблица1[[#This Row],[сумма]]*Таблица1[[#This Row],[коэф]])),
IF(OR(G103="4/8",G103="3/8",G103="2/8"),((база!$J$5*Таблица1[[#This Row],[сумма]]*Таблица1[[#This Row],[коэф]])))))))))))</f>
        <v>0</v>
      </c>
      <c r="AP103" s="730" t="b">
        <f>IF(AR103&lt;=3,(IF((G103="5/24"),((база!$M$6*2*Таблица1[[#This Row],[Столбец1]]*Таблица1[[#This Row],[коэф]])),
IF((G103="4/24"),((база!$M$5*2*Таблица1[[#This Row],[Столбец1]]*Таблица1[[#This Row],[коэф]])),
IF((G103="3/24"),((база!$M$4*2*Таблица1[[#This Row],[Столбец1]]*Таблица1[[#This Row],[коэф]])),
IF((G103="5/16"),((база!$L$6*2*Таблица1[[#This Row],[Столбец1]]*Таблица1[[#This Row],[коэф]])),
IF((G103="4/16"),((база!$L$5*2*Таблица1[[#This Row],[Столбец1]]*Таблица1[[#This Row],[коэф]])),
IF((G103="3/16"),((база!$L$4*2*Таблица1[[#This Row],[Столбец1]]*Таблица1[[#This Row],[коэф]])),
IF((G103="4/4"),((база!$I$5*2*Таблица1[[#This Row],[Столбец1]]*Таблица1[[#This Row],[коэф]])),
IF(OR(G103="2/4",G103="3/4"),((база!$I$4*2*Таблица1[[#This Row],[Столбец1]]*Таблица1[[#This Row],[коэф]])),
IF((G103="5/8"),((база!$J$6*2*Таблица1[[#This Row],[Столбец1]]*Таблица1[[#This Row],[коэф]])),
IF((G103="4/8"),((база!$J$5*2*Таблица1[[#This Row],[Столбец1]]*Таблица1[[#This Row],[коэф]])),
IF(OR(G103="3/8",G103="2/8"),((база!$J$4*2*Таблица1[[#This Row],[Столбец1]]*Таблица1[[#This Row],[коэф]])))))))))))))),
(IF((G103="5/24"),((база!$M$6*2*Таблица1[[#This Row],[Столбец1]]*Таблица1[[#This Row],[коэф]])),
IF(OR(G103="4/24",G103="3/24"),((база!$M$5*2*Таблица1[[#This Row],[Столбец1]]*Таблица1[[#This Row],[коэф]])),
IF((G103="5/16"),((база!$L$6*2*Таблица1[[#This Row],[Столбец1]]*Таблица1[[#This Row],[коэф]])),
IF(OR(G103="4/16",G103="3/16"),((база!$L$5*2*Таблица1[[#This Row],[Столбец1]]*Таблица1[[#This Row],[коэф]])),
IF(OR(G103="2/4",G103="3/4",G103="4/4"),((база!$I$5*2*Таблица1[[#This Row],[Столбец1]]*Таблица1[[#This Row],[коэф]])),
IF((G103="5/8"),((база!$J$6*2*Таблица1[[#This Row],[Столбец1]]*Таблица1[[#This Row],[коэф]])),
IF(OR(G103="4/8",G103="3/8",G103="2/8"),((база!$J$5*2*Таблица1[[#This Row],[Столбец1]]*Таблица1[[#This Row],[коэф]])))))))))))</f>
        <v>0</v>
      </c>
      <c r="AQ103" s="712" t="str">
        <f>IFERROR(INDEX(база!T:T, MATCH(F103,база!Q:Q,0)),"")</f>
        <v/>
      </c>
      <c r="AR103" s="208" t="str">
        <f>IFERROR(INDEX(база!D:D, MATCH(F103,база!B:B,0)),"")</f>
        <v/>
      </c>
      <c r="AS103" s="758" t="str">
        <f>IFERROR(INDEX(база!E:E, MATCH(F103,база!B:B,0)),"")</f>
        <v/>
      </c>
    </row>
    <row r="104" spans="1:45" ht="15" customHeight="1">
      <c r="A104" s="1094" t="str">
        <f t="shared" si="3"/>
        <v>январь</v>
      </c>
      <c r="B104" t="n" s="1094">
        <v>2024.0</v>
      </c>
      <c r="C104" t="s" s="1094">
        <v>386</v>
      </c>
      <c r="D104" t="s" s="1094">
        <v>364</v>
      </c>
      <c r="E104" t="s" s="1094">
        <v>46</v>
      </c>
      <c r="F104" t="s" s="1094">
        <v>325</v>
      </c>
      <c r="G104" t="s" s="1094">
        <v>4</v>
      </c>
      <c r="H104" s="1094"/>
      <c r="I104" s="1094"/>
      <c r="J104" s="1094"/>
      <c r="K104" s="1094"/>
      <c r="L104" s="1094"/>
      <c r="M104" s="1094"/>
      <c r="N104" s="1094"/>
      <c r="O104" s="1094"/>
      <c r="P104" s="1094"/>
      <c r="Q104" t="n" s="1094">
        <v>7.2</v>
      </c>
      <c r="R104" s="48"/>
      <c r="S104" s="48"/>
      <c r="T104" s="48"/>
      <c r="U104" s="48"/>
      <c r="V104" s="48"/>
      <c r="W104" s="563"/>
      <c r="X104" s="563"/>
      <c r="Y104" s="48"/>
      <c r="Z104" s="48"/>
      <c r="AA104" s="48"/>
      <c r="AB104" s="48"/>
      <c r="AC104" s="563"/>
      <c r="AD104" s="48"/>
      <c r="AE104" s="48"/>
      <c r="AF104" s="48"/>
      <c r="AG104" s="48"/>
      <c r="AH104" s="48"/>
      <c r="AI104" s="48"/>
      <c r="AJ104" s="48"/>
      <c r="AK104" s="258"/>
      <c r="AL104" s="258"/>
      <c r="AM104" s="212">
        <f>IF(AQ104=1,SUM(Q104:T104,W104:Z104,AC104:AF104,AI104:AL104),
IF(AQ104=2,SUM(P104,S104:V104,Y104:AB104,AE104:AH104,AK104:AL104),
IF(AQ104=3,SUM(P104:R104,U104:X104,AA104:AD104,AG104:AJ104),SUM(Таблица1[[#This Row],[1]:[31]])-Таблица1[[#This Row],[Столбец1]])))</f>
        <v>0</v>
      </c>
      <c r="AN104" s="778">
        <f t="array" ref="AN104">IF(AQ104=1,SUM(P104,U104:V104,AA104:AB104,AG104:AH104),
IF(AQ104=2,SUM(Q104:R104,W104:X104,AC104:AD104,AI104:AJ104),
IF(AQ104=3,SUM(S104:T104,Y104:Z104,AE104:AF104,AK104:AL104),
SUM(IFERROR(WEEKDAY($H$2:$AL$2,2)&gt;5,)*H104:AL104))))+Таблица1[[#This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04" s="292" t="b">
        <f>IF(AR104&lt;=3,(IF((G104="5/24"),((база!$M$6*Таблица1[[#This Row],[сумма]]*Таблица1[[#This Row],[коэф]])),
IF((G104="4/24"),((база!$M$5*Таблица1[[#This Row],[сумма]]*Таблица1[[#This Row],[коэф]])),
IF((G104="3/24"),((база!$M$4*Таблица1[[#This Row],[сумма]]*Таблица1[[#This Row],[коэф]])),
IF((G104="5/16"),((база!$L$6*Таблица1[[#This Row],[сумма]]*Таблица1[[#This Row],[коэф]])),
IF((G104="4/16"),((база!$L$5*Таблица1[[#This Row],[сумма]]*Таблица1[[#This Row],[коэф]])),
IF((G104="3/16"),((база!$L$4*Таблица1[[#This Row],[сумма]]*Таблица1[[#This Row],[коэф]])),
IF((G104="4/4"),((база!$I$5*Таблица1[[#This Row],[сумма]]*Таблица1[[#This Row],[коэф]])),
IF(OR(G104="2/4",G104="3/4"),((база!$I$4*Таблица1[[#This Row],[сумма]]*Таблица1[[#This Row],[коэф]])),
IF((G104="5/8"),((база!$J$6*Таблица1[[#This Row],[сумма]]*Таблица1[[#This Row],[коэф]])),
IF((G104="4/8"),((база!$J$5*Таблица1[[#This Row],[сумма]]*Таблица1[[#This Row],[коэф]])),
IF(OR(G104="3/8",G104="2/8"),((база!$J$4*Таблица1[[#This Row],[сумма]]*Таблица1[[#This Row],[коэф]])))))))))))))),
(IF((G104="5/24"),((база!$M$6*Таблица1[[#This Row],[сумма]]*Таблица1[[#This Row],[коэф]])),
IF(OR(G104="4/24",G104="3/24"),((база!$M$5*Таблица1[[#This Row],[сумма]]*Таблица1[[#This Row],[коэф]])),
IF((G104="5/16"),((база!$L$6*Таблица1[[#This Row],[сумма]]*Таблица1[[#This Row],[коэф]])),
IF(OR(G104="4/16",G104="3/16"),((база!$L$5*Таблица1[[#This Row],[сумма]]*Таблица1[[#This Row],[коэф]])),
IF(OR(G104="2/4",G104="3/4",G104="4/4"),((база!$I$5*Таблица1[[#This Row],[сумма]]*Таблица1[[#This Row],[коэф]])),
IF((G104="5/8"),((база!$J$6*Таблица1[[#This Row],[сумма]]*Таблица1[[#This Row],[коэф]])),
IF(OR(G104="4/8",G104="3/8",G104="2/8"),((база!$J$5*Таблица1[[#This Row],[сумма]]*Таблица1[[#This Row],[коэф]])))))))))))</f>
        <v>0</v>
      </c>
      <c r="AP104" s="730" t="b">
        <f>IF(AR104&lt;=3,(IF((G104="5/24"),((база!$M$6*2*Таблица1[[#This Row],[Столбец1]]*Таблица1[[#This Row],[коэф]])),
IF((G104="4/24"),((база!$M$5*2*Таблица1[[#This Row],[Столбец1]]*Таблица1[[#This Row],[коэф]])),
IF((G104="3/24"),((база!$M$4*2*Таблица1[[#This Row],[Столбец1]]*Таблица1[[#This Row],[коэф]])),
IF((G104="5/16"),((база!$L$6*2*Таблица1[[#This Row],[Столбец1]]*Таблица1[[#This Row],[коэф]])),
IF((G104="4/16"),((база!$L$5*2*Таблица1[[#This Row],[Столбец1]]*Таблица1[[#This Row],[коэф]])),
IF((G104="3/16"),((база!$L$4*2*Таблица1[[#This Row],[Столбец1]]*Таблица1[[#This Row],[коэф]])),
IF((G104="4/4"),((база!$I$5*2*Таблица1[[#This Row],[Столбец1]]*Таблица1[[#This Row],[коэф]])),
IF(OR(G104="2/4",G104="3/4"),((база!$I$4*2*Таблица1[[#This Row],[Столбец1]]*Таблица1[[#This Row],[коэф]])),
IF((G104="5/8"),((база!$J$6*2*Таблица1[[#This Row],[Столбец1]]*Таблица1[[#This Row],[коэф]])),
IF((G104="4/8"),((база!$J$5*2*Таблица1[[#This Row],[Столбец1]]*Таблица1[[#This Row],[коэф]])),
IF(OR(G104="3/8",G104="2/8"),((база!$J$4*2*Таблица1[[#This Row],[Столбец1]]*Таблица1[[#This Row],[коэф]])))))))))))))),
(IF((G104="5/24"),((база!$M$6*2*Таблица1[[#This Row],[Столбец1]]*Таблица1[[#This Row],[коэф]])),
IF(OR(G104="4/24",G104="3/24"),((база!$M$5*2*Таблица1[[#This Row],[Столбец1]]*Таблица1[[#This Row],[коэф]])),
IF((G104="5/16"),((база!$L$6*2*Таблица1[[#This Row],[Столбец1]]*Таблица1[[#This Row],[коэф]])),
IF(OR(G104="4/16",G104="3/16"),((база!$L$5*2*Таблица1[[#This Row],[Столбец1]]*Таблица1[[#This Row],[коэф]])),
IF(OR(G104="2/4",G104="3/4",G104="4/4"),((база!$I$5*2*Таблица1[[#This Row],[Столбец1]]*Таблица1[[#This Row],[коэф]])),
IF((G104="5/8"),((база!$J$6*2*Таблица1[[#This Row],[Столбец1]]*Таблица1[[#This Row],[коэф]])),
IF(OR(G104="4/8",G104="3/8",G104="2/8"),((база!$J$5*2*Таблица1[[#This Row],[Столбец1]]*Таблица1[[#This Row],[коэф]])))))))))))</f>
        <v>0</v>
      </c>
      <c r="AQ104" s="712" t="str">
        <f>IFERROR(INDEX(база!T:T, MATCH(F104,база!Q:Q,0)),"")</f>
        <v/>
      </c>
      <c r="AR104" s="208" t="str">
        <f>IFERROR(INDEX(база!D:D, MATCH(F104,база!B:B,0)),"")</f>
        <v/>
      </c>
      <c r="AS104" s="758" t="str">
        <f>IFERROR(INDEX(база!E:E, MATCH(F104,база!B:B,0)),"")</f>
        <v/>
      </c>
    </row>
    <row r="105" spans="1:45" ht="15" customHeight="1">
      <c r="A105" s="1095" t="str">
        <f t="shared" si="3"/>
        <v>январь</v>
      </c>
      <c r="B105" t="n" s="1095">
        <v>2024.0</v>
      </c>
      <c r="C105" t="s" s="1095">
        <v>387</v>
      </c>
      <c r="D105" t="s" s="1095">
        <v>364</v>
      </c>
      <c r="E105" t="s" s="1095">
        <v>46</v>
      </c>
      <c r="F105" t="s" s="1095">
        <v>284</v>
      </c>
      <c r="G105" t="s" s="1095">
        <v>4</v>
      </c>
      <c r="H105" s="1095"/>
      <c r="I105" s="1095"/>
      <c r="J105" s="1095"/>
      <c r="K105" s="1095"/>
      <c r="L105" s="1095"/>
      <c r="M105" s="1095"/>
      <c r="N105" s="1095"/>
      <c r="O105" s="1095"/>
      <c r="P105" t="n" s="1095">
        <v>7.2</v>
      </c>
      <c r="Q105" t="n" s="46">
        <v>7.2</v>
      </c>
      <c r="R105" s="48"/>
      <c r="S105" s="48"/>
      <c r="T105" t="n" s="46">
        <v>5.0</v>
      </c>
      <c r="U105" s="48"/>
      <c r="V105" s="48"/>
      <c r="W105" s="563"/>
      <c r="X105" s="563"/>
      <c r="Y105" s="48"/>
      <c r="Z105" s="48"/>
      <c r="AA105" s="48"/>
      <c r="AB105" s="48"/>
      <c r="AC105" s="563"/>
      <c r="AD105" s="48"/>
      <c r="AE105" s="48"/>
      <c r="AF105" s="258"/>
      <c r="AG105" s="258"/>
      <c r="AH105" s="258"/>
      <c r="AI105" s="258"/>
      <c r="AJ105" s="258"/>
      <c r="AK105" s="48"/>
      <c r="AL105" s="51"/>
      <c r="AM105" s="212">
        <f>IF(AQ105=1,SUM(Q105:T105,W105:Z105,AC105:AF105,AI105:AL105),
IF(AQ105=2,SUM(P105,S105:V105,Y105:AB105,AE105:AH105,AK105:AL105),
IF(AQ105=3,SUM(P105:R105,U105:X105,AA105:AD105,AG105:AJ105),SUM(Таблица1[[#This Row],[1]:[31]])-Таблица1[[#This Row],[Столбец1]])))</f>
        <v>0</v>
      </c>
      <c r="AN105" s="778">
        <f t="array" ref="AN105">IF(AQ105=1,SUM(P105,U105:V105,AA105:AB105,AG105:AH105),
IF(AQ105=2,SUM(Q105:R105,W105:X105,AC105:AD105,AI105:AJ105),
IF(AQ105=3,SUM(S105:T105,Y105:Z105,AE105:AF105,AK105:AL105),
SUM(IFERROR(WEEKDAY($H$2:$AL$2,2)&gt;5,)*H105:AL105))))+Таблица1[[#This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05" s="292" t="b">
        <f>IF(AR105&lt;=3,(IF((G105="5/24"),((база!$M$6*Таблица1[[#This Row],[сумма]]*Таблица1[[#This Row],[коэф]])),
IF((G105="4/24"),((база!$M$5*Таблица1[[#This Row],[сумма]]*Таблица1[[#This Row],[коэф]])),
IF((G105="3/24"),((база!$M$4*Таблица1[[#This Row],[сумма]]*Таблица1[[#This Row],[коэф]])),
IF((G105="5/16"),((база!$L$6*Таблица1[[#This Row],[сумма]]*Таблица1[[#This Row],[коэф]])),
IF((G105="4/16"),((база!$L$5*Таблица1[[#This Row],[сумма]]*Таблица1[[#This Row],[коэф]])),
IF((G105="3/16"),((база!$L$4*Таблица1[[#This Row],[сумма]]*Таблица1[[#This Row],[коэф]])),
IF((G105="4/4"),((база!$I$5*Таблица1[[#This Row],[сумма]]*Таблица1[[#This Row],[коэф]])),
IF(OR(G105="2/4",G105="3/4"),((база!$I$4*Таблица1[[#This Row],[сумма]]*Таблица1[[#This Row],[коэф]])),
IF((G105="5/8"),((база!$J$6*Таблица1[[#This Row],[сумма]]*Таблица1[[#This Row],[коэф]])),
IF((G105="4/8"),((база!$J$5*Таблица1[[#This Row],[сумма]]*Таблица1[[#This Row],[коэф]])),
IF(OR(G105="3/8",G105="2/8"),((база!$J$4*Таблица1[[#This Row],[сумма]]*Таблица1[[#This Row],[коэф]])))))))))))))),
(IF((G105="5/24"),((база!$M$6*Таблица1[[#This Row],[сумма]]*Таблица1[[#This Row],[коэф]])),
IF(OR(G105="4/24",G105="3/24"),((база!$M$5*Таблица1[[#This Row],[сумма]]*Таблица1[[#This Row],[коэф]])),
IF((G105="5/16"),((база!$L$6*Таблица1[[#This Row],[сумма]]*Таблица1[[#This Row],[коэф]])),
IF(OR(G105="4/16",G105="3/16"),((база!$L$5*Таблица1[[#This Row],[сумма]]*Таблица1[[#This Row],[коэф]])),
IF(OR(G105="2/4",G105="3/4",G105="4/4"),((база!$I$5*Таблица1[[#This Row],[сумма]]*Таблица1[[#This Row],[коэф]])),
IF((G105="5/8"),((база!$J$6*Таблица1[[#This Row],[сумма]]*Таблица1[[#This Row],[коэф]])),
IF(OR(G105="4/8",G105="3/8",G105="2/8"),((база!$J$5*Таблица1[[#This Row],[сумма]]*Таблица1[[#This Row],[коэф]])))))))))))</f>
        <v>0</v>
      </c>
      <c r="AP105" s="730" t="b">
        <f>IF(AR105&lt;=3,(IF((G105="5/24"),((база!$M$6*2*Таблица1[[#This Row],[Столбец1]]*Таблица1[[#This Row],[коэф]])),
IF((G105="4/24"),((база!$M$5*2*Таблица1[[#This Row],[Столбец1]]*Таблица1[[#This Row],[коэф]])),
IF((G105="3/24"),((база!$M$4*2*Таблица1[[#This Row],[Столбец1]]*Таблица1[[#This Row],[коэф]])),
IF((G105="5/16"),((база!$L$6*2*Таблица1[[#This Row],[Столбец1]]*Таблица1[[#This Row],[коэф]])),
IF((G105="4/16"),((база!$L$5*2*Таблица1[[#This Row],[Столбец1]]*Таблица1[[#This Row],[коэф]])),
IF((G105="3/16"),((база!$L$4*2*Таблица1[[#This Row],[Столбец1]]*Таблица1[[#This Row],[коэф]])),
IF((G105="4/4"),((база!$I$5*2*Таблица1[[#This Row],[Столбец1]]*Таблица1[[#This Row],[коэф]])),
IF(OR(G105="2/4",G105="3/4"),((база!$I$4*2*Таблица1[[#This Row],[Столбец1]]*Таблица1[[#This Row],[коэф]])),
IF((G105="5/8"),((база!$J$6*2*Таблица1[[#This Row],[Столбец1]]*Таблица1[[#This Row],[коэф]])),
IF((G105="4/8"),((база!$J$5*2*Таблица1[[#This Row],[Столбец1]]*Таблица1[[#This Row],[коэф]])),
IF(OR(G105="3/8",G105="2/8"),((база!$J$4*2*Таблица1[[#This Row],[Столбец1]]*Таблица1[[#This Row],[коэф]])))))))))))))),
(IF((G105="5/24"),((база!$M$6*2*Таблица1[[#This Row],[Столбец1]]*Таблица1[[#This Row],[коэф]])),
IF(OR(G105="4/24",G105="3/24"),((база!$M$5*2*Таблица1[[#This Row],[Столбец1]]*Таблица1[[#This Row],[коэф]])),
IF((G105="5/16"),((база!$L$6*2*Таблица1[[#This Row],[Столбец1]]*Таблица1[[#This Row],[коэф]])),
IF(OR(G105="4/16",G105="3/16"),((база!$L$5*2*Таблица1[[#This Row],[Столбец1]]*Таблица1[[#This Row],[коэф]])),
IF(OR(G105="2/4",G105="3/4",G105="4/4"),((база!$I$5*2*Таблица1[[#This Row],[Столбец1]]*Таблица1[[#This Row],[коэф]])),
IF((G105="5/8"),((база!$J$6*2*Таблица1[[#This Row],[Столбец1]]*Таблица1[[#This Row],[коэф]])),
IF(OR(G105="4/8",G105="3/8",G105="2/8"),((база!$J$5*2*Таблица1[[#This Row],[Столбец1]]*Таблица1[[#This Row],[коэф]])))))))))))</f>
        <v>0</v>
      </c>
      <c r="AQ105" s="712" t="str">
        <f>IFERROR(INDEX(база!T:T, MATCH(F105,база!Q:Q,0)),"")</f>
        <v/>
      </c>
      <c r="AR105" s="208" t="str">
        <f>IFERROR(INDEX(база!D:D, MATCH(F105,база!B:B,0)),"")</f>
        <v/>
      </c>
      <c r="AS105" s="758" t="str">
        <f>IFERROR(INDEX(база!E:E, MATCH(F105,база!B:B,0)),"")</f>
        <v/>
      </c>
    </row>
    <row r="106" spans="1:45" ht="15">
      <c r="A106" s="1096" t="str">
        <f t="shared" si="3"/>
        <v>январь</v>
      </c>
      <c r="B106" t="n" s="1096">
        <v>2024.0</v>
      </c>
      <c r="C106" t="s" s="1096">
        <v>392</v>
      </c>
      <c r="D106" t="s" s="1096">
        <v>364</v>
      </c>
      <c r="E106" t="s" s="1096">
        <v>46</v>
      </c>
      <c r="F106" t="s" s="1096">
        <v>376</v>
      </c>
      <c r="G106" t="s" s="1096">
        <v>4</v>
      </c>
      <c r="H106" s="1096"/>
      <c r="I106" s="1096"/>
      <c r="J106" s="1096"/>
      <c r="K106" s="1096"/>
      <c r="L106" s="1096"/>
      <c r="M106" s="1096"/>
      <c r="N106" s="1096"/>
      <c r="O106" s="1096"/>
      <c r="P106" s="1096"/>
      <c r="Q106" t="n" s="1096">
        <v>7.2</v>
      </c>
      <c r="R106" t="n" s="46">
        <v>7.2</v>
      </c>
      <c r="S106" s="48"/>
      <c r="T106" s="48"/>
      <c r="U106" s="48"/>
      <c r="V106" s="48"/>
      <c r="W106" s="563"/>
      <c r="X106" s="563"/>
      <c r="Y106" s="563"/>
      <c r="Z106" s="563"/>
      <c r="AA106" s="563"/>
      <c r="AB106" s="563"/>
      <c r="AC106" s="563"/>
      <c r="AD106" s="48"/>
      <c r="AE106" s="48"/>
      <c r="AF106" s="258"/>
      <c r="AG106" s="258"/>
      <c r="AH106" s="258"/>
      <c r="AI106" s="258"/>
      <c r="AJ106" s="258"/>
      <c r="AK106" s="48"/>
      <c r="AL106" s="51"/>
      <c r="AM106" s="212">
        <f>IF(AQ106=1,SUM(Q106:T106,W106:Z106,AC106:AF106,AI106:AL106),
IF(AQ106=2,SUM(P106,S106:V106,Y106:AB106,AE106:AH106,AK106:AL106),
IF(AQ106=3,SUM(P106:R106,U106:X106,AA106:AD106,AG106:AJ106),SUM(Таблица1[[#This Row],[1]:[31]])-Таблица1[[#This Row],[Столбец1]])))</f>
        <v>0</v>
      </c>
      <c r="AN106" s="778">
        <f t="array" ref="AN106">IF(AQ106=1,SUM(P106,U106:V106,AA106:AB106,AG106:AH106),
IF(AQ106=2,SUM(Q106:R106,W106:X106,AC106:AD106,AI106:AJ106),
IF(AQ106=3,SUM(S106:T106,Y106:Z106,AE106:AF106,AK106:AL106),
SUM(IFERROR(WEEKDAY($H$2:$AL$2,2)&gt;5,)*H106:AL106))))+Таблица1[[#This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06" s="292" t="b">
        <f>IF(AR106&lt;=3,(IF((G106="5/24"),((база!$M$6*Таблица1[[#This Row],[сумма]]*Таблица1[[#This Row],[коэф]])),
IF((G106="4/24"),((база!$M$5*Таблица1[[#This Row],[сумма]]*Таблица1[[#This Row],[коэф]])),
IF((G106="3/24"),((база!$M$4*Таблица1[[#This Row],[сумма]]*Таблица1[[#This Row],[коэф]])),
IF((G106="5/16"),((база!$L$6*Таблица1[[#This Row],[сумма]]*Таблица1[[#This Row],[коэф]])),
IF((G106="4/16"),((база!$L$5*Таблица1[[#This Row],[сумма]]*Таблица1[[#This Row],[коэф]])),
IF((G106="3/16"),((база!$L$4*Таблица1[[#This Row],[сумма]]*Таблица1[[#This Row],[коэф]])),
IF((G106="4/4"),((база!$I$5*Таблица1[[#This Row],[сумма]]*Таблица1[[#This Row],[коэф]])),
IF(OR(G106="2/4",G106="3/4"),((база!$I$4*Таблица1[[#This Row],[сумма]]*Таблица1[[#This Row],[коэф]])),
IF((G106="5/8"),((база!$J$6*Таблица1[[#This Row],[сумма]]*Таблица1[[#This Row],[коэф]])),
IF((G106="4/8"),((база!$J$5*Таблица1[[#This Row],[сумма]]*Таблица1[[#This Row],[коэф]])),
IF(OR(G106="3/8",G106="2/8"),((база!$J$4*Таблица1[[#This Row],[сумма]]*Таблица1[[#This Row],[коэф]])))))))))))))),
(IF((G106="5/24"),((база!$M$6*Таблица1[[#This Row],[сумма]]*Таблица1[[#This Row],[коэф]])),
IF(OR(G106="4/24",G106="3/24"),((база!$M$5*Таблица1[[#This Row],[сумма]]*Таблица1[[#This Row],[коэф]])),
IF((G106="5/16"),((база!$L$6*Таблица1[[#This Row],[сумма]]*Таблица1[[#This Row],[коэф]])),
IF(OR(G106="4/16",G106="3/16"),((база!$L$5*Таблица1[[#This Row],[сумма]]*Таблица1[[#This Row],[коэф]])),
IF(OR(G106="2/4",G106="3/4",G106="4/4"),((база!$I$5*Таблица1[[#This Row],[сумма]]*Таблица1[[#This Row],[коэф]])),
IF((G106="5/8"),((база!$J$6*Таблица1[[#This Row],[сумма]]*Таблица1[[#This Row],[коэф]])),
IF(OR(G106="4/8",G106="3/8",G106="2/8"),((база!$J$5*Таблица1[[#This Row],[сумма]]*Таблица1[[#This Row],[коэф]])))))))))))</f>
        <v>0</v>
      </c>
      <c r="AP106" s="730" t="b">
        <f>IF(AR106&lt;=3,(IF((G106="5/24"),((база!$M$6*2*Таблица1[[#This Row],[Столбец1]]*Таблица1[[#This Row],[коэф]])),
IF((G106="4/24"),((база!$M$5*2*Таблица1[[#This Row],[Столбец1]]*Таблица1[[#This Row],[коэф]])),
IF((G106="3/24"),((база!$M$4*2*Таблица1[[#This Row],[Столбец1]]*Таблица1[[#This Row],[коэф]])),
IF((G106="5/16"),((база!$L$6*2*Таблица1[[#This Row],[Столбец1]]*Таблица1[[#This Row],[коэф]])),
IF((G106="4/16"),((база!$L$5*2*Таблица1[[#This Row],[Столбец1]]*Таблица1[[#This Row],[коэф]])),
IF((G106="3/16"),((база!$L$4*2*Таблица1[[#This Row],[Столбец1]]*Таблица1[[#This Row],[коэф]])),
IF((G106="4/4"),((база!$I$5*2*Таблица1[[#This Row],[Столбец1]]*Таблица1[[#This Row],[коэф]])),
IF(OR(G106="2/4",G106="3/4"),((база!$I$4*2*Таблица1[[#This Row],[Столбец1]]*Таблица1[[#This Row],[коэф]])),
IF((G106="5/8"),((база!$J$6*2*Таблица1[[#This Row],[Столбец1]]*Таблица1[[#This Row],[коэф]])),
IF((G106="4/8"),((база!$J$5*2*Таблица1[[#This Row],[Столбец1]]*Таблица1[[#This Row],[коэф]])),
IF(OR(G106="3/8",G106="2/8"),((база!$J$4*2*Таблица1[[#This Row],[Столбец1]]*Таблица1[[#This Row],[коэф]])))))))))))))),
(IF((G106="5/24"),((база!$M$6*2*Таблица1[[#This Row],[Столбец1]]*Таблица1[[#This Row],[коэф]])),
IF(OR(G106="4/24",G106="3/24"),((база!$M$5*2*Таблица1[[#This Row],[Столбец1]]*Таблица1[[#This Row],[коэф]])),
IF((G106="5/16"),((база!$L$6*2*Таблица1[[#This Row],[Столбец1]]*Таблица1[[#This Row],[коэф]])),
IF(OR(G106="4/16",G106="3/16"),((база!$L$5*2*Таблица1[[#This Row],[Столбец1]]*Таблица1[[#This Row],[коэф]])),
IF(OR(G106="2/4",G106="3/4",G106="4/4"),((база!$I$5*2*Таблица1[[#This Row],[Столбец1]]*Таблица1[[#This Row],[коэф]])),
IF((G106="5/8"),((база!$J$6*2*Таблица1[[#This Row],[Столбец1]]*Таблица1[[#This Row],[коэф]])),
IF(OR(G106="4/8",G106="3/8",G106="2/8"),((база!$J$5*2*Таблица1[[#This Row],[Столбец1]]*Таблица1[[#This Row],[коэф]])))))))))))</f>
        <v>0</v>
      </c>
      <c r="AQ106" s="712" t="str">
        <f>IFERROR(INDEX(база!T:T, MATCH(F106,база!Q:Q,0)),"")</f>
        <v/>
      </c>
      <c r="AR106" s="208" t="str">
        <f>IFERROR(INDEX(база!D:D, MATCH(F106,база!B:B,0)),"")</f>
        <v/>
      </c>
      <c r="AS106" s="758" t="str">
        <f>IFERROR(INDEX(база!E:E, MATCH(F106,база!B:B,0)),"")</f>
        <v/>
      </c>
    </row>
    <row r="107" spans="1:45" ht="15">
      <c r="A107" s="1098" t="str">
        <f t="shared" si="3"/>
        <v>январь</v>
      </c>
      <c r="B107" t="n" s="1098">
        <v>2024.0</v>
      </c>
      <c r="C107" t="s" s="1098">
        <v>388</v>
      </c>
      <c r="D107" t="s" s="1098">
        <v>364</v>
      </c>
      <c r="E107" t="s" s="1098">
        <v>46</v>
      </c>
      <c r="F107" t="s" s="1098">
        <v>259</v>
      </c>
      <c r="G107" t="s" s="1098">
        <v>67</v>
      </c>
      <c r="H107" s="1098"/>
      <c r="I107" s="1098"/>
      <c r="J107" s="1098"/>
      <c r="K107" s="1098"/>
      <c r="L107" s="1098"/>
      <c r="M107" s="1098"/>
      <c r="N107" s="1098"/>
      <c r="O107" s="1098"/>
      <c r="P107" s="1098"/>
      <c r="Q107" t="n" s="1098">
        <v>7.2</v>
      </c>
      <c r="R107" s="563"/>
      <c r="S107" s="563"/>
      <c r="T107" s="563"/>
      <c r="U107" s="563"/>
      <c r="V107" s="563"/>
      <c r="W107" s="563"/>
      <c r="X107" s="563"/>
      <c r="Y107" s="563"/>
      <c r="Z107" s="48"/>
      <c r="AA107" s="48"/>
      <c r="AB107" s="48"/>
      <c r="AC107" s="48"/>
      <c r="AD107" s="48"/>
      <c r="AE107" s="48"/>
      <c r="AF107" s="48"/>
      <c r="AG107" s="48"/>
      <c r="AH107" s="48"/>
      <c r="AI107" s="48"/>
      <c r="AJ107" s="48"/>
      <c r="AK107" s="48"/>
      <c r="AL107" s="51"/>
      <c r="AM107" s="212">
        <f>IF(AQ107=1,SUM(Q107:T107,W107:Z107,AC107:AF107,AI107:AL107),
IF(AQ107=2,SUM(P107,S107:V107,Y107:AB107,AE107:AH107,AK107:AL107),
IF(AQ107=3,SUM(P107:R107,U107:X107,AA107:AD107,AG107:AJ107),SUM(Таблица1[[#This Row],[1]:[31]])-Таблица1[[#This Row],[Столбец1]])))</f>
        <v>0</v>
      </c>
      <c r="AN107" s="778">
        <f t="array" ref="AN107">IF(AQ107=1,SUM(P107,U107:V107,AA107:AB107,AG107:AH107),
IF(AQ107=2,SUM(Q107:R107,W107:X107,AC107:AD107,AI107:AJ107),
IF(AQ107=3,SUM(S107:T107,Y107:Z107,AE107:AF107,AK107:AL107),
SUM(IFERROR(WEEKDAY($H$2:$AL$2,2)&gt;5,)*H107:AL107))))+Таблица1[[#This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07" s="292" t="b">
        <f>IF(AR107&lt;=3,(IF((G107="5/24"),((база!$M$6*Таблица1[[#This Row],[сумма]]*Таблица1[[#This Row],[коэф]])),
IF((G107="4/24"),((база!$M$5*Таблица1[[#This Row],[сумма]]*Таблица1[[#This Row],[коэф]])),
IF((G107="3/24"),((база!$M$4*Таблица1[[#This Row],[сумма]]*Таблица1[[#This Row],[коэф]])),
IF((G107="5/16"),((база!$L$6*Таблица1[[#This Row],[сумма]]*Таблица1[[#This Row],[коэф]])),
IF((G107="4/16"),((база!$L$5*Таблица1[[#This Row],[сумма]]*Таблица1[[#This Row],[коэф]])),
IF((G107="3/16"),((база!$L$4*Таблица1[[#This Row],[сумма]]*Таблица1[[#This Row],[коэф]])),
IF((G107="4/4"),((база!$I$5*Таблица1[[#This Row],[сумма]]*Таблица1[[#This Row],[коэф]])),
IF(OR(G107="2/4",G107="3/4"),((база!$I$4*Таблица1[[#This Row],[сумма]]*Таблица1[[#This Row],[коэф]])),
IF((G107="5/8"),((база!$J$6*Таблица1[[#This Row],[сумма]]*Таблица1[[#This Row],[коэф]])),
IF((G107="4/8"),((база!$J$5*Таблица1[[#This Row],[сумма]]*Таблица1[[#This Row],[коэф]])),
IF(OR(G107="3/8",G107="2/8"),((база!$J$4*Таблица1[[#This Row],[сумма]]*Таблица1[[#This Row],[коэф]])))))))))))))),
(IF((G107="5/24"),((база!$M$6*Таблица1[[#This Row],[сумма]]*Таблица1[[#This Row],[коэф]])),
IF(OR(G107="4/24",G107="3/24"),((база!$M$5*Таблица1[[#This Row],[сумма]]*Таблица1[[#This Row],[коэф]])),
IF((G107="5/16"),((база!$L$6*Таблица1[[#This Row],[сумма]]*Таблица1[[#This Row],[коэф]])),
IF(OR(G107="4/16",G107="3/16"),((база!$L$5*Таблица1[[#This Row],[сумма]]*Таблица1[[#This Row],[коэф]])),
IF(OR(G107="2/4",G107="3/4",G107="4/4"),((база!$I$5*Таблица1[[#This Row],[сумма]]*Таблица1[[#This Row],[коэф]])),
IF((G107="5/8"),((база!$J$6*Таблица1[[#This Row],[сумма]]*Таблица1[[#This Row],[коэф]])),
IF(OR(G107="4/8",G107="3/8",G107="2/8"),((база!$J$5*Таблица1[[#This Row],[сумма]]*Таблица1[[#This Row],[коэф]])))))))))))</f>
        <v>0</v>
      </c>
      <c r="AP107" s="730" t="b">
        <f>IF(AR107&lt;=3,(IF((G107="5/24"),((база!$M$6*2*Таблица1[[#This Row],[Столбец1]]*Таблица1[[#This Row],[коэф]])),
IF((G107="4/24"),((база!$M$5*2*Таблица1[[#This Row],[Столбец1]]*Таблица1[[#This Row],[коэф]])),
IF((G107="3/24"),((база!$M$4*2*Таблица1[[#This Row],[Столбец1]]*Таблица1[[#This Row],[коэф]])),
IF((G107="5/16"),((база!$L$6*2*Таблица1[[#This Row],[Столбец1]]*Таблица1[[#This Row],[коэф]])),
IF((G107="4/16"),((база!$L$5*2*Таблица1[[#This Row],[Столбец1]]*Таблица1[[#This Row],[коэф]])),
IF((G107="3/16"),((база!$L$4*2*Таблица1[[#This Row],[Столбец1]]*Таблица1[[#This Row],[коэф]])),
IF((G107="4/4"),((база!$I$5*2*Таблица1[[#This Row],[Столбец1]]*Таблица1[[#This Row],[коэф]])),
IF(OR(G107="2/4",G107="3/4"),((база!$I$4*2*Таблица1[[#This Row],[Столбец1]]*Таблица1[[#This Row],[коэф]])),
IF((G107="5/8"),((база!$J$6*2*Таблица1[[#This Row],[Столбец1]]*Таблица1[[#This Row],[коэф]])),
IF((G107="4/8"),((база!$J$5*2*Таблица1[[#This Row],[Столбец1]]*Таблица1[[#This Row],[коэф]])),
IF(OR(G107="3/8",G107="2/8"),((база!$J$4*2*Таблица1[[#This Row],[Столбец1]]*Таблица1[[#This Row],[коэф]])))))))))))))),
(IF((G107="5/24"),((база!$M$6*2*Таблица1[[#This Row],[Столбец1]]*Таблица1[[#This Row],[коэф]])),
IF(OR(G107="4/24",G107="3/24"),((база!$M$5*2*Таблица1[[#This Row],[Столбец1]]*Таблица1[[#This Row],[коэф]])),
IF((G107="5/16"),((база!$L$6*2*Таблица1[[#This Row],[Столбец1]]*Таблица1[[#This Row],[коэф]])),
IF(OR(G107="4/16",G107="3/16"),((база!$L$5*2*Таблица1[[#This Row],[Столбец1]]*Таблица1[[#This Row],[коэф]])),
IF(OR(G107="2/4",G107="3/4",G107="4/4"),((база!$I$5*2*Таблица1[[#This Row],[Столбец1]]*Таблица1[[#This Row],[коэф]])),
IF((G107="5/8"),((база!$J$6*2*Таблица1[[#This Row],[Столбец1]]*Таблица1[[#This Row],[коэф]])),
IF(OR(G107="4/8",G107="3/8",G107="2/8"),((база!$J$5*2*Таблица1[[#This Row],[Столбец1]]*Таблица1[[#This Row],[коэф]])))))))))))</f>
        <v>0</v>
      </c>
      <c r="AQ107" s="712" t="str">
        <f>IFERROR(INDEX(база!T:T, MATCH(F107,база!Q:Q,0)),"")</f>
        <v/>
      </c>
      <c r="AR107" s="208" t="str">
        <f>IFERROR(INDEX(база!D:D, MATCH(F107,база!B:B,0)),"")</f>
        <v/>
      </c>
      <c r="AS107" s="758" t="str">
        <f>IFERROR(INDEX(база!E:E, MATCH(F107,база!B:B,0)),"")</f>
        <v/>
      </c>
    </row>
    <row r="108" spans="1:45" s="46" customFormat="1" ht="15">
      <c r="A108" s="1100" t="str">
        <f t="shared" si="3"/>
        <v>январь</v>
      </c>
      <c r="B108" t="n" s="1100">
        <v>2024.0</v>
      </c>
      <c r="C108" t="s" s="1100">
        <v>388</v>
      </c>
      <c r="D108" t="s" s="1100">
        <v>364</v>
      </c>
      <c r="E108" t="s" s="1100">
        <v>46</v>
      </c>
      <c r="F108" t="s" s="1100">
        <v>264</v>
      </c>
      <c r="G108" t="s" s="1100">
        <v>67</v>
      </c>
      <c r="H108" s="1100"/>
      <c r="I108" s="1100"/>
      <c r="J108" s="1100"/>
      <c r="K108" s="1100"/>
      <c r="L108" s="1100"/>
      <c r="M108" s="1100"/>
      <c r="N108" s="1100"/>
      <c r="O108" s="1100"/>
      <c r="P108" t="n" s="1100">
        <v>7.2</v>
      </c>
      <c r="Q108" s="563"/>
      <c r="R108" t="n" s="46">
        <v>7.2</v>
      </c>
      <c r="S108" s="48"/>
      <c r="T108" s="48"/>
      <c r="U108" s="48"/>
      <c r="V108" s="48"/>
      <c r="W108" s="563"/>
      <c r="X108" s="563"/>
      <c r="Y108" s="563"/>
      <c r="Z108" s="563"/>
      <c r="AA108" s="563"/>
      <c r="AB108" s="563"/>
      <c r="AC108" s="563"/>
      <c r="AD108" s="48"/>
      <c r="AE108" s="48"/>
      <c r="AF108" s="258"/>
      <c r="AG108" s="258"/>
      <c r="AH108" s="258"/>
      <c r="AI108" s="258"/>
      <c r="AJ108" s="258"/>
      <c r="AK108" s="258"/>
      <c r="AL108" s="258"/>
      <c r="AM108" s="212">
        <f>IF(AQ108=1,SUM(Q108:T108,W108:Z108,AC108:AF108,AI108:AL108),
IF(AQ108=2,SUM(P108,S108:V108,Y108:AB108,AE108:AH108,AK108:AL108),
IF(AQ108=3,SUM(P108:R108,U108:X108,AA108:AD108,AG108:AJ108),SUM(Таблица1[[#This Row],[1]:[31]])-Таблица1[[#This Row],[Столбец1]])))</f>
        <v>0</v>
      </c>
      <c r="AN108" s="778">
        <f t="array" ref="AN108">IF(AQ108=1,SUM(P108,U108:V108,AA108:AB108,AG108:AH108),
IF(AQ108=2,SUM(Q108:R108,W108:X108,AC108:AD108,AI108:AJ108),
IF(AQ108=3,SUM(S108:T108,Y108:Z108,AE108:AF108,AK108:AL108),
SUM(IFERROR(WEEKDAY($H$2:$AL$2,2)&gt;5,)*H108:AL108))))+Таблица1[[#This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08" s="292" t="b">
        <f>IF(AR108&lt;=3,(IF((G108="5/24"),((база!$M$6*Таблица1[[#This Row],[сумма]]*Таблица1[[#This Row],[коэф]])),
IF((G108="4/24"),((база!$M$5*Таблица1[[#This Row],[сумма]]*Таблица1[[#This Row],[коэф]])),
IF((G108="3/24"),((база!$M$4*Таблица1[[#This Row],[сумма]]*Таблица1[[#This Row],[коэф]])),
IF((G108="5/16"),((база!$L$6*Таблица1[[#This Row],[сумма]]*Таблица1[[#This Row],[коэф]])),
IF((G108="4/16"),((база!$L$5*Таблица1[[#This Row],[сумма]]*Таблица1[[#This Row],[коэф]])),
IF((G108="3/16"),((база!$L$4*Таблица1[[#This Row],[сумма]]*Таблица1[[#This Row],[коэф]])),
IF((G108="4/4"),((база!$I$5*Таблица1[[#This Row],[сумма]]*Таблица1[[#This Row],[коэф]])),
IF(OR(G108="2/4",G108="3/4"),((база!$I$4*Таблица1[[#This Row],[сумма]]*Таблица1[[#This Row],[коэф]])),
IF((G108="5/8"),((база!$J$6*Таблица1[[#This Row],[сумма]]*Таблица1[[#This Row],[коэф]])),
IF((G108="4/8"),((база!$J$5*Таблица1[[#This Row],[сумма]]*Таблица1[[#This Row],[коэф]])),
IF(OR(G108="3/8",G108="2/8"),((база!$J$4*Таблица1[[#This Row],[сумма]]*Таблица1[[#This Row],[коэф]])))))))))))))),
(IF((G108="5/24"),((база!$M$6*Таблица1[[#This Row],[сумма]]*Таблица1[[#This Row],[коэф]])),
IF(OR(G108="4/24",G108="3/24"),((база!$M$5*Таблица1[[#This Row],[сумма]]*Таблица1[[#This Row],[коэф]])),
IF((G108="5/16"),((база!$L$6*Таблица1[[#This Row],[сумма]]*Таблица1[[#This Row],[коэф]])),
IF(OR(G108="4/16",G108="3/16"),((база!$L$5*Таблица1[[#This Row],[сумма]]*Таблица1[[#This Row],[коэф]])),
IF(OR(G108="2/4",G108="3/4",G108="4/4"),((база!$I$5*Таблица1[[#This Row],[сумма]]*Таблица1[[#This Row],[коэф]])),
IF((G108="5/8"),((база!$J$6*Таблица1[[#This Row],[сумма]]*Таблица1[[#This Row],[коэф]])),
IF(OR(G108="4/8",G108="3/8",G108="2/8"),((база!$J$5*Таблица1[[#This Row],[сумма]]*Таблица1[[#This Row],[коэф]])))))))))))</f>
        <v>0</v>
      </c>
      <c r="AP108" s="730" t="b">
        <f>IF(AR108&lt;=3,(IF((G108="5/24"),((база!$M$6*2*Таблица1[[#This Row],[Столбец1]]*Таблица1[[#This Row],[коэф]])),
IF((G108="4/24"),((база!$M$5*2*Таблица1[[#This Row],[Столбец1]]*Таблица1[[#This Row],[коэф]])),
IF((G108="3/24"),((база!$M$4*2*Таблица1[[#This Row],[Столбец1]]*Таблица1[[#This Row],[коэф]])),
IF((G108="5/16"),((база!$L$6*2*Таблица1[[#This Row],[Столбец1]]*Таблица1[[#This Row],[коэф]])),
IF((G108="4/16"),((база!$L$5*2*Таблица1[[#This Row],[Столбец1]]*Таблица1[[#This Row],[коэф]])),
IF((G108="3/16"),((база!$L$4*2*Таблица1[[#This Row],[Столбец1]]*Таблица1[[#This Row],[коэф]])),
IF((G108="4/4"),((база!$I$5*2*Таблица1[[#This Row],[Столбец1]]*Таблица1[[#This Row],[коэф]])),
IF(OR(G108="2/4",G108="3/4"),((база!$I$4*2*Таблица1[[#This Row],[Столбец1]]*Таблица1[[#This Row],[коэф]])),
IF((G108="5/8"),((база!$J$6*2*Таблица1[[#This Row],[Столбец1]]*Таблица1[[#This Row],[коэф]])),
IF((G108="4/8"),((база!$J$5*2*Таблица1[[#This Row],[Столбец1]]*Таблица1[[#This Row],[коэф]])),
IF(OR(G108="3/8",G108="2/8"),((база!$J$4*2*Таблица1[[#This Row],[Столбец1]]*Таблица1[[#This Row],[коэф]])))))))))))))),
(IF((G108="5/24"),((база!$M$6*2*Таблица1[[#This Row],[Столбец1]]*Таблица1[[#This Row],[коэф]])),
IF(OR(G108="4/24",G108="3/24"),((база!$M$5*2*Таблица1[[#This Row],[Столбец1]]*Таблица1[[#This Row],[коэф]])),
IF((G108="5/16"),((база!$L$6*2*Таблица1[[#This Row],[Столбец1]]*Таблица1[[#This Row],[коэф]])),
IF(OR(G108="4/16",G108="3/16"),((база!$L$5*2*Таблица1[[#This Row],[Столбец1]]*Таблица1[[#This Row],[коэф]])),
IF(OR(G108="2/4",G108="3/4",G108="4/4"),((база!$I$5*2*Таблица1[[#This Row],[Столбец1]]*Таблица1[[#This Row],[коэф]])),
IF((G108="5/8"),((база!$J$6*2*Таблица1[[#This Row],[Столбец1]]*Таблица1[[#This Row],[коэф]])),
IF(OR(G108="4/8",G108="3/8",G108="2/8"),((база!$J$5*2*Таблица1[[#This Row],[Столбец1]]*Таблица1[[#This Row],[коэф]])))))))))))</f>
        <v>0</v>
      </c>
      <c r="AQ108" s="712" t="str">
        <f>IFERROR(INDEX(база!T:T, MATCH(F108,база!Q:Q,0)),"")</f>
        <v/>
      </c>
      <c r="AR108" s="208" t="str">
        <f>IFERROR(INDEX(база!D:D, MATCH(F108,база!B:B,0)),"")</f>
        <v/>
      </c>
      <c r="AS108" s="758" t="str">
        <f>IFERROR(INDEX(база!E:E, MATCH(F108,база!B:B,0)),"")</f>
        <v/>
      </c>
    </row>
    <row r="109" spans="1:45" s="46" customFormat="1" ht="15">
      <c r="A109" s="1102" t="str">
        <f t="shared" si="3"/>
        <v>январь</v>
      </c>
      <c r="B109" t="n" s="1102">
        <v>2024.0</v>
      </c>
      <c r="C109" t="s" s="1102">
        <v>396</v>
      </c>
      <c r="D109" t="s" s="1102">
        <v>364</v>
      </c>
      <c r="E109" t="s" s="1102">
        <v>393</v>
      </c>
      <c r="F109" t="s" s="1102">
        <v>279</v>
      </c>
      <c r="G109" t="s" s="1102">
        <v>4</v>
      </c>
      <c r="H109" s="1102"/>
      <c r="I109" s="1102"/>
      <c r="J109" s="1102"/>
      <c r="K109" s="1102"/>
      <c r="L109" s="1102"/>
      <c r="M109" s="1102"/>
      <c r="N109" s="1102"/>
      <c r="O109" s="1102"/>
      <c r="P109" t="n" s="1102">
        <v>7.2</v>
      </c>
      <c r="Q109" s="563"/>
      <c r="R109" s="563"/>
      <c r="S109" s="563"/>
      <c r="T109" s="563"/>
      <c r="U109" s="563"/>
      <c r="V109" s="563"/>
      <c r="W109" s="563"/>
      <c r="X109" s="563"/>
      <c r="Y109" s="563"/>
      <c r="Z109" s="563"/>
      <c r="AA109" s="563"/>
      <c r="AB109" s="563"/>
      <c r="AC109" s="563"/>
      <c r="AD109" s="48"/>
      <c r="AE109" s="48"/>
      <c r="AF109" s="48"/>
      <c r="AG109" s="48"/>
      <c r="AH109" s="48"/>
      <c r="AI109" s="48"/>
      <c r="AJ109" s="258"/>
      <c r="AK109" s="258"/>
      <c r="AL109" s="258"/>
      <c r="AM109" s="212">
        <f>IF(AQ109=1,SUM(Q109:T109,W109:Z109,AC109:AF109,AI109:AL109),
IF(AQ109=2,SUM(P109,S109:V109,Y109:AB109,AE109:AH109,AK109:AL109),
IF(AQ109=3,SUM(P109:R109,U109:X109,AA109:AD109,AG109:AJ109),SUM(Таблица1[[#This Row],[1]:[31]])-Таблица1[[#This Row],[Столбец1]])))</f>
        <v>0</v>
      </c>
      <c r="AN109" s="778">
        <f t="array" ref="AN109">IF(AQ109=1,SUM(P109,U109:V109,AA109:AB109,AG109:AH109),
IF(AQ109=2,SUM(Q109:R109,W109:X109,AC109:AD109,AI109:AJ109),
IF(AQ109=3,SUM(S109:T109,Y109:Z109,AE109:AF109,AK109:AL109),
SUM(IFERROR(WEEKDAY($H$2:$AL$2,2)&gt;5,)*H109:AL109))))+Таблица1[[#This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09" s="292" t="b">
        <f>IF(AR109&lt;=3,(IF((G109="5/24"),((база!$M$6*Таблица1[[#This Row],[сумма]]*Таблица1[[#This Row],[коэф]])),
IF((G109="4/24"),((база!$M$5*Таблица1[[#This Row],[сумма]]*Таблица1[[#This Row],[коэф]])),
IF((G109="3/24"),((база!$M$4*Таблица1[[#This Row],[сумма]]*Таблица1[[#This Row],[коэф]])),
IF((G109="5/16"),((база!$L$6*Таблица1[[#This Row],[сумма]]*Таблица1[[#This Row],[коэф]])),
IF((G109="4/16"),((база!$L$5*Таблица1[[#This Row],[сумма]]*Таблица1[[#This Row],[коэф]])),
IF((G109="3/16"),((база!$L$4*Таблица1[[#This Row],[сумма]]*Таблица1[[#This Row],[коэф]])),
IF((G109="4/4"),((база!$I$5*Таблица1[[#This Row],[сумма]]*Таблица1[[#This Row],[коэф]])),
IF(OR(G109="2/4",G109="3/4"),((база!$I$4*Таблица1[[#This Row],[сумма]]*Таблица1[[#This Row],[коэф]])),
IF((G109="5/8"),((база!$J$6*Таблица1[[#This Row],[сумма]]*Таблица1[[#This Row],[коэф]])),
IF((G109="4/8"),((база!$J$5*Таблица1[[#This Row],[сумма]]*Таблица1[[#This Row],[коэф]])),
IF(OR(G109="3/8",G109="2/8"),((база!$J$4*Таблица1[[#This Row],[сумма]]*Таблица1[[#This Row],[коэф]])))))))))))))),
(IF((G109="5/24"),((база!$M$6*Таблица1[[#This Row],[сумма]]*Таблица1[[#This Row],[коэф]])),
IF(OR(G109="4/24",G109="3/24"),((база!$M$5*Таблица1[[#This Row],[сумма]]*Таблица1[[#This Row],[коэф]])),
IF((G109="5/16"),((база!$L$6*Таблица1[[#This Row],[сумма]]*Таблица1[[#This Row],[коэф]])),
IF(OR(G109="4/16",G109="3/16"),((база!$L$5*Таблица1[[#This Row],[сумма]]*Таблица1[[#This Row],[коэф]])),
IF(OR(G109="2/4",G109="3/4",G109="4/4"),((база!$I$5*Таблица1[[#This Row],[сумма]]*Таблица1[[#This Row],[коэф]])),
IF((G109="5/8"),((база!$J$6*Таблица1[[#This Row],[сумма]]*Таблица1[[#This Row],[коэф]])),
IF(OR(G109="4/8",G109="3/8",G109="2/8"),((база!$J$5*Таблица1[[#This Row],[сумма]]*Таблица1[[#This Row],[коэф]])))))))))))</f>
        <v>0</v>
      </c>
      <c r="AP109" s="730" t="b">
        <f>IF(AR109&lt;=3,(IF((G109="5/24"),((база!$M$6*2*Таблица1[[#This Row],[Столбец1]]*Таблица1[[#This Row],[коэф]])),
IF((G109="4/24"),((база!$M$5*2*Таблица1[[#This Row],[Столбец1]]*Таблица1[[#This Row],[коэф]])),
IF((G109="3/24"),((база!$M$4*2*Таблица1[[#This Row],[Столбец1]]*Таблица1[[#This Row],[коэф]])),
IF((G109="5/16"),((база!$L$6*2*Таблица1[[#This Row],[Столбец1]]*Таблица1[[#This Row],[коэф]])),
IF((G109="4/16"),((база!$L$5*2*Таблица1[[#This Row],[Столбец1]]*Таблица1[[#This Row],[коэф]])),
IF((G109="3/16"),((база!$L$4*2*Таблица1[[#This Row],[Столбец1]]*Таблица1[[#This Row],[коэф]])),
IF((G109="4/4"),((база!$I$5*2*Таблица1[[#This Row],[Столбец1]]*Таблица1[[#This Row],[коэф]])),
IF(OR(G109="2/4",G109="3/4"),((база!$I$4*2*Таблица1[[#This Row],[Столбец1]]*Таблица1[[#This Row],[коэф]])),
IF((G109="5/8"),((база!$J$6*2*Таблица1[[#This Row],[Столбец1]]*Таблица1[[#This Row],[коэф]])),
IF((G109="4/8"),((база!$J$5*2*Таблица1[[#This Row],[Столбец1]]*Таблица1[[#This Row],[коэф]])),
IF(OR(G109="3/8",G109="2/8"),((база!$J$4*2*Таблица1[[#This Row],[Столбец1]]*Таблица1[[#This Row],[коэф]])))))))))))))),
(IF((G109="5/24"),((база!$M$6*2*Таблица1[[#This Row],[Столбец1]]*Таблица1[[#This Row],[коэф]])),
IF(OR(G109="4/24",G109="3/24"),((база!$M$5*2*Таблица1[[#This Row],[Столбец1]]*Таблица1[[#This Row],[коэф]])),
IF((G109="5/16"),((база!$L$6*2*Таблица1[[#This Row],[Столбец1]]*Таблица1[[#This Row],[коэф]])),
IF(OR(G109="4/16",G109="3/16"),((база!$L$5*2*Таблица1[[#This Row],[Столбец1]]*Таблица1[[#This Row],[коэф]])),
IF(OR(G109="2/4",G109="3/4",G109="4/4"),((база!$I$5*2*Таблица1[[#This Row],[Столбец1]]*Таблица1[[#This Row],[коэф]])),
IF((G109="5/8"),((база!$J$6*2*Таблица1[[#This Row],[Столбец1]]*Таблица1[[#This Row],[коэф]])),
IF(OR(G109="4/8",G109="3/8",G109="2/8"),((база!$J$5*2*Таблица1[[#This Row],[Столбец1]]*Таблица1[[#This Row],[коэф]])))))))))))</f>
        <v>0</v>
      </c>
      <c r="AQ109" s="712" t="str">
        <f>IFERROR(INDEX(база!T:T, MATCH(F109,база!Q:Q,0)),"")</f>
        <v/>
      </c>
      <c r="AR109" s="208" t="str">
        <f>IFERROR(INDEX(база!D:D, MATCH(F109,база!B:B,0)),"")</f>
        <v/>
      </c>
      <c r="AS109" s="758" t="str">
        <f>IFERROR(INDEX(база!E:E, MATCH(F109,база!B:B,0)),"")</f>
        <v/>
      </c>
    </row>
    <row r="110" spans="1:45" s="46" customFormat="1" ht="15">
      <c r="A110" s="1104" t="str">
        <f t="shared" si="3"/>
        <v>январь</v>
      </c>
      <c r="B110" t="n" s="1104">
        <v>2024.0</v>
      </c>
      <c r="C110" t="s" s="1104">
        <v>388</v>
      </c>
      <c r="D110" t="s" s="1104">
        <v>364</v>
      </c>
      <c r="E110" t="s" s="1104">
        <v>46</v>
      </c>
      <c r="F110" t="s" s="1104">
        <v>324</v>
      </c>
      <c r="G110" t="s" s="1104">
        <v>4</v>
      </c>
      <c r="H110" s="1104"/>
      <c r="I110" s="1104"/>
      <c r="J110" s="1104"/>
      <c r="K110" s="1104"/>
      <c r="L110" s="1104"/>
      <c r="M110" s="1104"/>
      <c r="N110" s="1104"/>
      <c r="O110" t="n" s="1104">
        <v>4.0</v>
      </c>
      <c r="P110" s="563"/>
      <c r="Q110" s="563"/>
      <c r="R110" s="563"/>
      <c r="S110" s="563"/>
      <c r="T110" s="563"/>
      <c r="U110" t="n" s="46">
        <v>7.2</v>
      </c>
      <c r="V110" s="563"/>
      <c r="W110" s="563"/>
      <c r="X110" s="48"/>
      <c r="Y110" s="48"/>
      <c r="Z110" s="48"/>
      <c r="AA110" s="48"/>
      <c r="AB110" s="563"/>
      <c r="AC110" s="563"/>
      <c r="AD110" s="48"/>
      <c r="AE110" s="48"/>
      <c r="AF110" s="48"/>
      <c r="AG110" s="48"/>
      <c r="AH110" s="48"/>
      <c r="AI110" s="48"/>
      <c r="AJ110" s="48"/>
      <c r="AK110" s="48"/>
      <c r="AL110" s="51"/>
      <c r="AM110" s="212">
        <f>IF(AQ110=1,SUM(Q110:T110,W110:Z110,AC110:AF110,AI110:AL110),
IF(AQ110=2,SUM(P110,S110:V110,Y110:AB110,AE110:AH110,AK110:AL110),
IF(AQ110=3,SUM(P110:R110,U110:X110,AA110:AD110,AG110:AJ110),SUM(Таблица1[[#This Row],[1]:[31]])-Таблица1[[#This Row],[Столбец1]])))</f>
        <v>0</v>
      </c>
      <c r="AN110" s="778">
        <f t="array" ref="AN110">IF(AQ110=1,SUM(P110,U110:V110,AA110:AB110,AG110:AH110),
IF(AQ110=2,SUM(Q110:R110,W110:X110,AC110:AD110,AI110:AJ110),
IF(AQ110=3,SUM(S110:T110,Y110:Z110,AE110:AF110,AK110:AL110),
SUM(IFERROR(WEEKDAY($H$2:$AL$2,2)&gt;5,)*H110:AL110))))+Таблица1[[#This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10" s="292" t="b">
        <f>IF(AR110&lt;=3,(IF((G110="5/24"),((база!$M$6*Таблица1[[#This Row],[сумма]]*Таблица1[[#This Row],[коэф]])),
IF((G110="4/24"),((база!$M$5*Таблица1[[#This Row],[сумма]]*Таблица1[[#This Row],[коэф]])),
IF((G110="3/24"),((база!$M$4*Таблица1[[#This Row],[сумма]]*Таблица1[[#This Row],[коэф]])),
IF((G110="5/16"),((база!$L$6*Таблица1[[#This Row],[сумма]]*Таблица1[[#This Row],[коэф]])),
IF((G110="4/16"),((база!$L$5*Таблица1[[#This Row],[сумма]]*Таблица1[[#This Row],[коэф]])),
IF((G110="3/16"),((база!$L$4*Таблица1[[#This Row],[сумма]]*Таблица1[[#This Row],[коэф]])),
IF((G110="4/4"),((база!$I$5*Таблица1[[#This Row],[сумма]]*Таблица1[[#This Row],[коэф]])),
IF(OR(G110="2/4",G110="3/4"),((база!$I$4*Таблица1[[#This Row],[сумма]]*Таблица1[[#This Row],[коэф]])),
IF((G110="5/8"),((база!$J$6*Таблица1[[#This Row],[сумма]]*Таблица1[[#This Row],[коэф]])),
IF((G110="4/8"),((база!$J$5*Таблица1[[#This Row],[сумма]]*Таблица1[[#This Row],[коэф]])),
IF(OR(G110="3/8",G110="2/8"),((база!$J$4*Таблица1[[#This Row],[сумма]]*Таблица1[[#This Row],[коэф]])))))))))))))),
(IF((G110="5/24"),((база!$M$6*Таблица1[[#This Row],[сумма]]*Таблица1[[#This Row],[коэф]])),
IF(OR(G110="4/24",G110="3/24"),((база!$M$5*Таблица1[[#This Row],[сумма]]*Таблица1[[#This Row],[коэф]])),
IF((G110="5/16"),((база!$L$6*Таблица1[[#This Row],[сумма]]*Таблица1[[#This Row],[коэф]])),
IF(OR(G110="4/16",G110="3/16"),((база!$L$5*Таблица1[[#This Row],[сумма]]*Таблица1[[#This Row],[коэф]])),
IF(OR(G110="2/4",G110="3/4",G110="4/4"),((база!$I$5*Таблица1[[#This Row],[сумма]]*Таблица1[[#This Row],[коэф]])),
IF((G110="5/8"),((база!$J$6*Таблица1[[#This Row],[сумма]]*Таблица1[[#This Row],[коэф]])),
IF(OR(G110="4/8",G110="3/8",G110="2/8"),((база!$J$5*Таблица1[[#This Row],[сумма]]*Таблица1[[#This Row],[коэф]])))))))))))</f>
        <v>0</v>
      </c>
      <c r="AP110" s="730" t="b">
        <f>IF(AR110&lt;=3,(IF((G110="5/24"),((база!$M$6*2*Таблица1[[#This Row],[Столбец1]]*Таблица1[[#This Row],[коэф]])),
IF((G110="4/24"),((база!$M$5*2*Таблица1[[#This Row],[Столбец1]]*Таблица1[[#This Row],[коэф]])),
IF((G110="3/24"),((база!$M$4*2*Таблица1[[#This Row],[Столбец1]]*Таблица1[[#This Row],[коэф]])),
IF((G110="5/16"),((база!$L$6*2*Таблица1[[#This Row],[Столбец1]]*Таблица1[[#This Row],[коэф]])),
IF((G110="4/16"),((база!$L$5*2*Таблица1[[#This Row],[Столбец1]]*Таблица1[[#This Row],[коэф]])),
IF((G110="3/16"),((база!$L$4*2*Таблица1[[#This Row],[Столбец1]]*Таблица1[[#This Row],[коэф]])),
IF((G110="4/4"),((база!$I$5*2*Таблица1[[#This Row],[Столбец1]]*Таблица1[[#This Row],[коэф]])),
IF(OR(G110="2/4",G110="3/4"),((база!$I$4*2*Таблица1[[#This Row],[Столбец1]]*Таблица1[[#This Row],[коэф]])),
IF((G110="5/8"),((база!$J$6*2*Таблица1[[#This Row],[Столбец1]]*Таблица1[[#This Row],[коэф]])),
IF((G110="4/8"),((база!$J$5*2*Таблица1[[#This Row],[Столбец1]]*Таблица1[[#This Row],[коэф]])),
IF(OR(G110="3/8",G110="2/8"),((база!$J$4*2*Таблица1[[#This Row],[Столбец1]]*Таблица1[[#This Row],[коэф]])))))))))))))),
(IF((G110="5/24"),((база!$M$6*2*Таблица1[[#This Row],[Столбец1]]*Таблица1[[#This Row],[коэф]])),
IF(OR(G110="4/24",G110="3/24"),((база!$M$5*2*Таблица1[[#This Row],[Столбец1]]*Таблица1[[#This Row],[коэф]])),
IF((G110="5/16"),((база!$L$6*2*Таблица1[[#This Row],[Столбец1]]*Таблица1[[#This Row],[коэф]])),
IF(OR(G110="4/16",G110="3/16"),((база!$L$5*2*Таблица1[[#This Row],[Столбец1]]*Таблица1[[#This Row],[коэф]])),
IF(OR(G110="2/4",G110="3/4",G110="4/4"),((база!$I$5*2*Таблица1[[#This Row],[Столбец1]]*Таблица1[[#This Row],[коэф]])),
IF((G110="5/8"),((база!$J$6*2*Таблица1[[#This Row],[Столбец1]]*Таблица1[[#This Row],[коэф]])),
IF(OR(G110="4/8",G110="3/8",G110="2/8"),((база!$J$5*2*Таблица1[[#This Row],[Столбец1]]*Таблица1[[#This Row],[коэф]])))))))))))</f>
        <v>0</v>
      </c>
      <c r="AQ110" s="712" t="str">
        <f>IFERROR(INDEX(база!T:T, MATCH(F110,база!Q:Q,0)),"")</f>
        <v/>
      </c>
      <c r="AR110" s="208" t="str">
        <f>IFERROR(INDEX(база!D:D, MATCH(F110,база!B:B,0)),"")</f>
        <v/>
      </c>
      <c r="AS110" s="758" t="str">
        <f>IFERROR(INDEX(база!E:E, MATCH(F110,база!B:B,0)),"")</f>
        <v/>
      </c>
    </row>
    <row r="111" spans="1:45" s="46" customFormat="1" ht="15">
      <c r="A111" s="1105" t="str">
        <f t="shared" si="3"/>
        <v>январь</v>
      </c>
      <c r="B111" t="n" s="1105">
        <v>2024.0</v>
      </c>
      <c r="C111" t="s" s="1105">
        <v>386</v>
      </c>
      <c r="D111" t="s" s="1105">
        <v>365</v>
      </c>
      <c r="E111" t="s" s="1105">
        <v>46</v>
      </c>
      <c r="F111" t="s" s="1105">
        <v>374</v>
      </c>
      <c r="G111" t="s" s="1105">
        <v>6</v>
      </c>
      <c r="H111" s="1105"/>
      <c r="I111" s="1105"/>
      <c r="J111" s="1105"/>
      <c r="K111" s="1105"/>
      <c r="L111" s="1105"/>
      <c r="M111" s="1105"/>
      <c r="N111" s="1105"/>
      <c r="O111" s="1105"/>
      <c r="P111" s="1105"/>
      <c r="Q111" t="n" s="1105">
        <v>7.2</v>
      </c>
      <c r="R111" t="n" s="46">
        <v>7.2</v>
      </c>
      <c r="S111" s="563"/>
      <c r="T111" s="563"/>
      <c r="U111" t="n" s="46">
        <v>7.2</v>
      </c>
      <c r="V111" s="563"/>
      <c r="W111" s="563"/>
      <c r="X111" s="48"/>
      <c r="Y111" s="48"/>
      <c r="Z111" s="48"/>
      <c r="AA111" s="48"/>
      <c r="AB111" s="563"/>
      <c r="AC111" s="563"/>
      <c r="AD111" s="48"/>
      <c r="AE111" s="48"/>
      <c r="AF111" s="48"/>
      <c r="AG111" s="48"/>
      <c r="AH111" s="48"/>
      <c r="AI111" s="48"/>
      <c r="AJ111" s="48"/>
      <c r="AK111" s="48"/>
      <c r="AL111" s="258"/>
      <c r="AM111" s="212">
        <f>IF(AQ111=1,SUM(Q111:T111,W111:Z111,AC111:AF111,AI111:AL111),
IF(AQ111=2,SUM(P111,S111:V111,Y111:AB111,AE111:AH111,AK111:AL111),
IF(AQ111=3,SUM(P111:R111,U111:X111,AA111:AD111,AG111:AJ111),SUM(Таблица1[[#This Row],[1]:[31]])-Таблица1[[#This Row],[Столбец1]])))</f>
        <v>0</v>
      </c>
      <c r="AN111" s="778">
        <f t="array" ref="AN111">IF(AQ111=1,SUM(P111,U111:V111,AA111:AB111,AG111:AH111),
IF(AQ111=2,SUM(Q111:R111,W111:X111,AC111:AD111,AI111:AJ111),
IF(AQ111=3,SUM(S111:T111,Y111:Z111,AE111:AF111,AK111:AL111),
SUM(IFERROR(WEEKDAY($H$2:$AL$2,2)&gt;5,)*H111:AL111))))+Таблица1[[#This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11" s="292" t="b">
        <f>IF(AR111&lt;=3,(IF((G111="5/24"),((база!$M$6*Таблица1[[#This Row],[сумма]]*Таблица1[[#This Row],[коэф]])),
IF((G111="4/24"),((база!$M$5*Таблица1[[#This Row],[сумма]]*Таблица1[[#This Row],[коэф]])),
IF((G111="3/24"),((база!$M$4*Таблица1[[#This Row],[сумма]]*Таблица1[[#This Row],[коэф]])),
IF((G111="5/16"),((база!$L$6*Таблица1[[#This Row],[сумма]]*Таблица1[[#This Row],[коэф]])),
IF((G111="4/16"),((база!$L$5*Таблица1[[#This Row],[сумма]]*Таблица1[[#This Row],[коэф]])),
IF((G111="3/16"),((база!$L$4*Таблица1[[#This Row],[сумма]]*Таблица1[[#This Row],[коэф]])),
IF((G111="4/4"),((база!$I$5*Таблица1[[#This Row],[сумма]]*Таблица1[[#This Row],[коэф]])),
IF(OR(G111="2/4",G111="3/4"),((база!$I$4*Таблица1[[#This Row],[сумма]]*Таблица1[[#This Row],[коэф]])),
IF((G111="5/8"),((база!$J$6*Таблица1[[#This Row],[сумма]]*Таблица1[[#This Row],[коэф]])),
IF((G111="4/8"),((база!$J$5*Таблица1[[#This Row],[сумма]]*Таблица1[[#This Row],[коэф]])),
IF(OR(G111="3/8",G111="2/8"),((база!$J$4*Таблица1[[#This Row],[сумма]]*Таблица1[[#This Row],[коэф]])))))))))))))),
(IF((G111="5/24"),((база!$M$6*Таблица1[[#This Row],[сумма]]*Таблица1[[#This Row],[коэф]])),
IF(OR(G111="4/24",G111="3/24"),((база!$M$5*Таблица1[[#This Row],[сумма]]*Таблица1[[#This Row],[коэф]])),
IF((G111="5/16"),((база!$L$6*Таблица1[[#This Row],[сумма]]*Таблица1[[#This Row],[коэф]])),
IF(OR(G111="4/16",G111="3/16"),((база!$L$5*Таблица1[[#This Row],[сумма]]*Таблица1[[#This Row],[коэф]])),
IF(OR(G111="2/4",G111="3/4",G111="4/4"),((база!$I$5*Таблица1[[#This Row],[сумма]]*Таблица1[[#This Row],[коэф]])),
IF((G111="5/8"),((база!$J$6*Таблица1[[#This Row],[сумма]]*Таблица1[[#This Row],[коэф]])),
IF(OR(G111="4/8",G111="3/8",G111="2/8"),((база!$J$5*Таблица1[[#This Row],[сумма]]*Таблица1[[#This Row],[коэф]])))))))))))</f>
        <v>0</v>
      </c>
      <c r="AP111" s="730" t="b">
        <f>IF(AR111&lt;=3,(IF((G111="5/24"),((база!$M$6*2*Таблица1[[#This Row],[Столбец1]]*Таблица1[[#This Row],[коэф]])),
IF((G111="4/24"),((база!$M$5*2*Таблица1[[#This Row],[Столбец1]]*Таблица1[[#This Row],[коэф]])),
IF((G111="3/24"),((база!$M$4*2*Таблица1[[#This Row],[Столбец1]]*Таблица1[[#This Row],[коэф]])),
IF((G111="5/16"),((база!$L$6*2*Таблица1[[#This Row],[Столбец1]]*Таблица1[[#This Row],[коэф]])),
IF((G111="4/16"),((база!$L$5*2*Таблица1[[#This Row],[Столбец1]]*Таблица1[[#This Row],[коэф]])),
IF((G111="3/16"),((база!$L$4*2*Таблица1[[#This Row],[Столбец1]]*Таблица1[[#This Row],[коэф]])),
IF((G111="4/4"),((база!$I$5*2*Таблица1[[#This Row],[Столбец1]]*Таблица1[[#This Row],[коэф]])),
IF(OR(G111="2/4",G111="3/4"),((база!$I$4*2*Таблица1[[#This Row],[Столбец1]]*Таблица1[[#This Row],[коэф]])),
IF((G111="5/8"),((база!$J$6*2*Таблица1[[#This Row],[Столбец1]]*Таблица1[[#This Row],[коэф]])),
IF((G111="4/8"),((база!$J$5*2*Таблица1[[#This Row],[Столбец1]]*Таблица1[[#This Row],[коэф]])),
IF(OR(G111="3/8",G111="2/8"),((база!$J$4*2*Таблица1[[#This Row],[Столбец1]]*Таблица1[[#This Row],[коэф]])))))))))))))),
(IF((G111="5/24"),((база!$M$6*2*Таблица1[[#This Row],[Столбец1]]*Таблица1[[#This Row],[коэф]])),
IF(OR(G111="4/24",G111="3/24"),((база!$M$5*2*Таблица1[[#This Row],[Столбец1]]*Таблица1[[#This Row],[коэф]])),
IF((G111="5/16"),((база!$L$6*2*Таблица1[[#This Row],[Столбец1]]*Таблица1[[#This Row],[коэф]])),
IF(OR(G111="4/16",G111="3/16"),((база!$L$5*2*Таблица1[[#This Row],[Столбец1]]*Таблица1[[#This Row],[коэф]])),
IF(OR(G111="2/4",G111="3/4",G111="4/4"),((база!$I$5*2*Таблица1[[#This Row],[Столбец1]]*Таблица1[[#This Row],[коэф]])),
IF((G111="5/8"),((база!$J$6*2*Таблица1[[#This Row],[Столбец1]]*Таблица1[[#This Row],[коэф]])),
IF(OR(G111="4/8",G111="3/8",G111="2/8"),((база!$J$5*2*Таблица1[[#This Row],[Столбец1]]*Таблица1[[#This Row],[коэф]])))))))))))</f>
        <v>0</v>
      </c>
      <c r="AQ111" s="712" t="str">
        <f>IFERROR(INDEX(база!T:T, MATCH(F111,база!Q:Q,0)),"")</f>
        <v/>
      </c>
      <c r="AR111" s="208" t="str">
        <f>IFERROR(INDEX(база!D:D, MATCH(F111,база!B:B,0)),"")</f>
        <v/>
      </c>
      <c r="AS111" s="758" t="str">
        <f>IFERROR(INDEX(база!E:E, MATCH(F111,база!B:B,0)),"")</f>
        <v/>
      </c>
    </row>
    <row r="112" spans="1:45" s="46" customFormat="1" ht="15">
      <c r="A112" s="1106" t="str">
        <f t="shared" si="3"/>
        <v>январь</v>
      </c>
      <c r="B112" t="n" s="1106">
        <v>2024.0</v>
      </c>
      <c r="C112" t="s" s="1106">
        <v>387</v>
      </c>
      <c r="D112" t="s" s="1106">
        <v>395</v>
      </c>
      <c r="E112" t="s" s="1106">
        <v>46</v>
      </c>
      <c r="F112" t="s" s="1106">
        <v>277</v>
      </c>
      <c r="G112" t="s" s="1106">
        <v>4</v>
      </c>
      <c r="H112" s="1106"/>
      <c r="I112" s="1106"/>
      <c r="J112" s="1106"/>
      <c r="K112" s="1106"/>
      <c r="L112" s="1106"/>
      <c r="M112" s="1106"/>
      <c r="N112" s="1106"/>
      <c r="O112" s="1106"/>
      <c r="P112" s="1106"/>
      <c r="Q112" t="n" s="1106">
        <v>7.2</v>
      </c>
      <c r="R112" s="563"/>
      <c r="S112" s="563"/>
      <c r="T112" s="48"/>
      <c r="U112" s="48"/>
      <c r="V112" s="48"/>
      <c r="W112" s="48"/>
      <c r="X112" s="563"/>
      <c r="Y112" s="563"/>
      <c r="Z112" s="48"/>
      <c r="AA112" s="48"/>
      <c r="AB112" s="48"/>
      <c r="AC112" s="48"/>
      <c r="AD112" s="48"/>
      <c r="AE112" s="48"/>
      <c r="AF112" s="48"/>
      <c r="AG112" s="48"/>
      <c r="AH112" s="48"/>
      <c r="AI112" s="48"/>
      <c r="AJ112" s="258"/>
      <c r="AK112" s="258"/>
      <c r="AL112" s="258"/>
      <c r="AM112" s="212">
        <f>IF(AQ112=1,SUM(Q112:T112,W112:Z112,AC112:AF112,AI112:AL112),
IF(AQ112=2,SUM(P112,S112:V112,Y112:AB112,AE112:AH112,AK112:AL112),
IF(AQ112=3,SUM(P112:R112,U112:X112,AA112:AD112,AG112:AJ112),SUM(Таблица1[[#This Row],[1]:[31]])-Таблица1[[#This Row],[Столбец1]])))</f>
        <v>0</v>
      </c>
      <c r="AN112" s="778">
        <f t="array" ref="AN112">IF(AQ112=1,SUM(P112,U112:V112,AA112:AB112,AG112:AH112),
IF(AQ112=2,SUM(Q112:R112,W112:X112,AC112:AD112,AI112:AJ112),
IF(AQ112=3,SUM(S112:T112,Y112:Z112,AE112:AF112,AK112:AL112),
SUM(IFERROR(WEEKDAY($H$2:$AL$2,2)&gt;5,)*H112:AL112))))+Таблица1[[#This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12" s="292" t="b">
        <f>IF(AR112&lt;=3,(IF((G112="5/24"),((база!$M$6*Таблица1[[#This Row],[сумма]]*Таблица1[[#This Row],[коэф]])),
IF((G112="4/24"),((база!$M$5*Таблица1[[#This Row],[сумма]]*Таблица1[[#This Row],[коэф]])),
IF((G112="3/24"),((база!$M$4*Таблица1[[#This Row],[сумма]]*Таблица1[[#This Row],[коэф]])),
IF((G112="5/16"),((база!$L$6*Таблица1[[#This Row],[сумма]]*Таблица1[[#This Row],[коэф]])),
IF((G112="4/16"),((база!$L$5*Таблица1[[#This Row],[сумма]]*Таблица1[[#This Row],[коэф]])),
IF((G112="3/16"),((база!$L$4*Таблица1[[#This Row],[сумма]]*Таблица1[[#This Row],[коэф]])),
IF((G112="4/4"),((база!$I$5*Таблица1[[#This Row],[сумма]]*Таблица1[[#This Row],[коэф]])),
IF(OR(G112="2/4",G112="3/4"),((база!$I$4*Таблица1[[#This Row],[сумма]]*Таблица1[[#This Row],[коэф]])),
IF((G112="5/8"),((база!$J$6*Таблица1[[#This Row],[сумма]]*Таблица1[[#This Row],[коэф]])),
IF((G112="4/8"),((база!$J$5*Таблица1[[#This Row],[сумма]]*Таблица1[[#This Row],[коэф]])),
IF(OR(G112="3/8",G112="2/8"),((база!$J$4*Таблица1[[#This Row],[сумма]]*Таблица1[[#This Row],[коэф]])))))))))))))),
(IF((G112="5/24"),((база!$M$6*Таблица1[[#This Row],[сумма]]*Таблица1[[#This Row],[коэф]])),
IF(OR(G112="4/24",G112="3/24"),((база!$M$5*Таблица1[[#This Row],[сумма]]*Таблица1[[#This Row],[коэф]])),
IF((G112="5/16"),((база!$L$6*Таблица1[[#This Row],[сумма]]*Таблица1[[#This Row],[коэф]])),
IF(OR(G112="4/16",G112="3/16"),((база!$L$5*Таблица1[[#This Row],[сумма]]*Таблица1[[#This Row],[коэф]])),
IF(OR(G112="2/4",G112="3/4",G112="4/4"),((база!$I$5*Таблица1[[#This Row],[сумма]]*Таблица1[[#This Row],[коэф]])),
IF((G112="5/8"),((база!$J$6*Таблица1[[#This Row],[сумма]]*Таблица1[[#This Row],[коэф]])),
IF(OR(G112="4/8",G112="3/8",G112="2/8"),((база!$J$5*Таблица1[[#This Row],[сумма]]*Таблица1[[#This Row],[коэф]])))))))))))</f>
        <v>0</v>
      </c>
      <c r="AP112" s="730" t="b">
        <f>IF(AR112&lt;=3,(IF((G112="5/24"),((база!$M$6*2*Таблица1[[#This Row],[Столбец1]]*Таблица1[[#This Row],[коэф]])),
IF((G112="4/24"),((база!$M$5*2*Таблица1[[#This Row],[Столбец1]]*Таблица1[[#This Row],[коэф]])),
IF((G112="3/24"),((база!$M$4*2*Таблица1[[#This Row],[Столбец1]]*Таблица1[[#This Row],[коэф]])),
IF((G112="5/16"),((база!$L$6*2*Таблица1[[#This Row],[Столбец1]]*Таблица1[[#This Row],[коэф]])),
IF((G112="4/16"),((база!$L$5*2*Таблица1[[#This Row],[Столбец1]]*Таблица1[[#This Row],[коэф]])),
IF((G112="3/16"),((база!$L$4*2*Таблица1[[#This Row],[Столбец1]]*Таблица1[[#This Row],[коэф]])),
IF((G112="4/4"),((база!$I$5*2*Таблица1[[#This Row],[Столбец1]]*Таблица1[[#This Row],[коэф]])),
IF(OR(G112="2/4",G112="3/4"),((база!$I$4*2*Таблица1[[#This Row],[Столбец1]]*Таблица1[[#This Row],[коэф]])),
IF((G112="5/8"),((база!$J$6*2*Таблица1[[#This Row],[Столбец1]]*Таблица1[[#This Row],[коэф]])),
IF((G112="4/8"),((база!$J$5*2*Таблица1[[#This Row],[Столбец1]]*Таблица1[[#This Row],[коэф]])),
IF(OR(G112="3/8",G112="2/8"),((база!$J$4*2*Таблица1[[#This Row],[Столбец1]]*Таблица1[[#This Row],[коэф]])))))))))))))),
(IF((G112="5/24"),((база!$M$6*2*Таблица1[[#This Row],[Столбец1]]*Таблица1[[#This Row],[коэф]])),
IF(OR(G112="4/24",G112="3/24"),((база!$M$5*2*Таблица1[[#This Row],[Столбец1]]*Таблица1[[#This Row],[коэф]])),
IF((G112="5/16"),((база!$L$6*2*Таблица1[[#This Row],[Столбец1]]*Таблица1[[#This Row],[коэф]])),
IF(OR(G112="4/16",G112="3/16"),((база!$L$5*2*Таблица1[[#This Row],[Столбец1]]*Таблица1[[#This Row],[коэф]])),
IF(OR(G112="2/4",G112="3/4",G112="4/4"),((база!$I$5*2*Таблица1[[#This Row],[Столбец1]]*Таблица1[[#This Row],[коэф]])),
IF((G112="5/8"),((база!$J$6*2*Таблица1[[#This Row],[Столбец1]]*Таблица1[[#This Row],[коэф]])),
IF(OR(G112="4/8",G112="3/8",G112="2/8"),((база!$J$5*2*Таблица1[[#This Row],[Столбец1]]*Таблица1[[#This Row],[коэф]])))))))))))</f>
        <v>0</v>
      </c>
      <c r="AQ112" s="712" t="str">
        <f>IFERROR(INDEX(база!T:T, MATCH(F112,база!Q:Q,0)),"")</f>
        <v/>
      </c>
      <c r="AR112" s="208" t="str">
        <f>IFERROR(INDEX(база!D:D, MATCH(F112,база!B:B,0)),"")</f>
        <v/>
      </c>
      <c r="AS112" s="758" t="str">
        <f>IFERROR(INDEX(база!E:E, MATCH(F112,база!B:B,0)),"")</f>
        <v/>
      </c>
    </row>
    <row r="113" spans="1:45" s="46" customFormat="1" ht="15">
      <c r="A113" s="1108" t="str">
        <f t="shared" si="3"/>
        <v>январь</v>
      </c>
      <c r="B113" t="n" s="1108">
        <v>2024.0</v>
      </c>
      <c r="C113" t="s" s="1108">
        <v>388</v>
      </c>
      <c r="D113" t="s" s="1108">
        <v>364</v>
      </c>
      <c r="E113" t="s" s="1108">
        <v>46</v>
      </c>
      <c r="F113" t="s" s="1108">
        <v>295</v>
      </c>
      <c r="G113" t="s" s="1108">
        <v>6</v>
      </c>
      <c r="H113" s="1108"/>
      <c r="I113" s="1108"/>
      <c r="J113" s="1108"/>
      <c r="K113" s="1108"/>
      <c r="L113" s="1108"/>
      <c r="M113" s="1108"/>
      <c r="N113" s="1108"/>
      <c r="O113" s="1108"/>
      <c r="P113" s="1108"/>
      <c r="Q113" t="n" s="1108">
        <v>7.2</v>
      </c>
      <c r="R113" s="563"/>
      <c r="S113" s="563"/>
      <c r="T113" s="48"/>
      <c r="U113" s="48"/>
      <c r="V113" s="48"/>
      <c r="W113" s="48"/>
      <c r="X113" s="563"/>
      <c r="Y113" s="563"/>
      <c r="Z113" s="48"/>
      <c r="AA113" s="48"/>
      <c r="AB113" s="48"/>
      <c r="AC113" s="48"/>
      <c r="AD113" s="48"/>
      <c r="AE113" s="48"/>
      <c r="AF113" s="48"/>
      <c r="AG113" s="48"/>
      <c r="AH113" s="48"/>
      <c r="AI113" s="48"/>
      <c r="AJ113" s="258"/>
      <c r="AK113" s="258"/>
      <c r="AL113" s="258"/>
      <c r="AM113" s="212">
        <f>IF(AQ113=1,SUM(Q113:T113,W113:Z113,AC113:AF113,AI113:AL113),
IF(AQ113=2,SUM(P113,S113:V113,Y113:AB113,AE113:AH113,AK113:AL113),
IF(AQ113=3,SUM(P113:R113,U113:X113,AA113:AD113,AG113:AJ113),SUM(Таблица1[[#This Row],[1]:[31]])-Таблица1[[#This Row],[Столбец1]])))</f>
        <v>0</v>
      </c>
      <c r="AN113" s="778">
        <f t="array" ref="AN113">IF(AQ113=1,SUM(P113,U113:V113,AA113:AB113,AG113:AH113),
IF(AQ113=2,SUM(Q113:R113,W113:X113,AC113:AD113,AI113:AJ113),
IF(AQ113=3,SUM(S113:T113,Y113:Z113,AE113:AF113,AK113:AL113),
SUM(IFERROR(WEEKDAY($H$2:$AL$2,2)&gt;5,)*H113:AL113))))+Таблица1[[#This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13" s="292" t="b">
        <f>IF(AR113&lt;=3,(IF((G113="5/24"),((база!$M$6*Таблица1[[#This Row],[сумма]]*Таблица1[[#This Row],[коэф]])),
IF((G113="4/24"),((база!$M$5*Таблица1[[#This Row],[сумма]]*Таблица1[[#This Row],[коэф]])),
IF((G113="3/24"),((база!$M$4*Таблица1[[#This Row],[сумма]]*Таблица1[[#This Row],[коэф]])),
IF((G113="5/16"),((база!$L$6*Таблица1[[#This Row],[сумма]]*Таблица1[[#This Row],[коэф]])),
IF((G113="4/16"),((база!$L$5*Таблица1[[#This Row],[сумма]]*Таблица1[[#This Row],[коэф]])),
IF((G113="3/16"),((база!$L$4*Таблица1[[#This Row],[сумма]]*Таблица1[[#This Row],[коэф]])),
IF((G113="4/4"),((база!$I$5*Таблица1[[#This Row],[сумма]]*Таблица1[[#This Row],[коэф]])),
IF(OR(G113="2/4",G113="3/4"),((база!$I$4*Таблица1[[#This Row],[сумма]]*Таблица1[[#This Row],[коэф]])),
IF((G113="5/8"),((база!$J$6*Таблица1[[#This Row],[сумма]]*Таблица1[[#This Row],[коэф]])),
IF((G113="4/8"),((база!$J$5*Таблица1[[#This Row],[сумма]]*Таблица1[[#This Row],[коэф]])),
IF(OR(G113="3/8",G113="2/8"),((база!$J$4*Таблица1[[#This Row],[сумма]]*Таблица1[[#This Row],[коэф]])))))))))))))),
(IF((G113="5/24"),((база!$M$6*Таблица1[[#This Row],[сумма]]*Таблица1[[#This Row],[коэф]])),
IF(OR(G113="4/24",G113="3/24"),((база!$M$5*Таблица1[[#This Row],[сумма]]*Таблица1[[#This Row],[коэф]])),
IF((G113="5/16"),((база!$L$6*Таблица1[[#This Row],[сумма]]*Таблица1[[#This Row],[коэф]])),
IF(OR(G113="4/16",G113="3/16"),((база!$L$5*Таблица1[[#This Row],[сумма]]*Таблица1[[#This Row],[коэф]])),
IF(OR(G113="2/4",G113="3/4",G113="4/4"),((база!$I$5*Таблица1[[#This Row],[сумма]]*Таблица1[[#This Row],[коэф]])),
IF((G113="5/8"),((база!$J$6*Таблица1[[#This Row],[сумма]]*Таблица1[[#This Row],[коэф]])),
IF(OR(G113="4/8",G113="3/8",G113="2/8"),((база!$J$5*Таблица1[[#This Row],[сумма]]*Таблица1[[#This Row],[коэф]])))))))))))</f>
        <v>0</v>
      </c>
      <c r="AP113" s="730" t="b">
        <f>IF(AR113&lt;=3,(IF((G113="5/24"),((база!$M$6*2*Таблица1[[#This Row],[Столбец1]]*Таблица1[[#This Row],[коэф]])),
IF((G113="4/24"),((база!$M$5*2*Таблица1[[#This Row],[Столбец1]]*Таблица1[[#This Row],[коэф]])),
IF((G113="3/24"),((база!$M$4*2*Таблица1[[#This Row],[Столбец1]]*Таблица1[[#This Row],[коэф]])),
IF((G113="5/16"),((база!$L$6*2*Таблица1[[#This Row],[Столбец1]]*Таблица1[[#This Row],[коэф]])),
IF((G113="4/16"),((база!$L$5*2*Таблица1[[#This Row],[Столбец1]]*Таблица1[[#This Row],[коэф]])),
IF((G113="3/16"),((база!$L$4*2*Таблица1[[#This Row],[Столбец1]]*Таблица1[[#This Row],[коэф]])),
IF((G113="4/4"),((база!$I$5*2*Таблица1[[#This Row],[Столбец1]]*Таблица1[[#This Row],[коэф]])),
IF(OR(G113="2/4",G113="3/4"),((база!$I$4*2*Таблица1[[#This Row],[Столбец1]]*Таблица1[[#This Row],[коэф]])),
IF((G113="5/8"),((база!$J$6*2*Таблица1[[#This Row],[Столбец1]]*Таблица1[[#This Row],[коэф]])),
IF((G113="4/8"),((база!$J$5*2*Таблица1[[#This Row],[Столбец1]]*Таблица1[[#This Row],[коэф]])),
IF(OR(G113="3/8",G113="2/8"),((база!$J$4*2*Таблица1[[#This Row],[Столбец1]]*Таблица1[[#This Row],[коэф]])))))))))))))),
(IF((G113="5/24"),((база!$M$6*2*Таблица1[[#This Row],[Столбец1]]*Таблица1[[#This Row],[коэф]])),
IF(OR(G113="4/24",G113="3/24"),((база!$M$5*2*Таблица1[[#This Row],[Столбец1]]*Таблица1[[#This Row],[коэф]])),
IF((G113="5/16"),((база!$L$6*2*Таблица1[[#This Row],[Столбец1]]*Таблица1[[#This Row],[коэф]])),
IF(OR(G113="4/16",G113="3/16"),((база!$L$5*2*Таблица1[[#This Row],[Столбец1]]*Таблица1[[#This Row],[коэф]])),
IF(OR(G113="2/4",G113="3/4",G113="4/4"),((база!$I$5*2*Таблица1[[#This Row],[Столбец1]]*Таблица1[[#This Row],[коэф]])),
IF((G113="5/8"),((база!$J$6*2*Таблица1[[#This Row],[Столбец1]]*Таблица1[[#This Row],[коэф]])),
IF(OR(G113="4/8",G113="3/8",G113="2/8"),((база!$J$5*2*Таблица1[[#This Row],[Столбец1]]*Таблица1[[#This Row],[коэф]])))))))))))</f>
        <v>0</v>
      </c>
      <c r="AQ113" s="712" t="str">
        <f>IFERROR(INDEX(база!T:T, MATCH(F113,база!Q:Q,0)),"")</f>
        <v/>
      </c>
      <c r="AR113" s="208" t="str">
        <f>IFERROR(INDEX(база!D:D, MATCH(F113,база!B:B,0)),"")</f>
        <v/>
      </c>
      <c r="AS113" s="758" t="str">
        <f>IFERROR(INDEX(база!E:E, MATCH(F113,база!B:B,0)),"")</f>
        <v/>
      </c>
    </row>
    <row r="114" spans="1:45" s="46" customFormat="1" ht="15">
      <c r="A114" s="1110" t="str">
        <f t="shared" si="3"/>
        <v>январь</v>
      </c>
      <c r="B114" t="n" s="1110">
        <v>2024.0</v>
      </c>
      <c r="C114" t="s" s="1110">
        <v>386</v>
      </c>
      <c r="D114" t="s" s="1110">
        <v>364</v>
      </c>
      <c r="E114" t="s" s="1110">
        <v>46</v>
      </c>
      <c r="F114" t="s" s="1110">
        <v>360</v>
      </c>
      <c r="G114" t="s" s="1110">
        <v>4</v>
      </c>
      <c r="H114" s="1110"/>
      <c r="I114" s="1110"/>
      <c r="J114" s="1110"/>
      <c r="K114" s="1110"/>
      <c r="L114" s="1110"/>
      <c r="M114" s="1110"/>
      <c r="N114" s="1110"/>
      <c r="O114" s="1110"/>
      <c r="P114" s="1110"/>
      <c r="Q114" t="n" s="1110">
        <v>7.2</v>
      </c>
      <c r="R114" s="563"/>
      <c r="S114" t="n" s="46">
        <v>7.2</v>
      </c>
      <c r="T114" s="563"/>
      <c r="U114" s="563"/>
      <c r="V114" s="563"/>
      <c r="W114" s="563"/>
      <c r="X114" s="563"/>
      <c r="Y114" s="563"/>
      <c r="Z114" s="48"/>
      <c r="AA114" s="48"/>
      <c r="AB114" s="48"/>
      <c r="AC114" s="48"/>
      <c r="AD114" s="48"/>
      <c r="AE114" s="48"/>
      <c r="AF114" s="48"/>
      <c r="AG114" s="48"/>
      <c r="AH114" s="48"/>
      <c r="AI114" s="48"/>
      <c r="AJ114" s="258"/>
      <c r="AK114" s="258"/>
      <c r="AL114" s="258"/>
      <c r="AM114" s="212">
        <f>IF(AQ114=1,SUM(Q114:T114,W114:Z114,AC114:AF114,AI114:AL114),
IF(AQ114=2,SUM(P114,S114:V114,Y114:AB114,AE114:AH114,AK114:AL114),
IF(AQ114=3,SUM(P114:R114,U114:X114,AA114:AD114,AG114:AJ114),SUM(Таблица1[[#This Row],[1]:[31]])-Таблица1[[#This Row],[Столбец1]])))</f>
        <v>0</v>
      </c>
      <c r="AN114" s="778">
        <f t="array" ref="AN114">IF(AQ114=1,SUM(P114,U114:V114,AA114:AB114,AG114:AH114),
IF(AQ114=2,SUM(Q114:R114,W114:X114,AC114:AD114,AI114:AJ114),
IF(AQ114=3,SUM(S114:T114,Y114:Z114,AE114:AF114,AK114:AL114),
SUM(IFERROR(WEEKDAY($H$2:$AL$2,2)&gt;5,)*H114:AL114))))+Таблица1[[#This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14" s="292" t="b">
        <f>IF(AR114&lt;=3,(IF((G114="5/24"),((база!$M$6*Таблица1[[#This Row],[сумма]]*Таблица1[[#This Row],[коэф]])),
IF((G114="4/24"),((база!$M$5*Таблица1[[#This Row],[сумма]]*Таблица1[[#This Row],[коэф]])),
IF((G114="3/24"),((база!$M$4*Таблица1[[#This Row],[сумма]]*Таблица1[[#This Row],[коэф]])),
IF((G114="5/16"),((база!$L$6*Таблица1[[#This Row],[сумма]]*Таблица1[[#This Row],[коэф]])),
IF((G114="4/16"),((база!$L$5*Таблица1[[#This Row],[сумма]]*Таблица1[[#This Row],[коэф]])),
IF((G114="3/16"),((база!$L$4*Таблица1[[#This Row],[сумма]]*Таблица1[[#This Row],[коэф]])),
IF((G114="4/4"),((база!$I$5*Таблица1[[#This Row],[сумма]]*Таблица1[[#This Row],[коэф]])),
IF(OR(G114="2/4",G114="3/4"),((база!$I$4*Таблица1[[#This Row],[сумма]]*Таблица1[[#This Row],[коэф]])),
IF((G114="5/8"),((база!$J$6*Таблица1[[#This Row],[сумма]]*Таблица1[[#This Row],[коэф]])),
IF((G114="4/8"),((база!$J$5*Таблица1[[#This Row],[сумма]]*Таблица1[[#This Row],[коэф]])),
IF(OR(G114="3/8",G114="2/8"),((база!$J$4*Таблица1[[#This Row],[сумма]]*Таблица1[[#This Row],[коэф]])))))))))))))),
(IF((G114="5/24"),((база!$M$6*Таблица1[[#This Row],[сумма]]*Таблица1[[#This Row],[коэф]])),
IF(OR(G114="4/24",G114="3/24"),((база!$M$5*Таблица1[[#This Row],[сумма]]*Таблица1[[#This Row],[коэф]])),
IF((G114="5/16"),((база!$L$6*Таблица1[[#This Row],[сумма]]*Таблица1[[#This Row],[коэф]])),
IF(OR(G114="4/16",G114="3/16"),((база!$L$5*Таблица1[[#This Row],[сумма]]*Таблица1[[#This Row],[коэф]])),
IF(OR(G114="2/4",G114="3/4",G114="4/4"),((база!$I$5*Таблица1[[#This Row],[сумма]]*Таблица1[[#This Row],[коэф]])),
IF((G114="5/8"),((база!$J$6*Таблица1[[#This Row],[сумма]]*Таблица1[[#This Row],[коэф]])),
IF(OR(G114="4/8",G114="3/8",G114="2/8"),((база!$J$5*Таблица1[[#This Row],[сумма]]*Таблица1[[#This Row],[коэф]])))))))))))</f>
        <v>0</v>
      </c>
      <c r="AP114" s="730" t="b">
        <f>IF(AR114&lt;=3,(IF((G114="5/24"),((база!$M$6*2*Таблица1[[#This Row],[Столбец1]]*Таблица1[[#This Row],[коэф]])),
IF((G114="4/24"),((база!$M$5*2*Таблица1[[#This Row],[Столбец1]]*Таблица1[[#This Row],[коэф]])),
IF((G114="3/24"),((база!$M$4*2*Таблица1[[#This Row],[Столбец1]]*Таблица1[[#This Row],[коэф]])),
IF((G114="5/16"),((база!$L$6*2*Таблица1[[#This Row],[Столбец1]]*Таблица1[[#This Row],[коэф]])),
IF((G114="4/16"),((база!$L$5*2*Таблица1[[#This Row],[Столбец1]]*Таблица1[[#This Row],[коэф]])),
IF((G114="3/16"),((база!$L$4*2*Таблица1[[#This Row],[Столбец1]]*Таблица1[[#This Row],[коэф]])),
IF((G114="4/4"),((база!$I$5*2*Таблица1[[#This Row],[Столбец1]]*Таблица1[[#This Row],[коэф]])),
IF(OR(G114="2/4",G114="3/4"),((база!$I$4*2*Таблица1[[#This Row],[Столбец1]]*Таблица1[[#This Row],[коэф]])),
IF((G114="5/8"),((база!$J$6*2*Таблица1[[#This Row],[Столбец1]]*Таблица1[[#This Row],[коэф]])),
IF((G114="4/8"),((база!$J$5*2*Таблица1[[#This Row],[Столбец1]]*Таблица1[[#This Row],[коэф]])),
IF(OR(G114="3/8",G114="2/8"),((база!$J$4*2*Таблица1[[#This Row],[Столбец1]]*Таблица1[[#This Row],[коэф]])))))))))))))),
(IF((G114="5/24"),((база!$M$6*2*Таблица1[[#This Row],[Столбец1]]*Таблица1[[#This Row],[коэф]])),
IF(OR(G114="4/24",G114="3/24"),((база!$M$5*2*Таблица1[[#This Row],[Столбец1]]*Таблица1[[#This Row],[коэф]])),
IF((G114="5/16"),((база!$L$6*2*Таблица1[[#This Row],[Столбец1]]*Таблица1[[#This Row],[коэф]])),
IF(OR(G114="4/16",G114="3/16"),((база!$L$5*2*Таблица1[[#This Row],[Столбец1]]*Таблица1[[#This Row],[коэф]])),
IF(OR(G114="2/4",G114="3/4",G114="4/4"),((база!$I$5*2*Таблица1[[#This Row],[Столбец1]]*Таблица1[[#This Row],[коэф]])),
IF((G114="5/8"),((база!$J$6*2*Таблица1[[#This Row],[Столбец1]]*Таблица1[[#This Row],[коэф]])),
IF(OR(G114="4/8",G114="3/8",G114="2/8"),((база!$J$5*2*Таблица1[[#This Row],[Столбец1]]*Таблица1[[#This Row],[коэф]])))))))))))</f>
        <v>0</v>
      </c>
      <c r="AQ114" s="712" t="str">
        <f>IFERROR(INDEX(база!T:T, MATCH(F114,база!Q:Q,0)),"")</f>
        <v/>
      </c>
      <c r="AR114" s="208" t="str">
        <f>IFERROR(INDEX(база!D:D, MATCH(F114,база!B:B,0)),"")</f>
        <v/>
      </c>
      <c r="AS114" s="758" t="str">
        <f>IFERROR(INDEX(база!E:E, MATCH(F114,база!B:B,0)),"")</f>
        <v/>
      </c>
    </row>
    <row r="115" spans="1:45" s="46" customFormat="1" ht="15">
      <c r="A115" s="1111" t="str">
        <f t="shared" si="3"/>
        <v>январь</v>
      </c>
      <c r="B115" t="n" s="1111">
        <v>2024.0</v>
      </c>
      <c r="C115" t="s" s="1111">
        <v>386</v>
      </c>
      <c r="D115" t="s" s="1111">
        <v>364</v>
      </c>
      <c r="E115" t="s" s="1111">
        <v>46</v>
      </c>
      <c r="F115" t="s" s="1111">
        <v>326</v>
      </c>
      <c r="G115" t="s" s="1111">
        <v>4</v>
      </c>
      <c r="H115" s="1111"/>
      <c r="I115" s="1111"/>
      <c r="J115" s="1111"/>
      <c r="K115" s="1111"/>
      <c r="L115" s="1111"/>
      <c r="M115" s="1111"/>
      <c r="N115" s="1111"/>
      <c r="O115" s="1111"/>
      <c r="P115" s="1111"/>
      <c r="Q115" t="n" s="1111">
        <v>2.0</v>
      </c>
      <c r="R115" s="563"/>
      <c r="S115" t="n" s="46">
        <v>7.2</v>
      </c>
      <c r="T115" s="563"/>
      <c r="U115" s="563"/>
      <c r="V115" s="563"/>
      <c r="W115" s="563"/>
      <c r="X115" s="563"/>
      <c r="Y115" s="563"/>
      <c r="Z115" s="563"/>
      <c r="AA115" s="563"/>
      <c r="AB115" s="563"/>
      <c r="AC115" s="563"/>
      <c r="AD115" s="48"/>
      <c r="AE115" s="48"/>
      <c r="AF115" s="48"/>
      <c r="AG115" s="48"/>
      <c r="AH115" s="48"/>
      <c r="AI115" s="48"/>
      <c r="AJ115" s="258"/>
      <c r="AK115" s="258"/>
      <c r="AL115" s="258"/>
      <c r="AM115" s="212">
        <f>IF(AQ115=1,SUM(Q115:T115,W115:Z115,AC115:AF115,AI115:AL115),
IF(AQ115=2,SUM(P115,S115:V115,Y115:AB115,AE115:AH115,AK115:AL115),
IF(AQ115=3,SUM(P115:R115,U115:X115,AA115:AD115,AG115:AJ115),SUM(Таблица1[[#This Row],[1]:[31]])-Таблица1[[#This Row],[Столбец1]])))</f>
        <v>0</v>
      </c>
      <c r="AN115" s="778">
        <f t="array" ref="AN115">IF(AQ115=1,SUM(P115,U115:V115,AA115:AB115,AG115:AH115),
IF(AQ115=2,SUM(Q115:R115,W115:X115,AC115:AD115,AI115:AJ115),
IF(AQ115=3,SUM(S115:T115,Y115:Z115,AE115:AF115,AK115:AL115),
SUM(IFERROR(WEEKDAY($H$2:$AL$2,2)&gt;5,)*H115:AL115))))+Таблица1[[#This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15" s="292" t="b">
        <f>IF(AR115&lt;=3,(IF((G115="5/24"),((база!$M$6*Таблица1[[#This Row],[сумма]]*Таблица1[[#This Row],[коэф]])),
IF((G115="4/24"),((база!$M$5*Таблица1[[#This Row],[сумма]]*Таблица1[[#This Row],[коэф]])),
IF((G115="3/24"),((база!$M$4*Таблица1[[#This Row],[сумма]]*Таблица1[[#This Row],[коэф]])),
IF((G115="5/16"),((база!$L$6*Таблица1[[#This Row],[сумма]]*Таблица1[[#This Row],[коэф]])),
IF((G115="4/16"),((база!$L$5*Таблица1[[#This Row],[сумма]]*Таблица1[[#This Row],[коэф]])),
IF((G115="3/16"),((база!$L$4*Таблица1[[#This Row],[сумма]]*Таблица1[[#This Row],[коэф]])),
IF((G115="4/4"),((база!$I$5*Таблица1[[#This Row],[сумма]]*Таблица1[[#This Row],[коэф]])),
IF(OR(G115="2/4",G115="3/4"),((база!$I$4*Таблица1[[#This Row],[сумма]]*Таблица1[[#This Row],[коэф]])),
IF((G115="5/8"),((база!$J$6*Таблица1[[#This Row],[сумма]]*Таблица1[[#This Row],[коэф]])),
IF((G115="4/8"),((база!$J$5*Таблица1[[#This Row],[сумма]]*Таблица1[[#This Row],[коэф]])),
IF(OR(G115="3/8",G115="2/8"),((база!$J$4*Таблица1[[#This Row],[сумма]]*Таблица1[[#This Row],[коэф]])))))))))))))),
(IF((G115="5/24"),((база!$M$6*Таблица1[[#This Row],[сумма]]*Таблица1[[#This Row],[коэф]])),
IF(OR(G115="4/24",G115="3/24"),((база!$M$5*Таблица1[[#This Row],[сумма]]*Таблица1[[#This Row],[коэф]])),
IF((G115="5/16"),((база!$L$6*Таблица1[[#This Row],[сумма]]*Таблица1[[#This Row],[коэф]])),
IF(OR(G115="4/16",G115="3/16"),((база!$L$5*Таблица1[[#This Row],[сумма]]*Таблица1[[#This Row],[коэф]])),
IF(OR(G115="2/4",G115="3/4",G115="4/4"),((база!$I$5*Таблица1[[#This Row],[сумма]]*Таблица1[[#This Row],[коэф]])),
IF((G115="5/8"),((база!$J$6*Таблица1[[#This Row],[сумма]]*Таблица1[[#This Row],[коэф]])),
IF(OR(G115="4/8",G115="3/8",G115="2/8"),((база!$J$5*Таблица1[[#This Row],[сумма]]*Таблица1[[#This Row],[коэф]])))))))))))</f>
        <v>0</v>
      </c>
      <c r="AP115" s="730" t="b">
        <f>IF(AR115&lt;=3,(IF((G115="5/24"),((база!$M$6*2*Таблица1[[#This Row],[Столбец1]]*Таблица1[[#This Row],[коэф]])),
IF((G115="4/24"),((база!$M$5*2*Таблица1[[#This Row],[Столбец1]]*Таблица1[[#This Row],[коэф]])),
IF((G115="3/24"),((база!$M$4*2*Таблица1[[#This Row],[Столбец1]]*Таблица1[[#This Row],[коэф]])),
IF((G115="5/16"),((база!$L$6*2*Таблица1[[#This Row],[Столбец1]]*Таблица1[[#This Row],[коэф]])),
IF((G115="4/16"),((база!$L$5*2*Таблица1[[#This Row],[Столбец1]]*Таблица1[[#This Row],[коэф]])),
IF((G115="3/16"),((база!$L$4*2*Таблица1[[#This Row],[Столбец1]]*Таблица1[[#This Row],[коэф]])),
IF((G115="4/4"),((база!$I$5*2*Таблица1[[#This Row],[Столбец1]]*Таблица1[[#This Row],[коэф]])),
IF(OR(G115="2/4",G115="3/4"),((база!$I$4*2*Таблица1[[#This Row],[Столбец1]]*Таблица1[[#This Row],[коэф]])),
IF((G115="5/8"),((база!$J$6*2*Таблица1[[#This Row],[Столбец1]]*Таблица1[[#This Row],[коэф]])),
IF((G115="4/8"),((база!$J$5*2*Таблица1[[#This Row],[Столбец1]]*Таблица1[[#This Row],[коэф]])),
IF(OR(G115="3/8",G115="2/8"),((база!$J$4*2*Таблица1[[#This Row],[Столбец1]]*Таблица1[[#This Row],[коэф]])))))))))))))),
(IF((G115="5/24"),((база!$M$6*2*Таблица1[[#This Row],[Столбец1]]*Таблица1[[#This Row],[коэф]])),
IF(OR(G115="4/24",G115="3/24"),((база!$M$5*2*Таблица1[[#This Row],[Столбец1]]*Таблица1[[#This Row],[коэф]])),
IF((G115="5/16"),((база!$L$6*2*Таблица1[[#This Row],[Столбец1]]*Таблица1[[#This Row],[коэф]])),
IF(OR(G115="4/16",G115="3/16"),((база!$L$5*2*Таблица1[[#This Row],[Столбец1]]*Таблица1[[#This Row],[коэф]])),
IF(OR(G115="2/4",G115="3/4",G115="4/4"),((база!$I$5*2*Таблица1[[#This Row],[Столбец1]]*Таблица1[[#This Row],[коэф]])),
IF((G115="5/8"),((база!$J$6*2*Таблица1[[#This Row],[Столбец1]]*Таблица1[[#This Row],[коэф]])),
IF(OR(G115="4/8",G115="3/8",G115="2/8"),((база!$J$5*2*Таблица1[[#This Row],[Столбец1]]*Таблица1[[#This Row],[коэф]])))))))))))</f>
        <v>0</v>
      </c>
      <c r="AQ115" s="712" t="str">
        <f>IFERROR(INDEX(база!T:T, MATCH(F115,база!Q:Q,0)),"")</f>
        <v/>
      </c>
      <c r="AR115" s="208" t="str">
        <f>IFERROR(INDEX(база!D:D, MATCH(F115,база!B:B,0)),"")</f>
        <v/>
      </c>
      <c r="AS115" s="758" t="str">
        <f>IFERROR(INDEX(база!E:E, MATCH(F115,база!B:B,0)),"")</f>
        <v/>
      </c>
    </row>
    <row r="116" spans="1:45" s="46" customFormat="1" ht="15">
      <c r="A116" s="1112" t="str">
        <f t="shared" si="3"/>
        <v>январь</v>
      </c>
      <c r="B116" t="n" s="1112">
        <v>2024.0</v>
      </c>
      <c r="C116" t="s" s="1112">
        <v>386</v>
      </c>
      <c r="D116" t="s" s="1112">
        <v>364</v>
      </c>
      <c r="E116" t="s" s="1112">
        <v>46</v>
      </c>
      <c r="F116" t="s" s="1112">
        <v>298</v>
      </c>
      <c r="G116" t="s" s="1112">
        <v>4</v>
      </c>
      <c r="H116" s="1112"/>
      <c r="I116" s="1112"/>
      <c r="J116" s="1112"/>
      <c r="K116" s="1112"/>
      <c r="L116" s="1112"/>
      <c r="M116" s="1112"/>
      <c r="N116" s="1112"/>
      <c r="O116" s="1112"/>
      <c r="P116" s="1112"/>
      <c r="Q116" t="n" s="1112">
        <v>4.2</v>
      </c>
      <c r="R116" s="563"/>
      <c r="S116" s="563"/>
      <c r="T116" s="563"/>
      <c r="U116" s="563"/>
      <c r="V116" s="563"/>
      <c r="W116" s="563"/>
      <c r="X116" s="563"/>
      <c r="Y116" s="563"/>
      <c r="Z116" s="563"/>
      <c r="AA116" s="563"/>
      <c r="AB116" s="48"/>
      <c r="AC116" s="48"/>
      <c r="AD116" s="48"/>
      <c r="AE116" s="48"/>
      <c r="AF116" s="48"/>
      <c r="AG116" s="48"/>
      <c r="AH116" s="48"/>
      <c r="AI116" s="48"/>
      <c r="AJ116" s="48"/>
      <c r="AK116" s="48"/>
      <c r="AL116" s="258"/>
      <c r="AM116" s="212">
        <f>IF(AQ116=1,SUM(Q116:T116,W116:Z116,AC116:AF116,AI116:AL116),
IF(AQ116=2,SUM(P116,S116:V116,Y116:AB116,AE116:AH116,AK116:AL116),
IF(AQ116=3,SUM(P116:R116,U116:X116,AA116:AD116,AG116:AJ116),SUM(Таблица1[[#This Row],[1]:[31]])-Таблица1[[#This Row],[Столбец1]])))</f>
        <v>0</v>
      </c>
      <c r="AN116" s="778">
        <f t="array" ref="AN116">IF(AQ116=1,SUM(P116,U116:V116,AA116:AB116,AG116:AH116),
IF(AQ116=2,SUM(Q116:R116,W116:X116,AC116:AD116,AI116:AJ116),
IF(AQ116=3,SUM(S116:T116,Y116:Z116,AE116:AF116,AK116:AL116),
SUM(IFERROR(WEEKDAY($H$2:$AL$2,2)&gt;5,)*H116:AL116))))+Таблица1[[#This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16" s="292" t="b">
        <f>IF(AR116&lt;=3,(IF((G116="5/24"),((база!$M$6*Таблица1[[#This Row],[сумма]]*Таблица1[[#This Row],[коэф]])),
IF((G116="4/24"),((база!$M$5*Таблица1[[#This Row],[сумма]]*Таблица1[[#This Row],[коэф]])),
IF((G116="3/24"),((база!$M$4*Таблица1[[#This Row],[сумма]]*Таблица1[[#This Row],[коэф]])),
IF((G116="5/16"),((база!$L$6*Таблица1[[#This Row],[сумма]]*Таблица1[[#This Row],[коэф]])),
IF((G116="4/16"),((база!$L$5*Таблица1[[#This Row],[сумма]]*Таблица1[[#This Row],[коэф]])),
IF((G116="3/16"),((база!$L$4*Таблица1[[#This Row],[сумма]]*Таблица1[[#This Row],[коэф]])),
IF((G116="4/4"),((база!$I$5*Таблица1[[#This Row],[сумма]]*Таблица1[[#This Row],[коэф]])),
IF(OR(G116="2/4",G116="3/4"),((база!$I$4*Таблица1[[#This Row],[сумма]]*Таблица1[[#This Row],[коэф]])),
IF((G116="5/8"),((база!$J$6*Таблица1[[#This Row],[сумма]]*Таблица1[[#This Row],[коэф]])),
IF((G116="4/8"),((база!$J$5*Таблица1[[#This Row],[сумма]]*Таблица1[[#This Row],[коэф]])),
IF(OR(G116="3/8",G116="2/8"),((база!$J$4*Таблица1[[#This Row],[сумма]]*Таблица1[[#This Row],[коэф]])))))))))))))),
(IF((G116="5/24"),((база!$M$6*Таблица1[[#This Row],[сумма]]*Таблица1[[#This Row],[коэф]])),
IF(OR(G116="4/24",G116="3/24"),((база!$M$5*Таблица1[[#This Row],[сумма]]*Таблица1[[#This Row],[коэф]])),
IF((G116="5/16"),((база!$L$6*Таблица1[[#This Row],[сумма]]*Таблица1[[#This Row],[коэф]])),
IF(OR(G116="4/16",G116="3/16"),((база!$L$5*Таблица1[[#This Row],[сумма]]*Таблица1[[#This Row],[коэф]])),
IF(OR(G116="2/4",G116="3/4",G116="4/4"),((база!$I$5*Таблица1[[#This Row],[сумма]]*Таблица1[[#This Row],[коэф]])),
IF((G116="5/8"),((база!$J$6*Таблица1[[#This Row],[сумма]]*Таблица1[[#This Row],[коэф]])),
IF(OR(G116="4/8",G116="3/8",G116="2/8"),((база!$J$5*Таблица1[[#This Row],[сумма]]*Таблица1[[#This Row],[коэф]])))))))))))</f>
        <v>0</v>
      </c>
      <c r="AP116" s="730" t="b">
        <f>IF(AR116&lt;=3,(IF((G116="5/24"),((база!$M$6*2*Таблица1[[#This Row],[Столбец1]]*Таблица1[[#This Row],[коэф]])),
IF((G116="4/24"),((база!$M$5*2*Таблица1[[#This Row],[Столбец1]]*Таблица1[[#This Row],[коэф]])),
IF((G116="3/24"),((база!$M$4*2*Таблица1[[#This Row],[Столбец1]]*Таблица1[[#This Row],[коэф]])),
IF((G116="5/16"),((база!$L$6*2*Таблица1[[#This Row],[Столбец1]]*Таблица1[[#This Row],[коэф]])),
IF((G116="4/16"),((база!$L$5*2*Таблица1[[#This Row],[Столбец1]]*Таблица1[[#This Row],[коэф]])),
IF((G116="3/16"),((база!$L$4*2*Таблица1[[#This Row],[Столбец1]]*Таблица1[[#This Row],[коэф]])),
IF((G116="4/4"),((база!$I$5*2*Таблица1[[#This Row],[Столбец1]]*Таблица1[[#This Row],[коэф]])),
IF(OR(G116="2/4",G116="3/4"),((база!$I$4*2*Таблица1[[#This Row],[Столбец1]]*Таблица1[[#This Row],[коэф]])),
IF((G116="5/8"),((база!$J$6*2*Таблица1[[#This Row],[Столбец1]]*Таблица1[[#This Row],[коэф]])),
IF((G116="4/8"),((база!$J$5*2*Таблица1[[#This Row],[Столбец1]]*Таблица1[[#This Row],[коэф]])),
IF(OR(G116="3/8",G116="2/8"),((база!$J$4*2*Таблица1[[#This Row],[Столбец1]]*Таблица1[[#This Row],[коэф]])))))))))))))),
(IF((G116="5/24"),((база!$M$6*2*Таблица1[[#This Row],[Столбец1]]*Таблица1[[#This Row],[коэф]])),
IF(OR(G116="4/24",G116="3/24"),((база!$M$5*2*Таблица1[[#This Row],[Столбец1]]*Таблица1[[#This Row],[коэф]])),
IF((G116="5/16"),((база!$L$6*2*Таблица1[[#This Row],[Столбец1]]*Таблица1[[#This Row],[коэф]])),
IF(OR(G116="4/16",G116="3/16"),((база!$L$5*2*Таблица1[[#This Row],[Столбец1]]*Таблица1[[#This Row],[коэф]])),
IF(OR(G116="2/4",G116="3/4",G116="4/4"),((база!$I$5*2*Таблица1[[#This Row],[Столбец1]]*Таблица1[[#This Row],[коэф]])),
IF((G116="5/8"),((база!$J$6*2*Таблица1[[#This Row],[Столбец1]]*Таблица1[[#This Row],[коэф]])),
IF(OR(G116="4/8",G116="3/8",G116="2/8"),((база!$J$5*2*Таблица1[[#This Row],[Столбец1]]*Таблица1[[#This Row],[коэф]])))))))))))</f>
        <v>0</v>
      </c>
      <c r="AQ116" s="712" t="str">
        <f>IFERROR(INDEX(база!T:T, MATCH(F116,база!Q:Q,0)),"")</f>
        <v/>
      </c>
      <c r="AR116" s="208" t="str">
        <f>IFERROR(INDEX(база!D:D, MATCH(F116,база!B:B,0)),"")</f>
        <v/>
      </c>
      <c r="AS116" s="758" t="str">
        <f>IFERROR(INDEX(база!E:E, MATCH(F116,база!B:B,0)),"")</f>
        <v/>
      </c>
    </row>
    <row r="117" spans="1:45" s="46" customFormat="1" ht="15">
      <c r="A117" s="1113" t="str">
        <f t="shared" si="3"/>
        <v>январь</v>
      </c>
      <c r="B117" t="n" s="1113">
        <v>2024.0</v>
      </c>
      <c r="C117" t="s" s="1113">
        <v>388</v>
      </c>
      <c r="D117" t="s" s="1113">
        <v>365</v>
      </c>
      <c r="E117" t="s" s="1113">
        <v>46</v>
      </c>
      <c r="F117" t="s" s="1113">
        <v>328</v>
      </c>
      <c r="G117" t="s" s="1113">
        <v>4</v>
      </c>
      <c r="H117" s="1113"/>
      <c r="I117" s="1113"/>
      <c r="J117" s="1113"/>
      <c r="K117" s="1113"/>
      <c r="L117" s="1113"/>
      <c r="M117" s="1113"/>
      <c r="N117" s="1113"/>
      <c r="O117" s="1113"/>
      <c r="P117" s="1113"/>
      <c r="Q117" t="n" s="1113">
        <v>7.0</v>
      </c>
      <c r="R117" s="563"/>
      <c r="S117" s="563"/>
      <c r="T117" s="563"/>
      <c r="U117" s="563"/>
      <c r="V117" s="563"/>
      <c r="W117" s="563"/>
      <c r="X117" s="563"/>
      <c r="Y117" s="48"/>
      <c r="Z117" s="48"/>
      <c r="AA117" s="48"/>
      <c r="AB117" s="48"/>
      <c r="AC117" s="48"/>
      <c r="AD117" s="48"/>
      <c r="AE117" s="48"/>
      <c r="AF117" s="48"/>
      <c r="AG117" s="48"/>
      <c r="AH117" s="48"/>
      <c r="AI117" s="48"/>
      <c r="AJ117" s="48"/>
      <c r="AK117" s="258"/>
      <c r="AL117" s="258"/>
      <c r="AM117" s="212">
        <f>IF(AQ117=1,SUM(Q117:T117,W117:Z117,AC117:AF117,AI117:AL117),
IF(AQ117=2,SUM(P117,S117:V117,Y117:AB117,AE117:AH117,AK117:AL117),
IF(AQ117=3,SUM(P117:R117,U117:X117,AA117:AD117,AG117:AJ117),SUM(Таблица1[[#This Row],[1]:[31]])-Таблица1[[#This Row],[Столбец1]])))</f>
        <v>0</v>
      </c>
      <c r="AN117" s="778">
        <f t="array" ref="AN117">IF(AQ117=1,SUM(P117,U117:V117,AA117:AB117,AG117:AH117),
IF(AQ117=2,SUM(Q117:R117,W117:X117,AC117:AD117,AI117:AJ117),
IF(AQ117=3,SUM(S117:T117,Y117:Z117,AE117:AF117,AK117:AL117),
SUM(IFERROR(WEEKDAY($H$2:$AL$2,2)&gt;5,)*H117:AL117))))+Таблица1[[#This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17" s="292" t="b">
        <f>IF(AR117&lt;=3,(IF((G117="5/24"),((база!$M$6*Таблица1[[#This Row],[сумма]]*Таблица1[[#This Row],[коэф]])),
IF((G117="4/24"),((база!$M$5*Таблица1[[#This Row],[сумма]]*Таблица1[[#This Row],[коэф]])),
IF((G117="3/24"),((база!$M$4*Таблица1[[#This Row],[сумма]]*Таблица1[[#This Row],[коэф]])),
IF((G117="5/16"),((база!$L$6*Таблица1[[#This Row],[сумма]]*Таблица1[[#This Row],[коэф]])),
IF((G117="4/16"),((база!$L$5*Таблица1[[#This Row],[сумма]]*Таблица1[[#This Row],[коэф]])),
IF((G117="3/16"),((база!$L$4*Таблица1[[#This Row],[сумма]]*Таблица1[[#This Row],[коэф]])),
IF((G117="4/4"),((база!$I$5*Таблица1[[#This Row],[сумма]]*Таблица1[[#This Row],[коэф]])),
IF(OR(G117="2/4",G117="3/4"),((база!$I$4*Таблица1[[#This Row],[сумма]]*Таблица1[[#This Row],[коэф]])),
IF((G117="5/8"),((база!$J$6*Таблица1[[#This Row],[сумма]]*Таблица1[[#This Row],[коэф]])),
IF((G117="4/8"),((база!$J$5*Таблица1[[#This Row],[сумма]]*Таблица1[[#This Row],[коэф]])),
IF(OR(G117="3/8",G117="2/8"),((база!$J$4*Таблица1[[#This Row],[сумма]]*Таблица1[[#This Row],[коэф]])))))))))))))),
(IF((G117="5/24"),((база!$M$6*Таблица1[[#This Row],[сумма]]*Таблица1[[#This Row],[коэф]])),
IF(OR(G117="4/24",G117="3/24"),((база!$M$5*Таблица1[[#This Row],[сумма]]*Таблица1[[#This Row],[коэф]])),
IF((G117="5/16"),((база!$L$6*Таблица1[[#This Row],[сумма]]*Таблица1[[#This Row],[коэф]])),
IF(OR(G117="4/16",G117="3/16"),((база!$L$5*Таблица1[[#This Row],[сумма]]*Таблица1[[#This Row],[коэф]])),
IF(OR(G117="2/4",G117="3/4",G117="4/4"),((база!$I$5*Таблица1[[#This Row],[сумма]]*Таблица1[[#This Row],[коэф]])),
IF((G117="5/8"),((база!$J$6*Таблица1[[#This Row],[сумма]]*Таблица1[[#This Row],[коэф]])),
IF(OR(G117="4/8",G117="3/8",G117="2/8"),((база!$J$5*Таблица1[[#This Row],[сумма]]*Таблица1[[#This Row],[коэф]])))))))))))</f>
        <v>0</v>
      </c>
      <c r="AP117" s="730" t="b">
        <f>IF(AR117&lt;=3,(IF((G117="5/24"),((база!$M$6*2*Таблица1[[#This Row],[Столбец1]]*Таблица1[[#This Row],[коэф]])),
IF((G117="4/24"),((база!$M$5*2*Таблица1[[#This Row],[Столбец1]]*Таблица1[[#This Row],[коэф]])),
IF((G117="3/24"),((база!$M$4*2*Таблица1[[#This Row],[Столбец1]]*Таблица1[[#This Row],[коэф]])),
IF((G117="5/16"),((база!$L$6*2*Таблица1[[#This Row],[Столбец1]]*Таблица1[[#This Row],[коэф]])),
IF((G117="4/16"),((база!$L$5*2*Таблица1[[#This Row],[Столбец1]]*Таблица1[[#This Row],[коэф]])),
IF((G117="3/16"),((база!$L$4*2*Таблица1[[#This Row],[Столбец1]]*Таблица1[[#This Row],[коэф]])),
IF((G117="4/4"),((база!$I$5*2*Таблица1[[#This Row],[Столбец1]]*Таблица1[[#This Row],[коэф]])),
IF(OR(G117="2/4",G117="3/4"),((база!$I$4*2*Таблица1[[#This Row],[Столбец1]]*Таблица1[[#This Row],[коэф]])),
IF((G117="5/8"),((база!$J$6*2*Таблица1[[#This Row],[Столбец1]]*Таблица1[[#This Row],[коэф]])),
IF((G117="4/8"),((база!$J$5*2*Таблица1[[#This Row],[Столбец1]]*Таблица1[[#This Row],[коэф]])),
IF(OR(G117="3/8",G117="2/8"),((база!$J$4*2*Таблица1[[#This Row],[Столбец1]]*Таблица1[[#This Row],[коэф]])))))))))))))),
(IF((G117="5/24"),((база!$M$6*2*Таблица1[[#This Row],[Столбец1]]*Таблица1[[#This Row],[коэф]])),
IF(OR(G117="4/24",G117="3/24"),((база!$M$5*2*Таблица1[[#This Row],[Столбец1]]*Таблица1[[#This Row],[коэф]])),
IF((G117="5/16"),((база!$L$6*2*Таблица1[[#This Row],[Столбец1]]*Таблица1[[#This Row],[коэф]])),
IF(OR(G117="4/16",G117="3/16"),((база!$L$5*2*Таблица1[[#This Row],[Столбец1]]*Таблица1[[#This Row],[коэф]])),
IF(OR(G117="2/4",G117="3/4",G117="4/4"),((база!$I$5*2*Таблица1[[#This Row],[Столбец1]]*Таблица1[[#This Row],[коэф]])),
IF((G117="5/8"),((база!$J$6*2*Таблица1[[#This Row],[Столбец1]]*Таблица1[[#This Row],[коэф]])),
IF(OR(G117="4/8",G117="3/8",G117="2/8"),((база!$J$5*2*Таблица1[[#This Row],[Столбец1]]*Таблица1[[#This Row],[коэф]])))))))))))</f>
        <v>0</v>
      </c>
      <c r="AQ117" s="712" t="str">
        <f>IFERROR(INDEX(база!T:T, MATCH(F117,база!Q:Q,0)),"")</f>
        <v/>
      </c>
      <c r="AR117" s="208" t="str">
        <f>IFERROR(INDEX(база!D:D, MATCH(F117,база!B:B,0)),"")</f>
        <v/>
      </c>
      <c r="AS117" s="758" t="str">
        <f>IFERROR(INDEX(база!E:E, MATCH(F117,база!B:B,0)),"")</f>
        <v/>
      </c>
    </row>
    <row r="118" spans="1:45" s="46" customFormat="1" ht="15">
      <c r="A118" s="1114" t="str">
        <f>A116</f>
        <v>январь</v>
      </c>
      <c r="B118" t="n" s="1114">
        <v>2024.0</v>
      </c>
      <c r="C118" t="s" s="1114">
        <v>386</v>
      </c>
      <c r="D118" t="s" s="1114">
        <v>365</v>
      </c>
      <c r="E118" t="s" s="1114">
        <v>46</v>
      </c>
      <c r="F118" t="s" s="1114">
        <v>347</v>
      </c>
      <c r="G118" t="s" s="1114">
        <v>6</v>
      </c>
      <c r="H118" s="1114"/>
      <c r="I118" s="1114"/>
      <c r="J118" s="1114"/>
      <c r="K118" s="1114"/>
      <c r="L118" s="1114"/>
      <c r="M118" s="1114"/>
      <c r="N118" s="1114"/>
      <c r="O118" s="1114"/>
      <c r="P118" s="1114"/>
      <c r="Q118" t="n" s="1114">
        <v>5.0</v>
      </c>
      <c r="R118" t="n" s="46">
        <v>7.2</v>
      </c>
      <c r="S118" t="n" s="46">
        <v>5.0</v>
      </c>
      <c r="T118" t="n" s="46">
        <v>3.0</v>
      </c>
      <c r="U118" s="563"/>
      <c r="V118" s="563"/>
      <c r="W118" s="563"/>
      <c r="X118" s="563"/>
      <c r="Y118" s="563"/>
      <c r="Z118" s="563"/>
      <c r="AA118" s="563"/>
      <c r="AB118" s="563"/>
      <c r="AC118" s="563"/>
      <c r="AD118" s="48"/>
      <c r="AE118" s="48"/>
      <c r="AF118" s="48"/>
      <c r="AG118" s="48"/>
      <c r="AH118" s="48"/>
      <c r="AI118" s="48"/>
      <c r="AJ118" s="48"/>
      <c r="AK118" s="48"/>
      <c r="AL118" s="51"/>
      <c r="AM118" s="212">
        <f>IF(AQ118=1,SUM(Q118:T118,W118:Z118,AC118:AF118,AI118:AL118),
IF(AQ118=2,SUM(P118,S118:V118,Y118:AB118,AE118:AH118,AK118:AL118),
IF(AQ118=3,SUM(P118:R118,U118:X118,AA118:AD118,AG118:AJ118),SUM(Таблица1[[#This Row],[1]:[31]])-Таблица1[[#This Row],[Столбец1]])))</f>
        <v>0</v>
      </c>
      <c r="AN118" s="778">
        <f t="array" ref="AN118">IF(AQ118=1,SUM(P118,U118:V118,AA118:AB118,AG118:AH118),
IF(AQ118=2,SUM(Q118:R118,W118:X118,AC118:AD118,AI118:AJ118),
IF(AQ118=3,SUM(S118:T118,Y118:Z118,AE118:AF118,AK118:AL118),
SUM(IFERROR(WEEKDAY($H$2:$AL$2,2)&gt;5,)*H118:AL118))))+Таблица1[[#This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18" s="292" t="b">
        <f>IF(AR118&lt;=3,(IF((G118="5/24"),((база!$M$6*Таблица1[[#This Row],[сумма]]*Таблица1[[#This Row],[коэф]])),
IF((G118="4/24"),((база!$M$5*Таблица1[[#This Row],[сумма]]*Таблица1[[#This Row],[коэф]])),
IF((G118="3/24"),((база!$M$4*Таблица1[[#This Row],[сумма]]*Таблица1[[#This Row],[коэф]])),
IF((G118="5/16"),((база!$L$6*Таблица1[[#This Row],[сумма]]*Таблица1[[#This Row],[коэф]])),
IF((G118="4/16"),((база!$L$5*Таблица1[[#This Row],[сумма]]*Таблица1[[#This Row],[коэф]])),
IF((G118="3/16"),((база!$L$4*Таблица1[[#This Row],[сумма]]*Таблица1[[#This Row],[коэф]])),
IF((G118="4/4"),((база!$I$5*Таблица1[[#This Row],[сумма]]*Таблица1[[#This Row],[коэф]])),
IF(OR(G118="2/4",G118="3/4"),((база!$I$4*Таблица1[[#This Row],[сумма]]*Таблица1[[#This Row],[коэф]])),
IF((G118="5/8"),((база!$J$6*Таблица1[[#This Row],[сумма]]*Таблица1[[#This Row],[коэф]])),
IF((G118="4/8"),((база!$J$5*Таблица1[[#This Row],[сумма]]*Таблица1[[#This Row],[коэф]])),
IF(OR(G118="3/8",G118="2/8"),((база!$J$4*Таблица1[[#This Row],[сумма]]*Таблица1[[#This Row],[коэф]])))))))))))))),
(IF((G118="5/24"),((база!$M$6*Таблица1[[#This Row],[сумма]]*Таблица1[[#This Row],[коэф]])),
IF(OR(G118="4/24",G118="3/24"),((база!$M$5*Таблица1[[#This Row],[сумма]]*Таблица1[[#This Row],[коэф]])),
IF((G118="5/16"),((база!$L$6*Таблица1[[#This Row],[сумма]]*Таблица1[[#This Row],[коэф]])),
IF(OR(G118="4/16",G118="3/16"),((база!$L$5*Таблица1[[#This Row],[сумма]]*Таблица1[[#This Row],[коэф]])),
IF(OR(G118="2/4",G118="3/4",G118="4/4"),((база!$I$5*Таблица1[[#This Row],[сумма]]*Таблица1[[#This Row],[коэф]])),
IF((G118="5/8"),((база!$J$6*Таблица1[[#This Row],[сумма]]*Таблица1[[#This Row],[коэф]])),
IF(OR(G118="4/8",G118="3/8",G118="2/8"),((база!$J$5*Таблица1[[#This Row],[сумма]]*Таблица1[[#This Row],[коэф]])))))))))))</f>
        <v>0</v>
      </c>
      <c r="AP118" s="730" t="b">
        <f>IF(AR118&lt;=3,(IF((G118="5/24"),((база!$M$6*2*Таблица1[[#This Row],[Столбец1]]*Таблица1[[#This Row],[коэф]])),
IF((G118="4/24"),((база!$M$5*2*Таблица1[[#This Row],[Столбец1]]*Таблица1[[#This Row],[коэф]])),
IF((G118="3/24"),((база!$M$4*2*Таблица1[[#This Row],[Столбец1]]*Таблица1[[#This Row],[коэф]])),
IF((G118="5/16"),((база!$L$6*2*Таблица1[[#This Row],[Столбец1]]*Таблица1[[#This Row],[коэф]])),
IF((G118="4/16"),((база!$L$5*2*Таблица1[[#This Row],[Столбец1]]*Таблица1[[#This Row],[коэф]])),
IF((G118="3/16"),((база!$L$4*2*Таблица1[[#This Row],[Столбец1]]*Таблица1[[#This Row],[коэф]])),
IF((G118="4/4"),((база!$I$5*2*Таблица1[[#This Row],[Столбец1]]*Таблица1[[#This Row],[коэф]])),
IF(OR(G118="2/4",G118="3/4"),((база!$I$4*2*Таблица1[[#This Row],[Столбец1]]*Таблица1[[#This Row],[коэф]])),
IF((G118="5/8"),((база!$J$6*2*Таблица1[[#This Row],[Столбец1]]*Таблица1[[#This Row],[коэф]])),
IF((G118="4/8"),((база!$J$5*2*Таблица1[[#This Row],[Столбец1]]*Таблица1[[#This Row],[коэф]])),
IF(OR(G118="3/8",G118="2/8"),((база!$J$4*2*Таблица1[[#This Row],[Столбец1]]*Таблица1[[#This Row],[коэф]])))))))))))))),
(IF((G118="5/24"),((база!$M$6*2*Таблица1[[#This Row],[Столбец1]]*Таблица1[[#This Row],[коэф]])),
IF(OR(G118="4/24",G118="3/24"),((база!$M$5*2*Таблица1[[#This Row],[Столбец1]]*Таблица1[[#This Row],[коэф]])),
IF((G118="5/16"),((база!$L$6*2*Таблица1[[#This Row],[Столбец1]]*Таблица1[[#This Row],[коэф]])),
IF(OR(G118="4/16",G118="3/16"),((база!$L$5*2*Таблица1[[#This Row],[Столбец1]]*Таблица1[[#This Row],[коэф]])),
IF(OR(G118="2/4",G118="3/4",G118="4/4"),((база!$I$5*2*Таблица1[[#This Row],[Столбец1]]*Таблица1[[#This Row],[коэф]])),
IF((G118="5/8"),((база!$J$6*2*Таблица1[[#This Row],[Столбец1]]*Таблица1[[#This Row],[коэф]])),
IF(OR(G118="4/8",G118="3/8",G118="2/8"),((база!$J$5*2*Таблица1[[#This Row],[Столбец1]]*Таблица1[[#This Row],[коэф]])))))))))))</f>
        <v>0</v>
      </c>
      <c r="AQ118" s="712" t="str">
        <f>IFERROR(INDEX(база!T:T, MATCH(F118,база!Q:Q,0)),"")</f>
        <v/>
      </c>
      <c r="AR118" s="208" t="str">
        <f>IFERROR(INDEX(база!D:D, MATCH(F118,база!B:B,0)),"")</f>
        <v/>
      </c>
      <c r="AS118" s="758" t="str">
        <f>IFERROR(INDEX(база!E:E, MATCH(F118,база!B:B,0)),"")</f>
        <v/>
      </c>
    </row>
    <row r="119" spans="1:45" s="46" customFormat="1" ht="15">
      <c r="A119" s="1115" t="str">
        <f>A117</f>
        <v>январь</v>
      </c>
      <c r="B119" t="n" s="1115">
        <v>2024.0</v>
      </c>
      <c r="C119" t="s" s="1115">
        <v>387</v>
      </c>
      <c r="D119" t="s" s="1115">
        <v>395</v>
      </c>
      <c r="E119" t="s" s="1115">
        <v>46</v>
      </c>
      <c r="F119" t="s" s="1115">
        <v>256</v>
      </c>
      <c r="G119" t="s" s="1115">
        <v>31</v>
      </c>
      <c r="H119" s="1115"/>
      <c r="I119" s="1115"/>
      <c r="J119" s="1115"/>
      <c r="K119" s="1115"/>
      <c r="L119" s="1115"/>
      <c r="M119" s="1115"/>
      <c r="N119" s="1115"/>
      <c r="O119" s="1115"/>
      <c r="P119" s="1115"/>
      <c r="Q119" t="n" s="1115">
        <v>7.2</v>
      </c>
      <c r="R119" s="563"/>
      <c r="S119" s="563"/>
      <c r="T119" s="563"/>
      <c r="U119" s="563"/>
      <c r="V119" s="563"/>
      <c r="W119" s="563"/>
      <c r="X119" s="48"/>
      <c r="Y119" s="48"/>
      <c r="Z119" s="48"/>
      <c r="AA119" s="48"/>
      <c r="AB119" s="48"/>
      <c r="AC119" s="48"/>
      <c r="AD119" s="48"/>
      <c r="AE119" s="48"/>
      <c r="AF119" s="258"/>
      <c r="AG119" s="258"/>
      <c r="AH119" s="258"/>
      <c r="AI119" s="258"/>
      <c r="AJ119" s="258"/>
      <c r="AK119" s="258"/>
      <c r="AL119" s="258"/>
      <c r="AM119" s="212">
        <f>IF(AQ119=1,SUM(Q119:T119,W119:Z119,AC119:AF119,AI119:AL119),
IF(AQ119=2,SUM(P119,S119:V119,Y119:AB119,AE119:AH119,AK119:AL119),
IF(AQ119=3,SUM(P119:R119,U119:X119,AA119:AD119,AG119:AJ119),SUM(Таблица1[[#This Row],[1]:[31]])-Таблица1[[#This Row],[Столбец1]])))</f>
        <v>0</v>
      </c>
      <c r="AN119" s="778">
        <f t="array" ref="AN119">IF(AQ119=1,SUM(P119,U119:V119,AA119:AB119,AG119:AH119),
IF(AQ119=2,SUM(Q119:R119,W119:X119,AC119:AD119,AI119:AJ119),
IF(AQ119=3,SUM(S119:T119,Y119:Z119,AE119:AF119,AK119:AL119),
SUM(IFERROR(WEEKDAY($H$2:$AL$2,2)&gt;5,)*H119:AL119))))+Таблица1[[#This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19" s="292" t="b">
        <f>IF(AR119&lt;=3,(IF((G119="5/24"),((база!$M$6*Таблица1[[#This Row],[сумма]]*Таблица1[[#This Row],[коэф]])),
IF((G119="4/24"),((база!$M$5*Таблица1[[#This Row],[сумма]]*Таблица1[[#This Row],[коэф]])),
IF((G119="3/24"),((база!$M$4*Таблица1[[#This Row],[сумма]]*Таблица1[[#This Row],[коэф]])),
IF((G119="5/16"),((база!$L$6*Таблица1[[#This Row],[сумма]]*Таблица1[[#This Row],[коэф]])),
IF((G119="4/16"),((база!$L$5*Таблица1[[#This Row],[сумма]]*Таблица1[[#This Row],[коэф]])),
IF((G119="3/16"),((база!$L$4*Таблица1[[#This Row],[сумма]]*Таблица1[[#This Row],[коэф]])),
IF((G119="4/4"),((база!$I$5*Таблица1[[#This Row],[сумма]]*Таблица1[[#This Row],[коэф]])),
IF(OR(G119="2/4",G119="3/4"),((база!$I$4*Таблица1[[#This Row],[сумма]]*Таблица1[[#This Row],[коэф]])),
IF((G119="5/8"),((база!$J$6*Таблица1[[#This Row],[сумма]]*Таблица1[[#This Row],[коэф]])),
IF((G119="4/8"),((база!$J$5*Таблица1[[#This Row],[сумма]]*Таблица1[[#This Row],[коэф]])),
IF(OR(G119="3/8",G119="2/8"),((база!$J$4*Таблица1[[#This Row],[сумма]]*Таблица1[[#This Row],[коэф]])))))))))))))),
(IF((G119="5/24"),((база!$M$6*Таблица1[[#This Row],[сумма]]*Таблица1[[#This Row],[коэф]])),
IF(OR(G119="4/24",G119="3/24"),((база!$M$5*Таблица1[[#This Row],[сумма]]*Таблица1[[#This Row],[коэф]])),
IF((G119="5/16"),((база!$L$6*Таблица1[[#This Row],[сумма]]*Таблица1[[#This Row],[коэф]])),
IF(OR(G119="4/16",G119="3/16"),((база!$L$5*Таблица1[[#This Row],[сумма]]*Таблица1[[#This Row],[коэф]])),
IF(OR(G119="2/4",G119="3/4",G119="4/4"),((база!$I$5*Таблица1[[#This Row],[сумма]]*Таблица1[[#This Row],[коэф]])),
IF((G119="5/8"),((база!$J$6*Таблица1[[#This Row],[сумма]]*Таблица1[[#This Row],[коэф]])),
IF(OR(G119="4/8",G119="3/8",G119="2/8"),((база!$J$5*Таблица1[[#This Row],[сумма]]*Таблица1[[#This Row],[коэф]])))))))))))</f>
        <v>0</v>
      </c>
      <c r="AP119" s="730" t="b">
        <f>IF(AR119&lt;=3,(IF((G119="5/24"),((база!$M$6*2*Таблица1[[#This Row],[Столбец1]]*Таблица1[[#This Row],[коэф]])),
IF((G119="4/24"),((база!$M$5*2*Таблица1[[#This Row],[Столбец1]]*Таблица1[[#This Row],[коэф]])),
IF((G119="3/24"),((база!$M$4*2*Таблица1[[#This Row],[Столбец1]]*Таблица1[[#This Row],[коэф]])),
IF((G119="5/16"),((база!$L$6*2*Таблица1[[#This Row],[Столбец1]]*Таблица1[[#This Row],[коэф]])),
IF((G119="4/16"),((база!$L$5*2*Таблица1[[#This Row],[Столбец1]]*Таблица1[[#This Row],[коэф]])),
IF((G119="3/16"),((база!$L$4*2*Таблица1[[#This Row],[Столбец1]]*Таблица1[[#This Row],[коэф]])),
IF((G119="4/4"),((база!$I$5*2*Таблица1[[#This Row],[Столбец1]]*Таблица1[[#This Row],[коэф]])),
IF(OR(G119="2/4",G119="3/4"),((база!$I$4*2*Таблица1[[#This Row],[Столбец1]]*Таблица1[[#This Row],[коэф]])),
IF((G119="5/8"),((база!$J$6*2*Таблица1[[#This Row],[Столбец1]]*Таблица1[[#This Row],[коэф]])),
IF((G119="4/8"),((база!$J$5*2*Таблица1[[#This Row],[Столбец1]]*Таблица1[[#This Row],[коэф]])),
IF(OR(G119="3/8",G119="2/8"),((база!$J$4*2*Таблица1[[#This Row],[Столбец1]]*Таблица1[[#This Row],[коэф]])))))))))))))),
(IF((G119="5/24"),((база!$M$6*2*Таблица1[[#This Row],[Столбец1]]*Таблица1[[#This Row],[коэф]])),
IF(OR(G119="4/24",G119="3/24"),((база!$M$5*2*Таблица1[[#This Row],[Столбец1]]*Таблица1[[#This Row],[коэф]])),
IF((G119="5/16"),((база!$L$6*2*Таблица1[[#This Row],[Столбец1]]*Таблица1[[#This Row],[коэф]])),
IF(OR(G119="4/16",G119="3/16"),((база!$L$5*2*Таблица1[[#This Row],[Столбец1]]*Таблица1[[#This Row],[коэф]])),
IF(OR(G119="2/4",G119="3/4",G119="4/4"),((база!$I$5*2*Таблица1[[#This Row],[Столбец1]]*Таблица1[[#This Row],[коэф]])),
IF((G119="5/8"),((база!$J$6*2*Таблица1[[#This Row],[Столбец1]]*Таблица1[[#This Row],[коэф]])),
IF(OR(G119="4/8",G119="3/8",G119="2/8"),((база!$J$5*2*Таблица1[[#This Row],[Столбец1]]*Таблица1[[#This Row],[коэф]])))))))))))</f>
        <v>0</v>
      </c>
      <c r="AQ119" s="712" t="str">
        <f>IFERROR(INDEX(база!T:T, MATCH(F119,база!Q:Q,0)),"")</f>
        <v/>
      </c>
      <c r="AR119" s="208" t="str">
        <f>IFERROR(INDEX(база!D:D, MATCH(F119,база!B:B,0)),"")</f>
        <v/>
      </c>
      <c r="AS119" s="758" t="str">
        <f>IFERROR(INDEX(база!E:E, MATCH(F119,база!B:B,0)),"")</f>
        <v/>
      </c>
    </row>
    <row r="120" spans="1:45" s="46" customFormat="1" ht="15">
      <c r="A120" s="1117" t="str">
        <f t="shared" si="3"/>
        <v>январь</v>
      </c>
      <c r="B120" t="n" s="1117">
        <v>2024.0</v>
      </c>
      <c r="C120" t="s" s="1117">
        <v>388</v>
      </c>
      <c r="D120" t="s" s="1117">
        <v>381</v>
      </c>
      <c r="E120" t="s" s="1117">
        <v>46</v>
      </c>
      <c r="F120" t="s" s="1117">
        <v>349</v>
      </c>
      <c r="G120" t="s" s="1117">
        <v>6</v>
      </c>
      <c r="H120" s="1117"/>
      <c r="I120" s="1117"/>
      <c r="J120" s="1117"/>
      <c r="K120" s="1117"/>
      <c r="L120" s="1117"/>
      <c r="M120" s="1117"/>
      <c r="N120" s="1117"/>
      <c r="O120" s="1117"/>
      <c r="P120" s="1117"/>
      <c r="Q120" t="n" s="1117">
        <v>7.2</v>
      </c>
      <c r="R120" t="n" s="46">
        <v>7.2</v>
      </c>
      <c r="S120" s="563"/>
      <c r="T120" s="563"/>
      <c r="U120" s="563"/>
      <c r="V120" s="563"/>
      <c r="W120" s="563"/>
      <c r="X120" s="563"/>
      <c r="Y120" s="563"/>
      <c r="Z120" s="48"/>
      <c r="AA120" s="48"/>
      <c r="AB120" s="48"/>
      <c r="AC120" s="48"/>
      <c r="AD120" s="48"/>
      <c r="AE120" s="48"/>
      <c r="AF120" s="48"/>
      <c r="AG120" s="48"/>
      <c r="AH120" s="48"/>
      <c r="AI120" s="48"/>
      <c r="AJ120" s="258"/>
      <c r="AK120" s="258"/>
      <c r="AL120" s="258"/>
      <c r="AM120" s="212">
        <f>IF(AQ120=1,SUM(Q120:T120,W120:Z120,AC120:AF120,AI120:AL120),
IF(AQ120=2,SUM(P120,S120:V120,Y120:AB120,AE120:AH120,AK120:AL120),
IF(AQ120=3,SUM(P120:R120,U120:X120,AA120:AD120,AG120:AJ120),SUM(Таблица1[[#This Row],[1]:[31]])-Таблица1[[#This Row],[Столбец1]])))</f>
        <v>0</v>
      </c>
      <c r="AN120" s="778">
        <f t="array" ref="AN120">IF(AQ120=1,SUM(P120,U120:V120,AA120:AB120,AG120:AH120),
IF(AQ120=2,SUM(Q120:R120,W120:X120,AC120:AD120,AI120:AJ120),
IF(AQ120=3,SUM(S120:T120,Y120:Z120,AE120:AF120,AK120:AL120),
SUM(IFERROR(WEEKDAY($H$2:$AL$2,2)&gt;5,)*H120:AL120))))+Таблица1[[#This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20" s="292" t="b">
        <f>IF(AR120&lt;=3,(IF((G120="5/24"),((база!$M$6*Таблица1[[#This Row],[сумма]]*Таблица1[[#This Row],[коэф]])),
IF((G120="4/24"),((база!$M$5*Таблица1[[#This Row],[сумма]]*Таблица1[[#This Row],[коэф]])),
IF((G120="3/24"),((база!$M$4*Таблица1[[#This Row],[сумма]]*Таблица1[[#This Row],[коэф]])),
IF((G120="5/16"),((база!$L$6*Таблица1[[#This Row],[сумма]]*Таблица1[[#This Row],[коэф]])),
IF((G120="4/16"),((база!$L$5*Таблица1[[#This Row],[сумма]]*Таблица1[[#This Row],[коэф]])),
IF((G120="3/16"),((база!$L$4*Таблица1[[#This Row],[сумма]]*Таблица1[[#This Row],[коэф]])),
IF((G120="4/4"),((база!$I$5*Таблица1[[#This Row],[сумма]]*Таблица1[[#This Row],[коэф]])),
IF(OR(G120="2/4",G120="3/4"),((база!$I$4*Таблица1[[#This Row],[сумма]]*Таблица1[[#This Row],[коэф]])),
IF((G120="5/8"),((база!$J$6*Таблица1[[#This Row],[сумма]]*Таблица1[[#This Row],[коэф]])),
IF((G120="4/8"),((база!$J$5*Таблица1[[#This Row],[сумма]]*Таблица1[[#This Row],[коэф]])),
IF(OR(G120="3/8",G120="2/8"),((база!$J$4*Таблица1[[#This Row],[сумма]]*Таблица1[[#This Row],[коэф]])))))))))))))),
(IF((G120="5/24"),((база!$M$6*Таблица1[[#This Row],[сумма]]*Таблица1[[#This Row],[коэф]])),
IF(OR(G120="4/24",G120="3/24"),((база!$M$5*Таблица1[[#This Row],[сумма]]*Таблица1[[#This Row],[коэф]])),
IF((G120="5/16"),((база!$L$6*Таблица1[[#This Row],[сумма]]*Таблица1[[#This Row],[коэф]])),
IF(OR(G120="4/16",G120="3/16"),((база!$L$5*Таблица1[[#This Row],[сумма]]*Таблица1[[#This Row],[коэф]])),
IF(OR(G120="2/4",G120="3/4",G120="4/4"),((база!$I$5*Таблица1[[#This Row],[сумма]]*Таблица1[[#This Row],[коэф]])),
IF((G120="5/8"),((база!$J$6*Таблица1[[#This Row],[сумма]]*Таблица1[[#This Row],[коэф]])),
IF(OR(G120="4/8",G120="3/8",G120="2/8"),((база!$J$5*Таблица1[[#This Row],[сумма]]*Таблица1[[#This Row],[коэф]])))))))))))</f>
        <v>0</v>
      </c>
      <c r="AP120" s="730" t="b">
        <f>IF(AR120&lt;=3,(IF((G120="5/24"),((база!$M$6*2*Таблица1[[#This Row],[Столбец1]]*Таблица1[[#This Row],[коэф]])),
IF((G120="4/24"),((база!$M$5*2*Таблица1[[#This Row],[Столбец1]]*Таблица1[[#This Row],[коэф]])),
IF((G120="3/24"),((база!$M$4*2*Таблица1[[#This Row],[Столбец1]]*Таблица1[[#This Row],[коэф]])),
IF((G120="5/16"),((база!$L$6*2*Таблица1[[#This Row],[Столбец1]]*Таблица1[[#This Row],[коэф]])),
IF((G120="4/16"),((база!$L$5*2*Таблица1[[#This Row],[Столбец1]]*Таблица1[[#This Row],[коэф]])),
IF((G120="3/16"),((база!$L$4*2*Таблица1[[#This Row],[Столбец1]]*Таблица1[[#This Row],[коэф]])),
IF((G120="4/4"),((база!$I$5*2*Таблица1[[#This Row],[Столбец1]]*Таблица1[[#This Row],[коэф]])),
IF(OR(G120="2/4",G120="3/4"),((база!$I$4*2*Таблица1[[#This Row],[Столбец1]]*Таблица1[[#This Row],[коэф]])),
IF((G120="5/8"),((база!$J$6*2*Таблица1[[#This Row],[Столбец1]]*Таблица1[[#This Row],[коэф]])),
IF((G120="4/8"),((база!$J$5*2*Таблица1[[#This Row],[Столбец1]]*Таблица1[[#This Row],[коэф]])),
IF(OR(G120="3/8",G120="2/8"),((база!$J$4*2*Таблица1[[#This Row],[Столбец1]]*Таблица1[[#This Row],[коэф]])))))))))))))),
(IF((G120="5/24"),((база!$M$6*2*Таблица1[[#This Row],[Столбец1]]*Таблица1[[#This Row],[коэф]])),
IF(OR(G120="4/24",G120="3/24"),((база!$M$5*2*Таблица1[[#This Row],[Столбец1]]*Таблица1[[#This Row],[коэф]])),
IF((G120="5/16"),((база!$L$6*2*Таблица1[[#This Row],[Столбец1]]*Таблица1[[#This Row],[коэф]])),
IF(OR(G120="4/16",G120="3/16"),((база!$L$5*2*Таблица1[[#This Row],[Столбец1]]*Таблица1[[#This Row],[коэф]])),
IF(OR(G120="2/4",G120="3/4",G120="4/4"),((база!$I$5*2*Таблица1[[#This Row],[Столбец1]]*Таблица1[[#This Row],[коэф]])),
IF((G120="5/8"),((база!$J$6*2*Таблица1[[#This Row],[Столбец1]]*Таблица1[[#This Row],[коэф]])),
IF(OR(G120="4/8",G120="3/8",G120="2/8"),((база!$J$5*2*Таблица1[[#This Row],[Столбец1]]*Таблица1[[#This Row],[коэф]])))))))))))</f>
        <v>0</v>
      </c>
      <c r="AQ120" s="712" t="str">
        <f>IFERROR(INDEX(база!T:T, MATCH(F120,база!Q:Q,0)),"")</f>
        <v/>
      </c>
      <c r="AR120" s="208" t="str">
        <f>IFERROR(INDEX(база!D:D, MATCH(F120,база!B:B,0)),"")</f>
        <v/>
      </c>
      <c r="AS120" s="758" t="str">
        <f>IFERROR(INDEX(база!E:E, MATCH(F120,база!B:B,0)),"")</f>
        <v/>
      </c>
    </row>
    <row r="121" spans="1:45" ht="15">
      <c r="A121" s="1122" t="str">
        <f t="shared" ref="A121:A368" si="4">A120</f>
        <v>январь</v>
      </c>
      <c r="B121" t="n" s="1122">
        <v>2024.0</v>
      </c>
      <c r="C121" t="s" s="1122">
        <v>387</v>
      </c>
      <c r="D121" t="s" s="1122">
        <v>364</v>
      </c>
      <c r="E121" t="s" s="1122">
        <v>46</v>
      </c>
      <c r="F121" t="s" s="1122">
        <v>279</v>
      </c>
      <c r="G121" t="s" s="1122">
        <v>3</v>
      </c>
      <c r="H121" s="1122"/>
      <c r="I121" s="1122"/>
      <c r="J121" s="1122"/>
      <c r="K121" s="1122"/>
      <c r="L121" s="1122"/>
      <c r="M121" s="1122"/>
      <c r="N121" s="1122"/>
      <c r="O121" s="1122"/>
      <c r="P121" s="1122"/>
      <c r="Q121" t="n" s="1122">
        <v>7.2</v>
      </c>
      <c r="R121" s="563"/>
      <c r="S121" s="563"/>
      <c r="T121" s="563"/>
      <c r="U121" s="563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258"/>
      <c r="AG121" s="258"/>
      <c r="AH121" s="258"/>
      <c r="AI121" s="258"/>
      <c r="AJ121" s="258"/>
      <c r="AK121" s="258"/>
      <c r="AL121" s="258"/>
      <c r="AM121" s="212">
        <f>IF(AQ121=1,SUM(Q121:T121,W121:Z121,AC121:AF121,AI121:AL121),
IF(AQ121=2,SUM(P121,S121:V121,Y121:AB121,AE121:AH121,AK121:AL121),
IF(AQ121=3,SUM(P121:R121,U121:X121,AA121:AD121,AG121:AJ121),SUM(Таблица1[[#This Row],[1]:[31]])-Таблица1[[#This Row],[Столбец1]])))</f>
        <v>0</v>
      </c>
      <c r="AN121" s="778">
        <f t="array" ref="AN121">IF(AQ121=1,SUM(P121,U121:V121,AA121:AB121,AG121:AH121),
IF(AQ121=2,SUM(Q121:R121,W121:X121,AC121:AD121,AI121:AJ121),
IF(AQ121=3,SUM(S121:T121,Y121:Z121,AE121:AF121,AK121:AL121),
SUM(IFERROR(WEEKDAY($H$2:$AL$2,2)&gt;5,)*H121:AL121))))+Таблица1[[#This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21" s="292" t="b">
        <f>IF(AR121&lt;=3,(IF((G121="5/24"),((база!$M$6*Таблица1[[#This Row],[сумма]]*Таблица1[[#This Row],[коэф]])),
IF((G121="4/24"),((база!$M$5*Таблица1[[#This Row],[сумма]]*Таблица1[[#This Row],[коэф]])),
IF((G121="3/24"),((база!$M$4*Таблица1[[#This Row],[сумма]]*Таблица1[[#This Row],[коэф]])),
IF((G121="5/16"),((база!$L$6*Таблица1[[#This Row],[сумма]]*Таблица1[[#This Row],[коэф]])),
IF((G121="4/16"),((база!$L$5*Таблица1[[#This Row],[сумма]]*Таблица1[[#This Row],[коэф]])),
IF((G121="3/16"),((база!$L$4*Таблица1[[#This Row],[сумма]]*Таблица1[[#This Row],[коэф]])),
IF((G121="4/4"),((база!$I$5*Таблица1[[#This Row],[сумма]]*Таблица1[[#This Row],[коэф]])),
IF(OR(G121="2/4",G121="3/4"),((база!$I$4*Таблица1[[#This Row],[сумма]]*Таблица1[[#This Row],[коэф]])),
IF((G121="5/8"),((база!$J$6*Таблица1[[#This Row],[сумма]]*Таблица1[[#This Row],[коэф]])),
IF((G121="4/8"),((база!$J$5*Таблица1[[#This Row],[сумма]]*Таблица1[[#This Row],[коэф]])),
IF(OR(G121="3/8",G121="2/8"),((база!$J$4*Таблица1[[#This Row],[сумма]]*Таблица1[[#This Row],[коэф]])))))))))))))),
(IF((G121="5/24"),((база!$M$6*Таблица1[[#This Row],[сумма]]*Таблица1[[#This Row],[коэф]])),
IF(OR(G121="4/24",G121="3/24"),((база!$M$5*Таблица1[[#This Row],[сумма]]*Таблица1[[#This Row],[коэф]])),
IF((G121="5/16"),((база!$L$6*Таблица1[[#This Row],[сумма]]*Таблица1[[#This Row],[коэф]])),
IF(OR(G121="4/16",G121="3/16"),((база!$L$5*Таблица1[[#This Row],[сумма]]*Таблица1[[#This Row],[коэф]])),
IF(OR(G121="2/4",G121="3/4",G121="4/4"),((база!$I$5*Таблица1[[#This Row],[сумма]]*Таблица1[[#This Row],[коэф]])),
IF((G121="5/8"),((база!$J$6*Таблица1[[#This Row],[сумма]]*Таблица1[[#This Row],[коэф]])),
IF(OR(G121="4/8",G121="3/8",G121="2/8"),((база!$J$5*Таблица1[[#This Row],[сумма]]*Таблица1[[#This Row],[коэф]])))))))))))</f>
        <v>0</v>
      </c>
      <c r="AP121" s="730" t="b">
        <f>IF(AR121&lt;=3,(IF((G121="5/24"),((база!$M$6*2*Таблица1[[#This Row],[Столбец1]]*Таблица1[[#This Row],[коэф]])),
IF((G121="4/24"),((база!$M$5*2*Таблица1[[#This Row],[Столбец1]]*Таблица1[[#This Row],[коэф]])),
IF((G121="3/24"),((база!$M$4*2*Таблица1[[#This Row],[Столбец1]]*Таблица1[[#This Row],[коэф]])),
IF((G121="5/16"),((база!$L$6*2*Таблица1[[#This Row],[Столбец1]]*Таблица1[[#This Row],[коэф]])),
IF((G121="4/16"),((база!$L$5*2*Таблица1[[#This Row],[Столбец1]]*Таблица1[[#This Row],[коэф]])),
IF((G121="3/16"),((база!$L$4*2*Таблица1[[#This Row],[Столбец1]]*Таблица1[[#This Row],[коэф]])),
IF((G121="4/4"),((база!$I$5*2*Таблица1[[#This Row],[Столбец1]]*Таблица1[[#This Row],[коэф]])),
IF(OR(G121="2/4",G121="3/4"),((база!$I$4*2*Таблица1[[#This Row],[Столбец1]]*Таблица1[[#This Row],[коэф]])),
IF((G121="5/8"),((база!$J$6*2*Таблица1[[#This Row],[Столбец1]]*Таблица1[[#This Row],[коэф]])),
IF((G121="4/8"),((база!$J$5*2*Таблица1[[#This Row],[Столбец1]]*Таблица1[[#This Row],[коэф]])),
IF(OR(G121="3/8",G121="2/8"),((база!$J$4*2*Таблица1[[#This Row],[Столбец1]]*Таблица1[[#This Row],[коэф]])))))))))))))),
(IF((G121="5/24"),((база!$M$6*2*Таблица1[[#This Row],[Столбец1]]*Таблица1[[#This Row],[коэф]])),
IF(OR(G121="4/24",G121="3/24"),((база!$M$5*2*Таблица1[[#This Row],[Столбец1]]*Таблица1[[#This Row],[коэф]])),
IF((G121="5/16"),((база!$L$6*2*Таблица1[[#This Row],[Столбец1]]*Таблица1[[#This Row],[коэф]])),
IF(OR(G121="4/16",G121="3/16"),((база!$L$5*2*Таблица1[[#This Row],[Столбец1]]*Таблица1[[#This Row],[коэф]])),
IF(OR(G121="2/4",G121="3/4",G121="4/4"),((база!$I$5*2*Таблица1[[#This Row],[Столбец1]]*Таблица1[[#This Row],[коэф]])),
IF((G121="5/8"),((база!$J$6*2*Таблица1[[#This Row],[Столбец1]]*Таблица1[[#This Row],[коэф]])),
IF(OR(G121="4/8",G121="3/8",G121="2/8"),((база!$J$5*2*Таблица1[[#This Row],[Столбец1]]*Таблица1[[#This Row],[коэф]])))))))))))</f>
        <v>0</v>
      </c>
      <c r="AQ121" s="712" t="str">
        <f>IFERROR(INDEX(база!T:T, MATCH(F121,база!Q:Q,0)),"")</f>
        <v/>
      </c>
      <c r="AR121" s="208" t="str">
        <f>IFERROR(INDEX(база!D:D, MATCH(F121,база!B:B,0)),"")</f>
        <v/>
      </c>
      <c r="AS121" s="758" t="str">
        <f>IFERROR(INDEX(база!E:E, MATCH(F121,база!B:B,0)),"")</f>
        <v/>
      </c>
    </row>
    <row r="122" spans="1:45" ht="15">
      <c r="A122" s="1123" t="str">
        <f t="shared" si="4"/>
        <v>январь</v>
      </c>
      <c r="B122" t="n" s="1123">
        <v>2024.0</v>
      </c>
      <c r="C122" t="s" s="1123">
        <v>388</v>
      </c>
      <c r="D122" t="s" s="1123">
        <v>364</v>
      </c>
      <c r="E122" t="s" s="1123">
        <v>46</v>
      </c>
      <c r="F122" t="s" s="1123">
        <v>279</v>
      </c>
      <c r="G122" t="s" s="1123">
        <v>6</v>
      </c>
      <c r="H122" s="1123"/>
      <c r="I122" s="1123"/>
      <c r="J122" s="1123"/>
      <c r="K122" s="1123"/>
      <c r="L122" s="1123"/>
      <c r="M122" s="1123"/>
      <c r="N122" s="1123"/>
      <c r="O122" s="1123"/>
      <c r="P122" s="1123"/>
      <c r="Q122" s="1123"/>
      <c r="R122" t="n" s="1123">
        <v>7.2</v>
      </c>
      <c r="S122" s="48"/>
      <c r="T122" s="48"/>
      <c r="U122" s="48"/>
      <c r="V122" s="48"/>
      <c r="W122" s="563"/>
      <c r="X122" s="563"/>
      <c r="Y122" s="48"/>
      <c r="Z122" s="48"/>
      <c r="AA122" s="48"/>
      <c r="AB122" s="48"/>
      <c r="AC122" s="48"/>
      <c r="AD122" s="48"/>
      <c r="AE122" s="48"/>
      <c r="AF122" s="258"/>
      <c r="AG122" s="258"/>
      <c r="AH122" s="258"/>
      <c r="AI122" s="258"/>
      <c r="AJ122" s="258"/>
      <c r="AK122" s="258"/>
      <c r="AL122" s="258"/>
      <c r="AM122" s="212">
        <f>IF(AQ122=1,SUM(Q122:T122,W122:Z122,AC122:AF122,AI122:AL122),
IF(AQ122=2,SUM(P122,S122:V122,Y122:AB122,AE122:AH122,AK122:AL122),
IF(AQ122=3,SUM(P122:R122,U122:X122,AA122:AD122,AG122:AJ122),SUM(Таблица1[[#This Row],[1]:[31]])-Таблица1[[#This Row],[Столбец1]])))</f>
        <v>0</v>
      </c>
      <c r="AN122" s="778">
        <f t="array" ref="AN122">IF(AQ122=1,SUM(P122,U122:V122,AA122:AB122,AG122:AH122),
IF(AQ122=2,SUM(Q122:R122,W122:X122,AC122:AD122,AI122:AJ122),
IF(AQ122=3,SUM(S122:T122,Y122:Z122,AE122:AF122,AK122:AL122),
SUM(IFERROR(WEEKDAY($H$2:$AL$2,2)&gt;5,)*H122:AL122))))+Таблица1[[#This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22" s="292" t="b">
        <f>IF(AR122&lt;=3,(IF((G122="5/24"),((база!$M$6*Таблица1[[#This Row],[сумма]]*Таблица1[[#This Row],[коэф]])),
IF((G122="4/24"),((база!$M$5*Таблица1[[#This Row],[сумма]]*Таблица1[[#This Row],[коэф]])),
IF((G122="3/24"),((база!$M$4*Таблица1[[#This Row],[сумма]]*Таблица1[[#This Row],[коэф]])),
IF((G122="5/16"),((база!$L$6*Таблица1[[#This Row],[сумма]]*Таблица1[[#This Row],[коэф]])),
IF((G122="4/16"),((база!$L$5*Таблица1[[#This Row],[сумма]]*Таблица1[[#This Row],[коэф]])),
IF((G122="3/16"),((база!$L$4*Таблица1[[#This Row],[сумма]]*Таблица1[[#This Row],[коэф]])),
IF((G122="4/4"),((база!$I$5*Таблица1[[#This Row],[сумма]]*Таблица1[[#This Row],[коэф]])),
IF(OR(G122="2/4",G122="3/4"),((база!$I$4*Таблица1[[#This Row],[сумма]]*Таблица1[[#This Row],[коэф]])),
IF((G122="5/8"),((база!$J$6*Таблица1[[#This Row],[сумма]]*Таблица1[[#This Row],[коэф]])),
IF((G122="4/8"),((база!$J$5*Таблица1[[#This Row],[сумма]]*Таблица1[[#This Row],[коэф]])),
IF(OR(G122="3/8",G122="2/8"),((база!$J$4*Таблица1[[#This Row],[сумма]]*Таблица1[[#This Row],[коэф]])))))))))))))),
(IF((G122="5/24"),((база!$M$6*Таблица1[[#This Row],[сумма]]*Таблица1[[#This Row],[коэф]])),
IF(OR(G122="4/24",G122="3/24"),((база!$M$5*Таблица1[[#This Row],[сумма]]*Таблица1[[#This Row],[коэф]])),
IF((G122="5/16"),((база!$L$6*Таблица1[[#This Row],[сумма]]*Таблица1[[#This Row],[коэф]])),
IF(OR(G122="4/16",G122="3/16"),((база!$L$5*Таблица1[[#This Row],[сумма]]*Таблица1[[#This Row],[коэф]])),
IF(OR(G122="2/4",G122="3/4",G122="4/4"),((база!$I$5*Таблица1[[#This Row],[сумма]]*Таблица1[[#This Row],[коэф]])),
IF((G122="5/8"),((база!$J$6*Таблица1[[#This Row],[сумма]]*Таблица1[[#This Row],[коэф]])),
IF(OR(G122="4/8",G122="3/8",G122="2/8"),((база!$J$5*Таблица1[[#This Row],[сумма]]*Таблица1[[#This Row],[коэф]])))))))))))</f>
        <v>0</v>
      </c>
      <c r="AP122" s="730" t="b">
        <f>IF(AR122&lt;=3,(IF((G122="5/24"),((база!$M$6*2*Таблица1[[#This Row],[Столбец1]]*Таблица1[[#This Row],[коэф]])),
IF((G122="4/24"),((база!$M$5*2*Таблица1[[#This Row],[Столбец1]]*Таблица1[[#This Row],[коэф]])),
IF((G122="3/24"),((база!$M$4*2*Таблица1[[#This Row],[Столбец1]]*Таблица1[[#This Row],[коэф]])),
IF((G122="5/16"),((база!$L$6*2*Таблица1[[#This Row],[Столбец1]]*Таблица1[[#This Row],[коэф]])),
IF((G122="4/16"),((база!$L$5*2*Таблица1[[#This Row],[Столбец1]]*Таблица1[[#This Row],[коэф]])),
IF((G122="3/16"),((база!$L$4*2*Таблица1[[#This Row],[Столбец1]]*Таблица1[[#This Row],[коэф]])),
IF((G122="4/4"),((база!$I$5*2*Таблица1[[#This Row],[Столбец1]]*Таблица1[[#This Row],[коэф]])),
IF(OR(G122="2/4",G122="3/4"),((база!$I$4*2*Таблица1[[#This Row],[Столбец1]]*Таблица1[[#This Row],[коэф]])),
IF((G122="5/8"),((база!$J$6*2*Таблица1[[#This Row],[Столбец1]]*Таблица1[[#This Row],[коэф]])),
IF((G122="4/8"),((база!$J$5*2*Таблица1[[#This Row],[Столбец1]]*Таблица1[[#This Row],[коэф]])),
IF(OR(G122="3/8",G122="2/8"),((база!$J$4*2*Таблица1[[#This Row],[Столбец1]]*Таблица1[[#This Row],[коэф]])))))))))))))),
(IF((G122="5/24"),((база!$M$6*2*Таблица1[[#This Row],[Столбец1]]*Таблица1[[#This Row],[коэф]])),
IF(OR(G122="4/24",G122="3/24"),((база!$M$5*2*Таблица1[[#This Row],[Столбец1]]*Таблица1[[#This Row],[коэф]])),
IF((G122="5/16"),((база!$L$6*2*Таблица1[[#This Row],[Столбец1]]*Таблица1[[#This Row],[коэф]])),
IF(OR(G122="4/16",G122="3/16"),((база!$L$5*2*Таблица1[[#This Row],[Столбец1]]*Таблица1[[#This Row],[коэф]])),
IF(OR(G122="2/4",G122="3/4",G122="4/4"),((база!$I$5*2*Таблица1[[#This Row],[Столбец1]]*Таблица1[[#This Row],[коэф]])),
IF((G122="5/8"),((база!$J$6*2*Таблица1[[#This Row],[Столбец1]]*Таблица1[[#This Row],[коэф]])),
IF(OR(G122="4/8",G122="3/8",G122="2/8"),((база!$J$5*2*Таблица1[[#This Row],[Столбец1]]*Таблица1[[#This Row],[коэф]])))))))))))</f>
        <v>0</v>
      </c>
      <c r="AQ122" s="712" t="str">
        <f>IFERROR(INDEX(база!T:T, MATCH(F122,база!Q:Q,0)),"")</f>
        <v/>
      </c>
      <c r="AR122" s="208" t="str">
        <f>IFERROR(INDEX(база!D:D, MATCH(F122,база!B:B,0)),"")</f>
        <v/>
      </c>
      <c r="AS122" s="758" t="str">
        <f>IFERROR(INDEX(база!E:E, MATCH(F122,база!B:B,0)),"")</f>
        <v/>
      </c>
    </row>
    <row r="123" spans="1:45" ht="15">
      <c r="A123" s="1124" t="str">
        <f t="shared" si="4"/>
        <v>январь</v>
      </c>
      <c r="B123" t="n" s="1124">
        <v>2024.0</v>
      </c>
      <c r="C123" t="s" s="1124">
        <v>388</v>
      </c>
      <c r="D123" t="s" s="1124">
        <v>364</v>
      </c>
      <c r="E123" t="s" s="1124">
        <v>46</v>
      </c>
      <c r="F123" t="s" s="1124">
        <v>254</v>
      </c>
      <c r="G123" t="s" s="1124">
        <v>4</v>
      </c>
      <c r="H123" s="1124"/>
      <c r="I123" s="1124"/>
      <c r="J123" s="1124"/>
      <c r="K123" s="1124"/>
      <c r="L123" s="1124"/>
      <c r="M123" s="1124"/>
      <c r="N123" s="1124"/>
      <c r="O123" s="1124"/>
      <c r="P123" s="1124"/>
      <c r="Q123" s="1124"/>
      <c r="R123" t="n" s="1124">
        <v>7.2</v>
      </c>
      <c r="S123" t="n" s="46">
        <v>7.2</v>
      </c>
      <c r="T123" t="n" s="46">
        <v>6.0</v>
      </c>
      <c r="U123" s="563"/>
      <c r="V123" s="563"/>
      <c r="W123" s="563"/>
      <c r="X123" s="563"/>
      <c r="Y123" s="563"/>
      <c r="Z123" s="48"/>
      <c r="AA123" s="48"/>
      <c r="AB123" s="48"/>
      <c r="AC123" s="48"/>
      <c r="AD123" s="48"/>
      <c r="AE123" s="48"/>
      <c r="AF123" s="48"/>
      <c r="AG123" s="48"/>
      <c r="AH123" s="48"/>
      <c r="AI123" s="48"/>
      <c r="AJ123" s="258"/>
      <c r="AK123" s="48"/>
      <c r="AL123" s="51"/>
      <c r="AM123" s="212">
        <f>IF(AQ123=1,SUM(Q123:T123,W123:Z123,AC123:AF123,AI123:AL123),
IF(AQ123=2,SUM(P123,S123:V123,Y123:AB123,AE123:AH123,AK123:AL123),
IF(AQ123=3,SUM(P123:R123,U123:X123,AA123:AD123,AG123:AJ123),SUM(Таблица1[[#This Row],[1]:[31]])-Таблица1[[#This Row],[Столбец1]])))</f>
        <v>0</v>
      </c>
      <c r="AN123" s="778">
        <f t="array" ref="AN123">IF(AQ123=1,SUM(P123,U123:V123,AA123:AB123,AG123:AH123),
IF(AQ123=2,SUM(Q123:R123,W123:X123,AC123:AD123,AI123:AJ123),
IF(AQ123=3,SUM(S123:T123,Y123:Z123,AE123:AF123,AK123:AL123),
SUM(IFERROR(WEEKDAY($H$2:$AL$2,2)&gt;5,)*H123:AL123))))+Таблица1[[#This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23" s="292" t="b">
        <f>IF(AR123&lt;=3,(IF((G123="5/24"),((база!$M$6*Таблица1[[#This Row],[сумма]]*Таблица1[[#This Row],[коэф]])),
IF((G123="4/24"),((база!$M$5*Таблица1[[#This Row],[сумма]]*Таблица1[[#This Row],[коэф]])),
IF((G123="3/24"),((база!$M$4*Таблица1[[#This Row],[сумма]]*Таблица1[[#This Row],[коэф]])),
IF((G123="5/16"),((база!$L$6*Таблица1[[#This Row],[сумма]]*Таблица1[[#This Row],[коэф]])),
IF((G123="4/16"),((база!$L$5*Таблица1[[#This Row],[сумма]]*Таблица1[[#This Row],[коэф]])),
IF((G123="3/16"),((база!$L$4*Таблица1[[#This Row],[сумма]]*Таблица1[[#This Row],[коэф]])),
IF((G123="4/4"),((база!$I$5*Таблица1[[#This Row],[сумма]]*Таблица1[[#This Row],[коэф]])),
IF(OR(G123="2/4",G123="3/4"),((база!$I$4*Таблица1[[#This Row],[сумма]]*Таблица1[[#This Row],[коэф]])),
IF((G123="5/8"),((база!$J$6*Таблица1[[#This Row],[сумма]]*Таблица1[[#This Row],[коэф]])),
IF((G123="4/8"),((база!$J$5*Таблица1[[#This Row],[сумма]]*Таблица1[[#This Row],[коэф]])),
IF(OR(G123="3/8",G123="2/8"),((база!$J$4*Таблица1[[#This Row],[сумма]]*Таблица1[[#This Row],[коэф]])))))))))))))),
(IF((G123="5/24"),((база!$M$6*Таблица1[[#This Row],[сумма]]*Таблица1[[#This Row],[коэф]])),
IF(OR(G123="4/24",G123="3/24"),((база!$M$5*Таблица1[[#This Row],[сумма]]*Таблица1[[#This Row],[коэф]])),
IF((G123="5/16"),((база!$L$6*Таблица1[[#This Row],[сумма]]*Таблица1[[#This Row],[коэф]])),
IF(OR(G123="4/16",G123="3/16"),((база!$L$5*Таблица1[[#This Row],[сумма]]*Таблица1[[#This Row],[коэф]])),
IF(OR(G123="2/4",G123="3/4",G123="4/4"),((база!$I$5*Таблица1[[#This Row],[сумма]]*Таблица1[[#This Row],[коэф]])),
IF((G123="5/8"),((база!$J$6*Таблица1[[#This Row],[сумма]]*Таблица1[[#This Row],[коэф]])),
IF(OR(G123="4/8",G123="3/8",G123="2/8"),((база!$J$5*Таблица1[[#This Row],[сумма]]*Таблица1[[#This Row],[коэф]])))))))))))</f>
        <v>0</v>
      </c>
      <c r="AP123" s="730" t="b">
        <f>IF(AR123&lt;=3,(IF((G123="5/24"),((база!$M$6*2*Таблица1[[#This Row],[Столбец1]]*Таблица1[[#This Row],[коэф]])),
IF((G123="4/24"),((база!$M$5*2*Таблица1[[#This Row],[Столбец1]]*Таблица1[[#This Row],[коэф]])),
IF((G123="3/24"),((база!$M$4*2*Таблица1[[#This Row],[Столбец1]]*Таблица1[[#This Row],[коэф]])),
IF((G123="5/16"),((база!$L$6*2*Таблица1[[#This Row],[Столбец1]]*Таблица1[[#This Row],[коэф]])),
IF((G123="4/16"),((база!$L$5*2*Таблица1[[#This Row],[Столбец1]]*Таблица1[[#This Row],[коэф]])),
IF((G123="3/16"),((база!$L$4*2*Таблица1[[#This Row],[Столбец1]]*Таблица1[[#This Row],[коэф]])),
IF((G123="4/4"),((база!$I$5*2*Таблица1[[#This Row],[Столбец1]]*Таблица1[[#This Row],[коэф]])),
IF(OR(G123="2/4",G123="3/4"),((база!$I$4*2*Таблица1[[#This Row],[Столбец1]]*Таблица1[[#This Row],[коэф]])),
IF((G123="5/8"),((база!$J$6*2*Таблица1[[#This Row],[Столбец1]]*Таблица1[[#This Row],[коэф]])),
IF((G123="4/8"),((база!$J$5*2*Таблица1[[#This Row],[Столбец1]]*Таблица1[[#This Row],[коэф]])),
IF(OR(G123="3/8",G123="2/8"),((база!$J$4*2*Таблица1[[#This Row],[Столбец1]]*Таблица1[[#This Row],[коэф]])))))))))))))),
(IF((G123="5/24"),((база!$M$6*2*Таблица1[[#This Row],[Столбец1]]*Таблица1[[#This Row],[коэф]])),
IF(OR(G123="4/24",G123="3/24"),((база!$M$5*2*Таблица1[[#This Row],[Столбец1]]*Таблица1[[#This Row],[коэф]])),
IF((G123="5/16"),((база!$L$6*2*Таблица1[[#This Row],[Столбец1]]*Таблица1[[#This Row],[коэф]])),
IF(OR(G123="4/16",G123="3/16"),((база!$L$5*2*Таблица1[[#This Row],[Столбец1]]*Таблица1[[#This Row],[коэф]])),
IF(OR(G123="2/4",G123="3/4",G123="4/4"),((база!$I$5*2*Таблица1[[#This Row],[Столбец1]]*Таблица1[[#This Row],[коэф]])),
IF((G123="5/8"),((база!$J$6*2*Таблица1[[#This Row],[Столбец1]]*Таблица1[[#This Row],[коэф]])),
IF(OR(G123="4/8",G123="3/8",G123="2/8"),((база!$J$5*2*Таблица1[[#This Row],[Столбец1]]*Таблица1[[#This Row],[коэф]])))))))))))</f>
        <v>0</v>
      </c>
      <c r="AQ123" s="712" t="str">
        <f>IFERROR(INDEX(база!T:T, MATCH(F123,база!Q:Q,0)),"")</f>
        <v/>
      </c>
      <c r="AR123" s="208" t="str">
        <f>IFERROR(INDEX(база!D:D, MATCH(F123,база!B:B,0)),"")</f>
        <v/>
      </c>
      <c r="AS123" s="758" t="str">
        <f>IFERROR(INDEX(база!E:E, MATCH(F123,база!B:B,0)),"")</f>
        <v/>
      </c>
    </row>
    <row r="124" spans="1:45" ht="15">
      <c r="A124" s="1125" t="str">
        <f t="shared" si="4"/>
        <v>январь</v>
      </c>
      <c r="B124" t="n" s="1125">
        <v>2024.0</v>
      </c>
      <c r="C124" t="s" s="1125">
        <v>388</v>
      </c>
      <c r="D124" t="s" s="1125">
        <v>366</v>
      </c>
      <c r="E124" t="s" s="1125">
        <v>46</v>
      </c>
      <c r="F124" t="s" s="1125">
        <v>285</v>
      </c>
      <c r="G124" t="s" s="1125">
        <v>67</v>
      </c>
      <c r="H124" s="1125"/>
      <c r="I124" s="1125"/>
      <c r="J124" s="1125"/>
      <c r="K124" s="1125"/>
      <c r="L124" s="1125"/>
      <c r="M124" s="1125"/>
      <c r="N124" s="1125"/>
      <c r="O124" s="1125"/>
      <c r="P124" s="1125"/>
      <c r="Q124" t="n" s="1125">
        <v>5.2</v>
      </c>
      <c r="R124" s="563"/>
      <c r="S124" s="563"/>
      <c r="T124" s="563"/>
      <c r="U124" s="563"/>
      <c r="V124" s="563"/>
      <c r="W124" s="563"/>
      <c r="X124" s="563"/>
      <c r="Y124" s="563"/>
      <c r="Z124" s="48"/>
      <c r="AA124" s="48"/>
      <c r="AB124" s="48"/>
      <c r="AC124" s="48"/>
      <c r="AD124" s="48"/>
      <c r="AE124" s="48"/>
      <c r="AF124" s="48"/>
      <c r="AG124" s="48"/>
      <c r="AH124" s="48"/>
      <c r="AI124" s="48"/>
      <c r="AJ124" s="258"/>
      <c r="AK124" s="258"/>
      <c r="AL124" s="258"/>
      <c r="AM124" s="212">
        <f>IF(AQ124=1,SUM(Q124:T124,W124:Z124,AC124:AF124,AI124:AL124),
IF(AQ124=2,SUM(P124,S124:V124,Y124:AB124,AE124:AH124,AK124:AL124),
IF(AQ124=3,SUM(P124:R124,U124:X124,AA124:AD124,AG124:AJ124),SUM(Таблица1[[#This Row],[1]:[31]])-Таблица1[[#This Row],[Столбец1]])))</f>
        <v>0</v>
      </c>
      <c r="AN124" s="778">
        <f t="array" ref="AN124">IF(AQ124=1,SUM(P124,U124:V124,AA124:AB124,AG124:AH124),
IF(AQ124=2,SUM(Q124:R124,W124:X124,AC124:AD124,AI124:AJ124),
IF(AQ124=3,SUM(S124:T124,Y124:Z124,AE124:AF124,AK124:AL124),
SUM(IFERROR(WEEKDAY($H$2:$AL$2,2)&gt;5,)*H124:AL124))))+Таблица1[[#This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24" s="292" t="b">
        <f>IF(AR124&lt;=3,(IF((G124="5/24"),((база!$M$6*Таблица1[[#This Row],[сумма]]*Таблица1[[#This Row],[коэф]])),
IF((G124="4/24"),((база!$M$5*Таблица1[[#This Row],[сумма]]*Таблица1[[#This Row],[коэф]])),
IF((G124="3/24"),((база!$M$4*Таблица1[[#This Row],[сумма]]*Таблица1[[#This Row],[коэф]])),
IF((G124="5/16"),((база!$L$6*Таблица1[[#This Row],[сумма]]*Таблица1[[#This Row],[коэф]])),
IF((G124="4/16"),((база!$L$5*Таблица1[[#This Row],[сумма]]*Таблица1[[#This Row],[коэф]])),
IF((G124="3/16"),((база!$L$4*Таблица1[[#This Row],[сумма]]*Таблица1[[#This Row],[коэф]])),
IF((G124="4/4"),((база!$I$5*Таблица1[[#This Row],[сумма]]*Таблица1[[#This Row],[коэф]])),
IF(OR(G124="2/4",G124="3/4"),((база!$I$4*Таблица1[[#This Row],[сумма]]*Таблица1[[#This Row],[коэф]])),
IF((G124="5/8"),((база!$J$6*Таблица1[[#This Row],[сумма]]*Таблица1[[#This Row],[коэф]])),
IF((G124="4/8"),((база!$J$5*Таблица1[[#This Row],[сумма]]*Таблица1[[#This Row],[коэф]])),
IF(OR(G124="3/8",G124="2/8"),((база!$J$4*Таблица1[[#This Row],[сумма]]*Таблица1[[#This Row],[коэф]])))))))))))))),
(IF((G124="5/24"),((база!$M$6*Таблица1[[#This Row],[сумма]]*Таблица1[[#This Row],[коэф]])),
IF(OR(G124="4/24",G124="3/24"),((база!$M$5*Таблица1[[#This Row],[сумма]]*Таблица1[[#This Row],[коэф]])),
IF((G124="5/16"),((база!$L$6*Таблица1[[#This Row],[сумма]]*Таблица1[[#This Row],[коэф]])),
IF(OR(G124="4/16",G124="3/16"),((база!$L$5*Таблица1[[#This Row],[сумма]]*Таблица1[[#This Row],[коэф]])),
IF(OR(G124="2/4",G124="3/4",G124="4/4"),((база!$I$5*Таблица1[[#This Row],[сумма]]*Таблица1[[#This Row],[коэф]])),
IF((G124="5/8"),((база!$J$6*Таблица1[[#This Row],[сумма]]*Таблица1[[#This Row],[коэф]])),
IF(OR(G124="4/8",G124="3/8",G124="2/8"),((база!$J$5*Таблица1[[#This Row],[сумма]]*Таблица1[[#This Row],[коэф]])))))))))))</f>
        <v>0</v>
      </c>
      <c r="AP124" s="730" t="b">
        <f>IF(AR124&lt;=3,(IF((G124="5/24"),((база!$M$6*2*Таблица1[[#This Row],[Столбец1]]*Таблица1[[#This Row],[коэф]])),
IF((G124="4/24"),((база!$M$5*2*Таблица1[[#This Row],[Столбец1]]*Таблица1[[#This Row],[коэф]])),
IF((G124="3/24"),((база!$M$4*2*Таблица1[[#This Row],[Столбец1]]*Таблица1[[#This Row],[коэф]])),
IF((G124="5/16"),((база!$L$6*2*Таблица1[[#This Row],[Столбец1]]*Таблица1[[#This Row],[коэф]])),
IF((G124="4/16"),((база!$L$5*2*Таблица1[[#This Row],[Столбец1]]*Таблица1[[#This Row],[коэф]])),
IF((G124="3/16"),((база!$L$4*2*Таблица1[[#This Row],[Столбец1]]*Таблица1[[#This Row],[коэф]])),
IF((G124="4/4"),((база!$I$5*2*Таблица1[[#This Row],[Столбец1]]*Таблица1[[#This Row],[коэф]])),
IF(OR(G124="2/4",G124="3/4"),((база!$I$4*2*Таблица1[[#This Row],[Столбец1]]*Таблица1[[#This Row],[коэф]])),
IF((G124="5/8"),((база!$J$6*2*Таблица1[[#This Row],[Столбец1]]*Таблица1[[#This Row],[коэф]])),
IF((G124="4/8"),((база!$J$5*2*Таблица1[[#This Row],[Столбец1]]*Таблица1[[#This Row],[коэф]])),
IF(OR(G124="3/8",G124="2/8"),((база!$J$4*2*Таблица1[[#This Row],[Столбец1]]*Таблица1[[#This Row],[коэф]])))))))))))))),
(IF((G124="5/24"),((база!$M$6*2*Таблица1[[#This Row],[Столбец1]]*Таблица1[[#This Row],[коэф]])),
IF(OR(G124="4/24",G124="3/24"),((база!$M$5*2*Таблица1[[#This Row],[Столбец1]]*Таблица1[[#This Row],[коэф]])),
IF((G124="5/16"),((база!$L$6*2*Таблица1[[#This Row],[Столбец1]]*Таблица1[[#This Row],[коэф]])),
IF(OR(G124="4/16",G124="3/16"),((база!$L$5*2*Таблица1[[#This Row],[Столбец1]]*Таблица1[[#This Row],[коэф]])),
IF(OR(G124="2/4",G124="3/4",G124="4/4"),((база!$I$5*2*Таблица1[[#This Row],[Столбец1]]*Таблица1[[#This Row],[коэф]])),
IF((G124="5/8"),((база!$J$6*2*Таблица1[[#This Row],[Столбец1]]*Таблица1[[#This Row],[коэф]])),
IF(OR(G124="4/8",G124="3/8",G124="2/8"),((база!$J$5*2*Таблица1[[#This Row],[Столбец1]]*Таблица1[[#This Row],[коэф]])))))))))))</f>
        <v>0</v>
      </c>
      <c r="AQ124" s="712" t="str">
        <f>IFERROR(INDEX(база!T:T, MATCH(F124,база!Q:Q,0)),"")</f>
        <v/>
      </c>
      <c r="AR124" s="208" t="str">
        <f>IFERROR(INDEX(база!D:D, MATCH(F124,база!B:B,0)),"")</f>
        <v/>
      </c>
      <c r="AS124" s="758" t="str">
        <f>IFERROR(INDEX(база!E:E, MATCH(F124,база!B:B,0)),"")</f>
        <v/>
      </c>
    </row>
    <row r="125" spans="1:45" ht="15">
      <c r="A125" s="1126" t="str">
        <f t="shared" si="4"/>
        <v>январь</v>
      </c>
      <c r="B125" t="n" s="1126">
        <v>2024.0</v>
      </c>
      <c r="C125" t="s" s="1126">
        <v>396</v>
      </c>
      <c r="D125" t="s" s="1126">
        <v>364</v>
      </c>
      <c r="E125" t="s" s="1126">
        <v>46</v>
      </c>
      <c r="F125" t="s" s="1126">
        <v>285</v>
      </c>
      <c r="G125" t="s" s="1126">
        <v>67</v>
      </c>
      <c r="H125" s="1126"/>
      <c r="I125" s="1126"/>
      <c r="J125" s="1126"/>
      <c r="K125" s="1126"/>
      <c r="L125" s="1126"/>
      <c r="M125" s="1126"/>
      <c r="N125" s="1126"/>
      <c r="O125" s="1126"/>
      <c r="P125" s="1126"/>
      <c r="Q125" t="n" s="1126">
        <v>2.2</v>
      </c>
      <c r="R125" s="48"/>
      <c r="S125" s="48"/>
      <c r="T125" s="48"/>
      <c r="U125" s="48"/>
      <c r="V125" s="48"/>
      <c r="W125" s="563"/>
      <c r="X125" s="563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48"/>
      <c r="AJ125" s="48"/>
      <c r="AK125" s="258"/>
      <c r="AL125" s="258"/>
      <c r="AM125" s="212">
        <f>IF(AQ125=1,SUM(Q125:T125,W125:Z125,AC125:AF125,AI125:AL125),
IF(AQ125=2,SUM(P125,S125:V125,Y125:AB125,AE125:AH125,AK125:AL125),
IF(AQ125=3,SUM(P125:R125,U125:X125,AA125:AD125,AG125:AJ125),SUM(Таблица1[[#This Row],[1]:[31]])-Таблица1[[#This Row],[Столбец1]])))</f>
        <v>0</v>
      </c>
      <c r="AN125" s="778">
        <f t="array" ref="AN125">IF(AQ125=1,SUM(P125,U125:V125,AA125:AB125,AG125:AH125),
IF(AQ125=2,SUM(Q125:R125,W125:X125,AC125:AD125,AI125:AJ125),
IF(AQ125=3,SUM(S125:T125,Y125:Z125,AE125:AF125,AK125:AL125),
SUM(IFERROR(WEEKDAY($H$2:$AL$2,2)&gt;5,)*H125:AL125))))+Таблица1[[#This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25" s="292" t="b">
        <f>IF(AR125&lt;=3,(IF((G125="5/24"),((база!$M$6*Таблица1[[#This Row],[сумма]]*Таблица1[[#This Row],[коэф]])),
IF((G125="4/24"),((база!$M$5*Таблица1[[#This Row],[сумма]]*Таблица1[[#This Row],[коэф]])),
IF((G125="3/24"),((база!$M$4*Таблица1[[#This Row],[сумма]]*Таблица1[[#This Row],[коэф]])),
IF((G125="5/16"),((база!$L$6*Таблица1[[#This Row],[сумма]]*Таблица1[[#This Row],[коэф]])),
IF((G125="4/16"),((база!$L$5*Таблица1[[#This Row],[сумма]]*Таблица1[[#This Row],[коэф]])),
IF((G125="3/16"),((база!$L$4*Таблица1[[#This Row],[сумма]]*Таблица1[[#This Row],[коэф]])),
IF((G125="4/4"),((база!$I$5*Таблица1[[#This Row],[сумма]]*Таблица1[[#This Row],[коэф]])),
IF(OR(G125="2/4",G125="3/4"),((база!$I$4*Таблица1[[#This Row],[сумма]]*Таблица1[[#This Row],[коэф]])),
IF((G125="5/8"),((база!$J$6*Таблица1[[#This Row],[сумма]]*Таблица1[[#This Row],[коэф]])),
IF((G125="4/8"),((база!$J$5*Таблица1[[#This Row],[сумма]]*Таблица1[[#This Row],[коэф]])),
IF(OR(G125="3/8",G125="2/8"),((база!$J$4*Таблица1[[#This Row],[сумма]]*Таблица1[[#This Row],[коэф]])))))))))))))),
(IF((G125="5/24"),((база!$M$6*Таблица1[[#This Row],[сумма]]*Таблица1[[#This Row],[коэф]])),
IF(OR(G125="4/24",G125="3/24"),((база!$M$5*Таблица1[[#This Row],[сумма]]*Таблица1[[#This Row],[коэф]])),
IF((G125="5/16"),((база!$L$6*Таблица1[[#This Row],[сумма]]*Таблица1[[#This Row],[коэф]])),
IF(OR(G125="4/16",G125="3/16"),((база!$L$5*Таблица1[[#This Row],[сумма]]*Таблица1[[#This Row],[коэф]])),
IF(OR(G125="2/4",G125="3/4",G125="4/4"),((база!$I$5*Таблица1[[#This Row],[сумма]]*Таблица1[[#This Row],[коэф]])),
IF((G125="5/8"),((база!$J$6*Таблица1[[#This Row],[сумма]]*Таблица1[[#This Row],[коэф]])),
IF(OR(G125="4/8",G125="3/8",G125="2/8"),((база!$J$5*Таблица1[[#This Row],[сумма]]*Таблица1[[#This Row],[коэф]])))))))))))</f>
        <v>0</v>
      </c>
      <c r="AP125" s="730" t="b">
        <f>IF(AR125&lt;=3,(IF((G125="5/24"),((база!$M$6*2*Таблица1[[#This Row],[Столбец1]]*Таблица1[[#This Row],[коэф]])),
IF((G125="4/24"),((база!$M$5*2*Таблица1[[#This Row],[Столбец1]]*Таблица1[[#This Row],[коэф]])),
IF((G125="3/24"),((база!$M$4*2*Таблица1[[#This Row],[Столбец1]]*Таблица1[[#This Row],[коэф]])),
IF((G125="5/16"),((база!$L$6*2*Таблица1[[#This Row],[Столбец1]]*Таблица1[[#This Row],[коэф]])),
IF((G125="4/16"),((база!$L$5*2*Таблица1[[#This Row],[Столбец1]]*Таблица1[[#This Row],[коэф]])),
IF((G125="3/16"),((база!$L$4*2*Таблица1[[#This Row],[Столбец1]]*Таблица1[[#This Row],[коэф]])),
IF((G125="4/4"),((база!$I$5*2*Таблица1[[#This Row],[Столбец1]]*Таблица1[[#This Row],[коэф]])),
IF(OR(G125="2/4",G125="3/4"),((база!$I$4*2*Таблица1[[#This Row],[Столбец1]]*Таблица1[[#This Row],[коэф]])),
IF((G125="5/8"),((база!$J$6*2*Таблица1[[#This Row],[Столбец1]]*Таблица1[[#This Row],[коэф]])),
IF((G125="4/8"),((база!$J$5*2*Таблица1[[#This Row],[Столбец1]]*Таблица1[[#This Row],[коэф]])),
IF(OR(G125="3/8",G125="2/8"),((база!$J$4*2*Таблица1[[#This Row],[Столбец1]]*Таблица1[[#This Row],[коэф]])))))))))))))),
(IF((G125="5/24"),((база!$M$6*2*Таблица1[[#This Row],[Столбец1]]*Таблица1[[#This Row],[коэф]])),
IF(OR(G125="4/24",G125="3/24"),((база!$M$5*2*Таблица1[[#This Row],[Столбец1]]*Таблица1[[#This Row],[коэф]])),
IF((G125="5/16"),((база!$L$6*2*Таблица1[[#This Row],[Столбец1]]*Таблица1[[#This Row],[коэф]])),
IF(OR(G125="4/16",G125="3/16"),((база!$L$5*2*Таблица1[[#This Row],[Столбец1]]*Таблица1[[#This Row],[коэф]])),
IF(OR(G125="2/4",G125="3/4",G125="4/4"),((база!$I$5*2*Таблица1[[#This Row],[Столбец1]]*Таблица1[[#This Row],[коэф]])),
IF((G125="5/8"),((база!$J$6*2*Таблица1[[#This Row],[Столбец1]]*Таблица1[[#This Row],[коэф]])),
IF(OR(G125="4/8",G125="3/8",G125="2/8"),((база!$J$5*2*Таблица1[[#This Row],[Столбец1]]*Таблица1[[#This Row],[коэф]])))))))))))</f>
        <v>0</v>
      </c>
      <c r="AQ125" s="712" t="str">
        <f>IFERROR(INDEX(база!T:T, MATCH(F125,база!Q:Q,0)),"")</f>
        <v/>
      </c>
      <c r="AR125" s="208" t="str">
        <f>IFERROR(INDEX(база!D:D, MATCH(F125,база!B:B,0)),"")</f>
        <v/>
      </c>
      <c r="AS125" s="758" t="str">
        <f>IFERROR(INDEX(база!E:E, MATCH(F125,база!B:B,0)),"")</f>
        <v/>
      </c>
    </row>
    <row r="126" spans="1:45" ht="15">
      <c r="A126" s="1127" t="str">
        <f t="shared" si="4"/>
        <v>январь</v>
      </c>
      <c r="B126" t="n" s="1127">
        <v>2024.0</v>
      </c>
      <c r="C126" t="s" s="1127">
        <v>388</v>
      </c>
      <c r="D126" t="s" s="1127">
        <v>367</v>
      </c>
      <c r="E126" t="s" s="1127">
        <v>46</v>
      </c>
      <c r="F126" t="s" s="1127">
        <v>285</v>
      </c>
      <c r="G126" t="s" s="1127">
        <v>67</v>
      </c>
      <c r="H126" s="1127"/>
      <c r="I126" s="1127"/>
      <c r="J126" s="1127"/>
      <c r="K126" s="1127"/>
      <c r="L126" s="1127"/>
      <c r="M126" s="1127"/>
      <c r="N126" s="1127"/>
      <c r="O126" s="1127"/>
      <c r="P126" s="1127"/>
      <c r="Q126" s="1127"/>
      <c r="R126" t="n" s="1127">
        <v>4.0</v>
      </c>
      <c r="S126" s="48"/>
      <c r="T126" s="48"/>
      <c r="U126" s="48"/>
      <c r="V126" s="48"/>
      <c r="W126" s="563"/>
      <c r="X126" s="563"/>
      <c r="Y126" s="563"/>
      <c r="Z126" s="563"/>
      <c r="AA126" s="563"/>
      <c r="AB126" s="563"/>
      <c r="AC126" s="563"/>
      <c r="AD126" s="48"/>
      <c r="AE126" s="48"/>
      <c r="AF126" s="48"/>
      <c r="AG126" s="48"/>
      <c r="AH126" s="48"/>
      <c r="AI126" s="48"/>
      <c r="AJ126" s="48"/>
      <c r="AK126" s="258"/>
      <c r="AL126" s="258"/>
      <c r="AM126" s="212">
        <f>IF(AQ126=1,SUM(Q126:T126,W126:Z126,AC126:AF126,AI126:AL126),
IF(AQ126=2,SUM(P126,S126:V126,Y126:AB126,AE126:AH126,AK126:AL126),
IF(AQ126=3,SUM(P126:R126,U126:X126,AA126:AD126,AG126:AJ126),SUM(Таблица1[[#This Row],[1]:[31]])-Таблица1[[#This Row],[Столбец1]])))</f>
        <v>0</v>
      </c>
      <c r="AN126" s="778">
        <f t="array" ref="AN126">IF(AQ126=1,SUM(P126,U126:V126,AA126:AB126,AG126:AH126),
IF(AQ126=2,SUM(Q126:R126,W126:X126,AC126:AD126,AI126:AJ126),
IF(AQ126=3,SUM(S126:T126,Y126:Z126,AE126:AF126,AK126:AL126),
SUM(IFERROR(WEEKDAY($H$2:$AL$2,2)&gt;5,)*H126:AL126))))+Таблица1[[#This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26" s="292" t="b">
        <f>IF(AR126&lt;=3,(IF((G126="5/24"),((база!$M$6*Таблица1[[#This Row],[сумма]]*Таблица1[[#This Row],[коэф]])),
IF((G126="4/24"),((база!$M$5*Таблица1[[#This Row],[сумма]]*Таблица1[[#This Row],[коэф]])),
IF((G126="3/24"),((база!$M$4*Таблица1[[#This Row],[сумма]]*Таблица1[[#This Row],[коэф]])),
IF((G126="5/16"),((база!$L$6*Таблица1[[#This Row],[сумма]]*Таблица1[[#This Row],[коэф]])),
IF((G126="4/16"),((база!$L$5*Таблица1[[#This Row],[сумма]]*Таблица1[[#This Row],[коэф]])),
IF((G126="3/16"),((база!$L$4*Таблица1[[#This Row],[сумма]]*Таблица1[[#This Row],[коэф]])),
IF((G126="4/4"),((база!$I$5*Таблица1[[#This Row],[сумма]]*Таблица1[[#This Row],[коэф]])),
IF(OR(G126="2/4",G126="3/4"),((база!$I$4*Таблица1[[#This Row],[сумма]]*Таблица1[[#This Row],[коэф]])),
IF((G126="5/8"),((база!$J$6*Таблица1[[#This Row],[сумма]]*Таблица1[[#This Row],[коэф]])),
IF((G126="4/8"),((база!$J$5*Таблица1[[#This Row],[сумма]]*Таблица1[[#This Row],[коэф]])),
IF(OR(G126="3/8",G126="2/8"),((база!$J$4*Таблица1[[#This Row],[сумма]]*Таблица1[[#This Row],[коэф]])))))))))))))),
(IF((G126="5/24"),((база!$M$6*Таблица1[[#This Row],[сумма]]*Таблица1[[#This Row],[коэф]])),
IF(OR(G126="4/24",G126="3/24"),((база!$M$5*Таблица1[[#This Row],[сумма]]*Таблица1[[#This Row],[коэф]])),
IF((G126="5/16"),((база!$L$6*Таблица1[[#This Row],[сумма]]*Таблица1[[#This Row],[коэф]])),
IF(OR(G126="4/16",G126="3/16"),((база!$L$5*Таблица1[[#This Row],[сумма]]*Таблица1[[#This Row],[коэф]])),
IF(OR(G126="2/4",G126="3/4",G126="4/4"),((база!$I$5*Таблица1[[#This Row],[сумма]]*Таблица1[[#This Row],[коэф]])),
IF((G126="5/8"),((база!$J$6*Таблица1[[#This Row],[сумма]]*Таблица1[[#This Row],[коэф]])),
IF(OR(G126="4/8",G126="3/8",G126="2/8"),((база!$J$5*Таблица1[[#This Row],[сумма]]*Таблица1[[#This Row],[коэф]])))))))))))</f>
        <v>0</v>
      </c>
      <c r="AP126" s="730" t="b">
        <f>IF(AR126&lt;=3,(IF((G126="5/24"),((база!$M$6*2*Таблица1[[#This Row],[Столбец1]]*Таблица1[[#This Row],[коэф]])),
IF((G126="4/24"),((база!$M$5*2*Таблица1[[#This Row],[Столбец1]]*Таблица1[[#This Row],[коэф]])),
IF((G126="3/24"),((база!$M$4*2*Таблица1[[#This Row],[Столбец1]]*Таблица1[[#This Row],[коэф]])),
IF((G126="5/16"),((база!$L$6*2*Таблица1[[#This Row],[Столбец1]]*Таблица1[[#This Row],[коэф]])),
IF((G126="4/16"),((база!$L$5*2*Таблица1[[#This Row],[Столбец1]]*Таблица1[[#This Row],[коэф]])),
IF((G126="3/16"),((база!$L$4*2*Таблица1[[#This Row],[Столбец1]]*Таблица1[[#This Row],[коэф]])),
IF((G126="4/4"),((база!$I$5*2*Таблица1[[#This Row],[Столбец1]]*Таблица1[[#This Row],[коэф]])),
IF(OR(G126="2/4",G126="3/4"),((база!$I$4*2*Таблица1[[#This Row],[Столбец1]]*Таблица1[[#This Row],[коэф]])),
IF((G126="5/8"),((база!$J$6*2*Таблица1[[#This Row],[Столбец1]]*Таблица1[[#This Row],[коэф]])),
IF((G126="4/8"),((база!$J$5*2*Таблица1[[#This Row],[Столбец1]]*Таблица1[[#This Row],[коэф]])),
IF(OR(G126="3/8",G126="2/8"),((база!$J$4*2*Таблица1[[#This Row],[Столбец1]]*Таблица1[[#This Row],[коэф]])))))))))))))),
(IF((G126="5/24"),((база!$M$6*2*Таблица1[[#This Row],[Столбец1]]*Таблица1[[#This Row],[коэф]])),
IF(OR(G126="4/24",G126="3/24"),((база!$M$5*2*Таблица1[[#This Row],[Столбец1]]*Таблица1[[#This Row],[коэф]])),
IF((G126="5/16"),((база!$L$6*2*Таблица1[[#This Row],[Столбец1]]*Таблица1[[#This Row],[коэф]])),
IF(OR(G126="4/16",G126="3/16"),((база!$L$5*2*Таблица1[[#This Row],[Столбец1]]*Таблица1[[#This Row],[коэф]])),
IF(OR(G126="2/4",G126="3/4",G126="4/4"),((база!$I$5*2*Таблица1[[#This Row],[Столбец1]]*Таблица1[[#This Row],[коэф]])),
IF((G126="5/8"),((база!$J$6*2*Таблица1[[#This Row],[Столбец1]]*Таблица1[[#This Row],[коэф]])),
IF(OR(G126="4/8",G126="3/8",G126="2/8"),((база!$J$5*2*Таблица1[[#This Row],[Столбец1]]*Таблица1[[#This Row],[коэф]])))))))))))</f>
        <v>0</v>
      </c>
      <c r="AQ126" s="712" t="str">
        <f>IFERROR(INDEX(база!T:T, MATCH(F126,база!Q:Q,0)),"")</f>
        <v/>
      </c>
      <c r="AR126" s="208" t="str">
        <f>IFERROR(INDEX(база!D:D, MATCH(F126,база!B:B,0)),"")</f>
        <v/>
      </c>
      <c r="AS126" s="758" t="str">
        <f>IFERROR(INDEX(база!E:E, MATCH(F126,база!B:B,0)),"")</f>
        <v/>
      </c>
    </row>
    <row r="127" spans="1:45" ht="15">
      <c r="A127" s="1128" t="str">
        <f t="shared" si="4"/>
        <v>январь</v>
      </c>
      <c r="B127" t="n" s="1128">
        <v>2024.0</v>
      </c>
      <c r="C127" t="s" s="1128">
        <v>387</v>
      </c>
      <c r="D127" t="s" s="1128">
        <v>395</v>
      </c>
      <c r="E127" t="s" s="1128">
        <v>46</v>
      </c>
      <c r="F127" t="s" s="1128">
        <v>285</v>
      </c>
      <c r="G127" t="s" s="1128">
        <v>67</v>
      </c>
      <c r="H127" s="1128"/>
      <c r="I127" s="1128"/>
      <c r="J127" s="1128"/>
      <c r="K127" s="1128"/>
      <c r="L127" s="1128"/>
      <c r="M127" s="1128"/>
      <c r="N127" s="1128"/>
      <c r="O127" s="1128"/>
      <c r="P127" s="1128"/>
      <c r="Q127" s="1128"/>
      <c r="R127" t="n" s="1128">
        <v>3.2</v>
      </c>
      <c r="S127" s="563"/>
      <c r="T127" s="563"/>
      <c r="U127" s="563"/>
      <c r="V127" s="563"/>
      <c r="W127" s="563"/>
      <c r="X127" s="563"/>
      <c r="Y127" s="563"/>
      <c r="Z127" s="563"/>
      <c r="AA127" s="563"/>
      <c r="AB127" s="563"/>
      <c r="AC127" s="563"/>
      <c r="AD127" s="48"/>
      <c r="AE127" s="48"/>
      <c r="AF127" s="48"/>
      <c r="AG127" s="48"/>
      <c r="AH127" s="48"/>
      <c r="AI127" s="48"/>
      <c r="AJ127" s="48"/>
      <c r="AK127" s="258"/>
      <c r="AL127" s="258"/>
      <c r="AM127" s="212">
        <f>IF(AQ127=1,SUM(Q127:T127,W127:Z127,AC127:AF127,AI127:AL127),
IF(AQ127=2,SUM(P127,S127:V127,Y127:AB127,AE127:AH127,AK127:AL127),
IF(AQ127=3,SUM(P127:R127,U127:X127,AA127:AD127,AG127:AJ127),SUM(Таблица1[[#This Row],[1]:[31]])-Таблица1[[#This Row],[Столбец1]])))</f>
        <v>0</v>
      </c>
      <c r="AN127" s="778">
        <f t="array" ref="AN127">IF(AQ127=1,SUM(P127,U127:V127,AA127:AB127,AG127:AH127),
IF(AQ127=2,SUM(Q127:R127,W127:X127,AC127:AD127,AI127:AJ127),
IF(AQ127=3,SUM(S127:T127,Y127:Z127,AE127:AF127,AK127:AL127),
SUM(IFERROR(WEEKDAY($H$2:$AL$2,2)&gt;5,)*H127:AL127))))+Таблица1[[#This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27" s="292" t="b">
        <f>IF(AR127&lt;=3,(IF((G127="5/24"),((база!$M$6*Таблица1[[#This Row],[сумма]]*Таблица1[[#This Row],[коэф]])),
IF((G127="4/24"),((база!$M$5*Таблица1[[#This Row],[сумма]]*Таблица1[[#This Row],[коэф]])),
IF((G127="3/24"),((база!$M$4*Таблица1[[#This Row],[сумма]]*Таблица1[[#This Row],[коэф]])),
IF((G127="5/16"),((база!$L$6*Таблица1[[#This Row],[сумма]]*Таблица1[[#This Row],[коэф]])),
IF((G127="4/16"),((база!$L$5*Таблица1[[#This Row],[сумма]]*Таблица1[[#This Row],[коэф]])),
IF((G127="3/16"),((база!$L$4*Таблица1[[#This Row],[сумма]]*Таблица1[[#This Row],[коэф]])),
IF((G127="4/4"),((база!$I$5*Таблица1[[#This Row],[сумма]]*Таблица1[[#This Row],[коэф]])),
IF(OR(G127="2/4",G127="3/4"),((база!$I$4*Таблица1[[#This Row],[сумма]]*Таблица1[[#This Row],[коэф]])),
IF((G127="5/8"),((база!$J$6*Таблица1[[#This Row],[сумма]]*Таблица1[[#This Row],[коэф]])),
IF((G127="4/8"),((база!$J$5*Таблица1[[#This Row],[сумма]]*Таблица1[[#This Row],[коэф]])),
IF(OR(G127="3/8",G127="2/8"),((база!$J$4*Таблица1[[#This Row],[сумма]]*Таблица1[[#This Row],[коэф]])))))))))))))),
(IF((G127="5/24"),((база!$M$6*Таблица1[[#This Row],[сумма]]*Таблица1[[#This Row],[коэф]])),
IF(OR(G127="4/24",G127="3/24"),((база!$M$5*Таблица1[[#This Row],[сумма]]*Таблица1[[#This Row],[коэф]])),
IF((G127="5/16"),((база!$L$6*Таблица1[[#This Row],[сумма]]*Таблица1[[#This Row],[коэф]])),
IF(OR(G127="4/16",G127="3/16"),((база!$L$5*Таблица1[[#This Row],[сумма]]*Таблица1[[#This Row],[коэф]])),
IF(OR(G127="2/4",G127="3/4",G127="4/4"),((база!$I$5*Таблица1[[#This Row],[сумма]]*Таблица1[[#This Row],[коэф]])),
IF((G127="5/8"),((база!$J$6*Таблица1[[#This Row],[сумма]]*Таблица1[[#This Row],[коэф]])),
IF(OR(G127="4/8",G127="3/8",G127="2/8"),((база!$J$5*Таблица1[[#This Row],[сумма]]*Таблица1[[#This Row],[коэф]])))))))))))</f>
        <v>0</v>
      </c>
      <c r="AP127" s="730" t="b">
        <f>IF(AR127&lt;=3,(IF((G127="5/24"),((база!$M$6*2*Таблица1[[#This Row],[Столбец1]]*Таблица1[[#This Row],[коэф]])),
IF((G127="4/24"),((база!$M$5*2*Таблица1[[#This Row],[Столбец1]]*Таблица1[[#This Row],[коэф]])),
IF((G127="3/24"),((база!$M$4*2*Таблица1[[#This Row],[Столбец1]]*Таблица1[[#This Row],[коэф]])),
IF((G127="5/16"),((база!$L$6*2*Таблица1[[#This Row],[Столбец1]]*Таблица1[[#This Row],[коэф]])),
IF((G127="4/16"),((база!$L$5*2*Таблица1[[#This Row],[Столбец1]]*Таблица1[[#This Row],[коэф]])),
IF((G127="3/16"),((база!$L$4*2*Таблица1[[#This Row],[Столбец1]]*Таблица1[[#This Row],[коэф]])),
IF((G127="4/4"),((база!$I$5*2*Таблица1[[#This Row],[Столбец1]]*Таблица1[[#This Row],[коэф]])),
IF(OR(G127="2/4",G127="3/4"),((база!$I$4*2*Таблица1[[#This Row],[Столбец1]]*Таблица1[[#This Row],[коэф]])),
IF((G127="5/8"),((база!$J$6*2*Таблица1[[#This Row],[Столбец1]]*Таблица1[[#This Row],[коэф]])),
IF((G127="4/8"),((база!$J$5*2*Таблица1[[#This Row],[Столбец1]]*Таблица1[[#This Row],[коэф]])),
IF(OR(G127="3/8",G127="2/8"),((база!$J$4*2*Таблица1[[#This Row],[Столбец1]]*Таблица1[[#This Row],[коэф]])))))))))))))),
(IF((G127="5/24"),((база!$M$6*2*Таблица1[[#This Row],[Столбец1]]*Таблица1[[#This Row],[коэф]])),
IF(OR(G127="4/24",G127="3/24"),((база!$M$5*2*Таблица1[[#This Row],[Столбец1]]*Таблица1[[#This Row],[коэф]])),
IF((G127="5/16"),((база!$L$6*2*Таблица1[[#This Row],[Столбец1]]*Таблица1[[#This Row],[коэф]])),
IF(OR(G127="4/16",G127="3/16"),((база!$L$5*2*Таблица1[[#This Row],[Столбец1]]*Таблица1[[#This Row],[коэф]])),
IF(OR(G127="2/4",G127="3/4",G127="4/4"),((база!$I$5*2*Таблица1[[#This Row],[Столбец1]]*Таблица1[[#This Row],[коэф]])),
IF((G127="5/8"),((база!$J$6*2*Таблица1[[#This Row],[Столбец1]]*Таблица1[[#This Row],[коэф]])),
IF(OR(G127="4/8",G127="3/8",G127="2/8"),((база!$J$5*2*Таблица1[[#This Row],[Столбец1]]*Таблица1[[#This Row],[коэф]])))))))))))</f>
        <v>0</v>
      </c>
      <c r="AQ127" s="712" t="str">
        <f>IFERROR(INDEX(база!T:T, MATCH(F127,база!Q:Q,0)),"")</f>
        <v/>
      </c>
      <c r="AR127" s="208" t="str">
        <f>IFERROR(INDEX(база!D:D, MATCH(F127,база!B:B,0)),"")</f>
        <v/>
      </c>
      <c r="AS127" s="758" t="str">
        <f>IFERROR(INDEX(база!E:E, MATCH(F127,база!B:B,0)),"")</f>
        <v/>
      </c>
    </row>
    <row r="128" spans="1:45" ht="15">
      <c r="A128" s="1129" t="str">
        <f t="shared" si="4"/>
        <v>январь</v>
      </c>
      <c r="B128" t="n" s="1129">
        <v>2024.0</v>
      </c>
      <c r="C128" t="s" s="1129">
        <v>388</v>
      </c>
      <c r="D128" t="s" s="1129">
        <v>380</v>
      </c>
      <c r="E128" t="s" s="1129">
        <v>46</v>
      </c>
      <c r="F128" t="s" s="1129">
        <v>332</v>
      </c>
      <c r="G128" t="s" s="1129">
        <v>6</v>
      </c>
      <c r="H128" s="1129"/>
      <c r="I128" s="1129"/>
      <c r="J128" s="1129"/>
      <c r="K128" s="1129"/>
      <c r="L128" s="1129"/>
      <c r="M128" s="1129"/>
      <c r="N128" s="1129"/>
      <c r="O128" s="1129"/>
      <c r="P128" s="1129"/>
      <c r="Q128" t="n" s="1129">
        <v>4.0</v>
      </c>
      <c r="R128" s="48"/>
      <c r="S128" s="48"/>
      <c r="T128" s="48"/>
      <c r="U128" s="48"/>
      <c r="V128" s="48"/>
      <c r="W128" s="563"/>
      <c r="X128" s="563"/>
      <c r="Y128" s="48"/>
      <c r="Z128" s="48"/>
      <c r="AA128" s="48"/>
      <c r="AB128" s="48"/>
      <c r="AC128" s="48"/>
      <c r="AD128" s="48"/>
      <c r="AE128" s="48"/>
      <c r="AF128" s="258"/>
      <c r="AG128" s="258"/>
      <c r="AH128" s="258"/>
      <c r="AI128" s="258"/>
      <c r="AJ128" s="258"/>
      <c r="AK128" s="258"/>
      <c r="AL128" s="258"/>
      <c r="AM128" s="212">
        <f>IF(AQ128=1,SUM(Q128:T128,W128:Z128,AC128:AF128,AI128:AL128),
IF(AQ128=2,SUM(P128,S128:V128,Y128:AB128,AE128:AH128,AK128:AL128),
IF(AQ128=3,SUM(P128:R128,U128:X128,AA128:AD128,AG128:AJ128),SUM(Таблица1[[#This Row],[1]:[31]])-Таблица1[[#This Row],[Столбец1]])))</f>
        <v>0</v>
      </c>
      <c r="AN128" s="778">
        <f t="array" ref="AN128">IF(AQ128=1,SUM(P128,U128:V128,AA128:AB128,AG128:AH128),
IF(AQ128=2,SUM(Q128:R128,W128:X128,AC128:AD128,AI128:AJ128),
IF(AQ128=3,SUM(S128:T128,Y128:Z128,AE128:AF128,AK128:AL128),
SUM(IFERROR(WEEKDAY($H$2:$AL$2,2)&gt;5,)*H128:AL128))))+Таблица1[[#This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28" s="292" t="b">
        <f>IF(AR128&lt;=3,(IF((G128="5/24"),((база!$M$6*Таблица1[[#This Row],[сумма]]*Таблица1[[#This Row],[коэф]])),
IF((G128="4/24"),((база!$M$5*Таблица1[[#This Row],[сумма]]*Таблица1[[#This Row],[коэф]])),
IF((G128="3/24"),((база!$M$4*Таблица1[[#This Row],[сумма]]*Таблица1[[#This Row],[коэф]])),
IF((G128="5/16"),((база!$L$6*Таблица1[[#This Row],[сумма]]*Таблица1[[#This Row],[коэф]])),
IF((G128="4/16"),((база!$L$5*Таблица1[[#This Row],[сумма]]*Таблица1[[#This Row],[коэф]])),
IF((G128="3/16"),((база!$L$4*Таблица1[[#This Row],[сумма]]*Таблица1[[#This Row],[коэф]])),
IF((G128="4/4"),((база!$I$5*Таблица1[[#This Row],[сумма]]*Таблица1[[#This Row],[коэф]])),
IF(OR(G128="2/4",G128="3/4"),((база!$I$4*Таблица1[[#This Row],[сумма]]*Таблица1[[#This Row],[коэф]])),
IF((G128="5/8"),((база!$J$6*Таблица1[[#This Row],[сумма]]*Таблица1[[#This Row],[коэф]])),
IF((G128="4/8"),((база!$J$5*Таблица1[[#This Row],[сумма]]*Таблица1[[#This Row],[коэф]])),
IF(OR(G128="3/8",G128="2/8"),((база!$J$4*Таблица1[[#This Row],[сумма]]*Таблица1[[#This Row],[коэф]])))))))))))))),
(IF((G128="5/24"),((база!$M$6*Таблица1[[#This Row],[сумма]]*Таблица1[[#This Row],[коэф]])),
IF(OR(G128="4/24",G128="3/24"),((база!$M$5*Таблица1[[#This Row],[сумма]]*Таблица1[[#This Row],[коэф]])),
IF((G128="5/16"),((база!$L$6*Таблица1[[#This Row],[сумма]]*Таблица1[[#This Row],[коэф]])),
IF(OR(G128="4/16",G128="3/16"),((база!$L$5*Таблица1[[#This Row],[сумма]]*Таблица1[[#This Row],[коэф]])),
IF(OR(G128="2/4",G128="3/4",G128="4/4"),((база!$I$5*Таблица1[[#This Row],[сумма]]*Таблица1[[#This Row],[коэф]])),
IF((G128="5/8"),((база!$J$6*Таблица1[[#This Row],[сумма]]*Таблица1[[#This Row],[коэф]])),
IF(OR(G128="4/8",G128="3/8",G128="2/8"),((база!$J$5*Таблица1[[#This Row],[сумма]]*Таблица1[[#This Row],[коэф]])))))))))))</f>
        <v>0</v>
      </c>
      <c r="AP128" s="730" t="b">
        <f>IF(AR128&lt;=3,(IF((G128="5/24"),((база!$M$6*2*Таблица1[[#This Row],[Столбец1]]*Таблица1[[#This Row],[коэф]])),
IF((G128="4/24"),((база!$M$5*2*Таблица1[[#This Row],[Столбец1]]*Таблица1[[#This Row],[коэф]])),
IF((G128="3/24"),((база!$M$4*2*Таблица1[[#This Row],[Столбец1]]*Таблица1[[#This Row],[коэф]])),
IF((G128="5/16"),((база!$L$6*2*Таблица1[[#This Row],[Столбец1]]*Таблица1[[#This Row],[коэф]])),
IF((G128="4/16"),((база!$L$5*2*Таблица1[[#This Row],[Столбец1]]*Таблица1[[#This Row],[коэф]])),
IF((G128="3/16"),((база!$L$4*2*Таблица1[[#This Row],[Столбец1]]*Таблица1[[#This Row],[коэф]])),
IF((G128="4/4"),((база!$I$5*2*Таблица1[[#This Row],[Столбец1]]*Таблица1[[#This Row],[коэф]])),
IF(OR(G128="2/4",G128="3/4"),((база!$I$4*2*Таблица1[[#This Row],[Столбец1]]*Таблица1[[#This Row],[коэф]])),
IF((G128="5/8"),((база!$J$6*2*Таблица1[[#This Row],[Столбец1]]*Таблица1[[#This Row],[коэф]])),
IF((G128="4/8"),((база!$J$5*2*Таблица1[[#This Row],[Столбец1]]*Таблица1[[#This Row],[коэф]])),
IF(OR(G128="3/8",G128="2/8"),((база!$J$4*2*Таблица1[[#This Row],[Столбец1]]*Таблица1[[#This Row],[коэф]])))))))))))))),
(IF((G128="5/24"),((база!$M$6*2*Таблица1[[#This Row],[Столбец1]]*Таблица1[[#This Row],[коэф]])),
IF(OR(G128="4/24",G128="3/24"),((база!$M$5*2*Таблица1[[#This Row],[Столбец1]]*Таблица1[[#This Row],[коэф]])),
IF((G128="5/16"),((база!$L$6*2*Таблица1[[#This Row],[Столбец1]]*Таблица1[[#This Row],[коэф]])),
IF(OR(G128="4/16",G128="3/16"),((база!$L$5*2*Таблица1[[#This Row],[Столбец1]]*Таблица1[[#This Row],[коэф]])),
IF(OR(G128="2/4",G128="3/4",G128="4/4"),((база!$I$5*2*Таблица1[[#This Row],[Столбец1]]*Таблица1[[#This Row],[коэф]])),
IF((G128="5/8"),((база!$J$6*2*Таблица1[[#This Row],[Столбец1]]*Таблица1[[#This Row],[коэф]])),
IF(OR(G128="4/8",G128="3/8",G128="2/8"),((база!$J$5*2*Таблица1[[#This Row],[Столбец1]]*Таблица1[[#This Row],[коэф]])))))))))))</f>
        <v>0</v>
      </c>
      <c r="AQ128" s="712" t="str">
        <f>IFERROR(INDEX(база!T:T, MATCH(F128,база!Q:Q,0)),"")</f>
        <v/>
      </c>
      <c r="AR128" s="208" t="str">
        <f>IFERROR(INDEX(база!D:D, MATCH(F128,база!B:B,0)),"")</f>
        <v/>
      </c>
      <c r="AS128" s="758" t="str">
        <f>IFERROR(INDEX(база!E:E, MATCH(F128,база!B:B,0)),"")</f>
        <v/>
      </c>
    </row>
    <row r="129" spans="1:45" ht="15">
      <c r="A129" s="1130" t="str">
        <f t="shared" si="4"/>
        <v>январь</v>
      </c>
      <c r="B129" t="n" s="1130">
        <v>2024.0</v>
      </c>
      <c r="C129" t="s" s="1130">
        <v>386</v>
      </c>
      <c r="D129" t="s" s="1130">
        <v>365</v>
      </c>
      <c r="E129" t="s" s="1130">
        <v>46</v>
      </c>
      <c r="F129" t="s" s="1130">
        <v>332</v>
      </c>
      <c r="G129" t="s" s="1130">
        <v>6</v>
      </c>
      <c r="H129" s="1130"/>
      <c r="I129" s="1130"/>
      <c r="J129" s="1130"/>
      <c r="K129" s="1130"/>
      <c r="L129" s="1130"/>
      <c r="M129" s="1130"/>
      <c r="N129" s="1130"/>
      <c r="O129" s="1130"/>
      <c r="P129" s="1130"/>
      <c r="Q129" t="n" s="1130">
        <v>3.2</v>
      </c>
      <c r="R129" s="563"/>
      <c r="S129" s="563"/>
      <c r="T129" s="563"/>
      <c r="U129" s="563"/>
      <c r="V129" s="563"/>
      <c r="W129" s="563"/>
      <c r="X129" s="563"/>
      <c r="Y129" s="48"/>
      <c r="Z129" s="48"/>
      <c r="AA129" s="48"/>
      <c r="AB129" s="48"/>
      <c r="AC129" s="48"/>
      <c r="AD129" s="48"/>
      <c r="AE129" s="48"/>
      <c r="AF129" s="258"/>
      <c r="AG129" s="258"/>
      <c r="AH129" s="258"/>
      <c r="AI129" s="258"/>
      <c r="AJ129" s="258"/>
      <c r="AK129" s="258"/>
      <c r="AL129" s="258"/>
      <c r="AM129" s="212">
        <f>IF(AQ129=1,SUM(Q129:T129,W129:Z129,AC129:AF129,AI129:AL129),
IF(AQ129=2,SUM(P129,S129:V129,Y129:AB129,AE129:AH129,AK129:AL129),
IF(AQ129=3,SUM(P129:R129,U129:X129,AA129:AD129,AG129:AJ129),SUM(Таблица1[[#This Row],[1]:[31]])-Таблица1[[#This Row],[Столбец1]])))</f>
        <v>0</v>
      </c>
      <c r="AN129" s="778">
        <f t="array" ref="AN129">IF(AQ129=1,SUM(P129,U129:V129,AA129:AB129,AG129:AH129),
IF(AQ129=2,SUM(Q129:R129,W129:X129,AC129:AD129,AI129:AJ129),
IF(AQ129=3,SUM(S129:T129,Y129:Z129,AE129:AF129,AK129:AL129),
SUM(IFERROR(WEEKDAY($H$2:$AL$2,2)&gt;5,)*H129:AL129))))+Таблица1[[#This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29" s="292" t="b">
        <f>IF(AR129&lt;=3,(IF((G129="5/24"),((база!$M$6*Таблица1[[#This Row],[сумма]]*Таблица1[[#This Row],[коэф]])),
IF((G129="4/24"),((база!$M$5*Таблица1[[#This Row],[сумма]]*Таблица1[[#This Row],[коэф]])),
IF((G129="3/24"),((база!$M$4*Таблица1[[#This Row],[сумма]]*Таблица1[[#This Row],[коэф]])),
IF((G129="5/16"),((база!$L$6*Таблица1[[#This Row],[сумма]]*Таблица1[[#This Row],[коэф]])),
IF((G129="4/16"),((база!$L$5*Таблица1[[#This Row],[сумма]]*Таблица1[[#This Row],[коэф]])),
IF((G129="3/16"),((база!$L$4*Таблица1[[#This Row],[сумма]]*Таблица1[[#This Row],[коэф]])),
IF((G129="4/4"),((база!$I$5*Таблица1[[#This Row],[сумма]]*Таблица1[[#This Row],[коэф]])),
IF(OR(G129="2/4",G129="3/4"),((база!$I$4*Таблица1[[#This Row],[сумма]]*Таблица1[[#This Row],[коэф]])),
IF((G129="5/8"),((база!$J$6*Таблица1[[#This Row],[сумма]]*Таблица1[[#This Row],[коэф]])),
IF((G129="4/8"),((база!$J$5*Таблица1[[#This Row],[сумма]]*Таблица1[[#This Row],[коэф]])),
IF(OR(G129="3/8",G129="2/8"),((база!$J$4*Таблица1[[#This Row],[сумма]]*Таблица1[[#This Row],[коэф]])))))))))))))),
(IF((G129="5/24"),((база!$M$6*Таблица1[[#This Row],[сумма]]*Таблица1[[#This Row],[коэф]])),
IF(OR(G129="4/24",G129="3/24"),((база!$M$5*Таблица1[[#This Row],[сумма]]*Таблица1[[#This Row],[коэф]])),
IF((G129="5/16"),((база!$L$6*Таблица1[[#This Row],[сумма]]*Таблица1[[#This Row],[коэф]])),
IF(OR(G129="4/16",G129="3/16"),((база!$L$5*Таблица1[[#This Row],[сумма]]*Таблица1[[#This Row],[коэф]])),
IF(OR(G129="2/4",G129="3/4",G129="4/4"),((база!$I$5*Таблица1[[#This Row],[сумма]]*Таблица1[[#This Row],[коэф]])),
IF((G129="5/8"),((база!$J$6*Таблица1[[#This Row],[сумма]]*Таблица1[[#This Row],[коэф]])),
IF(OR(G129="4/8",G129="3/8",G129="2/8"),((база!$J$5*Таблица1[[#This Row],[сумма]]*Таблица1[[#This Row],[коэф]])))))))))))</f>
        <v>0</v>
      </c>
      <c r="AP129" s="730" t="b">
        <f>IF(AR129&lt;=3,(IF((G129="5/24"),((база!$M$6*2*Таблица1[[#This Row],[Столбец1]]*Таблица1[[#This Row],[коэф]])),
IF((G129="4/24"),((база!$M$5*2*Таблица1[[#This Row],[Столбец1]]*Таблица1[[#This Row],[коэф]])),
IF((G129="3/24"),((база!$M$4*2*Таблица1[[#This Row],[Столбец1]]*Таблица1[[#This Row],[коэф]])),
IF((G129="5/16"),((база!$L$6*2*Таблица1[[#This Row],[Столбец1]]*Таблица1[[#This Row],[коэф]])),
IF((G129="4/16"),((база!$L$5*2*Таблица1[[#This Row],[Столбец1]]*Таблица1[[#This Row],[коэф]])),
IF((G129="3/16"),((база!$L$4*2*Таблица1[[#This Row],[Столбец1]]*Таблица1[[#This Row],[коэф]])),
IF((G129="4/4"),((база!$I$5*2*Таблица1[[#This Row],[Столбец1]]*Таблица1[[#This Row],[коэф]])),
IF(OR(G129="2/4",G129="3/4"),((база!$I$4*2*Таблица1[[#This Row],[Столбец1]]*Таблица1[[#This Row],[коэф]])),
IF((G129="5/8"),((база!$J$6*2*Таблица1[[#This Row],[Столбец1]]*Таблица1[[#This Row],[коэф]])),
IF((G129="4/8"),((база!$J$5*2*Таблица1[[#This Row],[Столбец1]]*Таблица1[[#This Row],[коэф]])),
IF(OR(G129="3/8",G129="2/8"),((база!$J$4*2*Таблица1[[#This Row],[Столбец1]]*Таблица1[[#This Row],[коэф]])))))))))))))),
(IF((G129="5/24"),((база!$M$6*2*Таблица1[[#This Row],[Столбец1]]*Таблица1[[#This Row],[коэф]])),
IF(OR(G129="4/24",G129="3/24"),((база!$M$5*2*Таблица1[[#This Row],[Столбец1]]*Таблица1[[#This Row],[коэф]])),
IF((G129="5/16"),((база!$L$6*2*Таблица1[[#This Row],[Столбец1]]*Таблица1[[#This Row],[коэф]])),
IF(OR(G129="4/16",G129="3/16"),((база!$L$5*2*Таблица1[[#This Row],[Столбец1]]*Таблица1[[#This Row],[коэф]])),
IF(OR(G129="2/4",G129="3/4",G129="4/4"),((база!$I$5*2*Таблица1[[#This Row],[Столбец1]]*Таблица1[[#This Row],[коэф]])),
IF((G129="5/8"),((база!$J$6*2*Таблица1[[#This Row],[Столбец1]]*Таблица1[[#This Row],[коэф]])),
IF(OR(G129="4/8",G129="3/8",G129="2/8"),((база!$J$5*2*Таблица1[[#This Row],[Столбец1]]*Таблица1[[#This Row],[коэф]])))))))))))</f>
        <v>0</v>
      </c>
      <c r="AQ129" s="712" t="str">
        <f>IFERROR(INDEX(база!T:T, MATCH(F129,база!Q:Q,0)),"")</f>
        <v/>
      </c>
      <c r="AR129" s="208" t="str">
        <f>IFERROR(INDEX(база!D:D, MATCH(F129,база!B:B,0)),"")</f>
        <v/>
      </c>
      <c r="AS129" s="758" t="str">
        <f>IFERROR(INDEX(база!E:E, MATCH(F129,база!B:B,0)),"")</f>
        <v/>
      </c>
    </row>
    <row r="130" spans="1:45" ht="15">
      <c r="A130" s="1131" t="str">
        <f t="shared" si="4"/>
        <v>январь</v>
      </c>
      <c r="B130" t="n" s="1131">
        <v>2024.0</v>
      </c>
      <c r="C130" t="s" s="1131">
        <v>388</v>
      </c>
      <c r="D130" t="s" s="1131">
        <v>367</v>
      </c>
      <c r="E130" t="s" s="1131">
        <v>46</v>
      </c>
      <c r="F130" t="s" s="1131">
        <v>332</v>
      </c>
      <c r="G130" t="s" s="1131">
        <v>67</v>
      </c>
      <c r="H130" s="1131"/>
      <c r="I130" s="1131"/>
      <c r="J130" s="1131"/>
      <c r="K130" s="1131"/>
      <c r="L130" s="1131"/>
      <c r="M130" s="1131"/>
      <c r="N130" s="1131"/>
      <c r="O130" s="1131"/>
      <c r="P130" s="1131"/>
      <c r="Q130" s="1131"/>
      <c r="R130" t="n" s="1131">
        <v>3.2</v>
      </c>
      <c r="S130" s="48"/>
      <c r="T130" s="48"/>
      <c r="U130" s="48"/>
      <c r="V130" s="48"/>
      <c r="W130" s="563"/>
      <c r="X130" s="563"/>
      <c r="Y130" s="563"/>
      <c r="Z130" s="563"/>
      <c r="AA130" s="563"/>
      <c r="AB130" s="563"/>
      <c r="AC130" s="563"/>
      <c r="AD130" s="48"/>
      <c r="AE130" s="48"/>
      <c r="AF130" s="48"/>
      <c r="AG130" s="48"/>
      <c r="AH130" s="48"/>
      <c r="AI130" s="48"/>
      <c r="AJ130" s="48"/>
      <c r="AK130" s="258"/>
      <c r="AL130" s="258"/>
      <c r="AM130" s="212">
        <f>IF(AQ130=1,SUM(Q130:T130,W130:Z130,AC130:AF130,AI130:AL130),
IF(AQ130=2,SUM(P130,S130:V130,Y130:AB130,AE130:AH130,AK130:AL130),
IF(AQ130=3,SUM(P130:R130,U130:X130,AA130:AD130,AG130:AJ130),SUM(Таблица1[[#This Row],[1]:[31]])-Таблица1[[#This Row],[Столбец1]])))</f>
        <v>0</v>
      </c>
      <c r="AN130" s="778">
        <f t="array" ref="AN130">IF(AQ130=1,SUM(P130,U130:V130,AA130:AB130,AG130:AH130),
IF(AQ130=2,SUM(Q130:R130,W130:X130,AC130:AD130,AI130:AJ130),
IF(AQ130=3,SUM(S130:T130,Y130:Z130,AE130:AF130,AK130:AL130),
SUM(IFERROR(WEEKDAY($H$2:$AL$2,2)&gt;5,)*H130:AL130))))+Таблица1[[#This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30" s="292" t="b">
        <f>IF(AR130&lt;=3,(IF((G130="5/24"),((база!$M$6*Таблица1[[#This Row],[сумма]]*Таблица1[[#This Row],[коэф]])),
IF((G130="4/24"),((база!$M$5*Таблица1[[#This Row],[сумма]]*Таблица1[[#This Row],[коэф]])),
IF((G130="3/24"),((база!$M$4*Таблица1[[#This Row],[сумма]]*Таблица1[[#This Row],[коэф]])),
IF((G130="5/16"),((база!$L$6*Таблица1[[#This Row],[сумма]]*Таблица1[[#This Row],[коэф]])),
IF((G130="4/16"),((база!$L$5*Таблица1[[#This Row],[сумма]]*Таблица1[[#This Row],[коэф]])),
IF((G130="3/16"),((база!$L$4*Таблица1[[#This Row],[сумма]]*Таблица1[[#This Row],[коэф]])),
IF((G130="4/4"),((база!$I$5*Таблица1[[#This Row],[сумма]]*Таблица1[[#This Row],[коэф]])),
IF(OR(G130="2/4",G130="3/4"),((база!$I$4*Таблица1[[#This Row],[сумма]]*Таблица1[[#This Row],[коэф]])),
IF((G130="5/8"),((база!$J$6*Таблица1[[#This Row],[сумма]]*Таблица1[[#This Row],[коэф]])),
IF((G130="4/8"),((база!$J$5*Таблица1[[#This Row],[сумма]]*Таблица1[[#This Row],[коэф]])),
IF(OR(G130="3/8",G130="2/8"),((база!$J$4*Таблица1[[#This Row],[сумма]]*Таблица1[[#This Row],[коэф]])))))))))))))),
(IF((G130="5/24"),((база!$M$6*Таблица1[[#This Row],[сумма]]*Таблица1[[#This Row],[коэф]])),
IF(OR(G130="4/24",G130="3/24"),((база!$M$5*Таблица1[[#This Row],[сумма]]*Таблица1[[#This Row],[коэф]])),
IF((G130="5/16"),((база!$L$6*Таблица1[[#This Row],[сумма]]*Таблица1[[#This Row],[коэф]])),
IF(OR(G130="4/16",G130="3/16"),((база!$L$5*Таблица1[[#This Row],[сумма]]*Таблица1[[#This Row],[коэф]])),
IF(OR(G130="2/4",G130="3/4",G130="4/4"),((база!$I$5*Таблица1[[#This Row],[сумма]]*Таблица1[[#This Row],[коэф]])),
IF((G130="5/8"),((база!$J$6*Таблица1[[#This Row],[сумма]]*Таблица1[[#This Row],[коэф]])),
IF(OR(G130="4/8",G130="3/8",G130="2/8"),((база!$J$5*Таблица1[[#This Row],[сумма]]*Таблица1[[#This Row],[коэф]])))))))))))</f>
        <v>0</v>
      </c>
      <c r="AP130" s="730" t="b">
        <f>IF(AR130&lt;=3,(IF((G130="5/24"),((база!$M$6*2*Таблица1[[#This Row],[Столбец1]]*Таблица1[[#This Row],[коэф]])),
IF((G130="4/24"),((база!$M$5*2*Таблица1[[#This Row],[Столбец1]]*Таблица1[[#This Row],[коэф]])),
IF((G130="3/24"),((база!$M$4*2*Таблица1[[#This Row],[Столбец1]]*Таблица1[[#This Row],[коэф]])),
IF((G130="5/16"),((база!$L$6*2*Таблица1[[#This Row],[Столбец1]]*Таблица1[[#This Row],[коэф]])),
IF((G130="4/16"),((база!$L$5*2*Таблица1[[#This Row],[Столбец1]]*Таблица1[[#This Row],[коэф]])),
IF((G130="3/16"),((база!$L$4*2*Таблица1[[#This Row],[Столбец1]]*Таблица1[[#This Row],[коэф]])),
IF((G130="4/4"),((база!$I$5*2*Таблица1[[#This Row],[Столбец1]]*Таблица1[[#This Row],[коэф]])),
IF(OR(G130="2/4",G130="3/4"),((база!$I$4*2*Таблица1[[#This Row],[Столбец1]]*Таблица1[[#This Row],[коэф]])),
IF((G130="5/8"),((база!$J$6*2*Таблица1[[#This Row],[Столбец1]]*Таблица1[[#This Row],[коэф]])),
IF((G130="4/8"),((база!$J$5*2*Таблица1[[#This Row],[Столбец1]]*Таблица1[[#This Row],[коэф]])),
IF(OR(G130="3/8",G130="2/8"),((база!$J$4*2*Таблица1[[#This Row],[Столбец1]]*Таблица1[[#This Row],[коэф]])))))))))))))),
(IF((G130="5/24"),((база!$M$6*2*Таблица1[[#This Row],[Столбец1]]*Таблица1[[#This Row],[коэф]])),
IF(OR(G130="4/24",G130="3/24"),((база!$M$5*2*Таблица1[[#This Row],[Столбец1]]*Таблица1[[#This Row],[коэф]])),
IF((G130="5/16"),((база!$L$6*2*Таблица1[[#This Row],[Столбец1]]*Таблица1[[#This Row],[коэф]])),
IF(OR(G130="4/16",G130="3/16"),((база!$L$5*2*Таблица1[[#This Row],[Столбец1]]*Таблица1[[#This Row],[коэф]])),
IF(OR(G130="2/4",G130="3/4",G130="4/4"),((база!$I$5*2*Таблица1[[#This Row],[Столбец1]]*Таблица1[[#This Row],[коэф]])),
IF((G130="5/8"),((база!$J$6*2*Таблица1[[#This Row],[Столбец1]]*Таблица1[[#This Row],[коэф]])),
IF(OR(G130="4/8",G130="3/8",G130="2/8"),((база!$J$5*2*Таблица1[[#This Row],[Столбец1]]*Таблица1[[#This Row],[коэф]])))))))))))</f>
        <v>0</v>
      </c>
      <c r="AQ130" s="712" t="str">
        <f>IFERROR(INDEX(база!T:T, MATCH(F130,база!Q:Q,0)),"")</f>
        <v/>
      </c>
      <c r="AR130" s="208" t="str">
        <f>IFERROR(INDEX(база!D:D, MATCH(F130,база!B:B,0)),"")</f>
        <v/>
      </c>
      <c r="AS130" s="758" t="str">
        <f>IFERROR(INDEX(база!E:E, MATCH(F130,база!B:B,0)),"")</f>
        <v/>
      </c>
    </row>
    <row r="131" spans="1:45" ht="15">
      <c r="A131" s="1132" t="str">
        <f t="shared" ref="A131:A133" si="5">A130</f>
        <v>январь</v>
      </c>
      <c r="B131" t="n" s="1132">
        <v>2024.0</v>
      </c>
      <c r="C131" t="s" s="1132">
        <v>388</v>
      </c>
      <c r="D131" t="s" s="1132">
        <v>368</v>
      </c>
      <c r="E131" t="s" s="1132">
        <v>46</v>
      </c>
      <c r="F131" t="s" s="1132">
        <v>361</v>
      </c>
      <c r="G131" t="s" s="1132">
        <v>6</v>
      </c>
      <c r="H131" s="1132"/>
      <c r="I131" s="1132"/>
      <c r="J131" s="1132"/>
      <c r="K131" s="1132"/>
      <c r="L131" s="1132"/>
      <c r="M131" s="1132"/>
      <c r="N131" s="1132"/>
      <c r="O131" s="1132"/>
      <c r="P131" s="1132"/>
      <c r="Q131" s="1132"/>
      <c r="R131" t="n" s="1132">
        <v>4.1</v>
      </c>
      <c r="S131" s="563"/>
      <c r="T131" s="563"/>
      <c r="U131" s="563"/>
      <c r="V131" s="563"/>
      <c r="W131" s="563"/>
      <c r="X131" s="563"/>
      <c r="Y131" s="563"/>
      <c r="Z131" s="563"/>
      <c r="AA131" s="563"/>
      <c r="AB131" s="563"/>
      <c r="AC131" s="563"/>
      <c r="AD131" s="48"/>
      <c r="AE131" s="48"/>
      <c r="AF131" s="48"/>
      <c r="AG131" s="48"/>
      <c r="AH131" s="48"/>
      <c r="AI131" s="48"/>
      <c r="AJ131" s="48"/>
      <c r="AK131" s="258"/>
      <c r="AL131" s="258"/>
      <c r="AM131" s="212">
        <f>IF(AQ131=1,SUM(Q131:T131,W131:Z131,AC131:AF131,AI131:AL131),
IF(AQ131=2,SUM(P131,S131:V131,Y131:AB131,AE131:AH131,AK131:AL131),
IF(AQ131=3,SUM(P131:R131,U131:X131,AA131:AD131,AG131:AJ131),SUM(Таблица1[[#This Row],[1]:[31]])-Таблица1[[#This Row],[Столбец1]])))</f>
        <v>0</v>
      </c>
      <c r="AN131" s="778">
        <f t="array" ref="AN131">IF(AQ131=1,SUM(P131,U131:V131,AA131:AB131,AG131:AH131),
IF(AQ131=2,SUM(Q131:R131,W131:X131,AC131:AD131,AI131:AJ131),
IF(AQ131=3,SUM(S131:T131,Y131:Z131,AE131:AF131,AK131:AL131),
SUM(IFERROR(WEEKDAY($H$2:$AL$2,2)&gt;5,)*H131:AL131))))+Таблица1[[#This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31" s="292" t="b">
        <f>IF(AR131&lt;=3,(IF((G131="5/24"),((база!$M$6*Таблица1[[#This Row],[сумма]]*Таблица1[[#This Row],[коэф]])),
IF((G131="4/24"),((база!$M$5*Таблица1[[#This Row],[сумма]]*Таблица1[[#This Row],[коэф]])),
IF((G131="3/24"),((база!$M$4*Таблица1[[#This Row],[сумма]]*Таблица1[[#This Row],[коэф]])),
IF((G131="5/16"),((база!$L$6*Таблица1[[#This Row],[сумма]]*Таблица1[[#This Row],[коэф]])),
IF((G131="4/16"),((база!$L$5*Таблица1[[#This Row],[сумма]]*Таблица1[[#This Row],[коэф]])),
IF((G131="3/16"),((база!$L$4*Таблица1[[#This Row],[сумма]]*Таблица1[[#This Row],[коэф]])),
IF((G131="4/4"),((база!$I$5*Таблица1[[#This Row],[сумма]]*Таблица1[[#This Row],[коэф]])),
IF(OR(G131="2/4",G131="3/4"),((база!$I$4*Таблица1[[#This Row],[сумма]]*Таблица1[[#This Row],[коэф]])),
IF((G131="5/8"),((база!$J$6*Таблица1[[#This Row],[сумма]]*Таблица1[[#This Row],[коэф]])),
IF((G131="4/8"),((база!$J$5*Таблица1[[#This Row],[сумма]]*Таблица1[[#This Row],[коэф]])),
IF(OR(G131="3/8",G131="2/8"),((база!$J$4*Таблица1[[#This Row],[сумма]]*Таблица1[[#This Row],[коэф]])))))))))))))),
(IF((G131="5/24"),((база!$M$6*Таблица1[[#This Row],[сумма]]*Таблица1[[#This Row],[коэф]])),
IF(OR(G131="4/24",G131="3/24"),((база!$M$5*Таблица1[[#This Row],[сумма]]*Таблица1[[#This Row],[коэф]])),
IF((G131="5/16"),((база!$L$6*Таблица1[[#This Row],[сумма]]*Таблица1[[#This Row],[коэф]])),
IF(OR(G131="4/16",G131="3/16"),((база!$L$5*Таблица1[[#This Row],[сумма]]*Таблица1[[#This Row],[коэф]])),
IF(OR(G131="2/4",G131="3/4",G131="4/4"),((база!$I$5*Таблица1[[#This Row],[сумма]]*Таблица1[[#This Row],[коэф]])),
IF((G131="5/8"),((база!$J$6*Таблица1[[#This Row],[сумма]]*Таблица1[[#This Row],[коэф]])),
IF(OR(G131="4/8",G131="3/8",G131="2/8"),((база!$J$5*Таблица1[[#This Row],[сумма]]*Таблица1[[#This Row],[коэф]])))))))))))</f>
        <v>0</v>
      </c>
      <c r="AP131" s="730" t="b">
        <f>IF(AR131&lt;=3,(IF((G131="5/24"),((база!$M$6*2*Таблица1[[#This Row],[Столбец1]]*Таблица1[[#This Row],[коэф]])),
IF((G131="4/24"),((база!$M$5*2*Таблица1[[#This Row],[Столбец1]]*Таблица1[[#This Row],[коэф]])),
IF((G131="3/24"),((база!$M$4*2*Таблица1[[#This Row],[Столбец1]]*Таблица1[[#This Row],[коэф]])),
IF((G131="5/16"),((база!$L$6*2*Таблица1[[#This Row],[Столбец1]]*Таблица1[[#This Row],[коэф]])),
IF((G131="4/16"),((база!$L$5*2*Таблица1[[#This Row],[Столбец1]]*Таблица1[[#This Row],[коэф]])),
IF((G131="3/16"),((база!$L$4*2*Таблица1[[#This Row],[Столбец1]]*Таблица1[[#This Row],[коэф]])),
IF((G131="4/4"),((база!$I$5*2*Таблица1[[#This Row],[Столбец1]]*Таблица1[[#This Row],[коэф]])),
IF(OR(G131="2/4",G131="3/4"),((база!$I$4*2*Таблица1[[#This Row],[Столбец1]]*Таблица1[[#This Row],[коэф]])),
IF((G131="5/8"),((база!$J$6*2*Таблица1[[#This Row],[Столбец1]]*Таблица1[[#This Row],[коэф]])),
IF((G131="4/8"),((база!$J$5*2*Таблица1[[#This Row],[Столбец1]]*Таблица1[[#This Row],[коэф]])),
IF(OR(G131="3/8",G131="2/8"),((база!$J$4*2*Таблица1[[#This Row],[Столбец1]]*Таблица1[[#This Row],[коэф]])))))))))))))),
(IF((G131="5/24"),((база!$M$6*2*Таблица1[[#This Row],[Столбец1]]*Таблица1[[#This Row],[коэф]])),
IF(OR(G131="4/24",G131="3/24"),((база!$M$5*2*Таблица1[[#This Row],[Столбец1]]*Таблица1[[#This Row],[коэф]])),
IF((G131="5/16"),((база!$L$6*2*Таблица1[[#This Row],[Столбец1]]*Таблица1[[#This Row],[коэф]])),
IF(OR(G131="4/16",G131="3/16"),((база!$L$5*2*Таблица1[[#This Row],[Столбец1]]*Таблица1[[#This Row],[коэф]])),
IF(OR(G131="2/4",G131="3/4",G131="4/4"),((база!$I$5*2*Таблица1[[#This Row],[Столбец1]]*Таблица1[[#This Row],[коэф]])),
IF((G131="5/8"),((база!$J$6*2*Таблица1[[#This Row],[Столбец1]]*Таблица1[[#This Row],[коэф]])),
IF(OR(G131="4/8",G131="3/8",G131="2/8"),((база!$J$5*2*Таблица1[[#This Row],[Столбец1]]*Таблица1[[#This Row],[коэф]])))))))))))</f>
        <v>0</v>
      </c>
      <c r="AQ131" s="712" t="str">
        <f>IFERROR(INDEX(база!T:T, MATCH(F131,база!Q:Q,0)),"")</f>
        <v/>
      </c>
      <c r="AR131" s="208" t="str">
        <f>IFERROR(INDEX(база!D:D, MATCH(F131,база!B:B,0)),"")</f>
        <v/>
      </c>
      <c r="AS131" s="758" t="str">
        <f>IFERROR(INDEX(база!E:E, MATCH(F131,база!B:B,0)),"")</f>
        <v/>
      </c>
    </row>
    <row r="132" spans="1:45" ht="15">
      <c r="A132" s="1133" t="str">
        <f t="shared" si="5"/>
        <v>январь</v>
      </c>
      <c r="B132" t="n" s="1133">
        <v>2024.0</v>
      </c>
      <c r="C132" t="s" s="1133">
        <v>386</v>
      </c>
      <c r="D132" t="s" s="1133">
        <v>365</v>
      </c>
      <c r="E132" t="s" s="1133">
        <v>46</v>
      </c>
      <c r="F132" t="s" s="1133">
        <v>325</v>
      </c>
      <c r="G132" t="s" s="1133">
        <v>4</v>
      </c>
      <c r="H132" s="1133"/>
      <c r="I132" s="1133"/>
      <c r="J132" s="1133"/>
      <c r="K132" s="1133"/>
      <c r="L132" s="1133"/>
      <c r="M132" s="1133"/>
      <c r="N132" s="1133"/>
      <c r="O132" s="1133"/>
      <c r="P132" s="1133"/>
      <c r="Q132" s="1133"/>
      <c r="R132" t="n" s="1133">
        <v>6.5</v>
      </c>
      <c r="S132" s="563"/>
      <c r="T132" s="48"/>
      <c r="U132" s="48"/>
      <c r="V132" s="48"/>
      <c r="W132" s="48"/>
      <c r="X132" s="563"/>
      <c r="Y132" s="563"/>
      <c r="Z132" s="48"/>
      <c r="AA132" s="48"/>
      <c r="AB132" s="48"/>
      <c r="AC132" s="48"/>
      <c r="AD132" s="48"/>
      <c r="AE132" s="48"/>
      <c r="AF132" s="48"/>
      <c r="AG132" s="48"/>
      <c r="AH132" s="48"/>
      <c r="AI132" s="48"/>
      <c r="AJ132" s="258"/>
      <c r="AK132" s="258"/>
      <c r="AL132" s="258"/>
      <c r="AM132" s="212">
        <f>IF(AQ132=1,SUM(Q132:T132,W132:Z132,AC132:AF132,AI132:AL132),
IF(AQ132=2,SUM(P132,S132:V132,Y132:AB132,AE132:AH132,AK132:AL132),
IF(AQ132=3,SUM(P132:R132,U132:X132,AA132:AD132,AG132:AJ132),SUM(Таблица1[[#This Row],[1]:[31]])-Таблица1[[#This Row],[Столбец1]])))</f>
        <v>0</v>
      </c>
      <c r="AN132" s="778">
        <f t="array" ref="AN132">IF(AQ132=1,SUM(P132,U132:V132,AA132:AB132,AG132:AH132),
IF(AQ132=2,SUM(Q132:R132,W132:X132,AC132:AD132,AI132:AJ132),
IF(AQ132=3,SUM(S132:T132,Y132:Z132,AE132:AF132,AK132:AL132),
SUM(IFERROR(WEEKDAY($H$2:$AL$2,2)&gt;5,)*H132:AL132))))+Таблица1[[#This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32" s="292" t="b">
        <f>IF(AR132&lt;=3,(IF((G132="5/24"),((база!$M$6*Таблица1[[#This Row],[сумма]]*Таблица1[[#This Row],[коэф]])),
IF((G132="4/24"),((база!$M$5*Таблица1[[#This Row],[сумма]]*Таблица1[[#This Row],[коэф]])),
IF((G132="3/24"),((база!$M$4*Таблица1[[#This Row],[сумма]]*Таблица1[[#This Row],[коэф]])),
IF((G132="5/16"),((база!$L$6*Таблица1[[#This Row],[сумма]]*Таблица1[[#This Row],[коэф]])),
IF((G132="4/16"),((база!$L$5*Таблица1[[#This Row],[сумма]]*Таблица1[[#This Row],[коэф]])),
IF((G132="3/16"),((база!$L$4*Таблица1[[#This Row],[сумма]]*Таблица1[[#This Row],[коэф]])),
IF((G132="4/4"),((база!$I$5*Таблица1[[#This Row],[сумма]]*Таблица1[[#This Row],[коэф]])),
IF(OR(G132="2/4",G132="3/4"),((база!$I$4*Таблица1[[#This Row],[сумма]]*Таблица1[[#This Row],[коэф]])),
IF((G132="5/8"),((база!$J$6*Таблица1[[#This Row],[сумма]]*Таблица1[[#This Row],[коэф]])),
IF((G132="4/8"),((база!$J$5*Таблица1[[#This Row],[сумма]]*Таблица1[[#This Row],[коэф]])),
IF(OR(G132="3/8",G132="2/8"),((база!$J$4*Таблица1[[#This Row],[сумма]]*Таблица1[[#This Row],[коэф]])))))))))))))),
(IF((G132="5/24"),((база!$M$6*Таблица1[[#This Row],[сумма]]*Таблица1[[#This Row],[коэф]])),
IF(OR(G132="4/24",G132="3/24"),((база!$M$5*Таблица1[[#This Row],[сумма]]*Таблица1[[#This Row],[коэф]])),
IF((G132="5/16"),((база!$L$6*Таблица1[[#This Row],[сумма]]*Таблица1[[#This Row],[коэф]])),
IF(OR(G132="4/16",G132="3/16"),((база!$L$5*Таблица1[[#This Row],[сумма]]*Таблица1[[#This Row],[коэф]])),
IF(OR(G132="2/4",G132="3/4",G132="4/4"),((база!$I$5*Таблица1[[#This Row],[сумма]]*Таблица1[[#This Row],[коэф]])),
IF((G132="5/8"),((база!$J$6*Таблица1[[#This Row],[сумма]]*Таблица1[[#This Row],[коэф]])),
IF(OR(G132="4/8",G132="3/8",G132="2/8"),((база!$J$5*Таблица1[[#This Row],[сумма]]*Таблица1[[#This Row],[коэф]])))))))))))</f>
        <v>0</v>
      </c>
      <c r="AP132" s="730" t="b">
        <f>IF(AR132&lt;=3,(IF((G132="5/24"),((база!$M$6*2*Таблица1[[#This Row],[Столбец1]]*Таблица1[[#This Row],[коэф]])),
IF((G132="4/24"),((база!$M$5*2*Таблица1[[#This Row],[Столбец1]]*Таблица1[[#This Row],[коэф]])),
IF((G132="3/24"),((база!$M$4*2*Таблица1[[#This Row],[Столбец1]]*Таблица1[[#This Row],[коэф]])),
IF((G132="5/16"),((база!$L$6*2*Таблица1[[#This Row],[Столбец1]]*Таблица1[[#This Row],[коэф]])),
IF((G132="4/16"),((база!$L$5*2*Таблица1[[#This Row],[Столбец1]]*Таблица1[[#This Row],[коэф]])),
IF((G132="3/16"),((база!$L$4*2*Таблица1[[#This Row],[Столбец1]]*Таблица1[[#This Row],[коэф]])),
IF((G132="4/4"),((база!$I$5*2*Таблица1[[#This Row],[Столбец1]]*Таблица1[[#This Row],[коэф]])),
IF(OR(G132="2/4",G132="3/4"),((база!$I$4*2*Таблица1[[#This Row],[Столбец1]]*Таблица1[[#This Row],[коэф]])),
IF((G132="5/8"),((база!$J$6*2*Таблица1[[#This Row],[Столбец1]]*Таблица1[[#This Row],[коэф]])),
IF((G132="4/8"),((база!$J$5*2*Таблица1[[#This Row],[Столбец1]]*Таблица1[[#This Row],[коэф]])),
IF(OR(G132="3/8",G132="2/8"),((база!$J$4*2*Таблица1[[#This Row],[Столбец1]]*Таблица1[[#This Row],[коэф]])))))))))))))),
(IF((G132="5/24"),((база!$M$6*2*Таблица1[[#This Row],[Столбец1]]*Таблица1[[#This Row],[коэф]])),
IF(OR(G132="4/24",G132="3/24"),((база!$M$5*2*Таблица1[[#This Row],[Столбец1]]*Таблица1[[#This Row],[коэф]])),
IF((G132="5/16"),((база!$L$6*2*Таблица1[[#This Row],[Столбец1]]*Таблица1[[#This Row],[коэф]])),
IF(OR(G132="4/16",G132="3/16"),((база!$L$5*2*Таблица1[[#This Row],[Столбец1]]*Таблица1[[#This Row],[коэф]])),
IF(OR(G132="2/4",G132="3/4",G132="4/4"),((база!$I$5*2*Таблица1[[#This Row],[Столбец1]]*Таблица1[[#This Row],[коэф]])),
IF((G132="5/8"),((база!$J$6*2*Таблица1[[#This Row],[Столбец1]]*Таблица1[[#This Row],[коэф]])),
IF(OR(G132="4/8",G132="3/8",G132="2/8"),((база!$J$5*2*Таблица1[[#This Row],[Столбец1]]*Таблица1[[#This Row],[коэф]])))))))))))</f>
        <v>0</v>
      </c>
      <c r="AQ132" s="712" t="str">
        <f>IFERROR(INDEX(база!T:T, MATCH(F132,база!Q:Q,0)),"")</f>
        <v/>
      </c>
      <c r="AR132" s="208" t="str">
        <f>IFERROR(INDEX(база!D:D, MATCH(F132,база!B:B,0)),"")</f>
        <v/>
      </c>
      <c r="AS132" s="758" t="str">
        <f>IFERROR(INDEX(база!E:E, MATCH(F132,база!B:B,0)),"")</f>
        <v/>
      </c>
    </row>
    <row r="133" spans="1:45" ht="15">
      <c r="A133" s="1134" t="str">
        <f t="shared" si="5"/>
        <v>январь</v>
      </c>
      <c r="B133" t="n" s="1134">
        <v>2024.0</v>
      </c>
      <c r="C133" t="s" s="1134">
        <v>386</v>
      </c>
      <c r="D133" t="s" s="1134">
        <v>365</v>
      </c>
      <c r="E133" t="s" s="1134">
        <v>46</v>
      </c>
      <c r="F133" t="s" s="1134">
        <v>280</v>
      </c>
      <c r="G133" t="s" s="1134">
        <v>4</v>
      </c>
      <c r="H133" s="1134"/>
      <c r="I133" s="1134"/>
      <c r="J133" s="1134"/>
      <c r="K133" s="1134"/>
      <c r="L133" s="1134"/>
      <c r="M133" s="1134"/>
      <c r="N133" s="1134"/>
      <c r="O133" s="1134"/>
      <c r="P133" s="1134"/>
      <c r="Q133" t="n" s="1134">
        <v>3.0</v>
      </c>
      <c r="R133" s="563"/>
      <c r="S133" t="n" s="46">
        <v>5.0</v>
      </c>
      <c r="T133" s="48"/>
      <c r="U133" t="n" s="46">
        <v>4.0</v>
      </c>
      <c r="V133" s="48"/>
      <c r="W133" s="48"/>
      <c r="X133" s="563"/>
      <c r="Y133" s="563"/>
      <c r="Z133" s="563"/>
      <c r="AA133" s="563"/>
      <c r="AB133" s="563"/>
      <c r="AC133" s="563"/>
      <c r="AD133" s="48"/>
      <c r="AE133" s="48"/>
      <c r="AF133" s="48"/>
      <c r="AG133" s="48"/>
      <c r="AH133" s="48"/>
      <c r="AI133" s="48"/>
      <c r="AJ133" s="258"/>
      <c r="AK133" s="48"/>
      <c r="AL133" s="51"/>
      <c r="AM133" s="212">
        <f>IF(AQ133=1,SUM(Q133:T133,W133:Z133,AC133:AF133,AI133:AL133),
IF(AQ133=2,SUM(P133,S133:V133,Y133:AB133,AE133:AH133,AK133:AL133),
IF(AQ133=3,SUM(P133:R133,U133:X133,AA133:AD133,AG133:AJ133),SUM(Таблица1[[#This Row],[1]:[31]])-Таблица1[[#This Row],[Столбец1]])))</f>
        <v>0</v>
      </c>
      <c r="AN133" s="778">
        <f t="array" ref="AN133">IF(AQ133=1,SUM(P133,U133:V133,AA133:AB133,AG133:AH133),
IF(AQ133=2,SUM(Q133:R133,W133:X133,AC133:AD133,AI133:AJ133),
IF(AQ133=3,SUM(S133:T133,Y133:Z133,AE133:AF133,AK133:AL133),
SUM(IFERROR(WEEKDAY($H$2:$AL$2,2)&gt;5,)*H133:AL133))))+Таблица1[[#This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33" s="292" t="b">
        <f>IF(AR133&lt;=3,(IF((G133="5/24"),((база!$M$6*Таблица1[[#This Row],[сумма]]*Таблица1[[#This Row],[коэф]])),
IF((G133="4/24"),((база!$M$5*Таблица1[[#This Row],[сумма]]*Таблица1[[#This Row],[коэф]])),
IF((G133="3/24"),((база!$M$4*Таблица1[[#This Row],[сумма]]*Таблица1[[#This Row],[коэф]])),
IF((G133="5/16"),((база!$L$6*Таблица1[[#This Row],[сумма]]*Таблица1[[#This Row],[коэф]])),
IF((G133="4/16"),((база!$L$5*Таблица1[[#This Row],[сумма]]*Таблица1[[#This Row],[коэф]])),
IF((G133="3/16"),((база!$L$4*Таблица1[[#This Row],[сумма]]*Таблица1[[#This Row],[коэф]])),
IF((G133="4/4"),((база!$I$5*Таблица1[[#This Row],[сумма]]*Таблица1[[#This Row],[коэф]])),
IF(OR(G133="2/4",G133="3/4"),((база!$I$4*Таблица1[[#This Row],[сумма]]*Таблица1[[#This Row],[коэф]])),
IF((G133="5/8"),((база!$J$6*Таблица1[[#This Row],[сумма]]*Таблица1[[#This Row],[коэф]])),
IF((G133="4/8"),((база!$J$5*Таблица1[[#This Row],[сумма]]*Таблица1[[#This Row],[коэф]])),
IF(OR(G133="3/8",G133="2/8"),((база!$J$4*Таблица1[[#This Row],[сумма]]*Таблица1[[#This Row],[коэф]])))))))))))))),
(IF((G133="5/24"),((база!$M$6*Таблица1[[#This Row],[сумма]]*Таблица1[[#This Row],[коэф]])),
IF(OR(G133="4/24",G133="3/24"),((база!$M$5*Таблица1[[#This Row],[сумма]]*Таблица1[[#This Row],[коэф]])),
IF((G133="5/16"),((база!$L$6*Таблица1[[#This Row],[сумма]]*Таблица1[[#This Row],[коэф]])),
IF(OR(G133="4/16",G133="3/16"),((база!$L$5*Таблица1[[#This Row],[сумма]]*Таблица1[[#This Row],[коэф]])),
IF(OR(G133="2/4",G133="3/4",G133="4/4"),((база!$I$5*Таблица1[[#This Row],[сумма]]*Таблица1[[#This Row],[коэф]])),
IF((G133="5/8"),((база!$J$6*Таблица1[[#This Row],[сумма]]*Таблица1[[#This Row],[коэф]])),
IF(OR(G133="4/8",G133="3/8",G133="2/8"),((база!$J$5*Таблица1[[#This Row],[сумма]]*Таблица1[[#This Row],[коэф]])))))))))))</f>
        <v>0</v>
      </c>
      <c r="AP133" s="730" t="b">
        <f>IF(AR133&lt;=3,(IF((G133="5/24"),((база!$M$6*2*Таблица1[[#This Row],[Столбец1]]*Таблица1[[#This Row],[коэф]])),
IF((G133="4/24"),((база!$M$5*2*Таблица1[[#This Row],[Столбец1]]*Таблица1[[#This Row],[коэф]])),
IF((G133="3/24"),((база!$M$4*2*Таблица1[[#This Row],[Столбец1]]*Таблица1[[#This Row],[коэф]])),
IF((G133="5/16"),((база!$L$6*2*Таблица1[[#This Row],[Столбец1]]*Таблица1[[#This Row],[коэф]])),
IF((G133="4/16"),((база!$L$5*2*Таблица1[[#This Row],[Столбец1]]*Таблица1[[#This Row],[коэф]])),
IF((G133="3/16"),((база!$L$4*2*Таблица1[[#This Row],[Столбец1]]*Таблица1[[#This Row],[коэф]])),
IF((G133="4/4"),((база!$I$5*2*Таблица1[[#This Row],[Столбец1]]*Таблица1[[#This Row],[коэф]])),
IF(OR(G133="2/4",G133="3/4"),((база!$I$4*2*Таблица1[[#This Row],[Столбец1]]*Таблица1[[#This Row],[коэф]])),
IF((G133="5/8"),((база!$J$6*2*Таблица1[[#This Row],[Столбец1]]*Таблица1[[#This Row],[коэф]])),
IF((G133="4/8"),((база!$J$5*2*Таблица1[[#This Row],[Столбец1]]*Таблица1[[#This Row],[коэф]])),
IF(OR(G133="3/8",G133="2/8"),((база!$J$4*2*Таблица1[[#This Row],[Столбец1]]*Таблица1[[#This Row],[коэф]])))))))))))))),
(IF((G133="5/24"),((база!$M$6*2*Таблица1[[#This Row],[Столбец1]]*Таблица1[[#This Row],[коэф]])),
IF(OR(G133="4/24",G133="3/24"),((база!$M$5*2*Таблица1[[#This Row],[Столбец1]]*Таблица1[[#This Row],[коэф]])),
IF((G133="5/16"),((база!$L$6*2*Таблица1[[#This Row],[Столбец1]]*Таблица1[[#This Row],[коэф]])),
IF(OR(G133="4/16",G133="3/16"),((база!$L$5*2*Таблица1[[#This Row],[Столбец1]]*Таблица1[[#This Row],[коэф]])),
IF(OR(G133="2/4",G133="3/4",G133="4/4"),((база!$I$5*2*Таблица1[[#This Row],[Столбец1]]*Таблица1[[#This Row],[коэф]])),
IF((G133="5/8"),((база!$J$6*2*Таблица1[[#This Row],[Столбец1]]*Таблица1[[#This Row],[коэф]])),
IF(OR(G133="4/8",G133="3/8",G133="2/8"),((база!$J$5*2*Таблица1[[#This Row],[Столбец1]]*Таблица1[[#This Row],[коэф]])))))))))))</f>
        <v>0</v>
      </c>
      <c r="AQ133" s="712" t="str">
        <f>IFERROR(INDEX(база!T:T, MATCH(F133,база!Q:Q,0)),"")</f>
        <v/>
      </c>
      <c r="AR133" s="208" t="str">
        <f>IFERROR(INDEX(база!D:D, MATCH(F133,база!B:B,0)),"")</f>
        <v/>
      </c>
      <c r="AS133" s="758" t="str">
        <f>IFERROR(INDEX(база!E:E, MATCH(F133,база!B:B,0)),"")</f>
        <v/>
      </c>
    </row>
    <row r="134" spans="1:45" ht="15">
      <c r="A134" s="1135" t="str">
        <f t="shared" si="4"/>
        <v>январь</v>
      </c>
      <c r="B134" t="n" s="1135">
        <v>2024.0</v>
      </c>
      <c r="C134" t="s" s="1135">
        <v>386</v>
      </c>
      <c r="D134" t="s" s="1135">
        <v>364</v>
      </c>
      <c r="E134" t="s" s="1135">
        <v>46</v>
      </c>
      <c r="F134" t="s" s="1135">
        <v>292</v>
      </c>
      <c r="G134" t="s" s="1135">
        <v>6</v>
      </c>
      <c r="H134" s="1135"/>
      <c r="I134" s="1135"/>
      <c r="J134" s="1135"/>
      <c r="K134" s="1135"/>
      <c r="L134" s="1135"/>
      <c r="M134" s="1135"/>
      <c r="N134" s="1135"/>
      <c r="O134" s="1135"/>
      <c r="P134" s="1135"/>
      <c r="Q134" s="1135"/>
      <c r="R134" t="n" s="1135">
        <v>1.6</v>
      </c>
      <c r="S134" s="563"/>
      <c r="T134" s="563"/>
      <c r="U134" s="563"/>
      <c r="V134" s="563"/>
      <c r="W134" s="563"/>
      <c r="X134" s="563"/>
      <c r="Y134" s="563"/>
      <c r="Z134" s="48"/>
      <c r="AA134" s="48"/>
      <c r="AB134" s="48"/>
      <c r="AC134" s="48"/>
      <c r="AD134" s="48"/>
      <c r="AE134" s="48"/>
      <c r="AF134" s="48"/>
      <c r="AG134" s="48"/>
      <c r="AH134" s="48"/>
      <c r="AI134" s="48"/>
      <c r="AJ134" s="258"/>
      <c r="AK134" s="258"/>
      <c r="AL134" s="258"/>
      <c r="AM134" s="212">
        <f>IF(AQ134=1,SUM(Q134:T134,W134:Z134,AC134:AF134,AI134:AL134),
IF(AQ134=2,SUM(P134,S134:V134,Y134:AB134,AE134:AH134,AK134:AL134),
IF(AQ134=3,SUM(P134:R134,U134:X134,AA134:AD134,AG134:AJ134),SUM(Таблица1[[#This Row],[1]:[31]])-Таблица1[[#This Row],[Столбец1]])))</f>
        <v>0</v>
      </c>
      <c r="AN134" s="778">
        <f t="array" ref="AN134">IF(AQ134=1,SUM(P134,U134:V134,AA134:AB134,AG134:AH134),
IF(AQ134=2,SUM(Q134:R134,W134:X134,AC134:AD134,AI134:AJ134),
IF(AQ134=3,SUM(S134:T134,Y134:Z134,AE134:AF134,AK134:AL134),
SUM(IFERROR(WEEKDAY($H$2:$AL$2,2)&gt;5,)*H134:AL134))))+Таблица1[[#This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34" s="292" t="b">
        <f>IF(AR134&lt;=3,(IF((G134="5/24"),((база!$M$6*Таблица1[[#This Row],[сумма]]*Таблица1[[#This Row],[коэф]])),
IF((G134="4/24"),((база!$M$5*Таблица1[[#This Row],[сумма]]*Таблица1[[#This Row],[коэф]])),
IF((G134="3/24"),((база!$M$4*Таблица1[[#This Row],[сумма]]*Таблица1[[#This Row],[коэф]])),
IF((G134="5/16"),((база!$L$6*Таблица1[[#This Row],[сумма]]*Таблица1[[#This Row],[коэф]])),
IF((G134="4/16"),((база!$L$5*Таблица1[[#This Row],[сумма]]*Таблица1[[#This Row],[коэф]])),
IF((G134="3/16"),((база!$L$4*Таблица1[[#This Row],[сумма]]*Таблица1[[#This Row],[коэф]])),
IF((G134="4/4"),((база!$I$5*Таблица1[[#This Row],[сумма]]*Таблица1[[#This Row],[коэф]])),
IF(OR(G134="2/4",G134="3/4"),((база!$I$4*Таблица1[[#This Row],[сумма]]*Таблица1[[#This Row],[коэф]])),
IF((G134="5/8"),((база!$J$6*Таблица1[[#This Row],[сумма]]*Таблица1[[#This Row],[коэф]])),
IF((G134="4/8"),((база!$J$5*Таблица1[[#This Row],[сумма]]*Таблица1[[#This Row],[коэф]])),
IF(OR(G134="3/8",G134="2/8"),((база!$J$4*Таблица1[[#This Row],[сумма]]*Таблица1[[#This Row],[коэф]])))))))))))))),
(IF((G134="5/24"),((база!$M$6*Таблица1[[#This Row],[сумма]]*Таблица1[[#This Row],[коэф]])),
IF(OR(G134="4/24",G134="3/24"),((база!$M$5*Таблица1[[#This Row],[сумма]]*Таблица1[[#This Row],[коэф]])),
IF((G134="5/16"),((база!$L$6*Таблица1[[#This Row],[сумма]]*Таблица1[[#This Row],[коэф]])),
IF(OR(G134="4/16",G134="3/16"),((база!$L$5*Таблица1[[#This Row],[сумма]]*Таблица1[[#This Row],[коэф]])),
IF(OR(G134="2/4",G134="3/4",G134="4/4"),((база!$I$5*Таблица1[[#This Row],[сумма]]*Таблица1[[#This Row],[коэф]])),
IF((G134="5/8"),((база!$J$6*Таблица1[[#This Row],[сумма]]*Таблица1[[#This Row],[коэф]])),
IF(OR(G134="4/8",G134="3/8",G134="2/8"),((база!$J$5*Таблица1[[#This Row],[сумма]]*Таблица1[[#This Row],[коэф]])))))))))))</f>
        <v>0</v>
      </c>
      <c r="AP134" s="730" t="b">
        <f>IF(AR134&lt;=3,(IF((G134="5/24"),((база!$M$6*2*Таблица1[[#This Row],[Столбец1]]*Таблица1[[#This Row],[коэф]])),
IF((G134="4/24"),((база!$M$5*2*Таблица1[[#This Row],[Столбец1]]*Таблица1[[#This Row],[коэф]])),
IF((G134="3/24"),((база!$M$4*2*Таблица1[[#This Row],[Столбец1]]*Таблица1[[#This Row],[коэф]])),
IF((G134="5/16"),((база!$L$6*2*Таблица1[[#This Row],[Столбец1]]*Таблица1[[#This Row],[коэф]])),
IF((G134="4/16"),((база!$L$5*2*Таблица1[[#This Row],[Столбец1]]*Таблица1[[#This Row],[коэф]])),
IF((G134="3/16"),((база!$L$4*2*Таблица1[[#This Row],[Столбец1]]*Таблица1[[#This Row],[коэф]])),
IF((G134="4/4"),((база!$I$5*2*Таблица1[[#This Row],[Столбец1]]*Таблица1[[#This Row],[коэф]])),
IF(OR(G134="2/4",G134="3/4"),((база!$I$4*2*Таблица1[[#This Row],[Столбец1]]*Таблица1[[#This Row],[коэф]])),
IF((G134="5/8"),((база!$J$6*2*Таблица1[[#This Row],[Столбец1]]*Таблица1[[#This Row],[коэф]])),
IF((G134="4/8"),((база!$J$5*2*Таблица1[[#This Row],[Столбец1]]*Таблица1[[#This Row],[коэф]])),
IF(OR(G134="3/8",G134="2/8"),((база!$J$4*2*Таблица1[[#This Row],[Столбец1]]*Таблица1[[#This Row],[коэф]])))))))))))))),
(IF((G134="5/24"),((база!$M$6*2*Таблица1[[#This Row],[Столбец1]]*Таблица1[[#This Row],[коэф]])),
IF(OR(G134="4/24",G134="3/24"),((база!$M$5*2*Таблица1[[#This Row],[Столбец1]]*Таблица1[[#This Row],[коэф]])),
IF((G134="5/16"),((база!$L$6*2*Таблица1[[#This Row],[Столбец1]]*Таблица1[[#This Row],[коэф]])),
IF(OR(G134="4/16",G134="3/16"),((база!$L$5*2*Таблица1[[#This Row],[Столбец1]]*Таблица1[[#This Row],[коэф]])),
IF(OR(G134="2/4",G134="3/4",G134="4/4"),((база!$I$5*2*Таблица1[[#This Row],[Столбец1]]*Таблица1[[#This Row],[коэф]])),
IF((G134="5/8"),((база!$J$6*2*Таблица1[[#This Row],[Столбец1]]*Таблица1[[#This Row],[коэф]])),
IF(OR(G134="4/8",G134="3/8",G134="2/8"),((база!$J$5*2*Таблица1[[#This Row],[Столбец1]]*Таблица1[[#This Row],[коэф]])))))))))))</f>
        <v>0</v>
      </c>
      <c r="AQ134" s="712" t="str">
        <f>IFERROR(INDEX(база!T:T, MATCH(F134,база!Q:Q,0)),"")</f>
        <v/>
      </c>
      <c r="AR134" s="208" t="str">
        <f>IFERROR(INDEX(база!D:D, MATCH(F134,база!B:B,0)),"")</f>
        <v/>
      </c>
      <c r="AS134" s="758" t="str">
        <f>IFERROR(INDEX(база!E:E, MATCH(F134,база!B:B,0)),"")</f>
        <v/>
      </c>
    </row>
    <row r="135" spans="1:45" ht="15">
      <c r="A135" s="1136" t="str">
        <f t="shared" si="4"/>
        <v>январь</v>
      </c>
      <c r="B135" t="n" s="1136">
        <v>2024.0</v>
      </c>
      <c r="C135" t="s" s="1136">
        <v>388</v>
      </c>
      <c r="D135" t="s" s="1136">
        <v>364</v>
      </c>
      <c r="E135" t="s" s="1136">
        <v>46</v>
      </c>
      <c r="F135" t="s" s="1136">
        <v>292</v>
      </c>
      <c r="G135" t="s" s="1136">
        <v>6</v>
      </c>
      <c r="H135" s="1136"/>
      <c r="I135" s="1136"/>
      <c r="J135" s="1136"/>
      <c r="K135" s="1136"/>
      <c r="L135" s="1136"/>
      <c r="M135" s="1136"/>
      <c r="N135" s="1136"/>
      <c r="O135" s="1136"/>
      <c r="P135" s="1136"/>
      <c r="Q135" s="1136"/>
      <c r="R135" t="n" s="1136">
        <v>2.0</v>
      </c>
      <c r="S135" s="563"/>
      <c r="T135" s="563"/>
      <c r="U135" s="563"/>
      <c r="V135" s="563"/>
      <c r="W135" s="563"/>
      <c r="X135" s="563"/>
      <c r="Y135" s="48"/>
      <c r="Z135" s="48"/>
      <c r="AA135" s="48"/>
      <c r="AB135" s="48"/>
      <c r="AC135" s="48"/>
      <c r="AD135" s="48"/>
      <c r="AE135" s="48"/>
      <c r="AF135" s="48"/>
      <c r="AG135" s="48"/>
      <c r="AH135" s="48"/>
      <c r="AI135" s="48"/>
      <c r="AJ135" s="48"/>
      <c r="AK135" s="258"/>
      <c r="AL135" s="258"/>
      <c r="AM135" s="212">
        <f>IF(AQ135=1,SUM(Q135:T135,W135:Z135,AC135:AF135,AI135:AL135),
IF(AQ135=2,SUM(P135,S135:V135,Y135:AB135,AE135:AH135,AK135:AL135),
IF(AQ135=3,SUM(P135:R135,U135:X135,AA135:AD135,AG135:AJ135),SUM(Таблица1[[#This Row],[1]:[31]])-Таблица1[[#This Row],[Столбец1]])))</f>
        <v>0</v>
      </c>
      <c r="AN135" s="778">
        <f t="array" ref="AN135">IF(AQ135=1,SUM(P135,U135:V135,AA135:AB135,AG135:AH135),
IF(AQ135=2,SUM(Q135:R135,W135:X135,AC135:AD135,AI135:AJ135),
IF(AQ135=3,SUM(S135:T135,Y135:Z135,AE135:AF135,AK135:AL135),
SUM(IFERROR(WEEKDAY($H$2:$AL$2,2)&gt;5,)*H135:AL135))))+Таблица1[[#This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35" s="292" t="b">
        <f>IF(AR135&lt;=3,(IF((G135="5/24"),((база!$M$6*Таблица1[[#This Row],[сумма]]*Таблица1[[#This Row],[коэф]])),
IF((G135="4/24"),((база!$M$5*Таблица1[[#This Row],[сумма]]*Таблица1[[#This Row],[коэф]])),
IF((G135="3/24"),((база!$M$4*Таблица1[[#This Row],[сумма]]*Таблица1[[#This Row],[коэф]])),
IF((G135="5/16"),((база!$L$6*Таблица1[[#This Row],[сумма]]*Таблица1[[#This Row],[коэф]])),
IF((G135="4/16"),((база!$L$5*Таблица1[[#This Row],[сумма]]*Таблица1[[#This Row],[коэф]])),
IF((G135="3/16"),((база!$L$4*Таблица1[[#This Row],[сумма]]*Таблица1[[#This Row],[коэф]])),
IF((G135="4/4"),((база!$I$5*Таблица1[[#This Row],[сумма]]*Таблица1[[#This Row],[коэф]])),
IF(OR(G135="2/4",G135="3/4"),((база!$I$4*Таблица1[[#This Row],[сумма]]*Таблица1[[#This Row],[коэф]])),
IF((G135="5/8"),((база!$J$6*Таблица1[[#This Row],[сумма]]*Таблица1[[#This Row],[коэф]])),
IF((G135="4/8"),((база!$J$5*Таблица1[[#This Row],[сумма]]*Таблица1[[#This Row],[коэф]])),
IF(OR(G135="3/8",G135="2/8"),((база!$J$4*Таблица1[[#This Row],[сумма]]*Таблица1[[#This Row],[коэф]])))))))))))))),
(IF((G135="5/24"),((база!$M$6*Таблица1[[#This Row],[сумма]]*Таблица1[[#This Row],[коэф]])),
IF(OR(G135="4/24",G135="3/24"),((база!$M$5*Таблица1[[#This Row],[сумма]]*Таблица1[[#This Row],[коэф]])),
IF((G135="5/16"),((база!$L$6*Таблица1[[#This Row],[сумма]]*Таблица1[[#This Row],[коэф]])),
IF(OR(G135="4/16",G135="3/16"),((база!$L$5*Таблица1[[#This Row],[сумма]]*Таблица1[[#This Row],[коэф]])),
IF(OR(G135="2/4",G135="3/4",G135="4/4"),((база!$I$5*Таблица1[[#This Row],[сумма]]*Таблица1[[#This Row],[коэф]])),
IF((G135="5/8"),((база!$J$6*Таблица1[[#This Row],[сумма]]*Таблица1[[#This Row],[коэф]])),
IF(OR(G135="4/8",G135="3/8",G135="2/8"),((база!$J$5*Таблица1[[#This Row],[сумма]]*Таблица1[[#This Row],[коэф]])))))))))))</f>
        <v>0</v>
      </c>
      <c r="AP135" s="730" t="b">
        <f>IF(AR135&lt;=3,(IF((G135="5/24"),((база!$M$6*2*Таблица1[[#This Row],[Столбец1]]*Таблица1[[#This Row],[коэф]])),
IF((G135="4/24"),((база!$M$5*2*Таблица1[[#This Row],[Столбец1]]*Таблица1[[#This Row],[коэф]])),
IF((G135="3/24"),((база!$M$4*2*Таблица1[[#This Row],[Столбец1]]*Таблица1[[#This Row],[коэф]])),
IF((G135="5/16"),((база!$L$6*2*Таблица1[[#This Row],[Столбец1]]*Таблица1[[#This Row],[коэф]])),
IF((G135="4/16"),((база!$L$5*2*Таблица1[[#This Row],[Столбец1]]*Таблица1[[#This Row],[коэф]])),
IF((G135="3/16"),((база!$L$4*2*Таблица1[[#This Row],[Столбец1]]*Таблица1[[#This Row],[коэф]])),
IF((G135="4/4"),((база!$I$5*2*Таблица1[[#This Row],[Столбец1]]*Таблица1[[#This Row],[коэф]])),
IF(OR(G135="2/4",G135="3/4"),((база!$I$4*2*Таблица1[[#This Row],[Столбец1]]*Таблица1[[#This Row],[коэф]])),
IF((G135="5/8"),((база!$J$6*2*Таблица1[[#This Row],[Столбец1]]*Таблица1[[#This Row],[коэф]])),
IF((G135="4/8"),((база!$J$5*2*Таблица1[[#This Row],[Столбец1]]*Таблица1[[#This Row],[коэф]])),
IF(OR(G135="3/8",G135="2/8"),((база!$J$4*2*Таблица1[[#This Row],[Столбец1]]*Таблица1[[#This Row],[коэф]])))))))))))))),
(IF((G135="5/24"),((база!$M$6*2*Таблица1[[#This Row],[Столбец1]]*Таблица1[[#This Row],[коэф]])),
IF(OR(G135="4/24",G135="3/24"),((база!$M$5*2*Таблица1[[#This Row],[Столбец1]]*Таблица1[[#This Row],[коэф]])),
IF((G135="5/16"),((база!$L$6*2*Таблица1[[#This Row],[Столбец1]]*Таблица1[[#This Row],[коэф]])),
IF(OR(G135="4/16",G135="3/16"),((база!$L$5*2*Таблица1[[#This Row],[Столбец1]]*Таблица1[[#This Row],[коэф]])),
IF(OR(G135="2/4",G135="3/4",G135="4/4"),((база!$I$5*2*Таблица1[[#This Row],[Столбец1]]*Таблица1[[#This Row],[коэф]])),
IF((G135="5/8"),((база!$J$6*2*Таблица1[[#This Row],[Столбец1]]*Таблица1[[#This Row],[коэф]])),
IF(OR(G135="4/8",G135="3/8",G135="2/8"),((база!$J$5*2*Таблица1[[#This Row],[Столбец1]]*Таблица1[[#This Row],[коэф]])))))))))))</f>
        <v>0</v>
      </c>
      <c r="AQ135" s="712" t="str">
        <f>IFERROR(INDEX(база!T:T, MATCH(F135,база!Q:Q,0)),"")</f>
        <v/>
      </c>
      <c r="AR135" s="208" t="str">
        <f>IFERROR(INDEX(база!D:D, MATCH(F135,база!B:B,0)),"")</f>
        <v/>
      </c>
      <c r="AS135" s="758" t="str">
        <f>IFERROR(INDEX(база!E:E, MATCH(F135,база!B:B,0)),"")</f>
        <v/>
      </c>
    </row>
    <row r="136" spans="1:45" ht="15">
      <c r="A136" s="1137" t="str">
        <f t="shared" si="4"/>
        <v>январь</v>
      </c>
      <c r="B136" t="n" s="1137">
        <v>2024.0</v>
      </c>
      <c r="C136" t="s" s="1137">
        <v>388</v>
      </c>
      <c r="D136" t="s" s="1137">
        <v>365</v>
      </c>
      <c r="E136" t="s" s="1137">
        <v>46</v>
      </c>
      <c r="F136" t="s" s="1137">
        <v>267</v>
      </c>
      <c r="G136" t="s" s="1137">
        <v>4</v>
      </c>
      <c r="H136" s="1137"/>
      <c r="I136" s="1137"/>
      <c r="J136" s="1137"/>
      <c r="K136" s="1137"/>
      <c r="L136" s="1137"/>
      <c r="M136" s="1137"/>
      <c r="N136" s="1137"/>
      <c r="O136" s="1137"/>
      <c r="P136" s="1137"/>
      <c r="Q136" s="1137"/>
      <c r="R136" t="n" s="1137">
        <v>7.2</v>
      </c>
      <c r="S136" t="n" s="46">
        <v>7.2</v>
      </c>
      <c r="T136" t="n" s="46">
        <v>6.0</v>
      </c>
      <c r="U136" s="48"/>
      <c r="V136" s="48"/>
      <c r="W136" s="563"/>
      <c r="X136" s="563"/>
      <c r="Y136" s="48"/>
      <c r="Z136" s="48"/>
      <c r="AA136" s="48"/>
      <c r="AB136" s="48"/>
      <c r="AC136" s="48"/>
      <c r="AD136" s="48"/>
      <c r="AE136" s="48"/>
      <c r="AF136" s="258"/>
      <c r="AG136" s="258"/>
      <c r="AH136" s="258"/>
      <c r="AI136" s="258"/>
      <c r="AJ136" s="258"/>
      <c r="AK136" s="258"/>
      <c r="AL136" s="258"/>
      <c r="AM136" s="212">
        <f>IF(AQ136=1,SUM(Q136:T136,W136:Z136,AC136:AF136,AI136:AL136),
IF(AQ136=2,SUM(P136,S136:V136,Y136:AB136,AE136:AH136,AK136:AL136),
IF(AQ136=3,SUM(P136:R136,U136:X136,AA136:AD136,AG136:AJ136),SUM(Таблица1[[#This Row],[1]:[31]])-Таблица1[[#This Row],[Столбец1]])))</f>
        <v>0</v>
      </c>
      <c r="AN136" s="778">
        <f t="array" ref="AN136">IF(AQ136=1,SUM(P136,U136:V136,AA136:AB136,AG136:AH136),
IF(AQ136=2,SUM(Q136:R136,W136:X136,AC136:AD136,AI136:AJ136),
IF(AQ136=3,SUM(S136:T136,Y136:Z136,AE136:AF136,AK136:AL136),
SUM(IFERROR(WEEKDAY($H$2:$AL$2,2)&gt;5,)*H136:AL136))))+Таблица1[[#This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36" s="292" t="b">
        <f>IF(AR136&lt;=3,(IF((G136="5/24"),((база!$M$6*Таблица1[[#This Row],[сумма]]*Таблица1[[#This Row],[коэф]])),
IF((G136="4/24"),((база!$M$5*Таблица1[[#This Row],[сумма]]*Таблица1[[#This Row],[коэф]])),
IF((G136="3/24"),((база!$M$4*Таблица1[[#This Row],[сумма]]*Таблица1[[#This Row],[коэф]])),
IF((G136="5/16"),((база!$L$6*Таблица1[[#This Row],[сумма]]*Таблица1[[#This Row],[коэф]])),
IF((G136="4/16"),((база!$L$5*Таблица1[[#This Row],[сумма]]*Таблица1[[#This Row],[коэф]])),
IF((G136="3/16"),((база!$L$4*Таблица1[[#This Row],[сумма]]*Таблица1[[#This Row],[коэф]])),
IF((G136="4/4"),((база!$I$5*Таблица1[[#This Row],[сумма]]*Таблица1[[#This Row],[коэф]])),
IF(OR(G136="2/4",G136="3/4"),((база!$I$4*Таблица1[[#This Row],[сумма]]*Таблица1[[#This Row],[коэф]])),
IF((G136="5/8"),((база!$J$6*Таблица1[[#This Row],[сумма]]*Таблица1[[#This Row],[коэф]])),
IF((G136="4/8"),((база!$J$5*Таблица1[[#This Row],[сумма]]*Таблица1[[#This Row],[коэф]])),
IF(OR(G136="3/8",G136="2/8"),((база!$J$4*Таблица1[[#This Row],[сумма]]*Таблица1[[#This Row],[коэф]])))))))))))))),
(IF((G136="5/24"),((база!$M$6*Таблица1[[#This Row],[сумма]]*Таблица1[[#This Row],[коэф]])),
IF(OR(G136="4/24",G136="3/24"),((база!$M$5*Таблица1[[#This Row],[сумма]]*Таблица1[[#This Row],[коэф]])),
IF((G136="5/16"),((база!$L$6*Таблица1[[#This Row],[сумма]]*Таблица1[[#This Row],[коэф]])),
IF(OR(G136="4/16",G136="3/16"),((база!$L$5*Таблица1[[#This Row],[сумма]]*Таблица1[[#This Row],[коэф]])),
IF(OR(G136="2/4",G136="3/4",G136="4/4"),((база!$I$5*Таблица1[[#This Row],[сумма]]*Таблица1[[#This Row],[коэф]])),
IF((G136="5/8"),((база!$J$6*Таблица1[[#This Row],[сумма]]*Таблица1[[#This Row],[коэф]])),
IF(OR(G136="4/8",G136="3/8",G136="2/8"),((база!$J$5*Таблица1[[#This Row],[сумма]]*Таблица1[[#This Row],[коэф]])))))))))))</f>
        <v>0</v>
      </c>
      <c r="AP136" s="730" t="b">
        <f>IF(AR136&lt;=3,(IF((G136="5/24"),((база!$M$6*2*Таблица1[[#This Row],[Столбец1]]*Таблица1[[#This Row],[коэф]])),
IF((G136="4/24"),((база!$M$5*2*Таблица1[[#This Row],[Столбец1]]*Таблица1[[#This Row],[коэф]])),
IF((G136="3/24"),((база!$M$4*2*Таблица1[[#This Row],[Столбец1]]*Таблица1[[#This Row],[коэф]])),
IF((G136="5/16"),((база!$L$6*2*Таблица1[[#This Row],[Столбец1]]*Таблица1[[#This Row],[коэф]])),
IF((G136="4/16"),((база!$L$5*2*Таблица1[[#This Row],[Столбец1]]*Таблица1[[#This Row],[коэф]])),
IF((G136="3/16"),((база!$L$4*2*Таблица1[[#This Row],[Столбец1]]*Таблица1[[#This Row],[коэф]])),
IF((G136="4/4"),((база!$I$5*2*Таблица1[[#This Row],[Столбец1]]*Таблица1[[#This Row],[коэф]])),
IF(OR(G136="2/4",G136="3/4"),((база!$I$4*2*Таблица1[[#This Row],[Столбец1]]*Таблица1[[#This Row],[коэф]])),
IF((G136="5/8"),((база!$J$6*2*Таблица1[[#This Row],[Столбец1]]*Таблица1[[#This Row],[коэф]])),
IF((G136="4/8"),((база!$J$5*2*Таблица1[[#This Row],[Столбец1]]*Таблица1[[#This Row],[коэф]])),
IF(OR(G136="3/8",G136="2/8"),((база!$J$4*2*Таблица1[[#This Row],[Столбец1]]*Таблица1[[#This Row],[коэф]])))))))))))))),
(IF((G136="5/24"),((база!$M$6*2*Таблица1[[#This Row],[Столбец1]]*Таблица1[[#This Row],[коэф]])),
IF(OR(G136="4/24",G136="3/24"),((база!$M$5*2*Таблица1[[#This Row],[Столбец1]]*Таблица1[[#This Row],[коэф]])),
IF((G136="5/16"),((база!$L$6*2*Таблица1[[#This Row],[Столбец1]]*Таблица1[[#This Row],[коэф]])),
IF(OR(G136="4/16",G136="3/16"),((база!$L$5*2*Таблица1[[#This Row],[Столбец1]]*Таблица1[[#This Row],[коэф]])),
IF(OR(G136="2/4",G136="3/4",G136="4/4"),((база!$I$5*2*Таблица1[[#This Row],[Столбец1]]*Таблица1[[#This Row],[коэф]])),
IF((G136="5/8"),((база!$J$6*2*Таблица1[[#This Row],[Столбец1]]*Таблица1[[#This Row],[коэф]])),
IF(OR(G136="4/8",G136="3/8",G136="2/8"),((база!$J$5*2*Таблица1[[#This Row],[Столбец1]]*Таблица1[[#This Row],[коэф]])))))))))))</f>
        <v>0</v>
      </c>
      <c r="AQ136" s="712" t="str">
        <f>IFERROR(INDEX(база!T:T, MATCH(F136,база!Q:Q,0)),"")</f>
        <v/>
      </c>
      <c r="AR136" s="208" t="str">
        <f>IFERROR(INDEX(база!D:D, MATCH(F136,база!B:B,0)),"")</f>
        <v/>
      </c>
      <c r="AS136" s="758" t="str">
        <f>IFERROR(INDEX(база!E:E, MATCH(F136,база!B:B,0)),"")</f>
        <v/>
      </c>
    </row>
    <row r="137" spans="1:45" ht="15">
      <c r="A137" s="1139" t="str">
        <f t="shared" si="4"/>
        <v>январь</v>
      </c>
      <c r="B137" t="n" s="1139">
        <v>2024.0</v>
      </c>
      <c r="C137" t="s" s="1139">
        <v>392</v>
      </c>
      <c r="D137" t="s" s="1139">
        <v>364</v>
      </c>
      <c r="E137" t="s" s="1139">
        <v>46</v>
      </c>
      <c r="F137" t="s" s="1139">
        <v>331</v>
      </c>
      <c r="G137" t="s" s="1139">
        <v>6</v>
      </c>
      <c r="H137" s="1139"/>
      <c r="I137" s="1139"/>
      <c r="J137" s="1139"/>
      <c r="K137" s="1139"/>
      <c r="L137" s="1139"/>
      <c r="M137" s="1139"/>
      <c r="N137" t="n" s="1139">
        <v>3.0</v>
      </c>
      <c r="O137" s="563"/>
      <c r="P137" s="300"/>
      <c r="Q137" s="300"/>
      <c r="R137" s="48"/>
      <c r="S137" s="48"/>
      <c r="T137" s="48"/>
      <c r="U137" s="48"/>
      <c r="V137" s="48"/>
      <c r="W137" s="563"/>
      <c r="X137" s="563"/>
      <c r="Y137" s="48"/>
      <c r="Z137" s="48"/>
      <c r="AA137" s="48"/>
      <c r="AB137" s="48"/>
      <c r="AC137" s="48"/>
      <c r="AD137" s="48"/>
      <c r="AE137" s="48"/>
      <c r="AF137" s="258"/>
      <c r="AG137" s="258"/>
      <c r="AH137" s="258"/>
      <c r="AI137" s="258"/>
      <c r="AJ137" s="258"/>
      <c r="AK137" s="258"/>
      <c r="AL137" s="258"/>
      <c r="AM137" s="212">
        <f>IF(AQ137=1,SUM(Q137:T137,W137:Z137,AC137:AF137,AI137:AL137),
IF(AQ137=2,SUM(P137,S137:V137,Y137:AB137,AE137:AH137,AK137:AL137),
IF(AQ137=3,SUM(P137:R137,U137:X137,AA137:AD137,AG137:AJ137),SUM(Таблица1[[#This Row],[1]:[31]])-Таблица1[[#This Row],[Столбец1]])))</f>
        <v>0</v>
      </c>
      <c r="AN137" s="778">
        <f t="array" ref="AN137">IF(AQ137=1,SUM(P137,U137:V137,AA137:AB137,AG137:AH137),
IF(AQ137=2,SUM(Q137:R137,W137:X137,AC137:AD137,AI137:AJ137),
IF(AQ137=3,SUM(S137:T137,Y137:Z137,AE137:AF137,AK137:AL137),
SUM(IFERROR(WEEKDAY($H$2:$AL$2,2)&gt;5,)*H137:AL137))))+Таблица1[[#This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37" s="292" t="b">
        <f>IF(AR137&lt;=3,(IF((G137="5/24"),((база!$M$6*Таблица1[[#This Row],[сумма]]*Таблица1[[#This Row],[коэф]])),
IF((G137="4/24"),((база!$M$5*Таблица1[[#This Row],[сумма]]*Таблица1[[#This Row],[коэф]])),
IF((G137="3/24"),((база!$M$4*Таблица1[[#This Row],[сумма]]*Таблица1[[#This Row],[коэф]])),
IF((G137="5/16"),((база!$L$6*Таблица1[[#This Row],[сумма]]*Таблица1[[#This Row],[коэф]])),
IF((G137="4/16"),((база!$L$5*Таблица1[[#This Row],[сумма]]*Таблица1[[#This Row],[коэф]])),
IF((G137="3/16"),((база!$L$4*Таблица1[[#This Row],[сумма]]*Таблица1[[#This Row],[коэф]])),
IF((G137="4/4"),((база!$I$5*Таблица1[[#This Row],[сумма]]*Таблица1[[#This Row],[коэф]])),
IF(OR(G137="2/4",G137="3/4"),((база!$I$4*Таблица1[[#This Row],[сумма]]*Таблица1[[#This Row],[коэф]])),
IF((G137="5/8"),((база!$J$6*Таблица1[[#This Row],[сумма]]*Таблица1[[#This Row],[коэф]])),
IF((G137="4/8"),((база!$J$5*Таблица1[[#This Row],[сумма]]*Таблица1[[#This Row],[коэф]])),
IF(OR(G137="3/8",G137="2/8"),((база!$J$4*Таблица1[[#This Row],[сумма]]*Таблица1[[#This Row],[коэф]])))))))))))))),
(IF((G137="5/24"),((база!$M$6*Таблица1[[#This Row],[сумма]]*Таблица1[[#This Row],[коэф]])),
IF(OR(G137="4/24",G137="3/24"),((база!$M$5*Таблица1[[#This Row],[сумма]]*Таблица1[[#This Row],[коэф]])),
IF((G137="5/16"),((база!$L$6*Таблица1[[#This Row],[сумма]]*Таблица1[[#This Row],[коэф]])),
IF(OR(G137="4/16",G137="3/16"),((база!$L$5*Таблица1[[#This Row],[сумма]]*Таблица1[[#This Row],[коэф]])),
IF(OR(G137="2/4",G137="3/4",G137="4/4"),((база!$I$5*Таблица1[[#This Row],[сумма]]*Таблица1[[#This Row],[коэф]])),
IF((G137="5/8"),((база!$J$6*Таблица1[[#This Row],[сумма]]*Таблица1[[#This Row],[коэф]])),
IF(OR(G137="4/8",G137="3/8",G137="2/8"),((база!$J$5*Таблица1[[#This Row],[сумма]]*Таблица1[[#This Row],[коэф]])))))))))))</f>
        <v>0</v>
      </c>
      <c r="AP137" s="730" t="b">
        <f>IF(AR137&lt;=3,(IF((G137="5/24"),((база!$M$6*2*Таблица1[[#This Row],[Столбец1]]*Таблица1[[#This Row],[коэф]])),
IF((G137="4/24"),((база!$M$5*2*Таблица1[[#This Row],[Столбец1]]*Таблица1[[#This Row],[коэф]])),
IF((G137="3/24"),((база!$M$4*2*Таблица1[[#This Row],[Столбец1]]*Таблица1[[#This Row],[коэф]])),
IF((G137="5/16"),((база!$L$6*2*Таблица1[[#This Row],[Столбец1]]*Таблица1[[#This Row],[коэф]])),
IF((G137="4/16"),((база!$L$5*2*Таблица1[[#This Row],[Столбец1]]*Таблица1[[#This Row],[коэф]])),
IF((G137="3/16"),((база!$L$4*2*Таблица1[[#This Row],[Столбец1]]*Таблица1[[#This Row],[коэф]])),
IF((G137="4/4"),((база!$I$5*2*Таблица1[[#This Row],[Столбец1]]*Таблица1[[#This Row],[коэф]])),
IF(OR(G137="2/4",G137="3/4"),((база!$I$4*2*Таблица1[[#This Row],[Столбец1]]*Таблица1[[#This Row],[коэф]])),
IF((G137="5/8"),((база!$J$6*2*Таблица1[[#This Row],[Столбец1]]*Таблица1[[#This Row],[коэф]])),
IF((G137="4/8"),((база!$J$5*2*Таблица1[[#This Row],[Столбец1]]*Таблица1[[#This Row],[коэф]])),
IF(OR(G137="3/8",G137="2/8"),((база!$J$4*2*Таблица1[[#This Row],[Столбец1]]*Таблица1[[#This Row],[коэф]])))))))))))))),
(IF((G137="5/24"),((база!$M$6*2*Таблица1[[#This Row],[Столбец1]]*Таблица1[[#This Row],[коэф]])),
IF(OR(G137="4/24",G137="3/24"),((база!$M$5*2*Таблица1[[#This Row],[Столбец1]]*Таблица1[[#This Row],[коэф]])),
IF((G137="5/16"),((база!$L$6*2*Таблица1[[#This Row],[Столбец1]]*Таблица1[[#This Row],[коэф]])),
IF(OR(G137="4/16",G137="3/16"),((база!$L$5*2*Таблица1[[#This Row],[Столбец1]]*Таблица1[[#This Row],[коэф]])),
IF(OR(G137="2/4",G137="3/4",G137="4/4"),((база!$I$5*2*Таблица1[[#This Row],[Столбец1]]*Таблица1[[#This Row],[коэф]])),
IF((G137="5/8"),((база!$J$6*2*Таблица1[[#This Row],[Столбец1]]*Таблица1[[#This Row],[коэф]])),
IF(OR(G137="4/8",G137="3/8",G137="2/8"),((база!$J$5*2*Таблица1[[#This Row],[Столбец1]]*Таблица1[[#This Row],[коэф]])))))))))))</f>
        <v>0</v>
      </c>
      <c r="AQ137" s="712" t="str">
        <f>IFERROR(INDEX(база!T:T, MATCH(F137,база!Q:Q,0)),"")</f>
        <v/>
      </c>
      <c r="AR137" s="208" t="str">
        <f>IFERROR(INDEX(база!D:D, MATCH(F137,база!B:B,0)),"")</f>
        <v/>
      </c>
      <c r="AS137" s="758" t="str">
        <f>IFERROR(INDEX(база!E:E, MATCH(F137,база!B:B,0)),"")</f>
        <v/>
      </c>
    </row>
    <row r="138" spans="1:45" ht="15">
      <c r="A138" s="1140" t="str">
        <f t="shared" si="4"/>
        <v>январь</v>
      </c>
      <c r="B138" t="n" s="1140">
        <v>2024.0</v>
      </c>
      <c r="C138" t="s" s="1140">
        <v>386</v>
      </c>
      <c r="D138" t="s" s="1140">
        <v>364</v>
      </c>
      <c r="E138" t="s" s="1140">
        <v>46</v>
      </c>
      <c r="F138" t="s" s="1140">
        <v>331</v>
      </c>
      <c r="G138" t="s" s="1140">
        <v>6</v>
      </c>
      <c r="H138" s="1140"/>
      <c r="I138" s="1140"/>
      <c r="J138" s="1140"/>
      <c r="K138" s="1140"/>
      <c r="L138" s="1140"/>
      <c r="M138" s="1140"/>
      <c r="N138" s="1140"/>
      <c r="O138" t="n" s="1140">
        <v>2.0</v>
      </c>
      <c r="P138" s="300"/>
      <c r="Q138" s="300"/>
      <c r="R138" s="48"/>
      <c r="S138" s="48"/>
      <c r="T138" s="48"/>
      <c r="U138" s="48"/>
      <c r="V138" s="48"/>
      <c r="W138" s="563"/>
      <c r="X138" s="563"/>
      <c r="Y138" s="48"/>
      <c r="Z138" s="48"/>
      <c r="AA138" s="48"/>
      <c r="AB138" s="48"/>
      <c r="AC138" s="48"/>
      <c r="AD138" s="48"/>
      <c r="AE138" s="48"/>
      <c r="AF138" s="258"/>
      <c r="AG138" s="258"/>
      <c r="AH138" s="258"/>
      <c r="AI138" s="258"/>
      <c r="AJ138" s="258"/>
      <c r="AK138" s="258"/>
      <c r="AL138" s="258"/>
      <c r="AM138" s="212">
        <f>IF(AQ138=1,SUM(Q138:T138,W138:Z138,AC138:AF138,AI138:AL138),
IF(AQ138=2,SUM(P138,S138:V138,Y138:AB138,AE138:AH138,AK138:AL138),
IF(AQ138=3,SUM(P138:R138,U138:X138,AA138:AD138,AG138:AJ138),SUM(Таблица1[[#This Row],[1]:[31]])-Таблица1[[#This Row],[Столбец1]])))</f>
        <v>0</v>
      </c>
      <c r="AN138" s="778">
        <f t="array" ref="AN138">IF(AQ138=1,SUM(P138,U138:V138,AA138:AB138,AG138:AH138),
IF(AQ138=2,SUM(Q138:R138,W138:X138,AC138:AD138,AI138:AJ138),
IF(AQ138=3,SUM(S138:T138,Y138:Z138,AE138:AF138,AK138:AL138),
SUM(IFERROR(WEEKDAY($H$2:$AL$2,2)&gt;5,)*H138:AL138))))+Таблица1[[#This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38" s="292" t="b">
        <f>IF(AR138&lt;=3,(IF((G138="5/24"),((база!$M$6*Таблица1[[#This Row],[сумма]]*Таблица1[[#This Row],[коэф]])),
IF((G138="4/24"),((база!$M$5*Таблица1[[#This Row],[сумма]]*Таблица1[[#This Row],[коэф]])),
IF((G138="3/24"),((база!$M$4*Таблица1[[#This Row],[сумма]]*Таблица1[[#This Row],[коэф]])),
IF((G138="5/16"),((база!$L$6*Таблица1[[#This Row],[сумма]]*Таблица1[[#This Row],[коэф]])),
IF((G138="4/16"),((база!$L$5*Таблица1[[#This Row],[сумма]]*Таблица1[[#This Row],[коэф]])),
IF((G138="3/16"),((база!$L$4*Таблица1[[#This Row],[сумма]]*Таблица1[[#This Row],[коэф]])),
IF((G138="4/4"),((база!$I$5*Таблица1[[#This Row],[сумма]]*Таблица1[[#This Row],[коэф]])),
IF(OR(G138="2/4",G138="3/4"),((база!$I$4*Таблица1[[#This Row],[сумма]]*Таблица1[[#This Row],[коэф]])),
IF((G138="5/8"),((база!$J$6*Таблица1[[#This Row],[сумма]]*Таблица1[[#This Row],[коэф]])),
IF((G138="4/8"),((база!$J$5*Таблица1[[#This Row],[сумма]]*Таблица1[[#This Row],[коэф]])),
IF(OR(G138="3/8",G138="2/8"),((база!$J$4*Таблица1[[#This Row],[сумма]]*Таблица1[[#This Row],[коэф]])))))))))))))),
(IF((G138="5/24"),((база!$M$6*Таблица1[[#This Row],[сумма]]*Таблица1[[#This Row],[коэф]])),
IF(OR(G138="4/24",G138="3/24"),((база!$M$5*Таблица1[[#This Row],[сумма]]*Таблица1[[#This Row],[коэф]])),
IF((G138="5/16"),((база!$L$6*Таблица1[[#This Row],[сумма]]*Таблица1[[#This Row],[коэф]])),
IF(OR(G138="4/16",G138="3/16"),((база!$L$5*Таблица1[[#This Row],[сумма]]*Таблица1[[#This Row],[коэф]])),
IF(OR(G138="2/4",G138="3/4",G138="4/4"),((база!$I$5*Таблица1[[#This Row],[сумма]]*Таблица1[[#This Row],[коэф]])),
IF((G138="5/8"),((база!$J$6*Таблица1[[#This Row],[сумма]]*Таблица1[[#This Row],[коэф]])),
IF(OR(G138="4/8",G138="3/8",G138="2/8"),((база!$J$5*Таблица1[[#This Row],[сумма]]*Таблица1[[#This Row],[коэф]])))))))))))</f>
        <v>0</v>
      </c>
      <c r="AP138" s="730" t="b">
        <f>IF(AR138&lt;=3,(IF((G138="5/24"),((база!$M$6*2*Таблица1[[#This Row],[Столбец1]]*Таблица1[[#This Row],[коэф]])),
IF((G138="4/24"),((база!$M$5*2*Таблица1[[#This Row],[Столбец1]]*Таблица1[[#This Row],[коэф]])),
IF((G138="3/24"),((база!$M$4*2*Таблица1[[#This Row],[Столбец1]]*Таблица1[[#This Row],[коэф]])),
IF((G138="5/16"),((база!$L$6*2*Таблица1[[#This Row],[Столбец1]]*Таблица1[[#This Row],[коэф]])),
IF((G138="4/16"),((база!$L$5*2*Таблица1[[#This Row],[Столбец1]]*Таблица1[[#This Row],[коэф]])),
IF((G138="3/16"),((база!$L$4*2*Таблица1[[#This Row],[Столбец1]]*Таблица1[[#This Row],[коэф]])),
IF((G138="4/4"),((база!$I$5*2*Таблица1[[#This Row],[Столбец1]]*Таблица1[[#This Row],[коэф]])),
IF(OR(G138="2/4",G138="3/4"),((база!$I$4*2*Таблица1[[#This Row],[Столбец1]]*Таблица1[[#This Row],[коэф]])),
IF((G138="5/8"),((база!$J$6*2*Таблица1[[#This Row],[Столбец1]]*Таблица1[[#This Row],[коэф]])),
IF((G138="4/8"),((база!$J$5*2*Таблица1[[#This Row],[Столбец1]]*Таблица1[[#This Row],[коэф]])),
IF(OR(G138="3/8",G138="2/8"),((база!$J$4*2*Таблица1[[#This Row],[Столбец1]]*Таблица1[[#This Row],[коэф]])))))))))))))),
(IF((G138="5/24"),((база!$M$6*2*Таблица1[[#This Row],[Столбец1]]*Таблица1[[#This Row],[коэф]])),
IF(OR(G138="4/24",G138="3/24"),((база!$M$5*2*Таблица1[[#This Row],[Столбец1]]*Таблица1[[#This Row],[коэф]])),
IF((G138="5/16"),((база!$L$6*2*Таблица1[[#This Row],[Столбец1]]*Таблица1[[#This Row],[коэф]])),
IF(OR(G138="4/16",G138="3/16"),((база!$L$5*2*Таблица1[[#This Row],[Столбец1]]*Таблица1[[#This Row],[коэф]])),
IF(OR(G138="2/4",G138="3/4",G138="4/4"),((база!$I$5*2*Таблица1[[#This Row],[Столбец1]]*Таблица1[[#This Row],[коэф]])),
IF((G138="5/8"),((база!$J$6*2*Таблица1[[#This Row],[Столбец1]]*Таблица1[[#This Row],[коэф]])),
IF(OR(G138="4/8",G138="3/8",G138="2/8"),((база!$J$5*2*Таблица1[[#This Row],[Столбец1]]*Таблица1[[#This Row],[коэф]])))))))))))</f>
        <v>0</v>
      </c>
      <c r="AQ138" s="712" t="str">
        <f>IFERROR(INDEX(база!T:T, MATCH(F138,база!Q:Q,0)),"")</f>
        <v/>
      </c>
      <c r="AR138" s="208" t="str">
        <f>IFERROR(INDEX(база!D:D, MATCH(F138,база!B:B,0)),"")</f>
        <v/>
      </c>
      <c r="AS138" s="758" t="str">
        <f>IFERROR(INDEX(база!E:E, MATCH(F138,база!B:B,0)),"")</f>
        <v/>
      </c>
    </row>
    <row r="139" spans="1:45" ht="15">
      <c r="A139" s="1141" t="str">
        <f t="shared" si="4"/>
        <v>январь</v>
      </c>
      <c r="B139" t="n" s="1141">
        <v>2024.0</v>
      </c>
      <c r="C139" t="s" s="1141">
        <v>387</v>
      </c>
      <c r="D139" t="s" s="1141">
        <v>395</v>
      </c>
      <c r="E139" t="s" s="1141">
        <v>46</v>
      </c>
      <c r="F139" t="s" s="1141">
        <v>281</v>
      </c>
      <c r="G139" t="s" s="1141">
        <v>4</v>
      </c>
      <c r="H139" s="1141"/>
      <c r="I139" s="1141"/>
      <c r="J139" s="1141"/>
      <c r="K139" s="1141"/>
      <c r="L139" s="1141"/>
      <c r="M139" s="1141"/>
      <c r="N139" s="1141"/>
      <c r="O139" s="1141"/>
      <c r="P139" t="n" s="1141">
        <v>3.2</v>
      </c>
      <c r="Q139" t="n" s="46">
        <v>3.2</v>
      </c>
      <c r="R139" s="48"/>
      <c r="S139" s="48"/>
      <c r="T139" s="48"/>
      <c r="U139" s="48"/>
      <c r="V139" s="563"/>
      <c r="W139" s="563"/>
      <c r="X139" s="48"/>
      <c r="Y139" s="48"/>
      <c r="Z139" s="48"/>
      <c r="AA139" s="48"/>
      <c r="AB139" s="563"/>
      <c r="AC139" s="563"/>
      <c r="AD139" s="48"/>
      <c r="AE139" s="48"/>
      <c r="AF139" s="258"/>
      <c r="AG139" s="258"/>
      <c r="AH139" s="258"/>
      <c r="AI139" s="258"/>
      <c r="AJ139" s="258"/>
      <c r="AK139" s="258"/>
      <c r="AL139" s="258"/>
      <c r="AM139" s="212">
        <f>IF(AQ139=1,SUM(Q139:T139,W139:Z139,AC139:AF139,AI139:AL139),
IF(AQ139=2,SUM(P139,S139:V139,Y139:AB139,AE139:AH139,AK139:AL139),
IF(AQ139=3,SUM(P139:R139,U139:X139,AA139:AD139,AG139:AJ139),SUM(Таблица1[[#This Row],[1]:[31]])-Таблица1[[#This Row],[Столбец1]])))</f>
        <v>0</v>
      </c>
      <c r="AN139" s="778">
        <f t="array" ref="AN139">IF(AQ139=1,SUM(P139,U139:V139,AA139:AB139,AG139:AH139),
IF(AQ139=2,SUM(Q139:R139,W139:X139,AC139:AD139,AI139:AJ139),
IF(AQ139=3,SUM(S139:T139,Y139:Z139,AE139:AF139,AK139:AL139),
SUM(IFERROR(WEEKDAY($H$2:$AL$2,2)&gt;5,)*H139:AL139))))+Таблица1[[#This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39" s="292" t="b">
        <f>IF(AR139&lt;=3,(IF((G139="5/24"),((база!$M$6*Таблица1[[#This Row],[сумма]]*Таблица1[[#This Row],[коэф]])),
IF((G139="4/24"),((база!$M$5*Таблица1[[#This Row],[сумма]]*Таблица1[[#This Row],[коэф]])),
IF((G139="3/24"),((база!$M$4*Таблица1[[#This Row],[сумма]]*Таблица1[[#This Row],[коэф]])),
IF((G139="5/16"),((база!$L$6*Таблица1[[#This Row],[сумма]]*Таблица1[[#This Row],[коэф]])),
IF((G139="4/16"),((база!$L$5*Таблица1[[#This Row],[сумма]]*Таблица1[[#This Row],[коэф]])),
IF((G139="3/16"),((база!$L$4*Таблица1[[#This Row],[сумма]]*Таблица1[[#This Row],[коэф]])),
IF((G139="4/4"),((база!$I$5*Таблица1[[#This Row],[сумма]]*Таблица1[[#This Row],[коэф]])),
IF(OR(G139="2/4",G139="3/4"),((база!$I$4*Таблица1[[#This Row],[сумма]]*Таблица1[[#This Row],[коэф]])),
IF((G139="5/8"),((база!$J$6*Таблица1[[#This Row],[сумма]]*Таблица1[[#This Row],[коэф]])),
IF((G139="4/8"),((база!$J$5*Таблица1[[#This Row],[сумма]]*Таблица1[[#This Row],[коэф]])),
IF(OR(G139="3/8",G139="2/8"),((база!$J$4*Таблица1[[#This Row],[сумма]]*Таблица1[[#This Row],[коэф]])))))))))))))),
(IF((G139="5/24"),((база!$M$6*Таблица1[[#This Row],[сумма]]*Таблица1[[#This Row],[коэф]])),
IF(OR(G139="4/24",G139="3/24"),((база!$M$5*Таблица1[[#This Row],[сумма]]*Таблица1[[#This Row],[коэф]])),
IF((G139="5/16"),((база!$L$6*Таблица1[[#This Row],[сумма]]*Таблица1[[#This Row],[коэф]])),
IF(OR(G139="4/16",G139="3/16"),((база!$L$5*Таблица1[[#This Row],[сумма]]*Таблица1[[#This Row],[коэф]])),
IF(OR(G139="2/4",G139="3/4",G139="4/4"),((база!$I$5*Таблица1[[#This Row],[сумма]]*Таблица1[[#This Row],[коэф]])),
IF((G139="5/8"),((база!$J$6*Таблица1[[#This Row],[сумма]]*Таблица1[[#This Row],[коэф]])),
IF(OR(G139="4/8",G139="3/8",G139="2/8"),((база!$J$5*Таблица1[[#This Row],[сумма]]*Таблица1[[#This Row],[коэф]])))))))))))</f>
        <v>0</v>
      </c>
      <c r="AP139" s="730" t="b">
        <f>IF(AR139&lt;=3,(IF((G139="5/24"),((база!$M$6*2*Таблица1[[#This Row],[Столбец1]]*Таблица1[[#This Row],[коэф]])),
IF((G139="4/24"),((база!$M$5*2*Таблица1[[#This Row],[Столбец1]]*Таблица1[[#This Row],[коэф]])),
IF((G139="3/24"),((база!$M$4*2*Таблица1[[#This Row],[Столбец1]]*Таблица1[[#This Row],[коэф]])),
IF((G139="5/16"),((база!$L$6*2*Таблица1[[#This Row],[Столбец1]]*Таблица1[[#This Row],[коэф]])),
IF((G139="4/16"),((база!$L$5*2*Таблица1[[#This Row],[Столбец1]]*Таблица1[[#This Row],[коэф]])),
IF((G139="3/16"),((база!$L$4*2*Таблица1[[#This Row],[Столбец1]]*Таблица1[[#This Row],[коэф]])),
IF((G139="4/4"),((база!$I$5*2*Таблица1[[#This Row],[Столбец1]]*Таблица1[[#This Row],[коэф]])),
IF(OR(G139="2/4",G139="3/4"),((база!$I$4*2*Таблица1[[#This Row],[Столбец1]]*Таблица1[[#This Row],[коэф]])),
IF((G139="5/8"),((база!$J$6*2*Таблица1[[#This Row],[Столбец1]]*Таблица1[[#This Row],[коэф]])),
IF((G139="4/8"),((база!$J$5*2*Таблица1[[#This Row],[Столбец1]]*Таблица1[[#This Row],[коэф]])),
IF(OR(G139="3/8",G139="2/8"),((база!$J$4*2*Таблица1[[#This Row],[Столбец1]]*Таблица1[[#This Row],[коэф]])))))))))))))),
(IF((G139="5/24"),((база!$M$6*2*Таблица1[[#This Row],[Столбец1]]*Таблица1[[#This Row],[коэф]])),
IF(OR(G139="4/24",G139="3/24"),((база!$M$5*2*Таблица1[[#This Row],[Столбец1]]*Таблица1[[#This Row],[коэф]])),
IF((G139="5/16"),((база!$L$6*2*Таблица1[[#This Row],[Столбец1]]*Таблица1[[#This Row],[коэф]])),
IF(OR(G139="4/16",G139="3/16"),((база!$L$5*2*Таблица1[[#This Row],[Столбец1]]*Таблица1[[#This Row],[коэф]])),
IF(OR(G139="2/4",G139="3/4",G139="4/4"),((база!$I$5*2*Таблица1[[#This Row],[Столбец1]]*Таблица1[[#This Row],[коэф]])),
IF((G139="5/8"),((база!$J$6*2*Таблица1[[#This Row],[Столбец1]]*Таблица1[[#This Row],[коэф]])),
IF(OR(G139="4/8",G139="3/8",G139="2/8"),((база!$J$5*2*Таблица1[[#This Row],[Столбец1]]*Таблица1[[#This Row],[коэф]])))))))))))</f>
        <v>0</v>
      </c>
      <c r="AQ139" s="712" t="str">
        <f>IFERROR(INDEX(база!T:T, MATCH(F139,база!Q:Q,0)),"")</f>
        <v/>
      </c>
      <c r="AR139" s="208" t="str">
        <f>IFERROR(INDEX(база!D:D, MATCH(F139,база!B:B,0)),"")</f>
        <v/>
      </c>
      <c r="AS139" s="758" t="str">
        <f>IFERROR(INDEX(база!E:E, MATCH(F139,база!B:B,0)),"")</f>
        <v/>
      </c>
    </row>
    <row r="140" spans="1:45" ht="15">
      <c r="A140" s="1142" t="str">
        <f t="shared" si="4"/>
        <v>январь</v>
      </c>
      <c r="B140" t="n" s="1142">
        <v>2024.0</v>
      </c>
      <c r="C140" t="s" s="1142">
        <v>388</v>
      </c>
      <c r="D140" t="s" s="1142">
        <v>364</v>
      </c>
      <c r="E140" t="s" s="1142">
        <v>46</v>
      </c>
      <c r="F140" t="s" s="1142">
        <v>274</v>
      </c>
      <c r="G140" t="s" s="1142">
        <v>4</v>
      </c>
      <c r="H140" s="1142"/>
      <c r="I140" s="1142"/>
      <c r="J140" s="1142"/>
      <c r="K140" s="1142"/>
      <c r="L140" s="1142"/>
      <c r="M140" s="1142"/>
      <c r="N140" s="1142"/>
      <c r="O140" s="1142"/>
      <c r="P140" s="1142"/>
      <c r="Q140" t="n" s="1142">
        <v>7.2</v>
      </c>
      <c r="R140" s="48"/>
      <c r="S140" s="48"/>
      <c r="T140" s="48"/>
      <c r="U140" s="48"/>
      <c r="V140" s="563"/>
      <c r="W140" s="563"/>
      <c r="X140" s="48"/>
      <c r="Y140" s="48"/>
      <c r="Z140" s="48"/>
      <c r="AA140" s="48"/>
      <c r="AB140" s="563"/>
      <c r="AC140" s="563"/>
      <c r="AD140" s="48"/>
      <c r="AE140" s="48"/>
      <c r="AF140" s="258"/>
      <c r="AG140" s="258"/>
      <c r="AH140" s="258"/>
      <c r="AI140" s="258"/>
      <c r="AJ140" s="258"/>
      <c r="AK140" s="258"/>
      <c r="AL140" s="258"/>
      <c r="AM140" s="212">
        <f>IF(AQ140=1,SUM(Q140:T140,W140:Z140,AC140:AF140,AI140:AL140),
IF(AQ140=2,SUM(P140,S140:V140,Y140:AB140,AE140:AH140,AK140:AL140),
IF(AQ140=3,SUM(P140:R140,U140:X140,AA140:AD140,AG140:AJ140),SUM(Таблица1[[#This Row],[1]:[31]])-Таблица1[[#This Row],[Столбец1]])))</f>
        <v>0</v>
      </c>
      <c r="AN140" s="778">
        <f t="array" ref="AN140">IF(AQ140=1,SUM(P140,U140:V140,AA140:AB140,AG140:AH140),
IF(AQ140=2,SUM(Q140:R140,W140:X140,AC140:AD140,AI140:AJ140),
IF(AQ140=3,SUM(S140:T140,Y140:Z140,AE140:AF140,AK140:AL140),
SUM(IFERROR(WEEKDAY($H$2:$AL$2,2)&gt;5,)*H140:AL140))))+Таблица1[[#This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40" s="292" t="b">
        <f>IF(AR140&lt;=3,(IF((G140="5/24"),((база!$M$6*Таблица1[[#This Row],[сумма]]*Таблица1[[#This Row],[коэф]])),
IF((G140="4/24"),((база!$M$5*Таблица1[[#This Row],[сумма]]*Таблица1[[#This Row],[коэф]])),
IF((G140="3/24"),((база!$M$4*Таблица1[[#This Row],[сумма]]*Таблица1[[#This Row],[коэф]])),
IF((G140="5/16"),((база!$L$6*Таблица1[[#This Row],[сумма]]*Таблица1[[#This Row],[коэф]])),
IF((G140="4/16"),((база!$L$5*Таблица1[[#This Row],[сумма]]*Таблица1[[#This Row],[коэф]])),
IF((G140="3/16"),((база!$L$4*Таблица1[[#This Row],[сумма]]*Таблица1[[#This Row],[коэф]])),
IF((G140="4/4"),((база!$I$5*Таблица1[[#This Row],[сумма]]*Таблица1[[#This Row],[коэф]])),
IF(OR(G140="2/4",G140="3/4"),((база!$I$4*Таблица1[[#This Row],[сумма]]*Таблица1[[#This Row],[коэф]])),
IF((G140="5/8"),((база!$J$6*Таблица1[[#This Row],[сумма]]*Таблица1[[#This Row],[коэф]])),
IF((G140="4/8"),((база!$J$5*Таблица1[[#This Row],[сумма]]*Таблица1[[#This Row],[коэф]])),
IF(OR(G140="3/8",G140="2/8"),((база!$J$4*Таблица1[[#This Row],[сумма]]*Таблица1[[#This Row],[коэф]])))))))))))))),
(IF((G140="5/24"),((база!$M$6*Таблица1[[#This Row],[сумма]]*Таблица1[[#This Row],[коэф]])),
IF(OR(G140="4/24",G140="3/24"),((база!$M$5*Таблица1[[#This Row],[сумма]]*Таблица1[[#This Row],[коэф]])),
IF((G140="5/16"),((база!$L$6*Таблица1[[#This Row],[сумма]]*Таблица1[[#This Row],[коэф]])),
IF(OR(G140="4/16",G140="3/16"),((база!$L$5*Таблица1[[#This Row],[сумма]]*Таблица1[[#This Row],[коэф]])),
IF(OR(G140="2/4",G140="3/4",G140="4/4"),((база!$I$5*Таблица1[[#This Row],[сумма]]*Таблица1[[#This Row],[коэф]])),
IF((G140="5/8"),((база!$J$6*Таблица1[[#This Row],[сумма]]*Таблица1[[#This Row],[коэф]])),
IF(OR(G140="4/8",G140="3/8",G140="2/8"),((база!$J$5*Таблица1[[#This Row],[сумма]]*Таблица1[[#This Row],[коэф]])))))))))))</f>
        <v>0</v>
      </c>
      <c r="AP140" s="730" t="b">
        <f>IF(AR140&lt;=3,(IF((G140="5/24"),((база!$M$6*2*Таблица1[[#This Row],[Столбец1]]*Таблица1[[#This Row],[коэф]])),
IF((G140="4/24"),((база!$M$5*2*Таблица1[[#This Row],[Столбец1]]*Таблица1[[#This Row],[коэф]])),
IF((G140="3/24"),((база!$M$4*2*Таблица1[[#This Row],[Столбец1]]*Таблица1[[#This Row],[коэф]])),
IF((G140="5/16"),((база!$L$6*2*Таблица1[[#This Row],[Столбец1]]*Таблица1[[#This Row],[коэф]])),
IF((G140="4/16"),((база!$L$5*2*Таблица1[[#This Row],[Столбец1]]*Таблица1[[#This Row],[коэф]])),
IF((G140="3/16"),((база!$L$4*2*Таблица1[[#This Row],[Столбец1]]*Таблица1[[#This Row],[коэф]])),
IF((G140="4/4"),((база!$I$5*2*Таблица1[[#This Row],[Столбец1]]*Таблица1[[#This Row],[коэф]])),
IF(OR(G140="2/4",G140="3/4"),((база!$I$4*2*Таблица1[[#This Row],[Столбец1]]*Таблица1[[#This Row],[коэф]])),
IF((G140="5/8"),((база!$J$6*2*Таблица1[[#This Row],[Столбец1]]*Таблица1[[#This Row],[коэф]])),
IF((G140="4/8"),((база!$J$5*2*Таблица1[[#This Row],[Столбец1]]*Таблица1[[#This Row],[коэф]])),
IF(OR(G140="3/8",G140="2/8"),((база!$J$4*2*Таблица1[[#This Row],[Столбец1]]*Таблица1[[#This Row],[коэф]])))))))))))))),
(IF((G140="5/24"),((база!$M$6*2*Таблица1[[#This Row],[Столбец1]]*Таблица1[[#This Row],[коэф]])),
IF(OR(G140="4/24",G140="3/24"),((база!$M$5*2*Таблица1[[#This Row],[Столбец1]]*Таблица1[[#This Row],[коэф]])),
IF((G140="5/16"),((база!$L$6*2*Таблица1[[#This Row],[Столбец1]]*Таблица1[[#This Row],[коэф]])),
IF(OR(G140="4/16",G140="3/16"),((база!$L$5*2*Таблица1[[#This Row],[Столбец1]]*Таблица1[[#This Row],[коэф]])),
IF(OR(G140="2/4",G140="3/4",G140="4/4"),((база!$I$5*2*Таблица1[[#This Row],[Столбец1]]*Таблица1[[#This Row],[коэф]])),
IF((G140="5/8"),((база!$J$6*2*Таблица1[[#This Row],[Столбец1]]*Таблица1[[#This Row],[коэф]])),
IF(OR(G140="4/8",G140="3/8",G140="2/8"),((база!$J$5*2*Таблица1[[#This Row],[Столбец1]]*Таблица1[[#This Row],[коэф]])))))))))))</f>
        <v>0</v>
      </c>
      <c r="AQ140" s="712" t="str">
        <f>IFERROR(INDEX(база!T:T, MATCH(F140,база!Q:Q,0)),"")</f>
        <v/>
      </c>
      <c r="AR140" s="208" t="str">
        <f>IFERROR(INDEX(база!D:D, MATCH(F140,база!B:B,0)),"")</f>
        <v/>
      </c>
      <c r="AS140" s="758" t="str">
        <f>IFERROR(INDEX(база!E:E, MATCH(F140,база!B:B,0)),"")</f>
        <v/>
      </c>
    </row>
    <row r="141" spans="1:45" ht="15">
      <c r="A141" s="1146" t="str">
        <f t="shared" si="4"/>
        <v>январь</v>
      </c>
      <c r="B141" t="n" s="1146">
        <v>2024.0</v>
      </c>
      <c r="C141" t="s" s="1146">
        <v>386</v>
      </c>
      <c r="D141" t="s" s="1146">
        <v>365</v>
      </c>
      <c r="E141" t="s" s="1146">
        <v>46</v>
      </c>
      <c r="F141" t="s" s="1146">
        <v>281</v>
      </c>
      <c r="G141" t="s" s="1146">
        <v>4</v>
      </c>
      <c r="H141" s="1146"/>
      <c r="I141" s="1146"/>
      <c r="J141" s="1146"/>
      <c r="K141" s="1146"/>
      <c r="L141" s="1146"/>
      <c r="M141" s="1146"/>
      <c r="N141" s="1146"/>
      <c r="O141" s="1146"/>
      <c r="P141" s="1146"/>
      <c r="Q141" s="1146"/>
      <c r="R141" t="n" s="1146">
        <v>5.7</v>
      </c>
      <c r="S141" t="n" s="46">
        <v>6.7</v>
      </c>
      <c r="T141" s="48"/>
      <c r="U141" s="48"/>
      <c r="V141" s="563"/>
      <c r="W141" s="563"/>
      <c r="X141" s="48"/>
      <c r="Y141" s="48"/>
      <c r="Z141" s="48"/>
      <c r="AA141" s="48"/>
      <c r="AB141" s="563"/>
      <c r="AC141" s="563"/>
      <c r="AD141" s="48"/>
      <c r="AE141" s="48"/>
      <c r="AF141" s="258"/>
      <c r="AG141" s="258"/>
      <c r="AH141" s="258"/>
      <c r="AI141" s="258"/>
      <c r="AJ141" s="258"/>
      <c r="AK141" s="258"/>
      <c r="AL141" s="258"/>
      <c r="AM141" s="212">
        <f>IF(AQ141=1,SUM(Q141:T141,W141:Z141,AC141:AF141,AI141:AL141),
IF(AQ141=2,SUM(P141,S141:V141,Y141:AB141,AE141:AH141,AK141:AL141),
IF(AQ141=3,SUM(P141:R141,U141:X141,AA141:AD141,AG141:AJ141),SUM(Таблица1[[#This Row],[1]:[31]])-Таблица1[[#This Row],[Столбец1]])))</f>
        <v>0</v>
      </c>
      <c r="AN141" s="778">
        <f t="array" ref="AN141">IF(AQ141=1,SUM(P141,U141:V141,AA141:AB141,AG141:AH141),
IF(AQ141=2,SUM(Q141:R141,W141:X141,AC141:AD141,AI141:AJ141),
IF(AQ141=3,SUM(S141:T141,Y141:Z141,AE141:AF141,AK141:AL141),
SUM(IFERROR(WEEKDAY($H$2:$AL$2,2)&gt;5,)*H141:AL141))))+Таблица1[[#This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41" s="292" t="b">
        <f>IF(AR141&lt;=3,(IF((G141="5/24"),((база!$M$6*Таблица1[[#This Row],[сумма]]*Таблица1[[#This Row],[коэф]])),
IF((G141="4/24"),((база!$M$5*Таблица1[[#This Row],[сумма]]*Таблица1[[#This Row],[коэф]])),
IF((G141="3/24"),((база!$M$4*Таблица1[[#This Row],[сумма]]*Таблица1[[#This Row],[коэф]])),
IF((G141="5/16"),((база!$L$6*Таблица1[[#This Row],[сумма]]*Таблица1[[#This Row],[коэф]])),
IF((G141="4/16"),((база!$L$5*Таблица1[[#This Row],[сумма]]*Таблица1[[#This Row],[коэф]])),
IF((G141="3/16"),((база!$L$4*Таблица1[[#This Row],[сумма]]*Таблица1[[#This Row],[коэф]])),
IF((G141="4/4"),((база!$I$5*Таблица1[[#This Row],[сумма]]*Таблица1[[#This Row],[коэф]])),
IF(OR(G141="2/4",G141="3/4"),((база!$I$4*Таблица1[[#This Row],[сумма]]*Таблица1[[#This Row],[коэф]])),
IF((G141="5/8"),((база!$J$6*Таблица1[[#This Row],[сумма]]*Таблица1[[#This Row],[коэф]])),
IF((G141="4/8"),((база!$J$5*Таблица1[[#This Row],[сумма]]*Таблица1[[#This Row],[коэф]])),
IF(OR(G141="3/8",G141="2/8"),((база!$J$4*Таблица1[[#This Row],[сумма]]*Таблица1[[#This Row],[коэф]])))))))))))))),
(IF((G141="5/24"),((база!$M$6*Таблица1[[#This Row],[сумма]]*Таблица1[[#This Row],[коэф]])),
IF(OR(G141="4/24",G141="3/24"),((база!$M$5*Таблица1[[#This Row],[сумма]]*Таблица1[[#This Row],[коэф]])),
IF((G141="5/16"),((база!$L$6*Таблица1[[#This Row],[сумма]]*Таблица1[[#This Row],[коэф]])),
IF(OR(G141="4/16",G141="3/16"),((база!$L$5*Таблица1[[#This Row],[сумма]]*Таблица1[[#This Row],[коэф]])),
IF(OR(G141="2/4",G141="3/4",G141="4/4"),((база!$I$5*Таблица1[[#This Row],[сумма]]*Таблица1[[#This Row],[коэф]])),
IF((G141="5/8"),((база!$J$6*Таблица1[[#This Row],[сумма]]*Таблица1[[#This Row],[коэф]])),
IF(OR(G141="4/8",G141="3/8",G141="2/8"),((база!$J$5*Таблица1[[#This Row],[сумма]]*Таблица1[[#This Row],[коэф]])))))))))))</f>
        <v>0</v>
      </c>
      <c r="AP141" s="730" t="b">
        <f>IF(AR141&lt;=3,(IF((G141="5/24"),((база!$M$6*2*Таблица1[[#This Row],[Столбец1]]*Таблица1[[#This Row],[коэф]])),
IF((G141="4/24"),((база!$M$5*2*Таблица1[[#This Row],[Столбец1]]*Таблица1[[#This Row],[коэф]])),
IF((G141="3/24"),((база!$M$4*2*Таблица1[[#This Row],[Столбец1]]*Таблица1[[#This Row],[коэф]])),
IF((G141="5/16"),((база!$L$6*2*Таблица1[[#This Row],[Столбец1]]*Таблица1[[#This Row],[коэф]])),
IF((G141="4/16"),((база!$L$5*2*Таблица1[[#This Row],[Столбец1]]*Таблица1[[#This Row],[коэф]])),
IF((G141="3/16"),((база!$L$4*2*Таблица1[[#This Row],[Столбец1]]*Таблица1[[#This Row],[коэф]])),
IF((G141="4/4"),((база!$I$5*2*Таблица1[[#This Row],[Столбец1]]*Таблица1[[#This Row],[коэф]])),
IF(OR(G141="2/4",G141="3/4"),((база!$I$4*2*Таблица1[[#This Row],[Столбец1]]*Таблица1[[#This Row],[коэф]])),
IF((G141="5/8"),((база!$J$6*2*Таблица1[[#This Row],[Столбец1]]*Таблица1[[#This Row],[коэф]])),
IF((G141="4/8"),((база!$J$5*2*Таблица1[[#This Row],[Столбец1]]*Таблица1[[#This Row],[коэф]])),
IF(OR(G141="3/8",G141="2/8"),((база!$J$4*2*Таблица1[[#This Row],[Столбец1]]*Таблица1[[#This Row],[коэф]])))))))))))))),
(IF((G141="5/24"),((база!$M$6*2*Таблица1[[#This Row],[Столбец1]]*Таблица1[[#This Row],[коэф]])),
IF(OR(G141="4/24",G141="3/24"),((база!$M$5*2*Таблица1[[#This Row],[Столбец1]]*Таблица1[[#This Row],[коэф]])),
IF((G141="5/16"),((база!$L$6*2*Таблица1[[#This Row],[Столбец1]]*Таблица1[[#This Row],[коэф]])),
IF(OR(G141="4/16",G141="3/16"),((база!$L$5*2*Таблица1[[#This Row],[Столбец1]]*Таблица1[[#This Row],[коэф]])),
IF(OR(G141="2/4",G141="3/4",G141="4/4"),((база!$I$5*2*Таблица1[[#This Row],[Столбец1]]*Таблица1[[#This Row],[коэф]])),
IF((G141="5/8"),((база!$J$6*2*Таблица1[[#This Row],[Столбец1]]*Таблица1[[#This Row],[коэф]])),
IF(OR(G141="4/8",G141="3/8",G141="2/8"),((база!$J$5*2*Таблица1[[#This Row],[Столбец1]]*Таблица1[[#This Row],[коэф]])))))))))))</f>
        <v>0</v>
      </c>
      <c r="AQ141" s="712" t="str">
        <f>IFERROR(INDEX(база!T:T, MATCH(F141,база!Q:Q,0)),"")</f>
        <v/>
      </c>
      <c r="AR141" s="208" t="str">
        <f>IFERROR(INDEX(база!D:D, MATCH(F141,база!B:B,0)),"")</f>
        <v/>
      </c>
      <c r="AS141" s="758" t="str">
        <f>IFERROR(INDEX(база!E:E, MATCH(F141,база!B:B,0)),"")</f>
        <v/>
      </c>
    </row>
    <row r="142" spans="1:45" ht="15">
      <c r="A142" s="1151" t="str">
        <f t="shared" si="4"/>
        <v>январь</v>
      </c>
      <c r="B142" t="n" s="1151">
        <v>2024.0</v>
      </c>
      <c r="C142" t="s" s="1151">
        <v>388</v>
      </c>
      <c r="D142" t="s" s="1151">
        <v>364</v>
      </c>
      <c r="E142" t="s" s="1151">
        <v>46</v>
      </c>
      <c r="F142" t="s" s="1151">
        <v>373</v>
      </c>
      <c r="G142" t="s" s="1151">
        <v>4</v>
      </c>
      <c r="H142" s="1151"/>
      <c r="I142" s="1151"/>
      <c r="J142" s="1151"/>
      <c r="K142" s="1151"/>
      <c r="L142" s="1151"/>
      <c r="M142" s="1151"/>
      <c r="N142" s="1151"/>
      <c r="O142" s="1151"/>
      <c r="P142" t="n" s="1151">
        <v>2.0</v>
      </c>
      <c r="Q142" s="563"/>
      <c r="R142" s="563"/>
      <c r="S142" s="563"/>
      <c r="T142" s="563"/>
      <c r="U142" s="563"/>
      <c r="V142" s="563"/>
      <c r="W142" s="563"/>
      <c r="X142" s="48"/>
      <c r="Y142" s="48"/>
      <c r="Z142" s="48"/>
      <c r="AA142" s="48"/>
      <c r="AB142" s="563"/>
      <c r="AC142" s="563"/>
      <c r="AD142" s="48"/>
      <c r="AE142" s="48"/>
      <c r="AF142" s="258"/>
      <c r="AG142" s="258"/>
      <c r="AH142" s="258"/>
      <c r="AI142" s="258"/>
      <c r="AJ142" s="258"/>
      <c r="AK142" s="258"/>
      <c r="AL142" s="258"/>
      <c r="AM142" s="212">
        <f>IF(AQ142=1,SUM(Q142:T142,W142:Z142,AC142:AF142,AI142:AL142),
IF(AQ142=2,SUM(P142,S142:V142,Y142:AB142,AE142:AH142,AK142:AL142),
IF(AQ142=3,SUM(P142:R142,U142:X142,AA142:AD142,AG142:AJ142),SUM(Таблица1[[#This Row],[1]:[31]])-Таблица1[[#This Row],[Столбец1]])))</f>
        <v>0</v>
      </c>
      <c r="AN142" s="778">
        <f t="array" ref="AN142">IF(AQ142=1,SUM(P142,U142:V142,AA142:AB142,AG142:AH142),
IF(AQ142=2,SUM(Q142:R142,W142:X142,AC142:AD142,AI142:AJ142),
IF(AQ142=3,SUM(S142:T142,Y142:Z142,AE142:AF142,AK142:AL142),
SUM(IFERROR(WEEKDAY($H$2:$AL$2,2)&gt;5,)*H142:AL142))))+Таблица1[[#This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42" s="292" t="b">
        <f>IF(AR142&lt;=3,(IF((G142="5/24"),((база!$M$6*Таблица1[[#This Row],[сумма]]*Таблица1[[#This Row],[коэф]])),
IF((G142="4/24"),((база!$M$5*Таблица1[[#This Row],[сумма]]*Таблица1[[#This Row],[коэф]])),
IF((G142="3/24"),((база!$M$4*Таблица1[[#This Row],[сумма]]*Таблица1[[#This Row],[коэф]])),
IF((G142="5/16"),((база!$L$6*Таблица1[[#This Row],[сумма]]*Таблица1[[#This Row],[коэф]])),
IF((G142="4/16"),((база!$L$5*Таблица1[[#This Row],[сумма]]*Таблица1[[#This Row],[коэф]])),
IF((G142="3/16"),((база!$L$4*Таблица1[[#This Row],[сумма]]*Таблица1[[#This Row],[коэф]])),
IF((G142="4/4"),((база!$I$5*Таблица1[[#This Row],[сумма]]*Таблица1[[#This Row],[коэф]])),
IF(OR(G142="2/4",G142="3/4"),((база!$I$4*Таблица1[[#This Row],[сумма]]*Таблица1[[#This Row],[коэф]])),
IF((G142="5/8"),((база!$J$6*Таблица1[[#This Row],[сумма]]*Таблица1[[#This Row],[коэф]])),
IF((G142="4/8"),((база!$J$5*Таблица1[[#This Row],[сумма]]*Таблица1[[#This Row],[коэф]])),
IF(OR(G142="3/8",G142="2/8"),((база!$J$4*Таблица1[[#This Row],[сумма]]*Таблица1[[#This Row],[коэф]])))))))))))))),
(IF((G142="5/24"),((база!$M$6*Таблица1[[#This Row],[сумма]]*Таблица1[[#This Row],[коэф]])),
IF(OR(G142="4/24",G142="3/24"),((база!$M$5*Таблица1[[#This Row],[сумма]]*Таблица1[[#This Row],[коэф]])),
IF((G142="5/16"),((база!$L$6*Таблица1[[#This Row],[сумма]]*Таблица1[[#This Row],[коэф]])),
IF(OR(G142="4/16",G142="3/16"),((база!$L$5*Таблица1[[#This Row],[сумма]]*Таблица1[[#This Row],[коэф]])),
IF(OR(G142="2/4",G142="3/4",G142="4/4"),((база!$I$5*Таблица1[[#This Row],[сумма]]*Таблица1[[#This Row],[коэф]])),
IF((G142="5/8"),((база!$J$6*Таблица1[[#This Row],[сумма]]*Таблица1[[#This Row],[коэф]])),
IF(OR(G142="4/8",G142="3/8",G142="2/8"),((база!$J$5*Таблица1[[#This Row],[сумма]]*Таблица1[[#This Row],[коэф]])))))))))))</f>
        <v>0</v>
      </c>
      <c r="AP142" s="730" t="b">
        <f>IF(AR142&lt;=3,(IF((G142="5/24"),((база!$M$6*2*Таблица1[[#This Row],[Столбец1]]*Таблица1[[#This Row],[коэф]])),
IF((G142="4/24"),((база!$M$5*2*Таблица1[[#This Row],[Столбец1]]*Таблица1[[#This Row],[коэф]])),
IF((G142="3/24"),((база!$M$4*2*Таблица1[[#This Row],[Столбец1]]*Таблица1[[#This Row],[коэф]])),
IF((G142="5/16"),((база!$L$6*2*Таблица1[[#This Row],[Столбец1]]*Таблица1[[#This Row],[коэф]])),
IF((G142="4/16"),((база!$L$5*2*Таблица1[[#This Row],[Столбец1]]*Таблица1[[#This Row],[коэф]])),
IF((G142="3/16"),((база!$L$4*2*Таблица1[[#This Row],[Столбец1]]*Таблица1[[#This Row],[коэф]])),
IF((G142="4/4"),((база!$I$5*2*Таблица1[[#This Row],[Столбец1]]*Таблица1[[#This Row],[коэф]])),
IF(OR(G142="2/4",G142="3/4"),((база!$I$4*2*Таблица1[[#This Row],[Столбец1]]*Таблица1[[#This Row],[коэф]])),
IF((G142="5/8"),((база!$J$6*2*Таблица1[[#This Row],[Столбец1]]*Таблица1[[#This Row],[коэф]])),
IF((G142="4/8"),((база!$J$5*2*Таблица1[[#This Row],[Столбец1]]*Таблица1[[#This Row],[коэф]])),
IF(OR(G142="3/8",G142="2/8"),((база!$J$4*2*Таблица1[[#This Row],[Столбец1]]*Таблица1[[#This Row],[коэф]])))))))))))))),
(IF((G142="5/24"),((база!$M$6*2*Таблица1[[#This Row],[Столбец1]]*Таблица1[[#This Row],[коэф]])),
IF(OR(G142="4/24",G142="3/24"),((база!$M$5*2*Таблица1[[#This Row],[Столбец1]]*Таблица1[[#This Row],[коэф]])),
IF((G142="5/16"),((база!$L$6*2*Таблица1[[#This Row],[Столбец1]]*Таблица1[[#This Row],[коэф]])),
IF(OR(G142="4/16",G142="3/16"),((база!$L$5*2*Таблица1[[#This Row],[Столбец1]]*Таблица1[[#This Row],[коэф]])),
IF(OR(G142="2/4",G142="3/4",G142="4/4"),((база!$I$5*2*Таблица1[[#This Row],[Столбец1]]*Таблица1[[#This Row],[коэф]])),
IF((G142="5/8"),((база!$J$6*2*Таблица1[[#This Row],[Столбец1]]*Таблица1[[#This Row],[коэф]])),
IF(OR(G142="4/8",G142="3/8",G142="2/8"),((база!$J$5*2*Таблица1[[#This Row],[Столбец1]]*Таблица1[[#This Row],[коэф]])))))))))))</f>
        <v>0</v>
      </c>
      <c r="AQ142" s="712" t="str">
        <f>IFERROR(INDEX(база!T:T, MATCH(F142,база!Q:Q,0)),"")</f>
        <v/>
      </c>
      <c r="AR142" s="208" t="str">
        <f>IFERROR(INDEX(база!D:D, MATCH(F142,база!B:B,0)),"")</f>
        <v/>
      </c>
      <c r="AS142" s="758" t="str">
        <f>IFERROR(INDEX(база!E:E, MATCH(F142,база!B:B,0)),"")</f>
        <v/>
      </c>
    </row>
    <row r="143" spans="1:45" ht="15">
      <c r="A143" s="1152" t="str">
        <f t="shared" si="4"/>
        <v>январь</v>
      </c>
      <c r="B143" t="n" s="1152">
        <v>2024.0</v>
      </c>
      <c r="C143" t="s" s="1152">
        <v>386</v>
      </c>
      <c r="D143" t="s" s="1152">
        <v>364</v>
      </c>
      <c r="E143" t="s" s="1152">
        <v>46</v>
      </c>
      <c r="F143" t="s" s="1152">
        <v>373</v>
      </c>
      <c r="G143" t="s" s="1152">
        <v>6</v>
      </c>
      <c r="H143" s="1152"/>
      <c r="I143" s="1152"/>
      <c r="J143" s="1152"/>
      <c r="K143" s="1152"/>
      <c r="L143" s="1152"/>
      <c r="M143" s="1152"/>
      <c r="N143" s="1152"/>
      <c r="O143" t="n" s="46">
        <v>3.0</v>
      </c>
      <c r="P143" t="n" s="1152">
        <v>2.0</v>
      </c>
      <c r="Q143" s="563"/>
      <c r="R143" s="563"/>
      <c r="S143" s="563"/>
      <c r="T143" s="48"/>
      <c r="U143" s="48"/>
      <c r="V143" s="48"/>
      <c r="W143" s="48"/>
      <c r="X143" s="563"/>
      <c r="Y143" s="563"/>
      <c r="Z143" s="563"/>
      <c r="AA143" s="563"/>
      <c r="AB143" s="563"/>
      <c r="AC143" s="563"/>
      <c r="AD143" s="48"/>
      <c r="AE143" s="48"/>
      <c r="AF143" s="48"/>
      <c r="AG143" s="48"/>
      <c r="AH143" s="48"/>
      <c r="AI143" s="48"/>
      <c r="AJ143" s="258"/>
      <c r="AK143" s="48"/>
      <c r="AL143" s="51"/>
      <c r="AM143" s="212">
        <f>IF(AQ143=1,SUM(Q143:T143,W143:Z143,AC143:AF143,AI143:AL143),
IF(AQ143=2,SUM(P143,S143:V143,Y143:AB143,AE143:AH143,AK143:AL143),
IF(AQ143=3,SUM(P143:R143,U143:X143,AA143:AD143,AG143:AJ143),SUM(Таблица1[[#This Row],[1]:[31]])-Таблица1[[#This Row],[Столбец1]])))</f>
        <v>0</v>
      </c>
      <c r="AN143" s="778">
        <f t="array" ref="AN143">IF(AQ143=1,SUM(P143,U143:V143,AA143:AB143,AG143:AH143),
IF(AQ143=2,SUM(Q143:R143,W143:X143,AC143:AD143,AI143:AJ143),
IF(AQ143=3,SUM(S143:T143,Y143:Z143,AE143:AF143,AK143:AL143),
SUM(IFERROR(WEEKDAY($H$2:$AL$2,2)&gt;5,)*H143:AL143))))+Таблица1[[#This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43" s="292" t="b">
        <f>IF(AR143&lt;=3,(IF((G143="5/24"),((база!$M$6*Таблица1[[#This Row],[сумма]]*Таблица1[[#This Row],[коэф]])),
IF((G143="4/24"),((база!$M$5*Таблица1[[#This Row],[сумма]]*Таблица1[[#This Row],[коэф]])),
IF((G143="3/24"),((база!$M$4*Таблица1[[#This Row],[сумма]]*Таблица1[[#This Row],[коэф]])),
IF((G143="5/16"),((база!$L$6*Таблица1[[#This Row],[сумма]]*Таблица1[[#This Row],[коэф]])),
IF((G143="4/16"),((база!$L$5*Таблица1[[#This Row],[сумма]]*Таблица1[[#This Row],[коэф]])),
IF((G143="3/16"),((база!$L$4*Таблица1[[#This Row],[сумма]]*Таблица1[[#This Row],[коэф]])),
IF((G143="4/4"),((база!$I$5*Таблица1[[#This Row],[сумма]]*Таблица1[[#This Row],[коэф]])),
IF(OR(G143="2/4",G143="3/4"),((база!$I$4*Таблица1[[#This Row],[сумма]]*Таблица1[[#This Row],[коэф]])),
IF((G143="5/8"),((база!$J$6*Таблица1[[#This Row],[сумма]]*Таблица1[[#This Row],[коэф]])),
IF((G143="4/8"),((база!$J$5*Таблица1[[#This Row],[сумма]]*Таблица1[[#This Row],[коэф]])),
IF(OR(G143="3/8",G143="2/8"),((база!$J$4*Таблица1[[#This Row],[сумма]]*Таблица1[[#This Row],[коэф]])))))))))))))),
(IF((G143="5/24"),((база!$M$6*Таблица1[[#This Row],[сумма]]*Таблица1[[#This Row],[коэф]])),
IF(OR(G143="4/24",G143="3/24"),((база!$M$5*Таблица1[[#This Row],[сумма]]*Таблица1[[#This Row],[коэф]])),
IF((G143="5/16"),((база!$L$6*Таблица1[[#This Row],[сумма]]*Таблица1[[#This Row],[коэф]])),
IF(OR(G143="4/16",G143="3/16"),((база!$L$5*Таблица1[[#This Row],[сумма]]*Таблица1[[#This Row],[коэф]])),
IF(OR(G143="2/4",G143="3/4",G143="4/4"),((база!$I$5*Таблица1[[#This Row],[сумма]]*Таблица1[[#This Row],[коэф]])),
IF((G143="5/8"),((база!$J$6*Таблица1[[#This Row],[сумма]]*Таблица1[[#This Row],[коэф]])),
IF(OR(G143="4/8",G143="3/8",G143="2/8"),((база!$J$5*Таблица1[[#This Row],[сумма]]*Таблица1[[#This Row],[коэф]])))))))))))</f>
        <v>0</v>
      </c>
      <c r="AP143" s="730" t="b">
        <f>IF(AR143&lt;=3,(IF((G143="5/24"),((база!$M$6*2*Таблица1[[#This Row],[Столбец1]]*Таблица1[[#This Row],[коэф]])),
IF((G143="4/24"),((база!$M$5*2*Таблица1[[#This Row],[Столбец1]]*Таблица1[[#This Row],[коэф]])),
IF((G143="3/24"),((база!$M$4*2*Таблица1[[#This Row],[Столбец1]]*Таблица1[[#This Row],[коэф]])),
IF((G143="5/16"),((база!$L$6*2*Таблица1[[#This Row],[Столбец1]]*Таблица1[[#This Row],[коэф]])),
IF((G143="4/16"),((база!$L$5*2*Таблица1[[#This Row],[Столбец1]]*Таблица1[[#This Row],[коэф]])),
IF((G143="3/16"),((база!$L$4*2*Таблица1[[#This Row],[Столбец1]]*Таблица1[[#This Row],[коэф]])),
IF((G143="4/4"),((база!$I$5*2*Таблица1[[#This Row],[Столбец1]]*Таблица1[[#This Row],[коэф]])),
IF(OR(G143="2/4",G143="3/4"),((база!$I$4*2*Таблица1[[#This Row],[Столбец1]]*Таблица1[[#This Row],[коэф]])),
IF((G143="5/8"),((база!$J$6*2*Таблица1[[#This Row],[Столбец1]]*Таблица1[[#This Row],[коэф]])),
IF((G143="4/8"),((база!$J$5*2*Таблица1[[#This Row],[Столбец1]]*Таблица1[[#This Row],[коэф]])),
IF(OR(G143="3/8",G143="2/8"),((база!$J$4*2*Таблица1[[#This Row],[Столбец1]]*Таблица1[[#This Row],[коэф]])))))))))))))),
(IF((G143="5/24"),((база!$M$6*2*Таблица1[[#This Row],[Столбец1]]*Таблица1[[#This Row],[коэф]])),
IF(OR(G143="4/24",G143="3/24"),((база!$M$5*2*Таблица1[[#This Row],[Столбец1]]*Таблица1[[#This Row],[коэф]])),
IF((G143="5/16"),((база!$L$6*2*Таблица1[[#This Row],[Столбец1]]*Таблица1[[#This Row],[коэф]])),
IF(OR(G143="4/16",G143="3/16"),((база!$L$5*2*Таблица1[[#This Row],[Столбец1]]*Таблица1[[#This Row],[коэф]])),
IF(OR(G143="2/4",G143="3/4",G143="4/4"),((база!$I$5*2*Таблица1[[#This Row],[Столбец1]]*Таблица1[[#This Row],[коэф]])),
IF((G143="5/8"),((база!$J$6*2*Таблица1[[#This Row],[Столбец1]]*Таблица1[[#This Row],[коэф]])),
IF(OR(G143="4/8",G143="3/8",G143="2/8"),((база!$J$5*2*Таблица1[[#This Row],[Столбец1]]*Таблица1[[#This Row],[коэф]])))))))))))</f>
        <v>0</v>
      </c>
      <c r="AQ143" s="712" t="str">
        <f>IFERROR(INDEX(база!T:T, MATCH(F143,база!Q:Q,0)),"")</f>
        <v/>
      </c>
      <c r="AR143" s="208" t="str">
        <f>IFERROR(INDEX(база!D:D, MATCH(F143,база!B:B,0)),"")</f>
        <v/>
      </c>
      <c r="AS143" s="758" t="str">
        <f>IFERROR(INDEX(база!E:E, MATCH(F143,база!B:B,0)),"")</f>
        <v/>
      </c>
    </row>
    <row r="144" spans="1:45" ht="15">
      <c r="A144" s="1153" t="str">
        <f t="shared" si="4"/>
        <v>январь</v>
      </c>
      <c r="B144" t="n" s="1153">
        <v>2024.0</v>
      </c>
      <c r="C144" t="s" s="1153">
        <v>392</v>
      </c>
      <c r="D144" t="s" s="1153">
        <v>364</v>
      </c>
      <c r="E144" t="s" s="1153">
        <v>46</v>
      </c>
      <c r="F144" t="s" s="1153">
        <v>373</v>
      </c>
      <c r="G144" t="s" s="1153">
        <v>6</v>
      </c>
      <c r="H144" s="1153"/>
      <c r="I144" s="1153"/>
      <c r="J144" s="1153"/>
      <c r="K144" s="1153"/>
      <c r="L144" s="1153"/>
      <c r="M144" s="1153"/>
      <c r="N144" s="1153"/>
      <c r="O144" t="n" s="1153">
        <v>2.2</v>
      </c>
      <c r="P144" s="300"/>
      <c r="Q144" s="563"/>
      <c r="R144" s="563"/>
      <c r="S144" s="563"/>
      <c r="T144" s="563"/>
      <c r="U144" s="563"/>
      <c r="V144" s="563"/>
      <c r="W144" s="563"/>
      <c r="X144" s="563"/>
      <c r="Y144" s="563"/>
      <c r="Z144" s="563"/>
      <c r="AA144" s="563"/>
      <c r="AB144" s="563"/>
      <c r="AC144" s="563"/>
      <c r="AD144" s="48"/>
      <c r="AE144" s="48"/>
      <c r="AF144" s="48"/>
      <c r="AG144" s="48"/>
      <c r="AH144" s="48"/>
      <c r="AI144" s="48"/>
      <c r="AJ144" s="258"/>
      <c r="AK144" s="258"/>
      <c r="AL144" s="258"/>
      <c r="AM144" s="212">
        <f>IF(AQ144=1,SUM(Q144:T144,W144:Z144,AC144:AF144,AI144:AL144),
IF(AQ144=2,SUM(P144,S144:V144,Y144:AB144,AE144:AH144,AK144:AL144),
IF(AQ144=3,SUM(P144:R144,U144:X144,AA144:AD144,AG144:AJ144),SUM(Таблица1[[#This Row],[1]:[31]])-Таблица1[[#This Row],[Столбец1]])))</f>
        <v>0</v>
      </c>
      <c r="AN144" s="778">
        <f t="array" ref="AN144">IF(AQ144=1,SUM(P144,U144:V144,AA144:AB144,AG144:AH144),
IF(AQ144=2,SUM(Q144:R144,W144:X144,AC144:AD144,AI144:AJ144),
IF(AQ144=3,SUM(S144:T144,Y144:Z144,AE144:AF144,AK144:AL144),
SUM(IFERROR(WEEKDAY($H$2:$AL$2,2)&gt;5,)*H144:AL144))))+Таблица1[[#This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44" s="292" t="b">
        <f>IF(AR144&lt;=3,(IF((G144="5/24"),((база!$M$6*Таблица1[[#This Row],[сумма]]*Таблица1[[#This Row],[коэф]])),
IF((G144="4/24"),((база!$M$5*Таблица1[[#This Row],[сумма]]*Таблица1[[#This Row],[коэф]])),
IF((G144="3/24"),((база!$M$4*Таблица1[[#This Row],[сумма]]*Таблица1[[#This Row],[коэф]])),
IF((G144="5/16"),((база!$L$6*Таблица1[[#This Row],[сумма]]*Таблица1[[#This Row],[коэф]])),
IF((G144="4/16"),((база!$L$5*Таблица1[[#This Row],[сумма]]*Таблица1[[#This Row],[коэф]])),
IF((G144="3/16"),((база!$L$4*Таблица1[[#This Row],[сумма]]*Таблица1[[#This Row],[коэф]])),
IF((G144="4/4"),((база!$I$5*Таблица1[[#This Row],[сумма]]*Таблица1[[#This Row],[коэф]])),
IF(OR(G144="2/4",G144="3/4"),((база!$I$4*Таблица1[[#This Row],[сумма]]*Таблица1[[#This Row],[коэф]])),
IF((G144="5/8"),((база!$J$6*Таблица1[[#This Row],[сумма]]*Таблица1[[#This Row],[коэф]])),
IF((G144="4/8"),((база!$J$5*Таблица1[[#This Row],[сумма]]*Таблица1[[#This Row],[коэф]])),
IF(OR(G144="3/8",G144="2/8"),((база!$J$4*Таблица1[[#This Row],[сумма]]*Таблица1[[#This Row],[коэф]])))))))))))))),
(IF((G144="5/24"),((база!$M$6*Таблица1[[#This Row],[сумма]]*Таблица1[[#This Row],[коэф]])),
IF(OR(G144="4/24",G144="3/24"),((база!$M$5*Таблица1[[#This Row],[сумма]]*Таблица1[[#This Row],[коэф]])),
IF((G144="5/16"),((база!$L$6*Таблица1[[#This Row],[сумма]]*Таблица1[[#This Row],[коэф]])),
IF(OR(G144="4/16",G144="3/16"),((база!$L$5*Таблица1[[#This Row],[сумма]]*Таблица1[[#This Row],[коэф]])),
IF(OR(G144="2/4",G144="3/4",G144="4/4"),((база!$I$5*Таблица1[[#This Row],[сумма]]*Таблица1[[#This Row],[коэф]])),
IF((G144="5/8"),((база!$J$6*Таблица1[[#This Row],[сумма]]*Таблица1[[#This Row],[коэф]])),
IF(OR(G144="4/8",G144="3/8",G144="2/8"),((база!$J$5*Таблица1[[#This Row],[сумма]]*Таблица1[[#This Row],[коэф]])))))))))))</f>
        <v>0</v>
      </c>
      <c r="AP144" s="730" t="b">
        <f>IF(AR144&lt;=3,(IF((G144="5/24"),((база!$M$6*2*Таблица1[[#This Row],[Столбец1]]*Таблица1[[#This Row],[коэф]])),
IF((G144="4/24"),((база!$M$5*2*Таблица1[[#This Row],[Столбец1]]*Таблица1[[#This Row],[коэф]])),
IF((G144="3/24"),((база!$M$4*2*Таблица1[[#This Row],[Столбец1]]*Таблица1[[#This Row],[коэф]])),
IF((G144="5/16"),((база!$L$6*2*Таблица1[[#This Row],[Столбец1]]*Таблица1[[#This Row],[коэф]])),
IF((G144="4/16"),((база!$L$5*2*Таблица1[[#This Row],[Столбец1]]*Таблица1[[#This Row],[коэф]])),
IF((G144="3/16"),((база!$L$4*2*Таблица1[[#This Row],[Столбец1]]*Таблица1[[#This Row],[коэф]])),
IF((G144="4/4"),((база!$I$5*2*Таблица1[[#This Row],[Столбец1]]*Таблица1[[#This Row],[коэф]])),
IF(OR(G144="2/4",G144="3/4"),((база!$I$4*2*Таблица1[[#This Row],[Столбец1]]*Таблица1[[#This Row],[коэф]])),
IF((G144="5/8"),((база!$J$6*2*Таблица1[[#This Row],[Столбец1]]*Таблица1[[#This Row],[коэф]])),
IF((G144="4/8"),((база!$J$5*2*Таблица1[[#This Row],[Столбец1]]*Таблица1[[#This Row],[коэф]])),
IF(OR(G144="3/8",G144="2/8"),((база!$J$4*2*Таблица1[[#This Row],[Столбец1]]*Таблица1[[#This Row],[коэф]])))))))))))))),
(IF((G144="5/24"),((база!$M$6*2*Таблица1[[#This Row],[Столбец1]]*Таблица1[[#This Row],[коэф]])),
IF(OR(G144="4/24",G144="3/24"),((база!$M$5*2*Таблица1[[#This Row],[Столбец1]]*Таблица1[[#This Row],[коэф]])),
IF((G144="5/16"),((база!$L$6*2*Таблица1[[#This Row],[Столбец1]]*Таблица1[[#This Row],[коэф]])),
IF(OR(G144="4/16",G144="3/16"),((база!$L$5*2*Таблица1[[#This Row],[Столбец1]]*Таблица1[[#This Row],[коэф]])),
IF(OR(G144="2/4",G144="3/4",G144="4/4"),((база!$I$5*2*Таблица1[[#This Row],[Столбец1]]*Таблица1[[#This Row],[коэф]])),
IF((G144="5/8"),((база!$J$6*2*Таблица1[[#This Row],[Столбец1]]*Таблица1[[#This Row],[коэф]])),
IF(OR(G144="4/8",G144="3/8",G144="2/8"),((база!$J$5*2*Таблица1[[#This Row],[Столбец1]]*Таблица1[[#This Row],[коэф]])))))))))))</f>
        <v>0</v>
      </c>
      <c r="AQ144" s="712" t="str">
        <f>IFERROR(INDEX(база!T:T, MATCH(F144,база!Q:Q,0)),"")</f>
        <v/>
      </c>
      <c r="AR144" s="208" t="str">
        <f>IFERROR(INDEX(база!D:D, MATCH(F144,база!B:B,0)),"")</f>
        <v/>
      </c>
      <c r="AS144" s="758" t="str">
        <f>IFERROR(INDEX(база!E:E, MATCH(F144,база!B:B,0)),"")</f>
        <v/>
      </c>
    </row>
    <row r="145" spans="1:45" ht="15">
      <c r="A145" s="1155" t="str">
        <f t="shared" si="4"/>
        <v>январь</v>
      </c>
      <c r="B145" t="n" s="1155">
        <v>2024.0</v>
      </c>
      <c r="C145" t="s" s="1155">
        <v>396</v>
      </c>
      <c r="D145" t="s" s="1155">
        <v>364</v>
      </c>
      <c r="E145" t="s" s="1155">
        <v>46</v>
      </c>
      <c r="F145" t="s" s="1155">
        <v>324</v>
      </c>
      <c r="G145" t="s" s="1155">
        <v>6</v>
      </c>
      <c r="H145" s="1155"/>
      <c r="I145" s="1155"/>
      <c r="J145" s="1155"/>
      <c r="K145" s="1155"/>
      <c r="L145" s="1155"/>
      <c r="M145" s="1155"/>
      <c r="N145" s="1155"/>
      <c r="O145" s="1155"/>
      <c r="P145" s="1155"/>
      <c r="Q145" s="1155"/>
      <c r="R145" t="n" s="1155">
        <v>7.2</v>
      </c>
      <c r="S145" s="563"/>
      <c r="T145" s="563"/>
      <c r="U145" s="563"/>
      <c r="V145" s="563"/>
      <c r="W145" s="563"/>
      <c r="X145" s="563"/>
      <c r="Y145" s="563"/>
      <c r="Z145" s="48"/>
      <c r="AA145" s="48"/>
      <c r="AB145" s="48"/>
      <c r="AC145" s="48"/>
      <c r="AD145" s="48"/>
      <c r="AE145" s="48"/>
      <c r="AF145" s="258"/>
      <c r="AG145" s="258"/>
      <c r="AH145" s="258"/>
      <c r="AI145" s="258"/>
      <c r="AJ145" s="258"/>
      <c r="AK145" s="258"/>
      <c r="AL145" s="258"/>
      <c r="AM145" s="212">
        <f>IF(AQ145=1,SUM(Q145:T145,W145:Z145,AC145:AF145,AI145:AL145),
IF(AQ145=2,SUM(P145,S145:V145,Y145:AB145,AE145:AH145,AK145:AL145),
IF(AQ145=3,SUM(P145:R145,U145:X145,AA145:AD145,AG145:AJ145),SUM(Таблица1[[#This Row],[1]:[31]])-Таблица1[[#This Row],[Столбец1]])))</f>
        <v>0</v>
      </c>
      <c r="AN145" s="778">
        <f t="array" ref="AN145">IF(AQ145=1,SUM(P145,U145:V145,AA145:AB145,AG145:AH145),
IF(AQ145=2,SUM(Q145:R145,W145:X145,AC145:AD145,AI145:AJ145),
IF(AQ145=3,SUM(S145:T145,Y145:Z145,AE145:AF145,AK145:AL145),
SUM(IFERROR(WEEKDAY($H$2:$AL$2,2)&gt;5,)*H145:AL145))))+Таблица1[[#This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45" s="292" t="b">
        <f>IF(AR145&lt;=3,(IF((G145="5/24"),((база!$M$6*Таблица1[[#This Row],[сумма]]*Таблица1[[#This Row],[коэф]])),
IF((G145="4/24"),((база!$M$5*Таблица1[[#This Row],[сумма]]*Таблица1[[#This Row],[коэф]])),
IF((G145="3/24"),((база!$M$4*Таблица1[[#This Row],[сумма]]*Таблица1[[#This Row],[коэф]])),
IF((G145="5/16"),((база!$L$6*Таблица1[[#This Row],[сумма]]*Таблица1[[#This Row],[коэф]])),
IF((G145="4/16"),((база!$L$5*Таблица1[[#This Row],[сумма]]*Таблица1[[#This Row],[коэф]])),
IF((G145="3/16"),((база!$L$4*Таблица1[[#This Row],[сумма]]*Таблица1[[#This Row],[коэф]])),
IF((G145="4/4"),((база!$I$5*Таблица1[[#This Row],[сумма]]*Таблица1[[#This Row],[коэф]])),
IF(OR(G145="2/4",G145="3/4"),((база!$I$4*Таблица1[[#This Row],[сумма]]*Таблица1[[#This Row],[коэф]])),
IF((G145="5/8"),((база!$J$6*Таблица1[[#This Row],[сумма]]*Таблица1[[#This Row],[коэф]])),
IF((G145="4/8"),((база!$J$5*Таблица1[[#This Row],[сумма]]*Таблица1[[#This Row],[коэф]])),
IF(OR(G145="3/8",G145="2/8"),((база!$J$4*Таблица1[[#This Row],[сумма]]*Таблица1[[#This Row],[коэф]])))))))))))))),
(IF((G145="5/24"),((база!$M$6*Таблица1[[#This Row],[сумма]]*Таблица1[[#This Row],[коэф]])),
IF(OR(G145="4/24",G145="3/24"),((база!$M$5*Таблица1[[#This Row],[сумма]]*Таблица1[[#This Row],[коэф]])),
IF((G145="5/16"),((база!$L$6*Таблица1[[#This Row],[сумма]]*Таблица1[[#This Row],[коэф]])),
IF(OR(G145="4/16",G145="3/16"),((база!$L$5*Таблица1[[#This Row],[сумма]]*Таблица1[[#This Row],[коэф]])),
IF(OR(G145="2/4",G145="3/4",G145="4/4"),((база!$I$5*Таблица1[[#This Row],[сумма]]*Таблица1[[#This Row],[коэф]])),
IF((G145="5/8"),((база!$J$6*Таблица1[[#This Row],[сумма]]*Таблица1[[#This Row],[коэф]])),
IF(OR(G145="4/8",G145="3/8",G145="2/8"),((база!$J$5*Таблица1[[#This Row],[сумма]]*Таблица1[[#This Row],[коэф]])))))))))))</f>
        <v>0</v>
      </c>
      <c r="AP145" s="730" t="b">
        <f>IF(AR145&lt;=3,(IF((G145="5/24"),((база!$M$6*2*Таблица1[[#This Row],[Столбец1]]*Таблица1[[#This Row],[коэф]])),
IF((G145="4/24"),((база!$M$5*2*Таблица1[[#This Row],[Столбец1]]*Таблица1[[#This Row],[коэф]])),
IF((G145="3/24"),((база!$M$4*2*Таблица1[[#This Row],[Столбец1]]*Таблица1[[#This Row],[коэф]])),
IF((G145="5/16"),((база!$L$6*2*Таблица1[[#This Row],[Столбец1]]*Таблица1[[#This Row],[коэф]])),
IF((G145="4/16"),((база!$L$5*2*Таблица1[[#This Row],[Столбец1]]*Таблица1[[#This Row],[коэф]])),
IF((G145="3/16"),((база!$L$4*2*Таблица1[[#This Row],[Столбец1]]*Таблица1[[#This Row],[коэф]])),
IF((G145="4/4"),((база!$I$5*2*Таблица1[[#This Row],[Столбец1]]*Таблица1[[#This Row],[коэф]])),
IF(OR(G145="2/4",G145="3/4"),((база!$I$4*2*Таблица1[[#This Row],[Столбец1]]*Таблица1[[#This Row],[коэф]])),
IF((G145="5/8"),((база!$J$6*2*Таблица1[[#This Row],[Столбец1]]*Таблица1[[#This Row],[коэф]])),
IF((G145="4/8"),((база!$J$5*2*Таблица1[[#This Row],[Столбец1]]*Таблица1[[#This Row],[коэф]])),
IF(OR(G145="3/8",G145="2/8"),((база!$J$4*2*Таблица1[[#This Row],[Столбец1]]*Таблица1[[#This Row],[коэф]])))))))))))))),
(IF((G145="5/24"),((база!$M$6*2*Таблица1[[#This Row],[Столбец1]]*Таблица1[[#This Row],[коэф]])),
IF(OR(G145="4/24",G145="3/24"),((база!$M$5*2*Таблица1[[#This Row],[Столбец1]]*Таблица1[[#This Row],[коэф]])),
IF((G145="5/16"),((база!$L$6*2*Таблица1[[#This Row],[Столбец1]]*Таблица1[[#This Row],[коэф]])),
IF(OR(G145="4/16",G145="3/16"),((база!$L$5*2*Таблица1[[#This Row],[Столбец1]]*Таблица1[[#This Row],[коэф]])),
IF(OR(G145="2/4",G145="3/4",G145="4/4"),((база!$I$5*2*Таблица1[[#This Row],[Столбец1]]*Таблица1[[#This Row],[коэф]])),
IF((G145="5/8"),((база!$J$6*2*Таблица1[[#This Row],[Столбец1]]*Таблица1[[#This Row],[коэф]])),
IF(OR(G145="4/8",G145="3/8",G145="2/8"),((база!$J$5*2*Таблица1[[#This Row],[Столбец1]]*Таблица1[[#This Row],[коэф]])))))))))))</f>
        <v>0</v>
      </c>
      <c r="AQ145" s="712" t="str">
        <f>IFERROR(INDEX(база!T:T, MATCH(F145,база!Q:Q,0)),"")</f>
        <v/>
      </c>
      <c r="AR145" s="208" t="str">
        <f>IFERROR(INDEX(база!D:D, MATCH(F145,база!B:B,0)),"")</f>
        <v/>
      </c>
      <c r="AS145" s="758" t="str">
        <f>IFERROR(INDEX(база!E:E, MATCH(F145,база!B:B,0)),"")</f>
        <v/>
      </c>
    </row>
    <row r="146" spans="1:45" ht="15">
      <c r="A146" s="1157" t="str">
        <f t="shared" si="4"/>
        <v>январь</v>
      </c>
      <c r="B146" t="n" s="1157">
        <v>2024.0</v>
      </c>
      <c r="C146" t="s" s="1157">
        <v>386</v>
      </c>
      <c r="D146" t="s" s="1157">
        <v>365</v>
      </c>
      <c r="E146" t="s" s="1157">
        <v>46</v>
      </c>
      <c r="F146" t="s" s="1157">
        <v>399</v>
      </c>
      <c r="G146" t="s" s="1157">
        <v>6</v>
      </c>
      <c r="H146" s="1157"/>
      <c r="I146" s="1157"/>
      <c r="J146" s="1157"/>
      <c r="K146" s="1157"/>
      <c r="L146" s="1157"/>
      <c r="M146" s="1157"/>
      <c r="N146" s="1157"/>
      <c r="O146" s="1157"/>
      <c r="P146" s="1157"/>
      <c r="Q146" s="1157"/>
      <c r="R146" t="n" s="1157">
        <v>7.2</v>
      </c>
      <c r="S146" t="n" s="46">
        <v>5.0</v>
      </c>
      <c r="T146" s="48"/>
      <c r="U146" s="48"/>
      <c r="V146" s="563"/>
      <c r="W146" s="563"/>
      <c r="X146" s="563"/>
      <c r="Y146" s="563"/>
      <c r="Z146" s="563"/>
      <c r="AA146" s="563"/>
      <c r="AB146" s="563"/>
      <c r="AC146" s="563"/>
      <c r="AD146" s="48"/>
      <c r="AE146" s="48"/>
      <c r="AF146" s="48"/>
      <c r="AG146" s="48"/>
      <c r="AH146" s="48"/>
      <c r="AI146" s="48"/>
      <c r="AJ146" s="48"/>
      <c r="AK146" s="48"/>
      <c r="AL146" s="258"/>
      <c r="AM146" s="212">
        <f>IF(AQ146=1,SUM(Q146:T146,W146:Z146,AC146:AF146,AI146:AL146),
IF(AQ146=2,SUM(P146,S146:V146,Y146:AB146,AE146:AH146,AK146:AL146),
IF(AQ146=3,SUM(P146:R146,U146:X146,AA146:AD146,AG146:AJ146),SUM(Таблица1[[#This Row],[1]:[31]])-Таблица1[[#This Row],[Столбец1]])))</f>
        <v>0</v>
      </c>
      <c r="AN146" s="778">
        <f t="array" ref="AN146">IF(AQ146=1,SUM(P146,U146:V146,AA146:AB146,AG146:AH146),
IF(AQ146=2,SUM(Q146:R146,W146:X146,AC146:AD146,AI146:AJ146),
IF(AQ146=3,SUM(S146:T146,Y146:Z146,AE146:AF146,AK146:AL146),
SUM(IFERROR(WEEKDAY($H$2:$AL$2,2)&gt;5,)*H146:AL146))))+Таблица1[[#This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46" s="292" t="b">
        <f>IF(AR146&lt;=3,(IF((G146="5/24"),((база!$M$6*Таблица1[[#This Row],[сумма]]*Таблица1[[#This Row],[коэф]])),
IF((G146="4/24"),((база!$M$5*Таблица1[[#This Row],[сумма]]*Таблица1[[#This Row],[коэф]])),
IF((G146="3/24"),((база!$M$4*Таблица1[[#This Row],[сумма]]*Таблица1[[#This Row],[коэф]])),
IF((G146="5/16"),((база!$L$6*Таблица1[[#This Row],[сумма]]*Таблица1[[#This Row],[коэф]])),
IF((G146="4/16"),((база!$L$5*Таблица1[[#This Row],[сумма]]*Таблица1[[#This Row],[коэф]])),
IF((G146="3/16"),((база!$L$4*Таблица1[[#This Row],[сумма]]*Таблица1[[#This Row],[коэф]])),
IF((G146="4/4"),((база!$I$5*Таблица1[[#This Row],[сумма]]*Таблица1[[#This Row],[коэф]])),
IF(OR(G146="2/4",G146="3/4"),((база!$I$4*Таблица1[[#This Row],[сумма]]*Таблица1[[#This Row],[коэф]])),
IF((G146="5/8"),((база!$J$6*Таблица1[[#This Row],[сумма]]*Таблица1[[#This Row],[коэф]])),
IF((G146="4/8"),((база!$J$5*Таблица1[[#This Row],[сумма]]*Таблица1[[#This Row],[коэф]])),
IF(OR(G146="3/8",G146="2/8"),((база!$J$4*Таблица1[[#This Row],[сумма]]*Таблица1[[#This Row],[коэф]])))))))))))))),
(IF((G146="5/24"),((база!$M$6*Таблица1[[#This Row],[сумма]]*Таблица1[[#This Row],[коэф]])),
IF(OR(G146="4/24",G146="3/24"),((база!$M$5*Таблица1[[#This Row],[сумма]]*Таблица1[[#This Row],[коэф]])),
IF((G146="5/16"),((база!$L$6*Таблица1[[#This Row],[сумма]]*Таблица1[[#This Row],[коэф]])),
IF(OR(G146="4/16",G146="3/16"),((база!$L$5*Таблица1[[#This Row],[сумма]]*Таблица1[[#This Row],[коэф]])),
IF(OR(G146="2/4",G146="3/4",G146="4/4"),((база!$I$5*Таблица1[[#This Row],[сумма]]*Таблица1[[#This Row],[коэф]])),
IF((G146="5/8"),((база!$J$6*Таблица1[[#This Row],[сумма]]*Таблица1[[#This Row],[коэф]])),
IF(OR(G146="4/8",G146="3/8",G146="2/8"),((база!$J$5*Таблица1[[#This Row],[сумма]]*Таблица1[[#This Row],[коэф]])))))))))))</f>
        <v>0</v>
      </c>
      <c r="AP146" s="730" t="b">
        <f>IF(AR146&lt;=3,(IF((G146="5/24"),((база!$M$6*2*Таблица1[[#This Row],[Столбец1]]*Таблица1[[#This Row],[коэф]])),
IF((G146="4/24"),((база!$M$5*2*Таблица1[[#This Row],[Столбец1]]*Таблица1[[#This Row],[коэф]])),
IF((G146="3/24"),((база!$M$4*2*Таблица1[[#This Row],[Столбец1]]*Таблица1[[#This Row],[коэф]])),
IF((G146="5/16"),((база!$L$6*2*Таблица1[[#This Row],[Столбец1]]*Таблица1[[#This Row],[коэф]])),
IF((G146="4/16"),((база!$L$5*2*Таблица1[[#This Row],[Столбец1]]*Таблица1[[#This Row],[коэф]])),
IF((G146="3/16"),((база!$L$4*2*Таблица1[[#This Row],[Столбец1]]*Таблица1[[#This Row],[коэф]])),
IF((G146="4/4"),((база!$I$5*2*Таблица1[[#This Row],[Столбец1]]*Таблица1[[#This Row],[коэф]])),
IF(OR(G146="2/4",G146="3/4"),((база!$I$4*2*Таблица1[[#This Row],[Столбец1]]*Таблица1[[#This Row],[коэф]])),
IF((G146="5/8"),((база!$J$6*2*Таблица1[[#This Row],[Столбец1]]*Таблица1[[#This Row],[коэф]])),
IF((G146="4/8"),((база!$J$5*2*Таблица1[[#This Row],[Столбец1]]*Таблица1[[#This Row],[коэф]])),
IF(OR(G146="3/8",G146="2/8"),((база!$J$4*2*Таблица1[[#This Row],[Столбец1]]*Таблица1[[#This Row],[коэф]])))))))))))))),
(IF((G146="5/24"),((база!$M$6*2*Таблица1[[#This Row],[Столбец1]]*Таблица1[[#This Row],[коэф]])),
IF(OR(G146="4/24",G146="3/24"),((база!$M$5*2*Таблица1[[#This Row],[Столбец1]]*Таблица1[[#This Row],[коэф]])),
IF((G146="5/16"),((база!$L$6*2*Таблица1[[#This Row],[Столбец1]]*Таблица1[[#This Row],[коэф]])),
IF(OR(G146="4/16",G146="3/16"),((база!$L$5*2*Таблица1[[#This Row],[Столбец1]]*Таблица1[[#This Row],[коэф]])),
IF(OR(G146="2/4",G146="3/4",G146="4/4"),((база!$I$5*2*Таблица1[[#This Row],[Столбец1]]*Таблица1[[#This Row],[коэф]])),
IF((G146="5/8"),((база!$J$6*2*Таблица1[[#This Row],[Столбец1]]*Таблица1[[#This Row],[коэф]])),
IF(OR(G146="4/8",G146="3/8",G146="2/8"),((база!$J$5*2*Таблица1[[#This Row],[Столбец1]]*Таблица1[[#This Row],[коэф]])))))))))))</f>
        <v>0</v>
      </c>
      <c r="AQ146" s="712" t="str">
        <f>IFERROR(INDEX(база!T:T, MATCH(F146,база!Q:Q,0)),"")</f>
        <v/>
      </c>
      <c r="AR146" s="208" t="str">
        <f>IFERROR(INDEX(база!D:D, MATCH(F146,база!B:B,0)),"")</f>
        <v/>
      </c>
      <c r="AS146" s="758" t="str">
        <f>IFERROR(INDEX(база!E:E, MATCH(F146,база!B:B,0)),"")</f>
        <v/>
      </c>
    </row>
    <row r="147" spans="1:45" ht="15">
      <c r="A147" s="1158" t="str">
        <f t="shared" si="4"/>
        <v>январь</v>
      </c>
      <c r="B147" t="n" s="1158">
        <v>2024.0</v>
      </c>
      <c r="C147" t="s" s="1158">
        <v>396</v>
      </c>
      <c r="D147" t="s" s="1158">
        <v>364</v>
      </c>
      <c r="E147" t="s" s="1158">
        <v>46</v>
      </c>
      <c r="F147" t="s" s="1158">
        <v>263</v>
      </c>
      <c r="G147" t="s" s="1158">
        <v>4</v>
      </c>
      <c r="H147" s="1158"/>
      <c r="I147" s="1158"/>
      <c r="J147" s="1158"/>
      <c r="K147" s="1158"/>
      <c r="L147" s="1158"/>
      <c r="M147" s="1158"/>
      <c r="N147" s="1158"/>
      <c r="O147" s="1158"/>
      <c r="P147" s="1158"/>
      <c r="Q147" s="1158"/>
      <c r="R147" t="n" s="1158">
        <v>1.0</v>
      </c>
      <c r="S147" s="563"/>
      <c r="T147" s="563"/>
      <c r="U147" s="563"/>
      <c r="V147" s="563"/>
      <c r="W147" s="563"/>
      <c r="X147" s="48"/>
      <c r="Y147" s="48"/>
      <c r="Z147" s="48"/>
      <c r="AA147" s="48"/>
      <c r="AB147" s="48"/>
      <c r="AC147" s="48"/>
      <c r="AD147" s="48"/>
      <c r="AE147" s="48"/>
      <c r="AF147" s="48"/>
      <c r="AG147" s="48"/>
      <c r="AH147" s="48"/>
      <c r="AI147" s="48"/>
      <c r="AJ147" s="48"/>
      <c r="AK147" s="48"/>
      <c r="AL147" s="258"/>
      <c r="AM147" s="212">
        <f>IF(AQ147=1,SUM(Q147:T147,W147:Z147,AC147:AF147,AI147:AL147),
IF(AQ147=2,SUM(P147,S147:V147,Y147:AB147,AE147:AH147,AK147:AL147),
IF(AQ147=3,SUM(P147:R147,U147:X147,AA147:AD147,AG147:AJ147),SUM(Таблица1[[#This Row],[1]:[31]])-Таблица1[[#This Row],[Столбец1]])))</f>
        <v>0</v>
      </c>
      <c r="AN147" s="778">
        <f t="array" ref="AN147">IF(AQ147=1,SUM(P147,U147:V147,AA147:AB147,AG147:AH147),
IF(AQ147=2,SUM(Q147:R147,W147:X147,AC147:AD147,AI147:AJ147),
IF(AQ147=3,SUM(S147:T147,Y147:Z147,AE147:AF147,AK147:AL147),
SUM(IFERROR(WEEKDAY($H$2:$AL$2,2)&gt;5,)*H147:AL147))))+Таблица1[[#This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47" s="292" t="b">
        <f>IF(AR147&lt;=3,(IF((G147="5/24"),((база!$M$6*Таблица1[[#This Row],[сумма]]*Таблица1[[#This Row],[коэф]])),
IF((G147="4/24"),((база!$M$5*Таблица1[[#This Row],[сумма]]*Таблица1[[#This Row],[коэф]])),
IF((G147="3/24"),((база!$M$4*Таблица1[[#This Row],[сумма]]*Таблица1[[#This Row],[коэф]])),
IF((G147="5/16"),((база!$L$6*Таблица1[[#This Row],[сумма]]*Таблица1[[#This Row],[коэф]])),
IF((G147="4/16"),((база!$L$5*Таблица1[[#This Row],[сумма]]*Таблица1[[#This Row],[коэф]])),
IF((G147="3/16"),((база!$L$4*Таблица1[[#This Row],[сумма]]*Таблица1[[#This Row],[коэф]])),
IF((G147="4/4"),((база!$I$5*Таблица1[[#This Row],[сумма]]*Таблица1[[#This Row],[коэф]])),
IF(OR(G147="2/4",G147="3/4"),((база!$I$4*Таблица1[[#This Row],[сумма]]*Таблица1[[#This Row],[коэф]])),
IF((G147="5/8"),((база!$J$6*Таблица1[[#This Row],[сумма]]*Таблица1[[#This Row],[коэф]])),
IF((G147="4/8"),((база!$J$5*Таблица1[[#This Row],[сумма]]*Таблица1[[#This Row],[коэф]])),
IF(OR(G147="3/8",G147="2/8"),((база!$J$4*Таблица1[[#This Row],[сумма]]*Таблица1[[#This Row],[коэф]])))))))))))))),
(IF((G147="5/24"),((база!$M$6*Таблица1[[#This Row],[сумма]]*Таблица1[[#This Row],[коэф]])),
IF(OR(G147="4/24",G147="3/24"),((база!$M$5*Таблица1[[#This Row],[сумма]]*Таблица1[[#This Row],[коэф]])),
IF((G147="5/16"),((база!$L$6*Таблица1[[#This Row],[сумма]]*Таблица1[[#This Row],[коэф]])),
IF(OR(G147="4/16",G147="3/16"),((база!$L$5*Таблица1[[#This Row],[сумма]]*Таблица1[[#This Row],[коэф]])),
IF(OR(G147="2/4",G147="3/4",G147="4/4"),((база!$I$5*Таблица1[[#This Row],[сумма]]*Таблица1[[#This Row],[коэф]])),
IF((G147="5/8"),((база!$J$6*Таблица1[[#This Row],[сумма]]*Таблица1[[#This Row],[коэф]])),
IF(OR(G147="4/8",G147="3/8",G147="2/8"),((база!$J$5*Таблица1[[#This Row],[сумма]]*Таблица1[[#This Row],[коэф]])))))))))))</f>
        <v>0</v>
      </c>
      <c r="AP147" s="730" t="b">
        <f>IF(AR147&lt;=3,(IF((G147="5/24"),((база!$M$6*2*Таблица1[[#This Row],[Столбец1]]*Таблица1[[#This Row],[коэф]])),
IF((G147="4/24"),((база!$M$5*2*Таблица1[[#This Row],[Столбец1]]*Таблица1[[#This Row],[коэф]])),
IF((G147="3/24"),((база!$M$4*2*Таблица1[[#This Row],[Столбец1]]*Таблица1[[#This Row],[коэф]])),
IF((G147="5/16"),((база!$L$6*2*Таблица1[[#This Row],[Столбец1]]*Таблица1[[#This Row],[коэф]])),
IF((G147="4/16"),((база!$L$5*2*Таблица1[[#This Row],[Столбец1]]*Таблица1[[#This Row],[коэф]])),
IF((G147="3/16"),((база!$L$4*2*Таблица1[[#This Row],[Столбец1]]*Таблица1[[#This Row],[коэф]])),
IF((G147="4/4"),((база!$I$5*2*Таблица1[[#This Row],[Столбец1]]*Таблица1[[#This Row],[коэф]])),
IF(OR(G147="2/4",G147="3/4"),((база!$I$4*2*Таблица1[[#This Row],[Столбец1]]*Таблица1[[#This Row],[коэф]])),
IF((G147="5/8"),((база!$J$6*2*Таблица1[[#This Row],[Столбец1]]*Таблица1[[#This Row],[коэф]])),
IF((G147="4/8"),((база!$J$5*2*Таблица1[[#This Row],[Столбец1]]*Таблица1[[#This Row],[коэф]])),
IF(OR(G147="3/8",G147="2/8"),((база!$J$4*2*Таблица1[[#This Row],[Столбец1]]*Таблица1[[#This Row],[коэф]])))))))))))))),
(IF((G147="5/24"),((база!$M$6*2*Таблица1[[#This Row],[Столбец1]]*Таблица1[[#This Row],[коэф]])),
IF(OR(G147="4/24",G147="3/24"),((база!$M$5*2*Таблица1[[#This Row],[Столбец1]]*Таблица1[[#This Row],[коэф]])),
IF((G147="5/16"),((база!$L$6*2*Таблица1[[#This Row],[Столбец1]]*Таблица1[[#This Row],[коэф]])),
IF(OR(G147="4/16",G147="3/16"),((база!$L$5*2*Таблица1[[#This Row],[Столбец1]]*Таблица1[[#This Row],[коэф]])),
IF(OR(G147="2/4",G147="3/4",G147="4/4"),((база!$I$5*2*Таблица1[[#This Row],[Столбец1]]*Таблица1[[#This Row],[коэф]])),
IF((G147="5/8"),((база!$J$6*2*Таблица1[[#This Row],[Столбец1]]*Таблица1[[#This Row],[коэф]])),
IF(OR(G147="4/8",G147="3/8",G147="2/8"),((база!$J$5*2*Таблица1[[#This Row],[Столбец1]]*Таблица1[[#This Row],[коэф]])))))))))))</f>
        <v>0</v>
      </c>
      <c r="AQ147" s="712" t="str">
        <f>IFERROR(INDEX(база!T:T, MATCH(F147,база!Q:Q,0)),"")</f>
        <v/>
      </c>
      <c r="AR147" s="208" t="str">
        <f>IFERROR(INDEX(база!D:D, MATCH(F147,база!B:B,0)),"")</f>
        <v/>
      </c>
      <c r="AS147" s="758" t="str">
        <f>IFERROR(INDEX(база!E:E, MATCH(F147,база!B:B,0)),"")</f>
        <v/>
      </c>
    </row>
    <row r="148" spans="1:45" ht="15">
      <c r="A148" s="1159" t="str">
        <f t="shared" si="4"/>
        <v>январь</v>
      </c>
      <c r="B148" t="n" s="1159">
        <v>2024.0</v>
      </c>
      <c r="C148" t="s" s="1159">
        <v>396</v>
      </c>
      <c r="D148" t="s" s="1159">
        <v>364</v>
      </c>
      <c r="E148" t="s" s="1159">
        <v>46</v>
      </c>
      <c r="F148" t="s" s="1159">
        <v>263</v>
      </c>
      <c r="G148" t="s" s="1159">
        <v>6</v>
      </c>
      <c r="H148" s="1159"/>
      <c r="I148" s="1159"/>
      <c r="J148" s="1159"/>
      <c r="K148" s="1159"/>
      <c r="L148" s="1159"/>
      <c r="M148" s="1159"/>
      <c r="N148" s="1159"/>
      <c r="O148" s="1159"/>
      <c r="P148" s="1159"/>
      <c r="Q148" s="1159"/>
      <c r="R148" t="n" s="1159">
        <v>6.2</v>
      </c>
      <c r="S148" s="563"/>
      <c r="T148" s="563"/>
      <c r="U148" s="563"/>
      <c r="V148" s="563"/>
      <c r="W148" s="563"/>
      <c r="X148" s="563"/>
      <c r="Y148" s="563"/>
      <c r="Z148" s="563"/>
      <c r="AA148" s="563"/>
      <c r="AB148" s="563"/>
      <c r="AC148" s="563"/>
      <c r="AD148" s="48"/>
      <c r="AE148" s="48"/>
      <c r="AF148" s="48"/>
      <c r="AG148" s="48"/>
      <c r="AH148" s="48"/>
      <c r="AI148" s="48"/>
      <c r="AJ148" s="48"/>
      <c r="AK148" s="48"/>
      <c r="AL148" s="258"/>
      <c r="AM148" s="212">
        <f>IF(AQ148=1,SUM(Q148:T148,W148:Z148,AC148:AF148,AI148:AL148),
IF(AQ148=2,SUM(P148,S148:V148,Y148:AB148,AE148:AH148,AK148:AL148),
IF(AQ148=3,SUM(P148:R148,U148:X148,AA148:AD148,AG148:AJ148),SUM(Таблица1[[#This Row],[1]:[31]])-Таблица1[[#This Row],[Столбец1]])))</f>
        <v>0</v>
      </c>
      <c r="AN148" s="778">
        <f t="array" ref="AN148">IF(AQ148=1,SUM(P148,U148:V148,AA148:AB148,AG148:AH148),
IF(AQ148=2,SUM(Q148:R148,W148:X148,AC148:AD148,AI148:AJ148),
IF(AQ148=3,SUM(S148:T148,Y148:Z148,AE148:AF148,AK148:AL148),
SUM(IFERROR(WEEKDAY($H$2:$AL$2,2)&gt;5,)*H148:AL148))))+Таблица1[[#This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48" s="292" t="b">
        <f>IF(AR148&lt;=3,(IF((G148="5/24"),((база!$M$6*Таблица1[[#This Row],[сумма]]*Таблица1[[#This Row],[коэф]])),
IF((G148="4/24"),((база!$M$5*Таблица1[[#This Row],[сумма]]*Таблица1[[#This Row],[коэф]])),
IF((G148="3/24"),((база!$M$4*Таблица1[[#This Row],[сумма]]*Таблица1[[#This Row],[коэф]])),
IF((G148="5/16"),((база!$L$6*Таблица1[[#This Row],[сумма]]*Таблица1[[#This Row],[коэф]])),
IF((G148="4/16"),((база!$L$5*Таблица1[[#This Row],[сумма]]*Таблица1[[#This Row],[коэф]])),
IF((G148="3/16"),((база!$L$4*Таблица1[[#This Row],[сумма]]*Таблица1[[#This Row],[коэф]])),
IF((G148="4/4"),((база!$I$5*Таблица1[[#This Row],[сумма]]*Таблица1[[#This Row],[коэф]])),
IF(OR(G148="2/4",G148="3/4"),((база!$I$4*Таблица1[[#This Row],[сумма]]*Таблица1[[#This Row],[коэф]])),
IF((G148="5/8"),((база!$J$6*Таблица1[[#This Row],[сумма]]*Таблица1[[#This Row],[коэф]])),
IF((G148="4/8"),((база!$J$5*Таблица1[[#This Row],[сумма]]*Таблица1[[#This Row],[коэф]])),
IF(OR(G148="3/8",G148="2/8"),((база!$J$4*Таблица1[[#This Row],[сумма]]*Таблица1[[#This Row],[коэф]])))))))))))))),
(IF((G148="5/24"),((база!$M$6*Таблица1[[#This Row],[сумма]]*Таблица1[[#This Row],[коэф]])),
IF(OR(G148="4/24",G148="3/24"),((база!$M$5*Таблица1[[#This Row],[сумма]]*Таблица1[[#This Row],[коэф]])),
IF((G148="5/16"),((база!$L$6*Таблица1[[#This Row],[сумма]]*Таблица1[[#This Row],[коэф]])),
IF(OR(G148="4/16",G148="3/16"),((база!$L$5*Таблица1[[#This Row],[сумма]]*Таблица1[[#This Row],[коэф]])),
IF(OR(G148="2/4",G148="3/4",G148="4/4"),((база!$I$5*Таблица1[[#This Row],[сумма]]*Таблица1[[#This Row],[коэф]])),
IF((G148="5/8"),((база!$J$6*Таблица1[[#This Row],[сумма]]*Таблица1[[#This Row],[коэф]])),
IF(OR(G148="4/8",G148="3/8",G148="2/8"),((база!$J$5*Таблица1[[#This Row],[сумма]]*Таблица1[[#This Row],[коэф]])))))))))))</f>
        <v>0</v>
      </c>
      <c r="AP148" s="730" t="b">
        <f>IF(AR148&lt;=3,(IF((G148="5/24"),((база!$M$6*2*Таблица1[[#This Row],[Столбец1]]*Таблица1[[#This Row],[коэф]])),
IF((G148="4/24"),((база!$M$5*2*Таблица1[[#This Row],[Столбец1]]*Таблица1[[#This Row],[коэф]])),
IF((G148="3/24"),((база!$M$4*2*Таблица1[[#This Row],[Столбец1]]*Таблица1[[#This Row],[коэф]])),
IF((G148="5/16"),((база!$L$6*2*Таблица1[[#This Row],[Столбец1]]*Таблица1[[#This Row],[коэф]])),
IF((G148="4/16"),((база!$L$5*2*Таблица1[[#This Row],[Столбец1]]*Таблица1[[#This Row],[коэф]])),
IF((G148="3/16"),((база!$L$4*2*Таблица1[[#This Row],[Столбец1]]*Таблица1[[#This Row],[коэф]])),
IF((G148="4/4"),((база!$I$5*2*Таблица1[[#This Row],[Столбец1]]*Таблица1[[#This Row],[коэф]])),
IF(OR(G148="2/4",G148="3/4"),((база!$I$4*2*Таблица1[[#This Row],[Столбец1]]*Таблица1[[#This Row],[коэф]])),
IF((G148="5/8"),((база!$J$6*2*Таблица1[[#This Row],[Столбец1]]*Таблица1[[#This Row],[коэф]])),
IF((G148="4/8"),((база!$J$5*2*Таблица1[[#This Row],[Столбец1]]*Таблица1[[#This Row],[коэф]])),
IF(OR(G148="3/8",G148="2/8"),((база!$J$4*2*Таблица1[[#This Row],[Столбец1]]*Таблица1[[#This Row],[коэф]])))))))))))))),
(IF((G148="5/24"),((база!$M$6*2*Таблица1[[#This Row],[Столбец1]]*Таблица1[[#This Row],[коэф]])),
IF(OR(G148="4/24",G148="3/24"),((база!$M$5*2*Таблица1[[#This Row],[Столбец1]]*Таблица1[[#This Row],[коэф]])),
IF((G148="5/16"),((база!$L$6*2*Таблица1[[#This Row],[Столбец1]]*Таблица1[[#This Row],[коэф]])),
IF(OR(G148="4/16",G148="3/16"),((база!$L$5*2*Таблица1[[#This Row],[Столбец1]]*Таблица1[[#This Row],[коэф]])),
IF(OR(G148="2/4",G148="3/4",G148="4/4"),((база!$I$5*2*Таблица1[[#This Row],[Столбец1]]*Таблица1[[#This Row],[коэф]])),
IF((G148="5/8"),((база!$J$6*2*Таблица1[[#This Row],[Столбец1]]*Таблица1[[#This Row],[коэф]])),
IF(OR(G148="4/8",G148="3/8",G148="2/8"),((база!$J$5*2*Таблица1[[#This Row],[Столбец1]]*Таблица1[[#This Row],[коэф]])))))))))))</f>
        <v>0</v>
      </c>
      <c r="AQ148" s="712" t="str">
        <f>IFERROR(INDEX(база!T:T, MATCH(F148,база!Q:Q,0)),"")</f>
        <v/>
      </c>
      <c r="AR148" s="208" t="str">
        <f>IFERROR(INDEX(база!D:D, MATCH(F148,база!B:B,0)),"")</f>
        <v/>
      </c>
      <c r="AS148" s="758" t="str">
        <f>IFERROR(INDEX(база!E:E, MATCH(F148,база!B:B,0)),"")</f>
        <v/>
      </c>
    </row>
    <row r="149" spans="1:45" ht="15">
      <c r="A149" s="1162" t="str">
        <f t="shared" si="4"/>
        <v>январь</v>
      </c>
      <c r="B149" t="n" s="1162">
        <v>2024.0</v>
      </c>
      <c r="C149" t="s" s="1162">
        <v>388</v>
      </c>
      <c r="D149" t="s" s="1162">
        <v>381</v>
      </c>
      <c r="E149" t="s" s="1162">
        <v>389</v>
      </c>
      <c r="F149" t="s" s="1162">
        <v>329</v>
      </c>
      <c r="G149" t="s" s="1162">
        <v>5</v>
      </c>
      <c r="H149" s="1162"/>
      <c r="I149" s="1162"/>
      <c r="J149" s="1162"/>
      <c r="K149" s="1162"/>
      <c r="L149" s="1162"/>
      <c r="M149" s="1162"/>
      <c r="N149" s="1162"/>
      <c r="O149" s="1162"/>
      <c r="P149" s="1162"/>
      <c r="Q149" s="1162"/>
      <c r="R149" s="1162"/>
      <c r="S149" t="n" s="1162">
        <v>1.0</v>
      </c>
      <c r="T149" t="n" s="46">
        <v>1.0</v>
      </c>
      <c r="U149" t="n" s="46">
        <v>5.0</v>
      </c>
      <c r="V149" s="563"/>
      <c r="W149" s="563"/>
      <c r="X149" s="563"/>
      <c r="Y149" s="563"/>
      <c r="Z149" s="563"/>
      <c r="AA149" s="48"/>
      <c r="AB149" s="48"/>
      <c r="AC149" s="48"/>
      <c r="AD149" s="48"/>
      <c r="AE149" s="48"/>
      <c r="AF149" s="48"/>
      <c r="AG149" s="48"/>
      <c r="AH149" s="48"/>
      <c r="AI149" s="48"/>
      <c r="AJ149" s="48"/>
      <c r="AK149" s="48"/>
      <c r="AL149" s="258"/>
      <c r="AM149" s="212">
        <f>IF(AQ149=1,SUM(Q149:T149,W149:Z149,AC149:AF149,AI149:AL149),
IF(AQ149=2,SUM(P149,S149:V149,Y149:AB149,AE149:AH149,AK149:AL149),
IF(AQ149=3,SUM(P149:R149,U149:X149,AA149:AD149,AG149:AJ149),SUM(Таблица1[[#This Row],[1]:[31]])-Таблица1[[#This Row],[Столбец1]])))</f>
        <v>0</v>
      </c>
      <c r="AN149" s="778">
        <f t="array" ref="AN149">IF(AQ149=1,SUM(P149,U149:V149,AA149:AB149,AG149:AH149),
IF(AQ149=2,SUM(Q149:R149,W149:X149,AC149:AD149,AI149:AJ149),
IF(AQ149=3,SUM(S149:T149,Y149:Z149,AE149:AF149,AK149:AL149),
SUM(IFERROR(WEEKDAY($H$2:$AL$2,2)&gt;5,)*H149:AL149))))+Таблица1[[#This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49" s="292" t="b">
        <f>IF(AR149&lt;=3,(IF((G149="5/24"),((база!$M$6*Таблица1[[#This Row],[сумма]]*Таблица1[[#This Row],[коэф]])),
IF((G149="4/24"),((база!$M$5*Таблица1[[#This Row],[сумма]]*Таблица1[[#This Row],[коэф]])),
IF((G149="3/24"),((база!$M$4*Таблица1[[#This Row],[сумма]]*Таблица1[[#This Row],[коэф]])),
IF((G149="5/16"),((база!$L$6*Таблица1[[#This Row],[сумма]]*Таблица1[[#This Row],[коэф]])),
IF((G149="4/16"),((база!$L$5*Таблица1[[#This Row],[сумма]]*Таблица1[[#This Row],[коэф]])),
IF((G149="3/16"),((база!$L$4*Таблица1[[#This Row],[сумма]]*Таблица1[[#This Row],[коэф]])),
IF((G149="4/4"),((база!$I$5*Таблица1[[#This Row],[сумма]]*Таблица1[[#This Row],[коэф]])),
IF(OR(G149="2/4",G149="3/4"),((база!$I$4*Таблица1[[#This Row],[сумма]]*Таблица1[[#This Row],[коэф]])),
IF((G149="5/8"),((база!$J$6*Таблица1[[#This Row],[сумма]]*Таблица1[[#This Row],[коэф]])),
IF((G149="4/8"),((база!$J$5*Таблица1[[#This Row],[сумма]]*Таблица1[[#This Row],[коэф]])),
IF(OR(G149="3/8",G149="2/8"),((база!$J$4*Таблица1[[#This Row],[сумма]]*Таблица1[[#This Row],[коэф]])))))))))))))),
(IF((G149="5/24"),((база!$M$6*Таблица1[[#This Row],[сумма]]*Таблица1[[#This Row],[коэф]])),
IF(OR(G149="4/24",G149="3/24"),((база!$M$5*Таблица1[[#This Row],[сумма]]*Таблица1[[#This Row],[коэф]])),
IF((G149="5/16"),((база!$L$6*Таблица1[[#This Row],[сумма]]*Таблица1[[#This Row],[коэф]])),
IF(OR(G149="4/16",G149="3/16"),((база!$L$5*Таблица1[[#This Row],[сумма]]*Таблица1[[#This Row],[коэф]])),
IF(OR(G149="2/4",G149="3/4",G149="4/4"),((база!$I$5*Таблица1[[#This Row],[сумма]]*Таблица1[[#This Row],[коэф]])),
IF((G149="5/8"),((база!$J$6*Таблица1[[#This Row],[сумма]]*Таблица1[[#This Row],[коэф]])),
IF(OR(G149="4/8",G149="3/8",G149="2/8"),((база!$J$5*Таблица1[[#This Row],[сумма]]*Таблица1[[#This Row],[коэф]])))))))))))</f>
        <v>0</v>
      </c>
      <c r="AP149" s="730" t="b">
        <f>IF(AR149&lt;=3,(IF((G149="5/24"),((база!$M$6*2*Таблица1[[#This Row],[Столбец1]]*Таблица1[[#This Row],[коэф]])),
IF((G149="4/24"),((база!$M$5*2*Таблица1[[#This Row],[Столбец1]]*Таблица1[[#This Row],[коэф]])),
IF((G149="3/24"),((база!$M$4*2*Таблица1[[#This Row],[Столбец1]]*Таблица1[[#This Row],[коэф]])),
IF((G149="5/16"),((база!$L$6*2*Таблица1[[#This Row],[Столбец1]]*Таблица1[[#This Row],[коэф]])),
IF((G149="4/16"),((база!$L$5*2*Таблица1[[#This Row],[Столбец1]]*Таблица1[[#This Row],[коэф]])),
IF((G149="3/16"),((база!$L$4*2*Таблица1[[#This Row],[Столбец1]]*Таблица1[[#This Row],[коэф]])),
IF((G149="4/4"),((база!$I$5*2*Таблица1[[#This Row],[Столбец1]]*Таблица1[[#This Row],[коэф]])),
IF(OR(G149="2/4",G149="3/4"),((база!$I$4*2*Таблица1[[#This Row],[Столбец1]]*Таблица1[[#This Row],[коэф]])),
IF((G149="5/8"),((база!$J$6*2*Таблица1[[#This Row],[Столбец1]]*Таблица1[[#This Row],[коэф]])),
IF((G149="4/8"),((база!$J$5*2*Таблица1[[#This Row],[Столбец1]]*Таблица1[[#This Row],[коэф]])),
IF(OR(G149="3/8",G149="2/8"),((база!$J$4*2*Таблица1[[#This Row],[Столбец1]]*Таблица1[[#This Row],[коэф]])))))))))))))),
(IF((G149="5/24"),((база!$M$6*2*Таблица1[[#This Row],[Столбец1]]*Таблица1[[#This Row],[коэф]])),
IF(OR(G149="4/24",G149="3/24"),((база!$M$5*2*Таблица1[[#This Row],[Столбец1]]*Таблица1[[#This Row],[коэф]])),
IF((G149="5/16"),((база!$L$6*2*Таблица1[[#This Row],[Столбец1]]*Таблица1[[#This Row],[коэф]])),
IF(OR(G149="4/16",G149="3/16"),((база!$L$5*2*Таблица1[[#This Row],[Столбец1]]*Таблица1[[#This Row],[коэф]])),
IF(OR(G149="2/4",G149="3/4",G149="4/4"),((база!$I$5*2*Таблица1[[#This Row],[Столбец1]]*Таблица1[[#This Row],[коэф]])),
IF((G149="5/8"),((база!$J$6*2*Таблица1[[#This Row],[Столбец1]]*Таблица1[[#This Row],[коэф]])),
IF(OR(G149="4/8",G149="3/8",G149="2/8"),((база!$J$5*2*Таблица1[[#This Row],[Столбец1]]*Таблица1[[#This Row],[коэф]])))))))))))</f>
        <v>0</v>
      </c>
      <c r="AQ149" s="712" t="str">
        <f>IFERROR(INDEX(база!T:T, MATCH(F149,база!Q:Q,0)),"")</f>
        <v/>
      </c>
      <c r="AR149" s="208" t="str">
        <f>IFERROR(INDEX(база!D:D, MATCH(F149,база!B:B,0)),"")</f>
        <v/>
      </c>
      <c r="AS149" s="758" t="str">
        <f>IFERROR(INDEX(база!E:E, MATCH(F149,база!B:B,0)),"")</f>
        <v/>
      </c>
    </row>
    <row r="150" spans="1:45" ht="15">
      <c r="A150" s="1163" t="str">
        <f t="shared" si="4"/>
        <v>январь</v>
      </c>
      <c r="B150" t="n" s="1163">
        <v>2024.0</v>
      </c>
      <c r="C150" t="s" s="1163">
        <v>386</v>
      </c>
      <c r="D150" t="s" s="1163">
        <v>364</v>
      </c>
      <c r="E150" t="s" s="1163">
        <v>46</v>
      </c>
      <c r="F150" t="s" s="1163">
        <v>361</v>
      </c>
      <c r="G150" t="s" s="1163">
        <v>4</v>
      </c>
      <c r="H150" s="1163"/>
      <c r="I150" s="1163"/>
      <c r="J150" s="1163"/>
      <c r="K150" s="1163"/>
      <c r="L150" s="1163"/>
      <c r="M150" s="1163"/>
      <c r="N150" s="1163"/>
      <c r="O150" s="1163"/>
      <c r="P150" s="1163"/>
      <c r="Q150" s="1163"/>
      <c r="R150" s="1163"/>
      <c r="S150" t="n" s="1163">
        <v>7.0</v>
      </c>
      <c r="T150" s="563"/>
      <c r="U150" s="563"/>
      <c r="V150" s="563"/>
      <c r="W150" s="563"/>
      <c r="X150" s="563"/>
      <c r="Y150" s="563"/>
      <c r="Z150" s="563"/>
      <c r="AA150" s="563"/>
      <c r="AB150" s="563"/>
      <c r="AC150" s="563"/>
      <c r="AD150" s="48"/>
      <c r="AE150" s="48"/>
      <c r="AF150" s="258"/>
      <c r="AG150" s="258"/>
      <c r="AH150" s="48"/>
      <c r="AI150" s="48"/>
      <c r="AJ150" s="48"/>
      <c r="AK150" s="48"/>
      <c r="AL150" s="258"/>
      <c r="AM150" s="212">
        <f>IF(AQ150=1,SUM(Q150:T150,W150:Z150,AC150:AF150,AI150:AL150),
IF(AQ150=2,SUM(P150,S150:V150,Y150:AB150,AE150:AH150,AK150:AL150),
IF(AQ150=3,SUM(P150:R150,U150:X150,AA150:AD150,AG150:AJ150),SUM(Таблица1[[#This Row],[1]:[31]])-Таблица1[[#This Row],[Столбец1]])))</f>
        <v>0</v>
      </c>
      <c r="AN150" s="778">
        <f t="array" ref="AN150">IF(AQ150=1,SUM(P150,U150:V150,AA150:AB150,AG150:AH150),
IF(AQ150=2,SUM(Q150:R150,W150:X150,AC150:AD150,AI150:AJ150),
IF(AQ150=3,SUM(S150:T150,Y150:Z150,AE150:AF150,AK150:AL150),
SUM(IFERROR(WEEKDAY($H$2:$AL$2,2)&gt;5,)*H150:AL150))))+Таблица1[[#This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50" s="292" t="b">
        <f>IF(AR150&lt;=3,(IF((G150="5/24"),((база!$M$6*Таблица1[[#This Row],[сумма]]*Таблица1[[#This Row],[коэф]])),
IF((G150="4/24"),((база!$M$5*Таблица1[[#This Row],[сумма]]*Таблица1[[#This Row],[коэф]])),
IF((G150="3/24"),((база!$M$4*Таблица1[[#This Row],[сумма]]*Таблица1[[#This Row],[коэф]])),
IF((G150="5/16"),((база!$L$6*Таблица1[[#This Row],[сумма]]*Таблица1[[#This Row],[коэф]])),
IF((G150="4/16"),((база!$L$5*Таблица1[[#This Row],[сумма]]*Таблица1[[#This Row],[коэф]])),
IF((G150="3/16"),((база!$L$4*Таблица1[[#This Row],[сумма]]*Таблица1[[#This Row],[коэф]])),
IF((G150="4/4"),((база!$I$5*Таблица1[[#This Row],[сумма]]*Таблица1[[#This Row],[коэф]])),
IF(OR(G150="2/4",G150="3/4"),((база!$I$4*Таблица1[[#This Row],[сумма]]*Таблица1[[#This Row],[коэф]])),
IF((G150="5/8"),((база!$J$6*Таблица1[[#This Row],[сумма]]*Таблица1[[#This Row],[коэф]])),
IF((G150="4/8"),((база!$J$5*Таблица1[[#This Row],[сумма]]*Таблица1[[#This Row],[коэф]])),
IF(OR(G150="3/8",G150="2/8"),((база!$J$4*Таблица1[[#This Row],[сумма]]*Таблица1[[#This Row],[коэф]])))))))))))))),
(IF((G150="5/24"),((база!$M$6*Таблица1[[#This Row],[сумма]]*Таблица1[[#This Row],[коэф]])),
IF(OR(G150="4/24",G150="3/24"),((база!$M$5*Таблица1[[#This Row],[сумма]]*Таблица1[[#This Row],[коэф]])),
IF((G150="5/16"),((база!$L$6*Таблица1[[#This Row],[сумма]]*Таблица1[[#This Row],[коэф]])),
IF(OR(G150="4/16",G150="3/16"),((база!$L$5*Таблица1[[#This Row],[сумма]]*Таблица1[[#This Row],[коэф]])),
IF(OR(G150="2/4",G150="3/4",G150="4/4"),((база!$I$5*Таблица1[[#This Row],[сумма]]*Таблица1[[#This Row],[коэф]])),
IF((G150="5/8"),((база!$J$6*Таблица1[[#This Row],[сумма]]*Таблица1[[#This Row],[коэф]])),
IF(OR(G150="4/8",G150="3/8",G150="2/8"),((база!$J$5*Таблица1[[#This Row],[сумма]]*Таблица1[[#This Row],[коэф]])))))))))))</f>
        <v>0</v>
      </c>
      <c r="AP150" s="730" t="b">
        <f>IF(AR150&lt;=3,(IF((G150="5/24"),((база!$M$6*2*Таблица1[[#This Row],[Столбец1]]*Таблица1[[#This Row],[коэф]])),
IF((G150="4/24"),((база!$M$5*2*Таблица1[[#This Row],[Столбец1]]*Таблица1[[#This Row],[коэф]])),
IF((G150="3/24"),((база!$M$4*2*Таблица1[[#This Row],[Столбец1]]*Таблица1[[#This Row],[коэф]])),
IF((G150="5/16"),((база!$L$6*2*Таблица1[[#This Row],[Столбец1]]*Таблица1[[#This Row],[коэф]])),
IF((G150="4/16"),((база!$L$5*2*Таблица1[[#This Row],[Столбец1]]*Таблица1[[#This Row],[коэф]])),
IF((G150="3/16"),((база!$L$4*2*Таблица1[[#This Row],[Столбец1]]*Таблица1[[#This Row],[коэф]])),
IF((G150="4/4"),((база!$I$5*2*Таблица1[[#This Row],[Столбец1]]*Таблица1[[#This Row],[коэф]])),
IF(OR(G150="2/4",G150="3/4"),((база!$I$4*2*Таблица1[[#This Row],[Столбец1]]*Таблица1[[#This Row],[коэф]])),
IF((G150="5/8"),((база!$J$6*2*Таблица1[[#This Row],[Столбец1]]*Таблица1[[#This Row],[коэф]])),
IF((G150="4/8"),((база!$J$5*2*Таблица1[[#This Row],[Столбец1]]*Таблица1[[#This Row],[коэф]])),
IF(OR(G150="3/8",G150="2/8"),((база!$J$4*2*Таблица1[[#This Row],[Столбец1]]*Таблица1[[#This Row],[коэф]])))))))))))))),
(IF((G150="5/24"),((база!$M$6*2*Таблица1[[#This Row],[Столбец1]]*Таблица1[[#This Row],[коэф]])),
IF(OR(G150="4/24",G150="3/24"),((база!$M$5*2*Таблица1[[#This Row],[Столбец1]]*Таблица1[[#This Row],[коэф]])),
IF((G150="5/16"),((база!$L$6*2*Таблица1[[#This Row],[Столбец1]]*Таблица1[[#This Row],[коэф]])),
IF(OR(G150="4/16",G150="3/16"),((база!$L$5*2*Таблица1[[#This Row],[Столбец1]]*Таблица1[[#This Row],[коэф]])),
IF(OR(G150="2/4",G150="3/4",G150="4/4"),((база!$I$5*2*Таблица1[[#This Row],[Столбец1]]*Таблица1[[#This Row],[коэф]])),
IF((G150="5/8"),((база!$J$6*2*Таблица1[[#This Row],[Столбец1]]*Таблица1[[#This Row],[коэф]])),
IF(OR(G150="4/8",G150="3/8",G150="2/8"),((база!$J$5*2*Таблица1[[#This Row],[Столбец1]]*Таблица1[[#This Row],[коэф]])))))))))))</f>
        <v>0</v>
      </c>
      <c r="AQ150" s="712" t="str">
        <f>IFERROR(INDEX(база!T:T, MATCH(F150,база!Q:Q,0)),"")</f>
        <v/>
      </c>
      <c r="AR150" s="208" t="str">
        <f>IFERROR(INDEX(база!D:D, MATCH(F150,база!B:B,0)),"")</f>
        <v/>
      </c>
      <c r="AS150" s="758" t="str">
        <f>IFERROR(INDEX(база!E:E, MATCH(F150,база!B:B,0)),"")</f>
        <v/>
      </c>
    </row>
    <row r="151" spans="1:45" ht="15">
      <c r="A151" s="1164" t="str">
        <f t="shared" si="4"/>
        <v>январь</v>
      </c>
      <c r="B151" t="n" s="1164">
        <v>2024.0</v>
      </c>
      <c r="C151" t="s" s="1164">
        <v>386</v>
      </c>
      <c r="D151" t="s" s="1164">
        <v>365</v>
      </c>
      <c r="E151" t="s" s="1164">
        <v>46</v>
      </c>
      <c r="F151" t="s" s="1164">
        <v>285</v>
      </c>
      <c r="G151" t="s" s="1164">
        <v>67</v>
      </c>
      <c r="H151" s="1164"/>
      <c r="I151" s="1164"/>
      <c r="J151" s="1164"/>
      <c r="K151" s="1164"/>
      <c r="L151" s="1164"/>
      <c r="M151" s="1164"/>
      <c r="N151" s="1164"/>
      <c r="O151" s="1164"/>
      <c r="P151" s="1164"/>
      <c r="Q151" s="1164"/>
      <c r="R151" s="1164"/>
      <c r="S151" t="n" s="1164">
        <v>7.2</v>
      </c>
      <c r="T151" s="563"/>
      <c r="U151" s="563"/>
      <c r="V151" s="563"/>
      <c r="W151" s="563"/>
      <c r="X151" s="563"/>
      <c r="Y151" s="48"/>
      <c r="Z151" s="48"/>
      <c r="AA151" s="48"/>
      <c r="AB151" s="48"/>
      <c r="AC151" s="48"/>
      <c r="AD151" s="48"/>
      <c r="AE151" s="48"/>
      <c r="AF151" s="48"/>
      <c r="AG151" s="48"/>
      <c r="AH151" s="48"/>
      <c r="AI151" s="48"/>
      <c r="AJ151" s="48"/>
      <c r="AK151" s="258"/>
      <c r="AL151" s="258"/>
      <c r="AM151" s="212">
        <f>IF(AQ151=1,SUM(Q151:T151,W151:Z151,AC151:AF151,AI151:AL151),
IF(AQ151=2,SUM(P151,S151:V151,Y151:AB151,AE151:AH151,AK151:AL151),
IF(AQ151=3,SUM(P151:R151,U151:X151,AA151:AD151,AG151:AJ151),SUM(Таблица1[[#This Row],[1]:[31]])-Таблица1[[#This Row],[Столбец1]])))</f>
        <v>0</v>
      </c>
      <c r="AN151" s="778">
        <f t="array" ref="AN151">IF(AQ151=1,SUM(P151,U151:V151,AA151:AB151,AG151:AH151),
IF(AQ151=2,SUM(Q151:R151,W151:X151,AC151:AD151,AI151:AJ151),
IF(AQ151=3,SUM(S151:T151,Y151:Z151,AE151:AF151,AK151:AL151),
SUM(IFERROR(WEEKDAY($H$2:$AL$2,2)&gt;5,)*H151:AL151))))+Таблица1[[#This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51" s="292" t="b">
        <f>IF(AR151&lt;=3,(IF((G151="5/24"),((база!$M$6*Таблица1[[#This Row],[сумма]]*Таблица1[[#This Row],[коэф]])),
IF((G151="4/24"),((база!$M$5*Таблица1[[#This Row],[сумма]]*Таблица1[[#This Row],[коэф]])),
IF((G151="3/24"),((база!$M$4*Таблица1[[#This Row],[сумма]]*Таблица1[[#This Row],[коэф]])),
IF((G151="5/16"),((база!$L$6*Таблица1[[#This Row],[сумма]]*Таблица1[[#This Row],[коэф]])),
IF((G151="4/16"),((база!$L$5*Таблица1[[#This Row],[сумма]]*Таблица1[[#This Row],[коэф]])),
IF((G151="3/16"),((база!$L$4*Таблица1[[#This Row],[сумма]]*Таблица1[[#This Row],[коэф]])),
IF((G151="4/4"),((база!$I$5*Таблица1[[#This Row],[сумма]]*Таблица1[[#This Row],[коэф]])),
IF(OR(G151="2/4",G151="3/4"),((база!$I$4*Таблица1[[#This Row],[сумма]]*Таблица1[[#This Row],[коэф]])),
IF((G151="5/8"),((база!$J$6*Таблица1[[#This Row],[сумма]]*Таблица1[[#This Row],[коэф]])),
IF((G151="4/8"),((база!$J$5*Таблица1[[#This Row],[сумма]]*Таблица1[[#This Row],[коэф]])),
IF(OR(G151="3/8",G151="2/8"),((база!$J$4*Таблица1[[#This Row],[сумма]]*Таблица1[[#This Row],[коэф]])))))))))))))),
(IF((G151="5/24"),((база!$M$6*Таблица1[[#This Row],[сумма]]*Таблица1[[#This Row],[коэф]])),
IF(OR(G151="4/24",G151="3/24"),((база!$M$5*Таблица1[[#This Row],[сумма]]*Таблица1[[#This Row],[коэф]])),
IF((G151="5/16"),((база!$L$6*Таблица1[[#This Row],[сумма]]*Таблица1[[#This Row],[коэф]])),
IF(OR(G151="4/16",G151="3/16"),((база!$L$5*Таблица1[[#This Row],[сумма]]*Таблица1[[#This Row],[коэф]])),
IF(OR(G151="2/4",G151="3/4",G151="4/4"),((база!$I$5*Таблица1[[#This Row],[сумма]]*Таблица1[[#This Row],[коэф]])),
IF((G151="5/8"),((база!$J$6*Таблица1[[#This Row],[сумма]]*Таблица1[[#This Row],[коэф]])),
IF(OR(G151="4/8",G151="3/8",G151="2/8"),((база!$J$5*Таблица1[[#This Row],[сумма]]*Таблица1[[#This Row],[коэф]])))))))))))</f>
        <v>0</v>
      </c>
      <c r="AP151" s="730" t="b">
        <f>IF(AR151&lt;=3,(IF((G151="5/24"),((база!$M$6*2*Таблица1[[#This Row],[Столбец1]]*Таблица1[[#This Row],[коэф]])),
IF((G151="4/24"),((база!$M$5*2*Таблица1[[#This Row],[Столбец1]]*Таблица1[[#This Row],[коэф]])),
IF((G151="3/24"),((база!$M$4*2*Таблица1[[#This Row],[Столбец1]]*Таблица1[[#This Row],[коэф]])),
IF((G151="5/16"),((база!$L$6*2*Таблица1[[#This Row],[Столбец1]]*Таблица1[[#This Row],[коэф]])),
IF((G151="4/16"),((база!$L$5*2*Таблица1[[#This Row],[Столбец1]]*Таблица1[[#This Row],[коэф]])),
IF((G151="3/16"),((база!$L$4*2*Таблица1[[#This Row],[Столбец1]]*Таблица1[[#This Row],[коэф]])),
IF((G151="4/4"),((база!$I$5*2*Таблица1[[#This Row],[Столбец1]]*Таблица1[[#This Row],[коэф]])),
IF(OR(G151="2/4",G151="3/4"),((база!$I$4*2*Таблица1[[#This Row],[Столбец1]]*Таблица1[[#This Row],[коэф]])),
IF((G151="5/8"),((база!$J$6*2*Таблица1[[#This Row],[Столбец1]]*Таблица1[[#This Row],[коэф]])),
IF((G151="4/8"),((база!$J$5*2*Таблица1[[#This Row],[Столбец1]]*Таблица1[[#This Row],[коэф]])),
IF(OR(G151="3/8",G151="2/8"),((база!$J$4*2*Таблица1[[#This Row],[Столбец1]]*Таблица1[[#This Row],[коэф]])))))))))))))),
(IF((G151="5/24"),((база!$M$6*2*Таблица1[[#This Row],[Столбец1]]*Таблица1[[#This Row],[коэф]])),
IF(OR(G151="4/24",G151="3/24"),((база!$M$5*2*Таблица1[[#This Row],[Столбец1]]*Таблица1[[#This Row],[коэф]])),
IF((G151="5/16"),((база!$L$6*2*Таблица1[[#This Row],[Столбец1]]*Таблица1[[#This Row],[коэф]])),
IF(OR(G151="4/16",G151="3/16"),((база!$L$5*2*Таблица1[[#This Row],[Столбец1]]*Таблица1[[#This Row],[коэф]])),
IF(OR(G151="2/4",G151="3/4",G151="4/4"),((база!$I$5*2*Таблица1[[#This Row],[Столбец1]]*Таблица1[[#This Row],[коэф]])),
IF((G151="5/8"),((база!$J$6*2*Таблица1[[#This Row],[Столбец1]]*Таблица1[[#This Row],[коэф]])),
IF(OR(G151="4/8",G151="3/8",G151="2/8"),((база!$J$5*2*Таблица1[[#This Row],[Столбец1]]*Таблица1[[#This Row],[коэф]])))))))))))</f>
        <v>0</v>
      </c>
      <c r="AQ151" s="712" t="str">
        <f>IFERROR(INDEX(база!T:T, MATCH(F151,база!Q:Q,0)),"")</f>
        <v/>
      </c>
      <c r="AR151" s="208" t="str">
        <f>IFERROR(INDEX(база!D:D, MATCH(F151,база!B:B,0)),"")</f>
        <v/>
      </c>
      <c r="AS151" s="758" t="str">
        <f>IFERROR(INDEX(база!E:E, MATCH(F151,база!B:B,0)),"")</f>
        <v/>
      </c>
    </row>
    <row r="152" spans="1:45" ht="14.25" customHeight="1">
      <c r="A152" s="1166" t="str">
        <f t="shared" si="4"/>
        <v>январь</v>
      </c>
      <c r="B152" t="n" s="1166">
        <v>2024.0</v>
      </c>
      <c r="C152" t="s" s="1166">
        <v>386</v>
      </c>
      <c r="D152" t="s" s="1166">
        <v>364</v>
      </c>
      <c r="E152" t="s" s="1166">
        <v>46</v>
      </c>
      <c r="F152" t="s" s="1166">
        <v>273</v>
      </c>
      <c r="G152" t="s" s="1166">
        <v>4</v>
      </c>
      <c r="H152" s="1166"/>
      <c r="I152" s="1166"/>
      <c r="J152" s="1166"/>
      <c r="K152" s="1166"/>
      <c r="L152" s="1166"/>
      <c r="M152" s="1166"/>
      <c r="N152" s="1166"/>
      <c r="O152" s="1166"/>
      <c r="P152" t="n" s="1166">
        <v>7.2</v>
      </c>
      <c r="Q152" s="300"/>
      <c r="R152" t="n" s="46">
        <v>7.2</v>
      </c>
      <c r="S152" s="300"/>
      <c r="T152" s="300"/>
      <c r="U152" s="563"/>
      <c r="V152" s="563"/>
      <c r="W152" s="563"/>
      <c r="X152" s="563"/>
      <c r="Y152" s="48"/>
      <c r="Z152" s="48"/>
      <c r="AA152" s="48"/>
      <c r="AB152" s="48"/>
      <c r="AC152" s="48"/>
      <c r="AD152" s="48"/>
      <c r="AE152" s="48"/>
      <c r="AF152" s="48"/>
      <c r="AG152" s="48"/>
      <c r="AH152" s="48"/>
      <c r="AI152" s="48"/>
      <c r="AJ152" s="258"/>
      <c r="AK152" s="48"/>
      <c r="AL152" s="51"/>
      <c r="AM152" s="212">
        <f>IF(AQ152=1,SUM(Q152:T152,W152:Z152,AC152:AF152,AI152:AL152),
IF(AQ152=2,SUM(P152,S152:V152,Y152:AB152,AE152:AH152,AK152:AL152),
IF(AQ152=3,SUM(P152:R152,U152:X152,AA152:AD152,AG152:AJ152),SUM(Таблица1[[#This Row],[1]:[31]])-Таблица1[[#This Row],[Столбец1]])))</f>
        <v>0</v>
      </c>
      <c r="AN152" s="778">
        <f t="array" ref="AN152">IF(AQ152=1,SUM(P152,U152:V152,AA152:AB152,AG152:AH152),
IF(AQ152=2,SUM(Q152:R152,W152:X152,AC152:AD152,AI152:AJ152),
IF(AQ152=3,SUM(S152:T152,Y152:Z152,AE152:AF152,AK152:AL152),
SUM(IFERROR(WEEKDAY($H$2:$AL$2,2)&gt;5,)*H152:AL152))))+Таблица1[[#This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52" s="292" t="b">
        <f>IF(AR152&lt;=3,(IF((G152="5/24"),((база!$M$6*Таблица1[[#This Row],[сумма]]*Таблица1[[#This Row],[коэф]])),
IF((G152="4/24"),((база!$M$5*Таблица1[[#This Row],[сумма]]*Таблица1[[#This Row],[коэф]])),
IF((G152="3/24"),((база!$M$4*Таблица1[[#This Row],[сумма]]*Таблица1[[#This Row],[коэф]])),
IF((G152="5/16"),((база!$L$6*Таблица1[[#This Row],[сумма]]*Таблица1[[#This Row],[коэф]])),
IF((G152="4/16"),((база!$L$5*Таблица1[[#This Row],[сумма]]*Таблица1[[#This Row],[коэф]])),
IF((G152="3/16"),((база!$L$4*Таблица1[[#This Row],[сумма]]*Таблица1[[#This Row],[коэф]])),
IF((G152="4/4"),((база!$I$5*Таблица1[[#This Row],[сумма]]*Таблица1[[#This Row],[коэф]])),
IF(OR(G152="2/4",G152="3/4"),((база!$I$4*Таблица1[[#This Row],[сумма]]*Таблица1[[#This Row],[коэф]])),
IF((G152="5/8"),((база!$J$6*Таблица1[[#This Row],[сумма]]*Таблица1[[#This Row],[коэф]])),
IF((G152="4/8"),((база!$J$5*Таблица1[[#This Row],[сумма]]*Таблица1[[#This Row],[коэф]])),
IF(OR(G152="3/8",G152="2/8"),((база!$J$4*Таблица1[[#This Row],[сумма]]*Таблица1[[#This Row],[коэф]])))))))))))))),
(IF((G152="5/24"),((база!$M$6*Таблица1[[#This Row],[сумма]]*Таблица1[[#This Row],[коэф]])),
IF(OR(G152="4/24",G152="3/24"),((база!$M$5*Таблица1[[#This Row],[сумма]]*Таблица1[[#This Row],[коэф]])),
IF((G152="5/16"),((база!$L$6*Таблица1[[#This Row],[сумма]]*Таблица1[[#This Row],[коэф]])),
IF(OR(G152="4/16",G152="3/16"),((база!$L$5*Таблица1[[#This Row],[сумма]]*Таблица1[[#This Row],[коэф]])),
IF(OR(G152="2/4",G152="3/4",G152="4/4"),((база!$I$5*Таблица1[[#This Row],[сумма]]*Таблица1[[#This Row],[коэф]])),
IF((G152="5/8"),((база!$J$6*Таблица1[[#This Row],[сумма]]*Таблица1[[#This Row],[коэф]])),
IF(OR(G152="4/8",G152="3/8",G152="2/8"),((база!$J$5*Таблица1[[#This Row],[сумма]]*Таблица1[[#This Row],[коэф]])))))))))))</f>
        <v>0</v>
      </c>
      <c r="AP152" s="730" t="b">
        <f>IF(AR152&lt;=3,(IF((G152="5/24"),((база!$M$6*2*Таблица1[[#This Row],[Столбец1]]*Таблица1[[#This Row],[коэф]])),
IF((G152="4/24"),((база!$M$5*2*Таблица1[[#This Row],[Столбец1]]*Таблица1[[#This Row],[коэф]])),
IF((G152="3/24"),((база!$M$4*2*Таблица1[[#This Row],[Столбец1]]*Таблица1[[#This Row],[коэф]])),
IF((G152="5/16"),((база!$L$6*2*Таблица1[[#This Row],[Столбец1]]*Таблица1[[#This Row],[коэф]])),
IF((G152="4/16"),((база!$L$5*2*Таблица1[[#This Row],[Столбец1]]*Таблица1[[#This Row],[коэф]])),
IF((G152="3/16"),((база!$L$4*2*Таблица1[[#This Row],[Столбец1]]*Таблица1[[#This Row],[коэф]])),
IF((G152="4/4"),((база!$I$5*2*Таблица1[[#This Row],[Столбец1]]*Таблица1[[#This Row],[коэф]])),
IF(OR(G152="2/4",G152="3/4"),((база!$I$4*2*Таблица1[[#This Row],[Столбец1]]*Таблица1[[#This Row],[коэф]])),
IF((G152="5/8"),((база!$J$6*2*Таблица1[[#This Row],[Столбец1]]*Таблица1[[#This Row],[коэф]])),
IF((G152="4/8"),((база!$J$5*2*Таблица1[[#This Row],[Столбец1]]*Таблица1[[#This Row],[коэф]])),
IF(OR(G152="3/8",G152="2/8"),((база!$J$4*2*Таблица1[[#This Row],[Столбец1]]*Таблица1[[#This Row],[коэф]])))))))))))))),
(IF((G152="5/24"),((база!$M$6*2*Таблица1[[#This Row],[Столбец1]]*Таблица1[[#This Row],[коэф]])),
IF(OR(G152="4/24",G152="3/24"),((база!$M$5*2*Таблица1[[#This Row],[Столбец1]]*Таблица1[[#This Row],[коэф]])),
IF((G152="5/16"),((база!$L$6*2*Таблица1[[#This Row],[Столбец1]]*Таблица1[[#This Row],[коэф]])),
IF(OR(G152="4/16",G152="3/16"),((база!$L$5*2*Таблица1[[#This Row],[Столбец1]]*Таблица1[[#This Row],[коэф]])),
IF(OR(G152="2/4",G152="3/4",G152="4/4"),((база!$I$5*2*Таблица1[[#This Row],[Столбец1]]*Таблица1[[#This Row],[коэф]])),
IF((G152="5/8"),((база!$J$6*2*Таблица1[[#This Row],[Столбец1]]*Таблица1[[#This Row],[коэф]])),
IF(OR(G152="4/8",G152="3/8",G152="2/8"),((база!$J$5*2*Таблица1[[#This Row],[Столбец1]]*Таблица1[[#This Row],[коэф]])))))))))))</f>
        <v>0</v>
      </c>
      <c r="AQ152" s="712" t="str">
        <f>IFERROR(INDEX(база!T:T, MATCH(F152,база!Q:Q,0)),"")</f>
        <v/>
      </c>
      <c r="AR152" s="208" t="str">
        <f>IFERROR(INDEX(база!D:D, MATCH(F152,база!B:B,0)),"")</f>
        <v/>
      </c>
      <c r="AS152" s="758" t="str">
        <f>IFERROR(INDEX(база!E:E, MATCH(F152,база!B:B,0)),"")</f>
        <v/>
      </c>
    </row>
    <row r="153" spans="1:45" ht="15">
      <c r="A153" s="1167" t="str">
        <f t="shared" si="4"/>
        <v>январь</v>
      </c>
      <c r="B153" t="n" s="1167">
        <v>2024.0</v>
      </c>
      <c r="C153" t="s" s="1167">
        <v>392</v>
      </c>
      <c r="D153" t="s" s="1167">
        <v>364</v>
      </c>
      <c r="E153" t="s" s="1167">
        <v>46</v>
      </c>
      <c r="F153" t="s" s="1167">
        <v>273</v>
      </c>
      <c r="G153" t="s" s="1167">
        <v>4</v>
      </c>
      <c r="H153" s="1167"/>
      <c r="I153" s="1167"/>
      <c r="J153" s="1167"/>
      <c r="K153" s="1167"/>
      <c r="L153" s="1167"/>
      <c r="M153" s="1167"/>
      <c r="N153" s="1167"/>
      <c r="O153" s="1167"/>
      <c r="P153" s="1167"/>
      <c r="Q153" t="n" s="1167">
        <v>7.2</v>
      </c>
      <c r="R153" s="563"/>
      <c r="S153" s="563"/>
      <c r="T153" s="563"/>
      <c r="U153" s="563"/>
      <c r="V153" s="563"/>
      <c r="W153" s="563"/>
      <c r="X153" s="563"/>
      <c r="Y153" s="48"/>
      <c r="Z153" s="48"/>
      <c r="AA153" s="48"/>
      <c r="AB153" s="48"/>
      <c r="AC153" s="48"/>
      <c r="AD153" s="48"/>
      <c r="AE153" s="48"/>
      <c r="AF153" s="48"/>
      <c r="AG153" s="48"/>
      <c r="AH153" s="48"/>
      <c r="AI153" s="48"/>
      <c r="AJ153" s="48"/>
      <c r="AK153" s="48"/>
      <c r="AL153" s="258"/>
      <c r="AM153" s="212">
        <f>IF(AQ153=1,SUM(Q153:T153,W153:Z153,AC153:AF153,AI153:AL153),
IF(AQ153=2,SUM(P153,S153:V153,Y153:AB153,AE153:AH153,AK153:AL153),
IF(AQ153=3,SUM(P153:R153,U153:X153,AA153:AD153,AG153:AJ153),SUM(Таблица1[[#This Row],[1]:[31]])-Таблица1[[#This Row],[Столбец1]])))</f>
        <v>0</v>
      </c>
      <c r="AN153" s="778">
        <f t="array" ref="AN153">IF(AQ153=1,SUM(P153,U153:V153,AA153:AB153,AG153:AH153),
IF(AQ153=2,SUM(Q153:R153,W153:X153,AC153:AD153,AI153:AJ153),
IF(AQ153=3,SUM(S153:T153,Y153:Z153,AE153:AF153,AK153:AL153),
SUM(IFERROR(WEEKDAY($H$2:$AL$2,2)&gt;5,)*H153:AL153))))+Таблица1[[#This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53" s="292" t="b">
        <f>IF(AR153&lt;=3,(IF((G153="5/24"),((база!$M$6*Таблица1[[#This Row],[сумма]]*Таблица1[[#This Row],[коэф]])),
IF((G153="4/24"),((база!$M$5*Таблица1[[#This Row],[сумма]]*Таблица1[[#This Row],[коэф]])),
IF((G153="3/24"),((база!$M$4*Таблица1[[#This Row],[сумма]]*Таблица1[[#This Row],[коэф]])),
IF((G153="5/16"),((база!$L$6*Таблица1[[#This Row],[сумма]]*Таблица1[[#This Row],[коэф]])),
IF((G153="4/16"),((база!$L$5*Таблица1[[#This Row],[сумма]]*Таблица1[[#This Row],[коэф]])),
IF((G153="3/16"),((база!$L$4*Таблица1[[#This Row],[сумма]]*Таблица1[[#This Row],[коэф]])),
IF((G153="4/4"),((база!$I$5*Таблица1[[#This Row],[сумма]]*Таблица1[[#This Row],[коэф]])),
IF(OR(G153="2/4",G153="3/4"),((база!$I$4*Таблица1[[#This Row],[сумма]]*Таблица1[[#This Row],[коэф]])),
IF((G153="5/8"),((база!$J$6*Таблица1[[#This Row],[сумма]]*Таблица1[[#This Row],[коэф]])),
IF((G153="4/8"),((база!$J$5*Таблица1[[#This Row],[сумма]]*Таблица1[[#This Row],[коэф]])),
IF(OR(G153="3/8",G153="2/8"),((база!$J$4*Таблица1[[#This Row],[сумма]]*Таблица1[[#This Row],[коэф]])))))))))))))),
(IF((G153="5/24"),((база!$M$6*Таблица1[[#This Row],[сумма]]*Таблица1[[#This Row],[коэф]])),
IF(OR(G153="4/24",G153="3/24"),((база!$M$5*Таблица1[[#This Row],[сумма]]*Таблица1[[#This Row],[коэф]])),
IF((G153="5/16"),((база!$L$6*Таблица1[[#This Row],[сумма]]*Таблица1[[#This Row],[коэф]])),
IF(OR(G153="4/16",G153="3/16"),((база!$L$5*Таблица1[[#This Row],[сумма]]*Таблица1[[#This Row],[коэф]])),
IF(OR(G153="2/4",G153="3/4",G153="4/4"),((база!$I$5*Таблица1[[#This Row],[сумма]]*Таблица1[[#This Row],[коэф]])),
IF((G153="5/8"),((база!$J$6*Таблица1[[#This Row],[сумма]]*Таблица1[[#This Row],[коэф]])),
IF(OR(G153="4/8",G153="3/8",G153="2/8"),((база!$J$5*Таблица1[[#This Row],[сумма]]*Таблица1[[#This Row],[коэф]])))))))))))</f>
        <v>0</v>
      </c>
      <c r="AP153" s="730" t="b">
        <f>IF(AR153&lt;=3,(IF((G153="5/24"),((база!$M$6*2*Таблица1[[#This Row],[Столбец1]]*Таблица1[[#This Row],[коэф]])),
IF((G153="4/24"),((база!$M$5*2*Таблица1[[#This Row],[Столбец1]]*Таблица1[[#This Row],[коэф]])),
IF((G153="3/24"),((база!$M$4*2*Таблица1[[#This Row],[Столбец1]]*Таблица1[[#This Row],[коэф]])),
IF((G153="5/16"),((база!$L$6*2*Таблица1[[#This Row],[Столбец1]]*Таблица1[[#This Row],[коэф]])),
IF((G153="4/16"),((база!$L$5*2*Таблица1[[#This Row],[Столбец1]]*Таблица1[[#This Row],[коэф]])),
IF((G153="3/16"),((база!$L$4*2*Таблица1[[#This Row],[Столбец1]]*Таблица1[[#This Row],[коэф]])),
IF((G153="4/4"),((база!$I$5*2*Таблица1[[#This Row],[Столбец1]]*Таблица1[[#This Row],[коэф]])),
IF(OR(G153="2/4",G153="3/4"),((база!$I$4*2*Таблица1[[#This Row],[Столбец1]]*Таблица1[[#This Row],[коэф]])),
IF((G153="5/8"),((база!$J$6*2*Таблица1[[#This Row],[Столбец1]]*Таблица1[[#This Row],[коэф]])),
IF((G153="4/8"),((база!$J$5*2*Таблица1[[#This Row],[Столбец1]]*Таблица1[[#This Row],[коэф]])),
IF(OR(G153="3/8",G153="2/8"),((база!$J$4*2*Таблица1[[#This Row],[Столбец1]]*Таблица1[[#This Row],[коэф]])))))))))))))),
(IF((G153="5/24"),((база!$M$6*2*Таблица1[[#This Row],[Столбец1]]*Таблица1[[#This Row],[коэф]])),
IF(OR(G153="4/24",G153="3/24"),((база!$M$5*2*Таблица1[[#This Row],[Столбец1]]*Таблица1[[#This Row],[коэф]])),
IF((G153="5/16"),((база!$L$6*2*Таблица1[[#This Row],[Столбец1]]*Таблица1[[#This Row],[коэф]])),
IF(OR(G153="4/16",G153="3/16"),((база!$L$5*2*Таблица1[[#This Row],[Столбец1]]*Таблица1[[#This Row],[коэф]])),
IF(OR(G153="2/4",G153="3/4",G153="4/4"),((база!$I$5*2*Таблица1[[#This Row],[Столбец1]]*Таблица1[[#This Row],[коэф]])),
IF((G153="5/8"),((база!$J$6*2*Таблица1[[#This Row],[Столбец1]]*Таблица1[[#This Row],[коэф]])),
IF(OR(G153="4/8",G153="3/8",G153="2/8"),((база!$J$5*2*Таблица1[[#This Row],[Столбец1]]*Таблица1[[#This Row],[коэф]])))))))))))</f>
        <v>0</v>
      </c>
      <c r="AQ153" s="712" t="str">
        <f>IFERROR(INDEX(база!T:T, MATCH(F153,база!Q:Q,0)),"")</f>
        <v/>
      </c>
      <c r="AR153" s="208" t="str">
        <f>IFERROR(INDEX(база!D:D, MATCH(F153,база!B:B,0)),"")</f>
        <v/>
      </c>
      <c r="AS153" s="758" t="str">
        <f>IFERROR(INDEX(база!E:E, MATCH(F153,база!B:B,0)),"")</f>
        <v/>
      </c>
    </row>
    <row r="154" spans="1:45" ht="15">
      <c r="A154" s="1168" t="str">
        <f t="shared" si="4"/>
        <v>январь</v>
      </c>
      <c r="B154" t="n" s="1168">
        <v>2024.0</v>
      </c>
      <c r="C154" t="s" s="1168">
        <v>396</v>
      </c>
      <c r="D154" t="s" s="1168">
        <v>364</v>
      </c>
      <c r="E154" t="s" s="1168">
        <v>46</v>
      </c>
      <c r="F154" t="s" s="1168">
        <v>279</v>
      </c>
      <c r="G154" t="s" s="1168">
        <v>31</v>
      </c>
      <c r="H154" s="1168"/>
      <c r="I154" s="1168"/>
      <c r="J154" s="1168"/>
      <c r="K154" s="1168"/>
      <c r="L154" s="1168"/>
      <c r="M154" s="1168"/>
      <c r="N154" s="1168"/>
      <c r="O154" s="1168"/>
      <c r="P154" s="1168"/>
      <c r="Q154" s="1168"/>
      <c r="R154" s="1168"/>
      <c r="S154" t="n" s="1168">
        <v>7.2</v>
      </c>
      <c r="T154" s="563"/>
      <c r="U154" s="563"/>
      <c r="V154" s="563"/>
      <c r="W154" s="563"/>
      <c r="X154" s="563"/>
      <c r="Y154" s="563"/>
      <c r="Z154" s="563"/>
      <c r="AA154" s="563"/>
      <c r="AB154" s="563"/>
      <c r="AC154" s="563"/>
      <c r="AD154" s="48"/>
      <c r="AE154" s="48"/>
      <c r="AF154" s="258"/>
      <c r="AG154" s="258"/>
      <c r="AH154" s="258"/>
      <c r="AI154" s="258"/>
      <c r="AJ154" s="258"/>
      <c r="AK154" s="258"/>
      <c r="AL154" s="258"/>
      <c r="AM154" s="212">
        <f>IF(AQ154=1,SUM(Q154:T154,W154:Z154,AC154:AF154,AI154:AL154),
IF(AQ154=2,SUM(P154,S154:V154,Y154:AB154,AE154:AH154,AK154:AL154),
IF(AQ154=3,SUM(P154:R154,U154:X154,AA154:AD154,AG154:AJ154),SUM(Таблица1[[#This Row],[1]:[31]])-Таблица1[[#This Row],[Столбец1]])))</f>
        <v>0</v>
      </c>
      <c r="AN154" s="778">
        <f t="array" ref="AN154">IF(AQ154=1,SUM(P154,U154:V154,AA154:AB154,AG154:AH154),
IF(AQ154=2,SUM(Q154:R154,W154:X154,AC154:AD154,AI154:AJ154),
IF(AQ154=3,SUM(S154:T154,Y154:Z154,AE154:AF154,AK154:AL154),
SUM(IFERROR(WEEKDAY($H$2:$AL$2,2)&gt;5,)*H154:AL154))))+Таблица1[[#This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54" s="292" t="b">
        <f>IF(AR154&lt;=3,(IF((G154="5/24"),((база!$M$6*Таблица1[[#This Row],[сумма]]*Таблица1[[#This Row],[коэф]])),
IF((G154="4/24"),((база!$M$5*Таблица1[[#This Row],[сумма]]*Таблица1[[#This Row],[коэф]])),
IF((G154="3/24"),((база!$M$4*Таблица1[[#This Row],[сумма]]*Таблица1[[#This Row],[коэф]])),
IF((G154="5/16"),((база!$L$6*Таблица1[[#This Row],[сумма]]*Таблица1[[#This Row],[коэф]])),
IF((G154="4/16"),((база!$L$5*Таблица1[[#This Row],[сумма]]*Таблица1[[#This Row],[коэф]])),
IF((G154="3/16"),((база!$L$4*Таблица1[[#This Row],[сумма]]*Таблица1[[#This Row],[коэф]])),
IF((G154="4/4"),((база!$I$5*Таблица1[[#This Row],[сумма]]*Таблица1[[#This Row],[коэф]])),
IF(OR(G154="2/4",G154="3/4"),((база!$I$4*Таблица1[[#This Row],[сумма]]*Таблица1[[#This Row],[коэф]])),
IF((G154="5/8"),((база!$J$6*Таблица1[[#This Row],[сумма]]*Таблица1[[#This Row],[коэф]])),
IF((G154="4/8"),((база!$J$5*Таблица1[[#This Row],[сумма]]*Таблица1[[#This Row],[коэф]])),
IF(OR(G154="3/8",G154="2/8"),((база!$J$4*Таблица1[[#This Row],[сумма]]*Таблица1[[#This Row],[коэф]])))))))))))))),
(IF((G154="5/24"),((база!$M$6*Таблица1[[#This Row],[сумма]]*Таблица1[[#This Row],[коэф]])),
IF(OR(G154="4/24",G154="3/24"),((база!$M$5*Таблица1[[#This Row],[сумма]]*Таблица1[[#This Row],[коэф]])),
IF((G154="5/16"),((база!$L$6*Таблица1[[#This Row],[сумма]]*Таблица1[[#This Row],[коэф]])),
IF(OR(G154="4/16",G154="3/16"),((база!$L$5*Таблица1[[#This Row],[сумма]]*Таблица1[[#This Row],[коэф]])),
IF(OR(G154="2/4",G154="3/4",G154="4/4"),((база!$I$5*Таблица1[[#This Row],[сумма]]*Таблица1[[#This Row],[коэф]])),
IF((G154="5/8"),((база!$J$6*Таблица1[[#This Row],[сумма]]*Таблица1[[#This Row],[коэф]])),
IF(OR(G154="4/8",G154="3/8",G154="2/8"),((база!$J$5*Таблица1[[#This Row],[сумма]]*Таблица1[[#This Row],[коэф]])))))))))))</f>
        <v>0</v>
      </c>
      <c r="AP154" s="730" t="b">
        <f>IF(AR154&lt;=3,(IF((G154="5/24"),((база!$M$6*2*Таблица1[[#This Row],[Столбец1]]*Таблица1[[#This Row],[коэф]])),
IF((G154="4/24"),((база!$M$5*2*Таблица1[[#This Row],[Столбец1]]*Таблица1[[#This Row],[коэф]])),
IF((G154="3/24"),((база!$M$4*2*Таблица1[[#This Row],[Столбец1]]*Таблица1[[#This Row],[коэф]])),
IF((G154="5/16"),((база!$L$6*2*Таблица1[[#This Row],[Столбец1]]*Таблица1[[#This Row],[коэф]])),
IF((G154="4/16"),((база!$L$5*2*Таблица1[[#This Row],[Столбец1]]*Таблица1[[#This Row],[коэф]])),
IF((G154="3/16"),((база!$L$4*2*Таблица1[[#This Row],[Столбец1]]*Таблица1[[#This Row],[коэф]])),
IF((G154="4/4"),((база!$I$5*2*Таблица1[[#This Row],[Столбец1]]*Таблица1[[#This Row],[коэф]])),
IF(OR(G154="2/4",G154="3/4"),((база!$I$4*2*Таблица1[[#This Row],[Столбец1]]*Таблица1[[#This Row],[коэф]])),
IF((G154="5/8"),((база!$J$6*2*Таблица1[[#This Row],[Столбец1]]*Таблица1[[#This Row],[коэф]])),
IF((G154="4/8"),((база!$J$5*2*Таблица1[[#This Row],[Столбец1]]*Таблица1[[#This Row],[коэф]])),
IF(OR(G154="3/8",G154="2/8"),((база!$J$4*2*Таблица1[[#This Row],[Столбец1]]*Таблица1[[#This Row],[коэф]])))))))))))))),
(IF((G154="5/24"),((база!$M$6*2*Таблица1[[#This Row],[Столбец1]]*Таблица1[[#This Row],[коэф]])),
IF(OR(G154="4/24",G154="3/24"),((база!$M$5*2*Таблица1[[#This Row],[Столбец1]]*Таблица1[[#This Row],[коэф]])),
IF((G154="5/16"),((база!$L$6*2*Таблица1[[#This Row],[Столбец1]]*Таблица1[[#This Row],[коэф]])),
IF(OR(G154="4/16",G154="3/16"),((база!$L$5*2*Таблица1[[#This Row],[Столбец1]]*Таблица1[[#This Row],[коэф]])),
IF(OR(G154="2/4",G154="3/4",G154="4/4"),((база!$I$5*2*Таблица1[[#This Row],[Столбец1]]*Таблица1[[#This Row],[коэф]])),
IF((G154="5/8"),((база!$J$6*2*Таблица1[[#This Row],[Столбец1]]*Таблица1[[#This Row],[коэф]])),
IF(OR(G154="4/8",G154="3/8",G154="2/8"),((база!$J$5*2*Таблица1[[#This Row],[Столбец1]]*Таблица1[[#This Row],[коэф]])))))))))))</f>
        <v>0</v>
      </c>
      <c r="AQ154" s="712" t="str">
        <f>IFERROR(INDEX(база!T:T, MATCH(F154,база!Q:Q,0)),"")</f>
        <v/>
      </c>
      <c r="AR154" s="208" t="str">
        <f>IFERROR(INDEX(база!D:D, MATCH(F154,база!B:B,0)),"")</f>
        <v/>
      </c>
      <c r="AS154" s="758" t="str">
        <f>IFERROR(INDEX(база!E:E, MATCH(F154,база!B:B,0)),"")</f>
        <v/>
      </c>
    </row>
    <row r="155" spans="1:45" ht="15">
      <c r="A155" s="1169" t="str">
        <f t="shared" si="4"/>
        <v>январь</v>
      </c>
      <c r="B155" t="n" s="1169">
        <v>2024.0</v>
      </c>
      <c r="C155" t="s" s="1169">
        <v>386</v>
      </c>
      <c r="D155" t="s" s="1169">
        <v>365</v>
      </c>
      <c r="E155" t="s" s="1169">
        <v>46</v>
      </c>
      <c r="F155" t="s" s="1169">
        <v>322</v>
      </c>
      <c r="G155" t="s" s="1169">
        <v>6</v>
      </c>
      <c r="H155" s="1169"/>
      <c r="I155" s="1169"/>
      <c r="J155" s="1169"/>
      <c r="K155" s="1169"/>
      <c r="L155" s="1169"/>
      <c r="M155" s="1169"/>
      <c r="N155" s="1169"/>
      <c r="O155" s="1169"/>
      <c r="P155" s="1169"/>
      <c r="Q155" s="1169"/>
      <c r="R155" s="1169"/>
      <c r="S155" t="n" s="1169">
        <v>3.6</v>
      </c>
      <c r="T155" t="n" s="46">
        <v>7.2</v>
      </c>
      <c r="U155" s="563"/>
      <c r="V155" s="563"/>
      <c r="W155" s="563"/>
      <c r="X155" s="563"/>
      <c r="Y155" s="563"/>
      <c r="Z155" s="563"/>
      <c r="AA155" s="563"/>
      <c r="AB155" s="563"/>
      <c r="AC155" s="563"/>
      <c r="AD155" s="48"/>
      <c r="AE155" s="48"/>
      <c r="AF155" s="258"/>
      <c r="AG155" s="258"/>
      <c r="AH155" s="258"/>
      <c r="AI155" s="258"/>
      <c r="AJ155" s="258"/>
      <c r="AK155" s="258"/>
      <c r="AL155" s="258"/>
      <c r="AM155" s="212">
        <f>IF(AQ155=1,SUM(Q155:T155,W155:Z155,AC155:AF155,AI155:AL155),
IF(AQ155=2,SUM(P155,S155:V155,Y155:AB155,AE155:AH155,AK155:AL155),
IF(AQ155=3,SUM(P155:R155,U155:X155,AA155:AD155,AG155:AJ155),SUM(Таблица1[[#This Row],[1]:[31]])-Таблица1[[#This Row],[Столбец1]])))</f>
        <v>0</v>
      </c>
      <c r="AN155" s="778">
        <f t="array" ref="AN155">IF(AQ155=1,SUM(P155,U155:V155,AA155:AB155,AG155:AH155),
IF(AQ155=2,SUM(Q155:R155,W155:X155,AC155:AD155,AI155:AJ155),
IF(AQ155=3,SUM(S155:T155,Y155:Z155,AE155:AF155,AK155:AL155),
SUM(IFERROR(WEEKDAY($H$2:$AL$2,2)&gt;5,)*H155:AL155))))+Таблица1[[#This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55" s="292" t="b">
        <f>IF(AR155&lt;=3,(IF((G155="5/24"),((база!$M$6*Таблица1[[#This Row],[сумма]]*Таблица1[[#This Row],[коэф]])),
IF((G155="4/24"),((база!$M$5*Таблица1[[#This Row],[сумма]]*Таблица1[[#This Row],[коэф]])),
IF((G155="3/24"),((база!$M$4*Таблица1[[#This Row],[сумма]]*Таблица1[[#This Row],[коэф]])),
IF((G155="5/16"),((база!$L$6*Таблица1[[#This Row],[сумма]]*Таблица1[[#This Row],[коэф]])),
IF((G155="4/16"),((база!$L$5*Таблица1[[#This Row],[сумма]]*Таблица1[[#This Row],[коэф]])),
IF((G155="3/16"),((база!$L$4*Таблица1[[#This Row],[сумма]]*Таблица1[[#This Row],[коэф]])),
IF((G155="4/4"),((база!$I$5*Таблица1[[#This Row],[сумма]]*Таблица1[[#This Row],[коэф]])),
IF(OR(G155="2/4",G155="3/4"),((база!$I$4*Таблица1[[#This Row],[сумма]]*Таблица1[[#This Row],[коэф]])),
IF((G155="5/8"),((база!$J$6*Таблица1[[#This Row],[сумма]]*Таблица1[[#This Row],[коэф]])),
IF((G155="4/8"),((база!$J$5*Таблица1[[#This Row],[сумма]]*Таблица1[[#This Row],[коэф]])),
IF(OR(G155="3/8",G155="2/8"),((база!$J$4*Таблица1[[#This Row],[сумма]]*Таблица1[[#This Row],[коэф]])))))))))))))),
(IF((G155="5/24"),((база!$M$6*Таблица1[[#This Row],[сумма]]*Таблица1[[#This Row],[коэф]])),
IF(OR(G155="4/24",G155="3/24"),((база!$M$5*Таблица1[[#This Row],[сумма]]*Таблица1[[#This Row],[коэф]])),
IF((G155="5/16"),((база!$L$6*Таблица1[[#This Row],[сумма]]*Таблица1[[#This Row],[коэф]])),
IF(OR(G155="4/16",G155="3/16"),((база!$L$5*Таблица1[[#This Row],[сумма]]*Таблица1[[#This Row],[коэф]])),
IF(OR(G155="2/4",G155="3/4",G155="4/4"),((база!$I$5*Таблица1[[#This Row],[сумма]]*Таблица1[[#This Row],[коэф]])),
IF((G155="5/8"),((база!$J$6*Таблица1[[#This Row],[сумма]]*Таблица1[[#This Row],[коэф]])),
IF(OR(G155="4/8",G155="3/8",G155="2/8"),((база!$J$5*Таблица1[[#This Row],[сумма]]*Таблица1[[#This Row],[коэф]])))))))))))</f>
        <v>0</v>
      </c>
      <c r="AP155" s="730" t="b">
        <f>IF(AR155&lt;=3,(IF((G155="5/24"),((база!$M$6*2*Таблица1[[#This Row],[Столбец1]]*Таблица1[[#This Row],[коэф]])),
IF((G155="4/24"),((база!$M$5*2*Таблица1[[#This Row],[Столбец1]]*Таблица1[[#This Row],[коэф]])),
IF((G155="3/24"),((база!$M$4*2*Таблица1[[#This Row],[Столбец1]]*Таблица1[[#This Row],[коэф]])),
IF((G155="5/16"),((база!$L$6*2*Таблица1[[#This Row],[Столбец1]]*Таблица1[[#This Row],[коэф]])),
IF((G155="4/16"),((база!$L$5*2*Таблица1[[#This Row],[Столбец1]]*Таблица1[[#This Row],[коэф]])),
IF((G155="3/16"),((база!$L$4*2*Таблица1[[#This Row],[Столбец1]]*Таблица1[[#This Row],[коэф]])),
IF((G155="4/4"),((база!$I$5*2*Таблица1[[#This Row],[Столбец1]]*Таблица1[[#This Row],[коэф]])),
IF(OR(G155="2/4",G155="3/4"),((база!$I$4*2*Таблица1[[#This Row],[Столбец1]]*Таблица1[[#This Row],[коэф]])),
IF((G155="5/8"),((база!$J$6*2*Таблица1[[#This Row],[Столбец1]]*Таблица1[[#This Row],[коэф]])),
IF((G155="4/8"),((база!$J$5*2*Таблица1[[#This Row],[Столбец1]]*Таблица1[[#This Row],[коэф]])),
IF(OR(G155="3/8",G155="2/8"),((база!$J$4*2*Таблица1[[#This Row],[Столбец1]]*Таблица1[[#This Row],[коэф]])))))))))))))),
(IF((G155="5/24"),((база!$M$6*2*Таблица1[[#This Row],[Столбец1]]*Таблица1[[#This Row],[коэф]])),
IF(OR(G155="4/24",G155="3/24"),((база!$M$5*2*Таблица1[[#This Row],[Столбец1]]*Таблица1[[#This Row],[коэф]])),
IF((G155="5/16"),((база!$L$6*2*Таблица1[[#This Row],[Столбец1]]*Таблица1[[#This Row],[коэф]])),
IF(OR(G155="4/16",G155="3/16"),((база!$L$5*2*Таблица1[[#This Row],[Столбец1]]*Таблица1[[#This Row],[коэф]])),
IF(OR(G155="2/4",G155="3/4",G155="4/4"),((база!$I$5*2*Таблица1[[#This Row],[Столбец1]]*Таблица1[[#This Row],[коэф]])),
IF((G155="5/8"),((база!$J$6*2*Таблица1[[#This Row],[Столбец1]]*Таблица1[[#This Row],[коэф]])),
IF(OR(G155="4/8",G155="3/8",G155="2/8"),((база!$J$5*2*Таблица1[[#This Row],[Столбец1]]*Таблица1[[#This Row],[коэф]])))))))))))</f>
        <v>0</v>
      </c>
      <c r="AQ155" s="712" t="str">
        <f>IFERROR(INDEX(база!T:T, MATCH(F155,база!Q:Q,0)),"")</f>
        <v/>
      </c>
      <c r="AR155" s="208" t="str">
        <f>IFERROR(INDEX(база!D:D, MATCH(F155,база!B:B,0)),"")</f>
        <v/>
      </c>
      <c r="AS155" s="758" t="str">
        <f>IFERROR(INDEX(база!E:E, MATCH(F155,база!B:B,0)),"")</f>
        <v/>
      </c>
    </row>
    <row r="156" spans="1:45" ht="15">
      <c r="A156" s="1170" t="str">
        <f t="shared" si="4"/>
        <v>январь</v>
      </c>
      <c r="B156" t="n" s="1170">
        <v>2024.0</v>
      </c>
      <c r="C156" t="s" s="1170">
        <v>388</v>
      </c>
      <c r="D156" t="s" s="1170">
        <v>369</v>
      </c>
      <c r="E156" t="s" s="1170">
        <v>46</v>
      </c>
      <c r="F156" t="s" s="1170">
        <v>303</v>
      </c>
      <c r="G156" t="s" s="1170">
        <v>4</v>
      </c>
      <c r="H156" s="1170"/>
      <c r="I156" s="1170"/>
      <c r="J156" s="1170"/>
      <c r="K156" s="1170"/>
      <c r="L156" s="1170"/>
      <c r="M156" s="1170"/>
      <c r="N156" s="1170"/>
      <c r="O156" s="1170"/>
      <c r="P156" s="1170"/>
      <c r="Q156" s="1170"/>
      <c r="R156" s="1170"/>
      <c r="S156" t="n" s="1170">
        <v>4.0</v>
      </c>
      <c r="T156" s="563"/>
      <c r="U156" s="563"/>
      <c r="V156" s="563"/>
      <c r="W156" s="563"/>
      <c r="X156" s="563"/>
      <c r="Y156" s="563"/>
      <c r="Z156" s="563"/>
      <c r="AA156" s="563"/>
      <c r="AB156" s="563"/>
      <c r="AC156" s="563"/>
      <c r="AD156" s="48"/>
      <c r="AE156" s="48"/>
      <c r="AF156" s="48"/>
      <c r="AG156" s="48"/>
      <c r="AH156" s="258"/>
      <c r="AI156" s="258"/>
      <c r="AJ156" s="258"/>
      <c r="AK156" s="258"/>
      <c r="AL156" s="258"/>
      <c r="AM156" s="212">
        <f>IF(AQ156=1,SUM(Q156:T156,W156:Z156,AC156:AF156,AI156:AL156),
IF(AQ156=2,SUM(P156,S156:V156,Y156:AB156,AE156:AH156,AK156:AL156),
IF(AQ156=3,SUM(P156:R156,U156:X156,AA156:AD156,AG156:AJ156),SUM(Таблица1[[#This Row],[1]:[31]])-Таблица1[[#This Row],[Столбец1]])))</f>
        <v>0</v>
      </c>
      <c r="AN156" s="778">
        <f t="array" ref="AN156">IF(AQ156=1,SUM(P156,U156:V156,AA156:AB156,AG156:AH156),
IF(AQ156=2,SUM(Q156:R156,W156:X156,AC156:AD156,AI156:AJ156),
IF(AQ156=3,SUM(S156:T156,Y156:Z156,AE156:AF156,AK156:AL156),
SUM(IFERROR(WEEKDAY($H$2:$AL$2,2)&gt;5,)*H156:AL156))))+Таблица1[[#This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56" s="292" t="b">
        <f>IF(AR156&lt;=3,(IF((G156="5/24"),((база!$M$6*Таблица1[[#This Row],[сумма]]*Таблица1[[#This Row],[коэф]])),
IF((G156="4/24"),((база!$M$5*Таблица1[[#This Row],[сумма]]*Таблица1[[#This Row],[коэф]])),
IF((G156="3/24"),((база!$M$4*Таблица1[[#This Row],[сумма]]*Таблица1[[#This Row],[коэф]])),
IF((G156="5/16"),((база!$L$6*Таблица1[[#This Row],[сумма]]*Таблица1[[#This Row],[коэф]])),
IF((G156="4/16"),((база!$L$5*Таблица1[[#This Row],[сумма]]*Таблица1[[#This Row],[коэф]])),
IF((G156="3/16"),((база!$L$4*Таблица1[[#This Row],[сумма]]*Таблица1[[#This Row],[коэф]])),
IF((G156="4/4"),((база!$I$5*Таблица1[[#This Row],[сумма]]*Таблица1[[#This Row],[коэф]])),
IF(OR(G156="2/4",G156="3/4"),((база!$I$4*Таблица1[[#This Row],[сумма]]*Таблица1[[#This Row],[коэф]])),
IF((G156="5/8"),((база!$J$6*Таблица1[[#This Row],[сумма]]*Таблица1[[#This Row],[коэф]])),
IF((G156="4/8"),((база!$J$5*Таблица1[[#This Row],[сумма]]*Таблица1[[#This Row],[коэф]])),
IF(OR(G156="3/8",G156="2/8"),((база!$J$4*Таблица1[[#This Row],[сумма]]*Таблица1[[#This Row],[коэф]])))))))))))))),
(IF((G156="5/24"),((база!$M$6*Таблица1[[#This Row],[сумма]]*Таблица1[[#This Row],[коэф]])),
IF(OR(G156="4/24",G156="3/24"),((база!$M$5*Таблица1[[#This Row],[сумма]]*Таблица1[[#This Row],[коэф]])),
IF((G156="5/16"),((база!$L$6*Таблица1[[#This Row],[сумма]]*Таблица1[[#This Row],[коэф]])),
IF(OR(G156="4/16",G156="3/16"),((база!$L$5*Таблица1[[#This Row],[сумма]]*Таблица1[[#This Row],[коэф]])),
IF(OR(G156="2/4",G156="3/4",G156="4/4"),((база!$I$5*Таблица1[[#This Row],[сумма]]*Таблица1[[#This Row],[коэф]])),
IF((G156="5/8"),((база!$J$6*Таблица1[[#This Row],[сумма]]*Таблица1[[#This Row],[коэф]])),
IF(OR(G156="4/8",G156="3/8",G156="2/8"),((база!$J$5*Таблица1[[#This Row],[сумма]]*Таблица1[[#This Row],[коэф]])))))))))))</f>
        <v>0</v>
      </c>
      <c r="AP156" s="730" t="b">
        <f>IF(AR156&lt;=3,(IF((G156="5/24"),((база!$M$6*2*Таблица1[[#This Row],[Столбец1]]*Таблица1[[#This Row],[коэф]])),
IF((G156="4/24"),((база!$M$5*2*Таблица1[[#This Row],[Столбец1]]*Таблица1[[#This Row],[коэф]])),
IF((G156="3/24"),((база!$M$4*2*Таблица1[[#This Row],[Столбец1]]*Таблица1[[#This Row],[коэф]])),
IF((G156="5/16"),((база!$L$6*2*Таблица1[[#This Row],[Столбец1]]*Таблица1[[#This Row],[коэф]])),
IF((G156="4/16"),((база!$L$5*2*Таблица1[[#This Row],[Столбец1]]*Таблица1[[#This Row],[коэф]])),
IF((G156="3/16"),((база!$L$4*2*Таблица1[[#This Row],[Столбец1]]*Таблица1[[#This Row],[коэф]])),
IF((G156="4/4"),((база!$I$5*2*Таблица1[[#This Row],[Столбец1]]*Таблица1[[#This Row],[коэф]])),
IF(OR(G156="2/4",G156="3/4"),((база!$I$4*2*Таблица1[[#This Row],[Столбец1]]*Таблица1[[#This Row],[коэф]])),
IF((G156="5/8"),((база!$J$6*2*Таблица1[[#This Row],[Столбец1]]*Таблица1[[#This Row],[коэф]])),
IF((G156="4/8"),((база!$J$5*2*Таблица1[[#This Row],[Столбец1]]*Таблица1[[#This Row],[коэф]])),
IF(OR(G156="3/8",G156="2/8"),((база!$J$4*2*Таблица1[[#This Row],[Столбец1]]*Таблица1[[#This Row],[коэф]])))))))))))))),
(IF((G156="5/24"),((база!$M$6*2*Таблица1[[#This Row],[Столбец1]]*Таблица1[[#This Row],[коэф]])),
IF(OR(G156="4/24",G156="3/24"),((база!$M$5*2*Таблица1[[#This Row],[Столбец1]]*Таблица1[[#This Row],[коэф]])),
IF((G156="5/16"),((база!$L$6*2*Таблица1[[#This Row],[Столбец1]]*Таблица1[[#This Row],[коэф]])),
IF(OR(G156="4/16",G156="3/16"),((база!$L$5*2*Таблица1[[#This Row],[Столбец1]]*Таблица1[[#This Row],[коэф]])),
IF(OR(G156="2/4",G156="3/4",G156="4/4"),((база!$I$5*2*Таблица1[[#This Row],[Столбец1]]*Таблица1[[#This Row],[коэф]])),
IF((G156="5/8"),((база!$J$6*2*Таблица1[[#This Row],[Столбец1]]*Таблица1[[#This Row],[коэф]])),
IF(OR(G156="4/8",G156="3/8",G156="2/8"),((база!$J$5*2*Таблица1[[#This Row],[Столбец1]]*Таблица1[[#This Row],[коэф]])))))))))))</f>
        <v>0</v>
      </c>
      <c r="AQ156" s="712" t="str">
        <f>IFERROR(INDEX(база!T:T, MATCH(F156,база!Q:Q,0)),"")</f>
        <v/>
      </c>
      <c r="AR156" s="208" t="str">
        <f>IFERROR(INDEX(база!D:D, MATCH(F156,база!B:B,0)),"")</f>
        <v/>
      </c>
      <c r="AS156" s="758" t="str">
        <f>IFERROR(INDEX(база!E:E, MATCH(F156,база!B:B,0)),"")</f>
        <v/>
      </c>
    </row>
    <row r="157" spans="1:45" ht="15">
      <c r="A157" s="1171" t="str">
        <f t="shared" si="4"/>
        <v>январь</v>
      </c>
      <c r="B157" t="n" s="1171">
        <v>2024.0</v>
      </c>
      <c r="C157" t="s" s="1171">
        <v>386</v>
      </c>
      <c r="D157" t="s" s="1171">
        <v>365</v>
      </c>
      <c r="E157" t="s" s="1171">
        <v>46</v>
      </c>
      <c r="F157" t="s" s="1171">
        <v>303</v>
      </c>
      <c r="G157" t="s" s="1171">
        <v>6</v>
      </c>
      <c r="H157" s="1171"/>
      <c r="I157" s="1171"/>
      <c r="J157" s="1171"/>
      <c r="K157" s="1171"/>
      <c r="L157" s="1171"/>
      <c r="M157" s="1171"/>
      <c r="N157" s="1171"/>
      <c r="O157" s="1171"/>
      <c r="P157" s="1171"/>
      <c r="Q157" s="1171"/>
      <c r="R157" s="1171"/>
      <c r="S157" t="n" s="1171">
        <v>3.2</v>
      </c>
      <c r="T157" s="563"/>
      <c r="U157" s="563"/>
      <c r="V157" s="563"/>
      <c r="W157" s="563"/>
      <c r="X157" s="563"/>
      <c r="Y157" s="563"/>
      <c r="Z157" s="563"/>
      <c r="AA157" s="563"/>
      <c r="AB157" s="563"/>
      <c r="AC157" s="563"/>
      <c r="AD157" s="48"/>
      <c r="AE157" s="48"/>
      <c r="AF157" s="258"/>
      <c r="AG157" s="258"/>
      <c r="AH157" s="258"/>
      <c r="AI157" s="258"/>
      <c r="AJ157" s="258"/>
      <c r="AK157" s="258"/>
      <c r="AL157" s="258"/>
      <c r="AM157" s="212">
        <f>IF(AQ157=1,SUM(Q157:T157,W157:Z157,AC157:AF157,AI157:AL157),
IF(AQ157=2,SUM(P157,S157:V157,Y157:AB157,AE157:AH157,AK157:AL157),
IF(AQ157=3,SUM(P157:R157,U157:X157,AA157:AD157,AG157:AJ157),SUM(Таблица1[[#This Row],[1]:[31]])-Таблица1[[#This Row],[Столбец1]])))</f>
        <v>0</v>
      </c>
      <c r="AN157" s="778">
        <f t="array" ref="AN157">IF(AQ157=1,SUM(P157,U157:V157,AA157:AB157,AG157:AH157),
IF(AQ157=2,SUM(Q157:R157,W157:X157,AC157:AD157,AI157:AJ157),
IF(AQ157=3,SUM(S157:T157,Y157:Z157,AE157:AF157,AK157:AL157),
SUM(IFERROR(WEEKDAY($H$2:$AL$2,2)&gt;5,)*H157:AL157))))+Таблица1[[#This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57" s="292" t="b">
        <f>IF(AR157&lt;=3,(IF((G157="5/24"),((база!$M$6*Таблица1[[#This Row],[сумма]]*Таблица1[[#This Row],[коэф]])),
IF((G157="4/24"),((база!$M$5*Таблица1[[#This Row],[сумма]]*Таблица1[[#This Row],[коэф]])),
IF((G157="3/24"),((база!$M$4*Таблица1[[#This Row],[сумма]]*Таблица1[[#This Row],[коэф]])),
IF((G157="5/16"),((база!$L$6*Таблица1[[#This Row],[сумма]]*Таблица1[[#This Row],[коэф]])),
IF((G157="4/16"),((база!$L$5*Таблица1[[#This Row],[сумма]]*Таблица1[[#This Row],[коэф]])),
IF((G157="3/16"),((база!$L$4*Таблица1[[#This Row],[сумма]]*Таблица1[[#This Row],[коэф]])),
IF((G157="4/4"),((база!$I$5*Таблица1[[#This Row],[сумма]]*Таблица1[[#This Row],[коэф]])),
IF(OR(G157="2/4",G157="3/4"),((база!$I$4*Таблица1[[#This Row],[сумма]]*Таблица1[[#This Row],[коэф]])),
IF((G157="5/8"),((база!$J$6*Таблица1[[#This Row],[сумма]]*Таблица1[[#This Row],[коэф]])),
IF((G157="4/8"),((база!$J$5*Таблица1[[#This Row],[сумма]]*Таблица1[[#This Row],[коэф]])),
IF(OR(G157="3/8",G157="2/8"),((база!$J$4*Таблица1[[#This Row],[сумма]]*Таблица1[[#This Row],[коэф]])))))))))))))),
(IF((G157="5/24"),((база!$M$6*Таблица1[[#This Row],[сумма]]*Таблица1[[#This Row],[коэф]])),
IF(OR(G157="4/24",G157="3/24"),((база!$M$5*Таблица1[[#This Row],[сумма]]*Таблица1[[#This Row],[коэф]])),
IF((G157="5/16"),((база!$L$6*Таблица1[[#This Row],[сумма]]*Таблица1[[#This Row],[коэф]])),
IF(OR(G157="4/16",G157="3/16"),((база!$L$5*Таблица1[[#This Row],[сумма]]*Таблица1[[#This Row],[коэф]])),
IF(OR(G157="2/4",G157="3/4",G157="4/4"),((база!$I$5*Таблица1[[#This Row],[сумма]]*Таблица1[[#This Row],[коэф]])),
IF((G157="5/8"),((база!$J$6*Таблица1[[#This Row],[сумма]]*Таблица1[[#This Row],[коэф]])),
IF(OR(G157="4/8",G157="3/8",G157="2/8"),((база!$J$5*Таблица1[[#This Row],[сумма]]*Таблица1[[#This Row],[коэф]])))))))))))</f>
        <v>0</v>
      </c>
      <c r="AP157" s="730" t="b">
        <f>IF(AR157&lt;=3,(IF((G157="5/24"),((база!$M$6*2*Таблица1[[#This Row],[Столбец1]]*Таблица1[[#This Row],[коэф]])),
IF((G157="4/24"),((база!$M$5*2*Таблица1[[#This Row],[Столбец1]]*Таблица1[[#This Row],[коэф]])),
IF((G157="3/24"),((база!$M$4*2*Таблица1[[#This Row],[Столбец1]]*Таблица1[[#This Row],[коэф]])),
IF((G157="5/16"),((база!$L$6*2*Таблица1[[#This Row],[Столбец1]]*Таблица1[[#This Row],[коэф]])),
IF((G157="4/16"),((база!$L$5*2*Таблица1[[#This Row],[Столбец1]]*Таблица1[[#This Row],[коэф]])),
IF((G157="3/16"),((база!$L$4*2*Таблица1[[#This Row],[Столбец1]]*Таблица1[[#This Row],[коэф]])),
IF((G157="4/4"),((база!$I$5*2*Таблица1[[#This Row],[Столбец1]]*Таблица1[[#This Row],[коэф]])),
IF(OR(G157="2/4",G157="3/4"),((база!$I$4*2*Таблица1[[#This Row],[Столбец1]]*Таблица1[[#This Row],[коэф]])),
IF((G157="5/8"),((база!$J$6*2*Таблица1[[#This Row],[Столбец1]]*Таблица1[[#This Row],[коэф]])),
IF((G157="4/8"),((база!$J$5*2*Таблица1[[#This Row],[Столбец1]]*Таблица1[[#This Row],[коэф]])),
IF(OR(G157="3/8",G157="2/8"),((база!$J$4*2*Таблица1[[#This Row],[Столбец1]]*Таблица1[[#This Row],[коэф]])))))))))))))),
(IF((G157="5/24"),((база!$M$6*2*Таблица1[[#This Row],[Столбец1]]*Таблица1[[#This Row],[коэф]])),
IF(OR(G157="4/24",G157="3/24"),((база!$M$5*2*Таблица1[[#This Row],[Столбец1]]*Таблица1[[#This Row],[коэф]])),
IF((G157="5/16"),((база!$L$6*2*Таблица1[[#This Row],[Столбец1]]*Таблица1[[#This Row],[коэф]])),
IF(OR(G157="4/16",G157="3/16"),((база!$L$5*2*Таблица1[[#This Row],[Столбец1]]*Таблица1[[#This Row],[коэф]])),
IF(OR(G157="2/4",G157="3/4",G157="4/4"),((база!$I$5*2*Таблица1[[#This Row],[Столбец1]]*Таблица1[[#This Row],[коэф]])),
IF((G157="5/8"),((база!$J$6*2*Таблица1[[#This Row],[Столбец1]]*Таблица1[[#This Row],[коэф]])),
IF(OR(G157="4/8",G157="3/8",G157="2/8"),((база!$J$5*2*Таблица1[[#This Row],[Столбец1]]*Таблица1[[#This Row],[коэф]])))))))))))</f>
        <v>0</v>
      </c>
      <c r="AQ157" s="712" t="str">
        <f>IFERROR(INDEX(база!T:T, MATCH(F157,база!Q:Q,0)),"")</f>
        <v/>
      </c>
      <c r="AR157" s="208" t="str">
        <f>IFERROR(INDEX(база!D:D, MATCH(F157,база!B:B,0)),"")</f>
        <v/>
      </c>
      <c r="AS157" s="758" t="str">
        <f>IFERROR(INDEX(база!E:E, MATCH(F157,база!B:B,0)),"")</f>
        <v/>
      </c>
    </row>
    <row r="158" spans="1:45" ht="15">
      <c r="A158" s="1175" t="str">
        <f t="shared" si="4"/>
        <v>январь</v>
      </c>
      <c r="B158" t="n" s="1175">
        <v>2024.0</v>
      </c>
      <c r="C158" t="s" s="1175">
        <v>392</v>
      </c>
      <c r="D158" t="s" s="1175">
        <v>364</v>
      </c>
      <c r="E158" t="s" s="1175">
        <v>46</v>
      </c>
      <c r="F158" t="s" s="1175">
        <v>262</v>
      </c>
      <c r="G158" t="s" s="1175">
        <v>4</v>
      </c>
      <c r="H158" s="1175"/>
      <c r="I158" s="1175"/>
      <c r="J158" s="1175"/>
      <c r="K158" s="1175"/>
      <c r="L158" s="1175"/>
      <c r="M158" s="1175"/>
      <c r="N158" s="1175"/>
      <c r="O158" s="1175"/>
      <c r="P158" s="1175"/>
      <c r="Q158" s="1175"/>
      <c r="R158" s="1175"/>
      <c r="S158" t="n" s="1175">
        <v>7.2</v>
      </c>
      <c r="T158" s="563"/>
      <c r="U158" t="n" s="46">
        <v>7.2</v>
      </c>
      <c r="V158" s="563"/>
      <c r="W158" s="563"/>
      <c r="X158" s="563"/>
      <c r="Y158" s="563"/>
      <c r="Z158" s="563"/>
      <c r="AA158" s="563"/>
      <c r="AB158" s="563"/>
      <c r="AC158" s="563"/>
      <c r="AD158" s="48"/>
      <c r="AE158" s="48"/>
      <c r="AF158" s="258"/>
      <c r="AG158" s="258"/>
      <c r="AH158" s="258"/>
      <c r="AI158" s="258"/>
      <c r="AJ158" s="258"/>
      <c r="AK158" s="258"/>
      <c r="AL158" s="258"/>
      <c r="AM158" s="212">
        <f>IF(AQ158=1,SUM(Q158:T158,W158:Z158,AC158:AF158,AI158:AL158),
IF(AQ158=2,SUM(P158,S158:V158,Y158:AB158,AE158:AH158,AK158:AL158),
IF(AQ158=3,SUM(P158:R158,U158:X158,AA158:AD158,AG158:AJ158),SUM(Таблица1[[#This Row],[1]:[31]])-Таблица1[[#This Row],[Столбец1]])))</f>
        <v>0</v>
      </c>
      <c r="AN158" s="778">
        <f t="array" ref="AN158">IF(AQ158=1,SUM(P158,U158:V158,AA158:AB158,AG158:AH158),
IF(AQ158=2,SUM(Q158:R158,W158:X158,AC158:AD158,AI158:AJ158),
IF(AQ158=3,SUM(S158:T158,Y158:Z158,AE158:AF158,AK158:AL158),
SUM(IFERROR(WEEKDAY($H$2:$AL$2,2)&gt;5,)*H158:AL158))))+Таблица1[[#This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58" s="292" t="b">
        <f>IF(AR158&lt;=3,(IF((G158="5/24"),((база!$M$6*Таблица1[[#This Row],[сумма]]*Таблица1[[#This Row],[коэф]])),
IF((G158="4/24"),((база!$M$5*Таблица1[[#This Row],[сумма]]*Таблица1[[#This Row],[коэф]])),
IF((G158="3/24"),((база!$M$4*Таблица1[[#This Row],[сумма]]*Таблица1[[#This Row],[коэф]])),
IF((G158="5/16"),((база!$L$6*Таблица1[[#This Row],[сумма]]*Таблица1[[#This Row],[коэф]])),
IF((G158="4/16"),((база!$L$5*Таблица1[[#This Row],[сумма]]*Таблица1[[#This Row],[коэф]])),
IF((G158="3/16"),((база!$L$4*Таблица1[[#This Row],[сумма]]*Таблица1[[#This Row],[коэф]])),
IF((G158="4/4"),((база!$I$5*Таблица1[[#This Row],[сумма]]*Таблица1[[#This Row],[коэф]])),
IF(OR(G158="2/4",G158="3/4"),((база!$I$4*Таблица1[[#This Row],[сумма]]*Таблица1[[#This Row],[коэф]])),
IF((G158="5/8"),((база!$J$6*Таблица1[[#This Row],[сумма]]*Таблица1[[#This Row],[коэф]])),
IF((G158="4/8"),((база!$J$5*Таблица1[[#This Row],[сумма]]*Таблица1[[#This Row],[коэф]])),
IF(OR(G158="3/8",G158="2/8"),((база!$J$4*Таблица1[[#This Row],[сумма]]*Таблица1[[#This Row],[коэф]])))))))))))))),
(IF((G158="5/24"),((база!$M$6*Таблица1[[#This Row],[сумма]]*Таблица1[[#This Row],[коэф]])),
IF(OR(G158="4/24",G158="3/24"),((база!$M$5*Таблица1[[#This Row],[сумма]]*Таблица1[[#This Row],[коэф]])),
IF((G158="5/16"),((база!$L$6*Таблица1[[#This Row],[сумма]]*Таблица1[[#This Row],[коэф]])),
IF(OR(G158="4/16",G158="3/16"),((база!$L$5*Таблица1[[#This Row],[сумма]]*Таблица1[[#This Row],[коэф]])),
IF(OR(G158="2/4",G158="3/4",G158="4/4"),((база!$I$5*Таблица1[[#This Row],[сумма]]*Таблица1[[#This Row],[коэф]])),
IF((G158="5/8"),((база!$J$6*Таблица1[[#This Row],[сумма]]*Таблица1[[#This Row],[коэф]])),
IF(OR(G158="4/8",G158="3/8",G158="2/8"),((база!$J$5*Таблица1[[#This Row],[сумма]]*Таблица1[[#This Row],[коэф]])))))))))))</f>
        <v>0</v>
      </c>
      <c r="AP158" s="730" t="b">
        <f>IF(AR158&lt;=3,(IF((G158="5/24"),((база!$M$6*2*Таблица1[[#This Row],[Столбец1]]*Таблица1[[#This Row],[коэф]])),
IF((G158="4/24"),((база!$M$5*2*Таблица1[[#This Row],[Столбец1]]*Таблица1[[#This Row],[коэф]])),
IF((G158="3/24"),((база!$M$4*2*Таблица1[[#This Row],[Столбец1]]*Таблица1[[#This Row],[коэф]])),
IF((G158="5/16"),((база!$L$6*2*Таблица1[[#This Row],[Столбец1]]*Таблица1[[#This Row],[коэф]])),
IF((G158="4/16"),((база!$L$5*2*Таблица1[[#This Row],[Столбец1]]*Таблица1[[#This Row],[коэф]])),
IF((G158="3/16"),((база!$L$4*2*Таблица1[[#This Row],[Столбец1]]*Таблица1[[#This Row],[коэф]])),
IF((G158="4/4"),((база!$I$5*2*Таблица1[[#This Row],[Столбец1]]*Таблица1[[#This Row],[коэф]])),
IF(OR(G158="2/4",G158="3/4"),((база!$I$4*2*Таблица1[[#This Row],[Столбец1]]*Таблица1[[#This Row],[коэф]])),
IF((G158="5/8"),((база!$J$6*2*Таблица1[[#This Row],[Столбец1]]*Таблица1[[#This Row],[коэф]])),
IF((G158="4/8"),((база!$J$5*2*Таблица1[[#This Row],[Столбец1]]*Таблица1[[#This Row],[коэф]])),
IF(OR(G158="3/8",G158="2/8"),((база!$J$4*2*Таблица1[[#This Row],[Столбец1]]*Таблица1[[#This Row],[коэф]])))))))))))))),
(IF((G158="5/24"),((база!$M$6*2*Таблица1[[#This Row],[Столбец1]]*Таблица1[[#This Row],[коэф]])),
IF(OR(G158="4/24",G158="3/24"),((база!$M$5*2*Таблица1[[#This Row],[Столбец1]]*Таблица1[[#This Row],[коэф]])),
IF((G158="5/16"),((база!$L$6*2*Таблица1[[#This Row],[Столбец1]]*Таблица1[[#This Row],[коэф]])),
IF(OR(G158="4/16",G158="3/16"),((база!$L$5*2*Таблица1[[#This Row],[Столбец1]]*Таблица1[[#This Row],[коэф]])),
IF(OR(G158="2/4",G158="3/4",G158="4/4"),((база!$I$5*2*Таблица1[[#This Row],[Столбец1]]*Таблица1[[#This Row],[коэф]])),
IF((G158="5/8"),((база!$J$6*2*Таблица1[[#This Row],[Столбец1]]*Таблица1[[#This Row],[коэф]])),
IF(OR(G158="4/8",G158="3/8",G158="2/8"),((база!$J$5*2*Таблица1[[#This Row],[Столбец1]]*Таблица1[[#This Row],[коэф]])))))))))))</f>
        <v>0</v>
      </c>
      <c r="AQ158" s="712" t="str">
        <f>IFERROR(INDEX(база!T:T, MATCH(F158,база!Q:Q,0)),"")</f>
        <v/>
      </c>
      <c r="AR158" s="208" t="str">
        <f>IFERROR(INDEX(база!D:D, MATCH(F158,база!B:B,0)),"")</f>
        <v/>
      </c>
      <c r="AS158" s="758" t="str">
        <f>IFERROR(INDEX(база!E:E, MATCH(F158,база!B:B,0)),"")</f>
        <v/>
      </c>
    </row>
    <row r="159" spans="1:45" ht="15">
      <c r="A159" s="1176" t="str">
        <f t="shared" si="4"/>
        <v>январь</v>
      </c>
      <c r="B159" t="n" s="1176">
        <v>2024.0</v>
      </c>
      <c r="C159" t="s" s="1176">
        <v>386</v>
      </c>
      <c r="D159" t="s" s="1176">
        <v>364</v>
      </c>
      <c r="E159" t="s" s="1176">
        <v>46</v>
      </c>
      <c r="F159" t="s" s="1176">
        <v>263</v>
      </c>
      <c r="G159" t="s" s="1176">
        <v>6</v>
      </c>
      <c r="H159" s="1176"/>
      <c r="I159" s="1176"/>
      <c r="J159" s="1176"/>
      <c r="K159" s="1176"/>
      <c r="L159" s="1176"/>
      <c r="M159" s="1176"/>
      <c r="N159" s="1176"/>
      <c r="O159" s="1176"/>
      <c r="P159" s="1176"/>
      <c r="Q159" s="1176"/>
      <c r="R159" s="1176"/>
      <c r="S159" t="n" s="1176">
        <v>6.0</v>
      </c>
      <c r="T159" s="300"/>
      <c r="U159" s="563"/>
      <c r="V159" s="563"/>
      <c r="W159" s="563"/>
      <c r="X159" s="563"/>
      <c r="Y159" s="563"/>
      <c r="Z159" s="563"/>
      <c r="AA159" s="563"/>
      <c r="AB159" s="563"/>
      <c r="AC159" s="563"/>
      <c r="AD159" s="48"/>
      <c r="AE159" s="48"/>
      <c r="AF159" s="258"/>
      <c r="AG159" s="258"/>
      <c r="AH159" s="258"/>
      <c r="AI159" s="258"/>
      <c r="AJ159" s="258"/>
      <c r="AK159" s="258"/>
      <c r="AL159" s="258"/>
      <c r="AM159" s="212">
        <f>IF(AQ159=1,SUM(Q159:T159,W159:Z159,AC159:AF159,AI159:AL159),
IF(AQ159=2,SUM(P159,S159:V159,Y159:AB159,AE159:AH159,AK159:AL159),
IF(AQ159=3,SUM(P159:R159,U159:X159,AA159:AD159,AG159:AJ159),SUM(Таблица1[[#This Row],[1]:[31]])-Таблица1[[#This Row],[Столбец1]])))</f>
        <v>0</v>
      </c>
      <c r="AN159" s="778">
        <f t="array" ref="AN159">IF(AQ159=1,SUM(P159,U159:V159,AA159:AB159,AG159:AH159),
IF(AQ159=2,SUM(Q159:R159,W159:X159,AC159:AD159,AI159:AJ159),
IF(AQ159=3,SUM(S159:T159,Y159:Z159,AE159:AF159,AK159:AL159),
SUM(IFERROR(WEEKDAY($H$2:$AL$2,2)&gt;5,)*H159:AL159))))+Таблица1[[#This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59" s="292" t="b">
        <f>IF(AR159&lt;=3,(IF((G159="5/24"),((база!$M$6*Таблица1[[#This Row],[сумма]]*Таблица1[[#This Row],[коэф]])),
IF((G159="4/24"),((база!$M$5*Таблица1[[#This Row],[сумма]]*Таблица1[[#This Row],[коэф]])),
IF((G159="3/24"),((база!$M$4*Таблица1[[#This Row],[сумма]]*Таблица1[[#This Row],[коэф]])),
IF((G159="5/16"),((база!$L$6*Таблица1[[#This Row],[сумма]]*Таблица1[[#This Row],[коэф]])),
IF((G159="4/16"),((база!$L$5*Таблица1[[#This Row],[сумма]]*Таблица1[[#This Row],[коэф]])),
IF((G159="3/16"),((база!$L$4*Таблица1[[#This Row],[сумма]]*Таблица1[[#This Row],[коэф]])),
IF((G159="4/4"),((база!$I$5*Таблица1[[#This Row],[сумма]]*Таблица1[[#This Row],[коэф]])),
IF(OR(G159="2/4",G159="3/4"),((база!$I$4*Таблица1[[#This Row],[сумма]]*Таблица1[[#This Row],[коэф]])),
IF((G159="5/8"),((база!$J$6*Таблица1[[#This Row],[сумма]]*Таблица1[[#This Row],[коэф]])),
IF((G159="4/8"),((база!$J$5*Таблица1[[#This Row],[сумма]]*Таблица1[[#This Row],[коэф]])),
IF(OR(G159="3/8",G159="2/8"),((база!$J$4*Таблица1[[#This Row],[сумма]]*Таблица1[[#This Row],[коэф]])))))))))))))),
(IF((G159="5/24"),((база!$M$6*Таблица1[[#This Row],[сумма]]*Таблица1[[#This Row],[коэф]])),
IF(OR(G159="4/24",G159="3/24"),((база!$M$5*Таблица1[[#This Row],[сумма]]*Таблица1[[#This Row],[коэф]])),
IF((G159="5/16"),((база!$L$6*Таблица1[[#This Row],[сумма]]*Таблица1[[#This Row],[коэф]])),
IF(OR(G159="4/16",G159="3/16"),((база!$L$5*Таблица1[[#This Row],[сумма]]*Таблица1[[#This Row],[коэф]])),
IF(OR(G159="2/4",G159="3/4",G159="4/4"),((база!$I$5*Таблица1[[#This Row],[сумма]]*Таблица1[[#This Row],[коэф]])),
IF((G159="5/8"),((база!$J$6*Таблица1[[#This Row],[сумма]]*Таблица1[[#This Row],[коэф]])),
IF(OR(G159="4/8",G159="3/8",G159="2/8"),((база!$J$5*Таблица1[[#This Row],[сумма]]*Таблица1[[#This Row],[коэф]])))))))))))</f>
        <v>0</v>
      </c>
      <c r="AP159" s="730" t="b">
        <f>IF(AR159&lt;=3,(IF((G159="5/24"),((база!$M$6*2*Таблица1[[#This Row],[Столбец1]]*Таблица1[[#This Row],[коэф]])),
IF((G159="4/24"),((база!$M$5*2*Таблица1[[#This Row],[Столбец1]]*Таблица1[[#This Row],[коэф]])),
IF((G159="3/24"),((база!$M$4*2*Таблица1[[#This Row],[Столбец1]]*Таблица1[[#This Row],[коэф]])),
IF((G159="5/16"),((база!$L$6*2*Таблица1[[#This Row],[Столбец1]]*Таблица1[[#This Row],[коэф]])),
IF((G159="4/16"),((база!$L$5*2*Таблица1[[#This Row],[Столбец1]]*Таблица1[[#This Row],[коэф]])),
IF((G159="3/16"),((база!$L$4*2*Таблица1[[#This Row],[Столбец1]]*Таблица1[[#This Row],[коэф]])),
IF((G159="4/4"),((база!$I$5*2*Таблица1[[#This Row],[Столбец1]]*Таблица1[[#This Row],[коэф]])),
IF(OR(G159="2/4",G159="3/4"),((база!$I$4*2*Таблица1[[#This Row],[Столбец1]]*Таблица1[[#This Row],[коэф]])),
IF((G159="5/8"),((база!$J$6*2*Таблица1[[#This Row],[Столбец1]]*Таблица1[[#This Row],[коэф]])),
IF((G159="4/8"),((база!$J$5*2*Таблица1[[#This Row],[Столбец1]]*Таблица1[[#This Row],[коэф]])),
IF(OR(G159="3/8",G159="2/8"),((база!$J$4*2*Таблица1[[#This Row],[Столбец1]]*Таблица1[[#This Row],[коэф]])))))))))))))),
(IF((G159="5/24"),((база!$M$6*2*Таблица1[[#This Row],[Столбец1]]*Таблица1[[#This Row],[коэф]])),
IF(OR(G159="4/24",G159="3/24"),((база!$M$5*2*Таблица1[[#This Row],[Столбец1]]*Таблица1[[#This Row],[коэф]])),
IF((G159="5/16"),((база!$L$6*2*Таблица1[[#This Row],[Столбец1]]*Таблица1[[#This Row],[коэф]])),
IF(OR(G159="4/16",G159="3/16"),((база!$L$5*2*Таблица1[[#This Row],[Столбец1]]*Таблица1[[#This Row],[коэф]])),
IF(OR(G159="2/4",G159="3/4",G159="4/4"),((база!$I$5*2*Таблица1[[#This Row],[Столбец1]]*Таблица1[[#This Row],[коэф]])),
IF((G159="5/8"),((база!$J$6*2*Таблица1[[#This Row],[Столбец1]]*Таблица1[[#This Row],[коэф]])),
IF(OR(G159="4/8",G159="3/8",G159="2/8"),((база!$J$5*2*Таблица1[[#This Row],[Столбец1]]*Таблица1[[#This Row],[коэф]])))))))))))</f>
        <v>0</v>
      </c>
      <c r="AQ159" s="712" t="str">
        <f>IFERROR(INDEX(база!T:T, MATCH(F159,база!Q:Q,0)),"")</f>
        <v/>
      </c>
      <c r="AR159" s="208" t="str">
        <f>IFERROR(INDEX(база!D:D, MATCH(F159,база!B:B,0)),"")</f>
        <v/>
      </c>
      <c r="AS159" s="758" t="str">
        <f>IFERROR(INDEX(база!E:E, MATCH(F159,база!B:B,0)),"")</f>
        <v/>
      </c>
    </row>
    <row r="160" spans="1:45" ht="15">
      <c r="A160" s="1181" t="str">
        <f t="shared" si="4"/>
        <v>январь</v>
      </c>
      <c r="B160" t="n" s="1181">
        <v>2024.0</v>
      </c>
      <c r="C160" t="s" s="1181">
        <v>386</v>
      </c>
      <c r="D160" t="s" s="1181">
        <v>365</v>
      </c>
      <c r="E160" t="s" s="1181">
        <v>46</v>
      </c>
      <c r="F160" t="s" s="1181">
        <v>276</v>
      </c>
      <c r="G160" t="s" s="1181">
        <v>4</v>
      </c>
      <c r="H160" s="1181"/>
      <c r="I160" s="1181"/>
      <c r="J160" s="1181"/>
      <c r="K160" s="1181"/>
      <c r="L160" s="1181"/>
      <c r="M160" s="1181"/>
      <c r="N160" s="1181"/>
      <c r="O160" s="1181"/>
      <c r="P160" s="1181"/>
      <c r="Q160" s="1181"/>
      <c r="R160" s="1181"/>
      <c r="S160" t="n" s="1181">
        <v>2.0</v>
      </c>
      <c r="T160" s="563"/>
      <c r="U160" s="563"/>
      <c r="V160" s="563"/>
      <c r="W160" s="563"/>
      <c r="X160" s="563"/>
      <c r="Y160" s="563"/>
      <c r="Z160" s="563"/>
      <c r="AA160" s="563"/>
      <c r="AB160" s="563"/>
      <c r="AC160" s="563"/>
      <c r="AD160" s="48"/>
      <c r="AE160" s="48"/>
      <c r="AF160" s="258"/>
      <c r="AG160" s="258"/>
      <c r="AH160" s="258"/>
      <c r="AI160" s="258"/>
      <c r="AJ160" s="258"/>
      <c r="AK160" s="258"/>
      <c r="AL160" s="258"/>
      <c r="AM160" s="212">
        <f>IF(AQ160=1,SUM(Q160:T160,W160:Z160,AC160:AF160,AI160:AL160),
IF(AQ160=2,SUM(P160,S160:V160,Y160:AB160,AE160:AH160,AK160:AL160),
IF(AQ160=3,SUM(P160:R160,U160:X160,AA160:AD160,AG160:AJ160),SUM(Таблица1[[#This Row],[1]:[31]])-Таблица1[[#This Row],[Столбец1]])))</f>
        <v>0</v>
      </c>
      <c r="AN160" s="778">
        <f t="array" ref="AN160">IF(AQ160=1,SUM(P160,U160:V160,AA160:AB160,AG160:AH160),
IF(AQ160=2,SUM(Q160:R160,W160:X160,AC160:AD160,AI160:AJ160),
IF(AQ160=3,SUM(S160:T160,Y160:Z160,AE160:AF160,AK160:AL160),
SUM(IFERROR(WEEKDAY($H$2:$AL$2,2)&gt;5,)*H160:AL160))))+Таблица1[[#This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60" s="292" t="b">
        <f>IF(AR160&lt;=3,(IF((G160="5/24"),((база!$M$6*Таблица1[[#This Row],[сумма]]*Таблица1[[#This Row],[коэф]])),
IF((G160="4/24"),((база!$M$5*Таблица1[[#This Row],[сумма]]*Таблица1[[#This Row],[коэф]])),
IF((G160="3/24"),((база!$M$4*Таблица1[[#This Row],[сумма]]*Таблица1[[#This Row],[коэф]])),
IF((G160="5/16"),((база!$L$6*Таблица1[[#This Row],[сумма]]*Таблица1[[#This Row],[коэф]])),
IF((G160="4/16"),((база!$L$5*Таблица1[[#This Row],[сумма]]*Таблица1[[#This Row],[коэф]])),
IF((G160="3/16"),((база!$L$4*Таблица1[[#This Row],[сумма]]*Таблица1[[#This Row],[коэф]])),
IF((G160="4/4"),((база!$I$5*Таблица1[[#This Row],[сумма]]*Таблица1[[#This Row],[коэф]])),
IF(OR(G160="2/4",G160="3/4"),((база!$I$4*Таблица1[[#This Row],[сумма]]*Таблица1[[#This Row],[коэф]])),
IF((G160="5/8"),((база!$J$6*Таблица1[[#This Row],[сумма]]*Таблица1[[#This Row],[коэф]])),
IF((G160="4/8"),((база!$J$5*Таблица1[[#This Row],[сумма]]*Таблица1[[#This Row],[коэф]])),
IF(OR(G160="3/8",G160="2/8"),((база!$J$4*Таблица1[[#This Row],[сумма]]*Таблица1[[#This Row],[коэф]])))))))))))))),
(IF((G160="5/24"),((база!$M$6*Таблица1[[#This Row],[сумма]]*Таблица1[[#This Row],[коэф]])),
IF(OR(G160="4/24",G160="3/24"),((база!$M$5*Таблица1[[#This Row],[сумма]]*Таблица1[[#This Row],[коэф]])),
IF((G160="5/16"),((база!$L$6*Таблица1[[#This Row],[сумма]]*Таблица1[[#This Row],[коэф]])),
IF(OR(G160="4/16",G160="3/16"),((база!$L$5*Таблица1[[#This Row],[сумма]]*Таблица1[[#This Row],[коэф]])),
IF(OR(G160="2/4",G160="3/4",G160="4/4"),((база!$I$5*Таблица1[[#This Row],[сумма]]*Таблица1[[#This Row],[коэф]])),
IF((G160="5/8"),((база!$J$6*Таблица1[[#This Row],[сумма]]*Таблица1[[#This Row],[коэф]])),
IF(OR(G160="4/8",G160="3/8",G160="2/8"),((база!$J$5*Таблица1[[#This Row],[сумма]]*Таблица1[[#This Row],[коэф]])))))))))))</f>
        <v>0</v>
      </c>
      <c r="AP160" s="730" t="b">
        <f>IF(AR160&lt;=3,(IF((G160="5/24"),((база!$M$6*2*Таблица1[[#This Row],[Столбец1]]*Таблица1[[#This Row],[коэф]])),
IF((G160="4/24"),((база!$M$5*2*Таблица1[[#This Row],[Столбец1]]*Таблица1[[#This Row],[коэф]])),
IF((G160="3/24"),((база!$M$4*2*Таблица1[[#This Row],[Столбец1]]*Таблица1[[#This Row],[коэф]])),
IF((G160="5/16"),((база!$L$6*2*Таблица1[[#This Row],[Столбец1]]*Таблица1[[#This Row],[коэф]])),
IF((G160="4/16"),((база!$L$5*2*Таблица1[[#This Row],[Столбец1]]*Таблица1[[#This Row],[коэф]])),
IF((G160="3/16"),((база!$L$4*2*Таблица1[[#This Row],[Столбец1]]*Таблица1[[#This Row],[коэф]])),
IF((G160="4/4"),((база!$I$5*2*Таблица1[[#This Row],[Столбец1]]*Таблица1[[#This Row],[коэф]])),
IF(OR(G160="2/4",G160="3/4"),((база!$I$4*2*Таблица1[[#This Row],[Столбец1]]*Таблица1[[#This Row],[коэф]])),
IF((G160="5/8"),((база!$J$6*2*Таблица1[[#This Row],[Столбец1]]*Таблица1[[#This Row],[коэф]])),
IF((G160="4/8"),((база!$J$5*2*Таблица1[[#This Row],[Столбец1]]*Таблица1[[#This Row],[коэф]])),
IF(OR(G160="3/8",G160="2/8"),((база!$J$4*2*Таблица1[[#This Row],[Столбец1]]*Таблица1[[#This Row],[коэф]])))))))))))))),
(IF((G160="5/24"),((база!$M$6*2*Таблица1[[#This Row],[Столбец1]]*Таблица1[[#This Row],[коэф]])),
IF(OR(G160="4/24",G160="3/24"),((база!$M$5*2*Таблица1[[#This Row],[Столбец1]]*Таблица1[[#This Row],[коэф]])),
IF((G160="5/16"),((база!$L$6*2*Таблица1[[#This Row],[Столбец1]]*Таблица1[[#This Row],[коэф]])),
IF(OR(G160="4/16",G160="3/16"),((база!$L$5*2*Таблица1[[#This Row],[Столбец1]]*Таблица1[[#This Row],[коэф]])),
IF(OR(G160="2/4",G160="3/4",G160="4/4"),((база!$I$5*2*Таблица1[[#This Row],[Столбец1]]*Таблица1[[#This Row],[коэф]])),
IF((G160="5/8"),((база!$J$6*2*Таблица1[[#This Row],[Столбец1]]*Таблица1[[#This Row],[коэф]])),
IF(OR(G160="4/8",G160="3/8",G160="2/8"),((база!$J$5*2*Таблица1[[#This Row],[Столбец1]]*Таблица1[[#This Row],[коэф]])))))))))))</f>
        <v>0</v>
      </c>
      <c r="AQ160" s="712" t="str">
        <f>IFERROR(INDEX(база!T:T, MATCH(F160,база!Q:Q,0)),"")</f>
        <v/>
      </c>
      <c r="AR160" s="208" t="str">
        <f>IFERROR(INDEX(база!D:D, MATCH(F160,база!B:B,0)),"")</f>
        <v/>
      </c>
      <c r="AS160" s="758" t="str">
        <f>IFERROR(INDEX(база!E:E, MATCH(F160,база!B:B,0)),"")</f>
        <v/>
      </c>
    </row>
    <row r="161" spans="1:45" ht="15">
      <c r="A161" s="1182" t="str">
        <f t="shared" si="4"/>
        <v>январь</v>
      </c>
      <c r="B161" t="n" s="1182">
        <v>2024.0</v>
      </c>
      <c r="C161" t="s" s="1182">
        <v>392</v>
      </c>
      <c r="D161" t="s" s="1182">
        <v>364</v>
      </c>
      <c r="E161" t="s" s="1182">
        <v>46</v>
      </c>
      <c r="F161" t="s" s="1182">
        <v>297</v>
      </c>
      <c r="G161" t="s" s="1182">
        <v>4</v>
      </c>
      <c r="H161" s="1182"/>
      <c r="I161" s="1182"/>
      <c r="J161" s="1182"/>
      <c r="K161" s="1182"/>
      <c r="L161" s="1182"/>
      <c r="M161" s="1182"/>
      <c r="N161" s="1182"/>
      <c r="O161" s="1182"/>
      <c r="P161" s="1182"/>
      <c r="Q161" s="1182"/>
      <c r="R161" s="1182"/>
      <c r="S161" t="n" s="1182">
        <v>7.2</v>
      </c>
      <c r="T161" s="563"/>
      <c r="U161" s="563"/>
      <c r="V161" s="563"/>
      <c r="W161" s="563"/>
      <c r="X161" s="563"/>
      <c r="Y161" s="563"/>
      <c r="Z161" s="563"/>
      <c r="AA161" s="563"/>
      <c r="AB161" s="563"/>
      <c r="AC161" s="563"/>
      <c r="AD161" s="48"/>
      <c r="AE161" s="48"/>
      <c r="AF161" s="48"/>
      <c r="AG161" s="48"/>
      <c r="AH161" s="48"/>
      <c r="AI161" s="48"/>
      <c r="AJ161" s="258"/>
      <c r="AK161" s="258"/>
      <c r="AL161" s="258"/>
      <c r="AM161" s="212">
        <f>IF(AQ161=1,SUM(Q161:T161,W161:Z161,AC161:AF161,AI161:AL161),
IF(AQ161=2,SUM(P161,S161:V161,Y161:AB161,AE161:AH161,AK161:AL161),
IF(AQ161=3,SUM(P161:R161,U161:X161,AA161:AD161,AG161:AJ161),SUM(Таблица1[[#This Row],[1]:[31]])-Таблица1[[#This Row],[Столбец1]])))</f>
        <v>0</v>
      </c>
      <c r="AN161" s="778">
        <f t="array" ref="AN161">IF(AQ161=1,SUM(P161,U161:V161,AA161:AB161,AG161:AH161),
IF(AQ161=2,SUM(Q161:R161,W161:X161,AC161:AD161,AI161:AJ161),
IF(AQ161=3,SUM(S161:T161,Y161:Z161,AE161:AF161,AK161:AL161),
SUM(IFERROR(WEEKDAY($H$2:$AL$2,2)&gt;5,)*H161:AL161))))+Таблица1[[#This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61" s="292" t="b">
        <f>IF(AR161&lt;=3,(IF((G161="5/24"),((база!$M$6*Таблица1[[#This Row],[сумма]]*Таблица1[[#This Row],[коэф]])),
IF((G161="4/24"),((база!$M$5*Таблица1[[#This Row],[сумма]]*Таблица1[[#This Row],[коэф]])),
IF((G161="3/24"),((база!$M$4*Таблица1[[#This Row],[сумма]]*Таблица1[[#This Row],[коэф]])),
IF((G161="5/16"),((база!$L$6*Таблица1[[#This Row],[сумма]]*Таблица1[[#This Row],[коэф]])),
IF((G161="4/16"),((база!$L$5*Таблица1[[#This Row],[сумма]]*Таблица1[[#This Row],[коэф]])),
IF((G161="3/16"),((база!$L$4*Таблица1[[#This Row],[сумма]]*Таблица1[[#This Row],[коэф]])),
IF((G161="4/4"),((база!$I$5*Таблица1[[#This Row],[сумма]]*Таблица1[[#This Row],[коэф]])),
IF(OR(G161="2/4",G161="3/4"),((база!$I$4*Таблица1[[#This Row],[сумма]]*Таблица1[[#This Row],[коэф]])),
IF((G161="5/8"),((база!$J$6*Таблица1[[#This Row],[сумма]]*Таблица1[[#This Row],[коэф]])),
IF((G161="4/8"),((база!$J$5*Таблица1[[#This Row],[сумма]]*Таблица1[[#This Row],[коэф]])),
IF(OR(G161="3/8",G161="2/8"),((база!$J$4*Таблица1[[#This Row],[сумма]]*Таблица1[[#This Row],[коэф]])))))))))))))),
(IF((G161="5/24"),((база!$M$6*Таблица1[[#This Row],[сумма]]*Таблица1[[#This Row],[коэф]])),
IF(OR(G161="4/24",G161="3/24"),((база!$M$5*Таблица1[[#This Row],[сумма]]*Таблица1[[#This Row],[коэф]])),
IF((G161="5/16"),((база!$L$6*Таблица1[[#This Row],[сумма]]*Таблица1[[#This Row],[коэф]])),
IF(OR(G161="4/16",G161="3/16"),((база!$L$5*Таблица1[[#This Row],[сумма]]*Таблица1[[#This Row],[коэф]])),
IF(OR(G161="2/4",G161="3/4",G161="4/4"),((база!$I$5*Таблица1[[#This Row],[сумма]]*Таблица1[[#This Row],[коэф]])),
IF((G161="5/8"),((база!$J$6*Таблица1[[#This Row],[сумма]]*Таблица1[[#This Row],[коэф]])),
IF(OR(G161="4/8",G161="3/8",G161="2/8"),((база!$J$5*Таблица1[[#This Row],[сумма]]*Таблица1[[#This Row],[коэф]])))))))))))</f>
        <v>0</v>
      </c>
      <c r="AP161" s="730" t="b">
        <f>IF(AR161&lt;=3,(IF((G161="5/24"),((база!$M$6*2*Таблица1[[#This Row],[Столбец1]]*Таблица1[[#This Row],[коэф]])),
IF((G161="4/24"),((база!$M$5*2*Таблица1[[#This Row],[Столбец1]]*Таблица1[[#This Row],[коэф]])),
IF((G161="3/24"),((база!$M$4*2*Таблица1[[#This Row],[Столбец1]]*Таблица1[[#This Row],[коэф]])),
IF((G161="5/16"),((база!$L$6*2*Таблица1[[#This Row],[Столбец1]]*Таблица1[[#This Row],[коэф]])),
IF((G161="4/16"),((база!$L$5*2*Таблица1[[#This Row],[Столбец1]]*Таблица1[[#This Row],[коэф]])),
IF((G161="3/16"),((база!$L$4*2*Таблица1[[#This Row],[Столбец1]]*Таблица1[[#This Row],[коэф]])),
IF((G161="4/4"),((база!$I$5*2*Таблица1[[#This Row],[Столбец1]]*Таблица1[[#This Row],[коэф]])),
IF(OR(G161="2/4",G161="3/4"),((база!$I$4*2*Таблица1[[#This Row],[Столбец1]]*Таблица1[[#This Row],[коэф]])),
IF((G161="5/8"),((база!$J$6*2*Таблица1[[#This Row],[Столбец1]]*Таблица1[[#This Row],[коэф]])),
IF((G161="4/8"),((база!$J$5*2*Таблица1[[#This Row],[Столбец1]]*Таблица1[[#This Row],[коэф]])),
IF(OR(G161="3/8",G161="2/8"),((база!$J$4*2*Таблица1[[#This Row],[Столбец1]]*Таблица1[[#This Row],[коэф]])))))))))))))),
(IF((G161="5/24"),((база!$M$6*2*Таблица1[[#This Row],[Столбец1]]*Таблица1[[#This Row],[коэф]])),
IF(OR(G161="4/24",G161="3/24"),((база!$M$5*2*Таблица1[[#This Row],[Столбец1]]*Таблица1[[#This Row],[коэф]])),
IF((G161="5/16"),((база!$L$6*2*Таблица1[[#This Row],[Столбец1]]*Таблица1[[#This Row],[коэф]])),
IF(OR(G161="4/16",G161="3/16"),((база!$L$5*2*Таблица1[[#This Row],[Столбец1]]*Таблица1[[#This Row],[коэф]])),
IF(OR(G161="2/4",G161="3/4",G161="4/4"),((база!$I$5*2*Таблица1[[#This Row],[Столбец1]]*Таблица1[[#This Row],[коэф]])),
IF((G161="5/8"),((база!$J$6*2*Таблица1[[#This Row],[Столбец1]]*Таблица1[[#This Row],[коэф]])),
IF(OR(G161="4/8",G161="3/8",G161="2/8"),((база!$J$5*2*Таблица1[[#This Row],[Столбец1]]*Таблица1[[#This Row],[коэф]])))))))))))</f>
        <v>0</v>
      </c>
      <c r="AQ161" s="712" t="str">
        <f>IFERROR(INDEX(база!T:T, MATCH(F161,база!Q:Q,0)),"")</f>
        <v/>
      </c>
      <c r="AR161" s="208" t="str">
        <f>IFERROR(INDEX(база!D:D, MATCH(F161,база!B:B,0)),"")</f>
        <v/>
      </c>
      <c r="AS161" s="758" t="str">
        <f>IFERROR(INDEX(база!E:E, MATCH(F161,база!B:B,0)),"")</f>
        <v/>
      </c>
    </row>
    <row r="162" spans="1:45" ht="15">
      <c r="A162" s="1187" t="str">
        <f t="shared" si="4"/>
        <v>январь</v>
      </c>
      <c r="B162" t="n" s="1187">
        <v>2024.0</v>
      </c>
      <c r="C162" t="s" s="1187">
        <v>387</v>
      </c>
      <c r="D162" t="s" s="1187">
        <v>364</v>
      </c>
      <c r="E162" t="s" s="1187">
        <v>393</v>
      </c>
      <c r="F162" t="s" s="1187">
        <v>272</v>
      </c>
      <c r="G162" t="s" s="1187">
        <v>31</v>
      </c>
      <c r="H162" s="1187"/>
      <c r="I162" s="1187"/>
      <c r="J162" s="1187"/>
      <c r="K162" s="1187"/>
      <c r="L162" s="1187"/>
      <c r="M162" s="1187"/>
      <c r="N162" s="1187"/>
      <c r="O162" s="1187"/>
      <c r="P162" s="1187"/>
      <c r="Q162" s="1187"/>
      <c r="R162" s="1187"/>
      <c r="S162" s="1187"/>
      <c r="T162" t="n" s="1187">
        <v>7.0</v>
      </c>
      <c r="U162" s="48"/>
      <c r="V162" s="48"/>
      <c r="W162" s="563"/>
      <c r="X162" s="563"/>
      <c r="Y162" s="563"/>
      <c r="Z162" s="563"/>
      <c r="AA162" s="563"/>
      <c r="AB162" s="563"/>
      <c r="AC162" s="563"/>
      <c r="AD162" s="258"/>
      <c r="AE162" s="258"/>
      <c r="AF162" s="258"/>
      <c r="AG162" s="258"/>
      <c r="AH162" s="258"/>
      <c r="AI162" s="258"/>
      <c r="AJ162" s="258"/>
      <c r="AK162" s="258"/>
      <c r="AL162" s="258"/>
      <c r="AM162" s="212">
        <f>IF(AQ162=1,SUM(Q162:T162,W162:Z162,AC162:AF162,AI162:AL162),
IF(AQ162=2,SUM(P162,S162:V162,Y162:AB162,AE162:AH162,AK162:AL162),
IF(AQ162=3,SUM(P162:R162,U162:X162,AA162:AD162,AG162:AJ162),SUM(Таблица1[[#This Row],[1]:[31]])-Таблица1[[#This Row],[Столбец1]])))</f>
        <v>0</v>
      </c>
      <c r="AN162" s="778">
        <f t="array" ref="AN162">IF(AQ162=1,SUM(P162,U162:V162,AA162:AB162,AG162:AH162),
IF(AQ162=2,SUM(Q162:R162,W162:X162,AC162:AD162,AI162:AJ162),
IF(AQ162=3,SUM(S162:T162,Y162:Z162,AE162:AF162,AK162:AL162),
SUM(IFERROR(WEEKDAY($H$2:$AL$2,2)&gt;5,)*H162:AL162))))+Таблица1[[#This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62" s="292" t="b">
        <f>IF(AR162&lt;=3,(IF((G162="5/24"),((база!$M$6*Таблица1[[#This Row],[сумма]]*Таблица1[[#This Row],[коэф]])),
IF((G162="4/24"),((база!$M$5*Таблица1[[#This Row],[сумма]]*Таблица1[[#This Row],[коэф]])),
IF((G162="3/24"),((база!$M$4*Таблица1[[#This Row],[сумма]]*Таблица1[[#This Row],[коэф]])),
IF((G162="5/16"),((база!$L$6*Таблица1[[#This Row],[сумма]]*Таблица1[[#This Row],[коэф]])),
IF((G162="4/16"),((база!$L$5*Таблица1[[#This Row],[сумма]]*Таблица1[[#This Row],[коэф]])),
IF((G162="3/16"),((база!$L$4*Таблица1[[#This Row],[сумма]]*Таблица1[[#This Row],[коэф]])),
IF((G162="4/4"),((база!$I$5*Таблица1[[#This Row],[сумма]]*Таблица1[[#This Row],[коэф]])),
IF(OR(G162="2/4",G162="3/4"),((база!$I$4*Таблица1[[#This Row],[сумма]]*Таблица1[[#This Row],[коэф]])),
IF((G162="5/8"),((база!$J$6*Таблица1[[#This Row],[сумма]]*Таблица1[[#This Row],[коэф]])),
IF((G162="4/8"),((база!$J$5*Таблица1[[#This Row],[сумма]]*Таблица1[[#This Row],[коэф]])),
IF(OR(G162="3/8",G162="2/8"),((база!$J$4*Таблица1[[#This Row],[сумма]]*Таблица1[[#This Row],[коэф]])))))))))))))),
(IF((G162="5/24"),((база!$M$6*Таблица1[[#This Row],[сумма]]*Таблица1[[#This Row],[коэф]])),
IF(OR(G162="4/24",G162="3/24"),((база!$M$5*Таблица1[[#This Row],[сумма]]*Таблица1[[#This Row],[коэф]])),
IF((G162="5/16"),((база!$L$6*Таблица1[[#This Row],[сумма]]*Таблица1[[#This Row],[коэф]])),
IF(OR(G162="4/16",G162="3/16"),((база!$L$5*Таблица1[[#This Row],[сумма]]*Таблица1[[#This Row],[коэф]])),
IF(OR(G162="2/4",G162="3/4",G162="4/4"),((база!$I$5*Таблица1[[#This Row],[сумма]]*Таблица1[[#This Row],[коэф]])),
IF((G162="5/8"),((база!$J$6*Таблица1[[#This Row],[сумма]]*Таблица1[[#This Row],[коэф]])),
IF(OR(G162="4/8",G162="3/8",G162="2/8"),((база!$J$5*Таблица1[[#This Row],[сумма]]*Таблица1[[#This Row],[коэф]])))))))))))</f>
        <v>0</v>
      </c>
      <c r="AP162" s="730" t="b">
        <f>IF(AR162&lt;=3,(IF((G162="5/24"),((база!$M$6*2*Таблица1[[#This Row],[Столбец1]]*Таблица1[[#This Row],[коэф]])),
IF((G162="4/24"),((база!$M$5*2*Таблица1[[#This Row],[Столбец1]]*Таблица1[[#This Row],[коэф]])),
IF((G162="3/24"),((база!$M$4*2*Таблица1[[#This Row],[Столбец1]]*Таблица1[[#This Row],[коэф]])),
IF((G162="5/16"),((база!$L$6*2*Таблица1[[#This Row],[Столбец1]]*Таблица1[[#This Row],[коэф]])),
IF((G162="4/16"),((база!$L$5*2*Таблица1[[#This Row],[Столбец1]]*Таблица1[[#This Row],[коэф]])),
IF((G162="3/16"),((база!$L$4*2*Таблица1[[#This Row],[Столбец1]]*Таблица1[[#This Row],[коэф]])),
IF((G162="4/4"),((база!$I$5*2*Таблица1[[#This Row],[Столбец1]]*Таблица1[[#This Row],[коэф]])),
IF(OR(G162="2/4",G162="3/4"),((база!$I$4*2*Таблица1[[#This Row],[Столбец1]]*Таблица1[[#This Row],[коэф]])),
IF((G162="5/8"),((база!$J$6*2*Таблица1[[#This Row],[Столбец1]]*Таблица1[[#This Row],[коэф]])),
IF((G162="4/8"),((база!$J$5*2*Таблица1[[#This Row],[Столбец1]]*Таблица1[[#This Row],[коэф]])),
IF(OR(G162="3/8",G162="2/8"),((база!$J$4*2*Таблица1[[#This Row],[Столбец1]]*Таблица1[[#This Row],[коэф]])))))))))))))),
(IF((G162="5/24"),((база!$M$6*2*Таблица1[[#This Row],[Столбец1]]*Таблица1[[#This Row],[коэф]])),
IF(OR(G162="4/24",G162="3/24"),((база!$M$5*2*Таблица1[[#This Row],[Столбец1]]*Таблица1[[#This Row],[коэф]])),
IF((G162="5/16"),((база!$L$6*2*Таблица1[[#This Row],[Столбец1]]*Таблица1[[#This Row],[коэф]])),
IF(OR(G162="4/16",G162="3/16"),((база!$L$5*2*Таблица1[[#This Row],[Столбец1]]*Таблица1[[#This Row],[коэф]])),
IF(OR(G162="2/4",G162="3/4",G162="4/4"),((база!$I$5*2*Таблица1[[#This Row],[Столбец1]]*Таблица1[[#This Row],[коэф]])),
IF((G162="5/8"),((база!$J$6*2*Таблица1[[#This Row],[Столбец1]]*Таблица1[[#This Row],[коэф]])),
IF(OR(G162="4/8",G162="3/8",G162="2/8"),((база!$J$5*2*Таблица1[[#This Row],[Столбец1]]*Таблица1[[#This Row],[коэф]])))))))))))</f>
        <v>0</v>
      </c>
      <c r="AQ162" s="712" t="str">
        <f>IFERROR(INDEX(база!T:T, MATCH(F162,база!Q:Q,0)),"")</f>
        <v/>
      </c>
      <c r="AR162" s="208" t="str">
        <f>IFERROR(INDEX(база!D:D, MATCH(F162,база!B:B,0)),"")</f>
        <v/>
      </c>
      <c r="AS162" s="758" t="str">
        <f>IFERROR(INDEX(база!E:E, MATCH(F162,база!B:B,0)),"")</f>
        <v/>
      </c>
    </row>
    <row r="163" spans="1:45" ht="15">
      <c r="A163" s="1188" t="str">
        <f t="shared" si="4"/>
        <v>январь</v>
      </c>
      <c r="B163" t="n" s="1188">
        <v>2024.0</v>
      </c>
      <c r="C163" t="s" s="1188">
        <v>387</v>
      </c>
      <c r="D163" t="s" s="1188">
        <v>364</v>
      </c>
      <c r="E163" t="s" s="1188">
        <v>389</v>
      </c>
      <c r="F163" t="s" s="1188">
        <v>255</v>
      </c>
      <c r="G163" t="s" s="1188">
        <v>5</v>
      </c>
      <c r="H163" s="1188"/>
      <c r="I163" s="1188"/>
      <c r="J163" s="1188"/>
      <c r="K163" s="1188"/>
      <c r="L163" s="1188"/>
      <c r="M163" s="1188"/>
      <c r="N163" s="1188"/>
      <c r="O163" s="1188"/>
      <c r="P163" s="1188"/>
      <c r="Q163" s="1188"/>
      <c r="R163" s="1188"/>
      <c r="S163" s="1188"/>
      <c r="T163" t="n" s="1188">
        <v>6.0</v>
      </c>
      <c r="U163" s="563"/>
      <c r="V163" s="563"/>
      <c r="W163" s="563"/>
      <c r="X163" s="563"/>
      <c r="Y163" s="563"/>
      <c r="Z163" s="563"/>
      <c r="AA163" s="563"/>
      <c r="AB163" s="563"/>
      <c r="AC163" s="563"/>
      <c r="AD163" s="48"/>
      <c r="AE163" s="48"/>
      <c r="AF163" s="258"/>
      <c r="AG163" s="258"/>
      <c r="AH163" s="258"/>
      <c r="AI163" s="258"/>
      <c r="AJ163" s="258"/>
      <c r="AK163" s="258"/>
      <c r="AL163" s="258"/>
      <c r="AM163" s="212">
        <f>IF(AQ163=1,SUM(Q163:T163,W163:Z163,AC163:AF163,AI163:AL163),
IF(AQ163=2,SUM(P163,S163:V163,Y163:AB163,AE163:AH163,AK163:AL163),
IF(AQ163=3,SUM(P163:R163,U163:X163,AA163:AD163,AG163:AJ163),SUM(Таблица1[[#This Row],[1]:[31]])-Таблица1[[#This Row],[Столбец1]])))</f>
        <v>0</v>
      </c>
      <c r="AN163" s="778">
        <f t="array" ref="AN163">IF(AQ163=1,SUM(P163,U163:V163,AA163:AB163,AG163:AH163),
IF(AQ163=2,SUM(Q163:R163,W163:X163,AC163:AD163,AI163:AJ163),
IF(AQ163=3,SUM(S163:T163,Y163:Z163,AE163:AF163,AK163:AL163),
SUM(IFERROR(WEEKDAY($H$2:$AL$2,2)&gt;5,)*H163:AL163))))+Таблица1[[#This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63" s="292" t="b">
        <f>IF(AR163&lt;=3,(IF((G163="5/24"),((база!$M$6*Таблица1[[#This Row],[сумма]]*Таблица1[[#This Row],[коэф]])),
IF((G163="4/24"),((база!$M$5*Таблица1[[#This Row],[сумма]]*Таблица1[[#This Row],[коэф]])),
IF((G163="3/24"),((база!$M$4*Таблица1[[#This Row],[сумма]]*Таблица1[[#This Row],[коэф]])),
IF((G163="5/16"),((база!$L$6*Таблица1[[#This Row],[сумма]]*Таблица1[[#This Row],[коэф]])),
IF((G163="4/16"),((база!$L$5*Таблица1[[#This Row],[сумма]]*Таблица1[[#This Row],[коэф]])),
IF((G163="3/16"),((база!$L$4*Таблица1[[#This Row],[сумма]]*Таблица1[[#This Row],[коэф]])),
IF((G163="4/4"),((база!$I$5*Таблица1[[#This Row],[сумма]]*Таблица1[[#This Row],[коэф]])),
IF(OR(G163="2/4",G163="3/4"),((база!$I$4*Таблица1[[#This Row],[сумма]]*Таблица1[[#This Row],[коэф]])),
IF((G163="5/8"),((база!$J$6*Таблица1[[#This Row],[сумма]]*Таблица1[[#This Row],[коэф]])),
IF((G163="4/8"),((база!$J$5*Таблица1[[#This Row],[сумма]]*Таблица1[[#This Row],[коэф]])),
IF(OR(G163="3/8",G163="2/8"),((база!$J$4*Таблица1[[#This Row],[сумма]]*Таблица1[[#This Row],[коэф]])))))))))))))),
(IF((G163="5/24"),((база!$M$6*Таблица1[[#This Row],[сумма]]*Таблица1[[#This Row],[коэф]])),
IF(OR(G163="4/24",G163="3/24"),((база!$M$5*Таблица1[[#This Row],[сумма]]*Таблица1[[#This Row],[коэф]])),
IF((G163="5/16"),((база!$L$6*Таблица1[[#This Row],[сумма]]*Таблица1[[#This Row],[коэф]])),
IF(OR(G163="4/16",G163="3/16"),((база!$L$5*Таблица1[[#This Row],[сумма]]*Таблица1[[#This Row],[коэф]])),
IF(OR(G163="2/4",G163="3/4",G163="4/4"),((база!$I$5*Таблица1[[#This Row],[сумма]]*Таблица1[[#This Row],[коэф]])),
IF((G163="5/8"),((база!$J$6*Таблица1[[#This Row],[сумма]]*Таблица1[[#This Row],[коэф]])),
IF(OR(G163="4/8",G163="3/8",G163="2/8"),((база!$J$5*Таблица1[[#This Row],[сумма]]*Таблица1[[#This Row],[коэф]])))))))))))</f>
        <v>0</v>
      </c>
      <c r="AP163" s="730" t="b">
        <f>IF(AR163&lt;=3,(IF((G163="5/24"),((база!$M$6*2*Таблица1[[#This Row],[Столбец1]]*Таблица1[[#This Row],[коэф]])),
IF((G163="4/24"),((база!$M$5*2*Таблица1[[#This Row],[Столбец1]]*Таблица1[[#This Row],[коэф]])),
IF((G163="3/24"),((база!$M$4*2*Таблица1[[#This Row],[Столбец1]]*Таблица1[[#This Row],[коэф]])),
IF((G163="5/16"),((база!$L$6*2*Таблица1[[#This Row],[Столбец1]]*Таблица1[[#This Row],[коэф]])),
IF((G163="4/16"),((база!$L$5*2*Таблица1[[#This Row],[Столбец1]]*Таблица1[[#This Row],[коэф]])),
IF((G163="3/16"),((база!$L$4*2*Таблица1[[#This Row],[Столбец1]]*Таблица1[[#This Row],[коэф]])),
IF((G163="4/4"),((база!$I$5*2*Таблица1[[#This Row],[Столбец1]]*Таблица1[[#This Row],[коэф]])),
IF(OR(G163="2/4",G163="3/4"),((база!$I$4*2*Таблица1[[#This Row],[Столбец1]]*Таблица1[[#This Row],[коэф]])),
IF((G163="5/8"),((база!$J$6*2*Таблица1[[#This Row],[Столбец1]]*Таблица1[[#This Row],[коэф]])),
IF((G163="4/8"),((база!$J$5*2*Таблица1[[#This Row],[Столбец1]]*Таблица1[[#This Row],[коэф]])),
IF(OR(G163="3/8",G163="2/8"),((база!$J$4*2*Таблица1[[#This Row],[Столбец1]]*Таблица1[[#This Row],[коэф]])))))))))))))),
(IF((G163="5/24"),((база!$M$6*2*Таблица1[[#This Row],[Столбец1]]*Таблица1[[#This Row],[коэф]])),
IF(OR(G163="4/24",G163="3/24"),((база!$M$5*2*Таблица1[[#This Row],[Столбец1]]*Таблица1[[#This Row],[коэф]])),
IF((G163="5/16"),((база!$L$6*2*Таблица1[[#This Row],[Столбец1]]*Таблица1[[#This Row],[коэф]])),
IF(OR(G163="4/16",G163="3/16"),((база!$L$5*2*Таблица1[[#This Row],[Столбец1]]*Таблица1[[#This Row],[коэф]])),
IF(OR(G163="2/4",G163="3/4",G163="4/4"),((база!$I$5*2*Таблица1[[#This Row],[Столбец1]]*Таблица1[[#This Row],[коэф]])),
IF((G163="5/8"),((база!$J$6*2*Таблица1[[#This Row],[Столбец1]]*Таблица1[[#This Row],[коэф]])),
IF(OR(G163="4/8",G163="3/8",G163="2/8"),((база!$J$5*2*Таблица1[[#This Row],[Столбец1]]*Таблица1[[#This Row],[коэф]])))))))))))</f>
        <v>0</v>
      </c>
      <c r="AQ163" s="712" t="str">
        <f>IFERROR(INDEX(база!T:T, MATCH(F163,база!Q:Q,0)),"")</f>
        <v/>
      </c>
      <c r="AR163" s="208" t="str">
        <f>IFERROR(INDEX(база!D:D, MATCH(F163,база!B:B,0)),"")</f>
        <v/>
      </c>
      <c r="AS163" s="758" t="str">
        <f>IFERROR(INDEX(база!E:E, MATCH(F163,база!B:B,0)),"")</f>
        <v/>
      </c>
    </row>
    <row r="164" spans="1:45" ht="15">
      <c r="A164" s="1189" t="str">
        <f t="shared" si="4"/>
        <v>январь</v>
      </c>
      <c r="B164" t="n" s="1189">
        <v>2024.0</v>
      </c>
      <c r="C164" t="s" s="1189">
        <v>386</v>
      </c>
      <c r="D164" t="s" s="1189">
        <v>364</v>
      </c>
      <c r="E164" t="s" s="1189">
        <v>46</v>
      </c>
      <c r="F164" t="s" s="1189">
        <v>285</v>
      </c>
      <c r="G164" t="s" s="1189">
        <v>6</v>
      </c>
      <c r="H164" s="1189"/>
      <c r="I164" s="1189"/>
      <c r="J164" s="1189"/>
      <c r="K164" s="1189"/>
      <c r="L164" s="1189"/>
      <c r="M164" s="1189"/>
      <c r="N164" s="1189"/>
      <c r="O164" s="1189"/>
      <c r="P164" s="1189"/>
      <c r="Q164" s="1189"/>
      <c r="R164" s="1189"/>
      <c r="S164" s="1189"/>
      <c r="T164" t="n" s="1189">
        <v>6.0</v>
      </c>
      <c r="U164" s="563"/>
      <c r="V164" s="563"/>
      <c r="W164" s="563"/>
      <c r="X164" s="563"/>
      <c r="Y164" s="563"/>
      <c r="Z164" s="563"/>
      <c r="AA164" s="563"/>
      <c r="AB164" s="563"/>
      <c r="AC164" s="563"/>
      <c r="AD164" s="48"/>
      <c r="AE164" s="48"/>
      <c r="AF164" s="258"/>
      <c r="AG164" s="258"/>
      <c r="AH164" s="258"/>
      <c r="AI164" s="258"/>
      <c r="AJ164" s="258"/>
      <c r="AK164" s="48"/>
      <c r="AL164" s="51"/>
      <c r="AM164" s="212">
        <f>IF(AQ164=1,SUM(Q164:T164,W164:Z164,AC164:AF164,AI164:AL164),
IF(AQ164=2,SUM(P164,S164:V164,Y164:AB164,AE164:AH164,AK164:AL164),
IF(AQ164=3,SUM(P164:R164,U164:X164,AA164:AD164,AG164:AJ164),SUM(Таблица1[[#This Row],[1]:[31]])-Таблица1[[#This Row],[Столбец1]])))</f>
        <v>0</v>
      </c>
      <c r="AN164" s="778">
        <f t="array" ref="AN164">IF(AQ164=1,SUM(P164,U164:V164,AA164:AB164,AG164:AH164),
IF(AQ164=2,SUM(Q164:R164,W164:X164,AC164:AD164,AI164:AJ164),
IF(AQ164=3,SUM(S164:T164,Y164:Z164,AE164:AF164,AK164:AL164),
SUM(IFERROR(WEEKDAY($H$2:$AL$2,2)&gt;5,)*H164:AL164))))+Таблица1[[#This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64" s="292" t="b">
        <f>IF(AR164&lt;=3,(IF((G164="5/24"),((база!$M$6*Таблица1[[#This Row],[сумма]]*Таблица1[[#This Row],[коэф]])),
IF((G164="4/24"),((база!$M$5*Таблица1[[#This Row],[сумма]]*Таблица1[[#This Row],[коэф]])),
IF((G164="3/24"),((база!$M$4*Таблица1[[#This Row],[сумма]]*Таблица1[[#This Row],[коэф]])),
IF((G164="5/16"),((база!$L$6*Таблица1[[#This Row],[сумма]]*Таблица1[[#This Row],[коэф]])),
IF((G164="4/16"),((база!$L$5*Таблица1[[#This Row],[сумма]]*Таблица1[[#This Row],[коэф]])),
IF((G164="3/16"),((база!$L$4*Таблица1[[#This Row],[сумма]]*Таблица1[[#This Row],[коэф]])),
IF((G164="4/4"),((база!$I$5*Таблица1[[#This Row],[сумма]]*Таблица1[[#This Row],[коэф]])),
IF(OR(G164="2/4",G164="3/4"),((база!$I$4*Таблица1[[#This Row],[сумма]]*Таблица1[[#This Row],[коэф]])),
IF((G164="5/8"),((база!$J$6*Таблица1[[#This Row],[сумма]]*Таблица1[[#This Row],[коэф]])),
IF((G164="4/8"),((база!$J$5*Таблица1[[#This Row],[сумма]]*Таблица1[[#This Row],[коэф]])),
IF(OR(G164="3/8",G164="2/8"),((база!$J$4*Таблица1[[#This Row],[сумма]]*Таблица1[[#This Row],[коэф]])))))))))))))),
(IF((G164="5/24"),((база!$M$6*Таблица1[[#This Row],[сумма]]*Таблица1[[#This Row],[коэф]])),
IF(OR(G164="4/24",G164="3/24"),((база!$M$5*Таблица1[[#This Row],[сумма]]*Таблица1[[#This Row],[коэф]])),
IF((G164="5/16"),((база!$L$6*Таблица1[[#This Row],[сумма]]*Таблица1[[#This Row],[коэф]])),
IF(OR(G164="4/16",G164="3/16"),((база!$L$5*Таблица1[[#This Row],[сумма]]*Таблица1[[#This Row],[коэф]])),
IF(OR(G164="2/4",G164="3/4",G164="4/4"),((база!$I$5*Таблица1[[#This Row],[сумма]]*Таблица1[[#This Row],[коэф]])),
IF((G164="5/8"),((база!$J$6*Таблица1[[#This Row],[сумма]]*Таблица1[[#This Row],[коэф]])),
IF(OR(G164="4/8",G164="3/8",G164="2/8"),((база!$J$5*Таблица1[[#This Row],[сумма]]*Таблица1[[#This Row],[коэф]])))))))))))</f>
        <v>0</v>
      </c>
      <c r="AP164" s="730" t="b">
        <f>IF(AR164&lt;=3,(IF((G164="5/24"),((база!$M$6*2*Таблица1[[#This Row],[Столбец1]]*Таблица1[[#This Row],[коэф]])),
IF((G164="4/24"),((база!$M$5*2*Таблица1[[#This Row],[Столбец1]]*Таблица1[[#This Row],[коэф]])),
IF((G164="3/24"),((база!$M$4*2*Таблица1[[#This Row],[Столбец1]]*Таблица1[[#This Row],[коэф]])),
IF((G164="5/16"),((база!$L$6*2*Таблица1[[#This Row],[Столбец1]]*Таблица1[[#This Row],[коэф]])),
IF((G164="4/16"),((база!$L$5*2*Таблица1[[#This Row],[Столбец1]]*Таблица1[[#This Row],[коэф]])),
IF((G164="3/16"),((база!$L$4*2*Таблица1[[#This Row],[Столбец1]]*Таблица1[[#This Row],[коэф]])),
IF((G164="4/4"),((база!$I$5*2*Таблица1[[#This Row],[Столбец1]]*Таблица1[[#This Row],[коэф]])),
IF(OR(G164="2/4",G164="3/4"),((база!$I$4*2*Таблица1[[#This Row],[Столбец1]]*Таблица1[[#This Row],[коэф]])),
IF((G164="5/8"),((база!$J$6*2*Таблица1[[#This Row],[Столбец1]]*Таблица1[[#This Row],[коэф]])),
IF((G164="4/8"),((база!$J$5*2*Таблица1[[#This Row],[Столбец1]]*Таблица1[[#This Row],[коэф]])),
IF(OR(G164="3/8",G164="2/8"),((база!$J$4*2*Таблица1[[#This Row],[Столбец1]]*Таблица1[[#This Row],[коэф]])))))))))))))),
(IF((G164="5/24"),((база!$M$6*2*Таблица1[[#This Row],[Столбец1]]*Таблица1[[#This Row],[коэф]])),
IF(OR(G164="4/24",G164="3/24"),((база!$M$5*2*Таблица1[[#This Row],[Столбец1]]*Таблица1[[#This Row],[коэф]])),
IF((G164="5/16"),((база!$L$6*2*Таблица1[[#This Row],[Столбец1]]*Таблица1[[#This Row],[коэф]])),
IF(OR(G164="4/16",G164="3/16"),((база!$L$5*2*Таблица1[[#This Row],[Столбец1]]*Таблица1[[#This Row],[коэф]])),
IF(OR(G164="2/4",G164="3/4",G164="4/4"),((база!$I$5*2*Таблица1[[#This Row],[Столбец1]]*Таблица1[[#This Row],[коэф]])),
IF((G164="5/8"),((база!$J$6*2*Таблица1[[#This Row],[Столбец1]]*Таблица1[[#This Row],[коэф]])),
IF(OR(G164="4/8",G164="3/8",G164="2/8"),((база!$J$5*2*Таблица1[[#This Row],[Столбец1]]*Таблица1[[#This Row],[коэф]])))))))))))</f>
        <v>0</v>
      </c>
      <c r="AQ164" s="712" t="str">
        <f>IFERROR(INDEX(база!T:T, MATCH(F164,база!Q:Q,0)),"")</f>
        <v/>
      </c>
      <c r="AR164" s="208" t="str">
        <f>IFERROR(INDEX(база!D:D, MATCH(F164,база!B:B,0)),"")</f>
        <v/>
      </c>
      <c r="AS164" s="758" t="str">
        <f>IFERROR(INDEX(база!E:E, MATCH(F164,база!B:B,0)),"")</f>
        <v/>
      </c>
    </row>
    <row r="165" spans="1:45" ht="15">
      <c r="A165" s="1190" t="str">
        <f t="shared" si="4"/>
        <v>январь</v>
      </c>
      <c r="B165" t="n" s="1190">
        <v>2024.0</v>
      </c>
      <c r="C165" t="s" s="1190">
        <v>388</v>
      </c>
      <c r="D165" t="s" s="1190">
        <v>381</v>
      </c>
      <c r="E165" t="s" s="1190">
        <v>389</v>
      </c>
      <c r="F165" t="s" s="1190">
        <v>271</v>
      </c>
      <c r="G165" t="s" s="1190">
        <v>5</v>
      </c>
      <c r="H165" s="1190"/>
      <c r="I165" s="1190"/>
      <c r="J165" s="1190"/>
      <c r="K165" s="1190"/>
      <c r="L165" s="1190"/>
      <c r="M165" s="1190"/>
      <c r="N165" s="1190"/>
      <c r="O165" s="1190"/>
      <c r="P165" s="1190"/>
      <c r="Q165" s="1190"/>
      <c r="R165" s="1190"/>
      <c r="S165" s="1190"/>
      <c r="T165" t="n" s="1190">
        <v>2.0</v>
      </c>
      <c r="U165" s="563"/>
      <c r="V165" s="563"/>
      <c r="W165" s="563"/>
      <c r="X165" s="563"/>
      <c r="Y165" s="563"/>
      <c r="Z165" s="563"/>
      <c r="AA165" s="563"/>
      <c r="AB165" s="563"/>
      <c r="AC165" s="563"/>
      <c r="AD165" s="563"/>
      <c r="AE165" s="563"/>
      <c r="AF165" s="258"/>
      <c r="AG165" s="258"/>
      <c r="AH165" s="258"/>
      <c r="AI165" s="258"/>
      <c r="AJ165" s="258"/>
      <c r="AK165" s="258"/>
      <c r="AL165" s="258"/>
      <c r="AM165" s="212">
        <f>IF(AQ165=1,SUM(Q165:T165,W165:Z165,AC165:AF165,AI165:AL165),
IF(AQ165=2,SUM(P165,S165:V165,Y165:AB165,AE165:AH165,AK165:AL165),
IF(AQ165=3,SUM(P165:R165,U165:X165,AA165:AD165,AG165:AJ165),SUM(Таблица1[[#This Row],[1]:[31]])-Таблица1[[#This Row],[Столбец1]])))</f>
        <v>0</v>
      </c>
      <c r="AN165" s="778">
        <f t="array" ref="AN165">IF(AQ165=1,SUM(P165,U165:V165,AA165:AB165,AG165:AH165),
IF(AQ165=2,SUM(Q165:R165,W165:X165,AC165:AD165,AI165:AJ165),
IF(AQ165=3,SUM(S165:T165,Y165:Z165,AE165:AF165,AK165:AL165),
SUM(IFERROR(WEEKDAY($H$2:$AL$2,2)&gt;5,)*H165:AL165))))+Таблица1[[#This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65" s="292" t="b">
        <f>IF(AR165&lt;=3,(IF((G165="5/24"),((база!$M$6*Таблица1[[#This Row],[сумма]]*Таблица1[[#This Row],[коэф]])),
IF((G165="4/24"),((база!$M$5*Таблица1[[#This Row],[сумма]]*Таблица1[[#This Row],[коэф]])),
IF((G165="3/24"),((база!$M$4*Таблица1[[#This Row],[сумма]]*Таблица1[[#This Row],[коэф]])),
IF((G165="5/16"),((база!$L$6*Таблица1[[#This Row],[сумма]]*Таблица1[[#This Row],[коэф]])),
IF((G165="4/16"),((база!$L$5*Таблица1[[#This Row],[сумма]]*Таблица1[[#This Row],[коэф]])),
IF((G165="3/16"),((база!$L$4*Таблица1[[#This Row],[сумма]]*Таблица1[[#This Row],[коэф]])),
IF((G165="4/4"),((база!$I$5*Таблица1[[#This Row],[сумма]]*Таблица1[[#This Row],[коэф]])),
IF(OR(G165="2/4",G165="3/4"),((база!$I$4*Таблица1[[#This Row],[сумма]]*Таблица1[[#This Row],[коэф]])),
IF((G165="5/8"),((база!$J$6*Таблица1[[#This Row],[сумма]]*Таблица1[[#This Row],[коэф]])),
IF((G165="4/8"),((база!$J$5*Таблица1[[#This Row],[сумма]]*Таблица1[[#This Row],[коэф]])),
IF(OR(G165="3/8",G165="2/8"),((база!$J$4*Таблица1[[#This Row],[сумма]]*Таблица1[[#This Row],[коэф]])))))))))))))),
(IF((G165="5/24"),((база!$M$6*Таблица1[[#This Row],[сумма]]*Таблица1[[#This Row],[коэф]])),
IF(OR(G165="4/24",G165="3/24"),((база!$M$5*Таблица1[[#This Row],[сумма]]*Таблица1[[#This Row],[коэф]])),
IF((G165="5/16"),((база!$L$6*Таблица1[[#This Row],[сумма]]*Таблица1[[#This Row],[коэф]])),
IF(OR(G165="4/16",G165="3/16"),((база!$L$5*Таблица1[[#This Row],[сумма]]*Таблица1[[#This Row],[коэф]])),
IF(OR(G165="2/4",G165="3/4",G165="4/4"),((база!$I$5*Таблица1[[#This Row],[сумма]]*Таблица1[[#This Row],[коэф]])),
IF((G165="5/8"),((база!$J$6*Таблица1[[#This Row],[сумма]]*Таблица1[[#This Row],[коэф]])),
IF(OR(G165="4/8",G165="3/8",G165="2/8"),((база!$J$5*Таблица1[[#This Row],[сумма]]*Таблица1[[#This Row],[коэф]])))))))))))</f>
        <v>0</v>
      </c>
      <c r="AP165" s="730" t="b">
        <f>IF(AR165&lt;=3,(IF((G165="5/24"),((база!$M$6*2*Таблица1[[#This Row],[Столбец1]]*Таблица1[[#This Row],[коэф]])),
IF((G165="4/24"),((база!$M$5*2*Таблица1[[#This Row],[Столбец1]]*Таблица1[[#This Row],[коэф]])),
IF((G165="3/24"),((база!$M$4*2*Таблица1[[#This Row],[Столбец1]]*Таблица1[[#This Row],[коэф]])),
IF((G165="5/16"),((база!$L$6*2*Таблица1[[#This Row],[Столбец1]]*Таблица1[[#This Row],[коэф]])),
IF((G165="4/16"),((база!$L$5*2*Таблица1[[#This Row],[Столбец1]]*Таблица1[[#This Row],[коэф]])),
IF((G165="3/16"),((база!$L$4*2*Таблица1[[#This Row],[Столбец1]]*Таблица1[[#This Row],[коэф]])),
IF((G165="4/4"),((база!$I$5*2*Таблица1[[#This Row],[Столбец1]]*Таблица1[[#This Row],[коэф]])),
IF(OR(G165="2/4",G165="3/4"),((база!$I$4*2*Таблица1[[#This Row],[Столбец1]]*Таблица1[[#This Row],[коэф]])),
IF((G165="5/8"),((база!$J$6*2*Таблица1[[#This Row],[Столбец1]]*Таблица1[[#This Row],[коэф]])),
IF((G165="4/8"),((база!$J$5*2*Таблица1[[#This Row],[Столбец1]]*Таблица1[[#This Row],[коэф]])),
IF(OR(G165="3/8",G165="2/8"),((база!$J$4*2*Таблица1[[#This Row],[Столбец1]]*Таблица1[[#This Row],[коэф]])))))))))))))),
(IF((G165="5/24"),((база!$M$6*2*Таблица1[[#This Row],[Столбец1]]*Таблица1[[#This Row],[коэф]])),
IF(OR(G165="4/24",G165="3/24"),((база!$M$5*2*Таблица1[[#This Row],[Столбец1]]*Таблица1[[#This Row],[коэф]])),
IF((G165="5/16"),((база!$L$6*2*Таблица1[[#This Row],[Столбец1]]*Таблица1[[#This Row],[коэф]])),
IF(OR(G165="4/16",G165="3/16"),((база!$L$5*2*Таблица1[[#This Row],[Столбец1]]*Таблица1[[#This Row],[коэф]])),
IF(OR(G165="2/4",G165="3/4",G165="4/4"),((база!$I$5*2*Таблица1[[#This Row],[Столбец1]]*Таблица1[[#This Row],[коэф]])),
IF((G165="5/8"),((база!$J$6*2*Таблица1[[#This Row],[Столбец1]]*Таблица1[[#This Row],[коэф]])),
IF(OR(G165="4/8",G165="3/8",G165="2/8"),((база!$J$5*2*Таблица1[[#This Row],[Столбец1]]*Таблица1[[#This Row],[коэф]])))))))))))</f>
        <v>0</v>
      </c>
      <c r="AQ165" s="712" t="str">
        <f>IFERROR(INDEX(база!T:T, MATCH(F165,база!Q:Q,0)),"")</f>
        <v/>
      </c>
      <c r="AR165" s="208" t="str">
        <f>IFERROR(INDEX(база!D:D, MATCH(F165,база!B:B,0)),"")</f>
        <v/>
      </c>
      <c r="AS165" s="758" t="str">
        <f>IFERROR(INDEX(база!E:E, MATCH(F165,база!B:B,0)),"")</f>
        <v/>
      </c>
    </row>
    <row r="166" spans="1:45" ht="15">
      <c r="A166" s="1191" t="str">
        <f t="shared" si="4"/>
        <v>январь</v>
      </c>
      <c r="B166" t="n" s="1191">
        <v>2024.0</v>
      </c>
      <c r="C166" t="s" s="1191">
        <v>396</v>
      </c>
      <c r="D166" t="s" s="1191">
        <v>364</v>
      </c>
      <c r="E166" t="s" s="1191">
        <v>46</v>
      </c>
      <c r="F166" t="s" s="1191">
        <v>284</v>
      </c>
      <c r="G166" t="s" s="1191">
        <v>6</v>
      </c>
      <c r="H166" s="1191"/>
      <c r="I166" s="1191"/>
      <c r="J166" s="1191"/>
      <c r="K166" s="1191"/>
      <c r="L166" s="1191"/>
      <c r="M166" s="1191"/>
      <c r="N166" s="1191"/>
      <c r="O166" s="1191"/>
      <c r="P166" s="1191"/>
      <c r="Q166" s="1191"/>
      <c r="R166" s="1191"/>
      <c r="S166" t="n" s="1191">
        <v>7.2</v>
      </c>
      <c r="T166" s="563"/>
      <c r="U166" s="563"/>
      <c r="V166" s="563"/>
      <c r="W166" s="563"/>
      <c r="X166" s="563"/>
      <c r="Y166" s="563"/>
      <c r="Z166" s="563"/>
      <c r="AA166" s="563"/>
      <c r="AB166" s="563"/>
      <c r="AC166" s="563"/>
      <c r="AD166" s="48"/>
      <c r="AE166" s="48"/>
      <c r="AF166" s="258"/>
      <c r="AG166" s="258"/>
      <c r="AH166" s="258"/>
      <c r="AI166" s="258"/>
      <c r="AJ166" s="258"/>
      <c r="AK166" s="258"/>
      <c r="AL166" s="258"/>
      <c r="AM166" s="212">
        <f>IF(AQ166=1,SUM(Q166:T166,W166:Z166,AC166:AF166,AI166:AL166),
IF(AQ166=2,SUM(P166,S166:V166,Y166:AB166,AE166:AH166,AK166:AL166),
IF(AQ166=3,SUM(P166:R166,U166:X166,AA166:AD166,AG166:AJ166),SUM(Таблица1[[#This Row],[1]:[31]])-Таблица1[[#This Row],[Столбец1]])))</f>
        <v>0</v>
      </c>
      <c r="AN166" s="778">
        <f t="array" ref="AN166">IF(AQ166=1,SUM(P166,U166:V166,AA166:AB166,AG166:AH166),
IF(AQ166=2,SUM(Q166:R166,W166:X166,AC166:AD166,AI166:AJ166),
IF(AQ166=3,SUM(S166:T166,Y166:Z166,AE166:AF166,AK166:AL166),
SUM(IFERROR(WEEKDAY($H$2:$AL$2,2)&gt;5,)*H166:AL166))))+Таблица1[[#This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66" s="292" t="b">
        <f>IF(AR166&lt;=3,(IF((G166="5/24"),((база!$M$6*Таблица1[[#This Row],[сумма]]*Таблица1[[#This Row],[коэф]])),
IF((G166="4/24"),((база!$M$5*Таблица1[[#This Row],[сумма]]*Таблица1[[#This Row],[коэф]])),
IF((G166="3/24"),((база!$M$4*Таблица1[[#This Row],[сумма]]*Таблица1[[#This Row],[коэф]])),
IF((G166="5/16"),((база!$L$6*Таблица1[[#This Row],[сумма]]*Таблица1[[#This Row],[коэф]])),
IF((G166="4/16"),((база!$L$5*Таблица1[[#This Row],[сумма]]*Таблица1[[#This Row],[коэф]])),
IF((G166="3/16"),((база!$L$4*Таблица1[[#This Row],[сумма]]*Таблица1[[#This Row],[коэф]])),
IF((G166="4/4"),((база!$I$5*Таблица1[[#This Row],[сумма]]*Таблица1[[#This Row],[коэф]])),
IF(OR(G166="2/4",G166="3/4"),((база!$I$4*Таблица1[[#This Row],[сумма]]*Таблица1[[#This Row],[коэф]])),
IF((G166="5/8"),((база!$J$6*Таблица1[[#This Row],[сумма]]*Таблица1[[#This Row],[коэф]])),
IF((G166="4/8"),((база!$J$5*Таблица1[[#This Row],[сумма]]*Таблица1[[#This Row],[коэф]])),
IF(OR(G166="3/8",G166="2/8"),((база!$J$4*Таблица1[[#This Row],[сумма]]*Таблица1[[#This Row],[коэф]])))))))))))))),
(IF((G166="5/24"),((база!$M$6*Таблица1[[#This Row],[сумма]]*Таблица1[[#This Row],[коэф]])),
IF(OR(G166="4/24",G166="3/24"),((база!$M$5*Таблица1[[#This Row],[сумма]]*Таблица1[[#This Row],[коэф]])),
IF((G166="5/16"),((база!$L$6*Таблица1[[#This Row],[сумма]]*Таблица1[[#This Row],[коэф]])),
IF(OR(G166="4/16",G166="3/16"),((база!$L$5*Таблица1[[#This Row],[сумма]]*Таблица1[[#This Row],[коэф]])),
IF(OR(G166="2/4",G166="3/4",G166="4/4"),((база!$I$5*Таблица1[[#This Row],[сумма]]*Таблица1[[#This Row],[коэф]])),
IF((G166="5/8"),((база!$J$6*Таблица1[[#This Row],[сумма]]*Таблица1[[#This Row],[коэф]])),
IF(OR(G166="4/8",G166="3/8",G166="2/8"),((база!$J$5*Таблица1[[#This Row],[сумма]]*Таблица1[[#This Row],[коэф]])))))))))))</f>
        <v>0</v>
      </c>
      <c r="AP166" s="730" t="b">
        <f>IF(AR166&lt;=3,(IF((G166="5/24"),((база!$M$6*2*Таблица1[[#This Row],[Столбец1]]*Таблица1[[#This Row],[коэф]])),
IF((G166="4/24"),((база!$M$5*2*Таблица1[[#This Row],[Столбец1]]*Таблица1[[#This Row],[коэф]])),
IF((G166="3/24"),((база!$M$4*2*Таблица1[[#This Row],[Столбец1]]*Таблица1[[#This Row],[коэф]])),
IF((G166="5/16"),((база!$L$6*2*Таблица1[[#This Row],[Столбец1]]*Таблица1[[#This Row],[коэф]])),
IF((G166="4/16"),((база!$L$5*2*Таблица1[[#This Row],[Столбец1]]*Таблица1[[#This Row],[коэф]])),
IF((G166="3/16"),((база!$L$4*2*Таблица1[[#This Row],[Столбец1]]*Таблица1[[#This Row],[коэф]])),
IF((G166="4/4"),((база!$I$5*2*Таблица1[[#This Row],[Столбец1]]*Таблица1[[#This Row],[коэф]])),
IF(OR(G166="2/4",G166="3/4"),((база!$I$4*2*Таблица1[[#This Row],[Столбец1]]*Таблица1[[#This Row],[коэф]])),
IF((G166="5/8"),((база!$J$6*2*Таблица1[[#This Row],[Столбец1]]*Таблица1[[#This Row],[коэф]])),
IF((G166="4/8"),((база!$J$5*2*Таблица1[[#This Row],[Столбец1]]*Таблица1[[#This Row],[коэф]])),
IF(OR(G166="3/8",G166="2/8"),((база!$J$4*2*Таблица1[[#This Row],[Столбец1]]*Таблица1[[#This Row],[коэф]])))))))))))))),
(IF((G166="5/24"),((база!$M$6*2*Таблица1[[#This Row],[Столбец1]]*Таблица1[[#This Row],[коэф]])),
IF(OR(G166="4/24",G166="3/24"),((база!$M$5*2*Таблица1[[#This Row],[Столбец1]]*Таблица1[[#This Row],[коэф]])),
IF((G166="5/16"),((база!$L$6*2*Таблица1[[#This Row],[Столбец1]]*Таблица1[[#This Row],[коэф]])),
IF(OR(G166="4/16",G166="3/16"),((база!$L$5*2*Таблица1[[#This Row],[Столбец1]]*Таблица1[[#This Row],[коэф]])),
IF(OR(G166="2/4",G166="3/4",G166="4/4"),((база!$I$5*2*Таблица1[[#This Row],[Столбец1]]*Таблица1[[#This Row],[коэф]])),
IF((G166="5/8"),((база!$J$6*2*Таблица1[[#This Row],[Столбец1]]*Таблица1[[#This Row],[коэф]])),
IF(OR(G166="4/8",G166="3/8",G166="2/8"),((база!$J$5*2*Таблица1[[#This Row],[Столбец1]]*Таблица1[[#This Row],[коэф]])))))))))))</f>
        <v>0</v>
      </c>
      <c r="AQ166" s="712" t="str">
        <f>IFERROR(INDEX(база!T:T, MATCH(F166,база!Q:Q,0)),"")</f>
        <v/>
      </c>
      <c r="AR166" s="208" t="str">
        <f>IFERROR(INDEX(база!D:D, MATCH(F166,база!B:B,0)),"")</f>
        <v/>
      </c>
      <c r="AS166" s="758" t="str">
        <f>IFERROR(INDEX(база!E:E, MATCH(F166,база!B:B,0)),"")</f>
        <v/>
      </c>
    </row>
    <row r="167" spans="1:45" ht="15">
      <c r="A167" s="1192" t="str">
        <f t="shared" si="4"/>
        <v>январь</v>
      </c>
      <c r="B167" t="n" s="1192">
        <v>2024.0</v>
      </c>
      <c r="C167" t="s" s="1192">
        <v>386</v>
      </c>
      <c r="D167" t="s" s="1192">
        <v>364</v>
      </c>
      <c r="E167" t="s" s="1192">
        <v>393</v>
      </c>
      <c r="F167" t="s" s="1192">
        <v>302</v>
      </c>
      <c r="G167" t="s" s="1192">
        <v>4</v>
      </c>
      <c r="H167" s="1192"/>
      <c r="I167" s="1192"/>
      <c r="J167" s="1192"/>
      <c r="K167" s="1192"/>
      <c r="L167" s="1192"/>
      <c r="M167" s="1192"/>
      <c r="N167" s="1192"/>
      <c r="O167" s="1192"/>
      <c r="P167" s="1192"/>
      <c r="Q167" s="1192"/>
      <c r="R167" s="1192"/>
      <c r="S167" s="1192"/>
      <c r="T167" t="n" s="1192">
        <v>7.2</v>
      </c>
      <c r="U167" t="n" s="46">
        <v>7.2</v>
      </c>
      <c r="V167" s="563"/>
      <c r="W167" s="563"/>
      <c r="X167" s="563"/>
      <c r="Y167" s="563"/>
      <c r="Z167" s="563"/>
      <c r="AA167" s="563"/>
      <c r="AB167" s="563"/>
      <c r="AC167" s="563"/>
      <c r="AD167" s="48"/>
      <c r="AE167" s="48"/>
      <c r="AF167" s="258"/>
      <c r="AG167" s="258"/>
      <c r="AH167" s="258"/>
      <c r="AI167" s="258"/>
      <c r="AJ167" s="258"/>
      <c r="AK167" s="258"/>
      <c r="AL167" s="258"/>
      <c r="AM167" s="212">
        <f>IF(AQ167=1,SUM(Q167:T167,W167:Z167,AC167:AF167,AI167:AL167),
IF(AQ167=2,SUM(P167,S167:V167,Y167:AB167,AE167:AH167,AK167:AL167),
IF(AQ167=3,SUM(P167:R167,U167:X167,AA167:AD167,AG167:AJ167),SUM(Таблица1[[#This Row],[1]:[31]])-Таблица1[[#This Row],[Столбец1]])))</f>
        <v>0</v>
      </c>
      <c r="AN167" s="778">
        <f t="array" ref="AN167">IF(AQ167=1,SUM(P167,U167:V167,AA167:AB167,AG167:AH167),
IF(AQ167=2,SUM(Q167:R167,W167:X167,AC167:AD167,AI167:AJ167),
IF(AQ167=3,SUM(S167:T167,Y167:Z167,AE167:AF167,AK167:AL167),
SUM(IFERROR(WEEKDAY($H$2:$AL$2,2)&gt;5,)*H167:AL167))))+Таблица1[[#This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67" s="292" t="b">
        <f>IF(AR167&lt;=3,(IF((G167="5/24"),((база!$M$6*Таблица1[[#This Row],[сумма]]*Таблица1[[#This Row],[коэф]])),
IF((G167="4/24"),((база!$M$5*Таблица1[[#This Row],[сумма]]*Таблица1[[#This Row],[коэф]])),
IF((G167="3/24"),((база!$M$4*Таблица1[[#This Row],[сумма]]*Таблица1[[#This Row],[коэф]])),
IF((G167="5/16"),((база!$L$6*Таблица1[[#This Row],[сумма]]*Таблица1[[#This Row],[коэф]])),
IF((G167="4/16"),((база!$L$5*Таблица1[[#This Row],[сумма]]*Таблица1[[#This Row],[коэф]])),
IF((G167="3/16"),((база!$L$4*Таблица1[[#This Row],[сумма]]*Таблица1[[#This Row],[коэф]])),
IF((G167="4/4"),((база!$I$5*Таблица1[[#This Row],[сумма]]*Таблица1[[#This Row],[коэф]])),
IF(OR(G167="2/4",G167="3/4"),((база!$I$4*Таблица1[[#This Row],[сумма]]*Таблица1[[#This Row],[коэф]])),
IF((G167="5/8"),((база!$J$6*Таблица1[[#This Row],[сумма]]*Таблица1[[#This Row],[коэф]])),
IF((G167="4/8"),((база!$J$5*Таблица1[[#This Row],[сумма]]*Таблица1[[#This Row],[коэф]])),
IF(OR(G167="3/8",G167="2/8"),((база!$J$4*Таблица1[[#This Row],[сумма]]*Таблица1[[#This Row],[коэф]])))))))))))))),
(IF((G167="5/24"),((база!$M$6*Таблица1[[#This Row],[сумма]]*Таблица1[[#This Row],[коэф]])),
IF(OR(G167="4/24",G167="3/24"),((база!$M$5*Таблица1[[#This Row],[сумма]]*Таблица1[[#This Row],[коэф]])),
IF((G167="5/16"),((база!$L$6*Таблица1[[#This Row],[сумма]]*Таблица1[[#This Row],[коэф]])),
IF(OR(G167="4/16",G167="3/16"),((база!$L$5*Таблица1[[#This Row],[сумма]]*Таблица1[[#This Row],[коэф]])),
IF(OR(G167="2/4",G167="3/4",G167="4/4"),((база!$I$5*Таблица1[[#This Row],[сумма]]*Таблица1[[#This Row],[коэф]])),
IF((G167="5/8"),((база!$J$6*Таблица1[[#This Row],[сумма]]*Таблица1[[#This Row],[коэф]])),
IF(OR(G167="4/8",G167="3/8",G167="2/8"),((база!$J$5*Таблица1[[#This Row],[сумма]]*Таблица1[[#This Row],[коэф]])))))))))))</f>
        <v>0</v>
      </c>
      <c r="AP167" s="730" t="b">
        <f>IF(AR167&lt;=3,(IF((G167="5/24"),((база!$M$6*2*Таблица1[[#This Row],[Столбец1]]*Таблица1[[#This Row],[коэф]])),
IF((G167="4/24"),((база!$M$5*2*Таблица1[[#This Row],[Столбец1]]*Таблица1[[#This Row],[коэф]])),
IF((G167="3/24"),((база!$M$4*2*Таблица1[[#This Row],[Столбец1]]*Таблица1[[#This Row],[коэф]])),
IF((G167="5/16"),((база!$L$6*2*Таблица1[[#This Row],[Столбец1]]*Таблица1[[#This Row],[коэф]])),
IF((G167="4/16"),((база!$L$5*2*Таблица1[[#This Row],[Столбец1]]*Таблица1[[#This Row],[коэф]])),
IF((G167="3/16"),((база!$L$4*2*Таблица1[[#This Row],[Столбец1]]*Таблица1[[#This Row],[коэф]])),
IF((G167="4/4"),((база!$I$5*2*Таблица1[[#This Row],[Столбец1]]*Таблица1[[#This Row],[коэф]])),
IF(OR(G167="2/4",G167="3/4"),((база!$I$4*2*Таблица1[[#This Row],[Столбец1]]*Таблица1[[#This Row],[коэф]])),
IF((G167="5/8"),((база!$J$6*2*Таблица1[[#This Row],[Столбец1]]*Таблица1[[#This Row],[коэф]])),
IF((G167="4/8"),((база!$J$5*2*Таблица1[[#This Row],[Столбец1]]*Таблица1[[#This Row],[коэф]])),
IF(OR(G167="3/8",G167="2/8"),((база!$J$4*2*Таблица1[[#This Row],[Столбец1]]*Таблица1[[#This Row],[коэф]])))))))))))))),
(IF((G167="5/24"),((база!$M$6*2*Таблица1[[#This Row],[Столбец1]]*Таблица1[[#This Row],[коэф]])),
IF(OR(G167="4/24",G167="3/24"),((база!$M$5*2*Таблица1[[#This Row],[Столбец1]]*Таблица1[[#This Row],[коэф]])),
IF((G167="5/16"),((база!$L$6*2*Таблица1[[#This Row],[Столбец1]]*Таблица1[[#This Row],[коэф]])),
IF(OR(G167="4/16",G167="3/16"),((база!$L$5*2*Таблица1[[#This Row],[Столбец1]]*Таблица1[[#This Row],[коэф]])),
IF(OR(G167="2/4",G167="3/4",G167="4/4"),((база!$I$5*2*Таблица1[[#This Row],[Столбец1]]*Таблица1[[#This Row],[коэф]])),
IF((G167="5/8"),((база!$J$6*2*Таблица1[[#This Row],[Столбец1]]*Таблица1[[#This Row],[коэф]])),
IF(OR(G167="4/8",G167="3/8",G167="2/8"),((база!$J$5*2*Таблица1[[#This Row],[Столбец1]]*Таблица1[[#This Row],[коэф]])))))))))))</f>
        <v>0</v>
      </c>
      <c r="AQ167" s="712" t="str">
        <f>IFERROR(INDEX(база!T:T, MATCH(F167,база!Q:Q,0)),"")</f>
        <v/>
      </c>
      <c r="AR167" s="208" t="str">
        <f>IFERROR(INDEX(база!D:D, MATCH(F167,база!B:B,0)),"")</f>
        <v/>
      </c>
      <c r="AS167" s="758" t="str">
        <f>IFERROR(INDEX(база!E:E, MATCH(F167,база!B:B,0)),"")</f>
        <v/>
      </c>
    </row>
    <row r="168" spans="1:45" ht="15">
      <c r="A168" s="1193" t="str">
        <f t="shared" si="4"/>
        <v>январь</v>
      </c>
      <c r="B168" t="n" s="1193">
        <v>2024.0</v>
      </c>
      <c r="C168" t="s" s="1193">
        <v>388</v>
      </c>
      <c r="D168" t="s" s="1193">
        <v>365</v>
      </c>
      <c r="E168" t="s" s="1193">
        <v>46</v>
      </c>
      <c r="F168" t="s" s="1193">
        <v>297</v>
      </c>
      <c r="G168" t="s" s="1193">
        <v>4</v>
      </c>
      <c r="H168" s="1193"/>
      <c r="I168" s="1193"/>
      <c r="J168" s="1193"/>
      <c r="K168" s="1193"/>
      <c r="L168" s="1193"/>
      <c r="M168" s="1193"/>
      <c r="N168" s="1193"/>
      <c r="O168" s="1193"/>
      <c r="P168" s="1193"/>
      <c r="Q168" s="1193"/>
      <c r="R168" s="1193"/>
      <c r="S168" s="1193"/>
      <c r="T168" t="n" s="1193">
        <v>7.0</v>
      </c>
      <c r="U168" s="563"/>
      <c r="V168" s="563"/>
      <c r="W168" s="563"/>
      <c r="X168" s="563"/>
      <c r="Y168" s="563"/>
      <c r="Z168" s="563"/>
      <c r="AA168" s="563"/>
      <c r="AB168" s="563"/>
      <c r="AC168" s="563"/>
      <c r="AD168" s="48"/>
      <c r="AE168" s="48"/>
      <c r="AF168" s="258"/>
      <c r="AG168" s="258"/>
      <c r="AH168" s="258"/>
      <c r="AI168" s="258"/>
      <c r="AJ168" s="258"/>
      <c r="AK168" s="258"/>
      <c r="AL168" s="258"/>
      <c r="AM168" s="212">
        <f>IF(AQ168=1,SUM(Q168:T168,W168:Z168,AC168:AF168,AI168:AL168),
IF(AQ168=2,SUM(P168,S168:V168,Y168:AB168,AE168:AH168,AK168:AL168),
IF(AQ168=3,SUM(P168:R168,U168:X168,AA168:AD168,AG168:AJ168),SUM(Таблица1[[#This Row],[1]:[31]])-Таблица1[[#This Row],[Столбец1]])))</f>
        <v>0</v>
      </c>
      <c r="AN168" s="778">
        <f t="array" ref="AN168">IF(AQ168=1,SUM(P168,U168:V168,AA168:AB168,AG168:AH168),
IF(AQ168=2,SUM(Q168:R168,W168:X168,AC168:AD168,AI168:AJ168),
IF(AQ168=3,SUM(S168:T168,Y168:Z168,AE168:AF168,AK168:AL168),
SUM(IFERROR(WEEKDAY($H$2:$AL$2,2)&gt;5,)*H168:AL168))))+Таблица1[[#This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68" s="292" t="b">
        <f>IF(AR168&lt;=3,(IF((G168="5/24"),((база!$M$6*Таблица1[[#This Row],[сумма]]*Таблица1[[#This Row],[коэф]])),
IF((G168="4/24"),((база!$M$5*Таблица1[[#This Row],[сумма]]*Таблица1[[#This Row],[коэф]])),
IF((G168="3/24"),((база!$M$4*Таблица1[[#This Row],[сумма]]*Таблица1[[#This Row],[коэф]])),
IF((G168="5/16"),((база!$L$6*Таблица1[[#This Row],[сумма]]*Таблица1[[#This Row],[коэф]])),
IF((G168="4/16"),((база!$L$5*Таблица1[[#This Row],[сумма]]*Таблица1[[#This Row],[коэф]])),
IF((G168="3/16"),((база!$L$4*Таблица1[[#This Row],[сумма]]*Таблица1[[#This Row],[коэф]])),
IF((G168="4/4"),((база!$I$5*Таблица1[[#This Row],[сумма]]*Таблица1[[#This Row],[коэф]])),
IF(OR(G168="2/4",G168="3/4"),((база!$I$4*Таблица1[[#This Row],[сумма]]*Таблица1[[#This Row],[коэф]])),
IF((G168="5/8"),((база!$J$6*Таблица1[[#This Row],[сумма]]*Таблица1[[#This Row],[коэф]])),
IF((G168="4/8"),((база!$J$5*Таблица1[[#This Row],[сумма]]*Таблица1[[#This Row],[коэф]])),
IF(OR(G168="3/8",G168="2/8"),((база!$J$4*Таблица1[[#This Row],[сумма]]*Таблица1[[#This Row],[коэф]])))))))))))))),
(IF((G168="5/24"),((база!$M$6*Таблица1[[#This Row],[сумма]]*Таблица1[[#This Row],[коэф]])),
IF(OR(G168="4/24",G168="3/24"),((база!$M$5*Таблица1[[#This Row],[сумма]]*Таблица1[[#This Row],[коэф]])),
IF((G168="5/16"),((база!$L$6*Таблица1[[#This Row],[сумма]]*Таблица1[[#This Row],[коэф]])),
IF(OR(G168="4/16",G168="3/16"),((база!$L$5*Таблица1[[#This Row],[сумма]]*Таблица1[[#This Row],[коэф]])),
IF(OR(G168="2/4",G168="3/4",G168="4/4"),((база!$I$5*Таблица1[[#This Row],[сумма]]*Таблица1[[#This Row],[коэф]])),
IF((G168="5/8"),((база!$J$6*Таблица1[[#This Row],[сумма]]*Таблица1[[#This Row],[коэф]])),
IF(OR(G168="4/8",G168="3/8",G168="2/8"),((база!$J$5*Таблица1[[#This Row],[сумма]]*Таблица1[[#This Row],[коэф]])))))))))))</f>
        <v>0</v>
      </c>
      <c r="AP168" s="730" t="b">
        <f>IF(AR168&lt;=3,(IF((G168="5/24"),((база!$M$6*2*Таблица1[[#This Row],[Столбец1]]*Таблица1[[#This Row],[коэф]])),
IF((G168="4/24"),((база!$M$5*2*Таблица1[[#This Row],[Столбец1]]*Таблица1[[#This Row],[коэф]])),
IF((G168="3/24"),((база!$M$4*2*Таблица1[[#This Row],[Столбец1]]*Таблица1[[#This Row],[коэф]])),
IF((G168="5/16"),((база!$L$6*2*Таблица1[[#This Row],[Столбец1]]*Таблица1[[#This Row],[коэф]])),
IF((G168="4/16"),((база!$L$5*2*Таблица1[[#This Row],[Столбец1]]*Таблица1[[#This Row],[коэф]])),
IF((G168="3/16"),((база!$L$4*2*Таблица1[[#This Row],[Столбец1]]*Таблица1[[#This Row],[коэф]])),
IF((G168="4/4"),((база!$I$5*2*Таблица1[[#This Row],[Столбец1]]*Таблица1[[#This Row],[коэф]])),
IF(OR(G168="2/4",G168="3/4"),((база!$I$4*2*Таблица1[[#This Row],[Столбец1]]*Таблица1[[#This Row],[коэф]])),
IF((G168="5/8"),((база!$J$6*2*Таблица1[[#This Row],[Столбец1]]*Таблица1[[#This Row],[коэф]])),
IF((G168="4/8"),((база!$J$5*2*Таблица1[[#This Row],[Столбец1]]*Таблица1[[#This Row],[коэф]])),
IF(OR(G168="3/8",G168="2/8"),((база!$J$4*2*Таблица1[[#This Row],[Столбец1]]*Таблица1[[#This Row],[коэф]])))))))))))))),
(IF((G168="5/24"),((база!$M$6*2*Таблица1[[#This Row],[Столбец1]]*Таблица1[[#This Row],[коэф]])),
IF(OR(G168="4/24",G168="3/24"),((база!$M$5*2*Таблица1[[#This Row],[Столбец1]]*Таблица1[[#This Row],[коэф]])),
IF((G168="5/16"),((база!$L$6*2*Таблица1[[#This Row],[Столбец1]]*Таблица1[[#This Row],[коэф]])),
IF(OR(G168="4/16",G168="3/16"),((база!$L$5*2*Таблица1[[#This Row],[Столбец1]]*Таблица1[[#This Row],[коэф]])),
IF(OR(G168="2/4",G168="3/4",G168="4/4"),((база!$I$5*2*Таблица1[[#This Row],[Столбец1]]*Таблица1[[#This Row],[коэф]])),
IF((G168="5/8"),((база!$J$6*2*Таблица1[[#This Row],[Столбец1]]*Таблица1[[#This Row],[коэф]])),
IF(OR(G168="4/8",G168="3/8",G168="2/8"),((база!$J$5*2*Таблица1[[#This Row],[Столбец1]]*Таблица1[[#This Row],[коэф]])))))))))))</f>
        <v>0</v>
      </c>
      <c r="AQ168" s="712" t="str">
        <f>IFERROR(INDEX(база!T:T, MATCH(F168,база!Q:Q,0)),"")</f>
        <v/>
      </c>
      <c r="AR168" s="208" t="str">
        <f>IFERROR(INDEX(база!D:D, MATCH(F168,база!B:B,0)),"")</f>
        <v/>
      </c>
      <c r="AS168" s="758" t="str">
        <f>IFERROR(INDEX(база!E:E, MATCH(F168,база!B:B,0)),"")</f>
        <v/>
      </c>
    </row>
    <row r="169" spans="1:45" ht="15">
      <c r="A169" s="1194" t="str">
        <f t="shared" si="4"/>
        <v>январь</v>
      </c>
      <c r="B169" t="n" s="1194">
        <v>2024.0</v>
      </c>
      <c r="C169" t="s" s="1194">
        <v>388</v>
      </c>
      <c r="D169" t="s" s="1194">
        <v>365</v>
      </c>
      <c r="E169" t="s" s="1194">
        <v>46</v>
      </c>
      <c r="F169" t="s" s="1194">
        <v>304</v>
      </c>
      <c r="G169" t="s" s="1194">
        <v>6</v>
      </c>
      <c r="H169" s="1194"/>
      <c r="I169" s="1194"/>
      <c r="J169" s="1194"/>
      <c r="K169" s="1194"/>
      <c r="L169" s="1194"/>
      <c r="M169" s="1194"/>
      <c r="N169" s="1194"/>
      <c r="O169" s="1194"/>
      <c r="P169" s="1194"/>
      <c r="Q169" s="1194"/>
      <c r="R169" s="1194"/>
      <c r="S169" t="n" s="1194">
        <v>7.2</v>
      </c>
      <c r="T169" s="563"/>
      <c r="U169" s="563"/>
      <c r="V169" s="563"/>
      <c r="W169" s="563"/>
      <c r="X169" s="563"/>
      <c r="Y169" s="563"/>
      <c r="Z169" s="563"/>
      <c r="AA169" s="563"/>
      <c r="AB169" s="563"/>
      <c r="AC169" s="563"/>
      <c r="AD169" s="48"/>
      <c r="AE169" s="48"/>
      <c r="AF169" s="258"/>
      <c r="AG169" s="258"/>
      <c r="AH169" s="258"/>
      <c r="AI169" s="258"/>
      <c r="AJ169" s="258"/>
      <c r="AK169" s="258"/>
      <c r="AL169" s="258"/>
      <c r="AM169" s="212">
        <f>IF(AQ169=1,SUM(Q169:T169,W169:Z169,AC169:AF169,AI169:AL169),
IF(AQ169=2,SUM(P169,S169:V169,Y169:AB169,AE169:AH169,AK169:AL169),
IF(AQ169=3,SUM(P169:R169,U169:X169,AA169:AD169,AG169:AJ169),SUM(Таблица1[[#This Row],[1]:[31]])-Таблица1[[#This Row],[Столбец1]])))</f>
        <v>0</v>
      </c>
      <c r="AN169" s="778">
        <f t="array" ref="AN169">IF(AQ169=1,SUM(P169,U169:V169,AA169:AB169,AG169:AH169),
IF(AQ169=2,SUM(Q169:R169,W169:X169,AC169:AD169,AI169:AJ169),
IF(AQ169=3,SUM(S169:T169,Y169:Z169,AE169:AF169,AK169:AL169),
SUM(IFERROR(WEEKDAY($H$2:$AL$2,2)&gt;5,)*H169:AL169))))+Таблица1[[#This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69" s="292" t="b">
        <f>IF(AR169&lt;=3,(IF((G169="5/24"),((база!$M$6*Таблица1[[#This Row],[сумма]]*Таблица1[[#This Row],[коэф]])),
IF((G169="4/24"),((база!$M$5*Таблица1[[#This Row],[сумма]]*Таблица1[[#This Row],[коэф]])),
IF((G169="3/24"),((база!$M$4*Таблица1[[#This Row],[сумма]]*Таблица1[[#This Row],[коэф]])),
IF((G169="5/16"),((база!$L$6*Таблица1[[#This Row],[сумма]]*Таблица1[[#This Row],[коэф]])),
IF((G169="4/16"),((база!$L$5*Таблица1[[#This Row],[сумма]]*Таблица1[[#This Row],[коэф]])),
IF((G169="3/16"),((база!$L$4*Таблица1[[#This Row],[сумма]]*Таблица1[[#This Row],[коэф]])),
IF((G169="4/4"),((база!$I$5*Таблица1[[#This Row],[сумма]]*Таблица1[[#This Row],[коэф]])),
IF(OR(G169="2/4",G169="3/4"),((база!$I$4*Таблица1[[#This Row],[сумма]]*Таблица1[[#This Row],[коэф]])),
IF((G169="5/8"),((база!$J$6*Таблица1[[#This Row],[сумма]]*Таблица1[[#This Row],[коэф]])),
IF((G169="4/8"),((база!$J$5*Таблица1[[#This Row],[сумма]]*Таблица1[[#This Row],[коэф]])),
IF(OR(G169="3/8",G169="2/8"),((база!$J$4*Таблица1[[#This Row],[сумма]]*Таблица1[[#This Row],[коэф]])))))))))))))),
(IF((G169="5/24"),((база!$M$6*Таблица1[[#This Row],[сумма]]*Таблица1[[#This Row],[коэф]])),
IF(OR(G169="4/24",G169="3/24"),((база!$M$5*Таблица1[[#This Row],[сумма]]*Таблица1[[#This Row],[коэф]])),
IF((G169="5/16"),((база!$L$6*Таблица1[[#This Row],[сумма]]*Таблица1[[#This Row],[коэф]])),
IF(OR(G169="4/16",G169="3/16"),((база!$L$5*Таблица1[[#This Row],[сумма]]*Таблица1[[#This Row],[коэф]])),
IF(OR(G169="2/4",G169="3/4",G169="4/4"),((база!$I$5*Таблица1[[#This Row],[сумма]]*Таблица1[[#This Row],[коэф]])),
IF((G169="5/8"),((база!$J$6*Таблица1[[#This Row],[сумма]]*Таблица1[[#This Row],[коэф]])),
IF(OR(G169="4/8",G169="3/8",G169="2/8"),((база!$J$5*Таблица1[[#This Row],[сумма]]*Таблица1[[#This Row],[коэф]])))))))))))</f>
        <v>0</v>
      </c>
      <c r="AP169" s="730" t="b">
        <f>IF(AR169&lt;=3,(IF((G169="5/24"),((база!$M$6*2*Таблица1[[#This Row],[Столбец1]]*Таблица1[[#This Row],[коэф]])),
IF((G169="4/24"),((база!$M$5*2*Таблица1[[#This Row],[Столбец1]]*Таблица1[[#This Row],[коэф]])),
IF((G169="3/24"),((база!$M$4*2*Таблица1[[#This Row],[Столбец1]]*Таблица1[[#This Row],[коэф]])),
IF((G169="5/16"),((база!$L$6*2*Таблица1[[#This Row],[Столбец1]]*Таблица1[[#This Row],[коэф]])),
IF((G169="4/16"),((база!$L$5*2*Таблица1[[#This Row],[Столбец1]]*Таблица1[[#This Row],[коэф]])),
IF((G169="3/16"),((база!$L$4*2*Таблица1[[#This Row],[Столбец1]]*Таблица1[[#This Row],[коэф]])),
IF((G169="4/4"),((база!$I$5*2*Таблица1[[#This Row],[Столбец1]]*Таблица1[[#This Row],[коэф]])),
IF(OR(G169="2/4",G169="3/4"),((база!$I$4*2*Таблица1[[#This Row],[Столбец1]]*Таблица1[[#This Row],[коэф]])),
IF((G169="5/8"),((база!$J$6*2*Таблица1[[#This Row],[Столбец1]]*Таблица1[[#This Row],[коэф]])),
IF((G169="4/8"),((база!$J$5*2*Таблица1[[#This Row],[Столбец1]]*Таблица1[[#This Row],[коэф]])),
IF(OR(G169="3/8",G169="2/8"),((база!$J$4*2*Таблица1[[#This Row],[Столбец1]]*Таблица1[[#This Row],[коэф]])))))))))))))),
(IF((G169="5/24"),((база!$M$6*2*Таблица1[[#This Row],[Столбец1]]*Таблица1[[#This Row],[коэф]])),
IF(OR(G169="4/24",G169="3/24"),((база!$M$5*2*Таблица1[[#This Row],[Столбец1]]*Таблица1[[#This Row],[коэф]])),
IF((G169="5/16"),((база!$L$6*2*Таблица1[[#This Row],[Столбец1]]*Таблица1[[#This Row],[коэф]])),
IF(OR(G169="4/16",G169="3/16"),((база!$L$5*2*Таблица1[[#This Row],[Столбец1]]*Таблица1[[#This Row],[коэф]])),
IF(OR(G169="2/4",G169="3/4",G169="4/4"),((база!$I$5*2*Таблица1[[#This Row],[Столбец1]]*Таблица1[[#This Row],[коэф]])),
IF((G169="5/8"),((база!$J$6*2*Таблица1[[#This Row],[Столбец1]]*Таблица1[[#This Row],[коэф]])),
IF(OR(G169="4/8",G169="3/8",G169="2/8"),((база!$J$5*2*Таблица1[[#This Row],[Столбец1]]*Таблица1[[#This Row],[коэф]])))))))))))</f>
        <v>0</v>
      </c>
      <c r="AQ169" s="712" t="str">
        <f>IFERROR(INDEX(база!T:T, MATCH(F169,база!Q:Q,0)),"")</f>
        <v/>
      </c>
      <c r="AR169" s="208" t="str">
        <f>IFERROR(INDEX(база!D:D, MATCH(F169,база!B:B,0)),"")</f>
        <v/>
      </c>
      <c r="AS169" s="758" t="str">
        <f>IFERROR(INDEX(база!E:E, MATCH(F169,база!B:B,0)),"")</f>
        <v/>
      </c>
    </row>
    <row r="170" spans="1:45" ht="15">
      <c r="A170" s="1195" t="str">
        <f t="shared" si="4"/>
        <v>январь</v>
      </c>
      <c r="B170" t="n" s="1195">
        <v>2024.0</v>
      </c>
      <c r="C170" t="s" s="1195">
        <v>388</v>
      </c>
      <c r="D170" t="s" s="1195">
        <v>365</v>
      </c>
      <c r="E170" t="s" s="1195">
        <v>46</v>
      </c>
      <c r="F170" t="s" s="1195">
        <v>304</v>
      </c>
      <c r="G170" t="s" s="1195">
        <v>4</v>
      </c>
      <c r="H170" s="1195"/>
      <c r="I170" s="1195"/>
      <c r="J170" s="1195"/>
      <c r="K170" s="1195"/>
      <c r="L170" s="1195"/>
      <c r="M170" s="1195"/>
      <c r="N170" s="1195"/>
      <c r="O170" s="1195"/>
      <c r="P170" s="1195"/>
      <c r="Q170" s="1195"/>
      <c r="R170" s="1195"/>
      <c r="S170" t="n" s="1195">
        <v>1.0</v>
      </c>
      <c r="T170" s="563"/>
      <c r="U170" s="563"/>
      <c r="V170" s="563"/>
      <c r="W170" s="563"/>
      <c r="X170" s="563"/>
      <c r="Y170" s="563"/>
      <c r="Z170" s="563"/>
      <c r="AA170" s="563"/>
      <c r="AB170" s="563"/>
      <c r="AC170" s="563"/>
      <c r="AD170" s="563"/>
      <c r="AE170" s="563"/>
      <c r="AF170" s="258"/>
      <c r="AG170" s="258"/>
      <c r="AH170" s="258"/>
      <c r="AI170" s="258"/>
      <c r="AJ170" s="258"/>
      <c r="AK170" s="258"/>
      <c r="AL170" s="258"/>
      <c r="AM170" s="212">
        <f>IF(AQ170=1,SUM(Q170:T170,W170:Z170,AC170:AF170,AI170:AL170),
IF(AQ170=2,SUM(P170,S170:V170,Y170:AB170,AE170:AH170,AK170:AL170),
IF(AQ170=3,SUM(P170:R170,U170:X170,AA170:AD170,AG170:AJ170),SUM(Таблица1[[#This Row],[1]:[31]])-Таблица1[[#This Row],[Столбец1]])))</f>
        <v>0</v>
      </c>
      <c r="AN170" s="778">
        <f t="array" ref="AN170">IF(AQ170=1,SUM(P170,U170:V170,AA170:AB170,AG170:AH170),
IF(AQ170=2,SUM(Q170:R170,W170:X170,AC170:AD170,AI170:AJ170),
IF(AQ170=3,SUM(S170:T170,Y170:Z170,AE170:AF170,AK170:AL170),
SUM(IFERROR(WEEKDAY($H$2:$AL$2,2)&gt;5,)*H170:AL170))))+Таблица1[[#This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70" s="292" t="b">
        <f>IF(AR170&lt;=3,(IF((G170="5/24"),((база!$M$6*Таблица1[[#This Row],[сумма]]*Таблица1[[#This Row],[коэф]])),
IF((G170="4/24"),((база!$M$5*Таблица1[[#This Row],[сумма]]*Таблица1[[#This Row],[коэф]])),
IF((G170="3/24"),((база!$M$4*Таблица1[[#This Row],[сумма]]*Таблица1[[#This Row],[коэф]])),
IF((G170="5/16"),((база!$L$6*Таблица1[[#This Row],[сумма]]*Таблица1[[#This Row],[коэф]])),
IF((G170="4/16"),((база!$L$5*Таблица1[[#This Row],[сумма]]*Таблица1[[#This Row],[коэф]])),
IF((G170="3/16"),((база!$L$4*Таблица1[[#This Row],[сумма]]*Таблица1[[#This Row],[коэф]])),
IF((G170="4/4"),((база!$I$5*Таблица1[[#This Row],[сумма]]*Таблица1[[#This Row],[коэф]])),
IF(OR(G170="2/4",G170="3/4"),((база!$I$4*Таблица1[[#This Row],[сумма]]*Таблица1[[#This Row],[коэф]])),
IF((G170="5/8"),((база!$J$6*Таблица1[[#This Row],[сумма]]*Таблица1[[#This Row],[коэф]])),
IF((G170="4/8"),((база!$J$5*Таблица1[[#This Row],[сумма]]*Таблица1[[#This Row],[коэф]])),
IF(OR(G170="3/8",G170="2/8"),((база!$J$4*Таблица1[[#This Row],[сумма]]*Таблица1[[#This Row],[коэф]])))))))))))))),
(IF((G170="5/24"),((база!$M$6*Таблица1[[#This Row],[сумма]]*Таблица1[[#This Row],[коэф]])),
IF(OR(G170="4/24",G170="3/24"),((база!$M$5*Таблица1[[#This Row],[сумма]]*Таблица1[[#This Row],[коэф]])),
IF((G170="5/16"),((база!$L$6*Таблица1[[#This Row],[сумма]]*Таблица1[[#This Row],[коэф]])),
IF(OR(G170="4/16",G170="3/16"),((база!$L$5*Таблица1[[#This Row],[сумма]]*Таблица1[[#This Row],[коэф]])),
IF(OR(G170="2/4",G170="3/4",G170="4/4"),((база!$I$5*Таблица1[[#This Row],[сумма]]*Таблица1[[#This Row],[коэф]])),
IF((G170="5/8"),((база!$J$6*Таблица1[[#This Row],[сумма]]*Таблица1[[#This Row],[коэф]])),
IF(OR(G170="4/8",G170="3/8",G170="2/8"),((база!$J$5*Таблица1[[#This Row],[сумма]]*Таблица1[[#This Row],[коэф]])))))))))))</f>
        <v>0</v>
      </c>
      <c r="AP170" s="730" t="b">
        <f>IF(AR170&lt;=3,(IF((G170="5/24"),((база!$M$6*2*Таблица1[[#This Row],[Столбец1]]*Таблица1[[#This Row],[коэф]])),
IF((G170="4/24"),((база!$M$5*2*Таблица1[[#This Row],[Столбец1]]*Таблица1[[#This Row],[коэф]])),
IF((G170="3/24"),((база!$M$4*2*Таблица1[[#This Row],[Столбец1]]*Таблица1[[#This Row],[коэф]])),
IF((G170="5/16"),((база!$L$6*2*Таблица1[[#This Row],[Столбец1]]*Таблица1[[#This Row],[коэф]])),
IF((G170="4/16"),((база!$L$5*2*Таблица1[[#This Row],[Столбец1]]*Таблица1[[#This Row],[коэф]])),
IF((G170="3/16"),((база!$L$4*2*Таблица1[[#This Row],[Столбец1]]*Таблица1[[#This Row],[коэф]])),
IF((G170="4/4"),((база!$I$5*2*Таблица1[[#This Row],[Столбец1]]*Таблица1[[#This Row],[коэф]])),
IF(OR(G170="2/4",G170="3/4"),((база!$I$4*2*Таблица1[[#This Row],[Столбец1]]*Таблица1[[#This Row],[коэф]])),
IF((G170="5/8"),((база!$J$6*2*Таблица1[[#This Row],[Столбец1]]*Таблица1[[#This Row],[коэф]])),
IF((G170="4/8"),((база!$J$5*2*Таблица1[[#This Row],[Столбец1]]*Таблица1[[#This Row],[коэф]])),
IF(OR(G170="3/8",G170="2/8"),((база!$J$4*2*Таблица1[[#This Row],[Столбец1]]*Таблица1[[#This Row],[коэф]])))))))))))))),
(IF((G170="5/24"),((база!$M$6*2*Таблица1[[#This Row],[Столбец1]]*Таблица1[[#This Row],[коэф]])),
IF(OR(G170="4/24",G170="3/24"),((база!$M$5*2*Таблица1[[#This Row],[Столбец1]]*Таблица1[[#This Row],[коэф]])),
IF((G170="5/16"),((база!$L$6*2*Таблица1[[#This Row],[Столбец1]]*Таблица1[[#This Row],[коэф]])),
IF(OR(G170="4/16",G170="3/16"),((база!$L$5*2*Таблица1[[#This Row],[Столбец1]]*Таблица1[[#This Row],[коэф]])),
IF(OR(G170="2/4",G170="3/4",G170="4/4"),((база!$I$5*2*Таблица1[[#This Row],[Столбец1]]*Таблица1[[#This Row],[коэф]])),
IF((G170="5/8"),((база!$J$6*2*Таблица1[[#This Row],[Столбец1]]*Таблица1[[#This Row],[коэф]])),
IF(OR(G170="4/8",G170="3/8",G170="2/8"),((база!$J$5*2*Таблица1[[#This Row],[Столбец1]]*Таблица1[[#This Row],[коэф]])))))))))))</f>
        <v>0</v>
      </c>
      <c r="AQ170" s="712" t="str">
        <f>IFERROR(INDEX(база!T:T, MATCH(F170,база!Q:Q,0)),"")</f>
        <v/>
      </c>
      <c r="AR170" s="208" t="str">
        <f>IFERROR(INDEX(база!D:D, MATCH(F170,база!B:B,0)),"")</f>
        <v/>
      </c>
      <c r="AS170" s="758" t="str">
        <f>IFERROR(INDEX(база!E:E, MATCH(F170,база!B:B,0)),"")</f>
        <v/>
      </c>
    </row>
    <row r="171" spans="1:45" ht="15">
      <c r="A171" s="1196" t="str">
        <f t="shared" si="4"/>
        <v>январь</v>
      </c>
      <c r="B171" t="n" s="1196">
        <v>2024.0</v>
      </c>
      <c r="C171" t="s" s="1196">
        <v>386</v>
      </c>
      <c r="D171" t="s" s="1196">
        <v>365</v>
      </c>
      <c r="E171" t="s" s="1196">
        <v>46</v>
      </c>
      <c r="F171" t="s" s="1196">
        <v>304</v>
      </c>
      <c r="G171" t="s" s="1196">
        <v>6</v>
      </c>
      <c r="H171" s="1196"/>
      <c r="I171" s="1196"/>
      <c r="J171" s="1196"/>
      <c r="K171" s="1196"/>
      <c r="L171" s="1196"/>
      <c r="M171" s="1196"/>
      <c r="N171" s="1196"/>
      <c r="O171" s="1196"/>
      <c r="P171" s="1196"/>
      <c r="Q171" s="1196"/>
      <c r="R171" s="1196"/>
      <c r="S171" s="1196"/>
      <c r="T171" t="n" s="46">
        <v>3.6</v>
      </c>
      <c r="U171" s="563"/>
      <c r="V171" s="563"/>
      <c r="W171" s="563"/>
      <c r="X171" s="563"/>
      <c r="Y171" s="563"/>
      <c r="Z171" s="563"/>
      <c r="AA171" s="563"/>
      <c r="AB171" s="563"/>
      <c r="AC171" s="563"/>
      <c r="AD171" s="48"/>
      <c r="AE171" s="48"/>
      <c r="AF171" s="258"/>
      <c r="AG171" s="258"/>
      <c r="AH171" s="258"/>
      <c r="AI171" s="258"/>
      <c r="AJ171" s="258"/>
      <c r="AK171" s="258"/>
      <c r="AL171" s="258"/>
      <c r="AM171" s="212">
        <f>IF(AQ171=1,SUM(Q171:T171,W171:Z171,AC171:AF171,AI171:AL171),
IF(AQ171=2,SUM(P171,S171:V171,Y171:AB171,AE171:AH171,AK171:AL171),
IF(AQ171=3,SUM(P171:R171,U171:X171,AA171:AD171,AG171:AJ171),SUM(Таблица1[[#This Row],[1]:[31]])-Таблица1[[#This Row],[Столбец1]])))</f>
        <v>0</v>
      </c>
      <c r="AN171" s="778">
        <f t="array" ref="AN171">IF(AQ171=1,SUM(P171,U171:V171,AA171:AB171,AG171:AH171),
IF(AQ171=2,SUM(Q171:R171,W171:X171,AC171:AD171,AI171:AJ171),
IF(AQ171=3,SUM(S171:T171,Y171:Z171,AE171:AF171,AK171:AL171),
SUM(IFERROR(WEEKDAY($H$2:$AL$2,2)&gt;5,)*H171:AL171))))+Таблица1[[#This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71" s="292" t="b">
        <f>IF(AR171&lt;=3,(IF((G171="5/24"),((база!$M$6*Таблица1[[#This Row],[сумма]]*Таблица1[[#This Row],[коэф]])),
IF((G171="4/24"),((база!$M$5*Таблица1[[#This Row],[сумма]]*Таблица1[[#This Row],[коэф]])),
IF((G171="3/24"),((база!$M$4*Таблица1[[#This Row],[сумма]]*Таблица1[[#This Row],[коэф]])),
IF((G171="5/16"),((база!$L$6*Таблица1[[#This Row],[сумма]]*Таблица1[[#This Row],[коэф]])),
IF((G171="4/16"),((база!$L$5*Таблица1[[#This Row],[сумма]]*Таблица1[[#This Row],[коэф]])),
IF((G171="3/16"),((база!$L$4*Таблица1[[#This Row],[сумма]]*Таблица1[[#This Row],[коэф]])),
IF((G171="4/4"),((база!$I$5*Таблица1[[#This Row],[сумма]]*Таблица1[[#This Row],[коэф]])),
IF(OR(G171="2/4",G171="3/4"),((база!$I$4*Таблица1[[#This Row],[сумма]]*Таблица1[[#This Row],[коэф]])),
IF((G171="5/8"),((база!$J$6*Таблица1[[#This Row],[сумма]]*Таблица1[[#This Row],[коэф]])),
IF((G171="4/8"),((база!$J$5*Таблица1[[#This Row],[сумма]]*Таблица1[[#This Row],[коэф]])),
IF(OR(G171="3/8",G171="2/8"),((база!$J$4*Таблица1[[#This Row],[сумма]]*Таблица1[[#This Row],[коэф]])))))))))))))),
(IF((G171="5/24"),((база!$M$6*Таблица1[[#This Row],[сумма]]*Таблица1[[#This Row],[коэф]])),
IF(OR(G171="4/24",G171="3/24"),((база!$M$5*Таблица1[[#This Row],[сумма]]*Таблица1[[#This Row],[коэф]])),
IF((G171="5/16"),((база!$L$6*Таблица1[[#This Row],[сумма]]*Таблица1[[#This Row],[коэф]])),
IF(OR(G171="4/16",G171="3/16"),((база!$L$5*Таблица1[[#This Row],[сумма]]*Таблица1[[#This Row],[коэф]])),
IF(OR(G171="2/4",G171="3/4",G171="4/4"),((база!$I$5*Таблица1[[#This Row],[сумма]]*Таблица1[[#This Row],[коэф]])),
IF((G171="5/8"),((база!$J$6*Таблица1[[#This Row],[сумма]]*Таблица1[[#This Row],[коэф]])),
IF(OR(G171="4/8",G171="3/8",G171="2/8"),((база!$J$5*Таблица1[[#This Row],[сумма]]*Таблица1[[#This Row],[коэф]])))))))))))</f>
        <v>0</v>
      </c>
      <c r="AP171" s="730" t="b">
        <f>IF(AR171&lt;=3,(IF((G171="5/24"),((база!$M$6*2*Таблица1[[#This Row],[Столбец1]]*Таблица1[[#This Row],[коэф]])),
IF((G171="4/24"),((база!$M$5*2*Таблица1[[#This Row],[Столбец1]]*Таблица1[[#This Row],[коэф]])),
IF((G171="3/24"),((база!$M$4*2*Таблица1[[#This Row],[Столбец1]]*Таблица1[[#This Row],[коэф]])),
IF((G171="5/16"),((база!$L$6*2*Таблица1[[#This Row],[Столбец1]]*Таблица1[[#This Row],[коэф]])),
IF((G171="4/16"),((база!$L$5*2*Таблица1[[#This Row],[Столбец1]]*Таблица1[[#This Row],[коэф]])),
IF((G171="3/16"),((база!$L$4*2*Таблица1[[#This Row],[Столбец1]]*Таблица1[[#This Row],[коэф]])),
IF((G171="4/4"),((база!$I$5*2*Таблица1[[#This Row],[Столбец1]]*Таблица1[[#This Row],[коэф]])),
IF(OR(G171="2/4",G171="3/4"),((база!$I$4*2*Таблица1[[#This Row],[Столбец1]]*Таблица1[[#This Row],[коэф]])),
IF((G171="5/8"),((база!$J$6*2*Таблица1[[#This Row],[Столбец1]]*Таблица1[[#This Row],[коэф]])),
IF((G171="4/8"),((база!$J$5*2*Таблица1[[#This Row],[Столбец1]]*Таблица1[[#This Row],[коэф]])),
IF(OR(G171="3/8",G171="2/8"),((база!$J$4*2*Таблица1[[#This Row],[Столбец1]]*Таблица1[[#This Row],[коэф]])))))))))))))),
(IF((G171="5/24"),((база!$M$6*2*Таблица1[[#This Row],[Столбец1]]*Таблица1[[#This Row],[коэф]])),
IF(OR(G171="4/24",G171="3/24"),((база!$M$5*2*Таблица1[[#This Row],[Столбец1]]*Таблица1[[#This Row],[коэф]])),
IF((G171="5/16"),((база!$L$6*2*Таблица1[[#This Row],[Столбец1]]*Таблица1[[#This Row],[коэф]])),
IF(OR(G171="4/16",G171="3/16"),((база!$L$5*2*Таблица1[[#This Row],[Столбец1]]*Таблица1[[#This Row],[коэф]])),
IF(OR(G171="2/4",G171="3/4",G171="4/4"),((база!$I$5*2*Таблица1[[#This Row],[Столбец1]]*Таблица1[[#This Row],[коэф]])),
IF((G171="5/8"),((база!$J$6*2*Таблица1[[#This Row],[Столбец1]]*Таблица1[[#This Row],[коэф]])),
IF(OR(G171="4/8",G171="3/8",G171="2/8"),((база!$J$5*2*Таблица1[[#This Row],[Столбец1]]*Таблица1[[#This Row],[коэф]])))))))))))</f>
        <v>0</v>
      </c>
      <c r="AQ171" s="712" t="str">
        <f>IFERROR(INDEX(база!T:T, MATCH(F171,база!Q:Q,0)),"")</f>
        <v/>
      </c>
      <c r="AR171" s="208" t="str">
        <f>IFERROR(INDEX(база!D:D, MATCH(F171,база!B:B,0)),"")</f>
        <v/>
      </c>
      <c r="AS171" s="758" t="str">
        <f>IFERROR(INDEX(база!E:E, MATCH(F171,база!B:B,0)),"")</f>
        <v/>
      </c>
    </row>
    <row r="172" spans="1:45" ht="15">
      <c r="A172" s="1199" t="str">
        <f t="shared" si="4"/>
        <v>январь</v>
      </c>
      <c r="B172" t="n" s="1199">
        <v>2024.0</v>
      </c>
      <c r="C172" t="s" s="1199">
        <v>394</v>
      </c>
      <c r="D172" t="s" s="1199">
        <v>364</v>
      </c>
      <c r="E172" t="s" s="1199">
        <v>389</v>
      </c>
      <c r="F172" t="s" s="1199">
        <v>253</v>
      </c>
      <c r="G172" t="s" s="1199">
        <v>5</v>
      </c>
      <c r="H172" s="1199"/>
      <c r="I172" s="1199"/>
      <c r="J172" s="1199"/>
      <c r="K172" s="1199"/>
      <c r="L172" s="1199"/>
      <c r="M172" s="1199"/>
      <c r="N172" s="1199"/>
      <c r="O172" s="1199"/>
      <c r="P172" s="1199"/>
      <c r="Q172" s="1199"/>
      <c r="R172" s="1199"/>
      <c r="S172" s="1199"/>
      <c r="T172" t="n" s="1199">
        <v>4.0</v>
      </c>
      <c r="U172" t="n" s="46">
        <v>6.5</v>
      </c>
      <c r="V172" s="563"/>
      <c r="W172" s="563"/>
      <c r="X172" s="563"/>
      <c r="Y172" s="563"/>
      <c r="Z172" s="563"/>
      <c r="AA172" s="563"/>
      <c r="AB172" s="563"/>
      <c r="AC172" s="563"/>
      <c r="AD172" s="258"/>
      <c r="AE172" s="258"/>
      <c r="AF172" s="563"/>
      <c r="AG172" s="258"/>
      <c r="AH172" s="258"/>
      <c r="AI172" s="258"/>
      <c r="AJ172" s="258"/>
      <c r="AK172" s="258"/>
      <c r="AL172" s="258"/>
      <c r="AM172" s="212">
        <f>IF(AQ172=1,SUM(Q172:T172,W172:Z172,AC172:AF172,AI172:AL172),
IF(AQ172=2,SUM(P172,S172:V172,Y172:AB172,AE172:AH172,AK172:AL172),
IF(AQ172=3,SUM(P172:R172,U172:X172,AA172:AD172,AG172:AJ172),SUM(Таблица1[[#This Row],[1]:[31]])-Таблица1[[#This Row],[Столбец1]])))</f>
        <v>0</v>
      </c>
      <c r="AN172" s="778">
        <f t="array" ref="AN172">IF(AQ172=1,SUM(P172,U172:V172,AA172:AB172,AG172:AH172),
IF(AQ172=2,SUM(Q172:R172,W172:X172,AC172:AD172,AI172:AJ172),
IF(AQ172=3,SUM(S172:T172,Y172:Z172,AE172:AF172,AK172:AL172),
SUM(IFERROR(WEEKDAY($H$2:$AL$2,2)&gt;5,)*H172:AL172))))+Таблица1[[#This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72" s="292" t="b">
        <f>IF(AR172&lt;=3,(IF((G172="5/24"),((база!$M$6*Таблица1[[#This Row],[сумма]]*Таблица1[[#This Row],[коэф]])),
IF((G172="4/24"),((база!$M$5*Таблица1[[#This Row],[сумма]]*Таблица1[[#This Row],[коэф]])),
IF((G172="3/24"),((база!$M$4*Таблица1[[#This Row],[сумма]]*Таблица1[[#This Row],[коэф]])),
IF((G172="5/16"),((база!$L$6*Таблица1[[#This Row],[сумма]]*Таблица1[[#This Row],[коэф]])),
IF((G172="4/16"),((база!$L$5*Таблица1[[#This Row],[сумма]]*Таблица1[[#This Row],[коэф]])),
IF((G172="3/16"),((база!$L$4*Таблица1[[#This Row],[сумма]]*Таблица1[[#This Row],[коэф]])),
IF((G172="4/4"),((база!$I$5*Таблица1[[#This Row],[сумма]]*Таблица1[[#This Row],[коэф]])),
IF(OR(G172="2/4",G172="3/4"),((база!$I$4*Таблица1[[#This Row],[сумма]]*Таблица1[[#This Row],[коэф]])),
IF((G172="5/8"),((база!$J$6*Таблица1[[#This Row],[сумма]]*Таблица1[[#This Row],[коэф]])),
IF((G172="4/8"),((база!$J$5*Таблица1[[#This Row],[сумма]]*Таблица1[[#This Row],[коэф]])),
IF(OR(G172="3/8",G172="2/8"),((база!$J$4*Таблица1[[#This Row],[сумма]]*Таблица1[[#This Row],[коэф]])))))))))))))),
(IF((G172="5/24"),((база!$M$6*Таблица1[[#This Row],[сумма]]*Таблица1[[#This Row],[коэф]])),
IF(OR(G172="4/24",G172="3/24"),((база!$M$5*Таблица1[[#This Row],[сумма]]*Таблица1[[#This Row],[коэф]])),
IF((G172="5/16"),((база!$L$6*Таблица1[[#This Row],[сумма]]*Таблица1[[#This Row],[коэф]])),
IF(OR(G172="4/16",G172="3/16"),((база!$L$5*Таблица1[[#This Row],[сумма]]*Таблица1[[#This Row],[коэф]])),
IF(OR(G172="2/4",G172="3/4",G172="4/4"),((база!$I$5*Таблица1[[#This Row],[сумма]]*Таблица1[[#This Row],[коэф]])),
IF((G172="5/8"),((база!$J$6*Таблица1[[#This Row],[сумма]]*Таблица1[[#This Row],[коэф]])),
IF(OR(G172="4/8",G172="3/8",G172="2/8"),((база!$J$5*Таблица1[[#This Row],[сумма]]*Таблица1[[#This Row],[коэф]])))))))))))</f>
        <v>0</v>
      </c>
      <c r="AP172" s="730" t="b">
        <f>IF(AR172&lt;=3,(IF((G172="5/24"),((база!$M$6*2*Таблица1[[#This Row],[Столбец1]]*Таблица1[[#This Row],[коэф]])),
IF((G172="4/24"),((база!$M$5*2*Таблица1[[#This Row],[Столбец1]]*Таблица1[[#This Row],[коэф]])),
IF((G172="3/24"),((база!$M$4*2*Таблица1[[#This Row],[Столбец1]]*Таблица1[[#This Row],[коэф]])),
IF((G172="5/16"),((база!$L$6*2*Таблица1[[#This Row],[Столбец1]]*Таблица1[[#This Row],[коэф]])),
IF((G172="4/16"),((база!$L$5*2*Таблица1[[#This Row],[Столбец1]]*Таблица1[[#This Row],[коэф]])),
IF((G172="3/16"),((база!$L$4*2*Таблица1[[#This Row],[Столбец1]]*Таблица1[[#This Row],[коэф]])),
IF((G172="4/4"),((база!$I$5*2*Таблица1[[#This Row],[Столбец1]]*Таблица1[[#This Row],[коэф]])),
IF(OR(G172="2/4",G172="3/4"),((база!$I$4*2*Таблица1[[#This Row],[Столбец1]]*Таблица1[[#This Row],[коэф]])),
IF((G172="5/8"),((база!$J$6*2*Таблица1[[#This Row],[Столбец1]]*Таблица1[[#This Row],[коэф]])),
IF((G172="4/8"),((база!$J$5*2*Таблица1[[#This Row],[Столбец1]]*Таблица1[[#This Row],[коэф]])),
IF(OR(G172="3/8",G172="2/8"),((база!$J$4*2*Таблица1[[#This Row],[Столбец1]]*Таблица1[[#This Row],[коэф]])))))))))))))),
(IF((G172="5/24"),((база!$M$6*2*Таблица1[[#This Row],[Столбец1]]*Таблица1[[#This Row],[коэф]])),
IF(OR(G172="4/24",G172="3/24"),((база!$M$5*2*Таблица1[[#This Row],[Столбец1]]*Таблица1[[#This Row],[коэф]])),
IF((G172="5/16"),((база!$L$6*2*Таблица1[[#This Row],[Столбец1]]*Таблица1[[#This Row],[коэф]])),
IF(OR(G172="4/16",G172="3/16"),((база!$L$5*2*Таблица1[[#This Row],[Столбец1]]*Таблица1[[#This Row],[коэф]])),
IF(OR(G172="2/4",G172="3/4",G172="4/4"),((база!$I$5*2*Таблица1[[#This Row],[Столбец1]]*Таблица1[[#This Row],[коэф]])),
IF((G172="5/8"),((база!$J$6*2*Таблица1[[#This Row],[Столбец1]]*Таблица1[[#This Row],[коэф]])),
IF(OR(G172="4/8",G172="3/8",G172="2/8"),((база!$J$5*2*Таблица1[[#This Row],[Столбец1]]*Таблица1[[#This Row],[коэф]])))))))))))</f>
        <v>0</v>
      </c>
      <c r="AQ172" s="712" t="str">
        <f>IFERROR(INDEX(база!T:T, MATCH(F172,база!Q:Q,0)),"")</f>
        <v/>
      </c>
      <c r="AR172" s="208" t="str">
        <f>IFERROR(INDEX(база!D:D, MATCH(F172,база!B:B,0)),"")</f>
        <v/>
      </c>
      <c r="AS172" s="758" t="str">
        <f>IFERROR(INDEX(база!E:E, MATCH(F172,база!B:B,0)),"")</f>
        <v/>
      </c>
    </row>
    <row r="173" spans="1:45" ht="15">
      <c r="A173" s="1200" t="str">
        <f t="shared" si="4"/>
        <v>январь</v>
      </c>
      <c r="B173" t="n" s="1200">
        <v>2024.0</v>
      </c>
      <c r="C173" t="s" s="1200">
        <v>388</v>
      </c>
      <c r="D173" t="s" s="1200">
        <v>364</v>
      </c>
      <c r="E173" t="s" s="1200">
        <v>46</v>
      </c>
      <c r="F173" t="s" s="1200">
        <v>253</v>
      </c>
      <c r="G173" t="s" s="1200">
        <v>4</v>
      </c>
      <c r="H173" s="1200"/>
      <c r="I173" s="1200"/>
      <c r="J173" s="1200"/>
      <c r="K173" s="1200"/>
      <c r="L173" s="1200"/>
      <c r="M173" s="1200"/>
      <c r="N173" s="1200"/>
      <c r="O173" s="1200"/>
      <c r="P173" s="1200"/>
      <c r="Q173" s="1200"/>
      <c r="R173" s="1200"/>
      <c r="S173" s="1200"/>
      <c r="T173" t="n" s="1200">
        <v>3.2</v>
      </c>
      <c r="U173" s="563"/>
      <c r="V173" s="563"/>
      <c r="W173" s="563"/>
      <c r="X173" s="563"/>
      <c r="Y173" s="563"/>
      <c r="Z173" s="563"/>
      <c r="AA173" s="563"/>
      <c r="AB173" s="563"/>
      <c r="AC173" s="563"/>
      <c r="AD173" s="48"/>
      <c r="AE173" s="48"/>
      <c r="AF173" s="258"/>
      <c r="AG173" s="48"/>
      <c r="AH173" s="258"/>
      <c r="AI173" s="258"/>
      <c r="AJ173" s="258"/>
      <c r="AK173" s="258"/>
      <c r="AL173" s="258"/>
      <c r="AM173" s="212">
        <f>IF(AQ173=1,SUM(Q173:T173,W173:Z173,AC173:AF173,AI173:AL173),
IF(AQ173=2,SUM(P173,S173:V173,Y173:AB173,AE173:AH173,AK173:AL173),
IF(AQ173=3,SUM(P173:R173,U173:X173,AA173:AD173,AG173:AJ173),SUM(Таблица1[[#This Row],[1]:[31]])-Таблица1[[#This Row],[Столбец1]])))</f>
        <v>0</v>
      </c>
      <c r="AN173" s="778">
        <f t="array" ref="AN173">IF(AQ173=1,SUM(P173,U173:V173,AA173:AB173,AG173:AH173),
IF(AQ173=2,SUM(Q173:R173,W173:X173,AC173:AD173,AI173:AJ173),
IF(AQ173=3,SUM(S173:T173,Y173:Z173,AE173:AF173,AK173:AL173),
SUM(IFERROR(WEEKDAY($H$2:$AL$2,2)&gt;5,)*H173:AL173))))+Таблица1[[#This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73" s="292" t="b">
        <f>IF(AR173&lt;=3,(IF((G173="5/24"),((база!$M$6*Таблица1[[#This Row],[сумма]]*Таблица1[[#This Row],[коэф]])),
IF((G173="4/24"),((база!$M$5*Таблица1[[#This Row],[сумма]]*Таблица1[[#This Row],[коэф]])),
IF((G173="3/24"),((база!$M$4*Таблица1[[#This Row],[сумма]]*Таблица1[[#This Row],[коэф]])),
IF((G173="5/16"),((база!$L$6*Таблица1[[#This Row],[сумма]]*Таблица1[[#This Row],[коэф]])),
IF((G173="4/16"),((база!$L$5*Таблица1[[#This Row],[сумма]]*Таблица1[[#This Row],[коэф]])),
IF((G173="3/16"),((база!$L$4*Таблица1[[#This Row],[сумма]]*Таблица1[[#This Row],[коэф]])),
IF((G173="4/4"),((база!$I$5*Таблица1[[#This Row],[сумма]]*Таблица1[[#This Row],[коэф]])),
IF(OR(G173="2/4",G173="3/4"),((база!$I$4*Таблица1[[#This Row],[сумма]]*Таблица1[[#This Row],[коэф]])),
IF((G173="5/8"),((база!$J$6*Таблица1[[#This Row],[сумма]]*Таблица1[[#This Row],[коэф]])),
IF((G173="4/8"),((база!$J$5*Таблица1[[#This Row],[сумма]]*Таблица1[[#This Row],[коэф]])),
IF(OR(G173="3/8",G173="2/8"),((база!$J$4*Таблица1[[#This Row],[сумма]]*Таблица1[[#This Row],[коэф]])))))))))))))),
(IF((G173="5/24"),((база!$M$6*Таблица1[[#This Row],[сумма]]*Таблица1[[#This Row],[коэф]])),
IF(OR(G173="4/24",G173="3/24"),((база!$M$5*Таблица1[[#This Row],[сумма]]*Таблица1[[#This Row],[коэф]])),
IF((G173="5/16"),((база!$L$6*Таблица1[[#This Row],[сумма]]*Таблица1[[#This Row],[коэф]])),
IF(OR(G173="4/16",G173="3/16"),((база!$L$5*Таблица1[[#This Row],[сумма]]*Таблица1[[#This Row],[коэф]])),
IF(OR(G173="2/4",G173="3/4",G173="4/4"),((база!$I$5*Таблица1[[#This Row],[сумма]]*Таблица1[[#This Row],[коэф]])),
IF((G173="5/8"),((база!$J$6*Таблица1[[#This Row],[сумма]]*Таблица1[[#This Row],[коэф]])),
IF(OR(G173="4/8",G173="3/8",G173="2/8"),((база!$J$5*Таблица1[[#This Row],[сумма]]*Таблица1[[#This Row],[коэф]])))))))))))</f>
        <v>0</v>
      </c>
      <c r="AP173" s="730" t="b">
        <f>IF(AR173&lt;=3,(IF((G173="5/24"),((база!$M$6*2*Таблица1[[#This Row],[Столбец1]]*Таблица1[[#This Row],[коэф]])),
IF((G173="4/24"),((база!$M$5*2*Таблица1[[#This Row],[Столбец1]]*Таблица1[[#This Row],[коэф]])),
IF((G173="3/24"),((база!$M$4*2*Таблица1[[#This Row],[Столбец1]]*Таблица1[[#This Row],[коэф]])),
IF((G173="5/16"),((база!$L$6*2*Таблица1[[#This Row],[Столбец1]]*Таблица1[[#This Row],[коэф]])),
IF((G173="4/16"),((база!$L$5*2*Таблица1[[#This Row],[Столбец1]]*Таблица1[[#This Row],[коэф]])),
IF((G173="3/16"),((база!$L$4*2*Таблица1[[#This Row],[Столбец1]]*Таблица1[[#This Row],[коэф]])),
IF((G173="4/4"),((база!$I$5*2*Таблица1[[#This Row],[Столбец1]]*Таблица1[[#This Row],[коэф]])),
IF(OR(G173="2/4",G173="3/4"),((база!$I$4*2*Таблица1[[#This Row],[Столбец1]]*Таблица1[[#This Row],[коэф]])),
IF((G173="5/8"),((база!$J$6*2*Таблица1[[#This Row],[Столбец1]]*Таблица1[[#This Row],[коэф]])),
IF((G173="4/8"),((база!$J$5*2*Таблица1[[#This Row],[Столбец1]]*Таблица1[[#This Row],[коэф]])),
IF(OR(G173="3/8",G173="2/8"),((база!$J$4*2*Таблица1[[#This Row],[Столбец1]]*Таблица1[[#This Row],[коэф]])))))))))))))),
(IF((G173="5/24"),((база!$M$6*2*Таблица1[[#This Row],[Столбец1]]*Таблица1[[#This Row],[коэф]])),
IF(OR(G173="4/24",G173="3/24"),((база!$M$5*2*Таблица1[[#This Row],[Столбец1]]*Таблица1[[#This Row],[коэф]])),
IF((G173="5/16"),((база!$L$6*2*Таблица1[[#This Row],[Столбец1]]*Таблица1[[#This Row],[коэф]])),
IF(OR(G173="4/16",G173="3/16"),((база!$L$5*2*Таблица1[[#This Row],[Столбец1]]*Таблица1[[#This Row],[коэф]])),
IF(OR(G173="2/4",G173="3/4",G173="4/4"),((база!$I$5*2*Таблица1[[#This Row],[Столбец1]]*Таблица1[[#This Row],[коэф]])),
IF((G173="5/8"),((база!$J$6*2*Таблица1[[#This Row],[Столбец1]]*Таблица1[[#This Row],[коэф]])),
IF(OR(G173="4/8",G173="3/8",G173="2/8"),((база!$J$5*2*Таблица1[[#This Row],[Столбец1]]*Таблица1[[#This Row],[коэф]])))))))))))</f>
        <v>0</v>
      </c>
      <c r="AQ173" s="712" t="str">
        <f>IFERROR(INDEX(база!T:T, MATCH(F173,база!Q:Q,0)),"")</f>
        <v/>
      </c>
      <c r="AR173" s="208" t="str">
        <f>IFERROR(INDEX(база!D:D, MATCH(F173,база!B:B,0)),"")</f>
        <v/>
      </c>
      <c r="AS173" s="758" t="str">
        <f>IFERROR(INDEX(база!E:E, MATCH(F173,база!B:B,0)),"")</f>
        <v/>
      </c>
    </row>
    <row r="174" spans="1:45" ht="15">
      <c r="A174" s="1201" t="str">
        <f t="shared" si="4"/>
        <v>январь</v>
      </c>
      <c r="B174" t="n" s="1201">
        <v>2024.0</v>
      </c>
      <c r="C174" t="s" s="1201">
        <v>392</v>
      </c>
      <c r="D174" t="s" s="1201">
        <v>364</v>
      </c>
      <c r="E174" t="s" s="1201">
        <v>46</v>
      </c>
      <c r="F174" t="s" s="1201">
        <v>258</v>
      </c>
      <c r="G174" t="s" s="1201">
        <v>4</v>
      </c>
      <c r="H174" s="1201"/>
      <c r="I174" s="1201"/>
      <c r="J174" s="1201"/>
      <c r="K174" s="1201"/>
      <c r="L174" s="1201"/>
      <c r="M174" s="1201"/>
      <c r="N174" s="1201"/>
      <c r="O174" s="1201"/>
      <c r="P174" s="1201"/>
      <c r="Q174" s="1201"/>
      <c r="R174" s="1201"/>
      <c r="S174" s="1201"/>
      <c r="T174" t="n" s="1201">
        <v>3.2</v>
      </c>
      <c r="U174" s="563"/>
      <c r="V174" s="563"/>
      <c r="W174" s="563"/>
      <c r="X174" s="563"/>
      <c r="Y174" s="563"/>
      <c r="Z174" s="563"/>
      <c r="AA174" s="563"/>
      <c r="AB174" s="563"/>
      <c r="AC174" s="563"/>
      <c r="AD174" s="48"/>
      <c r="AE174" s="48"/>
      <c r="AF174" s="48"/>
      <c r="AG174" s="48"/>
      <c r="AH174" s="48"/>
      <c r="AI174" s="48"/>
      <c r="AJ174" s="48"/>
      <c r="AK174" s="48"/>
      <c r="AL174" s="51"/>
      <c r="AM174" s="212">
        <f>IF(AQ174=1,SUM(Q174:T174,W174:Z174,AC174:AF174,AI174:AL174),
IF(AQ174=2,SUM(P174,S174:V174,Y174:AB174,AE174:AH174,AK174:AL174),
IF(AQ174=3,SUM(P174:R174,U174:X174,AA174:AD174,AG174:AJ174),SUM(Таблица1[[#This Row],[1]:[31]])-Таблица1[[#This Row],[Столбец1]])))</f>
        <v>0</v>
      </c>
      <c r="AN174" s="778">
        <f t="array" ref="AN174">IF(AQ174=1,SUM(P174,U174:V174,AA174:AB174,AG174:AH174),
IF(AQ174=2,SUM(Q174:R174,W174:X174,AC174:AD174,AI174:AJ174),
IF(AQ174=3,SUM(S174:T174,Y174:Z174,AE174:AF174,AK174:AL174),
SUM(IFERROR(WEEKDAY($H$2:$AL$2,2)&gt;5,)*H174:AL174))))+Таблица1[[#This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74" s="292" t="b">
        <f>IF(AR174&lt;=3,(IF((G174="5/24"),((база!$M$6*Таблица1[[#This Row],[сумма]]*Таблица1[[#This Row],[коэф]])),
IF((G174="4/24"),((база!$M$5*Таблица1[[#This Row],[сумма]]*Таблица1[[#This Row],[коэф]])),
IF((G174="3/24"),((база!$M$4*Таблица1[[#This Row],[сумма]]*Таблица1[[#This Row],[коэф]])),
IF((G174="5/16"),((база!$L$6*Таблица1[[#This Row],[сумма]]*Таблица1[[#This Row],[коэф]])),
IF((G174="4/16"),((база!$L$5*Таблица1[[#This Row],[сумма]]*Таблица1[[#This Row],[коэф]])),
IF((G174="3/16"),((база!$L$4*Таблица1[[#This Row],[сумма]]*Таблица1[[#This Row],[коэф]])),
IF((G174="4/4"),((база!$I$5*Таблица1[[#This Row],[сумма]]*Таблица1[[#This Row],[коэф]])),
IF(OR(G174="2/4",G174="3/4"),((база!$I$4*Таблица1[[#This Row],[сумма]]*Таблица1[[#This Row],[коэф]])),
IF((G174="5/8"),((база!$J$6*Таблица1[[#This Row],[сумма]]*Таблица1[[#This Row],[коэф]])),
IF((G174="4/8"),((база!$J$5*Таблица1[[#This Row],[сумма]]*Таблица1[[#This Row],[коэф]])),
IF(OR(G174="3/8",G174="2/8"),((база!$J$4*Таблица1[[#This Row],[сумма]]*Таблица1[[#This Row],[коэф]])))))))))))))),
(IF((G174="5/24"),((база!$M$6*Таблица1[[#This Row],[сумма]]*Таблица1[[#This Row],[коэф]])),
IF(OR(G174="4/24",G174="3/24"),((база!$M$5*Таблица1[[#This Row],[сумма]]*Таблица1[[#This Row],[коэф]])),
IF((G174="5/16"),((база!$L$6*Таблица1[[#This Row],[сумма]]*Таблица1[[#This Row],[коэф]])),
IF(OR(G174="4/16",G174="3/16"),((база!$L$5*Таблица1[[#This Row],[сумма]]*Таблица1[[#This Row],[коэф]])),
IF(OR(G174="2/4",G174="3/4",G174="4/4"),((база!$I$5*Таблица1[[#This Row],[сумма]]*Таблица1[[#This Row],[коэф]])),
IF((G174="5/8"),((база!$J$6*Таблица1[[#This Row],[сумма]]*Таблица1[[#This Row],[коэф]])),
IF(OR(G174="4/8",G174="3/8",G174="2/8"),((база!$J$5*Таблица1[[#This Row],[сумма]]*Таблица1[[#This Row],[коэф]])))))))))))</f>
        <v>0</v>
      </c>
      <c r="AP174" s="730" t="b">
        <f>IF(AR174&lt;=3,(IF((G174="5/24"),((база!$M$6*2*Таблица1[[#This Row],[Столбец1]]*Таблица1[[#This Row],[коэф]])),
IF((G174="4/24"),((база!$M$5*2*Таблица1[[#This Row],[Столбец1]]*Таблица1[[#This Row],[коэф]])),
IF((G174="3/24"),((база!$M$4*2*Таблица1[[#This Row],[Столбец1]]*Таблица1[[#This Row],[коэф]])),
IF((G174="5/16"),((база!$L$6*2*Таблица1[[#This Row],[Столбец1]]*Таблица1[[#This Row],[коэф]])),
IF((G174="4/16"),((база!$L$5*2*Таблица1[[#This Row],[Столбец1]]*Таблица1[[#This Row],[коэф]])),
IF((G174="3/16"),((база!$L$4*2*Таблица1[[#This Row],[Столбец1]]*Таблица1[[#This Row],[коэф]])),
IF((G174="4/4"),((база!$I$5*2*Таблица1[[#This Row],[Столбец1]]*Таблица1[[#This Row],[коэф]])),
IF(OR(G174="2/4",G174="3/4"),((база!$I$4*2*Таблица1[[#This Row],[Столбец1]]*Таблица1[[#This Row],[коэф]])),
IF((G174="5/8"),((база!$J$6*2*Таблица1[[#This Row],[Столбец1]]*Таблица1[[#This Row],[коэф]])),
IF((G174="4/8"),((база!$J$5*2*Таблица1[[#This Row],[Столбец1]]*Таблица1[[#This Row],[коэф]])),
IF(OR(G174="3/8",G174="2/8"),((база!$J$4*2*Таблица1[[#This Row],[Столбец1]]*Таблица1[[#This Row],[коэф]])))))))))))))),
(IF((G174="5/24"),((база!$M$6*2*Таблица1[[#This Row],[Столбец1]]*Таблица1[[#This Row],[коэф]])),
IF(OR(G174="4/24",G174="3/24"),((база!$M$5*2*Таблица1[[#This Row],[Столбец1]]*Таблица1[[#This Row],[коэф]])),
IF((G174="5/16"),((база!$L$6*2*Таблица1[[#This Row],[Столбец1]]*Таблица1[[#This Row],[коэф]])),
IF(OR(G174="4/16",G174="3/16"),((база!$L$5*2*Таблица1[[#This Row],[Столбец1]]*Таблица1[[#This Row],[коэф]])),
IF(OR(G174="2/4",G174="3/4",G174="4/4"),((база!$I$5*2*Таблица1[[#This Row],[Столбец1]]*Таблица1[[#This Row],[коэф]])),
IF((G174="5/8"),((база!$J$6*2*Таблица1[[#This Row],[Столбец1]]*Таблица1[[#This Row],[коэф]])),
IF(OR(G174="4/8",G174="3/8",G174="2/8"),((база!$J$5*2*Таблица1[[#This Row],[Столбец1]]*Таблица1[[#This Row],[коэф]])))))))))))</f>
        <v>0</v>
      </c>
      <c r="AQ174" s="712" t="str">
        <f>IFERROR(INDEX(база!T:T, MATCH(F174,база!Q:Q,0)),"")</f>
        <v/>
      </c>
      <c r="AR174" s="208" t="str">
        <f>IFERROR(INDEX(база!D:D, MATCH(F174,база!B:B,0)),"")</f>
        <v/>
      </c>
      <c r="AS174" s="758" t="str">
        <f>IFERROR(INDEX(база!E:E, MATCH(F174,база!B:B,0)),"")</f>
        <v/>
      </c>
    </row>
    <row r="175" spans="1:45" ht="15">
      <c r="A175" s="1202" t="str">
        <f t="shared" si="4"/>
        <v>январь</v>
      </c>
      <c r="B175" t="n" s="1202">
        <v>2024.0</v>
      </c>
      <c r="C175" t="s" s="1202">
        <v>388</v>
      </c>
      <c r="D175" t="s" s="1202">
        <v>381</v>
      </c>
      <c r="E175" t="s" s="1202">
        <v>46</v>
      </c>
      <c r="F175" t="s" s="1202">
        <v>399</v>
      </c>
      <c r="G175" t="s" s="1202">
        <v>6</v>
      </c>
      <c r="H175" s="1202"/>
      <c r="I175" s="1202"/>
      <c r="J175" s="1202"/>
      <c r="K175" s="1202"/>
      <c r="L175" s="1202"/>
      <c r="M175" s="1202"/>
      <c r="N175" s="1202"/>
      <c r="O175" s="1202"/>
      <c r="P175" s="1202"/>
      <c r="Q175" s="1202"/>
      <c r="R175" s="1202"/>
      <c r="S175" s="1202"/>
      <c r="T175" t="n" s="1202">
        <v>3.0</v>
      </c>
      <c r="U175" s="563"/>
      <c r="V175" s="563"/>
      <c r="W175" s="563"/>
      <c r="X175" s="563"/>
      <c r="Y175" s="563"/>
      <c r="Z175" s="563"/>
      <c r="AA175" s="563"/>
      <c r="AB175" s="563"/>
      <c r="AC175" s="563"/>
      <c r="AD175" s="48"/>
      <c r="AE175" s="48"/>
      <c r="AF175" s="258"/>
      <c r="AG175" s="48"/>
      <c r="AH175" s="48"/>
      <c r="AI175" s="48"/>
      <c r="AJ175" s="48"/>
      <c r="AK175" s="48"/>
      <c r="AL175" s="51"/>
      <c r="AM175" s="212">
        <f>IF(AQ175=1,SUM(Q175:T175,W175:Z175,AC175:AF175,AI175:AL175),
IF(AQ175=2,SUM(P175,S175:V175,Y175:AB175,AE175:AH175,AK175:AL175),
IF(AQ175=3,SUM(P175:R175,U175:X175,AA175:AD175,AG175:AJ175),SUM(Таблица1[[#This Row],[1]:[31]])-Таблица1[[#This Row],[Столбец1]])))</f>
        <v>0</v>
      </c>
      <c r="AN175" s="778">
        <f t="array" ref="AN175">IF(AQ175=1,SUM(P175,U175:V175,AA175:AB175,AG175:AH175),
IF(AQ175=2,SUM(Q175:R175,W175:X175,AC175:AD175,AI175:AJ175),
IF(AQ175=3,SUM(S175:T175,Y175:Z175,AE175:AF175,AK175:AL175),
SUM(IFERROR(WEEKDAY($H$2:$AL$2,2)&gt;5,)*H175:AL175))))+Таблица1[[#This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75" s="292" t="b">
        <f>IF(AR175&lt;=3,(IF((G175="5/24"),((база!$M$6*Таблица1[[#This Row],[сумма]]*Таблица1[[#This Row],[коэф]])),
IF((G175="4/24"),((база!$M$5*Таблица1[[#This Row],[сумма]]*Таблица1[[#This Row],[коэф]])),
IF((G175="3/24"),((база!$M$4*Таблица1[[#This Row],[сумма]]*Таблица1[[#This Row],[коэф]])),
IF((G175="5/16"),((база!$L$6*Таблица1[[#This Row],[сумма]]*Таблица1[[#This Row],[коэф]])),
IF((G175="4/16"),((база!$L$5*Таблица1[[#This Row],[сумма]]*Таблица1[[#This Row],[коэф]])),
IF((G175="3/16"),((база!$L$4*Таблица1[[#This Row],[сумма]]*Таблица1[[#This Row],[коэф]])),
IF((G175="4/4"),((база!$I$5*Таблица1[[#This Row],[сумма]]*Таблица1[[#This Row],[коэф]])),
IF(OR(G175="2/4",G175="3/4"),((база!$I$4*Таблица1[[#This Row],[сумма]]*Таблица1[[#This Row],[коэф]])),
IF((G175="5/8"),((база!$J$6*Таблица1[[#This Row],[сумма]]*Таблица1[[#This Row],[коэф]])),
IF((G175="4/8"),((база!$J$5*Таблица1[[#This Row],[сумма]]*Таблица1[[#This Row],[коэф]])),
IF(OR(G175="3/8",G175="2/8"),((база!$J$4*Таблица1[[#This Row],[сумма]]*Таблица1[[#This Row],[коэф]])))))))))))))),
(IF((G175="5/24"),((база!$M$6*Таблица1[[#This Row],[сумма]]*Таблица1[[#This Row],[коэф]])),
IF(OR(G175="4/24",G175="3/24"),((база!$M$5*Таблица1[[#This Row],[сумма]]*Таблица1[[#This Row],[коэф]])),
IF((G175="5/16"),((база!$L$6*Таблица1[[#This Row],[сумма]]*Таблица1[[#This Row],[коэф]])),
IF(OR(G175="4/16",G175="3/16"),((база!$L$5*Таблица1[[#This Row],[сумма]]*Таблица1[[#This Row],[коэф]])),
IF(OR(G175="2/4",G175="3/4",G175="4/4"),((база!$I$5*Таблица1[[#This Row],[сумма]]*Таблица1[[#This Row],[коэф]])),
IF((G175="5/8"),((база!$J$6*Таблица1[[#This Row],[сумма]]*Таблица1[[#This Row],[коэф]])),
IF(OR(G175="4/8",G175="3/8",G175="2/8"),((база!$J$5*Таблица1[[#This Row],[сумма]]*Таблица1[[#This Row],[коэф]])))))))))))</f>
        <v>0</v>
      </c>
      <c r="AP175" s="730" t="b">
        <f>IF(AR175&lt;=3,(IF((G175="5/24"),((база!$M$6*2*Таблица1[[#This Row],[Столбец1]]*Таблица1[[#This Row],[коэф]])),
IF((G175="4/24"),((база!$M$5*2*Таблица1[[#This Row],[Столбец1]]*Таблица1[[#This Row],[коэф]])),
IF((G175="3/24"),((база!$M$4*2*Таблица1[[#This Row],[Столбец1]]*Таблица1[[#This Row],[коэф]])),
IF((G175="5/16"),((база!$L$6*2*Таблица1[[#This Row],[Столбец1]]*Таблица1[[#This Row],[коэф]])),
IF((G175="4/16"),((база!$L$5*2*Таблица1[[#This Row],[Столбец1]]*Таблица1[[#This Row],[коэф]])),
IF((G175="3/16"),((база!$L$4*2*Таблица1[[#This Row],[Столбец1]]*Таблица1[[#This Row],[коэф]])),
IF((G175="4/4"),((база!$I$5*2*Таблица1[[#This Row],[Столбец1]]*Таблица1[[#This Row],[коэф]])),
IF(OR(G175="2/4",G175="3/4"),((база!$I$4*2*Таблица1[[#This Row],[Столбец1]]*Таблица1[[#This Row],[коэф]])),
IF((G175="5/8"),((база!$J$6*2*Таблица1[[#This Row],[Столбец1]]*Таблица1[[#This Row],[коэф]])),
IF((G175="4/8"),((база!$J$5*2*Таблица1[[#This Row],[Столбец1]]*Таблица1[[#This Row],[коэф]])),
IF(OR(G175="3/8",G175="2/8"),((база!$J$4*2*Таблица1[[#This Row],[Столбец1]]*Таблица1[[#This Row],[коэф]])))))))))))))),
(IF((G175="5/24"),((база!$M$6*2*Таблица1[[#This Row],[Столбец1]]*Таблица1[[#This Row],[коэф]])),
IF(OR(G175="4/24",G175="3/24"),((база!$M$5*2*Таблица1[[#This Row],[Столбец1]]*Таблица1[[#This Row],[коэф]])),
IF((G175="5/16"),((база!$L$6*2*Таблица1[[#This Row],[Столбец1]]*Таблица1[[#This Row],[коэф]])),
IF(OR(G175="4/16",G175="3/16"),((база!$L$5*2*Таблица1[[#This Row],[Столбец1]]*Таблица1[[#This Row],[коэф]])),
IF(OR(G175="2/4",G175="3/4",G175="4/4"),((база!$I$5*2*Таблица1[[#This Row],[Столбец1]]*Таблица1[[#This Row],[коэф]])),
IF((G175="5/8"),((база!$J$6*2*Таблица1[[#This Row],[Столбец1]]*Таблица1[[#This Row],[коэф]])),
IF(OR(G175="4/8",G175="3/8",G175="2/8"),((база!$J$5*2*Таблица1[[#This Row],[Столбец1]]*Таблица1[[#This Row],[коэф]])))))))))))</f>
        <v>0</v>
      </c>
      <c r="AQ175" s="712" t="str">
        <f>IFERROR(INDEX(база!T:T, MATCH(F175,база!Q:Q,0)),"")</f>
        <v/>
      </c>
      <c r="AR175" s="208" t="str">
        <f>IFERROR(INDEX(база!D:D, MATCH(F175,база!B:B,0)),"")</f>
        <v/>
      </c>
      <c r="AS175" s="758" t="str">
        <f>IFERROR(INDEX(база!E:E, MATCH(F175,база!B:B,0)),"")</f>
        <v/>
      </c>
    </row>
    <row r="176" spans="1:45" ht="15">
      <c r="A176" s="1203" t="str">
        <f t="shared" si="4"/>
        <v>январь</v>
      </c>
      <c r="B176" t="n" s="1203">
        <v>2024.0</v>
      </c>
      <c r="C176" t="s" s="1203">
        <v>396</v>
      </c>
      <c r="D176" t="s" s="1203">
        <v>365</v>
      </c>
      <c r="E176" t="s" s="1203">
        <v>46</v>
      </c>
      <c r="F176" t="s" s="1203">
        <v>284</v>
      </c>
      <c r="G176" t="s" s="1203">
        <v>6</v>
      </c>
      <c r="H176" s="1203"/>
      <c r="I176" s="1203"/>
      <c r="J176" s="1203"/>
      <c r="K176" s="1203"/>
      <c r="L176" s="1203"/>
      <c r="M176" s="1203"/>
      <c r="N176" s="1203"/>
      <c r="O176" s="1203"/>
      <c r="P176" s="1203"/>
      <c r="Q176" s="1203"/>
      <c r="R176" s="1203"/>
      <c r="S176" s="1203"/>
      <c r="T176" t="n" s="1203">
        <v>2.0</v>
      </c>
      <c r="U176" s="563"/>
      <c r="V176" s="563"/>
      <c r="W176" s="563"/>
      <c r="X176" s="563"/>
      <c r="Y176" s="563"/>
      <c r="Z176" s="563"/>
      <c r="AA176" s="563"/>
      <c r="AB176" s="563"/>
      <c r="AC176" s="563"/>
      <c r="AD176" s="48"/>
      <c r="AE176" s="48"/>
      <c r="AF176" s="258"/>
      <c r="AG176" s="48"/>
      <c r="AH176" s="48"/>
      <c r="AI176" s="258"/>
      <c r="AJ176" s="258"/>
      <c r="AK176" s="258"/>
      <c r="AL176" s="258"/>
      <c r="AM176" s="212">
        <f>IF(AQ176=1,SUM(Q176:T176,W176:Z176,AC176:AF176,AI176:AL176),
IF(AQ176=2,SUM(P176,S176:V176,Y176:AB176,AE176:AH176,AK176:AL176),
IF(AQ176=3,SUM(P176:R176,U176:X176,AA176:AD176,AG176:AJ176),SUM(Таблица1[[#This Row],[1]:[31]])-Таблица1[[#This Row],[Столбец1]])))</f>
        <v>0</v>
      </c>
      <c r="AN176" s="778">
        <f t="array" ref="AN176">IF(AQ176=1,SUM(P176,U176:V176,AA176:AB176,AG176:AH176),
IF(AQ176=2,SUM(Q176:R176,W176:X176,AC176:AD176,AI176:AJ176),
IF(AQ176=3,SUM(S176:T176,Y176:Z176,AE176:AF176,AK176:AL176),
SUM(IFERROR(WEEKDAY($H$2:$AL$2,2)&gt;5,)*H176:AL176))))+Таблица1[[#This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76" s="292" t="b">
        <f>IF(AR176&lt;=3,(IF((G176="5/24"),((база!$M$6*Таблица1[[#This Row],[сумма]]*Таблица1[[#This Row],[коэф]])),
IF((G176="4/24"),((база!$M$5*Таблица1[[#This Row],[сумма]]*Таблица1[[#This Row],[коэф]])),
IF((G176="3/24"),((база!$M$4*Таблица1[[#This Row],[сумма]]*Таблица1[[#This Row],[коэф]])),
IF((G176="5/16"),((база!$L$6*Таблица1[[#This Row],[сумма]]*Таблица1[[#This Row],[коэф]])),
IF((G176="4/16"),((база!$L$5*Таблица1[[#This Row],[сумма]]*Таблица1[[#This Row],[коэф]])),
IF((G176="3/16"),((база!$L$4*Таблица1[[#This Row],[сумма]]*Таблица1[[#This Row],[коэф]])),
IF((G176="4/4"),((база!$I$5*Таблица1[[#This Row],[сумма]]*Таблица1[[#This Row],[коэф]])),
IF(OR(G176="2/4",G176="3/4"),((база!$I$4*Таблица1[[#This Row],[сумма]]*Таблица1[[#This Row],[коэф]])),
IF((G176="5/8"),((база!$J$6*Таблица1[[#This Row],[сумма]]*Таблица1[[#This Row],[коэф]])),
IF((G176="4/8"),((база!$J$5*Таблица1[[#This Row],[сумма]]*Таблица1[[#This Row],[коэф]])),
IF(OR(G176="3/8",G176="2/8"),((база!$J$4*Таблица1[[#This Row],[сумма]]*Таблица1[[#This Row],[коэф]])))))))))))))),
(IF((G176="5/24"),((база!$M$6*Таблица1[[#This Row],[сумма]]*Таблица1[[#This Row],[коэф]])),
IF(OR(G176="4/24",G176="3/24"),((база!$M$5*Таблица1[[#This Row],[сумма]]*Таблица1[[#This Row],[коэф]])),
IF((G176="5/16"),((база!$L$6*Таблица1[[#This Row],[сумма]]*Таблица1[[#This Row],[коэф]])),
IF(OR(G176="4/16",G176="3/16"),((база!$L$5*Таблица1[[#This Row],[сумма]]*Таблица1[[#This Row],[коэф]])),
IF(OR(G176="2/4",G176="3/4",G176="4/4"),((база!$I$5*Таблица1[[#This Row],[сумма]]*Таблица1[[#This Row],[коэф]])),
IF((G176="5/8"),((база!$J$6*Таблица1[[#This Row],[сумма]]*Таблица1[[#This Row],[коэф]])),
IF(OR(G176="4/8",G176="3/8",G176="2/8"),((база!$J$5*Таблица1[[#This Row],[сумма]]*Таблица1[[#This Row],[коэф]])))))))))))</f>
        <v>0</v>
      </c>
      <c r="AP176" s="730" t="b">
        <f>IF(AR176&lt;=3,(IF((G176="5/24"),((база!$M$6*2*Таблица1[[#This Row],[Столбец1]]*Таблица1[[#This Row],[коэф]])),
IF((G176="4/24"),((база!$M$5*2*Таблица1[[#This Row],[Столбец1]]*Таблица1[[#This Row],[коэф]])),
IF((G176="3/24"),((база!$M$4*2*Таблица1[[#This Row],[Столбец1]]*Таблица1[[#This Row],[коэф]])),
IF((G176="5/16"),((база!$L$6*2*Таблица1[[#This Row],[Столбец1]]*Таблица1[[#This Row],[коэф]])),
IF((G176="4/16"),((база!$L$5*2*Таблица1[[#This Row],[Столбец1]]*Таблица1[[#This Row],[коэф]])),
IF((G176="3/16"),((база!$L$4*2*Таблица1[[#This Row],[Столбец1]]*Таблица1[[#This Row],[коэф]])),
IF((G176="4/4"),((база!$I$5*2*Таблица1[[#This Row],[Столбец1]]*Таблица1[[#This Row],[коэф]])),
IF(OR(G176="2/4",G176="3/4"),((база!$I$4*2*Таблица1[[#This Row],[Столбец1]]*Таблица1[[#This Row],[коэф]])),
IF((G176="5/8"),((база!$J$6*2*Таблица1[[#This Row],[Столбец1]]*Таблица1[[#This Row],[коэф]])),
IF((G176="4/8"),((база!$J$5*2*Таблица1[[#This Row],[Столбец1]]*Таблица1[[#This Row],[коэф]])),
IF(OR(G176="3/8",G176="2/8"),((база!$J$4*2*Таблица1[[#This Row],[Столбец1]]*Таблица1[[#This Row],[коэф]])))))))))))))),
(IF((G176="5/24"),((база!$M$6*2*Таблица1[[#This Row],[Столбец1]]*Таблица1[[#This Row],[коэф]])),
IF(OR(G176="4/24",G176="3/24"),((база!$M$5*2*Таблица1[[#This Row],[Столбец1]]*Таблица1[[#This Row],[коэф]])),
IF((G176="5/16"),((база!$L$6*2*Таблица1[[#This Row],[Столбец1]]*Таблица1[[#This Row],[коэф]])),
IF(OR(G176="4/16",G176="3/16"),((база!$L$5*2*Таблица1[[#This Row],[Столбец1]]*Таблица1[[#This Row],[коэф]])),
IF(OR(G176="2/4",G176="3/4",G176="4/4"),((база!$I$5*2*Таблица1[[#This Row],[Столбец1]]*Таблица1[[#This Row],[коэф]])),
IF((G176="5/8"),((база!$J$6*2*Таблица1[[#This Row],[Столбец1]]*Таблица1[[#This Row],[коэф]])),
IF(OR(G176="4/8",G176="3/8",G176="2/8"),((база!$J$5*2*Таблица1[[#This Row],[Столбец1]]*Таблица1[[#This Row],[коэф]])))))))))))</f>
        <v>0</v>
      </c>
      <c r="AQ176" s="712" t="str">
        <f>IFERROR(INDEX(база!T:T, MATCH(F176,база!Q:Q,0)),"")</f>
        <v/>
      </c>
      <c r="AR176" s="208" t="str">
        <f>IFERROR(INDEX(база!D:D, MATCH(F176,база!B:B,0)),"")</f>
        <v/>
      </c>
      <c r="AS176" s="758" t="str">
        <f>IFERROR(INDEX(база!E:E, MATCH(F176,база!B:B,0)),"")</f>
        <v/>
      </c>
    </row>
    <row r="177" spans="1:45" ht="15">
      <c r="A177" s="1209" t="str">
        <f t="shared" si="4"/>
        <v>январь</v>
      </c>
      <c r="B177" t="n" s="1209">
        <v>2024.0</v>
      </c>
      <c r="C177" t="s" s="1209">
        <v>386</v>
      </c>
      <c r="D177" t="s" s="1209">
        <v>365</v>
      </c>
      <c r="E177" t="s" s="1209">
        <v>46</v>
      </c>
      <c r="F177" t="s" s="1209">
        <v>347</v>
      </c>
      <c r="G177" t="s" s="1209">
        <v>4</v>
      </c>
      <c r="H177" s="1209"/>
      <c r="I177" s="1209"/>
      <c r="J177" s="1209"/>
      <c r="K177" s="1209"/>
      <c r="L177" s="1209"/>
      <c r="M177" s="1209"/>
      <c r="N177" s="1209"/>
      <c r="O177" s="1209"/>
      <c r="P177" s="1209"/>
      <c r="Q177" s="1209"/>
      <c r="R177" s="1209"/>
      <c r="S177" s="1209"/>
      <c r="T177" t="n" s="1209">
        <v>3.2</v>
      </c>
      <c r="U177" s="563"/>
      <c r="V177" s="563"/>
      <c r="W177" s="563"/>
      <c r="X177" s="563"/>
      <c r="Y177" s="563"/>
      <c r="Z177" s="563"/>
      <c r="AA177" s="563"/>
      <c r="AB177" s="563"/>
      <c r="AC177" s="563"/>
      <c r="AD177" s="48"/>
      <c r="AE177" s="48"/>
      <c r="AF177" s="258"/>
      <c r="AG177" s="48"/>
      <c r="AH177" s="48"/>
      <c r="AI177" s="258"/>
      <c r="AJ177" s="258"/>
      <c r="AK177" s="258"/>
      <c r="AL177" s="258"/>
      <c r="AM177" s="212">
        <f>IF(AQ177=1,SUM(Q177:T177,W177:Z177,AC177:AF177,AI177:AL177),
IF(AQ177=2,SUM(P177,S177:V177,Y177:AB177,AE177:AH177,AK177:AL177),
IF(AQ177=3,SUM(P177:R177,U177:X177,AA177:AD177,AG177:AJ177),SUM(Таблица1[[#This Row],[1]:[31]])-Таблица1[[#This Row],[Столбец1]])))</f>
        <v>0</v>
      </c>
      <c r="AN177" s="778">
        <f t="array" ref="AN177">IF(AQ177=1,SUM(P177,U177:V177,AA177:AB177,AG177:AH177),
IF(AQ177=2,SUM(Q177:R177,W177:X177,AC177:AD177,AI177:AJ177),
IF(AQ177=3,SUM(S177:T177,Y177:Z177,AE177:AF177,AK177:AL177),
SUM(IFERROR(WEEKDAY($H$2:$AL$2,2)&gt;5,)*H177:AL177))))+Таблица1[[#This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77" s="292" t="b">
        <f>IF(AR177&lt;=3,(IF((G177="5/24"),((база!$M$6*Таблица1[[#This Row],[сумма]]*Таблица1[[#This Row],[коэф]])),
IF((G177="4/24"),((база!$M$5*Таблица1[[#This Row],[сумма]]*Таблица1[[#This Row],[коэф]])),
IF((G177="3/24"),((база!$M$4*Таблица1[[#This Row],[сумма]]*Таблица1[[#This Row],[коэф]])),
IF((G177="5/16"),((база!$L$6*Таблица1[[#This Row],[сумма]]*Таблица1[[#This Row],[коэф]])),
IF((G177="4/16"),((база!$L$5*Таблица1[[#This Row],[сумма]]*Таблица1[[#This Row],[коэф]])),
IF((G177="3/16"),((база!$L$4*Таблица1[[#This Row],[сумма]]*Таблица1[[#This Row],[коэф]])),
IF((G177="4/4"),((база!$I$5*Таблица1[[#This Row],[сумма]]*Таблица1[[#This Row],[коэф]])),
IF(OR(G177="2/4",G177="3/4"),((база!$I$4*Таблица1[[#This Row],[сумма]]*Таблица1[[#This Row],[коэф]])),
IF((G177="5/8"),((база!$J$6*Таблица1[[#This Row],[сумма]]*Таблица1[[#This Row],[коэф]])),
IF((G177="4/8"),((база!$J$5*Таблица1[[#This Row],[сумма]]*Таблица1[[#This Row],[коэф]])),
IF(OR(G177="3/8",G177="2/8"),((база!$J$4*Таблица1[[#This Row],[сумма]]*Таблица1[[#This Row],[коэф]])))))))))))))),
(IF((G177="5/24"),((база!$M$6*Таблица1[[#This Row],[сумма]]*Таблица1[[#This Row],[коэф]])),
IF(OR(G177="4/24",G177="3/24"),((база!$M$5*Таблица1[[#This Row],[сумма]]*Таблица1[[#This Row],[коэф]])),
IF((G177="5/16"),((база!$L$6*Таблица1[[#This Row],[сумма]]*Таблица1[[#This Row],[коэф]])),
IF(OR(G177="4/16",G177="3/16"),((база!$L$5*Таблица1[[#This Row],[сумма]]*Таблица1[[#This Row],[коэф]])),
IF(OR(G177="2/4",G177="3/4",G177="4/4"),((база!$I$5*Таблица1[[#This Row],[сумма]]*Таблица1[[#This Row],[коэф]])),
IF((G177="5/8"),((база!$J$6*Таблица1[[#This Row],[сумма]]*Таблица1[[#This Row],[коэф]])),
IF(OR(G177="4/8",G177="3/8",G177="2/8"),((база!$J$5*Таблица1[[#This Row],[сумма]]*Таблица1[[#This Row],[коэф]])))))))))))</f>
        <v>0</v>
      </c>
      <c r="AP177" s="730" t="b">
        <f>IF(AR177&lt;=3,(IF((G177="5/24"),((база!$M$6*2*Таблица1[[#This Row],[Столбец1]]*Таблица1[[#This Row],[коэф]])),
IF((G177="4/24"),((база!$M$5*2*Таблица1[[#This Row],[Столбец1]]*Таблица1[[#This Row],[коэф]])),
IF((G177="3/24"),((база!$M$4*2*Таблица1[[#This Row],[Столбец1]]*Таблица1[[#This Row],[коэф]])),
IF((G177="5/16"),((база!$L$6*2*Таблица1[[#This Row],[Столбец1]]*Таблица1[[#This Row],[коэф]])),
IF((G177="4/16"),((база!$L$5*2*Таблица1[[#This Row],[Столбец1]]*Таблица1[[#This Row],[коэф]])),
IF((G177="3/16"),((база!$L$4*2*Таблица1[[#This Row],[Столбец1]]*Таблица1[[#This Row],[коэф]])),
IF((G177="4/4"),((база!$I$5*2*Таблица1[[#This Row],[Столбец1]]*Таблица1[[#This Row],[коэф]])),
IF(OR(G177="2/4",G177="3/4"),((база!$I$4*2*Таблица1[[#This Row],[Столбец1]]*Таблица1[[#This Row],[коэф]])),
IF((G177="5/8"),((база!$J$6*2*Таблица1[[#This Row],[Столбец1]]*Таблица1[[#This Row],[коэф]])),
IF((G177="4/8"),((база!$J$5*2*Таблица1[[#This Row],[Столбец1]]*Таблица1[[#This Row],[коэф]])),
IF(OR(G177="3/8",G177="2/8"),((база!$J$4*2*Таблица1[[#This Row],[Столбец1]]*Таблица1[[#This Row],[коэф]])))))))))))))),
(IF((G177="5/24"),((база!$M$6*2*Таблица1[[#This Row],[Столбец1]]*Таблица1[[#This Row],[коэф]])),
IF(OR(G177="4/24",G177="3/24"),((база!$M$5*2*Таблица1[[#This Row],[Столбец1]]*Таблица1[[#This Row],[коэф]])),
IF((G177="5/16"),((база!$L$6*2*Таблица1[[#This Row],[Столбец1]]*Таблица1[[#This Row],[коэф]])),
IF(OR(G177="4/16",G177="3/16"),((база!$L$5*2*Таблица1[[#This Row],[Столбец1]]*Таблица1[[#This Row],[коэф]])),
IF(OR(G177="2/4",G177="3/4",G177="4/4"),((база!$I$5*2*Таблица1[[#This Row],[Столбец1]]*Таблица1[[#This Row],[коэф]])),
IF((G177="5/8"),((база!$J$6*2*Таблица1[[#This Row],[Столбец1]]*Таблица1[[#This Row],[коэф]])),
IF(OR(G177="4/8",G177="3/8",G177="2/8"),((база!$J$5*2*Таблица1[[#This Row],[Столбец1]]*Таблица1[[#This Row],[коэф]])))))))))))</f>
        <v>0</v>
      </c>
      <c r="AQ177" s="712" t="str">
        <f>IFERROR(INDEX(база!T:T, MATCH(F177,база!Q:Q,0)),"")</f>
        <v/>
      </c>
      <c r="AR177" s="208" t="str">
        <f>IFERROR(INDEX(база!D:D, MATCH(F177,база!B:B,0)),"")</f>
        <v/>
      </c>
      <c r="AS177" s="758" t="str">
        <f>IFERROR(INDEX(база!E:E, MATCH(F177,база!B:B,0)),"")</f>
        <v/>
      </c>
    </row>
    <row r="178" spans="1:45" ht="15">
      <c r="A178" s="1210" t="str">
        <f t="shared" si="4"/>
        <v>январь</v>
      </c>
      <c r="B178" t="n" s="1210">
        <v>2024.0</v>
      </c>
      <c r="C178" t="s" s="1210">
        <v>394</v>
      </c>
      <c r="D178" t="s" s="1210">
        <v>364</v>
      </c>
      <c r="E178" t="s" s="1210">
        <v>389</v>
      </c>
      <c r="F178" t="s" s="1210">
        <v>262</v>
      </c>
      <c r="G178" t="s" s="1210">
        <v>5</v>
      </c>
      <c r="H178" s="1210"/>
      <c r="I178" s="1210"/>
      <c r="J178" s="1210"/>
      <c r="K178" s="1210"/>
      <c r="L178" s="1210"/>
      <c r="M178" s="1210"/>
      <c r="N178" s="1210"/>
      <c r="O178" s="1210"/>
      <c r="P178" s="1210"/>
      <c r="Q178" s="1210"/>
      <c r="R178" s="1210"/>
      <c r="S178" s="1210"/>
      <c r="T178" t="n" s="1210">
        <v>2.2</v>
      </c>
      <c r="U178" s="563"/>
      <c r="V178" s="563"/>
      <c r="W178" s="563"/>
      <c r="X178" s="563"/>
      <c r="Y178" s="563"/>
      <c r="Z178" s="563"/>
      <c r="AA178" s="563"/>
      <c r="AB178" s="563"/>
      <c r="AC178" s="563"/>
      <c r="AD178" s="48"/>
      <c r="AE178" s="48"/>
      <c r="AF178" s="258"/>
      <c r="AG178" s="48"/>
      <c r="AH178" s="48"/>
      <c r="AI178" s="48"/>
      <c r="AJ178" s="48"/>
      <c r="AK178" s="48"/>
      <c r="AL178" s="51"/>
      <c r="AM178" s="212">
        <f>IF(AQ178=1,SUM(Q178:T178,W178:Z178,AC178:AF178,AI178:AL178),
IF(AQ178=2,SUM(P178,S178:V178,Y178:AB178,AE178:AH178,AK178:AL178),
IF(AQ178=3,SUM(P178:R178,U178:X178,AA178:AD178,AG178:AJ178),SUM(Таблица1[[#This Row],[1]:[31]])-Таблица1[[#This Row],[Столбец1]])))</f>
        <v>0</v>
      </c>
      <c r="AN178" s="778">
        <f t="array" ref="AN178">IF(AQ178=1,SUM(P178,U178:V178,AA178:AB178,AG178:AH178),
IF(AQ178=2,SUM(Q178:R178,W178:X178,AC178:AD178,AI178:AJ178),
IF(AQ178=3,SUM(S178:T178,Y178:Z178,AE178:AF178,AK178:AL178),
SUM(IFERROR(WEEKDAY($H$2:$AL$2,2)&gt;5,)*H178:AL178))))+Таблица1[[#This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78" s="292" t="b">
        <f>IF(AR178&lt;=3,(IF((G178="5/24"),((база!$M$6*Таблица1[[#This Row],[сумма]]*Таблица1[[#This Row],[коэф]])),
IF((G178="4/24"),((база!$M$5*Таблица1[[#This Row],[сумма]]*Таблица1[[#This Row],[коэф]])),
IF((G178="3/24"),((база!$M$4*Таблица1[[#This Row],[сумма]]*Таблица1[[#This Row],[коэф]])),
IF((G178="5/16"),((база!$L$6*Таблица1[[#This Row],[сумма]]*Таблица1[[#This Row],[коэф]])),
IF((G178="4/16"),((база!$L$5*Таблица1[[#This Row],[сумма]]*Таблица1[[#This Row],[коэф]])),
IF((G178="3/16"),((база!$L$4*Таблица1[[#This Row],[сумма]]*Таблица1[[#This Row],[коэф]])),
IF((G178="4/4"),((база!$I$5*Таблица1[[#This Row],[сумма]]*Таблица1[[#This Row],[коэф]])),
IF(OR(G178="2/4",G178="3/4"),((база!$I$4*Таблица1[[#This Row],[сумма]]*Таблица1[[#This Row],[коэф]])),
IF((G178="5/8"),((база!$J$6*Таблица1[[#This Row],[сумма]]*Таблица1[[#This Row],[коэф]])),
IF((G178="4/8"),((база!$J$5*Таблица1[[#This Row],[сумма]]*Таблица1[[#This Row],[коэф]])),
IF(OR(G178="3/8",G178="2/8"),((база!$J$4*Таблица1[[#This Row],[сумма]]*Таблица1[[#This Row],[коэф]])))))))))))))),
(IF((G178="5/24"),((база!$M$6*Таблица1[[#This Row],[сумма]]*Таблица1[[#This Row],[коэф]])),
IF(OR(G178="4/24",G178="3/24"),((база!$M$5*Таблица1[[#This Row],[сумма]]*Таблица1[[#This Row],[коэф]])),
IF((G178="5/16"),((база!$L$6*Таблица1[[#This Row],[сумма]]*Таблица1[[#This Row],[коэф]])),
IF(OR(G178="4/16",G178="3/16"),((база!$L$5*Таблица1[[#This Row],[сумма]]*Таблица1[[#This Row],[коэф]])),
IF(OR(G178="2/4",G178="3/4",G178="4/4"),((база!$I$5*Таблица1[[#This Row],[сумма]]*Таблица1[[#This Row],[коэф]])),
IF((G178="5/8"),((база!$J$6*Таблица1[[#This Row],[сумма]]*Таблица1[[#This Row],[коэф]])),
IF(OR(G178="4/8",G178="3/8",G178="2/8"),((база!$J$5*Таблица1[[#This Row],[сумма]]*Таблица1[[#This Row],[коэф]])))))))))))</f>
        <v>0</v>
      </c>
      <c r="AP178" s="730" t="b">
        <f>IF(AR178&lt;=3,(IF((G178="5/24"),((база!$M$6*2*Таблица1[[#This Row],[Столбец1]]*Таблица1[[#This Row],[коэф]])),
IF((G178="4/24"),((база!$M$5*2*Таблица1[[#This Row],[Столбец1]]*Таблица1[[#This Row],[коэф]])),
IF((G178="3/24"),((база!$M$4*2*Таблица1[[#This Row],[Столбец1]]*Таблица1[[#This Row],[коэф]])),
IF((G178="5/16"),((база!$L$6*2*Таблица1[[#This Row],[Столбец1]]*Таблица1[[#This Row],[коэф]])),
IF((G178="4/16"),((база!$L$5*2*Таблица1[[#This Row],[Столбец1]]*Таблица1[[#This Row],[коэф]])),
IF((G178="3/16"),((база!$L$4*2*Таблица1[[#This Row],[Столбец1]]*Таблица1[[#This Row],[коэф]])),
IF((G178="4/4"),((база!$I$5*2*Таблица1[[#This Row],[Столбец1]]*Таблица1[[#This Row],[коэф]])),
IF(OR(G178="2/4",G178="3/4"),((база!$I$4*2*Таблица1[[#This Row],[Столбец1]]*Таблица1[[#This Row],[коэф]])),
IF((G178="5/8"),((база!$J$6*2*Таблица1[[#This Row],[Столбец1]]*Таблица1[[#This Row],[коэф]])),
IF((G178="4/8"),((база!$J$5*2*Таблица1[[#This Row],[Столбец1]]*Таблица1[[#This Row],[коэф]])),
IF(OR(G178="3/8",G178="2/8"),((база!$J$4*2*Таблица1[[#This Row],[Столбец1]]*Таблица1[[#This Row],[коэф]])))))))))))))),
(IF((G178="5/24"),((база!$M$6*2*Таблица1[[#This Row],[Столбец1]]*Таблица1[[#This Row],[коэф]])),
IF(OR(G178="4/24",G178="3/24"),((база!$M$5*2*Таблица1[[#This Row],[Столбец1]]*Таблица1[[#This Row],[коэф]])),
IF((G178="5/16"),((база!$L$6*2*Таблица1[[#This Row],[Столбец1]]*Таблица1[[#This Row],[коэф]])),
IF(OR(G178="4/16",G178="3/16"),((база!$L$5*2*Таблица1[[#This Row],[Столбец1]]*Таблица1[[#This Row],[коэф]])),
IF(OR(G178="2/4",G178="3/4",G178="4/4"),((база!$I$5*2*Таблица1[[#This Row],[Столбец1]]*Таблица1[[#This Row],[коэф]])),
IF((G178="5/8"),((база!$J$6*2*Таблица1[[#This Row],[Столбец1]]*Таблица1[[#This Row],[коэф]])),
IF(OR(G178="4/8",G178="3/8",G178="2/8"),((база!$J$5*2*Таблица1[[#This Row],[Столбец1]]*Таблица1[[#This Row],[коэф]])))))))))))</f>
        <v>0</v>
      </c>
      <c r="AQ178" s="712" t="str">
        <f>IFERROR(INDEX(база!T:T, MATCH(F178,база!Q:Q,0)),"")</f>
        <v/>
      </c>
      <c r="AR178" s="208" t="str">
        <f>IFERROR(INDEX(база!D:D, MATCH(F178,база!B:B,0)),"")</f>
        <v/>
      </c>
      <c r="AS178" s="758" t="str">
        <f>IFERROR(INDEX(база!E:E, MATCH(F178,база!B:B,0)),"")</f>
        <v/>
      </c>
    </row>
    <row r="179" spans="1:45" ht="15">
      <c r="A179" s="1213" t="str">
        <f t="shared" si="4"/>
        <v>январь</v>
      </c>
      <c r="B179" t="n" s="1213">
        <v>2024.0</v>
      </c>
      <c r="C179" t="s" s="1213">
        <v>388</v>
      </c>
      <c r="D179" t="s" s="1213">
        <v>365</v>
      </c>
      <c r="E179" t="s" s="1213">
        <v>46</v>
      </c>
      <c r="F179" t="s" s="1213">
        <v>325</v>
      </c>
      <c r="G179" t="s" s="1213">
        <v>4</v>
      </c>
      <c r="H179" s="1213"/>
      <c r="I179" s="1213"/>
      <c r="J179" s="1213"/>
      <c r="K179" s="1213"/>
      <c r="L179" s="1213"/>
      <c r="M179" s="1213"/>
      <c r="N179" s="1213"/>
      <c r="O179" s="1213"/>
      <c r="P179" s="1213"/>
      <c r="Q179" s="1213"/>
      <c r="R179" s="1213"/>
      <c r="S179" s="1213"/>
      <c r="T179" s="1213"/>
      <c r="U179" t="n" s="1213">
        <v>6.0</v>
      </c>
      <c r="V179" s="563"/>
      <c r="W179" s="563"/>
      <c r="X179" s="563"/>
      <c r="Y179" s="563"/>
      <c r="Z179" s="563"/>
      <c r="AA179" s="563"/>
      <c r="AB179" s="563"/>
      <c r="AC179" s="563"/>
      <c r="AD179" s="48"/>
      <c r="AE179" s="48"/>
      <c r="AF179" s="258"/>
      <c r="AG179" s="48"/>
      <c r="AH179" s="48"/>
      <c r="AI179" s="48"/>
      <c r="AJ179" s="48"/>
      <c r="AK179" s="48"/>
      <c r="AL179" s="51"/>
      <c r="AM179" s="212">
        <f>IF(AQ179=1,SUM(Q179:T179,W179:Z179,AC179:AF179,AI179:AL179),
IF(AQ179=2,SUM(P179,S179:V179,Y179:AB179,AE179:AH179,AK179:AL179),
IF(AQ179=3,SUM(P179:R179,U179:X179,AA179:AD179,AG179:AJ179),SUM(Таблица1[[#This Row],[1]:[31]])-Таблица1[[#This Row],[Столбец1]])))</f>
        <v>0</v>
      </c>
      <c r="AN179" s="778">
        <f t="array" ref="AN179">IF(AQ179=1,SUM(P179,U179:V179,AA179:AB179,AG179:AH179),
IF(AQ179=2,SUM(Q179:R179,W179:X179,AC179:AD179,AI179:AJ179),
IF(AQ179=3,SUM(S179:T179,Y179:Z179,AE179:AF179,AK179:AL179),
SUM(IFERROR(WEEKDAY($H$2:$AL$2,2)&gt;5,)*H179:AL179))))+Таблица1[[#This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79" s="292" t="b">
        <f>IF(AR179&lt;=3,(IF((G179="5/24"),((база!$M$6*Таблица1[[#This Row],[сумма]]*Таблица1[[#This Row],[коэф]])),
IF((G179="4/24"),((база!$M$5*Таблица1[[#This Row],[сумма]]*Таблица1[[#This Row],[коэф]])),
IF((G179="3/24"),((база!$M$4*Таблица1[[#This Row],[сумма]]*Таблица1[[#This Row],[коэф]])),
IF((G179="5/16"),((база!$L$6*Таблица1[[#This Row],[сумма]]*Таблица1[[#This Row],[коэф]])),
IF((G179="4/16"),((база!$L$5*Таблица1[[#This Row],[сумма]]*Таблица1[[#This Row],[коэф]])),
IF((G179="3/16"),((база!$L$4*Таблица1[[#This Row],[сумма]]*Таблица1[[#This Row],[коэф]])),
IF((G179="4/4"),((база!$I$5*Таблица1[[#This Row],[сумма]]*Таблица1[[#This Row],[коэф]])),
IF(OR(G179="2/4",G179="3/4"),((база!$I$4*Таблица1[[#This Row],[сумма]]*Таблица1[[#This Row],[коэф]])),
IF((G179="5/8"),((база!$J$6*Таблица1[[#This Row],[сумма]]*Таблица1[[#This Row],[коэф]])),
IF((G179="4/8"),((база!$J$5*Таблица1[[#This Row],[сумма]]*Таблица1[[#This Row],[коэф]])),
IF(OR(G179="3/8",G179="2/8"),((база!$J$4*Таблица1[[#This Row],[сумма]]*Таблица1[[#This Row],[коэф]])))))))))))))),
(IF((G179="5/24"),((база!$M$6*Таблица1[[#This Row],[сумма]]*Таблица1[[#This Row],[коэф]])),
IF(OR(G179="4/24",G179="3/24"),((база!$M$5*Таблица1[[#This Row],[сумма]]*Таблица1[[#This Row],[коэф]])),
IF((G179="5/16"),((база!$L$6*Таблица1[[#This Row],[сумма]]*Таблица1[[#This Row],[коэф]])),
IF(OR(G179="4/16",G179="3/16"),((база!$L$5*Таблица1[[#This Row],[сумма]]*Таблица1[[#This Row],[коэф]])),
IF(OR(G179="2/4",G179="3/4",G179="4/4"),((база!$I$5*Таблица1[[#This Row],[сумма]]*Таблица1[[#This Row],[коэф]])),
IF((G179="5/8"),((база!$J$6*Таблица1[[#This Row],[сумма]]*Таблица1[[#This Row],[коэф]])),
IF(OR(G179="4/8",G179="3/8",G179="2/8"),((база!$J$5*Таблица1[[#This Row],[сумма]]*Таблица1[[#This Row],[коэф]])))))))))))</f>
        <v>0</v>
      </c>
      <c r="AP179" s="730" t="b">
        <f>IF(AR179&lt;=3,(IF((G179="5/24"),((база!$M$6*2*Таблица1[[#This Row],[Столбец1]]*Таблица1[[#This Row],[коэф]])),
IF((G179="4/24"),((база!$M$5*2*Таблица1[[#This Row],[Столбец1]]*Таблица1[[#This Row],[коэф]])),
IF((G179="3/24"),((база!$M$4*2*Таблица1[[#This Row],[Столбец1]]*Таблица1[[#This Row],[коэф]])),
IF((G179="5/16"),((база!$L$6*2*Таблица1[[#This Row],[Столбец1]]*Таблица1[[#This Row],[коэф]])),
IF((G179="4/16"),((база!$L$5*2*Таблица1[[#This Row],[Столбец1]]*Таблица1[[#This Row],[коэф]])),
IF((G179="3/16"),((база!$L$4*2*Таблица1[[#This Row],[Столбец1]]*Таблица1[[#This Row],[коэф]])),
IF((G179="4/4"),((база!$I$5*2*Таблица1[[#This Row],[Столбец1]]*Таблица1[[#This Row],[коэф]])),
IF(OR(G179="2/4",G179="3/4"),((база!$I$4*2*Таблица1[[#This Row],[Столбец1]]*Таблица1[[#This Row],[коэф]])),
IF((G179="5/8"),((база!$J$6*2*Таблица1[[#This Row],[Столбец1]]*Таблица1[[#This Row],[коэф]])),
IF((G179="4/8"),((база!$J$5*2*Таблица1[[#This Row],[Столбец1]]*Таблица1[[#This Row],[коэф]])),
IF(OR(G179="3/8",G179="2/8"),((база!$J$4*2*Таблица1[[#This Row],[Столбец1]]*Таблица1[[#This Row],[коэф]])))))))))))))),
(IF((G179="5/24"),((база!$M$6*2*Таблица1[[#This Row],[Столбец1]]*Таблица1[[#This Row],[коэф]])),
IF(OR(G179="4/24",G179="3/24"),((база!$M$5*2*Таблица1[[#This Row],[Столбец1]]*Таблица1[[#This Row],[коэф]])),
IF((G179="5/16"),((база!$L$6*2*Таблица1[[#This Row],[Столбец1]]*Таблица1[[#This Row],[коэф]])),
IF(OR(G179="4/16",G179="3/16"),((база!$L$5*2*Таблица1[[#This Row],[Столбец1]]*Таблица1[[#This Row],[коэф]])),
IF(OR(G179="2/4",G179="3/4",G179="4/4"),((база!$I$5*2*Таблица1[[#This Row],[Столбец1]]*Таблица1[[#This Row],[коэф]])),
IF((G179="5/8"),((база!$J$6*2*Таблица1[[#This Row],[Столбец1]]*Таблица1[[#This Row],[коэф]])),
IF(OR(G179="4/8",G179="3/8",G179="2/8"),((база!$J$5*2*Таблица1[[#This Row],[Столбец1]]*Таблица1[[#This Row],[коэф]])))))))))))</f>
        <v>0</v>
      </c>
      <c r="AQ179" s="712" t="str">
        <f>IFERROR(INDEX(база!T:T, MATCH(F179,база!Q:Q,0)),"")</f>
        <v/>
      </c>
      <c r="AR179" s="208" t="str">
        <f>IFERROR(INDEX(база!D:D, MATCH(F179,база!B:B,0)),"")</f>
        <v/>
      </c>
      <c r="AS179" s="758" t="str">
        <f>IFERROR(INDEX(база!E:E, MATCH(F179,база!B:B,0)),"")</f>
        <v/>
      </c>
    </row>
    <row r="180" spans="1:45" ht="15">
      <c r="A180" s="1215" t="str">
        <f t="shared" si="4"/>
        <v>январь</v>
      </c>
      <c r="B180" t="n" s="1215">
        <v>2024.0</v>
      </c>
      <c r="C180" t="s" s="1215">
        <v>388</v>
      </c>
      <c r="D180" t="s" s="1215">
        <v>364</v>
      </c>
      <c r="E180" t="s" s="1215">
        <v>46</v>
      </c>
      <c r="F180" t="s" s="1215">
        <v>361</v>
      </c>
      <c r="G180" t="s" s="1215">
        <v>31</v>
      </c>
      <c r="H180" s="1215"/>
      <c r="I180" s="1215"/>
      <c r="J180" s="1215"/>
      <c r="K180" s="1215"/>
      <c r="L180" s="1215"/>
      <c r="M180" s="1215"/>
      <c r="N180" s="1215"/>
      <c r="O180" s="1215"/>
      <c r="P180" s="1215"/>
      <c r="Q180" s="1215"/>
      <c r="R180" s="1215"/>
      <c r="S180" s="1215"/>
      <c r="T180" s="1215"/>
      <c r="U180" t="n" s="1215">
        <v>3.0</v>
      </c>
      <c r="V180" s="563"/>
      <c r="W180" s="563"/>
      <c r="X180" s="563"/>
      <c r="Y180" s="563"/>
      <c r="Z180" s="563"/>
      <c r="AA180" s="563"/>
      <c r="AB180" s="563"/>
      <c r="AC180" s="563"/>
      <c r="AD180" s="48"/>
      <c r="AE180" s="48"/>
      <c r="AF180" s="258"/>
      <c r="AG180" s="48"/>
      <c r="AH180" s="48"/>
      <c r="AI180" s="258"/>
      <c r="AJ180" s="258"/>
      <c r="AK180" s="258"/>
      <c r="AL180" s="258"/>
      <c r="AM180" s="212">
        <f>IF(AQ180=1,SUM(Q180:T180,W180:Z180,AC180:AF180,AI180:AL180),
IF(AQ180=2,SUM(P180,S180:V180,Y180:AB180,AE180:AH180,AK180:AL180),
IF(AQ180=3,SUM(P180:R180,U180:X180,AA180:AD180,AG180:AJ180),SUM(Таблица1[[#This Row],[1]:[31]])-Таблица1[[#This Row],[Столбец1]])))</f>
        <v>0</v>
      </c>
      <c r="AN180" s="778">
        <f t="array" ref="AN180">IF(AQ180=1,SUM(P180,U180:V180,AA180:AB180,AG180:AH180),
IF(AQ180=2,SUM(Q180:R180,W180:X180,AC180:AD180,AI180:AJ180),
IF(AQ180=3,SUM(S180:T180,Y180:Z180,AE180:AF180,AK180:AL180),
SUM(IFERROR(WEEKDAY($H$2:$AL$2,2)&gt;5,)*H180:AL180))))+Таблица1[[#This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80" s="292" t="b">
        <f>IF(AR180&lt;=3,(IF((G180="5/24"),((база!$M$6*Таблица1[[#This Row],[сумма]]*Таблица1[[#This Row],[коэф]])),
IF((G180="4/24"),((база!$M$5*Таблица1[[#This Row],[сумма]]*Таблица1[[#This Row],[коэф]])),
IF((G180="3/24"),((база!$M$4*Таблица1[[#This Row],[сумма]]*Таблица1[[#This Row],[коэф]])),
IF((G180="5/16"),((база!$L$6*Таблица1[[#This Row],[сумма]]*Таблица1[[#This Row],[коэф]])),
IF((G180="4/16"),((база!$L$5*Таблица1[[#This Row],[сумма]]*Таблица1[[#This Row],[коэф]])),
IF((G180="3/16"),((база!$L$4*Таблица1[[#This Row],[сумма]]*Таблица1[[#This Row],[коэф]])),
IF((G180="4/4"),((база!$I$5*Таблица1[[#This Row],[сумма]]*Таблица1[[#This Row],[коэф]])),
IF(OR(G180="2/4",G180="3/4"),((база!$I$4*Таблица1[[#This Row],[сумма]]*Таблица1[[#This Row],[коэф]])),
IF((G180="5/8"),((база!$J$6*Таблица1[[#This Row],[сумма]]*Таблица1[[#This Row],[коэф]])),
IF((G180="4/8"),((база!$J$5*Таблица1[[#This Row],[сумма]]*Таблица1[[#This Row],[коэф]])),
IF(OR(G180="3/8",G180="2/8"),((база!$J$4*Таблица1[[#This Row],[сумма]]*Таблица1[[#This Row],[коэф]])))))))))))))),
(IF((G180="5/24"),((база!$M$6*Таблица1[[#This Row],[сумма]]*Таблица1[[#This Row],[коэф]])),
IF(OR(G180="4/24",G180="3/24"),((база!$M$5*Таблица1[[#This Row],[сумма]]*Таблица1[[#This Row],[коэф]])),
IF((G180="5/16"),((база!$L$6*Таблица1[[#This Row],[сумма]]*Таблица1[[#This Row],[коэф]])),
IF(OR(G180="4/16",G180="3/16"),((база!$L$5*Таблица1[[#This Row],[сумма]]*Таблица1[[#This Row],[коэф]])),
IF(OR(G180="2/4",G180="3/4",G180="4/4"),((база!$I$5*Таблица1[[#This Row],[сумма]]*Таблица1[[#This Row],[коэф]])),
IF((G180="5/8"),((база!$J$6*Таблица1[[#This Row],[сумма]]*Таблица1[[#This Row],[коэф]])),
IF(OR(G180="4/8",G180="3/8",G180="2/8"),((база!$J$5*Таблица1[[#This Row],[сумма]]*Таблица1[[#This Row],[коэф]])))))))))))</f>
        <v>0</v>
      </c>
      <c r="AP180" s="730" t="b">
        <f>IF(AR180&lt;=3,(IF((G180="5/24"),((база!$M$6*2*Таблица1[[#This Row],[Столбец1]]*Таблица1[[#This Row],[коэф]])),
IF((G180="4/24"),((база!$M$5*2*Таблица1[[#This Row],[Столбец1]]*Таблица1[[#This Row],[коэф]])),
IF((G180="3/24"),((база!$M$4*2*Таблица1[[#This Row],[Столбец1]]*Таблица1[[#This Row],[коэф]])),
IF((G180="5/16"),((база!$L$6*2*Таблица1[[#This Row],[Столбец1]]*Таблица1[[#This Row],[коэф]])),
IF((G180="4/16"),((база!$L$5*2*Таблица1[[#This Row],[Столбец1]]*Таблица1[[#This Row],[коэф]])),
IF((G180="3/16"),((база!$L$4*2*Таблица1[[#This Row],[Столбец1]]*Таблица1[[#This Row],[коэф]])),
IF((G180="4/4"),((база!$I$5*2*Таблица1[[#This Row],[Столбец1]]*Таблица1[[#This Row],[коэф]])),
IF(OR(G180="2/4",G180="3/4"),((база!$I$4*2*Таблица1[[#This Row],[Столбец1]]*Таблица1[[#This Row],[коэф]])),
IF((G180="5/8"),((база!$J$6*2*Таблица1[[#This Row],[Столбец1]]*Таблица1[[#This Row],[коэф]])),
IF((G180="4/8"),((база!$J$5*2*Таблица1[[#This Row],[Столбец1]]*Таблица1[[#This Row],[коэф]])),
IF(OR(G180="3/8",G180="2/8"),((база!$J$4*2*Таблица1[[#This Row],[Столбец1]]*Таблица1[[#This Row],[коэф]])))))))))))))),
(IF((G180="5/24"),((база!$M$6*2*Таблица1[[#This Row],[Столбец1]]*Таблица1[[#This Row],[коэф]])),
IF(OR(G180="4/24",G180="3/24"),((база!$M$5*2*Таблица1[[#This Row],[Столбец1]]*Таблица1[[#This Row],[коэф]])),
IF((G180="5/16"),((база!$L$6*2*Таблица1[[#This Row],[Столбец1]]*Таблица1[[#This Row],[коэф]])),
IF(OR(G180="4/16",G180="3/16"),((база!$L$5*2*Таблица1[[#This Row],[Столбец1]]*Таблица1[[#This Row],[коэф]])),
IF(OR(G180="2/4",G180="3/4",G180="4/4"),((база!$I$5*2*Таблица1[[#This Row],[Столбец1]]*Таблица1[[#This Row],[коэф]])),
IF((G180="5/8"),((база!$J$6*2*Таблица1[[#This Row],[Столбец1]]*Таблица1[[#This Row],[коэф]])),
IF(OR(G180="4/8",G180="3/8",G180="2/8"),((база!$J$5*2*Таблица1[[#This Row],[Столбец1]]*Таблица1[[#This Row],[коэф]])))))))))))</f>
        <v>0</v>
      </c>
      <c r="AQ180" s="712" t="str">
        <f>IFERROR(INDEX(база!T:T, MATCH(F180,база!Q:Q,0)),"")</f>
        <v/>
      </c>
      <c r="AR180" s="208" t="str">
        <f>IFERROR(INDEX(база!D:D, MATCH(F180,база!B:B,0)),"")</f>
        <v/>
      </c>
      <c r="AS180" s="758" t="str">
        <f>IFERROR(INDEX(база!E:E, MATCH(F180,база!B:B,0)),"")</f>
        <v/>
      </c>
    </row>
    <row r="181" spans="1:45" ht="15">
      <c r="A181" s="66" t="str">
        <f t="shared" si="4"/>
        <v>январь</v>
      </c>
      <c r="B181" s="231">
        <v>2024</v>
      </c>
      <c r="C181" s="299"/>
      <c r="D181" s="61"/>
      <c r="E181" s="211"/>
      <c r="F181" s="679"/>
      <c r="G181" s="47"/>
      <c r="H181" s="563"/>
      <c r="I181" s="563"/>
      <c r="J181" s="563"/>
      <c r="K181" s="563"/>
      <c r="L181" s="563"/>
      <c r="M181" s="563"/>
      <c r="N181" s="563"/>
      <c r="O181" s="563"/>
      <c r="P181" s="300"/>
      <c r="Q181" s="563"/>
      <c r="R181" s="563"/>
      <c r="S181" s="563"/>
      <c r="T181" s="563"/>
      <c r="U181" s="563"/>
      <c r="V181" s="563"/>
      <c r="W181" s="563"/>
      <c r="X181" s="563"/>
      <c r="Y181" s="563"/>
      <c r="Z181" s="563"/>
      <c r="AA181" s="563"/>
      <c r="AB181" s="563"/>
      <c r="AC181" s="563"/>
      <c r="AD181" s="48"/>
      <c r="AE181" s="48"/>
      <c r="AF181" s="258"/>
      <c r="AG181" s="48"/>
      <c r="AH181" s="48"/>
      <c r="AI181" s="258"/>
      <c r="AJ181" s="258"/>
      <c r="AK181" s="258"/>
      <c r="AL181" s="258"/>
      <c r="AM181" s="212">
        <f>IF(AQ181=1,SUM(Q181:T181,W181:Z181,AC181:AF181,AI181:AL181),
IF(AQ181=2,SUM(P181,S181:V181,Y181:AB181,AE181:AH181,AK181:AL181),
IF(AQ181=3,SUM(P181:R181,U181:X181,AA181:AD181,AG181:AJ181),SUM(Таблица1[[#This Row],[1]:[31]])-Таблица1[[#This Row],[Столбец1]])))</f>
        <v>0</v>
      </c>
      <c r="AN181" s="778">
        <f t="array" ref="AN181">IF(AQ181=1,SUM(P181,U181:V181,AA181:AB181,AG181:AH181),
IF(AQ181=2,SUM(Q181:R181,W181:X181,AC181:AD181,AI181:AJ181),
IF(AQ181=3,SUM(S181:T181,Y181:Z181,AE181:AF181,AK181:AL181),
SUM(IFERROR(WEEKDAY($H$2:$AL$2,2)&gt;5,)*H181:AL181))))+Таблица1[[#This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81" s="292" t="b">
        <f>IF(AR181&lt;=3,(IF((G181="5/24"),((база!$M$6*Таблица1[[#This Row],[сумма]]*Таблица1[[#This Row],[коэф]])),
IF((G181="4/24"),((база!$M$5*Таблица1[[#This Row],[сумма]]*Таблица1[[#This Row],[коэф]])),
IF((G181="3/24"),((база!$M$4*Таблица1[[#This Row],[сумма]]*Таблица1[[#This Row],[коэф]])),
IF((G181="5/16"),((база!$L$6*Таблица1[[#This Row],[сумма]]*Таблица1[[#This Row],[коэф]])),
IF((G181="4/16"),((база!$L$5*Таблица1[[#This Row],[сумма]]*Таблица1[[#This Row],[коэф]])),
IF((G181="3/16"),((база!$L$4*Таблица1[[#This Row],[сумма]]*Таблица1[[#This Row],[коэф]])),
IF((G181="4/4"),((база!$I$5*Таблица1[[#This Row],[сумма]]*Таблица1[[#This Row],[коэф]])),
IF(OR(G181="2/4",G181="3/4"),((база!$I$4*Таблица1[[#This Row],[сумма]]*Таблица1[[#This Row],[коэф]])),
IF((G181="5/8"),((база!$J$6*Таблица1[[#This Row],[сумма]]*Таблица1[[#This Row],[коэф]])),
IF((G181="4/8"),((база!$J$5*Таблица1[[#This Row],[сумма]]*Таблица1[[#This Row],[коэф]])),
IF(OR(G181="3/8",G181="2/8"),((база!$J$4*Таблица1[[#This Row],[сумма]]*Таблица1[[#This Row],[коэф]])))))))))))))),
(IF((G181="5/24"),((база!$M$6*Таблица1[[#This Row],[сумма]]*Таблица1[[#This Row],[коэф]])),
IF(OR(G181="4/24",G181="3/24"),((база!$M$5*Таблица1[[#This Row],[сумма]]*Таблица1[[#This Row],[коэф]])),
IF((G181="5/16"),((база!$L$6*Таблица1[[#This Row],[сумма]]*Таблица1[[#This Row],[коэф]])),
IF(OR(G181="4/16",G181="3/16"),((база!$L$5*Таблица1[[#This Row],[сумма]]*Таблица1[[#This Row],[коэф]])),
IF(OR(G181="2/4",G181="3/4",G181="4/4"),((база!$I$5*Таблица1[[#This Row],[сумма]]*Таблица1[[#This Row],[коэф]])),
IF((G181="5/8"),((база!$J$6*Таблица1[[#This Row],[сумма]]*Таблица1[[#This Row],[коэф]])),
IF(OR(G181="4/8",G181="3/8",G181="2/8"),((база!$J$5*Таблица1[[#This Row],[сумма]]*Таблица1[[#This Row],[коэф]])))))))))))</f>
        <v>0</v>
      </c>
      <c r="AP181" s="730" t="b">
        <f>IF(AR181&lt;=3,(IF((G181="5/24"),((база!$M$6*2*Таблица1[[#This Row],[Столбец1]]*Таблица1[[#This Row],[коэф]])),
IF((G181="4/24"),((база!$M$5*2*Таблица1[[#This Row],[Столбец1]]*Таблица1[[#This Row],[коэф]])),
IF((G181="3/24"),((база!$M$4*2*Таблица1[[#This Row],[Столбец1]]*Таблица1[[#This Row],[коэф]])),
IF((G181="5/16"),((база!$L$6*2*Таблица1[[#This Row],[Столбец1]]*Таблица1[[#This Row],[коэф]])),
IF((G181="4/16"),((база!$L$5*2*Таблица1[[#This Row],[Столбец1]]*Таблица1[[#This Row],[коэф]])),
IF((G181="3/16"),((база!$L$4*2*Таблица1[[#This Row],[Столбец1]]*Таблица1[[#This Row],[коэф]])),
IF((G181="4/4"),((база!$I$5*2*Таблица1[[#This Row],[Столбец1]]*Таблица1[[#This Row],[коэф]])),
IF(OR(G181="2/4",G181="3/4"),((база!$I$4*2*Таблица1[[#This Row],[Столбец1]]*Таблица1[[#This Row],[коэф]])),
IF((G181="5/8"),((база!$J$6*2*Таблица1[[#This Row],[Столбец1]]*Таблица1[[#This Row],[коэф]])),
IF((G181="4/8"),((база!$J$5*2*Таблица1[[#This Row],[Столбец1]]*Таблица1[[#This Row],[коэф]])),
IF(OR(G181="3/8",G181="2/8"),((база!$J$4*2*Таблица1[[#This Row],[Столбец1]]*Таблица1[[#This Row],[коэф]])))))))))))))),
(IF((G181="5/24"),((база!$M$6*2*Таблица1[[#This Row],[Столбец1]]*Таблица1[[#This Row],[коэф]])),
IF(OR(G181="4/24",G181="3/24"),((база!$M$5*2*Таблица1[[#This Row],[Столбец1]]*Таблица1[[#This Row],[коэф]])),
IF((G181="5/16"),((база!$L$6*2*Таблица1[[#This Row],[Столбец1]]*Таблица1[[#This Row],[коэф]])),
IF(OR(G181="4/16",G181="3/16"),((база!$L$5*2*Таблица1[[#This Row],[Столбец1]]*Таблица1[[#This Row],[коэф]])),
IF(OR(G181="2/4",G181="3/4",G181="4/4"),((база!$I$5*2*Таблица1[[#This Row],[Столбец1]]*Таблица1[[#This Row],[коэф]])),
IF((G181="5/8"),((база!$J$6*2*Таблица1[[#This Row],[Столбец1]]*Таблица1[[#This Row],[коэф]])),
IF(OR(G181="4/8",G181="3/8",G181="2/8"),((база!$J$5*2*Таблица1[[#This Row],[Столбец1]]*Таблица1[[#This Row],[коэф]])))))))))))</f>
        <v>0</v>
      </c>
      <c r="AQ181" s="712" t="str">
        <f>IFERROR(INDEX(база!T:T, MATCH(F181,база!Q:Q,0)),"")</f>
        <v/>
      </c>
      <c r="AR181" s="208" t="str">
        <f>IFERROR(INDEX(база!D:D, MATCH(F181,база!B:B,0)),"")</f>
        <v/>
      </c>
      <c r="AS181" s="758" t="str">
        <f>IFERROR(INDEX(база!E:E, MATCH(F181,база!B:B,0)),"")</f>
        <v/>
      </c>
    </row>
    <row r="182" spans="1:45" ht="15">
      <c r="A182" s="66" t="str">
        <f t="shared" si="4"/>
        <v>январь</v>
      </c>
      <c r="B182" s="231">
        <v>2024</v>
      </c>
      <c r="C182" s="60"/>
      <c r="D182" s="61"/>
      <c r="E182" s="211"/>
      <c r="F182" s="679"/>
      <c r="G182" s="47"/>
      <c r="H182" s="563"/>
      <c r="I182" s="563"/>
      <c r="J182" s="563"/>
      <c r="K182" s="563"/>
      <c r="L182" s="563"/>
      <c r="M182" s="563"/>
      <c r="N182" s="563"/>
      <c r="O182" s="563"/>
      <c r="P182" s="300"/>
      <c r="Q182" s="563"/>
      <c r="R182" s="563"/>
      <c r="S182" s="563"/>
      <c r="T182" s="563"/>
      <c r="U182" s="563"/>
      <c r="V182" s="563"/>
      <c r="W182" s="563"/>
      <c r="X182" s="563"/>
      <c r="Y182" s="563"/>
      <c r="Z182" s="563"/>
      <c r="AA182" s="563"/>
      <c r="AB182" s="563"/>
      <c r="AC182" s="563"/>
      <c r="AD182" s="48"/>
      <c r="AE182" s="48"/>
      <c r="AF182" s="258"/>
      <c r="AG182" s="48"/>
      <c r="AH182" s="48"/>
      <c r="AI182" s="258"/>
      <c r="AJ182" s="258"/>
      <c r="AK182" s="258"/>
      <c r="AL182" s="258"/>
      <c r="AM182" s="212">
        <f>IF(AQ182=1,SUM(Q182:T182,W182:Z182,AC182:AF182,AI182:AL182),
IF(AQ182=2,SUM(P182,S182:V182,Y182:AB182,AE182:AH182,AK182:AL182),
IF(AQ182=3,SUM(P182:R182,U182:X182,AA182:AD182,AG182:AJ182),SUM(Таблица1[[#This Row],[1]:[31]])-Таблица1[[#This Row],[Столбец1]])))</f>
        <v>0</v>
      </c>
      <c r="AN182" s="778">
        <f t="array" ref="AN182">IF(AQ182=1,SUM(P182,U182:V182,AA182:AB182,AG182:AH182),
IF(AQ182=2,SUM(Q182:R182,W182:X182,AC182:AD182,AI182:AJ182),
IF(AQ182=3,SUM(S182:T182,Y182:Z182,AE182:AF182,AK182:AL182),
SUM(IFERROR(WEEKDAY($H$2:$AL$2,2)&gt;5,)*H182:AL182))))+Таблица1[[#This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82" s="292" t="b">
        <f>IF(AR182&lt;=3,(IF((G182="5/24"),((база!$M$6*Таблица1[[#This Row],[сумма]]*Таблица1[[#This Row],[коэф]])),
IF((G182="4/24"),((база!$M$5*Таблица1[[#This Row],[сумма]]*Таблица1[[#This Row],[коэф]])),
IF((G182="3/24"),((база!$M$4*Таблица1[[#This Row],[сумма]]*Таблица1[[#This Row],[коэф]])),
IF((G182="5/16"),((база!$L$6*Таблица1[[#This Row],[сумма]]*Таблица1[[#This Row],[коэф]])),
IF((G182="4/16"),((база!$L$5*Таблица1[[#This Row],[сумма]]*Таблица1[[#This Row],[коэф]])),
IF((G182="3/16"),((база!$L$4*Таблица1[[#This Row],[сумма]]*Таблица1[[#This Row],[коэф]])),
IF((G182="4/4"),((база!$I$5*Таблица1[[#This Row],[сумма]]*Таблица1[[#This Row],[коэф]])),
IF(OR(G182="2/4",G182="3/4"),((база!$I$4*Таблица1[[#This Row],[сумма]]*Таблица1[[#This Row],[коэф]])),
IF((G182="5/8"),((база!$J$6*Таблица1[[#This Row],[сумма]]*Таблица1[[#This Row],[коэф]])),
IF((G182="4/8"),((база!$J$5*Таблица1[[#This Row],[сумма]]*Таблица1[[#This Row],[коэф]])),
IF(OR(G182="3/8",G182="2/8"),((база!$J$4*Таблица1[[#This Row],[сумма]]*Таблица1[[#This Row],[коэф]])))))))))))))),
(IF((G182="5/24"),((база!$M$6*Таблица1[[#This Row],[сумма]]*Таблица1[[#This Row],[коэф]])),
IF(OR(G182="4/24",G182="3/24"),((база!$M$5*Таблица1[[#This Row],[сумма]]*Таблица1[[#This Row],[коэф]])),
IF((G182="5/16"),((база!$L$6*Таблица1[[#This Row],[сумма]]*Таблица1[[#This Row],[коэф]])),
IF(OR(G182="4/16",G182="3/16"),((база!$L$5*Таблица1[[#This Row],[сумма]]*Таблица1[[#This Row],[коэф]])),
IF(OR(G182="2/4",G182="3/4",G182="4/4"),((база!$I$5*Таблица1[[#This Row],[сумма]]*Таблица1[[#This Row],[коэф]])),
IF((G182="5/8"),((база!$J$6*Таблица1[[#This Row],[сумма]]*Таблица1[[#This Row],[коэф]])),
IF(OR(G182="4/8",G182="3/8",G182="2/8"),((база!$J$5*Таблица1[[#This Row],[сумма]]*Таблица1[[#This Row],[коэф]])))))))))))</f>
        <v>0</v>
      </c>
      <c r="AP182" s="730" t="b">
        <f>IF(AR182&lt;=3,(IF((G182="5/24"),((база!$M$6*2*Таблица1[[#This Row],[Столбец1]]*Таблица1[[#This Row],[коэф]])),
IF((G182="4/24"),((база!$M$5*2*Таблица1[[#This Row],[Столбец1]]*Таблица1[[#This Row],[коэф]])),
IF((G182="3/24"),((база!$M$4*2*Таблица1[[#This Row],[Столбец1]]*Таблица1[[#This Row],[коэф]])),
IF((G182="5/16"),((база!$L$6*2*Таблица1[[#This Row],[Столбец1]]*Таблица1[[#This Row],[коэф]])),
IF((G182="4/16"),((база!$L$5*2*Таблица1[[#This Row],[Столбец1]]*Таблица1[[#This Row],[коэф]])),
IF((G182="3/16"),((база!$L$4*2*Таблица1[[#This Row],[Столбец1]]*Таблица1[[#This Row],[коэф]])),
IF((G182="4/4"),((база!$I$5*2*Таблица1[[#This Row],[Столбец1]]*Таблица1[[#This Row],[коэф]])),
IF(OR(G182="2/4",G182="3/4"),((база!$I$4*2*Таблица1[[#This Row],[Столбец1]]*Таблица1[[#This Row],[коэф]])),
IF((G182="5/8"),((база!$J$6*2*Таблица1[[#This Row],[Столбец1]]*Таблица1[[#This Row],[коэф]])),
IF((G182="4/8"),((база!$J$5*2*Таблица1[[#This Row],[Столбец1]]*Таблица1[[#This Row],[коэф]])),
IF(OR(G182="3/8",G182="2/8"),((база!$J$4*2*Таблица1[[#This Row],[Столбец1]]*Таблица1[[#This Row],[коэф]])))))))))))))),
(IF((G182="5/24"),((база!$M$6*2*Таблица1[[#This Row],[Столбец1]]*Таблица1[[#This Row],[коэф]])),
IF(OR(G182="4/24",G182="3/24"),((база!$M$5*2*Таблица1[[#This Row],[Столбец1]]*Таблица1[[#This Row],[коэф]])),
IF((G182="5/16"),((база!$L$6*2*Таблица1[[#This Row],[Столбец1]]*Таблица1[[#This Row],[коэф]])),
IF(OR(G182="4/16",G182="3/16"),((база!$L$5*2*Таблица1[[#This Row],[Столбец1]]*Таблица1[[#This Row],[коэф]])),
IF(OR(G182="2/4",G182="3/4",G182="4/4"),((база!$I$5*2*Таблица1[[#This Row],[Столбец1]]*Таблица1[[#This Row],[коэф]])),
IF((G182="5/8"),((база!$J$6*2*Таблица1[[#This Row],[Столбец1]]*Таблица1[[#This Row],[коэф]])),
IF(OR(G182="4/8",G182="3/8",G182="2/8"),((база!$J$5*2*Таблица1[[#This Row],[Столбец1]]*Таблица1[[#This Row],[коэф]])))))))))))</f>
        <v>0</v>
      </c>
      <c r="AQ182" s="712" t="str">
        <f>IFERROR(INDEX(база!T:T, MATCH(F182,база!Q:Q,0)),"")</f>
        <v/>
      </c>
      <c r="AR182" s="208" t="str">
        <f>IFERROR(INDEX(база!D:D, MATCH(F182,база!B:B,0)),"")</f>
        <v/>
      </c>
      <c r="AS182" s="758" t="str">
        <f>IFERROR(INDEX(база!E:E, MATCH(F182,база!B:B,0)),"")</f>
        <v/>
      </c>
    </row>
    <row r="183" spans="1:45" ht="15">
      <c r="A183" s="66" t="str">
        <f t="shared" si="4"/>
        <v>январь</v>
      </c>
      <c r="B183" s="231">
        <v>2024</v>
      </c>
      <c r="C183" s="299"/>
      <c r="D183" s="61"/>
      <c r="E183" s="211"/>
      <c r="F183" s="679"/>
      <c r="G183" s="47"/>
      <c r="H183" s="563"/>
      <c r="I183" s="563"/>
      <c r="J183" s="563"/>
      <c r="K183" s="563"/>
      <c r="L183" s="563"/>
      <c r="M183" s="563"/>
      <c r="N183" s="563"/>
      <c r="O183" s="563"/>
      <c r="P183" s="300"/>
      <c r="Q183" s="563"/>
      <c r="R183" s="563"/>
      <c r="S183" s="563"/>
      <c r="T183" s="563"/>
      <c r="U183" s="563"/>
      <c r="V183" s="563"/>
      <c r="W183" s="563"/>
      <c r="X183" s="563"/>
      <c r="Y183" s="563"/>
      <c r="Z183" s="563"/>
      <c r="AA183" s="563"/>
      <c r="AB183" s="563"/>
      <c r="AC183" s="563"/>
      <c r="AD183" s="48"/>
      <c r="AE183" s="48"/>
      <c r="AF183" s="258"/>
      <c r="AG183" s="48"/>
      <c r="AH183" s="48"/>
      <c r="AI183" s="258"/>
      <c r="AJ183" s="258"/>
      <c r="AK183" s="258"/>
      <c r="AL183" s="258"/>
      <c r="AM183" s="212">
        <f>IF(AQ183=1,SUM(Q183:T183,W183:Z183,AC183:AF183,AI183:AL183),
IF(AQ183=2,SUM(P183,S183:V183,Y183:AB183,AE183:AH183,AK183:AL183),
IF(AQ183=3,SUM(P183:R183,U183:X183,AA183:AD183,AG183:AJ183),SUM(Таблица1[[#This Row],[1]:[31]])-Таблица1[[#This Row],[Столбец1]])))</f>
        <v>0</v>
      </c>
      <c r="AN183" s="778">
        <f t="array" ref="AN183">IF(AQ183=1,SUM(P183,U183:V183,AA183:AB183,AG183:AH183),
IF(AQ183=2,SUM(Q183:R183,W183:X183,AC183:AD183,AI183:AJ183),
IF(AQ183=3,SUM(S183:T183,Y183:Z183,AE183:AF183,AK183:AL183),
SUM(IFERROR(WEEKDAY($H$2:$AL$2,2)&gt;5,)*H183:AL183))))+Таблица1[[#This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83" s="292" t="b">
        <f>IF(AR183&lt;=3,(IF((G183="5/24"),((база!$M$6*Таблица1[[#This Row],[сумма]]*Таблица1[[#This Row],[коэф]])),
IF((G183="4/24"),((база!$M$5*Таблица1[[#This Row],[сумма]]*Таблица1[[#This Row],[коэф]])),
IF((G183="3/24"),((база!$M$4*Таблица1[[#This Row],[сумма]]*Таблица1[[#This Row],[коэф]])),
IF((G183="5/16"),((база!$L$6*Таблица1[[#This Row],[сумма]]*Таблица1[[#This Row],[коэф]])),
IF((G183="4/16"),((база!$L$5*Таблица1[[#This Row],[сумма]]*Таблица1[[#This Row],[коэф]])),
IF((G183="3/16"),((база!$L$4*Таблица1[[#This Row],[сумма]]*Таблица1[[#This Row],[коэф]])),
IF((G183="4/4"),((база!$I$5*Таблица1[[#This Row],[сумма]]*Таблица1[[#This Row],[коэф]])),
IF(OR(G183="2/4",G183="3/4"),((база!$I$4*Таблица1[[#This Row],[сумма]]*Таблица1[[#This Row],[коэф]])),
IF((G183="5/8"),((база!$J$6*Таблица1[[#This Row],[сумма]]*Таблица1[[#This Row],[коэф]])),
IF((G183="4/8"),((база!$J$5*Таблица1[[#This Row],[сумма]]*Таблица1[[#This Row],[коэф]])),
IF(OR(G183="3/8",G183="2/8"),((база!$J$4*Таблица1[[#This Row],[сумма]]*Таблица1[[#This Row],[коэф]])))))))))))))),
(IF((G183="5/24"),((база!$M$6*Таблица1[[#This Row],[сумма]]*Таблица1[[#This Row],[коэф]])),
IF(OR(G183="4/24",G183="3/24"),((база!$M$5*Таблица1[[#This Row],[сумма]]*Таблица1[[#This Row],[коэф]])),
IF((G183="5/16"),((база!$L$6*Таблица1[[#This Row],[сумма]]*Таблица1[[#This Row],[коэф]])),
IF(OR(G183="4/16",G183="3/16"),((база!$L$5*Таблица1[[#This Row],[сумма]]*Таблица1[[#This Row],[коэф]])),
IF(OR(G183="2/4",G183="3/4",G183="4/4"),((база!$I$5*Таблица1[[#This Row],[сумма]]*Таблица1[[#This Row],[коэф]])),
IF((G183="5/8"),((база!$J$6*Таблица1[[#This Row],[сумма]]*Таблица1[[#This Row],[коэф]])),
IF(OR(G183="4/8",G183="3/8",G183="2/8"),((база!$J$5*Таблица1[[#This Row],[сумма]]*Таблица1[[#This Row],[коэф]])))))))))))</f>
        <v>0</v>
      </c>
      <c r="AP183" s="730" t="b">
        <f>IF(AR183&lt;=3,(IF((G183="5/24"),((база!$M$6*2*Таблица1[[#This Row],[Столбец1]]*Таблица1[[#This Row],[коэф]])),
IF((G183="4/24"),((база!$M$5*2*Таблица1[[#This Row],[Столбец1]]*Таблица1[[#This Row],[коэф]])),
IF((G183="3/24"),((база!$M$4*2*Таблица1[[#This Row],[Столбец1]]*Таблица1[[#This Row],[коэф]])),
IF((G183="5/16"),((база!$L$6*2*Таблица1[[#This Row],[Столбец1]]*Таблица1[[#This Row],[коэф]])),
IF((G183="4/16"),((база!$L$5*2*Таблица1[[#This Row],[Столбец1]]*Таблица1[[#This Row],[коэф]])),
IF((G183="3/16"),((база!$L$4*2*Таблица1[[#This Row],[Столбец1]]*Таблица1[[#This Row],[коэф]])),
IF((G183="4/4"),((база!$I$5*2*Таблица1[[#This Row],[Столбец1]]*Таблица1[[#This Row],[коэф]])),
IF(OR(G183="2/4",G183="3/4"),((база!$I$4*2*Таблица1[[#This Row],[Столбец1]]*Таблица1[[#This Row],[коэф]])),
IF((G183="5/8"),((база!$J$6*2*Таблица1[[#This Row],[Столбец1]]*Таблица1[[#This Row],[коэф]])),
IF((G183="4/8"),((база!$J$5*2*Таблица1[[#This Row],[Столбец1]]*Таблица1[[#This Row],[коэф]])),
IF(OR(G183="3/8",G183="2/8"),((база!$J$4*2*Таблица1[[#This Row],[Столбец1]]*Таблица1[[#This Row],[коэф]])))))))))))))),
(IF((G183="5/24"),((база!$M$6*2*Таблица1[[#This Row],[Столбец1]]*Таблица1[[#This Row],[коэф]])),
IF(OR(G183="4/24",G183="3/24"),((база!$M$5*2*Таблица1[[#This Row],[Столбец1]]*Таблица1[[#This Row],[коэф]])),
IF((G183="5/16"),((база!$L$6*2*Таблица1[[#This Row],[Столбец1]]*Таблица1[[#This Row],[коэф]])),
IF(OR(G183="4/16",G183="3/16"),((база!$L$5*2*Таблица1[[#This Row],[Столбец1]]*Таблица1[[#This Row],[коэф]])),
IF(OR(G183="2/4",G183="3/4",G183="4/4"),((база!$I$5*2*Таблица1[[#This Row],[Столбец1]]*Таблица1[[#This Row],[коэф]])),
IF((G183="5/8"),((база!$J$6*2*Таблица1[[#This Row],[Столбец1]]*Таблица1[[#This Row],[коэф]])),
IF(OR(G183="4/8",G183="3/8",G183="2/8"),((база!$J$5*2*Таблица1[[#This Row],[Столбец1]]*Таблица1[[#This Row],[коэф]])))))))))))</f>
        <v>0</v>
      </c>
      <c r="AQ183" s="712" t="str">
        <f>IFERROR(INDEX(база!T:T, MATCH(F183,база!Q:Q,0)),"")</f>
        <v/>
      </c>
      <c r="AR183" s="208" t="str">
        <f>IFERROR(INDEX(база!D:D, MATCH(F183,база!B:B,0)),"")</f>
        <v/>
      </c>
      <c r="AS183" s="758" t="str">
        <f>IFERROR(INDEX(база!E:E, MATCH(F183,база!B:B,0)),"")</f>
        <v/>
      </c>
    </row>
    <row r="184" spans="1:45" ht="15">
      <c r="A184" s="66" t="str">
        <f t="shared" si="4"/>
        <v>январь</v>
      </c>
      <c r="B184" s="231">
        <v>2024</v>
      </c>
      <c r="C184" s="60"/>
      <c r="D184" s="61"/>
      <c r="E184" s="211"/>
      <c r="F184" s="679"/>
      <c r="G184" s="47"/>
      <c r="H184" s="563"/>
      <c r="I184" s="563"/>
      <c r="J184" s="563"/>
      <c r="K184" s="563"/>
      <c r="L184" s="563"/>
      <c r="M184" s="563"/>
      <c r="N184" s="563"/>
      <c r="O184" s="563"/>
      <c r="P184" s="300"/>
      <c r="Q184" s="563"/>
      <c r="R184" s="563"/>
      <c r="S184" s="563"/>
      <c r="T184" s="563"/>
      <c r="U184" s="563"/>
      <c r="V184" s="563"/>
      <c r="W184" s="563"/>
      <c r="X184" s="563"/>
      <c r="Y184" s="563"/>
      <c r="Z184" s="563"/>
      <c r="AA184" s="563"/>
      <c r="AB184" s="563"/>
      <c r="AC184" s="563"/>
      <c r="AD184" s="48"/>
      <c r="AE184" s="48"/>
      <c r="AF184" s="258"/>
      <c r="AG184" s="48"/>
      <c r="AH184" s="48"/>
      <c r="AI184" s="258"/>
      <c r="AJ184" s="258"/>
      <c r="AK184" s="258"/>
      <c r="AL184" s="258"/>
      <c r="AM184" s="212">
        <f>IF(AQ184=1,SUM(Q184:T184,W184:Z184,AC184:AF184,AI184:AL184),
IF(AQ184=2,SUM(P184,S184:V184,Y184:AB184,AE184:AH184,AK184:AL184),
IF(AQ184=3,SUM(P184:R184,U184:X184,AA184:AD184,AG184:AJ184),SUM(Таблица1[[#This Row],[1]:[31]])-Таблица1[[#This Row],[Столбец1]])))</f>
        <v>0</v>
      </c>
      <c r="AN184" s="778">
        <f t="array" ref="AN184">IF(AQ184=1,SUM(P184,U184:V184,AA184:AB184,AG184:AH184),
IF(AQ184=2,SUM(Q184:R184,W184:X184,AC184:AD184,AI184:AJ184),
IF(AQ184=3,SUM(S184:T184,Y184:Z184,AE184:AF184,AK184:AL184),
SUM(IFERROR(WEEKDAY($H$2:$AL$2,2)&gt;5,)*H184:AL184))))+Таблица1[[#This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84" s="292" t="b">
        <f>IF(AR184&lt;=3,(IF((G184="5/24"),((база!$M$6*Таблица1[[#This Row],[сумма]]*Таблица1[[#This Row],[коэф]])),
IF((G184="4/24"),((база!$M$5*Таблица1[[#This Row],[сумма]]*Таблица1[[#This Row],[коэф]])),
IF((G184="3/24"),((база!$M$4*Таблица1[[#This Row],[сумма]]*Таблица1[[#This Row],[коэф]])),
IF((G184="5/16"),((база!$L$6*Таблица1[[#This Row],[сумма]]*Таблица1[[#This Row],[коэф]])),
IF((G184="4/16"),((база!$L$5*Таблица1[[#This Row],[сумма]]*Таблица1[[#This Row],[коэф]])),
IF((G184="3/16"),((база!$L$4*Таблица1[[#This Row],[сумма]]*Таблица1[[#This Row],[коэф]])),
IF((G184="4/4"),((база!$I$5*Таблица1[[#This Row],[сумма]]*Таблица1[[#This Row],[коэф]])),
IF(OR(G184="2/4",G184="3/4"),((база!$I$4*Таблица1[[#This Row],[сумма]]*Таблица1[[#This Row],[коэф]])),
IF((G184="5/8"),((база!$J$6*Таблица1[[#This Row],[сумма]]*Таблица1[[#This Row],[коэф]])),
IF((G184="4/8"),((база!$J$5*Таблица1[[#This Row],[сумма]]*Таблица1[[#This Row],[коэф]])),
IF(OR(G184="3/8",G184="2/8"),((база!$J$4*Таблица1[[#This Row],[сумма]]*Таблица1[[#This Row],[коэф]])))))))))))))),
(IF((G184="5/24"),((база!$M$6*Таблица1[[#This Row],[сумма]]*Таблица1[[#This Row],[коэф]])),
IF(OR(G184="4/24",G184="3/24"),((база!$M$5*Таблица1[[#This Row],[сумма]]*Таблица1[[#This Row],[коэф]])),
IF((G184="5/16"),((база!$L$6*Таблица1[[#This Row],[сумма]]*Таблица1[[#This Row],[коэф]])),
IF(OR(G184="4/16",G184="3/16"),((база!$L$5*Таблица1[[#This Row],[сумма]]*Таблица1[[#This Row],[коэф]])),
IF(OR(G184="2/4",G184="3/4",G184="4/4"),((база!$I$5*Таблица1[[#This Row],[сумма]]*Таблица1[[#This Row],[коэф]])),
IF((G184="5/8"),((база!$J$6*Таблица1[[#This Row],[сумма]]*Таблица1[[#This Row],[коэф]])),
IF(OR(G184="4/8",G184="3/8",G184="2/8"),((база!$J$5*Таблица1[[#This Row],[сумма]]*Таблица1[[#This Row],[коэф]])))))))))))</f>
        <v>0</v>
      </c>
      <c r="AP184" s="730" t="b">
        <f>IF(AR184&lt;=3,(IF((G184="5/24"),((база!$M$6*2*Таблица1[[#This Row],[Столбец1]]*Таблица1[[#This Row],[коэф]])),
IF((G184="4/24"),((база!$M$5*2*Таблица1[[#This Row],[Столбец1]]*Таблица1[[#This Row],[коэф]])),
IF((G184="3/24"),((база!$M$4*2*Таблица1[[#This Row],[Столбец1]]*Таблица1[[#This Row],[коэф]])),
IF((G184="5/16"),((база!$L$6*2*Таблица1[[#This Row],[Столбец1]]*Таблица1[[#This Row],[коэф]])),
IF((G184="4/16"),((база!$L$5*2*Таблица1[[#This Row],[Столбец1]]*Таблица1[[#This Row],[коэф]])),
IF((G184="3/16"),((база!$L$4*2*Таблица1[[#This Row],[Столбец1]]*Таблица1[[#This Row],[коэф]])),
IF((G184="4/4"),((база!$I$5*2*Таблица1[[#This Row],[Столбец1]]*Таблица1[[#This Row],[коэф]])),
IF(OR(G184="2/4",G184="3/4"),((база!$I$4*2*Таблица1[[#This Row],[Столбец1]]*Таблица1[[#This Row],[коэф]])),
IF((G184="5/8"),((база!$J$6*2*Таблица1[[#This Row],[Столбец1]]*Таблица1[[#This Row],[коэф]])),
IF((G184="4/8"),((база!$J$5*2*Таблица1[[#This Row],[Столбец1]]*Таблица1[[#This Row],[коэф]])),
IF(OR(G184="3/8",G184="2/8"),((база!$J$4*2*Таблица1[[#This Row],[Столбец1]]*Таблица1[[#This Row],[коэф]])))))))))))))),
(IF((G184="5/24"),((база!$M$6*2*Таблица1[[#This Row],[Столбец1]]*Таблица1[[#This Row],[коэф]])),
IF(OR(G184="4/24",G184="3/24"),((база!$M$5*2*Таблица1[[#This Row],[Столбец1]]*Таблица1[[#This Row],[коэф]])),
IF((G184="5/16"),((база!$L$6*2*Таблица1[[#This Row],[Столбец1]]*Таблица1[[#This Row],[коэф]])),
IF(OR(G184="4/16",G184="3/16"),((база!$L$5*2*Таблица1[[#This Row],[Столбец1]]*Таблица1[[#This Row],[коэф]])),
IF(OR(G184="2/4",G184="3/4",G184="4/4"),((база!$I$5*2*Таблица1[[#This Row],[Столбец1]]*Таблица1[[#This Row],[коэф]])),
IF((G184="5/8"),((база!$J$6*2*Таблица1[[#This Row],[Столбец1]]*Таблица1[[#This Row],[коэф]])),
IF(OR(G184="4/8",G184="3/8",G184="2/8"),((база!$J$5*2*Таблица1[[#This Row],[Столбец1]]*Таблица1[[#This Row],[коэф]])))))))))))</f>
        <v>0</v>
      </c>
      <c r="AQ184" s="712" t="str">
        <f>IFERROR(INDEX(база!T:T, MATCH(F184,база!Q:Q,0)),"")</f>
        <v/>
      </c>
      <c r="AR184" s="208" t="str">
        <f>IFERROR(INDEX(база!D:D, MATCH(F184,база!B:B,0)),"")</f>
        <v/>
      </c>
      <c r="AS184" s="758" t="str">
        <f>IFERROR(INDEX(база!E:E, MATCH(F184,база!B:B,0)),"")</f>
        <v/>
      </c>
    </row>
    <row r="185" spans="1:45" ht="15">
      <c r="A185" s="66" t="str">
        <f t="shared" si="4"/>
        <v>январь</v>
      </c>
      <c r="B185" s="231">
        <v>2024</v>
      </c>
      <c r="C185" s="60"/>
      <c r="D185" s="61"/>
      <c r="E185" s="211"/>
      <c r="F185" s="679"/>
      <c r="G185" s="47"/>
      <c r="H185" s="563"/>
      <c r="I185" s="563"/>
      <c r="J185" s="563"/>
      <c r="K185" s="563"/>
      <c r="L185" s="563"/>
      <c r="M185" s="563"/>
      <c r="N185" s="563"/>
      <c r="O185" s="563"/>
      <c r="P185" s="300"/>
      <c r="Q185" s="563"/>
      <c r="R185" s="563"/>
      <c r="S185" s="563"/>
      <c r="T185" s="563"/>
      <c r="U185" s="563"/>
      <c r="V185" s="563"/>
      <c r="W185" s="563"/>
      <c r="X185" s="563"/>
      <c r="Y185" s="563"/>
      <c r="Z185" s="563"/>
      <c r="AA185" s="563"/>
      <c r="AB185" s="563"/>
      <c r="AC185" s="563"/>
      <c r="AD185" s="48"/>
      <c r="AE185" s="48"/>
      <c r="AF185" s="258"/>
      <c r="AG185" s="48"/>
      <c r="AH185" s="48"/>
      <c r="AI185" s="258"/>
      <c r="AJ185" s="258"/>
      <c r="AK185" s="258"/>
      <c r="AL185" s="258"/>
      <c r="AM185" s="212">
        <f>IF(AQ185=1,SUM(Q185:T185,W185:Z185,AC185:AF185,AI185:AL185),
IF(AQ185=2,SUM(P185,S185:V185,Y185:AB185,AE185:AH185,AK185:AL185),
IF(AQ185=3,SUM(P185:R185,U185:X185,AA185:AD185,AG185:AJ185),SUM(Таблица1[[#This Row],[1]:[31]])-Таблица1[[#This Row],[Столбец1]])))</f>
        <v>0</v>
      </c>
      <c r="AN185" s="778">
        <f t="array" ref="AN185">IF(AQ185=1,SUM(P185,U185:V185,AA185:AB185,AG185:AH185),
IF(AQ185=2,SUM(Q185:R185,W185:X185,AC185:AD185,AI185:AJ185),
IF(AQ185=3,SUM(S185:T185,Y185:Z185,AE185:AF185,AK185:AL185),
SUM(IFERROR(WEEKDAY($H$2:$AL$2,2)&gt;5,)*H185:AL185))))+Таблица1[[#This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85" s="292" t="b">
        <f>IF(AR185&lt;=3,(IF((G185="5/24"),((база!$M$6*Таблица1[[#This Row],[сумма]]*Таблица1[[#This Row],[коэф]])),
IF((G185="4/24"),((база!$M$5*Таблица1[[#This Row],[сумма]]*Таблица1[[#This Row],[коэф]])),
IF((G185="3/24"),((база!$M$4*Таблица1[[#This Row],[сумма]]*Таблица1[[#This Row],[коэф]])),
IF((G185="5/16"),((база!$L$6*Таблица1[[#This Row],[сумма]]*Таблица1[[#This Row],[коэф]])),
IF((G185="4/16"),((база!$L$5*Таблица1[[#This Row],[сумма]]*Таблица1[[#This Row],[коэф]])),
IF((G185="3/16"),((база!$L$4*Таблица1[[#This Row],[сумма]]*Таблица1[[#This Row],[коэф]])),
IF((G185="4/4"),((база!$I$5*Таблица1[[#This Row],[сумма]]*Таблица1[[#This Row],[коэф]])),
IF(OR(G185="2/4",G185="3/4"),((база!$I$4*Таблица1[[#This Row],[сумма]]*Таблица1[[#This Row],[коэф]])),
IF((G185="5/8"),((база!$J$6*Таблица1[[#This Row],[сумма]]*Таблица1[[#This Row],[коэф]])),
IF((G185="4/8"),((база!$J$5*Таблица1[[#This Row],[сумма]]*Таблица1[[#This Row],[коэф]])),
IF(OR(G185="3/8",G185="2/8"),((база!$J$4*Таблица1[[#This Row],[сумма]]*Таблица1[[#This Row],[коэф]])))))))))))))),
(IF((G185="5/24"),((база!$M$6*Таблица1[[#This Row],[сумма]]*Таблица1[[#This Row],[коэф]])),
IF(OR(G185="4/24",G185="3/24"),((база!$M$5*Таблица1[[#This Row],[сумма]]*Таблица1[[#This Row],[коэф]])),
IF((G185="5/16"),((база!$L$6*Таблица1[[#This Row],[сумма]]*Таблица1[[#This Row],[коэф]])),
IF(OR(G185="4/16",G185="3/16"),((база!$L$5*Таблица1[[#This Row],[сумма]]*Таблица1[[#This Row],[коэф]])),
IF(OR(G185="2/4",G185="3/4",G185="4/4"),((база!$I$5*Таблица1[[#This Row],[сумма]]*Таблица1[[#This Row],[коэф]])),
IF((G185="5/8"),((база!$J$6*Таблица1[[#This Row],[сумма]]*Таблица1[[#This Row],[коэф]])),
IF(OR(G185="4/8",G185="3/8",G185="2/8"),((база!$J$5*Таблица1[[#This Row],[сумма]]*Таблица1[[#This Row],[коэф]])))))))))))</f>
        <v>0</v>
      </c>
      <c r="AP185" s="730" t="b">
        <f>IF(AR185&lt;=3,(IF((G185="5/24"),((база!$M$6*2*Таблица1[[#This Row],[Столбец1]]*Таблица1[[#This Row],[коэф]])),
IF((G185="4/24"),((база!$M$5*2*Таблица1[[#This Row],[Столбец1]]*Таблица1[[#This Row],[коэф]])),
IF((G185="3/24"),((база!$M$4*2*Таблица1[[#This Row],[Столбец1]]*Таблица1[[#This Row],[коэф]])),
IF((G185="5/16"),((база!$L$6*2*Таблица1[[#This Row],[Столбец1]]*Таблица1[[#This Row],[коэф]])),
IF((G185="4/16"),((база!$L$5*2*Таблица1[[#This Row],[Столбец1]]*Таблица1[[#This Row],[коэф]])),
IF((G185="3/16"),((база!$L$4*2*Таблица1[[#This Row],[Столбец1]]*Таблица1[[#This Row],[коэф]])),
IF((G185="4/4"),((база!$I$5*2*Таблица1[[#This Row],[Столбец1]]*Таблица1[[#This Row],[коэф]])),
IF(OR(G185="2/4",G185="3/4"),((база!$I$4*2*Таблица1[[#This Row],[Столбец1]]*Таблица1[[#This Row],[коэф]])),
IF((G185="5/8"),((база!$J$6*2*Таблица1[[#This Row],[Столбец1]]*Таблица1[[#This Row],[коэф]])),
IF((G185="4/8"),((база!$J$5*2*Таблица1[[#This Row],[Столбец1]]*Таблица1[[#This Row],[коэф]])),
IF(OR(G185="3/8",G185="2/8"),((база!$J$4*2*Таблица1[[#This Row],[Столбец1]]*Таблица1[[#This Row],[коэф]])))))))))))))),
(IF((G185="5/24"),((база!$M$6*2*Таблица1[[#This Row],[Столбец1]]*Таблица1[[#This Row],[коэф]])),
IF(OR(G185="4/24",G185="3/24"),((база!$M$5*2*Таблица1[[#This Row],[Столбец1]]*Таблица1[[#This Row],[коэф]])),
IF((G185="5/16"),((база!$L$6*2*Таблица1[[#This Row],[Столбец1]]*Таблица1[[#This Row],[коэф]])),
IF(OR(G185="4/16",G185="3/16"),((база!$L$5*2*Таблица1[[#This Row],[Столбец1]]*Таблица1[[#This Row],[коэф]])),
IF(OR(G185="2/4",G185="3/4",G185="4/4"),((база!$I$5*2*Таблица1[[#This Row],[Столбец1]]*Таблица1[[#This Row],[коэф]])),
IF((G185="5/8"),((база!$J$6*2*Таблица1[[#This Row],[Столбец1]]*Таблица1[[#This Row],[коэф]])),
IF(OR(G185="4/8",G185="3/8",G185="2/8"),((база!$J$5*2*Таблица1[[#This Row],[Столбец1]]*Таблица1[[#This Row],[коэф]])))))))))))</f>
        <v>0</v>
      </c>
      <c r="AQ185" s="712" t="str">
        <f>IFERROR(INDEX(база!T:T, MATCH(F185,база!Q:Q,0)),"")</f>
        <v/>
      </c>
      <c r="AR185" s="208" t="str">
        <f>IFERROR(INDEX(база!D:D, MATCH(F185,база!B:B,0)),"")</f>
        <v/>
      </c>
      <c r="AS185" s="758" t="str">
        <f>IFERROR(INDEX(база!E:E, MATCH(F185,база!B:B,0)),"")</f>
        <v/>
      </c>
    </row>
    <row r="186" spans="1:45" ht="15">
      <c r="A186" s="66" t="str">
        <f t="shared" si="4"/>
        <v>январь</v>
      </c>
      <c r="B186" s="231">
        <v>2024</v>
      </c>
      <c r="C186" s="60"/>
      <c r="D186" s="61"/>
      <c r="E186" s="211"/>
      <c r="F186" s="679"/>
      <c r="G186" s="47"/>
      <c r="H186" s="563"/>
      <c r="I186" s="563"/>
      <c r="J186" s="563"/>
      <c r="K186" s="563"/>
      <c r="L186" s="563"/>
      <c r="M186" s="563"/>
      <c r="N186" s="563"/>
      <c r="O186" s="563"/>
      <c r="P186" s="300"/>
      <c r="Q186" s="563"/>
      <c r="R186" s="563"/>
      <c r="S186" s="563"/>
      <c r="T186" s="563"/>
      <c r="U186" s="563"/>
      <c r="V186" s="563"/>
      <c r="W186" s="563"/>
      <c r="X186" s="563"/>
      <c r="Y186" s="563"/>
      <c r="Z186" s="563"/>
      <c r="AA186" s="563"/>
      <c r="AB186" s="563"/>
      <c r="AC186" s="563"/>
      <c r="AD186" s="48"/>
      <c r="AE186" s="48"/>
      <c r="AF186" s="258"/>
      <c r="AG186" s="48"/>
      <c r="AH186" s="48"/>
      <c r="AI186" s="258"/>
      <c r="AJ186" s="258"/>
      <c r="AK186" s="258"/>
      <c r="AL186" s="258"/>
      <c r="AM186" s="212">
        <f>IF(AQ186=1,SUM(Q186:T186,W186:Z186,AC186:AF186,AI186:AL186),
IF(AQ186=2,SUM(P186,S186:V186,Y186:AB186,AE186:AH186,AK186:AL186),
IF(AQ186=3,SUM(P186:R186,U186:X186,AA186:AD186,AG186:AJ186),SUM(Таблица1[[#This Row],[1]:[31]])-Таблица1[[#This Row],[Столбец1]])))</f>
        <v>0</v>
      </c>
      <c r="AN186" s="778">
        <f t="array" ref="AN186">IF(AQ186=1,SUM(P186,U186:V186,AA186:AB186,AG186:AH186),
IF(AQ186=2,SUM(Q186:R186,W186:X186,AC186:AD186,AI186:AJ186),
IF(AQ186=3,SUM(S186:T186,Y186:Z186,AE186:AF186,AK186:AL186),
SUM(IFERROR(WEEKDAY($H$2:$AL$2,2)&gt;5,)*H186:AL186))))+Таблица1[[#This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86" s="292" t="b">
        <f>IF(AR186&lt;=3,(IF((G186="5/24"),((база!$M$6*Таблица1[[#This Row],[сумма]]*Таблица1[[#This Row],[коэф]])),
IF((G186="4/24"),((база!$M$5*Таблица1[[#This Row],[сумма]]*Таблица1[[#This Row],[коэф]])),
IF((G186="3/24"),((база!$M$4*Таблица1[[#This Row],[сумма]]*Таблица1[[#This Row],[коэф]])),
IF((G186="5/16"),((база!$L$6*Таблица1[[#This Row],[сумма]]*Таблица1[[#This Row],[коэф]])),
IF((G186="4/16"),((база!$L$5*Таблица1[[#This Row],[сумма]]*Таблица1[[#This Row],[коэф]])),
IF((G186="3/16"),((база!$L$4*Таблица1[[#This Row],[сумма]]*Таблица1[[#This Row],[коэф]])),
IF((G186="4/4"),((база!$I$5*Таблица1[[#This Row],[сумма]]*Таблица1[[#This Row],[коэф]])),
IF(OR(G186="2/4",G186="3/4"),((база!$I$4*Таблица1[[#This Row],[сумма]]*Таблица1[[#This Row],[коэф]])),
IF((G186="5/8"),((база!$J$6*Таблица1[[#This Row],[сумма]]*Таблица1[[#This Row],[коэф]])),
IF((G186="4/8"),((база!$J$5*Таблица1[[#This Row],[сумма]]*Таблица1[[#This Row],[коэф]])),
IF(OR(G186="3/8",G186="2/8"),((база!$J$4*Таблица1[[#This Row],[сумма]]*Таблица1[[#This Row],[коэф]])))))))))))))),
(IF((G186="5/24"),((база!$M$6*Таблица1[[#This Row],[сумма]]*Таблица1[[#This Row],[коэф]])),
IF(OR(G186="4/24",G186="3/24"),((база!$M$5*Таблица1[[#This Row],[сумма]]*Таблица1[[#This Row],[коэф]])),
IF((G186="5/16"),((база!$L$6*Таблица1[[#This Row],[сумма]]*Таблица1[[#This Row],[коэф]])),
IF(OR(G186="4/16",G186="3/16"),((база!$L$5*Таблица1[[#This Row],[сумма]]*Таблица1[[#This Row],[коэф]])),
IF(OR(G186="2/4",G186="3/4",G186="4/4"),((база!$I$5*Таблица1[[#This Row],[сумма]]*Таблица1[[#This Row],[коэф]])),
IF((G186="5/8"),((база!$J$6*Таблица1[[#This Row],[сумма]]*Таблица1[[#This Row],[коэф]])),
IF(OR(G186="4/8",G186="3/8",G186="2/8"),((база!$J$5*Таблица1[[#This Row],[сумма]]*Таблица1[[#This Row],[коэф]])))))))))))</f>
        <v>0</v>
      </c>
      <c r="AP186" s="730" t="b">
        <f>IF(AR186&lt;=3,(IF((G186="5/24"),((база!$M$6*2*Таблица1[[#This Row],[Столбец1]]*Таблица1[[#This Row],[коэф]])),
IF((G186="4/24"),((база!$M$5*2*Таблица1[[#This Row],[Столбец1]]*Таблица1[[#This Row],[коэф]])),
IF((G186="3/24"),((база!$M$4*2*Таблица1[[#This Row],[Столбец1]]*Таблица1[[#This Row],[коэф]])),
IF((G186="5/16"),((база!$L$6*2*Таблица1[[#This Row],[Столбец1]]*Таблица1[[#This Row],[коэф]])),
IF((G186="4/16"),((база!$L$5*2*Таблица1[[#This Row],[Столбец1]]*Таблица1[[#This Row],[коэф]])),
IF((G186="3/16"),((база!$L$4*2*Таблица1[[#This Row],[Столбец1]]*Таблица1[[#This Row],[коэф]])),
IF((G186="4/4"),((база!$I$5*2*Таблица1[[#This Row],[Столбец1]]*Таблица1[[#This Row],[коэф]])),
IF(OR(G186="2/4",G186="3/4"),((база!$I$4*2*Таблица1[[#This Row],[Столбец1]]*Таблица1[[#This Row],[коэф]])),
IF((G186="5/8"),((база!$J$6*2*Таблица1[[#This Row],[Столбец1]]*Таблица1[[#This Row],[коэф]])),
IF((G186="4/8"),((база!$J$5*2*Таблица1[[#This Row],[Столбец1]]*Таблица1[[#This Row],[коэф]])),
IF(OR(G186="3/8",G186="2/8"),((база!$J$4*2*Таблица1[[#This Row],[Столбец1]]*Таблица1[[#This Row],[коэф]])))))))))))))),
(IF((G186="5/24"),((база!$M$6*2*Таблица1[[#This Row],[Столбец1]]*Таблица1[[#This Row],[коэф]])),
IF(OR(G186="4/24",G186="3/24"),((база!$M$5*2*Таблица1[[#This Row],[Столбец1]]*Таблица1[[#This Row],[коэф]])),
IF((G186="5/16"),((база!$L$6*2*Таблица1[[#This Row],[Столбец1]]*Таблица1[[#This Row],[коэф]])),
IF(OR(G186="4/16",G186="3/16"),((база!$L$5*2*Таблица1[[#This Row],[Столбец1]]*Таблица1[[#This Row],[коэф]])),
IF(OR(G186="2/4",G186="3/4",G186="4/4"),((база!$I$5*2*Таблица1[[#This Row],[Столбец1]]*Таблица1[[#This Row],[коэф]])),
IF((G186="5/8"),((база!$J$6*2*Таблица1[[#This Row],[Столбец1]]*Таблица1[[#This Row],[коэф]])),
IF(OR(G186="4/8",G186="3/8",G186="2/8"),((база!$J$5*2*Таблица1[[#This Row],[Столбец1]]*Таблица1[[#This Row],[коэф]])))))))))))</f>
        <v>0</v>
      </c>
      <c r="AQ186" s="712" t="str">
        <f>IFERROR(INDEX(база!T:T, MATCH(F186,база!Q:Q,0)),"")</f>
        <v/>
      </c>
      <c r="AR186" s="208" t="str">
        <f>IFERROR(INDEX(база!D:D, MATCH(F186,база!B:B,0)),"")</f>
        <v/>
      </c>
      <c r="AS186" s="758" t="str">
        <f>IFERROR(INDEX(база!E:E, MATCH(F186,база!B:B,0)),"")</f>
        <v/>
      </c>
    </row>
    <row r="187" spans="1:45" ht="15">
      <c r="A187" s="66" t="str">
        <f t="shared" si="4"/>
        <v>январь</v>
      </c>
      <c r="B187" s="231">
        <v>2024</v>
      </c>
      <c r="C187" s="299"/>
      <c r="D187" s="61"/>
      <c r="E187" s="211"/>
      <c r="F187" s="679"/>
      <c r="G187" s="47"/>
      <c r="H187" s="563"/>
      <c r="I187" s="563"/>
      <c r="J187" s="563"/>
      <c r="K187" s="563"/>
      <c r="L187" s="563"/>
      <c r="M187" s="563"/>
      <c r="N187" s="563"/>
      <c r="O187" s="563"/>
      <c r="P187" s="563"/>
      <c r="Q187" s="563"/>
      <c r="R187" s="563"/>
      <c r="S187" s="563"/>
      <c r="T187" s="563"/>
      <c r="U187" s="563"/>
      <c r="V187" s="563"/>
      <c r="W187" s="563"/>
      <c r="X187" s="563"/>
      <c r="Y187" s="563"/>
      <c r="Z187" s="563"/>
      <c r="AA187" s="563"/>
      <c r="AB187" s="563"/>
      <c r="AC187" s="563"/>
      <c r="AD187" s="48"/>
      <c r="AE187" s="48"/>
      <c r="AF187" s="258"/>
      <c r="AG187" s="48"/>
      <c r="AH187" s="48"/>
      <c r="AI187" s="48"/>
      <c r="AJ187" s="48"/>
      <c r="AK187" s="48"/>
      <c r="AL187" s="51"/>
      <c r="AM187" s="212">
        <f>IF(AQ187=1,SUM(Q187:T187,W187:Z187,AC187:AF187,AI187:AL187),
IF(AQ187=2,SUM(P187,S187:V187,Y187:AB187,AE187:AH187,AK187:AL187),
IF(AQ187=3,SUM(P187:R187,U187:X187,AA187:AD187,AG187:AJ187),SUM(Таблица1[[#This Row],[1]:[31]])-Таблица1[[#This Row],[Столбец1]])))</f>
        <v>0</v>
      </c>
      <c r="AN187" s="778">
        <f t="array" ref="AN187">IF(AQ187=1,SUM(P187,U187:V187,AA187:AB187,AG187:AH187),
IF(AQ187=2,SUM(Q187:R187,W187:X187,AC187:AD187,AI187:AJ187),
IF(AQ187=3,SUM(S187:T187,Y187:Z187,AE187:AF187,AK187:AL187),
SUM(IFERROR(WEEKDAY($H$2:$AL$2,2)&gt;5,)*H187:AL187))))+Таблица1[[#This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87" s="292" t="b">
        <f>IF(AR187&lt;=3,(IF((G187="5/24"),((база!$M$6*Таблица1[[#This Row],[сумма]]*Таблица1[[#This Row],[коэф]])),
IF((G187="4/24"),((база!$M$5*Таблица1[[#This Row],[сумма]]*Таблица1[[#This Row],[коэф]])),
IF((G187="3/24"),((база!$M$4*Таблица1[[#This Row],[сумма]]*Таблица1[[#This Row],[коэф]])),
IF((G187="5/16"),((база!$L$6*Таблица1[[#This Row],[сумма]]*Таблица1[[#This Row],[коэф]])),
IF((G187="4/16"),((база!$L$5*Таблица1[[#This Row],[сумма]]*Таблица1[[#This Row],[коэф]])),
IF((G187="3/16"),((база!$L$4*Таблица1[[#This Row],[сумма]]*Таблица1[[#This Row],[коэф]])),
IF((G187="4/4"),((база!$I$5*Таблица1[[#This Row],[сумма]]*Таблица1[[#This Row],[коэф]])),
IF(OR(G187="2/4",G187="3/4"),((база!$I$4*Таблица1[[#This Row],[сумма]]*Таблица1[[#This Row],[коэф]])),
IF((G187="5/8"),((база!$J$6*Таблица1[[#This Row],[сумма]]*Таблица1[[#This Row],[коэф]])),
IF((G187="4/8"),((база!$J$5*Таблица1[[#This Row],[сумма]]*Таблица1[[#This Row],[коэф]])),
IF(OR(G187="3/8",G187="2/8"),((база!$J$4*Таблица1[[#This Row],[сумма]]*Таблица1[[#This Row],[коэф]])))))))))))))),
(IF((G187="5/24"),((база!$M$6*Таблица1[[#This Row],[сумма]]*Таблица1[[#This Row],[коэф]])),
IF(OR(G187="4/24",G187="3/24"),((база!$M$5*Таблица1[[#This Row],[сумма]]*Таблица1[[#This Row],[коэф]])),
IF((G187="5/16"),((база!$L$6*Таблица1[[#This Row],[сумма]]*Таблица1[[#This Row],[коэф]])),
IF(OR(G187="4/16",G187="3/16"),((база!$L$5*Таблица1[[#This Row],[сумма]]*Таблица1[[#This Row],[коэф]])),
IF(OR(G187="2/4",G187="3/4",G187="4/4"),((база!$I$5*Таблица1[[#This Row],[сумма]]*Таблица1[[#This Row],[коэф]])),
IF((G187="5/8"),((база!$J$6*Таблица1[[#This Row],[сумма]]*Таблица1[[#This Row],[коэф]])),
IF(OR(G187="4/8",G187="3/8",G187="2/8"),((база!$J$5*Таблица1[[#This Row],[сумма]]*Таблица1[[#This Row],[коэф]])))))))))))</f>
        <v>0</v>
      </c>
      <c r="AP187" s="730" t="b">
        <f>IF(AR187&lt;=3,(IF((G187="5/24"),((база!$M$6*2*Таблица1[[#This Row],[Столбец1]]*Таблица1[[#This Row],[коэф]])),
IF((G187="4/24"),((база!$M$5*2*Таблица1[[#This Row],[Столбец1]]*Таблица1[[#This Row],[коэф]])),
IF((G187="3/24"),((база!$M$4*2*Таблица1[[#This Row],[Столбец1]]*Таблица1[[#This Row],[коэф]])),
IF((G187="5/16"),((база!$L$6*2*Таблица1[[#This Row],[Столбец1]]*Таблица1[[#This Row],[коэф]])),
IF((G187="4/16"),((база!$L$5*2*Таблица1[[#This Row],[Столбец1]]*Таблица1[[#This Row],[коэф]])),
IF((G187="3/16"),((база!$L$4*2*Таблица1[[#This Row],[Столбец1]]*Таблица1[[#This Row],[коэф]])),
IF((G187="4/4"),((база!$I$5*2*Таблица1[[#This Row],[Столбец1]]*Таблица1[[#This Row],[коэф]])),
IF(OR(G187="2/4",G187="3/4"),((база!$I$4*2*Таблица1[[#This Row],[Столбец1]]*Таблица1[[#This Row],[коэф]])),
IF((G187="5/8"),((база!$J$6*2*Таблица1[[#This Row],[Столбец1]]*Таблица1[[#This Row],[коэф]])),
IF((G187="4/8"),((база!$J$5*2*Таблица1[[#This Row],[Столбец1]]*Таблица1[[#This Row],[коэф]])),
IF(OR(G187="3/8",G187="2/8"),((база!$J$4*2*Таблица1[[#This Row],[Столбец1]]*Таблица1[[#This Row],[коэф]])))))))))))))),
(IF((G187="5/24"),((база!$M$6*2*Таблица1[[#This Row],[Столбец1]]*Таблица1[[#This Row],[коэф]])),
IF(OR(G187="4/24",G187="3/24"),((база!$M$5*2*Таблица1[[#This Row],[Столбец1]]*Таблица1[[#This Row],[коэф]])),
IF((G187="5/16"),((база!$L$6*2*Таблица1[[#This Row],[Столбец1]]*Таблица1[[#This Row],[коэф]])),
IF(OR(G187="4/16",G187="3/16"),((база!$L$5*2*Таблица1[[#This Row],[Столбец1]]*Таблица1[[#This Row],[коэф]])),
IF(OR(G187="2/4",G187="3/4",G187="4/4"),((база!$I$5*2*Таблица1[[#This Row],[Столбец1]]*Таблица1[[#This Row],[коэф]])),
IF((G187="5/8"),((база!$J$6*2*Таблица1[[#This Row],[Столбец1]]*Таблица1[[#This Row],[коэф]])),
IF(OR(G187="4/8",G187="3/8",G187="2/8"),((база!$J$5*2*Таблица1[[#This Row],[Столбец1]]*Таблица1[[#This Row],[коэф]])))))))))))</f>
        <v>0</v>
      </c>
      <c r="AQ187" s="712" t="str">
        <f>IFERROR(INDEX(база!T:T, MATCH(F187,база!Q:Q,0)),"")</f>
        <v/>
      </c>
      <c r="AR187" s="208" t="str">
        <f>IFERROR(INDEX(база!D:D, MATCH(F187,база!B:B,0)),"")</f>
        <v/>
      </c>
      <c r="AS187" s="758" t="str">
        <f>IFERROR(INDEX(база!E:E, MATCH(F187,база!B:B,0)),"")</f>
        <v/>
      </c>
    </row>
    <row r="188" spans="1:45" ht="15">
      <c r="A188" s="66" t="str">
        <f t="shared" si="4"/>
        <v>январь</v>
      </c>
      <c r="B188" s="231">
        <v>2024</v>
      </c>
      <c r="C188" s="60"/>
      <c r="D188" s="61"/>
      <c r="E188" s="211"/>
      <c r="F188" s="679"/>
      <c r="G188" s="47"/>
      <c r="H188" s="563"/>
      <c r="I188" s="563"/>
      <c r="J188" s="563"/>
      <c r="K188" s="563"/>
      <c r="L188" s="563"/>
      <c r="M188" s="563"/>
      <c r="N188" s="563"/>
      <c r="O188" s="563"/>
      <c r="P188" s="300"/>
      <c r="Q188" s="563"/>
      <c r="R188" s="563"/>
      <c r="S188" s="563"/>
      <c r="T188" s="563"/>
      <c r="U188" s="563"/>
      <c r="V188" s="563"/>
      <c r="W188" s="563"/>
      <c r="X188" s="563"/>
      <c r="Y188" s="563"/>
      <c r="Z188" s="563"/>
      <c r="AA188" s="563"/>
      <c r="AB188" s="563"/>
      <c r="AC188" s="563"/>
      <c r="AD188" s="48"/>
      <c r="AE188" s="48"/>
      <c r="AF188" s="258"/>
      <c r="AG188" s="48"/>
      <c r="AH188" s="48"/>
      <c r="AI188" s="258"/>
      <c r="AJ188" s="258"/>
      <c r="AK188" s="258"/>
      <c r="AL188" s="258"/>
      <c r="AM188" s="212">
        <f>IF(AQ188=1,SUM(Q188:T188,W188:Z188,AC188:AF188,AI188:AL188),
IF(AQ188=2,SUM(P188,S188:V188,Y188:AB188,AE188:AH188,AK188:AL188),
IF(AQ188=3,SUM(P188:R188,U188:X188,AA188:AD188,AG188:AJ188),SUM(Таблица1[[#This Row],[1]:[31]])-Таблица1[[#This Row],[Столбец1]])))</f>
        <v>0</v>
      </c>
      <c r="AN188" s="778">
        <f t="array" ref="AN188">IF(AQ188=1,SUM(P188,U188:V188,AA188:AB188,AG188:AH188),
IF(AQ188=2,SUM(Q188:R188,W188:X188,AC188:AD188,AI188:AJ188),
IF(AQ188=3,SUM(S188:T188,Y188:Z188,AE188:AF188,AK188:AL188),
SUM(IFERROR(WEEKDAY($H$2:$AL$2,2)&gt;5,)*H188:AL188))))+Таблица1[[#This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88" s="292" t="b">
        <f>IF(AR188&lt;=3,(IF((G188="5/24"),((база!$M$6*Таблица1[[#This Row],[сумма]]*Таблица1[[#This Row],[коэф]])),
IF((G188="4/24"),((база!$M$5*Таблица1[[#This Row],[сумма]]*Таблица1[[#This Row],[коэф]])),
IF((G188="3/24"),((база!$M$4*Таблица1[[#This Row],[сумма]]*Таблица1[[#This Row],[коэф]])),
IF((G188="5/16"),((база!$L$6*Таблица1[[#This Row],[сумма]]*Таблица1[[#This Row],[коэф]])),
IF((G188="4/16"),((база!$L$5*Таблица1[[#This Row],[сумма]]*Таблица1[[#This Row],[коэф]])),
IF((G188="3/16"),((база!$L$4*Таблица1[[#This Row],[сумма]]*Таблица1[[#This Row],[коэф]])),
IF((G188="4/4"),((база!$I$5*Таблица1[[#This Row],[сумма]]*Таблица1[[#This Row],[коэф]])),
IF(OR(G188="2/4",G188="3/4"),((база!$I$4*Таблица1[[#This Row],[сумма]]*Таблица1[[#This Row],[коэф]])),
IF((G188="5/8"),((база!$J$6*Таблица1[[#This Row],[сумма]]*Таблица1[[#This Row],[коэф]])),
IF((G188="4/8"),((база!$J$5*Таблица1[[#This Row],[сумма]]*Таблица1[[#This Row],[коэф]])),
IF(OR(G188="3/8",G188="2/8"),((база!$J$4*Таблица1[[#This Row],[сумма]]*Таблица1[[#This Row],[коэф]])))))))))))))),
(IF((G188="5/24"),((база!$M$6*Таблица1[[#This Row],[сумма]]*Таблица1[[#This Row],[коэф]])),
IF(OR(G188="4/24",G188="3/24"),((база!$M$5*Таблица1[[#This Row],[сумма]]*Таблица1[[#This Row],[коэф]])),
IF((G188="5/16"),((база!$L$6*Таблица1[[#This Row],[сумма]]*Таблица1[[#This Row],[коэф]])),
IF(OR(G188="4/16",G188="3/16"),((база!$L$5*Таблица1[[#This Row],[сумма]]*Таблица1[[#This Row],[коэф]])),
IF(OR(G188="2/4",G188="3/4",G188="4/4"),((база!$I$5*Таблица1[[#This Row],[сумма]]*Таблица1[[#This Row],[коэф]])),
IF((G188="5/8"),((база!$J$6*Таблица1[[#This Row],[сумма]]*Таблица1[[#This Row],[коэф]])),
IF(OR(G188="4/8",G188="3/8",G188="2/8"),((база!$J$5*Таблица1[[#This Row],[сумма]]*Таблица1[[#This Row],[коэф]])))))))))))</f>
        <v>0</v>
      </c>
      <c r="AP188" s="730" t="b">
        <f>IF(AR188&lt;=3,(IF((G188="5/24"),((база!$M$6*2*Таблица1[[#This Row],[Столбец1]]*Таблица1[[#This Row],[коэф]])),
IF((G188="4/24"),((база!$M$5*2*Таблица1[[#This Row],[Столбец1]]*Таблица1[[#This Row],[коэф]])),
IF((G188="3/24"),((база!$M$4*2*Таблица1[[#This Row],[Столбец1]]*Таблица1[[#This Row],[коэф]])),
IF((G188="5/16"),((база!$L$6*2*Таблица1[[#This Row],[Столбец1]]*Таблица1[[#This Row],[коэф]])),
IF((G188="4/16"),((база!$L$5*2*Таблица1[[#This Row],[Столбец1]]*Таблица1[[#This Row],[коэф]])),
IF((G188="3/16"),((база!$L$4*2*Таблица1[[#This Row],[Столбец1]]*Таблица1[[#This Row],[коэф]])),
IF((G188="4/4"),((база!$I$5*2*Таблица1[[#This Row],[Столбец1]]*Таблица1[[#This Row],[коэф]])),
IF(OR(G188="2/4",G188="3/4"),((база!$I$4*2*Таблица1[[#This Row],[Столбец1]]*Таблица1[[#This Row],[коэф]])),
IF((G188="5/8"),((база!$J$6*2*Таблица1[[#This Row],[Столбец1]]*Таблица1[[#This Row],[коэф]])),
IF((G188="4/8"),((база!$J$5*2*Таблица1[[#This Row],[Столбец1]]*Таблица1[[#This Row],[коэф]])),
IF(OR(G188="3/8",G188="2/8"),((база!$J$4*2*Таблица1[[#This Row],[Столбец1]]*Таблица1[[#This Row],[коэф]])))))))))))))),
(IF((G188="5/24"),((база!$M$6*2*Таблица1[[#This Row],[Столбец1]]*Таблица1[[#This Row],[коэф]])),
IF(OR(G188="4/24",G188="3/24"),((база!$M$5*2*Таблица1[[#This Row],[Столбец1]]*Таблица1[[#This Row],[коэф]])),
IF((G188="5/16"),((база!$L$6*2*Таблица1[[#This Row],[Столбец1]]*Таблица1[[#This Row],[коэф]])),
IF(OR(G188="4/16",G188="3/16"),((база!$L$5*2*Таблица1[[#This Row],[Столбец1]]*Таблица1[[#This Row],[коэф]])),
IF(OR(G188="2/4",G188="3/4",G188="4/4"),((база!$I$5*2*Таблица1[[#This Row],[Столбец1]]*Таблица1[[#This Row],[коэф]])),
IF((G188="5/8"),((база!$J$6*2*Таблица1[[#This Row],[Столбец1]]*Таблица1[[#This Row],[коэф]])),
IF(OR(G188="4/8",G188="3/8",G188="2/8"),((база!$J$5*2*Таблица1[[#This Row],[Столбец1]]*Таблица1[[#This Row],[коэф]])))))))))))</f>
        <v>0</v>
      </c>
      <c r="AQ188" s="712" t="str">
        <f>IFERROR(INDEX(база!T:T, MATCH(F188,база!Q:Q,0)),"")</f>
        <v/>
      </c>
      <c r="AR188" s="208" t="str">
        <f>IFERROR(INDEX(база!D:D, MATCH(F188,база!B:B,0)),"")</f>
        <v/>
      </c>
      <c r="AS188" s="758" t="str">
        <f>IFERROR(INDEX(база!E:E, MATCH(F188,база!B:B,0)),"")</f>
        <v/>
      </c>
    </row>
    <row r="189" spans="1:45" ht="15">
      <c r="A189" s="66" t="str">
        <f t="shared" si="4"/>
        <v>январь</v>
      </c>
      <c r="B189" s="231">
        <v>2024</v>
      </c>
      <c r="C189" s="299"/>
      <c r="D189" s="61"/>
      <c r="E189" s="211"/>
      <c r="F189" s="679"/>
      <c r="G189" s="47"/>
      <c r="H189" s="563"/>
      <c r="I189" s="563"/>
      <c r="J189" s="563"/>
      <c r="K189" s="563"/>
      <c r="L189" s="563"/>
      <c r="M189" s="563"/>
      <c r="N189" s="563"/>
      <c r="O189" s="563"/>
      <c r="P189" s="300"/>
      <c r="Q189" s="563"/>
      <c r="R189" s="563"/>
      <c r="S189" s="563"/>
      <c r="T189" s="563"/>
      <c r="U189" s="563"/>
      <c r="V189" s="563"/>
      <c r="W189" s="563"/>
      <c r="X189" s="563"/>
      <c r="Y189" s="563"/>
      <c r="Z189" s="563"/>
      <c r="AA189" s="563"/>
      <c r="AB189" s="563"/>
      <c r="AC189" s="563"/>
      <c r="AD189" s="48"/>
      <c r="AE189" s="48"/>
      <c r="AF189" s="258"/>
      <c r="AG189" s="48"/>
      <c r="AH189" s="48"/>
      <c r="AI189" s="48"/>
      <c r="AJ189" s="48"/>
      <c r="AK189" s="48"/>
      <c r="AL189" s="51"/>
      <c r="AM189" s="212">
        <f>IF(AQ189=1,SUM(Q189:T189,W189:Z189,AC189:AF189,AI189:AL189),
IF(AQ189=2,SUM(P189,S189:V189,Y189:AB189,AE189:AH189,AK189:AL189),
IF(AQ189=3,SUM(P189:R189,U189:X189,AA189:AD189,AG189:AJ189),SUM(Таблица1[[#This Row],[1]:[31]])-Таблица1[[#This Row],[Столбец1]])))</f>
        <v>0</v>
      </c>
      <c r="AN189" s="778">
        <f t="array" ref="AN189">IF(AQ189=1,SUM(P189,U189:V189,AA189:AB189,AG189:AH189),
IF(AQ189=2,SUM(Q189:R189,W189:X189,AC189:AD189,AI189:AJ189),
IF(AQ189=3,SUM(S189:T189,Y189:Z189,AE189:AF189,AK189:AL189),
SUM(IFERROR(WEEKDAY($H$2:$AL$2,2)&gt;5,)*H189:AL189))))+Таблица1[[#This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89" s="292" t="b">
        <f>IF(AR189&lt;=3,(IF((G189="5/24"),((база!$M$6*Таблица1[[#This Row],[сумма]]*Таблица1[[#This Row],[коэф]])),
IF((G189="4/24"),((база!$M$5*Таблица1[[#This Row],[сумма]]*Таблица1[[#This Row],[коэф]])),
IF((G189="3/24"),((база!$M$4*Таблица1[[#This Row],[сумма]]*Таблица1[[#This Row],[коэф]])),
IF((G189="5/16"),((база!$L$6*Таблица1[[#This Row],[сумма]]*Таблица1[[#This Row],[коэф]])),
IF((G189="4/16"),((база!$L$5*Таблица1[[#This Row],[сумма]]*Таблица1[[#This Row],[коэф]])),
IF((G189="3/16"),((база!$L$4*Таблица1[[#This Row],[сумма]]*Таблица1[[#This Row],[коэф]])),
IF((G189="4/4"),((база!$I$5*Таблица1[[#This Row],[сумма]]*Таблица1[[#This Row],[коэф]])),
IF(OR(G189="2/4",G189="3/4"),((база!$I$4*Таблица1[[#This Row],[сумма]]*Таблица1[[#This Row],[коэф]])),
IF((G189="5/8"),((база!$J$6*Таблица1[[#This Row],[сумма]]*Таблица1[[#This Row],[коэф]])),
IF((G189="4/8"),((база!$J$5*Таблица1[[#This Row],[сумма]]*Таблица1[[#This Row],[коэф]])),
IF(OR(G189="3/8",G189="2/8"),((база!$J$4*Таблица1[[#This Row],[сумма]]*Таблица1[[#This Row],[коэф]])))))))))))))),
(IF((G189="5/24"),((база!$M$6*Таблица1[[#This Row],[сумма]]*Таблица1[[#This Row],[коэф]])),
IF(OR(G189="4/24",G189="3/24"),((база!$M$5*Таблица1[[#This Row],[сумма]]*Таблица1[[#This Row],[коэф]])),
IF((G189="5/16"),((база!$L$6*Таблица1[[#This Row],[сумма]]*Таблица1[[#This Row],[коэф]])),
IF(OR(G189="4/16",G189="3/16"),((база!$L$5*Таблица1[[#This Row],[сумма]]*Таблица1[[#This Row],[коэф]])),
IF(OR(G189="2/4",G189="3/4",G189="4/4"),((база!$I$5*Таблица1[[#This Row],[сумма]]*Таблица1[[#This Row],[коэф]])),
IF((G189="5/8"),((база!$J$6*Таблица1[[#This Row],[сумма]]*Таблица1[[#This Row],[коэф]])),
IF(OR(G189="4/8",G189="3/8",G189="2/8"),((база!$J$5*Таблица1[[#This Row],[сумма]]*Таблица1[[#This Row],[коэф]])))))))))))</f>
        <v>0</v>
      </c>
      <c r="AP189" s="730" t="b">
        <f>IF(AR189&lt;=3,(IF((G189="5/24"),((база!$M$6*2*Таблица1[[#This Row],[Столбец1]]*Таблица1[[#This Row],[коэф]])),
IF((G189="4/24"),((база!$M$5*2*Таблица1[[#This Row],[Столбец1]]*Таблица1[[#This Row],[коэф]])),
IF((G189="3/24"),((база!$M$4*2*Таблица1[[#This Row],[Столбец1]]*Таблица1[[#This Row],[коэф]])),
IF((G189="5/16"),((база!$L$6*2*Таблица1[[#This Row],[Столбец1]]*Таблица1[[#This Row],[коэф]])),
IF((G189="4/16"),((база!$L$5*2*Таблица1[[#This Row],[Столбец1]]*Таблица1[[#This Row],[коэф]])),
IF((G189="3/16"),((база!$L$4*2*Таблица1[[#This Row],[Столбец1]]*Таблица1[[#This Row],[коэф]])),
IF((G189="4/4"),((база!$I$5*2*Таблица1[[#This Row],[Столбец1]]*Таблица1[[#This Row],[коэф]])),
IF(OR(G189="2/4",G189="3/4"),((база!$I$4*2*Таблица1[[#This Row],[Столбец1]]*Таблица1[[#This Row],[коэф]])),
IF((G189="5/8"),((база!$J$6*2*Таблица1[[#This Row],[Столбец1]]*Таблица1[[#This Row],[коэф]])),
IF((G189="4/8"),((база!$J$5*2*Таблица1[[#This Row],[Столбец1]]*Таблица1[[#This Row],[коэф]])),
IF(OR(G189="3/8",G189="2/8"),((база!$J$4*2*Таблица1[[#This Row],[Столбец1]]*Таблица1[[#This Row],[коэф]])))))))))))))),
(IF((G189="5/24"),((база!$M$6*2*Таблица1[[#This Row],[Столбец1]]*Таблица1[[#This Row],[коэф]])),
IF(OR(G189="4/24",G189="3/24"),((база!$M$5*2*Таблица1[[#This Row],[Столбец1]]*Таблица1[[#This Row],[коэф]])),
IF((G189="5/16"),((база!$L$6*2*Таблица1[[#This Row],[Столбец1]]*Таблица1[[#This Row],[коэф]])),
IF(OR(G189="4/16",G189="3/16"),((база!$L$5*2*Таблица1[[#This Row],[Столбец1]]*Таблица1[[#This Row],[коэф]])),
IF(OR(G189="2/4",G189="3/4",G189="4/4"),((база!$I$5*2*Таблица1[[#This Row],[Столбец1]]*Таблица1[[#This Row],[коэф]])),
IF((G189="5/8"),((база!$J$6*2*Таблица1[[#This Row],[Столбец1]]*Таблица1[[#This Row],[коэф]])),
IF(OR(G189="4/8",G189="3/8",G189="2/8"),((база!$J$5*2*Таблица1[[#This Row],[Столбец1]]*Таблица1[[#This Row],[коэф]])))))))))))</f>
        <v>0</v>
      </c>
      <c r="AQ189" s="712" t="str">
        <f>IFERROR(INDEX(база!T:T, MATCH(F189,база!Q:Q,0)),"")</f>
        <v/>
      </c>
      <c r="AR189" s="208" t="str">
        <f>IFERROR(INDEX(база!D:D, MATCH(F189,база!B:B,0)),"")</f>
        <v/>
      </c>
      <c r="AS189" s="758" t="str">
        <f>IFERROR(INDEX(база!E:E, MATCH(F189,база!B:B,0)),"")</f>
        <v/>
      </c>
    </row>
    <row r="190" spans="1:45" ht="15">
      <c r="A190" s="66" t="str">
        <f t="shared" si="4"/>
        <v>январь</v>
      </c>
      <c r="B190" s="231">
        <v>2024</v>
      </c>
      <c r="C190" s="60"/>
      <c r="D190" s="61"/>
      <c r="E190" s="211"/>
      <c r="F190" s="679"/>
      <c r="G190" s="47"/>
      <c r="H190" s="563"/>
      <c r="I190" s="563"/>
      <c r="J190" s="563"/>
      <c r="K190" s="563"/>
      <c r="L190" s="563"/>
      <c r="M190" s="563"/>
      <c r="N190" s="563"/>
      <c r="O190" s="563"/>
      <c r="P190" s="300"/>
      <c r="Q190" s="300"/>
      <c r="R190" s="300"/>
      <c r="S190" s="563"/>
      <c r="T190" s="563"/>
      <c r="U190" s="563"/>
      <c r="V190" s="563"/>
      <c r="W190" s="563"/>
      <c r="X190" s="563"/>
      <c r="Y190" s="563"/>
      <c r="Z190" s="563"/>
      <c r="AA190" s="563"/>
      <c r="AB190" s="563"/>
      <c r="AC190" s="563"/>
      <c r="AD190" s="48"/>
      <c r="AE190" s="48"/>
      <c r="AF190" s="258"/>
      <c r="AG190" s="258"/>
      <c r="AH190" s="258"/>
      <c r="AI190" s="258"/>
      <c r="AJ190" s="258"/>
      <c r="AK190" s="258"/>
      <c r="AL190" s="258"/>
      <c r="AM190" s="212">
        <f>IF(AQ190=1,SUM(Q190:T190,W190:Z190,AC190:AF190,AI190:AL190),
IF(AQ190=2,SUM(P190,S190:V190,Y190:AB190,AE190:AH190,AK190:AL190),
IF(AQ190=3,SUM(P190:R190,U190:X190,AA190:AD190,AG190:AJ190),SUM(Таблица1[[#This Row],[1]:[31]])-Таблица1[[#This Row],[Столбец1]])))</f>
        <v>0</v>
      </c>
      <c r="AN190" s="778">
        <f t="array" ref="AN190">IF(AQ190=1,SUM(P190,U190:V190,AA190:AB190,AG190:AH190),
IF(AQ190=2,SUM(Q190:R190,W190:X190,AC190:AD190,AI190:AJ190),
IF(AQ190=3,SUM(S190:T190,Y190:Z190,AE190:AF190,AK190:AL190),
SUM(IFERROR(WEEKDAY($H$2:$AL$2,2)&gt;5,)*H190:AL190))))+Таблица1[[#This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90" s="292" t="b">
        <f>IF(AR190&lt;=3,(IF((G190="5/24"),((база!$M$6*Таблица1[[#This Row],[сумма]]*Таблица1[[#This Row],[коэф]])),
IF((G190="4/24"),((база!$M$5*Таблица1[[#This Row],[сумма]]*Таблица1[[#This Row],[коэф]])),
IF((G190="3/24"),((база!$M$4*Таблица1[[#This Row],[сумма]]*Таблица1[[#This Row],[коэф]])),
IF((G190="5/16"),((база!$L$6*Таблица1[[#This Row],[сумма]]*Таблица1[[#This Row],[коэф]])),
IF((G190="4/16"),((база!$L$5*Таблица1[[#This Row],[сумма]]*Таблица1[[#This Row],[коэф]])),
IF((G190="3/16"),((база!$L$4*Таблица1[[#This Row],[сумма]]*Таблица1[[#This Row],[коэф]])),
IF((G190="4/4"),((база!$I$5*Таблица1[[#This Row],[сумма]]*Таблица1[[#This Row],[коэф]])),
IF(OR(G190="2/4",G190="3/4"),((база!$I$4*Таблица1[[#This Row],[сумма]]*Таблица1[[#This Row],[коэф]])),
IF((G190="5/8"),((база!$J$6*Таблица1[[#This Row],[сумма]]*Таблица1[[#This Row],[коэф]])),
IF((G190="4/8"),((база!$J$5*Таблица1[[#This Row],[сумма]]*Таблица1[[#This Row],[коэф]])),
IF(OR(G190="3/8",G190="2/8"),((база!$J$4*Таблица1[[#This Row],[сумма]]*Таблица1[[#This Row],[коэф]])))))))))))))),
(IF((G190="5/24"),((база!$M$6*Таблица1[[#This Row],[сумма]]*Таблица1[[#This Row],[коэф]])),
IF(OR(G190="4/24",G190="3/24"),((база!$M$5*Таблица1[[#This Row],[сумма]]*Таблица1[[#This Row],[коэф]])),
IF((G190="5/16"),((база!$L$6*Таблица1[[#This Row],[сумма]]*Таблица1[[#This Row],[коэф]])),
IF(OR(G190="4/16",G190="3/16"),((база!$L$5*Таблица1[[#This Row],[сумма]]*Таблица1[[#This Row],[коэф]])),
IF(OR(G190="2/4",G190="3/4",G190="4/4"),((база!$I$5*Таблица1[[#This Row],[сумма]]*Таблица1[[#This Row],[коэф]])),
IF((G190="5/8"),((база!$J$6*Таблица1[[#This Row],[сумма]]*Таблица1[[#This Row],[коэф]])),
IF(OR(G190="4/8",G190="3/8",G190="2/8"),((база!$J$5*Таблица1[[#This Row],[сумма]]*Таблица1[[#This Row],[коэф]])))))))))))</f>
        <v>0</v>
      </c>
      <c r="AP190" s="730" t="b">
        <f>IF(AR190&lt;=3,(IF((G190="5/24"),((база!$M$6*2*Таблица1[[#This Row],[Столбец1]]*Таблица1[[#This Row],[коэф]])),
IF((G190="4/24"),((база!$M$5*2*Таблица1[[#This Row],[Столбец1]]*Таблица1[[#This Row],[коэф]])),
IF((G190="3/24"),((база!$M$4*2*Таблица1[[#This Row],[Столбец1]]*Таблица1[[#This Row],[коэф]])),
IF((G190="5/16"),((база!$L$6*2*Таблица1[[#This Row],[Столбец1]]*Таблица1[[#This Row],[коэф]])),
IF((G190="4/16"),((база!$L$5*2*Таблица1[[#This Row],[Столбец1]]*Таблица1[[#This Row],[коэф]])),
IF((G190="3/16"),((база!$L$4*2*Таблица1[[#This Row],[Столбец1]]*Таблица1[[#This Row],[коэф]])),
IF((G190="4/4"),((база!$I$5*2*Таблица1[[#This Row],[Столбец1]]*Таблица1[[#This Row],[коэф]])),
IF(OR(G190="2/4",G190="3/4"),((база!$I$4*2*Таблица1[[#This Row],[Столбец1]]*Таблица1[[#This Row],[коэф]])),
IF((G190="5/8"),((база!$J$6*2*Таблица1[[#This Row],[Столбец1]]*Таблица1[[#This Row],[коэф]])),
IF((G190="4/8"),((база!$J$5*2*Таблица1[[#This Row],[Столбец1]]*Таблица1[[#This Row],[коэф]])),
IF(OR(G190="3/8",G190="2/8"),((база!$J$4*2*Таблица1[[#This Row],[Столбец1]]*Таблица1[[#This Row],[коэф]])))))))))))))),
(IF((G190="5/24"),((база!$M$6*2*Таблица1[[#This Row],[Столбец1]]*Таблица1[[#This Row],[коэф]])),
IF(OR(G190="4/24",G190="3/24"),((база!$M$5*2*Таблица1[[#This Row],[Столбец1]]*Таблица1[[#This Row],[коэф]])),
IF((G190="5/16"),((база!$L$6*2*Таблица1[[#This Row],[Столбец1]]*Таблица1[[#This Row],[коэф]])),
IF(OR(G190="4/16",G190="3/16"),((база!$L$5*2*Таблица1[[#This Row],[Столбец1]]*Таблица1[[#This Row],[коэф]])),
IF(OR(G190="2/4",G190="3/4",G190="4/4"),((база!$I$5*2*Таблица1[[#This Row],[Столбец1]]*Таблица1[[#This Row],[коэф]])),
IF((G190="5/8"),((база!$J$6*2*Таблица1[[#This Row],[Столбец1]]*Таблица1[[#This Row],[коэф]])),
IF(OR(G190="4/8",G190="3/8",G190="2/8"),((база!$J$5*2*Таблица1[[#This Row],[Столбец1]]*Таблица1[[#This Row],[коэф]])))))))))))</f>
        <v>0</v>
      </c>
      <c r="AQ190" s="712" t="str">
        <f>IFERROR(INDEX(база!T:T, MATCH(F190,база!Q:Q,0)),"")</f>
        <v/>
      </c>
      <c r="AR190" s="208" t="str">
        <f>IFERROR(INDEX(база!D:D, MATCH(F190,база!B:B,0)),"")</f>
        <v/>
      </c>
      <c r="AS190" s="758" t="str">
        <f>IFERROR(INDEX(база!E:E, MATCH(F190,база!B:B,0)),"")</f>
        <v/>
      </c>
    </row>
    <row r="191" spans="1:45" ht="15">
      <c r="A191" s="66" t="str">
        <f t="shared" si="4"/>
        <v>январь</v>
      </c>
      <c r="B191" s="231">
        <v>2024</v>
      </c>
      <c r="C191" s="299"/>
      <c r="D191" s="61"/>
      <c r="E191" s="211"/>
      <c r="F191" s="679"/>
      <c r="G191" s="47"/>
      <c r="H191" s="563"/>
      <c r="I191" s="563"/>
      <c r="J191" s="563"/>
      <c r="K191" s="563"/>
      <c r="L191" s="563"/>
      <c r="M191" s="563"/>
      <c r="N191" s="563"/>
      <c r="O191" s="563"/>
      <c r="P191" s="300"/>
      <c r="Q191" s="300"/>
      <c r="R191" s="300"/>
      <c r="S191" s="563"/>
      <c r="T191" s="563"/>
      <c r="U191" s="563"/>
      <c r="V191" s="563"/>
      <c r="W191" s="563"/>
      <c r="X191" s="563"/>
      <c r="Y191" s="563"/>
      <c r="Z191" s="563"/>
      <c r="AA191" s="563"/>
      <c r="AB191" s="563"/>
      <c r="AC191" s="563"/>
      <c r="AD191" s="48"/>
      <c r="AE191" s="48"/>
      <c r="AF191" s="258"/>
      <c r="AG191" s="48"/>
      <c r="AH191" s="48"/>
      <c r="AI191" s="48"/>
      <c r="AJ191" s="48"/>
      <c r="AK191" s="48"/>
      <c r="AL191" s="51"/>
      <c r="AM191" s="212">
        <f>IF(AQ191=1,SUM(Q191:T191,W191:Z191,AC191:AF191,AI191:AL191),
IF(AQ191=2,SUM(P191,S191:V191,Y191:AB191,AE191:AH191,AK191:AL191),
IF(AQ191=3,SUM(P191:R191,U191:X191,AA191:AD191,AG191:AJ191),SUM(Таблица1[[#This Row],[1]:[31]])-Таблица1[[#This Row],[Столбец1]])))</f>
        <v>0</v>
      </c>
      <c r="AN191" s="778">
        <f t="array" ref="AN191">IF(AQ191=1,SUM(P191,U191:V191,AA191:AB191,AG191:AH191),
IF(AQ191=2,SUM(Q191:R191,W191:X191,AC191:AD191,AI191:AJ191),
IF(AQ191=3,SUM(S191:T191,Y191:Z191,AE191:AF191,AK191:AL191),
SUM(IFERROR(WEEKDAY($H$2:$AL$2,2)&gt;5,)*H191:AL191))))+Таблица1[[#This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91" s="292" t="b">
        <f>IF(AR191&lt;=3,(IF((G191="5/24"),((база!$M$6*Таблица1[[#This Row],[сумма]]*Таблица1[[#This Row],[коэф]])),
IF((G191="4/24"),((база!$M$5*Таблица1[[#This Row],[сумма]]*Таблица1[[#This Row],[коэф]])),
IF((G191="3/24"),((база!$M$4*Таблица1[[#This Row],[сумма]]*Таблица1[[#This Row],[коэф]])),
IF((G191="5/16"),((база!$L$6*Таблица1[[#This Row],[сумма]]*Таблица1[[#This Row],[коэф]])),
IF((G191="4/16"),((база!$L$5*Таблица1[[#This Row],[сумма]]*Таблица1[[#This Row],[коэф]])),
IF((G191="3/16"),((база!$L$4*Таблица1[[#This Row],[сумма]]*Таблица1[[#This Row],[коэф]])),
IF((G191="4/4"),((база!$I$5*Таблица1[[#This Row],[сумма]]*Таблица1[[#This Row],[коэф]])),
IF(OR(G191="2/4",G191="3/4"),((база!$I$4*Таблица1[[#This Row],[сумма]]*Таблица1[[#This Row],[коэф]])),
IF((G191="5/8"),((база!$J$6*Таблица1[[#This Row],[сумма]]*Таблица1[[#This Row],[коэф]])),
IF((G191="4/8"),((база!$J$5*Таблица1[[#This Row],[сумма]]*Таблица1[[#This Row],[коэф]])),
IF(OR(G191="3/8",G191="2/8"),((база!$J$4*Таблица1[[#This Row],[сумма]]*Таблица1[[#This Row],[коэф]])))))))))))))),
(IF((G191="5/24"),((база!$M$6*Таблица1[[#This Row],[сумма]]*Таблица1[[#This Row],[коэф]])),
IF(OR(G191="4/24",G191="3/24"),((база!$M$5*Таблица1[[#This Row],[сумма]]*Таблица1[[#This Row],[коэф]])),
IF((G191="5/16"),((база!$L$6*Таблица1[[#This Row],[сумма]]*Таблица1[[#This Row],[коэф]])),
IF(OR(G191="4/16",G191="3/16"),((база!$L$5*Таблица1[[#This Row],[сумма]]*Таблица1[[#This Row],[коэф]])),
IF(OR(G191="2/4",G191="3/4",G191="4/4"),((база!$I$5*Таблица1[[#This Row],[сумма]]*Таблица1[[#This Row],[коэф]])),
IF((G191="5/8"),((база!$J$6*Таблица1[[#This Row],[сумма]]*Таблица1[[#This Row],[коэф]])),
IF(OR(G191="4/8",G191="3/8",G191="2/8"),((база!$J$5*Таблица1[[#This Row],[сумма]]*Таблица1[[#This Row],[коэф]])))))))))))</f>
        <v>0</v>
      </c>
      <c r="AP191" s="730" t="b">
        <f>IF(AR191&lt;=3,(IF((G191="5/24"),((база!$M$6*2*Таблица1[[#This Row],[Столбец1]]*Таблица1[[#This Row],[коэф]])),
IF((G191="4/24"),((база!$M$5*2*Таблица1[[#This Row],[Столбец1]]*Таблица1[[#This Row],[коэф]])),
IF((G191="3/24"),((база!$M$4*2*Таблица1[[#This Row],[Столбец1]]*Таблица1[[#This Row],[коэф]])),
IF((G191="5/16"),((база!$L$6*2*Таблица1[[#This Row],[Столбец1]]*Таблица1[[#This Row],[коэф]])),
IF((G191="4/16"),((база!$L$5*2*Таблица1[[#This Row],[Столбец1]]*Таблица1[[#This Row],[коэф]])),
IF((G191="3/16"),((база!$L$4*2*Таблица1[[#This Row],[Столбец1]]*Таблица1[[#This Row],[коэф]])),
IF((G191="4/4"),((база!$I$5*2*Таблица1[[#This Row],[Столбец1]]*Таблица1[[#This Row],[коэф]])),
IF(OR(G191="2/4",G191="3/4"),((база!$I$4*2*Таблица1[[#This Row],[Столбец1]]*Таблица1[[#This Row],[коэф]])),
IF((G191="5/8"),((база!$J$6*2*Таблица1[[#This Row],[Столбец1]]*Таблица1[[#This Row],[коэф]])),
IF((G191="4/8"),((база!$J$5*2*Таблица1[[#This Row],[Столбец1]]*Таблица1[[#This Row],[коэф]])),
IF(OR(G191="3/8",G191="2/8"),((база!$J$4*2*Таблица1[[#This Row],[Столбец1]]*Таблица1[[#This Row],[коэф]])))))))))))))),
(IF((G191="5/24"),((база!$M$6*2*Таблица1[[#This Row],[Столбец1]]*Таблица1[[#This Row],[коэф]])),
IF(OR(G191="4/24",G191="3/24"),((база!$M$5*2*Таблица1[[#This Row],[Столбец1]]*Таблица1[[#This Row],[коэф]])),
IF((G191="5/16"),((база!$L$6*2*Таблица1[[#This Row],[Столбец1]]*Таблица1[[#This Row],[коэф]])),
IF(OR(G191="4/16",G191="3/16"),((база!$L$5*2*Таблица1[[#This Row],[Столбец1]]*Таблица1[[#This Row],[коэф]])),
IF(OR(G191="2/4",G191="3/4",G191="4/4"),((база!$I$5*2*Таблица1[[#This Row],[Столбец1]]*Таблица1[[#This Row],[коэф]])),
IF((G191="5/8"),((база!$J$6*2*Таблица1[[#This Row],[Столбец1]]*Таблица1[[#This Row],[коэф]])),
IF(OR(G191="4/8",G191="3/8",G191="2/8"),((база!$J$5*2*Таблица1[[#This Row],[Столбец1]]*Таблица1[[#This Row],[коэф]])))))))))))</f>
        <v>0</v>
      </c>
      <c r="AQ191" s="712" t="str">
        <f>IFERROR(INDEX(база!T:T, MATCH(F191,база!Q:Q,0)),"")</f>
        <v/>
      </c>
      <c r="AR191" s="208" t="str">
        <f>IFERROR(INDEX(база!D:D, MATCH(F191,база!B:B,0)),"")</f>
        <v/>
      </c>
      <c r="AS191" s="758" t="str">
        <f>IFERROR(INDEX(база!E:E, MATCH(F191,база!B:B,0)),"")</f>
        <v/>
      </c>
    </row>
    <row r="192" spans="1:45" ht="15">
      <c r="A192" s="66" t="str">
        <f t="shared" si="4"/>
        <v>январь</v>
      </c>
      <c r="B192" s="231">
        <v>2024</v>
      </c>
      <c r="C192" s="60"/>
      <c r="D192" s="61"/>
      <c r="E192" s="211"/>
      <c r="F192" s="679"/>
      <c r="G192" s="47"/>
      <c r="H192" s="563"/>
      <c r="I192" s="563"/>
      <c r="J192" s="563"/>
      <c r="K192" s="563"/>
      <c r="L192" s="563"/>
      <c r="M192" s="563"/>
      <c r="N192" s="563"/>
      <c r="O192" s="563"/>
      <c r="P192" s="563"/>
      <c r="Q192" s="563"/>
      <c r="R192" s="563"/>
      <c r="S192" s="563"/>
      <c r="T192" s="563"/>
      <c r="U192" s="563"/>
      <c r="V192" s="563"/>
      <c r="W192" s="563"/>
      <c r="X192" s="563"/>
      <c r="Y192" s="563"/>
      <c r="Z192" s="563"/>
      <c r="AA192" s="563"/>
      <c r="AB192" s="563"/>
      <c r="AC192" s="563"/>
      <c r="AD192" s="563"/>
      <c r="AE192" s="48"/>
      <c r="AF192" s="258"/>
      <c r="AG192" s="48"/>
      <c r="AH192" s="48"/>
      <c r="AI192" s="258"/>
      <c r="AJ192" s="258"/>
      <c r="AK192" s="258"/>
      <c r="AL192" s="258"/>
      <c r="AM192" s="212">
        <f>IF(AQ192=1,SUM(Q192:T192,W192:Z192,AC192:AF192,AI192:AL192),
IF(AQ192=2,SUM(P192,S192:V192,Y192:AB192,AE192:AH192,AK192:AL192),
IF(AQ192=3,SUM(P192:R192,U192:X192,AA192:AD192,AG192:AJ192),SUM(Таблица1[[#This Row],[1]:[31]])-Таблица1[[#This Row],[Столбец1]])))</f>
        <v>0</v>
      </c>
      <c r="AN192" s="778">
        <f t="array" ref="AN192">IF(AQ192=1,SUM(P192,U192:V192,AA192:AB192,AG192:AH192),
IF(AQ192=2,SUM(Q192:R192,W192:X192,AC192:AD192,AI192:AJ192),
IF(AQ192=3,SUM(S192:T192,Y192:Z192,AE192:AF192,AK192:AL192),
SUM(IFERROR(WEEKDAY($H$2:$AL$2,2)&gt;5,)*H192:AL192))))+Таблица1[[#This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92" s="292" t="b">
        <f>IF(AR192&lt;=3,(IF((G192="5/24"),((база!$M$6*Таблица1[[#This Row],[сумма]]*Таблица1[[#This Row],[коэф]])),
IF((G192="4/24"),((база!$M$5*Таблица1[[#This Row],[сумма]]*Таблица1[[#This Row],[коэф]])),
IF((G192="3/24"),((база!$M$4*Таблица1[[#This Row],[сумма]]*Таблица1[[#This Row],[коэф]])),
IF((G192="5/16"),((база!$L$6*Таблица1[[#This Row],[сумма]]*Таблица1[[#This Row],[коэф]])),
IF((G192="4/16"),((база!$L$5*Таблица1[[#This Row],[сумма]]*Таблица1[[#This Row],[коэф]])),
IF((G192="3/16"),((база!$L$4*Таблица1[[#This Row],[сумма]]*Таблица1[[#This Row],[коэф]])),
IF((G192="4/4"),((база!$I$5*Таблица1[[#This Row],[сумма]]*Таблица1[[#This Row],[коэф]])),
IF(OR(G192="2/4",G192="3/4"),((база!$I$4*Таблица1[[#This Row],[сумма]]*Таблица1[[#This Row],[коэф]])),
IF((G192="5/8"),((база!$J$6*Таблица1[[#This Row],[сумма]]*Таблица1[[#This Row],[коэф]])),
IF((G192="4/8"),((база!$J$5*Таблица1[[#This Row],[сумма]]*Таблица1[[#This Row],[коэф]])),
IF(OR(G192="3/8",G192="2/8"),((база!$J$4*Таблица1[[#This Row],[сумма]]*Таблица1[[#This Row],[коэф]])))))))))))))),
(IF((G192="5/24"),((база!$M$6*Таблица1[[#This Row],[сумма]]*Таблица1[[#This Row],[коэф]])),
IF(OR(G192="4/24",G192="3/24"),((база!$M$5*Таблица1[[#This Row],[сумма]]*Таблица1[[#This Row],[коэф]])),
IF((G192="5/16"),((база!$L$6*Таблица1[[#This Row],[сумма]]*Таблица1[[#This Row],[коэф]])),
IF(OR(G192="4/16",G192="3/16"),((база!$L$5*Таблица1[[#This Row],[сумма]]*Таблица1[[#This Row],[коэф]])),
IF(OR(G192="2/4",G192="3/4",G192="4/4"),((база!$I$5*Таблица1[[#This Row],[сумма]]*Таблица1[[#This Row],[коэф]])),
IF((G192="5/8"),((база!$J$6*Таблица1[[#This Row],[сумма]]*Таблица1[[#This Row],[коэф]])),
IF(OR(G192="4/8",G192="3/8",G192="2/8"),((база!$J$5*Таблица1[[#This Row],[сумма]]*Таблица1[[#This Row],[коэф]])))))))))))</f>
        <v>0</v>
      </c>
      <c r="AP192" s="730" t="b">
        <f>IF(AR192&lt;=3,(IF((G192="5/24"),((база!$M$6*2*Таблица1[[#This Row],[Столбец1]]*Таблица1[[#This Row],[коэф]])),
IF((G192="4/24"),((база!$M$5*2*Таблица1[[#This Row],[Столбец1]]*Таблица1[[#This Row],[коэф]])),
IF((G192="3/24"),((база!$M$4*2*Таблица1[[#This Row],[Столбец1]]*Таблица1[[#This Row],[коэф]])),
IF((G192="5/16"),((база!$L$6*2*Таблица1[[#This Row],[Столбец1]]*Таблица1[[#This Row],[коэф]])),
IF((G192="4/16"),((база!$L$5*2*Таблица1[[#This Row],[Столбец1]]*Таблица1[[#This Row],[коэф]])),
IF((G192="3/16"),((база!$L$4*2*Таблица1[[#This Row],[Столбец1]]*Таблица1[[#This Row],[коэф]])),
IF((G192="4/4"),((база!$I$5*2*Таблица1[[#This Row],[Столбец1]]*Таблица1[[#This Row],[коэф]])),
IF(OR(G192="2/4",G192="3/4"),((база!$I$4*2*Таблица1[[#This Row],[Столбец1]]*Таблица1[[#This Row],[коэф]])),
IF((G192="5/8"),((база!$J$6*2*Таблица1[[#This Row],[Столбец1]]*Таблица1[[#This Row],[коэф]])),
IF((G192="4/8"),((база!$J$5*2*Таблица1[[#This Row],[Столбец1]]*Таблица1[[#This Row],[коэф]])),
IF(OR(G192="3/8",G192="2/8"),((база!$J$4*2*Таблица1[[#This Row],[Столбец1]]*Таблица1[[#This Row],[коэф]])))))))))))))),
(IF((G192="5/24"),((база!$M$6*2*Таблица1[[#This Row],[Столбец1]]*Таблица1[[#This Row],[коэф]])),
IF(OR(G192="4/24",G192="3/24"),((база!$M$5*2*Таблица1[[#This Row],[Столбец1]]*Таблица1[[#This Row],[коэф]])),
IF((G192="5/16"),((база!$L$6*2*Таблица1[[#This Row],[Столбец1]]*Таблица1[[#This Row],[коэф]])),
IF(OR(G192="4/16",G192="3/16"),((база!$L$5*2*Таблица1[[#This Row],[Столбец1]]*Таблица1[[#This Row],[коэф]])),
IF(OR(G192="2/4",G192="3/4",G192="4/4"),((база!$I$5*2*Таблица1[[#This Row],[Столбец1]]*Таблица1[[#This Row],[коэф]])),
IF((G192="5/8"),((база!$J$6*2*Таблица1[[#This Row],[Столбец1]]*Таблица1[[#This Row],[коэф]])),
IF(OR(G192="4/8",G192="3/8",G192="2/8"),((база!$J$5*2*Таблица1[[#This Row],[Столбец1]]*Таблица1[[#This Row],[коэф]])))))))))))</f>
        <v>0</v>
      </c>
      <c r="AQ192" s="712" t="str">
        <f>IFERROR(INDEX(база!T:T, MATCH(F192,база!Q:Q,0)),"")</f>
        <v/>
      </c>
      <c r="AR192" s="208" t="str">
        <f>IFERROR(INDEX(база!D:D, MATCH(F192,база!B:B,0)),"")</f>
        <v/>
      </c>
      <c r="AS192" s="758" t="str">
        <f>IFERROR(INDEX(база!E:E, MATCH(F192,база!B:B,0)),"")</f>
        <v/>
      </c>
    </row>
    <row r="193" spans="1:45" ht="15">
      <c r="A193" s="66" t="str">
        <f t="shared" si="4"/>
        <v>январь</v>
      </c>
      <c r="B193" s="231">
        <v>2024</v>
      </c>
      <c r="C193" s="299"/>
      <c r="D193" s="61"/>
      <c r="E193" s="211"/>
      <c r="F193" s="679"/>
      <c r="G193" s="47"/>
      <c r="H193" s="563"/>
      <c r="I193" s="563"/>
      <c r="J193" s="563"/>
      <c r="K193" s="563"/>
      <c r="L193" s="563"/>
      <c r="M193" s="563"/>
      <c r="N193" s="563"/>
      <c r="O193" s="563"/>
      <c r="P193" s="300"/>
      <c r="Q193" s="563"/>
      <c r="R193" s="563"/>
      <c r="S193" s="563"/>
      <c r="T193" s="563"/>
      <c r="U193" s="563"/>
      <c r="V193" s="563"/>
      <c r="W193" s="563"/>
      <c r="X193" s="563"/>
      <c r="Y193" s="563"/>
      <c r="Z193" s="563"/>
      <c r="AA193" s="563"/>
      <c r="AB193" s="563"/>
      <c r="AC193" s="563"/>
      <c r="AD193" s="563"/>
      <c r="AE193" s="48"/>
      <c r="AF193" s="258"/>
      <c r="AG193" s="48"/>
      <c r="AH193" s="48"/>
      <c r="AI193" s="48"/>
      <c r="AJ193" s="48"/>
      <c r="AK193" s="48"/>
      <c r="AL193" s="51"/>
      <c r="AM193" s="212">
        <f>IF(AQ193=1,SUM(Q193:T193,W193:Z193,AC193:AF193,AI193:AL193),
IF(AQ193=2,SUM(P193,S193:V193,Y193:AB193,AE193:AH193,AK193:AL193),
IF(AQ193=3,SUM(P193:R193,U193:X193,AA193:AD193,AG193:AJ193),SUM(Таблица1[[#This Row],[1]:[31]])-Таблица1[[#This Row],[Столбец1]])))</f>
        <v>0</v>
      </c>
      <c r="AN193" s="778">
        <f t="array" ref="AN193">IF(AQ193=1,SUM(P193,U193:V193,AA193:AB193,AG193:AH193),
IF(AQ193=2,SUM(Q193:R193,W193:X193,AC193:AD193,AI193:AJ193),
IF(AQ193=3,SUM(S193:T193,Y193:Z193,AE193:AF193,AK193:AL193),
SUM(IFERROR(WEEKDAY($H$2:$AL$2,2)&gt;5,)*H193:AL193))))+Таблица1[[#This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93" s="292" t="b">
        <f>IF(AR193&lt;=3,(IF((G193="5/24"),((база!$M$6*Таблица1[[#This Row],[сумма]]*Таблица1[[#This Row],[коэф]])),
IF((G193="4/24"),((база!$M$5*Таблица1[[#This Row],[сумма]]*Таблица1[[#This Row],[коэф]])),
IF((G193="3/24"),((база!$M$4*Таблица1[[#This Row],[сумма]]*Таблица1[[#This Row],[коэф]])),
IF((G193="5/16"),((база!$L$6*Таблица1[[#This Row],[сумма]]*Таблица1[[#This Row],[коэф]])),
IF((G193="4/16"),((база!$L$5*Таблица1[[#This Row],[сумма]]*Таблица1[[#This Row],[коэф]])),
IF((G193="3/16"),((база!$L$4*Таблица1[[#This Row],[сумма]]*Таблица1[[#This Row],[коэф]])),
IF((G193="4/4"),((база!$I$5*Таблица1[[#This Row],[сумма]]*Таблица1[[#This Row],[коэф]])),
IF(OR(G193="2/4",G193="3/4"),((база!$I$4*Таблица1[[#This Row],[сумма]]*Таблица1[[#This Row],[коэф]])),
IF((G193="5/8"),((база!$J$6*Таблица1[[#This Row],[сумма]]*Таблица1[[#This Row],[коэф]])),
IF((G193="4/8"),((база!$J$5*Таблица1[[#This Row],[сумма]]*Таблица1[[#This Row],[коэф]])),
IF(OR(G193="3/8",G193="2/8"),((база!$J$4*Таблица1[[#This Row],[сумма]]*Таблица1[[#This Row],[коэф]])))))))))))))),
(IF((G193="5/24"),((база!$M$6*Таблица1[[#This Row],[сумма]]*Таблица1[[#This Row],[коэф]])),
IF(OR(G193="4/24",G193="3/24"),((база!$M$5*Таблица1[[#This Row],[сумма]]*Таблица1[[#This Row],[коэф]])),
IF((G193="5/16"),((база!$L$6*Таблица1[[#This Row],[сумма]]*Таблица1[[#This Row],[коэф]])),
IF(OR(G193="4/16",G193="3/16"),((база!$L$5*Таблица1[[#This Row],[сумма]]*Таблица1[[#This Row],[коэф]])),
IF(OR(G193="2/4",G193="3/4",G193="4/4"),((база!$I$5*Таблица1[[#This Row],[сумма]]*Таблица1[[#This Row],[коэф]])),
IF((G193="5/8"),((база!$J$6*Таблица1[[#This Row],[сумма]]*Таблица1[[#This Row],[коэф]])),
IF(OR(G193="4/8",G193="3/8",G193="2/8"),((база!$J$5*Таблица1[[#This Row],[сумма]]*Таблица1[[#This Row],[коэф]])))))))))))</f>
        <v>0</v>
      </c>
      <c r="AP193" s="730" t="b">
        <f>IF(AR193&lt;=3,(IF((G193="5/24"),((база!$M$6*2*Таблица1[[#This Row],[Столбец1]]*Таблица1[[#This Row],[коэф]])),
IF((G193="4/24"),((база!$M$5*2*Таблица1[[#This Row],[Столбец1]]*Таблица1[[#This Row],[коэф]])),
IF((G193="3/24"),((база!$M$4*2*Таблица1[[#This Row],[Столбец1]]*Таблица1[[#This Row],[коэф]])),
IF((G193="5/16"),((база!$L$6*2*Таблица1[[#This Row],[Столбец1]]*Таблица1[[#This Row],[коэф]])),
IF((G193="4/16"),((база!$L$5*2*Таблица1[[#This Row],[Столбец1]]*Таблица1[[#This Row],[коэф]])),
IF((G193="3/16"),((база!$L$4*2*Таблица1[[#This Row],[Столбец1]]*Таблица1[[#This Row],[коэф]])),
IF((G193="4/4"),((база!$I$5*2*Таблица1[[#This Row],[Столбец1]]*Таблица1[[#This Row],[коэф]])),
IF(OR(G193="2/4",G193="3/4"),((база!$I$4*2*Таблица1[[#This Row],[Столбец1]]*Таблица1[[#This Row],[коэф]])),
IF((G193="5/8"),((база!$J$6*2*Таблица1[[#This Row],[Столбец1]]*Таблица1[[#This Row],[коэф]])),
IF((G193="4/8"),((база!$J$5*2*Таблица1[[#This Row],[Столбец1]]*Таблица1[[#This Row],[коэф]])),
IF(OR(G193="3/8",G193="2/8"),((база!$J$4*2*Таблица1[[#This Row],[Столбец1]]*Таблица1[[#This Row],[коэф]])))))))))))))),
(IF((G193="5/24"),((база!$M$6*2*Таблица1[[#This Row],[Столбец1]]*Таблица1[[#This Row],[коэф]])),
IF(OR(G193="4/24",G193="3/24"),((база!$M$5*2*Таблица1[[#This Row],[Столбец1]]*Таблица1[[#This Row],[коэф]])),
IF((G193="5/16"),((база!$L$6*2*Таблица1[[#This Row],[Столбец1]]*Таблица1[[#This Row],[коэф]])),
IF(OR(G193="4/16",G193="3/16"),((база!$L$5*2*Таблица1[[#This Row],[Столбец1]]*Таблица1[[#This Row],[коэф]])),
IF(OR(G193="2/4",G193="3/4",G193="4/4"),((база!$I$5*2*Таблица1[[#This Row],[Столбец1]]*Таблица1[[#This Row],[коэф]])),
IF((G193="5/8"),((база!$J$6*2*Таблица1[[#This Row],[Столбец1]]*Таблица1[[#This Row],[коэф]])),
IF(OR(G193="4/8",G193="3/8",G193="2/8"),((база!$J$5*2*Таблица1[[#This Row],[Столбец1]]*Таблица1[[#This Row],[коэф]])))))))))))</f>
        <v>0</v>
      </c>
      <c r="AQ193" s="712" t="str">
        <f>IFERROR(INDEX(база!T:T, MATCH(F193,база!Q:Q,0)),"")</f>
        <v/>
      </c>
      <c r="AR193" s="208" t="str">
        <f>IFERROR(INDEX(база!D:D, MATCH(F193,база!B:B,0)),"")</f>
        <v/>
      </c>
      <c r="AS193" s="758" t="str">
        <f>IFERROR(INDEX(база!E:E, MATCH(F193,база!B:B,0)),"")</f>
        <v/>
      </c>
    </row>
    <row r="194" spans="1:45" ht="15">
      <c r="A194" s="66" t="str">
        <f t="shared" si="4"/>
        <v>январь</v>
      </c>
      <c r="B194" s="231">
        <v>2024</v>
      </c>
      <c r="C194" s="60"/>
      <c r="D194" s="61"/>
      <c r="E194" s="211"/>
      <c r="F194" s="679"/>
      <c r="G194" s="47"/>
      <c r="H194" s="563"/>
      <c r="I194" s="563"/>
      <c r="J194" s="563"/>
      <c r="K194" s="563"/>
      <c r="L194" s="563"/>
      <c r="M194" s="563"/>
      <c r="N194" s="563"/>
      <c r="O194" s="563"/>
      <c r="P194" s="300"/>
      <c r="Q194" s="563"/>
      <c r="R194" s="563"/>
      <c r="S194" s="563"/>
      <c r="T194" s="563"/>
      <c r="U194" s="563"/>
      <c r="V194" s="563"/>
      <c r="W194" s="563"/>
      <c r="X194" s="563"/>
      <c r="Y194" s="563"/>
      <c r="Z194" s="563"/>
      <c r="AA194" s="563"/>
      <c r="AB194" s="563"/>
      <c r="AC194" s="563"/>
      <c r="AD194" s="48"/>
      <c r="AE194" s="48"/>
      <c r="AF194" s="258"/>
      <c r="AG194" s="48"/>
      <c r="AH194" s="48"/>
      <c r="AI194" s="258"/>
      <c r="AJ194" s="258"/>
      <c r="AK194" s="258"/>
      <c r="AL194" s="258"/>
      <c r="AM194" s="212">
        <f>IF(AQ194=1,SUM(Q194:T194,W194:Z194,AC194:AF194,AI194:AL194),
IF(AQ194=2,SUM(P194,S194:V194,Y194:AB194,AE194:AH194,AK194:AL194),
IF(AQ194=3,SUM(P194:R194,U194:X194,AA194:AD194,AG194:AJ194),SUM(Таблица1[[#This Row],[1]:[31]])-Таблица1[[#This Row],[Столбец1]])))</f>
        <v>0</v>
      </c>
      <c r="AN194" s="778">
        <f t="array" ref="AN194">IF(AQ194=1,SUM(P194,U194:V194,AA194:AB194,AG194:AH194),
IF(AQ194=2,SUM(Q194:R194,W194:X194,AC194:AD194,AI194:AJ194),
IF(AQ194=3,SUM(S194:T194,Y194:Z194,AE194:AF194,AK194:AL194),
SUM(IFERROR(WEEKDAY($H$2:$AL$2,2)&gt;5,)*H194:AL194))))+Таблица1[[#This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94" s="292" t="b">
        <f>IF(AR194&lt;=3,(IF((G194="5/24"),((база!$M$6*Таблица1[[#This Row],[сумма]]*Таблица1[[#This Row],[коэф]])),
IF((G194="4/24"),((база!$M$5*Таблица1[[#This Row],[сумма]]*Таблица1[[#This Row],[коэф]])),
IF((G194="3/24"),((база!$M$4*Таблица1[[#This Row],[сумма]]*Таблица1[[#This Row],[коэф]])),
IF((G194="5/16"),((база!$L$6*Таблица1[[#This Row],[сумма]]*Таблица1[[#This Row],[коэф]])),
IF((G194="4/16"),((база!$L$5*Таблица1[[#This Row],[сумма]]*Таблица1[[#This Row],[коэф]])),
IF((G194="3/16"),((база!$L$4*Таблица1[[#This Row],[сумма]]*Таблица1[[#This Row],[коэф]])),
IF((G194="4/4"),((база!$I$5*Таблица1[[#This Row],[сумма]]*Таблица1[[#This Row],[коэф]])),
IF(OR(G194="2/4",G194="3/4"),((база!$I$4*Таблица1[[#This Row],[сумма]]*Таблица1[[#This Row],[коэф]])),
IF((G194="5/8"),((база!$J$6*Таблица1[[#This Row],[сумма]]*Таблица1[[#This Row],[коэф]])),
IF((G194="4/8"),((база!$J$5*Таблица1[[#This Row],[сумма]]*Таблица1[[#This Row],[коэф]])),
IF(OR(G194="3/8",G194="2/8"),((база!$J$4*Таблица1[[#This Row],[сумма]]*Таблица1[[#This Row],[коэф]])))))))))))))),
(IF((G194="5/24"),((база!$M$6*Таблица1[[#This Row],[сумма]]*Таблица1[[#This Row],[коэф]])),
IF(OR(G194="4/24",G194="3/24"),((база!$M$5*Таблица1[[#This Row],[сумма]]*Таблица1[[#This Row],[коэф]])),
IF((G194="5/16"),((база!$L$6*Таблица1[[#This Row],[сумма]]*Таблица1[[#This Row],[коэф]])),
IF(OR(G194="4/16",G194="3/16"),((база!$L$5*Таблица1[[#This Row],[сумма]]*Таблица1[[#This Row],[коэф]])),
IF(OR(G194="2/4",G194="3/4",G194="4/4"),((база!$I$5*Таблица1[[#This Row],[сумма]]*Таблица1[[#This Row],[коэф]])),
IF((G194="5/8"),((база!$J$6*Таблица1[[#This Row],[сумма]]*Таблица1[[#This Row],[коэф]])),
IF(OR(G194="4/8",G194="3/8",G194="2/8"),((база!$J$5*Таблица1[[#This Row],[сумма]]*Таблица1[[#This Row],[коэф]])))))))))))</f>
        <v>0</v>
      </c>
      <c r="AP194" s="730" t="b">
        <f>IF(AR194&lt;=3,(IF((G194="5/24"),((база!$M$6*2*Таблица1[[#This Row],[Столбец1]]*Таблица1[[#This Row],[коэф]])),
IF((G194="4/24"),((база!$M$5*2*Таблица1[[#This Row],[Столбец1]]*Таблица1[[#This Row],[коэф]])),
IF((G194="3/24"),((база!$M$4*2*Таблица1[[#This Row],[Столбец1]]*Таблица1[[#This Row],[коэф]])),
IF((G194="5/16"),((база!$L$6*2*Таблица1[[#This Row],[Столбец1]]*Таблица1[[#This Row],[коэф]])),
IF((G194="4/16"),((база!$L$5*2*Таблица1[[#This Row],[Столбец1]]*Таблица1[[#This Row],[коэф]])),
IF((G194="3/16"),((база!$L$4*2*Таблица1[[#This Row],[Столбец1]]*Таблица1[[#This Row],[коэф]])),
IF((G194="4/4"),((база!$I$5*2*Таблица1[[#This Row],[Столбец1]]*Таблица1[[#This Row],[коэф]])),
IF(OR(G194="2/4",G194="3/4"),((база!$I$4*2*Таблица1[[#This Row],[Столбец1]]*Таблица1[[#This Row],[коэф]])),
IF((G194="5/8"),((база!$J$6*2*Таблица1[[#This Row],[Столбец1]]*Таблица1[[#This Row],[коэф]])),
IF((G194="4/8"),((база!$J$5*2*Таблица1[[#This Row],[Столбец1]]*Таблица1[[#This Row],[коэф]])),
IF(OR(G194="3/8",G194="2/8"),((база!$J$4*2*Таблица1[[#This Row],[Столбец1]]*Таблица1[[#This Row],[коэф]])))))))))))))),
(IF((G194="5/24"),((база!$M$6*2*Таблица1[[#This Row],[Столбец1]]*Таблица1[[#This Row],[коэф]])),
IF(OR(G194="4/24",G194="3/24"),((база!$M$5*2*Таблица1[[#This Row],[Столбец1]]*Таблица1[[#This Row],[коэф]])),
IF((G194="5/16"),((база!$L$6*2*Таблица1[[#This Row],[Столбец1]]*Таблица1[[#This Row],[коэф]])),
IF(OR(G194="4/16",G194="3/16"),((база!$L$5*2*Таблица1[[#This Row],[Столбец1]]*Таблица1[[#This Row],[коэф]])),
IF(OR(G194="2/4",G194="3/4",G194="4/4"),((база!$I$5*2*Таблица1[[#This Row],[Столбец1]]*Таблица1[[#This Row],[коэф]])),
IF((G194="5/8"),((база!$J$6*2*Таблица1[[#This Row],[Столбец1]]*Таблица1[[#This Row],[коэф]])),
IF(OR(G194="4/8",G194="3/8",G194="2/8"),((база!$J$5*2*Таблица1[[#This Row],[Столбец1]]*Таблица1[[#This Row],[коэф]])))))))))))</f>
        <v>0</v>
      </c>
      <c r="AQ194" s="712" t="str">
        <f>IFERROR(INDEX(база!T:T, MATCH(F194,база!Q:Q,0)),"")</f>
        <v/>
      </c>
      <c r="AR194" s="208" t="str">
        <f>IFERROR(INDEX(база!D:D, MATCH(F194,база!B:B,0)),"")</f>
        <v/>
      </c>
      <c r="AS194" s="758" t="str">
        <f>IFERROR(INDEX(база!E:E, MATCH(F194,база!B:B,0)),"")</f>
        <v/>
      </c>
    </row>
    <row r="195" spans="1:45" ht="15">
      <c r="A195" s="66" t="str">
        <f t="shared" si="4"/>
        <v>январь</v>
      </c>
      <c r="B195" s="231">
        <v>2024</v>
      </c>
      <c r="C195" s="60"/>
      <c r="D195" s="61"/>
      <c r="E195" s="211"/>
      <c r="F195" s="679"/>
      <c r="G195" s="47"/>
      <c r="H195" s="563"/>
      <c r="I195" s="563"/>
      <c r="J195" s="563"/>
      <c r="K195" s="563"/>
      <c r="L195" s="563"/>
      <c r="M195" s="563"/>
      <c r="N195" s="563"/>
      <c r="O195" s="563"/>
      <c r="P195" s="300"/>
      <c r="Q195" s="563"/>
      <c r="R195" s="563"/>
      <c r="S195" s="563"/>
      <c r="T195" s="563"/>
      <c r="U195" s="563"/>
      <c r="V195" s="563"/>
      <c r="W195" s="563"/>
      <c r="X195" s="563"/>
      <c r="Y195" s="563"/>
      <c r="Z195" s="563"/>
      <c r="AA195" s="563"/>
      <c r="AB195" s="563"/>
      <c r="AC195" s="563"/>
      <c r="AD195" s="48"/>
      <c r="AE195" s="48"/>
      <c r="AF195" s="258"/>
      <c r="AG195" s="48"/>
      <c r="AH195" s="48"/>
      <c r="AI195" s="48"/>
      <c r="AJ195" s="48"/>
      <c r="AK195" s="48"/>
      <c r="AL195" s="51"/>
      <c r="AM195" s="212">
        <f>IF(AQ195=1,SUM(Q195:T195,W195:Z195,AC195:AF195,AI195:AL195),
IF(AQ195=2,SUM(P195,S195:V195,Y195:AB195,AE195:AH195,AK195:AL195),
IF(AQ195=3,SUM(P195:R195,U195:X195,AA195:AD195,AG195:AJ195),SUM(Таблица1[[#This Row],[1]:[31]])-Таблица1[[#This Row],[Столбец1]])))</f>
        <v>0</v>
      </c>
      <c r="AN195" s="778">
        <f t="array" ref="AN195">IF(AQ195=1,SUM(P195,U195:V195,AA195:AB195,AG195:AH195),
IF(AQ195=2,SUM(Q195:R195,W195:X195,AC195:AD195,AI195:AJ195),
IF(AQ195=3,SUM(S195:T195,Y195:Z195,AE195:AF195,AK195:AL195),
SUM(IFERROR(WEEKDAY($H$2:$AL$2,2)&gt;5,)*H195:AL195))))+Таблица1[[#This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95" s="292" t="b">
        <f>IF(AR195&lt;=3,(IF((G195="5/24"),((база!$M$6*Таблица1[[#This Row],[сумма]]*Таблица1[[#This Row],[коэф]])),
IF((G195="4/24"),((база!$M$5*Таблица1[[#This Row],[сумма]]*Таблица1[[#This Row],[коэф]])),
IF((G195="3/24"),((база!$M$4*Таблица1[[#This Row],[сумма]]*Таблица1[[#This Row],[коэф]])),
IF((G195="5/16"),((база!$L$6*Таблица1[[#This Row],[сумма]]*Таблица1[[#This Row],[коэф]])),
IF((G195="4/16"),((база!$L$5*Таблица1[[#This Row],[сумма]]*Таблица1[[#This Row],[коэф]])),
IF((G195="3/16"),((база!$L$4*Таблица1[[#This Row],[сумма]]*Таблица1[[#This Row],[коэф]])),
IF((G195="4/4"),((база!$I$5*Таблица1[[#This Row],[сумма]]*Таблица1[[#This Row],[коэф]])),
IF(OR(G195="2/4",G195="3/4"),((база!$I$4*Таблица1[[#This Row],[сумма]]*Таблица1[[#This Row],[коэф]])),
IF((G195="5/8"),((база!$J$6*Таблица1[[#This Row],[сумма]]*Таблица1[[#This Row],[коэф]])),
IF((G195="4/8"),((база!$J$5*Таблица1[[#This Row],[сумма]]*Таблица1[[#This Row],[коэф]])),
IF(OR(G195="3/8",G195="2/8"),((база!$J$4*Таблица1[[#This Row],[сумма]]*Таблица1[[#This Row],[коэф]])))))))))))))),
(IF((G195="5/24"),((база!$M$6*Таблица1[[#This Row],[сумма]]*Таблица1[[#This Row],[коэф]])),
IF(OR(G195="4/24",G195="3/24"),((база!$M$5*Таблица1[[#This Row],[сумма]]*Таблица1[[#This Row],[коэф]])),
IF((G195="5/16"),((база!$L$6*Таблица1[[#This Row],[сумма]]*Таблица1[[#This Row],[коэф]])),
IF(OR(G195="4/16",G195="3/16"),((база!$L$5*Таблица1[[#This Row],[сумма]]*Таблица1[[#This Row],[коэф]])),
IF(OR(G195="2/4",G195="3/4",G195="4/4"),((база!$I$5*Таблица1[[#This Row],[сумма]]*Таблица1[[#This Row],[коэф]])),
IF((G195="5/8"),((база!$J$6*Таблица1[[#This Row],[сумма]]*Таблица1[[#This Row],[коэф]])),
IF(OR(G195="4/8",G195="3/8",G195="2/8"),((база!$J$5*Таблица1[[#This Row],[сумма]]*Таблица1[[#This Row],[коэф]])))))))))))</f>
        <v>0</v>
      </c>
      <c r="AP195" s="730" t="b">
        <f>IF(AR195&lt;=3,(IF((G195="5/24"),((база!$M$6*2*Таблица1[[#This Row],[Столбец1]]*Таблица1[[#This Row],[коэф]])),
IF((G195="4/24"),((база!$M$5*2*Таблица1[[#This Row],[Столбец1]]*Таблица1[[#This Row],[коэф]])),
IF((G195="3/24"),((база!$M$4*2*Таблица1[[#This Row],[Столбец1]]*Таблица1[[#This Row],[коэф]])),
IF((G195="5/16"),((база!$L$6*2*Таблица1[[#This Row],[Столбец1]]*Таблица1[[#This Row],[коэф]])),
IF((G195="4/16"),((база!$L$5*2*Таблица1[[#This Row],[Столбец1]]*Таблица1[[#This Row],[коэф]])),
IF((G195="3/16"),((база!$L$4*2*Таблица1[[#This Row],[Столбец1]]*Таблица1[[#This Row],[коэф]])),
IF((G195="4/4"),((база!$I$5*2*Таблица1[[#This Row],[Столбец1]]*Таблица1[[#This Row],[коэф]])),
IF(OR(G195="2/4",G195="3/4"),((база!$I$4*2*Таблица1[[#This Row],[Столбец1]]*Таблица1[[#This Row],[коэф]])),
IF((G195="5/8"),((база!$J$6*2*Таблица1[[#This Row],[Столбец1]]*Таблица1[[#This Row],[коэф]])),
IF((G195="4/8"),((база!$J$5*2*Таблица1[[#This Row],[Столбец1]]*Таблица1[[#This Row],[коэф]])),
IF(OR(G195="3/8",G195="2/8"),((база!$J$4*2*Таблица1[[#This Row],[Столбец1]]*Таблица1[[#This Row],[коэф]])))))))))))))),
(IF((G195="5/24"),((база!$M$6*2*Таблица1[[#This Row],[Столбец1]]*Таблица1[[#This Row],[коэф]])),
IF(OR(G195="4/24",G195="3/24"),((база!$M$5*2*Таблица1[[#This Row],[Столбец1]]*Таблица1[[#This Row],[коэф]])),
IF((G195="5/16"),((база!$L$6*2*Таблица1[[#This Row],[Столбец1]]*Таблица1[[#This Row],[коэф]])),
IF(OR(G195="4/16",G195="3/16"),((база!$L$5*2*Таблица1[[#This Row],[Столбец1]]*Таблица1[[#This Row],[коэф]])),
IF(OR(G195="2/4",G195="3/4",G195="4/4"),((база!$I$5*2*Таблица1[[#This Row],[Столбец1]]*Таблица1[[#This Row],[коэф]])),
IF((G195="5/8"),((база!$J$6*2*Таблица1[[#This Row],[Столбец1]]*Таблица1[[#This Row],[коэф]])),
IF(OR(G195="4/8",G195="3/8",G195="2/8"),((база!$J$5*2*Таблица1[[#This Row],[Столбец1]]*Таблица1[[#This Row],[коэф]])))))))))))</f>
        <v>0</v>
      </c>
      <c r="AQ195" s="712" t="str">
        <f>IFERROR(INDEX(база!T:T, MATCH(F195,база!Q:Q,0)),"")</f>
        <v/>
      </c>
      <c r="AR195" s="208" t="str">
        <f>IFERROR(INDEX(база!D:D, MATCH(F195,база!B:B,0)),"")</f>
        <v/>
      </c>
      <c r="AS195" s="758" t="str">
        <f>IFERROR(INDEX(база!E:E, MATCH(F195,база!B:B,0)),"")</f>
        <v/>
      </c>
    </row>
    <row r="196" spans="1:45" ht="15">
      <c r="A196" s="66" t="str">
        <f t="shared" si="4"/>
        <v>январь</v>
      </c>
      <c r="B196" s="231">
        <v>2024</v>
      </c>
      <c r="C196" s="299"/>
      <c r="D196" s="61"/>
      <c r="E196" s="211"/>
      <c r="F196" s="679"/>
      <c r="G196" s="47"/>
      <c r="H196" s="563"/>
      <c r="I196" s="563"/>
      <c r="J196" s="563"/>
      <c r="K196" s="563"/>
      <c r="L196" s="563"/>
      <c r="M196" s="563"/>
      <c r="N196" s="563"/>
      <c r="O196" s="563"/>
      <c r="P196" s="300"/>
      <c r="Q196" s="563"/>
      <c r="R196" s="563"/>
      <c r="S196" s="563"/>
      <c r="T196" s="563"/>
      <c r="U196" s="563"/>
      <c r="V196" s="563"/>
      <c r="W196" s="563"/>
      <c r="X196" s="563"/>
      <c r="Y196" s="563"/>
      <c r="Z196" s="563"/>
      <c r="AA196" s="563"/>
      <c r="AB196" s="563"/>
      <c r="AC196" s="563"/>
      <c r="AD196" s="48"/>
      <c r="AE196" s="48"/>
      <c r="AF196" s="258"/>
      <c r="AG196" s="48"/>
      <c r="AH196" s="48"/>
      <c r="AI196" s="258"/>
      <c r="AJ196" s="258"/>
      <c r="AK196" s="258"/>
      <c r="AL196" s="258"/>
      <c r="AM196" s="212">
        <f>IF(AQ196=1,SUM(Q196:T196,W196:Z196,AC196:AF196,AI196:AL196),
IF(AQ196=2,SUM(P196,S196:V196,Y196:AB196,AE196:AH196,AK196:AL196),
IF(AQ196=3,SUM(P196:R196,U196:X196,AA196:AD196,AG196:AJ196),SUM(Таблица1[[#This Row],[1]:[31]])-Таблица1[[#This Row],[Столбец1]])))</f>
        <v>0</v>
      </c>
      <c r="AN196" s="778">
        <f t="array" ref="AN196">IF(AQ196=1,SUM(P196,U196:V196,AA196:AB196,AG196:AH196),
IF(AQ196=2,SUM(Q196:R196,W196:X196,AC196:AD196,AI196:AJ196),
IF(AQ196=3,SUM(S196:T196,Y196:Z196,AE196:AF196,AK196:AL196),
SUM(IFERROR(WEEKDAY($H$2:$AL$2,2)&gt;5,)*H196:AL196))))+Таблица1[[#This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96" s="292" t="b">
        <f>IF(AR196&lt;=3,(IF((G196="5/24"),((база!$M$6*Таблица1[[#This Row],[сумма]]*Таблица1[[#This Row],[коэф]])),
IF((G196="4/24"),((база!$M$5*Таблица1[[#This Row],[сумма]]*Таблица1[[#This Row],[коэф]])),
IF((G196="3/24"),((база!$M$4*Таблица1[[#This Row],[сумма]]*Таблица1[[#This Row],[коэф]])),
IF((G196="5/16"),((база!$L$6*Таблица1[[#This Row],[сумма]]*Таблица1[[#This Row],[коэф]])),
IF((G196="4/16"),((база!$L$5*Таблица1[[#This Row],[сумма]]*Таблица1[[#This Row],[коэф]])),
IF((G196="3/16"),((база!$L$4*Таблица1[[#This Row],[сумма]]*Таблица1[[#This Row],[коэф]])),
IF((G196="4/4"),((база!$I$5*Таблица1[[#This Row],[сумма]]*Таблица1[[#This Row],[коэф]])),
IF(OR(G196="2/4",G196="3/4"),((база!$I$4*Таблица1[[#This Row],[сумма]]*Таблица1[[#This Row],[коэф]])),
IF((G196="5/8"),((база!$J$6*Таблица1[[#This Row],[сумма]]*Таблица1[[#This Row],[коэф]])),
IF((G196="4/8"),((база!$J$5*Таблица1[[#This Row],[сумма]]*Таблица1[[#This Row],[коэф]])),
IF(OR(G196="3/8",G196="2/8"),((база!$J$4*Таблица1[[#This Row],[сумма]]*Таблица1[[#This Row],[коэф]])))))))))))))),
(IF((G196="5/24"),((база!$M$6*Таблица1[[#This Row],[сумма]]*Таблица1[[#This Row],[коэф]])),
IF(OR(G196="4/24",G196="3/24"),((база!$M$5*Таблица1[[#This Row],[сумма]]*Таблица1[[#This Row],[коэф]])),
IF((G196="5/16"),((база!$L$6*Таблица1[[#This Row],[сумма]]*Таблица1[[#This Row],[коэф]])),
IF(OR(G196="4/16",G196="3/16"),((база!$L$5*Таблица1[[#This Row],[сумма]]*Таблица1[[#This Row],[коэф]])),
IF(OR(G196="2/4",G196="3/4",G196="4/4"),((база!$I$5*Таблица1[[#This Row],[сумма]]*Таблица1[[#This Row],[коэф]])),
IF((G196="5/8"),((база!$J$6*Таблица1[[#This Row],[сумма]]*Таблица1[[#This Row],[коэф]])),
IF(OR(G196="4/8",G196="3/8",G196="2/8"),((база!$J$5*Таблица1[[#This Row],[сумма]]*Таблица1[[#This Row],[коэф]])))))))))))</f>
        <v>0</v>
      </c>
      <c r="AP196" s="730" t="b">
        <f>IF(AR196&lt;=3,(IF((G196="5/24"),((база!$M$6*2*Таблица1[[#This Row],[Столбец1]]*Таблица1[[#This Row],[коэф]])),
IF((G196="4/24"),((база!$M$5*2*Таблица1[[#This Row],[Столбец1]]*Таблица1[[#This Row],[коэф]])),
IF((G196="3/24"),((база!$M$4*2*Таблица1[[#This Row],[Столбец1]]*Таблица1[[#This Row],[коэф]])),
IF((G196="5/16"),((база!$L$6*2*Таблица1[[#This Row],[Столбец1]]*Таблица1[[#This Row],[коэф]])),
IF((G196="4/16"),((база!$L$5*2*Таблица1[[#This Row],[Столбец1]]*Таблица1[[#This Row],[коэф]])),
IF((G196="3/16"),((база!$L$4*2*Таблица1[[#This Row],[Столбец1]]*Таблица1[[#This Row],[коэф]])),
IF((G196="4/4"),((база!$I$5*2*Таблица1[[#This Row],[Столбец1]]*Таблица1[[#This Row],[коэф]])),
IF(OR(G196="2/4",G196="3/4"),((база!$I$4*2*Таблица1[[#This Row],[Столбец1]]*Таблица1[[#This Row],[коэф]])),
IF((G196="5/8"),((база!$J$6*2*Таблица1[[#This Row],[Столбец1]]*Таблица1[[#This Row],[коэф]])),
IF((G196="4/8"),((база!$J$5*2*Таблица1[[#This Row],[Столбец1]]*Таблица1[[#This Row],[коэф]])),
IF(OR(G196="3/8",G196="2/8"),((база!$J$4*2*Таблица1[[#This Row],[Столбец1]]*Таблица1[[#This Row],[коэф]])))))))))))))),
(IF((G196="5/24"),((база!$M$6*2*Таблица1[[#This Row],[Столбец1]]*Таблица1[[#This Row],[коэф]])),
IF(OR(G196="4/24",G196="3/24"),((база!$M$5*2*Таблица1[[#This Row],[Столбец1]]*Таблица1[[#This Row],[коэф]])),
IF((G196="5/16"),((база!$L$6*2*Таблица1[[#This Row],[Столбец1]]*Таблица1[[#This Row],[коэф]])),
IF(OR(G196="4/16",G196="3/16"),((база!$L$5*2*Таблица1[[#This Row],[Столбец1]]*Таблица1[[#This Row],[коэф]])),
IF(OR(G196="2/4",G196="3/4",G196="4/4"),((база!$I$5*2*Таблица1[[#This Row],[Столбец1]]*Таблица1[[#This Row],[коэф]])),
IF((G196="5/8"),((база!$J$6*2*Таблица1[[#This Row],[Столбец1]]*Таблица1[[#This Row],[коэф]])),
IF(OR(G196="4/8",G196="3/8",G196="2/8"),((база!$J$5*2*Таблица1[[#This Row],[Столбец1]]*Таблица1[[#This Row],[коэф]])))))))))))</f>
        <v>0</v>
      </c>
      <c r="AQ196" s="712" t="str">
        <f>IFERROR(INDEX(база!T:T, MATCH(F196,база!Q:Q,0)),"")</f>
        <v/>
      </c>
      <c r="AR196" s="208" t="str">
        <f>IFERROR(INDEX(база!D:D, MATCH(F196,база!B:B,0)),"")</f>
        <v/>
      </c>
      <c r="AS196" s="758" t="str">
        <f>IFERROR(INDEX(база!E:E, MATCH(F196,база!B:B,0)),"")</f>
        <v/>
      </c>
    </row>
    <row r="197" spans="1:45" ht="15">
      <c r="A197" s="66" t="str">
        <f t="shared" si="4"/>
        <v>январь</v>
      </c>
      <c r="B197" s="231">
        <v>2024</v>
      </c>
      <c r="C197" s="299"/>
      <c r="D197" s="61"/>
      <c r="E197" s="211"/>
      <c r="F197" s="679"/>
      <c r="G197" s="47"/>
      <c r="H197" s="563"/>
      <c r="I197" s="563"/>
      <c r="J197" s="563"/>
      <c r="K197" s="563"/>
      <c r="L197" s="563"/>
      <c r="M197" s="563"/>
      <c r="N197" s="563"/>
      <c r="O197" s="563"/>
      <c r="P197" s="300"/>
      <c r="Q197" s="563"/>
      <c r="R197" s="563"/>
      <c r="S197" s="563"/>
      <c r="T197" s="563"/>
      <c r="U197" s="563"/>
      <c r="V197" s="563"/>
      <c r="W197" s="563"/>
      <c r="X197" s="563"/>
      <c r="Y197" s="563"/>
      <c r="Z197" s="563"/>
      <c r="AA197" s="563"/>
      <c r="AB197" s="563"/>
      <c r="AC197" s="563"/>
      <c r="AD197" s="48"/>
      <c r="AE197" s="48"/>
      <c r="AF197" s="258"/>
      <c r="AG197" s="48"/>
      <c r="AH197" s="48"/>
      <c r="AI197" s="48"/>
      <c r="AJ197" s="48"/>
      <c r="AK197" s="48"/>
      <c r="AL197" s="51"/>
      <c r="AM197" s="212">
        <f>IF(AQ197=1,SUM(Q197:T197,W197:Z197,AC197:AF197,AI197:AL197),
IF(AQ197=2,SUM(P197,S197:V197,Y197:AB197,AE197:AH197,AK197:AL197),
IF(AQ197=3,SUM(P197:R197,U197:X197,AA197:AD197,AG197:AJ197),SUM(Таблица1[[#This Row],[1]:[31]])-Таблица1[[#This Row],[Столбец1]])))</f>
        <v>0</v>
      </c>
      <c r="AN197" s="778">
        <f t="array" ref="AN197">IF(AQ197=1,SUM(P197,U197:V197,AA197:AB197,AG197:AH197),
IF(AQ197=2,SUM(Q197:R197,W197:X197,AC197:AD197,AI197:AJ197),
IF(AQ197=3,SUM(S197:T197,Y197:Z197,AE197:AF197,AK197:AL197),
SUM(IFERROR(WEEKDAY($H$2:$AL$2,2)&gt;5,)*H197:AL197))))+Таблица1[[#This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97" s="292" t="b">
        <f>IF(AR197&lt;=3,(IF((G197="5/24"),((база!$M$6*Таблица1[[#This Row],[сумма]]*Таблица1[[#This Row],[коэф]])),
IF((G197="4/24"),((база!$M$5*Таблица1[[#This Row],[сумма]]*Таблица1[[#This Row],[коэф]])),
IF((G197="3/24"),((база!$M$4*Таблица1[[#This Row],[сумма]]*Таблица1[[#This Row],[коэф]])),
IF((G197="5/16"),((база!$L$6*Таблица1[[#This Row],[сумма]]*Таблица1[[#This Row],[коэф]])),
IF((G197="4/16"),((база!$L$5*Таблица1[[#This Row],[сумма]]*Таблица1[[#This Row],[коэф]])),
IF((G197="3/16"),((база!$L$4*Таблица1[[#This Row],[сумма]]*Таблица1[[#This Row],[коэф]])),
IF((G197="4/4"),((база!$I$5*Таблица1[[#This Row],[сумма]]*Таблица1[[#This Row],[коэф]])),
IF(OR(G197="2/4",G197="3/4"),((база!$I$4*Таблица1[[#This Row],[сумма]]*Таблица1[[#This Row],[коэф]])),
IF((G197="5/8"),((база!$J$6*Таблица1[[#This Row],[сумма]]*Таблица1[[#This Row],[коэф]])),
IF((G197="4/8"),((база!$J$5*Таблица1[[#This Row],[сумма]]*Таблица1[[#This Row],[коэф]])),
IF(OR(G197="3/8",G197="2/8"),((база!$J$4*Таблица1[[#This Row],[сумма]]*Таблица1[[#This Row],[коэф]])))))))))))))),
(IF((G197="5/24"),((база!$M$6*Таблица1[[#This Row],[сумма]]*Таблица1[[#This Row],[коэф]])),
IF(OR(G197="4/24",G197="3/24"),((база!$M$5*Таблица1[[#This Row],[сумма]]*Таблица1[[#This Row],[коэф]])),
IF((G197="5/16"),((база!$L$6*Таблица1[[#This Row],[сумма]]*Таблица1[[#This Row],[коэф]])),
IF(OR(G197="4/16",G197="3/16"),((база!$L$5*Таблица1[[#This Row],[сумма]]*Таблица1[[#This Row],[коэф]])),
IF(OR(G197="2/4",G197="3/4",G197="4/4"),((база!$I$5*Таблица1[[#This Row],[сумма]]*Таблица1[[#This Row],[коэф]])),
IF((G197="5/8"),((база!$J$6*Таблица1[[#This Row],[сумма]]*Таблица1[[#This Row],[коэф]])),
IF(OR(G197="4/8",G197="3/8",G197="2/8"),((база!$J$5*Таблица1[[#This Row],[сумма]]*Таблица1[[#This Row],[коэф]])))))))))))</f>
        <v>0</v>
      </c>
      <c r="AP197" s="730" t="b">
        <f>IF(AR197&lt;=3,(IF((G197="5/24"),((база!$M$6*2*Таблица1[[#This Row],[Столбец1]]*Таблица1[[#This Row],[коэф]])),
IF((G197="4/24"),((база!$M$5*2*Таблица1[[#This Row],[Столбец1]]*Таблица1[[#This Row],[коэф]])),
IF((G197="3/24"),((база!$M$4*2*Таблица1[[#This Row],[Столбец1]]*Таблица1[[#This Row],[коэф]])),
IF((G197="5/16"),((база!$L$6*2*Таблица1[[#This Row],[Столбец1]]*Таблица1[[#This Row],[коэф]])),
IF((G197="4/16"),((база!$L$5*2*Таблица1[[#This Row],[Столбец1]]*Таблица1[[#This Row],[коэф]])),
IF((G197="3/16"),((база!$L$4*2*Таблица1[[#This Row],[Столбец1]]*Таблица1[[#This Row],[коэф]])),
IF((G197="4/4"),((база!$I$5*2*Таблица1[[#This Row],[Столбец1]]*Таблица1[[#This Row],[коэф]])),
IF(OR(G197="2/4",G197="3/4"),((база!$I$4*2*Таблица1[[#This Row],[Столбец1]]*Таблица1[[#This Row],[коэф]])),
IF((G197="5/8"),((база!$J$6*2*Таблица1[[#This Row],[Столбец1]]*Таблица1[[#This Row],[коэф]])),
IF((G197="4/8"),((база!$J$5*2*Таблица1[[#This Row],[Столбец1]]*Таблица1[[#This Row],[коэф]])),
IF(OR(G197="3/8",G197="2/8"),((база!$J$4*2*Таблица1[[#This Row],[Столбец1]]*Таблица1[[#This Row],[коэф]])))))))))))))),
(IF((G197="5/24"),((база!$M$6*2*Таблица1[[#This Row],[Столбец1]]*Таблица1[[#This Row],[коэф]])),
IF(OR(G197="4/24",G197="3/24"),((база!$M$5*2*Таблица1[[#This Row],[Столбец1]]*Таблица1[[#This Row],[коэф]])),
IF((G197="5/16"),((база!$L$6*2*Таблица1[[#This Row],[Столбец1]]*Таблица1[[#This Row],[коэф]])),
IF(OR(G197="4/16",G197="3/16"),((база!$L$5*2*Таблица1[[#This Row],[Столбец1]]*Таблица1[[#This Row],[коэф]])),
IF(OR(G197="2/4",G197="3/4",G197="4/4"),((база!$I$5*2*Таблица1[[#This Row],[Столбец1]]*Таблица1[[#This Row],[коэф]])),
IF((G197="5/8"),((база!$J$6*2*Таблица1[[#This Row],[Столбец1]]*Таблица1[[#This Row],[коэф]])),
IF(OR(G197="4/8",G197="3/8",G197="2/8"),((база!$J$5*2*Таблица1[[#This Row],[Столбец1]]*Таблица1[[#This Row],[коэф]])))))))))))</f>
        <v>0</v>
      </c>
      <c r="AQ197" s="712" t="str">
        <f>IFERROR(INDEX(база!T:T, MATCH(F197,база!Q:Q,0)),"")</f>
        <v/>
      </c>
      <c r="AR197" s="208" t="str">
        <f>IFERROR(INDEX(база!D:D, MATCH(F197,база!B:B,0)),"")</f>
        <v/>
      </c>
      <c r="AS197" s="758" t="str">
        <f>IFERROR(INDEX(база!E:E, MATCH(F197,база!B:B,0)),"")</f>
        <v/>
      </c>
    </row>
    <row r="198" spans="1:45" ht="15">
      <c r="A198" s="66" t="str">
        <f t="shared" si="4"/>
        <v>январь</v>
      </c>
      <c r="B198" s="231">
        <v>2024</v>
      </c>
      <c r="C198" s="299"/>
      <c r="D198" s="61"/>
      <c r="E198" s="211"/>
      <c r="F198" s="679"/>
      <c r="G198" s="47"/>
      <c r="H198" s="563"/>
      <c r="I198" s="563"/>
      <c r="J198" s="563"/>
      <c r="K198" s="563"/>
      <c r="L198" s="563"/>
      <c r="M198" s="563"/>
      <c r="N198" s="563"/>
      <c r="O198" s="563"/>
      <c r="P198" s="300"/>
      <c r="Q198" s="563"/>
      <c r="R198" s="563"/>
      <c r="S198" s="563"/>
      <c r="T198" s="563"/>
      <c r="U198" s="563"/>
      <c r="V198" s="563"/>
      <c r="W198" s="563"/>
      <c r="X198" s="563"/>
      <c r="Y198" s="563"/>
      <c r="Z198" s="563"/>
      <c r="AA198" s="563"/>
      <c r="AB198" s="563"/>
      <c r="AC198" s="563"/>
      <c r="AD198" s="48"/>
      <c r="AE198" s="48"/>
      <c r="AF198" s="258"/>
      <c r="AG198" s="48"/>
      <c r="AH198" s="48"/>
      <c r="AI198" s="258"/>
      <c r="AJ198" s="258"/>
      <c r="AK198" s="258"/>
      <c r="AL198" s="258"/>
      <c r="AM198" s="212">
        <f>IF(AQ198=1,SUM(Q198:T198,W198:Z198,AC198:AF198,AI198:AL198),
IF(AQ198=2,SUM(P198,S198:V198,Y198:AB198,AE198:AH198,AK198:AL198),
IF(AQ198=3,SUM(P198:R198,U198:X198,AA198:AD198,AG198:AJ198),SUM(Таблица1[[#This Row],[1]:[31]])-Таблица1[[#This Row],[Столбец1]])))</f>
        <v>0</v>
      </c>
      <c r="AN198" s="778">
        <f t="array" ref="AN198">IF(AQ198=1,SUM(P198,U198:V198,AA198:AB198,AG198:AH198),
IF(AQ198=2,SUM(Q198:R198,W198:X198,AC198:AD198,AI198:AJ198),
IF(AQ198=3,SUM(S198:T198,Y198:Z198,AE198:AF198,AK198:AL198),
SUM(IFERROR(WEEKDAY($H$2:$AL$2,2)&gt;5,)*H198:AL198))))+Таблица1[[#This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98" s="292" t="b">
        <f>IF(AR198&lt;=3,(IF((G198="5/24"),((база!$M$6*Таблица1[[#This Row],[сумма]]*Таблица1[[#This Row],[коэф]])),
IF((G198="4/24"),((база!$M$5*Таблица1[[#This Row],[сумма]]*Таблица1[[#This Row],[коэф]])),
IF((G198="3/24"),((база!$M$4*Таблица1[[#This Row],[сумма]]*Таблица1[[#This Row],[коэф]])),
IF((G198="5/16"),((база!$L$6*Таблица1[[#This Row],[сумма]]*Таблица1[[#This Row],[коэф]])),
IF((G198="4/16"),((база!$L$5*Таблица1[[#This Row],[сумма]]*Таблица1[[#This Row],[коэф]])),
IF((G198="3/16"),((база!$L$4*Таблица1[[#This Row],[сумма]]*Таблица1[[#This Row],[коэф]])),
IF((G198="4/4"),((база!$I$5*Таблица1[[#This Row],[сумма]]*Таблица1[[#This Row],[коэф]])),
IF(OR(G198="2/4",G198="3/4"),((база!$I$4*Таблица1[[#This Row],[сумма]]*Таблица1[[#This Row],[коэф]])),
IF((G198="5/8"),((база!$J$6*Таблица1[[#This Row],[сумма]]*Таблица1[[#This Row],[коэф]])),
IF((G198="4/8"),((база!$J$5*Таблица1[[#This Row],[сумма]]*Таблица1[[#This Row],[коэф]])),
IF(OR(G198="3/8",G198="2/8"),((база!$J$4*Таблица1[[#This Row],[сумма]]*Таблица1[[#This Row],[коэф]])))))))))))))),
(IF((G198="5/24"),((база!$M$6*Таблица1[[#This Row],[сумма]]*Таблица1[[#This Row],[коэф]])),
IF(OR(G198="4/24",G198="3/24"),((база!$M$5*Таблица1[[#This Row],[сумма]]*Таблица1[[#This Row],[коэф]])),
IF((G198="5/16"),((база!$L$6*Таблица1[[#This Row],[сумма]]*Таблица1[[#This Row],[коэф]])),
IF(OR(G198="4/16",G198="3/16"),((база!$L$5*Таблица1[[#This Row],[сумма]]*Таблица1[[#This Row],[коэф]])),
IF(OR(G198="2/4",G198="3/4",G198="4/4"),((база!$I$5*Таблица1[[#This Row],[сумма]]*Таблица1[[#This Row],[коэф]])),
IF((G198="5/8"),((база!$J$6*Таблица1[[#This Row],[сумма]]*Таблица1[[#This Row],[коэф]])),
IF(OR(G198="4/8",G198="3/8",G198="2/8"),((база!$J$5*Таблица1[[#This Row],[сумма]]*Таблица1[[#This Row],[коэф]])))))))))))</f>
        <v>0</v>
      </c>
      <c r="AP198" s="730" t="b">
        <f>IF(AR198&lt;=3,(IF((G198="5/24"),((база!$M$6*2*Таблица1[[#This Row],[Столбец1]]*Таблица1[[#This Row],[коэф]])),
IF((G198="4/24"),((база!$M$5*2*Таблица1[[#This Row],[Столбец1]]*Таблица1[[#This Row],[коэф]])),
IF((G198="3/24"),((база!$M$4*2*Таблица1[[#This Row],[Столбец1]]*Таблица1[[#This Row],[коэф]])),
IF((G198="5/16"),((база!$L$6*2*Таблица1[[#This Row],[Столбец1]]*Таблица1[[#This Row],[коэф]])),
IF((G198="4/16"),((база!$L$5*2*Таблица1[[#This Row],[Столбец1]]*Таблица1[[#This Row],[коэф]])),
IF((G198="3/16"),((база!$L$4*2*Таблица1[[#This Row],[Столбец1]]*Таблица1[[#This Row],[коэф]])),
IF((G198="4/4"),((база!$I$5*2*Таблица1[[#This Row],[Столбец1]]*Таблица1[[#This Row],[коэф]])),
IF(OR(G198="2/4",G198="3/4"),((база!$I$4*2*Таблица1[[#This Row],[Столбец1]]*Таблица1[[#This Row],[коэф]])),
IF((G198="5/8"),((база!$J$6*2*Таблица1[[#This Row],[Столбец1]]*Таблица1[[#This Row],[коэф]])),
IF((G198="4/8"),((база!$J$5*2*Таблица1[[#This Row],[Столбец1]]*Таблица1[[#This Row],[коэф]])),
IF(OR(G198="3/8",G198="2/8"),((база!$J$4*2*Таблица1[[#This Row],[Столбец1]]*Таблица1[[#This Row],[коэф]])))))))))))))),
(IF((G198="5/24"),((база!$M$6*2*Таблица1[[#This Row],[Столбец1]]*Таблица1[[#This Row],[коэф]])),
IF(OR(G198="4/24",G198="3/24"),((база!$M$5*2*Таблица1[[#This Row],[Столбец1]]*Таблица1[[#This Row],[коэф]])),
IF((G198="5/16"),((база!$L$6*2*Таблица1[[#This Row],[Столбец1]]*Таблица1[[#This Row],[коэф]])),
IF(OR(G198="4/16",G198="3/16"),((база!$L$5*2*Таблица1[[#This Row],[Столбец1]]*Таблица1[[#This Row],[коэф]])),
IF(OR(G198="2/4",G198="3/4",G198="4/4"),((база!$I$5*2*Таблица1[[#This Row],[Столбец1]]*Таблица1[[#This Row],[коэф]])),
IF((G198="5/8"),((база!$J$6*2*Таблица1[[#This Row],[Столбец1]]*Таблица1[[#This Row],[коэф]])),
IF(OR(G198="4/8",G198="3/8",G198="2/8"),((база!$J$5*2*Таблица1[[#This Row],[Столбец1]]*Таблица1[[#This Row],[коэф]])))))))))))</f>
        <v>0</v>
      </c>
      <c r="AQ198" s="712" t="str">
        <f>IFERROR(INDEX(база!T:T, MATCH(F198,база!Q:Q,0)),"")</f>
        <v/>
      </c>
      <c r="AR198" s="208" t="str">
        <f>IFERROR(INDEX(база!D:D, MATCH(F198,база!B:B,0)),"")</f>
        <v/>
      </c>
      <c r="AS198" s="758" t="str">
        <f>IFERROR(INDEX(база!E:E, MATCH(F198,база!B:B,0)),"")</f>
        <v/>
      </c>
    </row>
    <row r="199" spans="1:45" ht="15">
      <c r="A199" s="66" t="str">
        <f t="shared" si="4"/>
        <v>январь</v>
      </c>
      <c r="B199" s="231">
        <v>2024</v>
      </c>
      <c r="C199" s="299"/>
      <c r="D199" s="61"/>
      <c r="E199" s="211"/>
      <c r="F199" s="679"/>
      <c r="G199" s="47"/>
      <c r="H199" s="563"/>
      <c r="I199" s="563"/>
      <c r="J199" s="563"/>
      <c r="K199" s="563"/>
      <c r="L199" s="563"/>
      <c r="M199" s="563"/>
      <c r="N199" s="563"/>
      <c r="O199" s="563"/>
      <c r="P199" s="300"/>
      <c r="Q199" s="563"/>
      <c r="R199" s="563"/>
      <c r="S199" s="563"/>
      <c r="T199" s="563"/>
      <c r="U199" s="563"/>
      <c r="V199" s="563"/>
      <c r="W199" s="563"/>
      <c r="X199" s="563"/>
      <c r="Y199" s="563"/>
      <c r="Z199" s="563"/>
      <c r="AA199" s="563"/>
      <c r="AB199" s="563"/>
      <c r="AC199" s="563"/>
      <c r="AD199" s="48"/>
      <c r="AE199" s="48"/>
      <c r="AF199" s="258"/>
      <c r="AG199" s="48"/>
      <c r="AH199" s="48"/>
      <c r="AI199" s="48"/>
      <c r="AJ199" s="48"/>
      <c r="AK199" s="48"/>
      <c r="AL199" s="51"/>
      <c r="AM199" s="212">
        <f>IF(AQ199=1,SUM(Q199:T199,W199:Z199,AC199:AF199,AI199:AL199),
IF(AQ199=2,SUM(P199,S199:V199,Y199:AB199,AE199:AH199,AK199:AL199),
IF(AQ199=3,SUM(P199:R199,U199:X199,AA199:AD199,AG199:AJ199),SUM(Таблица1[[#This Row],[1]:[31]])-Таблица1[[#This Row],[Столбец1]])))</f>
        <v>0</v>
      </c>
      <c r="AN199" s="778">
        <f t="array" ref="AN199">IF(AQ199=1,SUM(P199,U199:V199,AA199:AB199,AG199:AH199),
IF(AQ199=2,SUM(Q199:R199,W199:X199,AC199:AD199,AI199:AJ199),
IF(AQ199=3,SUM(S199:T199,Y199:Z199,AE199:AF199,AK199:AL199),
SUM(IFERROR(WEEKDAY($H$2:$AL$2,2)&gt;5,)*H199:AL199))))+Таблица1[[#This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199" s="292" t="b">
        <f>IF(AR199&lt;=3,(IF((G199="5/24"),((база!$M$6*Таблица1[[#This Row],[сумма]]*Таблица1[[#This Row],[коэф]])),
IF((G199="4/24"),((база!$M$5*Таблица1[[#This Row],[сумма]]*Таблица1[[#This Row],[коэф]])),
IF((G199="3/24"),((база!$M$4*Таблица1[[#This Row],[сумма]]*Таблица1[[#This Row],[коэф]])),
IF((G199="5/16"),((база!$L$6*Таблица1[[#This Row],[сумма]]*Таблица1[[#This Row],[коэф]])),
IF((G199="4/16"),((база!$L$5*Таблица1[[#This Row],[сумма]]*Таблица1[[#This Row],[коэф]])),
IF((G199="3/16"),((база!$L$4*Таблица1[[#This Row],[сумма]]*Таблица1[[#This Row],[коэф]])),
IF((G199="4/4"),((база!$I$5*Таблица1[[#This Row],[сумма]]*Таблица1[[#This Row],[коэф]])),
IF(OR(G199="2/4",G199="3/4"),((база!$I$4*Таблица1[[#This Row],[сумма]]*Таблица1[[#This Row],[коэф]])),
IF((G199="5/8"),((база!$J$6*Таблица1[[#This Row],[сумма]]*Таблица1[[#This Row],[коэф]])),
IF((G199="4/8"),((база!$J$5*Таблица1[[#This Row],[сумма]]*Таблица1[[#This Row],[коэф]])),
IF(OR(G199="3/8",G199="2/8"),((база!$J$4*Таблица1[[#This Row],[сумма]]*Таблица1[[#This Row],[коэф]])))))))))))))),
(IF((G199="5/24"),((база!$M$6*Таблица1[[#This Row],[сумма]]*Таблица1[[#This Row],[коэф]])),
IF(OR(G199="4/24",G199="3/24"),((база!$M$5*Таблица1[[#This Row],[сумма]]*Таблица1[[#This Row],[коэф]])),
IF((G199="5/16"),((база!$L$6*Таблица1[[#This Row],[сумма]]*Таблица1[[#This Row],[коэф]])),
IF(OR(G199="4/16",G199="3/16"),((база!$L$5*Таблица1[[#This Row],[сумма]]*Таблица1[[#This Row],[коэф]])),
IF(OR(G199="2/4",G199="3/4",G199="4/4"),((база!$I$5*Таблица1[[#This Row],[сумма]]*Таблица1[[#This Row],[коэф]])),
IF((G199="5/8"),((база!$J$6*Таблица1[[#This Row],[сумма]]*Таблица1[[#This Row],[коэф]])),
IF(OR(G199="4/8",G199="3/8",G199="2/8"),((база!$J$5*Таблица1[[#This Row],[сумма]]*Таблица1[[#This Row],[коэф]])))))))))))</f>
        <v>0</v>
      </c>
      <c r="AP199" s="730" t="b">
        <f>IF(AR199&lt;=3,(IF((G199="5/24"),((база!$M$6*2*Таблица1[[#This Row],[Столбец1]]*Таблица1[[#This Row],[коэф]])),
IF((G199="4/24"),((база!$M$5*2*Таблица1[[#This Row],[Столбец1]]*Таблица1[[#This Row],[коэф]])),
IF((G199="3/24"),((база!$M$4*2*Таблица1[[#This Row],[Столбец1]]*Таблица1[[#This Row],[коэф]])),
IF((G199="5/16"),((база!$L$6*2*Таблица1[[#This Row],[Столбец1]]*Таблица1[[#This Row],[коэф]])),
IF((G199="4/16"),((база!$L$5*2*Таблица1[[#This Row],[Столбец1]]*Таблица1[[#This Row],[коэф]])),
IF((G199="3/16"),((база!$L$4*2*Таблица1[[#This Row],[Столбец1]]*Таблица1[[#This Row],[коэф]])),
IF((G199="4/4"),((база!$I$5*2*Таблица1[[#This Row],[Столбец1]]*Таблица1[[#This Row],[коэф]])),
IF(OR(G199="2/4",G199="3/4"),((база!$I$4*2*Таблица1[[#This Row],[Столбец1]]*Таблица1[[#This Row],[коэф]])),
IF((G199="5/8"),((база!$J$6*2*Таблица1[[#This Row],[Столбец1]]*Таблица1[[#This Row],[коэф]])),
IF((G199="4/8"),((база!$J$5*2*Таблица1[[#This Row],[Столбец1]]*Таблица1[[#This Row],[коэф]])),
IF(OR(G199="3/8",G199="2/8"),((база!$J$4*2*Таблица1[[#This Row],[Столбец1]]*Таблица1[[#This Row],[коэф]])))))))))))))),
(IF((G199="5/24"),((база!$M$6*2*Таблица1[[#This Row],[Столбец1]]*Таблица1[[#This Row],[коэф]])),
IF(OR(G199="4/24",G199="3/24"),((база!$M$5*2*Таблица1[[#This Row],[Столбец1]]*Таблица1[[#This Row],[коэф]])),
IF((G199="5/16"),((база!$L$6*2*Таблица1[[#This Row],[Столбец1]]*Таблица1[[#This Row],[коэф]])),
IF(OR(G199="4/16",G199="3/16"),((база!$L$5*2*Таблица1[[#This Row],[Столбец1]]*Таблица1[[#This Row],[коэф]])),
IF(OR(G199="2/4",G199="3/4",G199="4/4"),((база!$I$5*2*Таблица1[[#This Row],[Столбец1]]*Таблица1[[#This Row],[коэф]])),
IF((G199="5/8"),((база!$J$6*2*Таблица1[[#This Row],[Столбец1]]*Таблица1[[#This Row],[коэф]])),
IF(OR(G199="4/8",G199="3/8",G199="2/8"),((база!$J$5*2*Таблица1[[#This Row],[Столбец1]]*Таблица1[[#This Row],[коэф]])))))))))))</f>
        <v>0</v>
      </c>
      <c r="AQ199" s="712" t="str">
        <f>IFERROR(INDEX(база!T:T, MATCH(F199,база!Q:Q,0)),"")</f>
        <v/>
      </c>
      <c r="AR199" s="208" t="str">
        <f>IFERROR(INDEX(база!D:D, MATCH(F199,база!B:B,0)),"")</f>
        <v/>
      </c>
      <c r="AS199" s="758" t="str">
        <f>IFERROR(INDEX(база!E:E, MATCH(F199,база!B:B,0)),"")</f>
        <v/>
      </c>
    </row>
    <row r="200" spans="1:45" ht="15">
      <c r="A200" s="66" t="str">
        <f t="shared" si="4"/>
        <v>январь</v>
      </c>
      <c r="B200" s="231">
        <v>2024</v>
      </c>
      <c r="C200" s="299"/>
      <c r="D200" s="61"/>
      <c r="E200" s="211"/>
      <c r="F200" s="679"/>
      <c r="G200" s="47"/>
      <c r="H200" s="563"/>
      <c r="I200" s="563"/>
      <c r="J200" s="563"/>
      <c r="K200" s="563"/>
      <c r="L200" s="563"/>
      <c r="M200" s="563"/>
      <c r="N200" s="563"/>
      <c r="O200" s="563"/>
      <c r="P200" s="300"/>
      <c r="Q200" s="563"/>
      <c r="R200" s="563"/>
      <c r="S200" s="563"/>
      <c r="T200" s="563"/>
      <c r="U200" s="563"/>
      <c r="V200" s="563"/>
      <c r="W200" s="563"/>
      <c r="X200" s="563"/>
      <c r="Y200" s="563"/>
      <c r="Z200" s="563"/>
      <c r="AA200" s="563"/>
      <c r="AB200" s="563"/>
      <c r="AC200" s="563"/>
      <c r="AD200" s="258"/>
      <c r="AE200" s="258"/>
      <c r="AF200" s="258"/>
      <c r="AG200" s="48"/>
      <c r="AH200" s="48"/>
      <c r="AI200" s="48"/>
      <c r="AJ200" s="48"/>
      <c r="AK200" s="48"/>
      <c r="AL200" s="51"/>
      <c r="AM200" s="212">
        <f>IF(AQ200=1,SUM(Q200:T200,W200:Z200,AC200:AF200,AI200:AL200),
IF(AQ200=2,SUM(P200,S200:V200,Y200:AB200,AE200:AH200,AK200:AL200),
IF(AQ200=3,SUM(P200:R200,U200:X200,AA200:AD200,AG200:AJ200),SUM(Таблица1[[#This Row],[1]:[31]])-Таблица1[[#This Row],[Столбец1]])))</f>
        <v>0</v>
      </c>
      <c r="AN200" s="778">
        <f t="array" ref="AN200">IF(AQ200=1,SUM(P200,U200:V200,AA200:AB200,AG200:AH200),
IF(AQ200=2,SUM(Q200:R200,W200:X200,AC200:AD200,AI200:AJ200),
IF(AQ200=3,SUM(S200:T200,Y200:Z200,AE200:AF200,AK200:AL200),
SUM(IFERROR(WEEKDAY($H$2:$AL$2,2)&gt;5,)*H200:AL200))))+Таблица1[[#This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00" s="292" t="b">
        <f>IF(AR200&lt;=3,(IF((G200="5/24"),((база!$M$6*Таблица1[[#This Row],[сумма]]*Таблица1[[#This Row],[коэф]])),
IF((G200="4/24"),((база!$M$5*Таблица1[[#This Row],[сумма]]*Таблица1[[#This Row],[коэф]])),
IF((G200="3/24"),((база!$M$4*Таблица1[[#This Row],[сумма]]*Таблица1[[#This Row],[коэф]])),
IF((G200="5/16"),((база!$L$6*Таблица1[[#This Row],[сумма]]*Таблица1[[#This Row],[коэф]])),
IF((G200="4/16"),((база!$L$5*Таблица1[[#This Row],[сумма]]*Таблица1[[#This Row],[коэф]])),
IF((G200="3/16"),((база!$L$4*Таблица1[[#This Row],[сумма]]*Таблица1[[#This Row],[коэф]])),
IF((G200="4/4"),((база!$I$5*Таблица1[[#This Row],[сумма]]*Таблица1[[#This Row],[коэф]])),
IF(OR(G200="2/4",G200="3/4"),((база!$I$4*Таблица1[[#This Row],[сумма]]*Таблица1[[#This Row],[коэф]])),
IF((G200="5/8"),((база!$J$6*Таблица1[[#This Row],[сумма]]*Таблица1[[#This Row],[коэф]])),
IF((G200="4/8"),((база!$J$5*Таблица1[[#This Row],[сумма]]*Таблица1[[#This Row],[коэф]])),
IF(OR(G200="3/8",G200="2/8"),((база!$J$4*Таблица1[[#This Row],[сумма]]*Таблица1[[#This Row],[коэф]])))))))))))))),
(IF((G200="5/24"),((база!$M$6*Таблица1[[#This Row],[сумма]]*Таблица1[[#This Row],[коэф]])),
IF(OR(G200="4/24",G200="3/24"),((база!$M$5*Таблица1[[#This Row],[сумма]]*Таблица1[[#This Row],[коэф]])),
IF((G200="5/16"),((база!$L$6*Таблица1[[#This Row],[сумма]]*Таблица1[[#This Row],[коэф]])),
IF(OR(G200="4/16",G200="3/16"),((база!$L$5*Таблица1[[#This Row],[сумма]]*Таблица1[[#This Row],[коэф]])),
IF(OR(G200="2/4",G200="3/4",G200="4/4"),((база!$I$5*Таблица1[[#This Row],[сумма]]*Таблица1[[#This Row],[коэф]])),
IF((G200="5/8"),((база!$J$6*Таблица1[[#This Row],[сумма]]*Таблица1[[#This Row],[коэф]])),
IF(OR(G200="4/8",G200="3/8",G200="2/8"),((база!$J$5*Таблица1[[#This Row],[сумма]]*Таблица1[[#This Row],[коэф]])))))))))))</f>
        <v>0</v>
      </c>
      <c r="AP200" s="730" t="b">
        <f>IF(AR200&lt;=3,(IF((G200="5/24"),((база!$M$6*2*Таблица1[[#This Row],[Столбец1]]*Таблица1[[#This Row],[коэф]])),
IF((G200="4/24"),((база!$M$5*2*Таблица1[[#This Row],[Столбец1]]*Таблица1[[#This Row],[коэф]])),
IF((G200="3/24"),((база!$M$4*2*Таблица1[[#This Row],[Столбец1]]*Таблица1[[#This Row],[коэф]])),
IF((G200="5/16"),((база!$L$6*2*Таблица1[[#This Row],[Столбец1]]*Таблица1[[#This Row],[коэф]])),
IF((G200="4/16"),((база!$L$5*2*Таблица1[[#This Row],[Столбец1]]*Таблица1[[#This Row],[коэф]])),
IF((G200="3/16"),((база!$L$4*2*Таблица1[[#This Row],[Столбец1]]*Таблица1[[#This Row],[коэф]])),
IF((G200="4/4"),((база!$I$5*2*Таблица1[[#This Row],[Столбец1]]*Таблица1[[#This Row],[коэф]])),
IF(OR(G200="2/4",G200="3/4"),((база!$I$4*2*Таблица1[[#This Row],[Столбец1]]*Таблица1[[#This Row],[коэф]])),
IF((G200="5/8"),((база!$J$6*2*Таблица1[[#This Row],[Столбец1]]*Таблица1[[#This Row],[коэф]])),
IF((G200="4/8"),((база!$J$5*2*Таблица1[[#This Row],[Столбец1]]*Таблица1[[#This Row],[коэф]])),
IF(OR(G200="3/8",G200="2/8"),((база!$J$4*2*Таблица1[[#This Row],[Столбец1]]*Таблица1[[#This Row],[коэф]])))))))))))))),
(IF((G200="5/24"),((база!$M$6*2*Таблица1[[#This Row],[Столбец1]]*Таблица1[[#This Row],[коэф]])),
IF(OR(G200="4/24",G200="3/24"),((база!$M$5*2*Таблица1[[#This Row],[Столбец1]]*Таблица1[[#This Row],[коэф]])),
IF((G200="5/16"),((база!$L$6*2*Таблица1[[#This Row],[Столбец1]]*Таблица1[[#This Row],[коэф]])),
IF(OR(G200="4/16",G200="3/16"),((база!$L$5*2*Таблица1[[#This Row],[Столбец1]]*Таблица1[[#This Row],[коэф]])),
IF(OR(G200="2/4",G200="3/4",G200="4/4"),((база!$I$5*2*Таблица1[[#This Row],[Столбец1]]*Таблица1[[#This Row],[коэф]])),
IF((G200="5/8"),((база!$J$6*2*Таблица1[[#This Row],[Столбец1]]*Таблица1[[#This Row],[коэф]])),
IF(OR(G200="4/8",G200="3/8",G200="2/8"),((база!$J$5*2*Таблица1[[#This Row],[Столбец1]]*Таблица1[[#This Row],[коэф]])))))))))))</f>
        <v>0</v>
      </c>
      <c r="AQ200" s="712" t="str">
        <f>IFERROR(INDEX(база!T:T, MATCH(F200,база!Q:Q,0)),"")</f>
        <v/>
      </c>
      <c r="AR200" s="208" t="str">
        <f>IFERROR(INDEX(база!D:D, MATCH(F200,база!B:B,0)),"")</f>
        <v/>
      </c>
      <c r="AS200" s="758" t="str">
        <f>IFERROR(INDEX(база!E:E, MATCH(F200,база!B:B,0)),"")</f>
        <v/>
      </c>
    </row>
    <row r="201" spans="1:45" ht="15">
      <c r="A201" s="66" t="str">
        <f t="shared" si="4"/>
        <v>январь</v>
      </c>
      <c r="B201" s="231">
        <v>2024</v>
      </c>
      <c r="C201" s="299"/>
      <c r="D201" s="61"/>
      <c r="E201" s="211"/>
      <c r="F201" s="679"/>
      <c r="G201" s="47"/>
      <c r="H201" s="563"/>
      <c r="I201" s="563"/>
      <c r="J201" s="563"/>
      <c r="K201" s="563"/>
      <c r="L201" s="563"/>
      <c r="M201" s="563"/>
      <c r="N201" s="563"/>
      <c r="O201" s="563"/>
      <c r="P201" s="300"/>
      <c r="Q201" s="300"/>
      <c r="R201" s="300"/>
      <c r="S201" s="300"/>
      <c r="T201" s="300"/>
      <c r="U201" s="563"/>
      <c r="V201" s="563"/>
      <c r="W201" s="563"/>
      <c r="X201" s="563"/>
      <c r="Y201" s="563"/>
      <c r="Z201" s="563"/>
      <c r="AA201" s="563"/>
      <c r="AB201" s="563"/>
      <c r="AC201" s="563"/>
      <c r="AD201" s="48"/>
      <c r="AE201" s="48"/>
      <c r="AF201" s="258"/>
      <c r="AG201" s="48"/>
      <c r="AH201" s="48"/>
      <c r="AI201" s="48"/>
      <c r="AJ201" s="48"/>
      <c r="AK201" s="48"/>
      <c r="AL201" s="51"/>
      <c r="AM201" s="212">
        <f>IF(AQ201=1,SUM(Q201:T201,W201:Z201,AC201:AF201,AI201:AL201),
IF(AQ201=2,SUM(P201,S201:V201,Y201:AB201,AE201:AH201,AK201:AL201),
IF(AQ201=3,SUM(P201:R201,U201:X201,AA201:AD201,AG201:AJ201),SUM(Таблица1[[#This Row],[1]:[31]])-Таблица1[[#This Row],[Столбец1]])))</f>
        <v>0</v>
      </c>
      <c r="AN201" s="778">
        <f t="array" ref="AN201">IF(AQ201=1,SUM(P201,U201:V201,AA201:AB201,AG201:AH201),
IF(AQ201=2,SUM(Q201:R201,W201:X201,AC201:AD201,AI201:AJ201),
IF(AQ201=3,SUM(S201:T201,Y201:Z201,AE201:AF201,AK201:AL201),
SUM(IFERROR(WEEKDAY($H$2:$AL$2,2)&gt;5,)*H201:AL201))))+Таблица1[[#This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01" s="292" t="b">
        <f>IF(AR201&lt;=3,(IF((G201="5/24"),((база!$M$6*Таблица1[[#This Row],[сумма]]*Таблица1[[#This Row],[коэф]])),
IF((G201="4/24"),((база!$M$5*Таблица1[[#This Row],[сумма]]*Таблица1[[#This Row],[коэф]])),
IF((G201="3/24"),((база!$M$4*Таблица1[[#This Row],[сумма]]*Таблица1[[#This Row],[коэф]])),
IF((G201="5/16"),((база!$L$6*Таблица1[[#This Row],[сумма]]*Таблица1[[#This Row],[коэф]])),
IF((G201="4/16"),((база!$L$5*Таблица1[[#This Row],[сумма]]*Таблица1[[#This Row],[коэф]])),
IF((G201="3/16"),((база!$L$4*Таблица1[[#This Row],[сумма]]*Таблица1[[#This Row],[коэф]])),
IF((G201="4/4"),((база!$I$5*Таблица1[[#This Row],[сумма]]*Таблица1[[#This Row],[коэф]])),
IF(OR(G201="2/4",G201="3/4"),((база!$I$4*Таблица1[[#This Row],[сумма]]*Таблица1[[#This Row],[коэф]])),
IF((G201="5/8"),((база!$J$6*Таблица1[[#This Row],[сумма]]*Таблица1[[#This Row],[коэф]])),
IF((G201="4/8"),((база!$J$5*Таблица1[[#This Row],[сумма]]*Таблица1[[#This Row],[коэф]])),
IF(OR(G201="3/8",G201="2/8"),((база!$J$4*Таблица1[[#This Row],[сумма]]*Таблица1[[#This Row],[коэф]])))))))))))))),
(IF((G201="5/24"),((база!$M$6*Таблица1[[#This Row],[сумма]]*Таблица1[[#This Row],[коэф]])),
IF(OR(G201="4/24",G201="3/24"),((база!$M$5*Таблица1[[#This Row],[сумма]]*Таблица1[[#This Row],[коэф]])),
IF((G201="5/16"),((база!$L$6*Таблица1[[#This Row],[сумма]]*Таблица1[[#This Row],[коэф]])),
IF(OR(G201="4/16",G201="3/16"),((база!$L$5*Таблица1[[#This Row],[сумма]]*Таблица1[[#This Row],[коэф]])),
IF(OR(G201="2/4",G201="3/4",G201="4/4"),((база!$I$5*Таблица1[[#This Row],[сумма]]*Таблица1[[#This Row],[коэф]])),
IF((G201="5/8"),((база!$J$6*Таблица1[[#This Row],[сумма]]*Таблица1[[#This Row],[коэф]])),
IF(OR(G201="4/8",G201="3/8",G201="2/8"),((база!$J$5*Таблица1[[#This Row],[сумма]]*Таблица1[[#This Row],[коэф]])))))))))))</f>
        <v>0</v>
      </c>
      <c r="AP201" s="730" t="b">
        <f>IF(AR201&lt;=3,(IF((G201="5/24"),((база!$M$6*2*Таблица1[[#This Row],[Столбец1]]*Таблица1[[#This Row],[коэф]])),
IF((G201="4/24"),((база!$M$5*2*Таблица1[[#This Row],[Столбец1]]*Таблица1[[#This Row],[коэф]])),
IF((G201="3/24"),((база!$M$4*2*Таблица1[[#This Row],[Столбец1]]*Таблица1[[#This Row],[коэф]])),
IF((G201="5/16"),((база!$L$6*2*Таблица1[[#This Row],[Столбец1]]*Таблица1[[#This Row],[коэф]])),
IF((G201="4/16"),((база!$L$5*2*Таблица1[[#This Row],[Столбец1]]*Таблица1[[#This Row],[коэф]])),
IF((G201="3/16"),((база!$L$4*2*Таблица1[[#This Row],[Столбец1]]*Таблица1[[#This Row],[коэф]])),
IF((G201="4/4"),((база!$I$5*2*Таблица1[[#This Row],[Столбец1]]*Таблица1[[#This Row],[коэф]])),
IF(OR(G201="2/4",G201="3/4"),((база!$I$4*2*Таблица1[[#This Row],[Столбец1]]*Таблица1[[#This Row],[коэф]])),
IF((G201="5/8"),((база!$J$6*2*Таблица1[[#This Row],[Столбец1]]*Таблица1[[#This Row],[коэф]])),
IF((G201="4/8"),((база!$J$5*2*Таблица1[[#This Row],[Столбец1]]*Таблица1[[#This Row],[коэф]])),
IF(OR(G201="3/8",G201="2/8"),((база!$J$4*2*Таблица1[[#This Row],[Столбец1]]*Таблица1[[#This Row],[коэф]])))))))))))))),
(IF((G201="5/24"),((база!$M$6*2*Таблица1[[#This Row],[Столбец1]]*Таблица1[[#This Row],[коэф]])),
IF(OR(G201="4/24",G201="3/24"),((база!$M$5*2*Таблица1[[#This Row],[Столбец1]]*Таблица1[[#This Row],[коэф]])),
IF((G201="5/16"),((база!$L$6*2*Таблица1[[#This Row],[Столбец1]]*Таблица1[[#This Row],[коэф]])),
IF(OR(G201="4/16",G201="3/16"),((база!$L$5*2*Таблица1[[#This Row],[Столбец1]]*Таблица1[[#This Row],[коэф]])),
IF(OR(G201="2/4",G201="3/4",G201="4/4"),((база!$I$5*2*Таблица1[[#This Row],[Столбец1]]*Таблица1[[#This Row],[коэф]])),
IF((G201="5/8"),((база!$J$6*2*Таблица1[[#This Row],[Столбец1]]*Таблица1[[#This Row],[коэф]])),
IF(OR(G201="4/8",G201="3/8",G201="2/8"),((база!$J$5*2*Таблица1[[#This Row],[Столбец1]]*Таблица1[[#This Row],[коэф]])))))))))))</f>
        <v>0</v>
      </c>
      <c r="AQ201" s="712" t="str">
        <f>IFERROR(INDEX(база!T:T, MATCH(F201,база!Q:Q,0)),"")</f>
        <v/>
      </c>
      <c r="AR201" s="208" t="str">
        <f>IFERROR(INDEX(база!D:D, MATCH(F201,база!B:B,0)),"")</f>
        <v/>
      </c>
      <c r="AS201" s="758" t="str">
        <f>IFERROR(INDEX(база!E:E, MATCH(F201,база!B:B,0)),"")</f>
        <v/>
      </c>
    </row>
    <row r="202" spans="1:45" ht="15">
      <c r="A202" s="66" t="str">
        <f t="shared" si="4"/>
        <v>январь</v>
      </c>
      <c r="B202" s="231">
        <v>2024</v>
      </c>
      <c r="C202" s="299"/>
      <c r="D202" s="61"/>
      <c r="E202" s="211"/>
      <c r="F202" s="679"/>
      <c r="G202" s="47"/>
      <c r="H202" s="563"/>
      <c r="I202" s="563"/>
      <c r="J202" s="563"/>
      <c r="K202" s="563"/>
      <c r="L202" s="563"/>
      <c r="M202" s="563"/>
      <c r="N202" s="563"/>
      <c r="O202" s="563"/>
      <c r="P202" s="563"/>
      <c r="Q202" s="563"/>
      <c r="R202" s="563"/>
      <c r="S202" s="563"/>
      <c r="T202" s="563"/>
      <c r="U202" s="563"/>
      <c r="V202" s="563"/>
      <c r="W202" s="563"/>
      <c r="X202" s="563"/>
      <c r="Y202" s="563"/>
      <c r="Z202" s="563"/>
      <c r="AA202" s="563"/>
      <c r="AB202" s="563"/>
      <c r="AC202" s="563"/>
      <c r="AD202" s="48"/>
      <c r="AE202" s="48"/>
      <c r="AF202" s="258"/>
      <c r="AG202" s="48"/>
      <c r="AH202" s="48"/>
      <c r="AI202" s="258"/>
      <c r="AJ202" s="258"/>
      <c r="AK202" s="258"/>
      <c r="AL202" s="258"/>
      <c r="AM202" s="212">
        <f>IF(AQ202=1,SUM(Q202:T202,W202:Z202,AC202:AF202,AI202:AL202),
IF(AQ202=2,SUM(P202,S202:V202,Y202:AB202,AE202:AH202,AK202:AL202),
IF(AQ202=3,SUM(P202:R202,U202:X202,AA202:AD202,AG202:AJ202),SUM(Таблица1[[#This Row],[1]:[31]])-Таблица1[[#This Row],[Столбец1]])))</f>
        <v>0</v>
      </c>
      <c r="AN202" s="778">
        <f t="array" ref="AN202">IF(AQ202=1,SUM(P202,U202:V202,AA202:AB202,AG202:AH202),
IF(AQ202=2,SUM(Q202:R202,W202:X202,AC202:AD202,AI202:AJ202),
IF(AQ202=3,SUM(S202:T202,Y202:Z202,AE202:AF202,AK202:AL202),
SUM(IFERROR(WEEKDAY($H$2:$AL$2,2)&gt;5,)*H202:AL202))))+Таблица1[[#This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02" s="292" t="b">
        <f>IF(AR202&lt;=3,(IF((G202="5/24"),((база!$M$6*Таблица1[[#This Row],[сумма]]*Таблица1[[#This Row],[коэф]])),
IF((G202="4/24"),((база!$M$5*Таблица1[[#This Row],[сумма]]*Таблица1[[#This Row],[коэф]])),
IF((G202="3/24"),((база!$M$4*Таблица1[[#This Row],[сумма]]*Таблица1[[#This Row],[коэф]])),
IF((G202="5/16"),((база!$L$6*Таблица1[[#This Row],[сумма]]*Таблица1[[#This Row],[коэф]])),
IF((G202="4/16"),((база!$L$5*Таблица1[[#This Row],[сумма]]*Таблица1[[#This Row],[коэф]])),
IF((G202="3/16"),((база!$L$4*Таблица1[[#This Row],[сумма]]*Таблица1[[#This Row],[коэф]])),
IF((G202="4/4"),((база!$I$5*Таблица1[[#This Row],[сумма]]*Таблица1[[#This Row],[коэф]])),
IF(OR(G202="2/4",G202="3/4"),((база!$I$4*Таблица1[[#This Row],[сумма]]*Таблица1[[#This Row],[коэф]])),
IF((G202="5/8"),((база!$J$6*Таблица1[[#This Row],[сумма]]*Таблица1[[#This Row],[коэф]])),
IF((G202="4/8"),((база!$J$5*Таблица1[[#This Row],[сумма]]*Таблица1[[#This Row],[коэф]])),
IF(OR(G202="3/8",G202="2/8"),((база!$J$4*Таблица1[[#This Row],[сумма]]*Таблица1[[#This Row],[коэф]])))))))))))))),
(IF((G202="5/24"),((база!$M$6*Таблица1[[#This Row],[сумма]]*Таблица1[[#This Row],[коэф]])),
IF(OR(G202="4/24",G202="3/24"),((база!$M$5*Таблица1[[#This Row],[сумма]]*Таблица1[[#This Row],[коэф]])),
IF((G202="5/16"),((база!$L$6*Таблица1[[#This Row],[сумма]]*Таблица1[[#This Row],[коэф]])),
IF(OR(G202="4/16",G202="3/16"),((база!$L$5*Таблица1[[#This Row],[сумма]]*Таблица1[[#This Row],[коэф]])),
IF(OR(G202="2/4",G202="3/4",G202="4/4"),((база!$I$5*Таблица1[[#This Row],[сумма]]*Таблица1[[#This Row],[коэф]])),
IF((G202="5/8"),((база!$J$6*Таблица1[[#This Row],[сумма]]*Таблица1[[#This Row],[коэф]])),
IF(OR(G202="4/8",G202="3/8",G202="2/8"),((база!$J$5*Таблица1[[#This Row],[сумма]]*Таблица1[[#This Row],[коэф]])))))))))))</f>
        <v>0</v>
      </c>
      <c r="AP202" s="730" t="b">
        <f>IF(AR202&lt;=3,(IF((G202="5/24"),((база!$M$6*2*Таблица1[[#This Row],[Столбец1]]*Таблица1[[#This Row],[коэф]])),
IF((G202="4/24"),((база!$M$5*2*Таблица1[[#This Row],[Столбец1]]*Таблица1[[#This Row],[коэф]])),
IF((G202="3/24"),((база!$M$4*2*Таблица1[[#This Row],[Столбец1]]*Таблица1[[#This Row],[коэф]])),
IF((G202="5/16"),((база!$L$6*2*Таблица1[[#This Row],[Столбец1]]*Таблица1[[#This Row],[коэф]])),
IF((G202="4/16"),((база!$L$5*2*Таблица1[[#This Row],[Столбец1]]*Таблица1[[#This Row],[коэф]])),
IF((G202="3/16"),((база!$L$4*2*Таблица1[[#This Row],[Столбец1]]*Таблица1[[#This Row],[коэф]])),
IF((G202="4/4"),((база!$I$5*2*Таблица1[[#This Row],[Столбец1]]*Таблица1[[#This Row],[коэф]])),
IF(OR(G202="2/4",G202="3/4"),((база!$I$4*2*Таблица1[[#This Row],[Столбец1]]*Таблица1[[#This Row],[коэф]])),
IF((G202="5/8"),((база!$J$6*2*Таблица1[[#This Row],[Столбец1]]*Таблица1[[#This Row],[коэф]])),
IF((G202="4/8"),((база!$J$5*2*Таблица1[[#This Row],[Столбец1]]*Таблица1[[#This Row],[коэф]])),
IF(OR(G202="3/8",G202="2/8"),((база!$J$4*2*Таблица1[[#This Row],[Столбец1]]*Таблица1[[#This Row],[коэф]])))))))))))))),
(IF((G202="5/24"),((база!$M$6*2*Таблица1[[#This Row],[Столбец1]]*Таблица1[[#This Row],[коэф]])),
IF(OR(G202="4/24",G202="3/24"),((база!$M$5*2*Таблица1[[#This Row],[Столбец1]]*Таблица1[[#This Row],[коэф]])),
IF((G202="5/16"),((база!$L$6*2*Таблица1[[#This Row],[Столбец1]]*Таблица1[[#This Row],[коэф]])),
IF(OR(G202="4/16",G202="3/16"),((база!$L$5*2*Таблица1[[#This Row],[Столбец1]]*Таблица1[[#This Row],[коэф]])),
IF(OR(G202="2/4",G202="3/4",G202="4/4"),((база!$I$5*2*Таблица1[[#This Row],[Столбец1]]*Таблица1[[#This Row],[коэф]])),
IF((G202="5/8"),((база!$J$6*2*Таблица1[[#This Row],[Столбец1]]*Таблица1[[#This Row],[коэф]])),
IF(OR(G202="4/8",G202="3/8",G202="2/8"),((база!$J$5*2*Таблица1[[#This Row],[Столбец1]]*Таблица1[[#This Row],[коэф]])))))))))))</f>
        <v>0</v>
      </c>
      <c r="AQ202" s="712" t="str">
        <f>IFERROR(INDEX(база!T:T, MATCH(F202,база!Q:Q,0)),"")</f>
        <v/>
      </c>
      <c r="AR202" s="208" t="str">
        <f>IFERROR(INDEX(база!D:D, MATCH(F202,база!B:B,0)),"")</f>
        <v/>
      </c>
      <c r="AS202" s="758" t="str">
        <f>IFERROR(INDEX(база!E:E, MATCH(F202,база!B:B,0)),"")</f>
        <v/>
      </c>
    </row>
    <row r="203" spans="1:45" ht="15">
      <c r="A203" s="66" t="str">
        <f t="shared" si="4"/>
        <v>январь</v>
      </c>
      <c r="B203" s="231">
        <v>2024</v>
      </c>
      <c r="C203" s="299"/>
      <c r="D203" s="61"/>
      <c r="E203" s="211"/>
      <c r="F203" s="679"/>
      <c r="G203" s="47"/>
      <c r="H203" s="563"/>
      <c r="I203" s="563"/>
      <c r="J203" s="563"/>
      <c r="K203" s="563"/>
      <c r="L203" s="563"/>
      <c r="M203" s="563"/>
      <c r="N203" s="563"/>
      <c r="O203" s="563"/>
      <c r="P203" s="300"/>
      <c r="Q203" s="563"/>
      <c r="R203" s="563"/>
      <c r="S203" s="563"/>
      <c r="T203" s="563"/>
      <c r="U203" s="563"/>
      <c r="V203" s="563"/>
      <c r="W203" s="563"/>
      <c r="X203" s="563"/>
      <c r="Y203" s="563"/>
      <c r="Z203" s="563"/>
      <c r="AA203" s="563"/>
      <c r="AB203" s="563"/>
      <c r="AC203" s="563"/>
      <c r="AD203" s="48"/>
      <c r="AE203" s="48"/>
      <c r="AF203" s="258"/>
      <c r="AG203" s="48"/>
      <c r="AH203" s="48"/>
      <c r="AI203" s="48"/>
      <c r="AJ203" s="48"/>
      <c r="AK203" s="48"/>
      <c r="AL203" s="51"/>
      <c r="AM203" s="212">
        <f>IF(AQ203=1,SUM(Q203:T203,W203:Z203,AC203:AF203,AI203:AL203),
IF(AQ203=2,SUM(P203,S203:V203,Y203:AB203,AE203:AH203,AK203:AL203),
IF(AQ203=3,SUM(P203:R203,U203:X203,AA203:AD203,AG203:AJ203),SUM(Таблица1[[#This Row],[1]:[31]])-Таблица1[[#This Row],[Столбец1]])))</f>
        <v>0</v>
      </c>
      <c r="AN203" s="778">
        <f t="array" ref="AN203">IF(AQ203=1,SUM(P203,U203:V203,AA203:AB203,AG203:AH203),
IF(AQ203=2,SUM(Q203:R203,W203:X203,AC203:AD203,AI203:AJ203),
IF(AQ203=3,SUM(S203:T203,Y203:Z203,AE203:AF203,AK203:AL203),
SUM(IFERROR(WEEKDAY($H$2:$AL$2,2)&gt;5,)*H203:AL203))))+Таблица1[[#This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03" s="292" t="b">
        <f>IF(AR203&lt;=3,(IF((G203="5/24"),((база!$M$6*Таблица1[[#This Row],[сумма]]*Таблица1[[#This Row],[коэф]])),
IF((G203="4/24"),((база!$M$5*Таблица1[[#This Row],[сумма]]*Таблица1[[#This Row],[коэф]])),
IF((G203="3/24"),((база!$M$4*Таблица1[[#This Row],[сумма]]*Таблица1[[#This Row],[коэф]])),
IF((G203="5/16"),((база!$L$6*Таблица1[[#This Row],[сумма]]*Таблица1[[#This Row],[коэф]])),
IF((G203="4/16"),((база!$L$5*Таблица1[[#This Row],[сумма]]*Таблица1[[#This Row],[коэф]])),
IF((G203="3/16"),((база!$L$4*Таблица1[[#This Row],[сумма]]*Таблица1[[#This Row],[коэф]])),
IF((G203="4/4"),((база!$I$5*Таблица1[[#This Row],[сумма]]*Таблица1[[#This Row],[коэф]])),
IF(OR(G203="2/4",G203="3/4"),((база!$I$4*Таблица1[[#This Row],[сумма]]*Таблица1[[#This Row],[коэф]])),
IF((G203="5/8"),((база!$J$6*Таблица1[[#This Row],[сумма]]*Таблица1[[#This Row],[коэф]])),
IF((G203="4/8"),((база!$J$5*Таблица1[[#This Row],[сумма]]*Таблица1[[#This Row],[коэф]])),
IF(OR(G203="3/8",G203="2/8"),((база!$J$4*Таблица1[[#This Row],[сумма]]*Таблица1[[#This Row],[коэф]])))))))))))))),
(IF((G203="5/24"),((база!$M$6*Таблица1[[#This Row],[сумма]]*Таблица1[[#This Row],[коэф]])),
IF(OR(G203="4/24",G203="3/24"),((база!$M$5*Таблица1[[#This Row],[сумма]]*Таблица1[[#This Row],[коэф]])),
IF((G203="5/16"),((база!$L$6*Таблица1[[#This Row],[сумма]]*Таблица1[[#This Row],[коэф]])),
IF(OR(G203="4/16",G203="3/16"),((база!$L$5*Таблица1[[#This Row],[сумма]]*Таблица1[[#This Row],[коэф]])),
IF(OR(G203="2/4",G203="3/4",G203="4/4"),((база!$I$5*Таблица1[[#This Row],[сумма]]*Таблица1[[#This Row],[коэф]])),
IF((G203="5/8"),((база!$J$6*Таблица1[[#This Row],[сумма]]*Таблица1[[#This Row],[коэф]])),
IF(OR(G203="4/8",G203="3/8",G203="2/8"),((база!$J$5*Таблица1[[#This Row],[сумма]]*Таблица1[[#This Row],[коэф]])))))))))))</f>
        <v>0</v>
      </c>
      <c r="AP203" s="730" t="b">
        <f>IF(AR203&lt;=3,(IF((G203="5/24"),((база!$M$6*2*Таблица1[[#This Row],[Столбец1]]*Таблица1[[#This Row],[коэф]])),
IF((G203="4/24"),((база!$M$5*2*Таблица1[[#This Row],[Столбец1]]*Таблица1[[#This Row],[коэф]])),
IF((G203="3/24"),((база!$M$4*2*Таблица1[[#This Row],[Столбец1]]*Таблица1[[#This Row],[коэф]])),
IF((G203="5/16"),((база!$L$6*2*Таблица1[[#This Row],[Столбец1]]*Таблица1[[#This Row],[коэф]])),
IF((G203="4/16"),((база!$L$5*2*Таблица1[[#This Row],[Столбец1]]*Таблица1[[#This Row],[коэф]])),
IF((G203="3/16"),((база!$L$4*2*Таблица1[[#This Row],[Столбец1]]*Таблица1[[#This Row],[коэф]])),
IF((G203="4/4"),((база!$I$5*2*Таблица1[[#This Row],[Столбец1]]*Таблица1[[#This Row],[коэф]])),
IF(OR(G203="2/4",G203="3/4"),((база!$I$4*2*Таблица1[[#This Row],[Столбец1]]*Таблица1[[#This Row],[коэф]])),
IF((G203="5/8"),((база!$J$6*2*Таблица1[[#This Row],[Столбец1]]*Таблица1[[#This Row],[коэф]])),
IF((G203="4/8"),((база!$J$5*2*Таблица1[[#This Row],[Столбец1]]*Таблица1[[#This Row],[коэф]])),
IF(OR(G203="3/8",G203="2/8"),((база!$J$4*2*Таблица1[[#This Row],[Столбец1]]*Таблица1[[#This Row],[коэф]])))))))))))))),
(IF((G203="5/24"),((база!$M$6*2*Таблица1[[#This Row],[Столбец1]]*Таблица1[[#This Row],[коэф]])),
IF(OR(G203="4/24",G203="3/24"),((база!$M$5*2*Таблица1[[#This Row],[Столбец1]]*Таблица1[[#This Row],[коэф]])),
IF((G203="5/16"),((база!$L$6*2*Таблица1[[#This Row],[Столбец1]]*Таблица1[[#This Row],[коэф]])),
IF(OR(G203="4/16",G203="3/16"),((база!$L$5*2*Таблица1[[#This Row],[Столбец1]]*Таблица1[[#This Row],[коэф]])),
IF(OR(G203="2/4",G203="3/4",G203="4/4"),((база!$I$5*2*Таблица1[[#This Row],[Столбец1]]*Таблица1[[#This Row],[коэф]])),
IF((G203="5/8"),((база!$J$6*2*Таблица1[[#This Row],[Столбец1]]*Таблица1[[#This Row],[коэф]])),
IF(OR(G203="4/8",G203="3/8",G203="2/8"),((база!$J$5*2*Таблица1[[#This Row],[Столбец1]]*Таблица1[[#This Row],[коэф]])))))))))))</f>
        <v>0</v>
      </c>
      <c r="AQ203" s="712" t="str">
        <f>IFERROR(INDEX(база!T:T, MATCH(F203,база!Q:Q,0)),"")</f>
        <v/>
      </c>
      <c r="AR203" s="208" t="str">
        <f>IFERROR(INDEX(база!D:D, MATCH(F203,база!B:B,0)),"")</f>
        <v/>
      </c>
      <c r="AS203" s="758" t="str">
        <f>IFERROR(INDEX(база!E:E, MATCH(F203,база!B:B,0)),"")</f>
        <v/>
      </c>
    </row>
    <row r="204" spans="1:45" ht="15">
      <c r="A204" s="66" t="str">
        <f t="shared" si="4"/>
        <v>январь</v>
      </c>
      <c r="B204" s="231">
        <v>2024</v>
      </c>
      <c r="C204" s="299"/>
      <c r="D204" s="61"/>
      <c r="E204" s="211"/>
      <c r="F204" s="679"/>
      <c r="G204" s="47"/>
      <c r="H204" s="563"/>
      <c r="I204" s="563"/>
      <c r="J204" s="563"/>
      <c r="K204" s="563"/>
      <c r="L204" s="563"/>
      <c r="M204" s="563"/>
      <c r="N204" s="563"/>
      <c r="O204" s="563"/>
      <c r="P204" s="300"/>
      <c r="Q204" s="563"/>
      <c r="R204" s="563"/>
      <c r="S204" s="563"/>
      <c r="T204" s="563"/>
      <c r="U204" s="563"/>
      <c r="V204" s="563"/>
      <c r="W204" s="563"/>
      <c r="X204" s="563"/>
      <c r="Y204" s="563"/>
      <c r="Z204" s="563"/>
      <c r="AA204" s="563"/>
      <c r="AB204" s="563"/>
      <c r="AC204" s="563"/>
      <c r="AD204" s="48"/>
      <c r="AE204" s="48"/>
      <c r="AF204" s="258"/>
      <c r="AG204" s="48"/>
      <c r="AH204" s="48"/>
      <c r="AI204" s="258"/>
      <c r="AJ204" s="258"/>
      <c r="AK204" s="258"/>
      <c r="AL204" s="258"/>
      <c r="AM204" s="212">
        <f>IF(AQ204=1,SUM(Q204:T204,W204:Z204,AC204:AF204,AI204:AL204),
IF(AQ204=2,SUM(P204,S204:V204,Y204:AB204,AE204:AH204,AK204:AL204),
IF(AQ204=3,SUM(P204:R204,U204:X204,AA204:AD204,AG204:AJ204),SUM(Таблица1[[#This Row],[1]:[31]])-Таблица1[[#This Row],[Столбец1]])))</f>
        <v>0</v>
      </c>
      <c r="AN204" s="778">
        <f t="array" ref="AN204">IF(AQ204=1,SUM(P204,U204:V204,AA204:AB204,AG204:AH204),
IF(AQ204=2,SUM(Q204:R204,W204:X204,AC204:AD204,AI204:AJ204),
IF(AQ204=3,SUM(S204:T204,Y204:Z204,AE204:AF204,AK204:AL204),
SUM(IFERROR(WEEKDAY($H$2:$AL$2,2)&gt;5,)*H204:AL204))))+Таблица1[[#This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04" s="292" t="b">
        <f>IF(AR204&lt;=3,(IF((G204="5/24"),((база!$M$6*Таблица1[[#This Row],[сумма]]*Таблица1[[#This Row],[коэф]])),
IF((G204="4/24"),((база!$M$5*Таблица1[[#This Row],[сумма]]*Таблица1[[#This Row],[коэф]])),
IF((G204="3/24"),((база!$M$4*Таблица1[[#This Row],[сумма]]*Таблица1[[#This Row],[коэф]])),
IF((G204="5/16"),((база!$L$6*Таблица1[[#This Row],[сумма]]*Таблица1[[#This Row],[коэф]])),
IF((G204="4/16"),((база!$L$5*Таблица1[[#This Row],[сумма]]*Таблица1[[#This Row],[коэф]])),
IF((G204="3/16"),((база!$L$4*Таблица1[[#This Row],[сумма]]*Таблица1[[#This Row],[коэф]])),
IF((G204="4/4"),((база!$I$5*Таблица1[[#This Row],[сумма]]*Таблица1[[#This Row],[коэф]])),
IF(OR(G204="2/4",G204="3/4"),((база!$I$4*Таблица1[[#This Row],[сумма]]*Таблица1[[#This Row],[коэф]])),
IF((G204="5/8"),((база!$J$6*Таблица1[[#This Row],[сумма]]*Таблица1[[#This Row],[коэф]])),
IF((G204="4/8"),((база!$J$5*Таблица1[[#This Row],[сумма]]*Таблица1[[#This Row],[коэф]])),
IF(OR(G204="3/8",G204="2/8"),((база!$J$4*Таблица1[[#This Row],[сумма]]*Таблица1[[#This Row],[коэф]])))))))))))))),
(IF((G204="5/24"),((база!$M$6*Таблица1[[#This Row],[сумма]]*Таблица1[[#This Row],[коэф]])),
IF(OR(G204="4/24",G204="3/24"),((база!$M$5*Таблица1[[#This Row],[сумма]]*Таблица1[[#This Row],[коэф]])),
IF((G204="5/16"),((база!$L$6*Таблица1[[#This Row],[сумма]]*Таблица1[[#This Row],[коэф]])),
IF(OR(G204="4/16",G204="3/16"),((база!$L$5*Таблица1[[#This Row],[сумма]]*Таблица1[[#This Row],[коэф]])),
IF(OR(G204="2/4",G204="3/4",G204="4/4"),((база!$I$5*Таблица1[[#This Row],[сумма]]*Таблица1[[#This Row],[коэф]])),
IF((G204="5/8"),((база!$J$6*Таблица1[[#This Row],[сумма]]*Таблица1[[#This Row],[коэф]])),
IF(OR(G204="4/8",G204="3/8",G204="2/8"),((база!$J$5*Таблица1[[#This Row],[сумма]]*Таблица1[[#This Row],[коэф]])))))))))))</f>
        <v>0</v>
      </c>
      <c r="AP204" s="730" t="b">
        <f>IF(AR204&lt;=3,(IF((G204="5/24"),((база!$M$6*2*Таблица1[[#This Row],[Столбец1]]*Таблица1[[#This Row],[коэф]])),
IF((G204="4/24"),((база!$M$5*2*Таблица1[[#This Row],[Столбец1]]*Таблица1[[#This Row],[коэф]])),
IF((G204="3/24"),((база!$M$4*2*Таблица1[[#This Row],[Столбец1]]*Таблица1[[#This Row],[коэф]])),
IF((G204="5/16"),((база!$L$6*2*Таблица1[[#This Row],[Столбец1]]*Таблица1[[#This Row],[коэф]])),
IF((G204="4/16"),((база!$L$5*2*Таблица1[[#This Row],[Столбец1]]*Таблица1[[#This Row],[коэф]])),
IF((G204="3/16"),((база!$L$4*2*Таблица1[[#This Row],[Столбец1]]*Таблица1[[#This Row],[коэф]])),
IF((G204="4/4"),((база!$I$5*2*Таблица1[[#This Row],[Столбец1]]*Таблица1[[#This Row],[коэф]])),
IF(OR(G204="2/4",G204="3/4"),((база!$I$4*2*Таблица1[[#This Row],[Столбец1]]*Таблица1[[#This Row],[коэф]])),
IF((G204="5/8"),((база!$J$6*2*Таблица1[[#This Row],[Столбец1]]*Таблица1[[#This Row],[коэф]])),
IF((G204="4/8"),((база!$J$5*2*Таблица1[[#This Row],[Столбец1]]*Таблица1[[#This Row],[коэф]])),
IF(OR(G204="3/8",G204="2/8"),((база!$J$4*2*Таблица1[[#This Row],[Столбец1]]*Таблица1[[#This Row],[коэф]])))))))))))))),
(IF((G204="5/24"),((база!$M$6*2*Таблица1[[#This Row],[Столбец1]]*Таблица1[[#This Row],[коэф]])),
IF(OR(G204="4/24",G204="3/24"),((база!$M$5*2*Таблица1[[#This Row],[Столбец1]]*Таблица1[[#This Row],[коэф]])),
IF((G204="5/16"),((база!$L$6*2*Таблица1[[#This Row],[Столбец1]]*Таблица1[[#This Row],[коэф]])),
IF(OR(G204="4/16",G204="3/16"),((база!$L$5*2*Таблица1[[#This Row],[Столбец1]]*Таблица1[[#This Row],[коэф]])),
IF(OR(G204="2/4",G204="3/4",G204="4/4"),((база!$I$5*2*Таблица1[[#This Row],[Столбец1]]*Таблица1[[#This Row],[коэф]])),
IF((G204="5/8"),((база!$J$6*2*Таблица1[[#This Row],[Столбец1]]*Таблица1[[#This Row],[коэф]])),
IF(OR(G204="4/8",G204="3/8",G204="2/8"),((база!$J$5*2*Таблица1[[#This Row],[Столбец1]]*Таблица1[[#This Row],[коэф]])))))))))))</f>
        <v>0</v>
      </c>
      <c r="AQ204" s="712" t="str">
        <f>IFERROR(INDEX(база!T:T, MATCH(F204,база!Q:Q,0)),"")</f>
        <v/>
      </c>
      <c r="AR204" s="208" t="str">
        <f>IFERROR(INDEX(база!D:D, MATCH(F204,база!B:B,0)),"")</f>
        <v/>
      </c>
      <c r="AS204" s="758" t="str">
        <f>IFERROR(INDEX(база!E:E, MATCH(F204,база!B:B,0)),"")</f>
        <v/>
      </c>
    </row>
    <row r="205" spans="1:45" ht="15">
      <c r="A205" s="66" t="str">
        <f t="shared" si="4"/>
        <v>январь</v>
      </c>
      <c r="B205" s="231">
        <v>2024</v>
      </c>
      <c r="C205" s="299"/>
      <c r="D205" s="61"/>
      <c r="E205" s="211"/>
      <c r="F205" s="679"/>
      <c r="G205" s="47"/>
      <c r="H205" s="563"/>
      <c r="I205" s="563"/>
      <c r="J205" s="563"/>
      <c r="K205" s="563"/>
      <c r="L205" s="563"/>
      <c r="M205" s="563"/>
      <c r="N205" s="563"/>
      <c r="O205" s="563"/>
      <c r="P205" s="300"/>
      <c r="Q205" s="563"/>
      <c r="R205" s="563"/>
      <c r="S205" s="563"/>
      <c r="T205" s="563"/>
      <c r="U205" s="563"/>
      <c r="V205" s="563"/>
      <c r="W205" s="563"/>
      <c r="X205" s="563"/>
      <c r="Y205" s="563"/>
      <c r="Z205" s="563"/>
      <c r="AA205" s="563"/>
      <c r="AB205" s="563"/>
      <c r="AC205" s="563"/>
      <c r="AD205" s="48"/>
      <c r="AE205" s="48"/>
      <c r="AF205" s="258"/>
      <c r="AG205" s="48"/>
      <c r="AH205" s="48"/>
      <c r="AI205" s="48"/>
      <c r="AJ205" s="48"/>
      <c r="AK205" s="48"/>
      <c r="AL205" s="51"/>
      <c r="AM205" s="212">
        <f>IF(AQ205=1,SUM(Q205:T205,W205:Z205,AC205:AF205,AI205:AL205),
IF(AQ205=2,SUM(P205,S205:V205,Y205:AB205,AE205:AH205,AK205:AL205),
IF(AQ205=3,SUM(P205:R205,U205:X205,AA205:AD205,AG205:AJ205),SUM(Таблица1[[#This Row],[1]:[31]])-Таблица1[[#This Row],[Столбец1]])))</f>
        <v>0</v>
      </c>
      <c r="AN205" s="778">
        <f t="array" ref="AN205">IF(AQ205=1,SUM(P205,U205:V205,AA205:AB205,AG205:AH205),
IF(AQ205=2,SUM(Q205:R205,W205:X205,AC205:AD205,AI205:AJ205),
IF(AQ205=3,SUM(S205:T205,Y205:Z205,AE205:AF205,AK205:AL205),
SUM(IFERROR(WEEKDAY($H$2:$AL$2,2)&gt;5,)*H205:AL205))))+Таблица1[[#This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05" s="292" t="b">
        <f>IF(AR205&lt;=3,(IF((G205="5/24"),((база!$M$6*Таблица1[[#This Row],[сумма]]*Таблица1[[#This Row],[коэф]])),
IF((G205="4/24"),((база!$M$5*Таблица1[[#This Row],[сумма]]*Таблица1[[#This Row],[коэф]])),
IF((G205="3/24"),((база!$M$4*Таблица1[[#This Row],[сумма]]*Таблица1[[#This Row],[коэф]])),
IF((G205="5/16"),((база!$L$6*Таблица1[[#This Row],[сумма]]*Таблица1[[#This Row],[коэф]])),
IF((G205="4/16"),((база!$L$5*Таблица1[[#This Row],[сумма]]*Таблица1[[#This Row],[коэф]])),
IF((G205="3/16"),((база!$L$4*Таблица1[[#This Row],[сумма]]*Таблица1[[#This Row],[коэф]])),
IF((G205="4/4"),((база!$I$5*Таблица1[[#This Row],[сумма]]*Таблица1[[#This Row],[коэф]])),
IF(OR(G205="2/4",G205="3/4"),((база!$I$4*Таблица1[[#This Row],[сумма]]*Таблица1[[#This Row],[коэф]])),
IF((G205="5/8"),((база!$J$6*Таблица1[[#This Row],[сумма]]*Таблица1[[#This Row],[коэф]])),
IF((G205="4/8"),((база!$J$5*Таблица1[[#This Row],[сумма]]*Таблица1[[#This Row],[коэф]])),
IF(OR(G205="3/8",G205="2/8"),((база!$J$4*Таблица1[[#This Row],[сумма]]*Таблица1[[#This Row],[коэф]])))))))))))))),
(IF((G205="5/24"),((база!$M$6*Таблица1[[#This Row],[сумма]]*Таблица1[[#This Row],[коэф]])),
IF(OR(G205="4/24",G205="3/24"),((база!$M$5*Таблица1[[#This Row],[сумма]]*Таблица1[[#This Row],[коэф]])),
IF((G205="5/16"),((база!$L$6*Таблица1[[#This Row],[сумма]]*Таблица1[[#This Row],[коэф]])),
IF(OR(G205="4/16",G205="3/16"),((база!$L$5*Таблица1[[#This Row],[сумма]]*Таблица1[[#This Row],[коэф]])),
IF(OR(G205="2/4",G205="3/4",G205="4/4"),((база!$I$5*Таблица1[[#This Row],[сумма]]*Таблица1[[#This Row],[коэф]])),
IF((G205="5/8"),((база!$J$6*Таблица1[[#This Row],[сумма]]*Таблица1[[#This Row],[коэф]])),
IF(OR(G205="4/8",G205="3/8",G205="2/8"),((база!$J$5*Таблица1[[#This Row],[сумма]]*Таблица1[[#This Row],[коэф]])))))))))))</f>
        <v>0</v>
      </c>
      <c r="AP205" s="730" t="b">
        <f>IF(AR205&lt;=3,(IF((G205="5/24"),((база!$M$6*2*Таблица1[[#This Row],[Столбец1]]*Таблица1[[#This Row],[коэф]])),
IF((G205="4/24"),((база!$M$5*2*Таблица1[[#This Row],[Столбец1]]*Таблица1[[#This Row],[коэф]])),
IF((G205="3/24"),((база!$M$4*2*Таблица1[[#This Row],[Столбец1]]*Таблица1[[#This Row],[коэф]])),
IF((G205="5/16"),((база!$L$6*2*Таблица1[[#This Row],[Столбец1]]*Таблица1[[#This Row],[коэф]])),
IF((G205="4/16"),((база!$L$5*2*Таблица1[[#This Row],[Столбец1]]*Таблица1[[#This Row],[коэф]])),
IF((G205="3/16"),((база!$L$4*2*Таблица1[[#This Row],[Столбец1]]*Таблица1[[#This Row],[коэф]])),
IF((G205="4/4"),((база!$I$5*2*Таблица1[[#This Row],[Столбец1]]*Таблица1[[#This Row],[коэф]])),
IF(OR(G205="2/4",G205="3/4"),((база!$I$4*2*Таблица1[[#This Row],[Столбец1]]*Таблица1[[#This Row],[коэф]])),
IF((G205="5/8"),((база!$J$6*2*Таблица1[[#This Row],[Столбец1]]*Таблица1[[#This Row],[коэф]])),
IF((G205="4/8"),((база!$J$5*2*Таблица1[[#This Row],[Столбец1]]*Таблица1[[#This Row],[коэф]])),
IF(OR(G205="3/8",G205="2/8"),((база!$J$4*2*Таблица1[[#This Row],[Столбец1]]*Таблица1[[#This Row],[коэф]])))))))))))))),
(IF((G205="5/24"),((база!$M$6*2*Таблица1[[#This Row],[Столбец1]]*Таблица1[[#This Row],[коэф]])),
IF(OR(G205="4/24",G205="3/24"),((база!$M$5*2*Таблица1[[#This Row],[Столбец1]]*Таблица1[[#This Row],[коэф]])),
IF((G205="5/16"),((база!$L$6*2*Таблица1[[#This Row],[Столбец1]]*Таблица1[[#This Row],[коэф]])),
IF(OR(G205="4/16",G205="3/16"),((база!$L$5*2*Таблица1[[#This Row],[Столбец1]]*Таблица1[[#This Row],[коэф]])),
IF(OR(G205="2/4",G205="3/4",G205="4/4"),((база!$I$5*2*Таблица1[[#This Row],[Столбец1]]*Таблица1[[#This Row],[коэф]])),
IF((G205="5/8"),((база!$J$6*2*Таблица1[[#This Row],[Столбец1]]*Таблица1[[#This Row],[коэф]])),
IF(OR(G205="4/8",G205="3/8",G205="2/8"),((база!$J$5*2*Таблица1[[#This Row],[Столбец1]]*Таблица1[[#This Row],[коэф]])))))))))))</f>
        <v>0</v>
      </c>
      <c r="AQ205" s="712" t="str">
        <f>IFERROR(INDEX(база!T:T, MATCH(F205,база!Q:Q,0)),"")</f>
        <v/>
      </c>
      <c r="AR205" s="208" t="str">
        <f>IFERROR(INDEX(база!D:D, MATCH(F205,база!B:B,0)),"")</f>
        <v/>
      </c>
      <c r="AS205" s="758" t="str">
        <f>IFERROR(INDEX(база!E:E, MATCH(F205,база!B:B,0)),"")</f>
        <v/>
      </c>
    </row>
    <row r="206" spans="1:45" ht="15">
      <c r="A206" s="66" t="str">
        <f t="shared" si="4"/>
        <v>январь</v>
      </c>
      <c r="B206" s="231">
        <v>2024</v>
      </c>
      <c r="C206" s="60"/>
      <c r="D206" s="61"/>
      <c r="E206" s="211"/>
      <c r="F206" s="679"/>
      <c r="G206" s="47"/>
      <c r="H206" s="563"/>
      <c r="I206" s="563"/>
      <c r="J206" s="563"/>
      <c r="K206" s="563"/>
      <c r="L206" s="563"/>
      <c r="M206" s="563"/>
      <c r="N206" s="563"/>
      <c r="O206" s="563"/>
      <c r="P206" s="300"/>
      <c r="Q206" s="563"/>
      <c r="R206" s="563"/>
      <c r="S206" s="563"/>
      <c r="T206" s="563"/>
      <c r="U206" s="563"/>
      <c r="V206" s="563"/>
      <c r="W206" s="563"/>
      <c r="X206" s="563"/>
      <c r="Y206" s="563"/>
      <c r="Z206" s="563"/>
      <c r="AA206" s="563"/>
      <c r="AB206" s="563"/>
      <c r="AC206" s="563"/>
      <c r="AD206" s="48"/>
      <c r="AE206" s="48"/>
      <c r="AF206" s="258"/>
      <c r="AG206" s="48"/>
      <c r="AH206" s="48"/>
      <c r="AI206" s="48"/>
      <c r="AJ206" s="258"/>
      <c r="AK206" s="258"/>
      <c r="AL206" s="258"/>
      <c r="AM206" s="212">
        <f>IF(AQ206=1,SUM(Q206:T206,W206:Z206,AC206:AF206,AI206:AL206),
IF(AQ206=2,SUM(P206,S206:V206,Y206:AB206,AE206:AH206,AK206:AL206),
IF(AQ206=3,SUM(P206:R206,U206:X206,AA206:AD206,AG206:AJ206),SUM(Таблица1[[#This Row],[1]:[31]])-Таблица1[[#This Row],[Столбец1]])))</f>
        <v>0</v>
      </c>
      <c r="AN206" s="778">
        <f t="array" ref="AN206">IF(AQ206=1,SUM(P206,U206:V206,AA206:AB206,AG206:AH206),
IF(AQ206=2,SUM(Q206:R206,W206:X206,AC206:AD206,AI206:AJ206),
IF(AQ206=3,SUM(S206:T206,Y206:Z206,AE206:AF206,AK206:AL206),
SUM(IFERROR(WEEKDAY($H$2:$AL$2,2)&gt;5,)*H206:AL206))))+Таблица1[[#This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06" s="292" t="b">
        <f>IF(AR206&lt;=3,(IF((G206="5/24"),((база!$M$6*Таблица1[[#This Row],[сумма]]*Таблица1[[#This Row],[коэф]])),
IF((G206="4/24"),((база!$M$5*Таблица1[[#This Row],[сумма]]*Таблица1[[#This Row],[коэф]])),
IF((G206="3/24"),((база!$M$4*Таблица1[[#This Row],[сумма]]*Таблица1[[#This Row],[коэф]])),
IF((G206="5/16"),((база!$L$6*Таблица1[[#This Row],[сумма]]*Таблица1[[#This Row],[коэф]])),
IF((G206="4/16"),((база!$L$5*Таблица1[[#This Row],[сумма]]*Таблица1[[#This Row],[коэф]])),
IF((G206="3/16"),((база!$L$4*Таблица1[[#This Row],[сумма]]*Таблица1[[#This Row],[коэф]])),
IF((G206="4/4"),((база!$I$5*Таблица1[[#This Row],[сумма]]*Таблица1[[#This Row],[коэф]])),
IF(OR(G206="2/4",G206="3/4"),((база!$I$4*Таблица1[[#This Row],[сумма]]*Таблица1[[#This Row],[коэф]])),
IF((G206="5/8"),((база!$J$6*Таблица1[[#This Row],[сумма]]*Таблица1[[#This Row],[коэф]])),
IF((G206="4/8"),((база!$J$5*Таблица1[[#This Row],[сумма]]*Таблица1[[#This Row],[коэф]])),
IF(OR(G206="3/8",G206="2/8"),((база!$J$4*Таблица1[[#This Row],[сумма]]*Таблица1[[#This Row],[коэф]])))))))))))))),
(IF((G206="5/24"),((база!$M$6*Таблица1[[#This Row],[сумма]]*Таблица1[[#This Row],[коэф]])),
IF(OR(G206="4/24",G206="3/24"),((база!$M$5*Таблица1[[#This Row],[сумма]]*Таблица1[[#This Row],[коэф]])),
IF((G206="5/16"),((база!$L$6*Таблица1[[#This Row],[сумма]]*Таблица1[[#This Row],[коэф]])),
IF(OR(G206="4/16",G206="3/16"),((база!$L$5*Таблица1[[#This Row],[сумма]]*Таблица1[[#This Row],[коэф]])),
IF(OR(G206="2/4",G206="3/4",G206="4/4"),((база!$I$5*Таблица1[[#This Row],[сумма]]*Таблица1[[#This Row],[коэф]])),
IF((G206="5/8"),((база!$J$6*Таблица1[[#This Row],[сумма]]*Таблица1[[#This Row],[коэф]])),
IF(OR(G206="4/8",G206="3/8",G206="2/8"),((база!$J$5*Таблица1[[#This Row],[сумма]]*Таблица1[[#This Row],[коэф]])))))))))))</f>
        <v>0</v>
      </c>
      <c r="AP206" s="730" t="b">
        <f>IF(AR206&lt;=3,(IF((G206="5/24"),((база!$M$6*2*Таблица1[[#This Row],[Столбец1]]*Таблица1[[#This Row],[коэф]])),
IF((G206="4/24"),((база!$M$5*2*Таблица1[[#This Row],[Столбец1]]*Таблица1[[#This Row],[коэф]])),
IF((G206="3/24"),((база!$M$4*2*Таблица1[[#This Row],[Столбец1]]*Таблица1[[#This Row],[коэф]])),
IF((G206="5/16"),((база!$L$6*2*Таблица1[[#This Row],[Столбец1]]*Таблица1[[#This Row],[коэф]])),
IF((G206="4/16"),((база!$L$5*2*Таблица1[[#This Row],[Столбец1]]*Таблица1[[#This Row],[коэф]])),
IF((G206="3/16"),((база!$L$4*2*Таблица1[[#This Row],[Столбец1]]*Таблица1[[#This Row],[коэф]])),
IF((G206="4/4"),((база!$I$5*2*Таблица1[[#This Row],[Столбец1]]*Таблица1[[#This Row],[коэф]])),
IF(OR(G206="2/4",G206="3/4"),((база!$I$4*2*Таблица1[[#This Row],[Столбец1]]*Таблица1[[#This Row],[коэф]])),
IF((G206="5/8"),((база!$J$6*2*Таблица1[[#This Row],[Столбец1]]*Таблица1[[#This Row],[коэф]])),
IF((G206="4/8"),((база!$J$5*2*Таблица1[[#This Row],[Столбец1]]*Таблица1[[#This Row],[коэф]])),
IF(OR(G206="3/8",G206="2/8"),((база!$J$4*2*Таблица1[[#This Row],[Столбец1]]*Таблица1[[#This Row],[коэф]])))))))))))))),
(IF((G206="5/24"),((база!$M$6*2*Таблица1[[#This Row],[Столбец1]]*Таблица1[[#This Row],[коэф]])),
IF(OR(G206="4/24",G206="3/24"),((база!$M$5*2*Таблица1[[#This Row],[Столбец1]]*Таблица1[[#This Row],[коэф]])),
IF((G206="5/16"),((база!$L$6*2*Таблица1[[#This Row],[Столбец1]]*Таблица1[[#This Row],[коэф]])),
IF(OR(G206="4/16",G206="3/16"),((база!$L$5*2*Таблица1[[#This Row],[Столбец1]]*Таблица1[[#This Row],[коэф]])),
IF(OR(G206="2/4",G206="3/4",G206="4/4"),((база!$I$5*2*Таблица1[[#This Row],[Столбец1]]*Таблица1[[#This Row],[коэф]])),
IF((G206="5/8"),((база!$J$6*2*Таблица1[[#This Row],[Столбец1]]*Таблица1[[#This Row],[коэф]])),
IF(OR(G206="4/8",G206="3/8",G206="2/8"),((база!$J$5*2*Таблица1[[#This Row],[Столбец1]]*Таблица1[[#This Row],[коэф]])))))))))))</f>
        <v>0</v>
      </c>
      <c r="AQ206" s="712" t="str">
        <f>IFERROR(INDEX(база!T:T, MATCH(F206,база!Q:Q,0)),"")</f>
        <v/>
      </c>
      <c r="AR206" s="208" t="str">
        <f>IFERROR(INDEX(база!D:D, MATCH(F206,база!B:B,0)),"")</f>
        <v/>
      </c>
      <c r="AS206" s="758" t="str">
        <f>IFERROR(INDEX(база!E:E, MATCH(F206,база!B:B,0)),"")</f>
        <v/>
      </c>
    </row>
    <row r="207" spans="1:45" ht="15">
      <c r="A207" s="66" t="str">
        <f t="shared" si="4"/>
        <v>январь</v>
      </c>
      <c r="B207" s="231">
        <v>2024</v>
      </c>
      <c r="C207" s="60"/>
      <c r="D207" s="61"/>
      <c r="E207" s="211"/>
      <c r="F207" s="679"/>
      <c r="G207" s="47"/>
      <c r="H207" s="563"/>
      <c r="I207" s="563"/>
      <c r="J207" s="563"/>
      <c r="K207" s="563"/>
      <c r="L207" s="563"/>
      <c r="M207" s="563"/>
      <c r="N207" s="563"/>
      <c r="O207" s="563"/>
      <c r="P207" s="300"/>
      <c r="Q207" s="563"/>
      <c r="R207" s="563"/>
      <c r="S207" s="563"/>
      <c r="T207" s="563"/>
      <c r="U207" s="563"/>
      <c r="V207" s="563"/>
      <c r="W207" s="563"/>
      <c r="X207" s="563"/>
      <c r="Y207" s="563"/>
      <c r="Z207" s="563"/>
      <c r="AA207" s="563"/>
      <c r="AB207" s="563"/>
      <c r="AC207" s="563"/>
      <c r="AD207" s="48"/>
      <c r="AE207" s="48"/>
      <c r="AF207" s="258"/>
      <c r="AG207" s="48"/>
      <c r="AH207" s="48"/>
      <c r="AI207" s="48"/>
      <c r="AJ207" s="48"/>
      <c r="AK207" s="48"/>
      <c r="AL207" s="51"/>
      <c r="AM207" s="212">
        <f>IF(AQ207=1,SUM(Q207:T207,W207:Z207,AC207:AF207,AI207:AL207),
IF(AQ207=2,SUM(P207,S207:V207,Y207:AB207,AE207:AH207,AK207:AL207),
IF(AQ207=3,SUM(P207:R207,U207:X207,AA207:AD207,AG207:AJ207),SUM(Таблица1[[#This Row],[1]:[31]])-Таблица1[[#This Row],[Столбец1]])))</f>
        <v>0</v>
      </c>
      <c r="AN207" s="778">
        <f t="array" ref="AN207">IF(AQ207=1,SUM(P207,U207:V207,AA207:AB207,AG207:AH207),
IF(AQ207=2,SUM(Q207:R207,W207:X207,AC207:AD207,AI207:AJ207),
IF(AQ207=3,SUM(S207:T207,Y207:Z207,AE207:AF207,AK207:AL207),
SUM(IFERROR(WEEKDAY($H$2:$AL$2,2)&gt;5,)*H207:AL207))))+Таблица1[[#This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07" s="292" t="b">
        <f>IF(AR207&lt;=3,(IF((G207="5/24"),((база!$M$6*Таблица1[[#This Row],[сумма]]*Таблица1[[#This Row],[коэф]])),
IF((G207="4/24"),((база!$M$5*Таблица1[[#This Row],[сумма]]*Таблица1[[#This Row],[коэф]])),
IF((G207="3/24"),((база!$M$4*Таблица1[[#This Row],[сумма]]*Таблица1[[#This Row],[коэф]])),
IF((G207="5/16"),((база!$L$6*Таблица1[[#This Row],[сумма]]*Таблица1[[#This Row],[коэф]])),
IF((G207="4/16"),((база!$L$5*Таблица1[[#This Row],[сумма]]*Таблица1[[#This Row],[коэф]])),
IF((G207="3/16"),((база!$L$4*Таблица1[[#This Row],[сумма]]*Таблица1[[#This Row],[коэф]])),
IF((G207="4/4"),((база!$I$5*Таблица1[[#This Row],[сумма]]*Таблица1[[#This Row],[коэф]])),
IF(OR(G207="2/4",G207="3/4"),((база!$I$4*Таблица1[[#This Row],[сумма]]*Таблица1[[#This Row],[коэф]])),
IF((G207="5/8"),((база!$J$6*Таблица1[[#This Row],[сумма]]*Таблица1[[#This Row],[коэф]])),
IF((G207="4/8"),((база!$J$5*Таблица1[[#This Row],[сумма]]*Таблица1[[#This Row],[коэф]])),
IF(OR(G207="3/8",G207="2/8"),((база!$J$4*Таблица1[[#This Row],[сумма]]*Таблица1[[#This Row],[коэф]])))))))))))))),
(IF((G207="5/24"),((база!$M$6*Таблица1[[#This Row],[сумма]]*Таблица1[[#This Row],[коэф]])),
IF(OR(G207="4/24",G207="3/24"),((база!$M$5*Таблица1[[#This Row],[сумма]]*Таблица1[[#This Row],[коэф]])),
IF((G207="5/16"),((база!$L$6*Таблица1[[#This Row],[сумма]]*Таблица1[[#This Row],[коэф]])),
IF(OR(G207="4/16",G207="3/16"),((база!$L$5*Таблица1[[#This Row],[сумма]]*Таблица1[[#This Row],[коэф]])),
IF(OR(G207="2/4",G207="3/4",G207="4/4"),((база!$I$5*Таблица1[[#This Row],[сумма]]*Таблица1[[#This Row],[коэф]])),
IF((G207="5/8"),((база!$J$6*Таблица1[[#This Row],[сумма]]*Таблица1[[#This Row],[коэф]])),
IF(OR(G207="4/8",G207="3/8",G207="2/8"),((база!$J$5*Таблица1[[#This Row],[сумма]]*Таблица1[[#This Row],[коэф]])))))))))))</f>
        <v>0</v>
      </c>
      <c r="AP207" s="730" t="b">
        <f>IF(AR207&lt;=3,(IF((G207="5/24"),((база!$M$6*2*Таблица1[[#This Row],[Столбец1]]*Таблица1[[#This Row],[коэф]])),
IF((G207="4/24"),((база!$M$5*2*Таблица1[[#This Row],[Столбец1]]*Таблица1[[#This Row],[коэф]])),
IF((G207="3/24"),((база!$M$4*2*Таблица1[[#This Row],[Столбец1]]*Таблица1[[#This Row],[коэф]])),
IF((G207="5/16"),((база!$L$6*2*Таблица1[[#This Row],[Столбец1]]*Таблица1[[#This Row],[коэф]])),
IF((G207="4/16"),((база!$L$5*2*Таблица1[[#This Row],[Столбец1]]*Таблица1[[#This Row],[коэф]])),
IF((G207="3/16"),((база!$L$4*2*Таблица1[[#This Row],[Столбец1]]*Таблица1[[#This Row],[коэф]])),
IF((G207="4/4"),((база!$I$5*2*Таблица1[[#This Row],[Столбец1]]*Таблица1[[#This Row],[коэф]])),
IF(OR(G207="2/4",G207="3/4"),((база!$I$4*2*Таблица1[[#This Row],[Столбец1]]*Таблица1[[#This Row],[коэф]])),
IF((G207="5/8"),((база!$J$6*2*Таблица1[[#This Row],[Столбец1]]*Таблица1[[#This Row],[коэф]])),
IF((G207="4/8"),((база!$J$5*2*Таблица1[[#This Row],[Столбец1]]*Таблица1[[#This Row],[коэф]])),
IF(OR(G207="3/8",G207="2/8"),((база!$J$4*2*Таблица1[[#This Row],[Столбец1]]*Таблица1[[#This Row],[коэф]])))))))))))))),
(IF((G207="5/24"),((база!$M$6*2*Таблица1[[#This Row],[Столбец1]]*Таблица1[[#This Row],[коэф]])),
IF(OR(G207="4/24",G207="3/24"),((база!$M$5*2*Таблица1[[#This Row],[Столбец1]]*Таблица1[[#This Row],[коэф]])),
IF((G207="5/16"),((база!$L$6*2*Таблица1[[#This Row],[Столбец1]]*Таблица1[[#This Row],[коэф]])),
IF(OR(G207="4/16",G207="3/16"),((база!$L$5*2*Таблица1[[#This Row],[Столбец1]]*Таблица1[[#This Row],[коэф]])),
IF(OR(G207="2/4",G207="3/4",G207="4/4"),((база!$I$5*2*Таблица1[[#This Row],[Столбец1]]*Таблица1[[#This Row],[коэф]])),
IF((G207="5/8"),((база!$J$6*2*Таблица1[[#This Row],[Столбец1]]*Таблица1[[#This Row],[коэф]])),
IF(OR(G207="4/8",G207="3/8",G207="2/8"),((база!$J$5*2*Таблица1[[#This Row],[Столбец1]]*Таблица1[[#This Row],[коэф]])))))))))))</f>
        <v>0</v>
      </c>
      <c r="AQ207" s="712" t="str">
        <f>IFERROR(INDEX(база!T:T, MATCH(F207,база!Q:Q,0)),"")</f>
        <v/>
      </c>
      <c r="AR207" s="208" t="str">
        <f>IFERROR(INDEX(база!D:D, MATCH(F207,база!B:B,0)),"")</f>
        <v/>
      </c>
      <c r="AS207" s="758" t="str">
        <f>IFERROR(INDEX(база!E:E, MATCH(F207,база!B:B,0)),"")</f>
        <v/>
      </c>
    </row>
    <row r="208" spans="1:45" ht="15">
      <c r="A208" s="66" t="str">
        <f t="shared" si="4"/>
        <v>январь</v>
      </c>
      <c r="B208" s="231">
        <v>2024</v>
      </c>
      <c r="C208" s="60"/>
      <c r="D208" s="61"/>
      <c r="E208" s="211"/>
      <c r="F208" s="679"/>
      <c r="G208" s="47"/>
      <c r="H208" s="563"/>
      <c r="I208" s="563"/>
      <c r="J208" s="563"/>
      <c r="K208" s="563"/>
      <c r="L208" s="563"/>
      <c r="M208" s="563"/>
      <c r="N208" s="563"/>
      <c r="O208" s="563"/>
      <c r="P208" s="300"/>
      <c r="Q208" s="563"/>
      <c r="R208" s="563"/>
      <c r="S208" s="563"/>
      <c r="T208" s="563"/>
      <c r="U208" s="563"/>
      <c r="V208" s="563"/>
      <c r="W208" s="563"/>
      <c r="X208" s="563"/>
      <c r="Y208" s="563"/>
      <c r="Z208" s="563"/>
      <c r="AA208" s="563"/>
      <c r="AB208" s="563"/>
      <c r="AC208" s="563"/>
      <c r="AD208" s="48"/>
      <c r="AE208" s="48"/>
      <c r="AF208" s="258"/>
      <c r="AG208" s="48"/>
      <c r="AH208" s="48"/>
      <c r="AI208" s="258"/>
      <c r="AJ208" s="258"/>
      <c r="AK208" s="258"/>
      <c r="AL208" s="258"/>
      <c r="AM208" s="212">
        <f>IF(AQ208=1,SUM(Q208:T208,W208:Z208,AC208:AF208,AI208:AL208),
IF(AQ208=2,SUM(P208,S208:V208,Y208:AB208,AE208:AH208,AK208:AL208),
IF(AQ208=3,SUM(P208:R208,U208:X208,AA208:AD208,AG208:AJ208),SUM(Таблица1[[#This Row],[1]:[31]])-Таблица1[[#This Row],[Столбец1]])))</f>
        <v>0</v>
      </c>
      <c r="AN208" s="778">
        <f t="array" ref="AN208">IF(AQ208=1,SUM(P208,U208:V208,AA208:AB208,AG208:AH208),
IF(AQ208=2,SUM(Q208:R208,W208:X208,AC208:AD208,AI208:AJ208),
IF(AQ208=3,SUM(S208:T208,Y208:Z208,AE208:AF208,AK208:AL208),
SUM(IFERROR(WEEKDAY($H$2:$AL$2,2)&gt;5,)*H208:AL208))))+Таблица1[[#This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08" s="292" t="b">
        <f>IF(AR208&lt;=3,(IF((G208="5/24"),((база!$M$6*Таблица1[[#This Row],[сумма]]*Таблица1[[#This Row],[коэф]])),
IF((G208="4/24"),((база!$M$5*Таблица1[[#This Row],[сумма]]*Таблица1[[#This Row],[коэф]])),
IF((G208="3/24"),((база!$M$4*Таблица1[[#This Row],[сумма]]*Таблица1[[#This Row],[коэф]])),
IF((G208="5/16"),((база!$L$6*Таблица1[[#This Row],[сумма]]*Таблица1[[#This Row],[коэф]])),
IF((G208="4/16"),((база!$L$5*Таблица1[[#This Row],[сумма]]*Таблица1[[#This Row],[коэф]])),
IF((G208="3/16"),((база!$L$4*Таблица1[[#This Row],[сумма]]*Таблица1[[#This Row],[коэф]])),
IF((G208="4/4"),((база!$I$5*Таблица1[[#This Row],[сумма]]*Таблица1[[#This Row],[коэф]])),
IF(OR(G208="2/4",G208="3/4"),((база!$I$4*Таблица1[[#This Row],[сумма]]*Таблица1[[#This Row],[коэф]])),
IF((G208="5/8"),((база!$J$6*Таблица1[[#This Row],[сумма]]*Таблица1[[#This Row],[коэф]])),
IF((G208="4/8"),((база!$J$5*Таблица1[[#This Row],[сумма]]*Таблица1[[#This Row],[коэф]])),
IF(OR(G208="3/8",G208="2/8"),((база!$J$4*Таблица1[[#This Row],[сумма]]*Таблица1[[#This Row],[коэф]])))))))))))))),
(IF((G208="5/24"),((база!$M$6*Таблица1[[#This Row],[сумма]]*Таблица1[[#This Row],[коэф]])),
IF(OR(G208="4/24",G208="3/24"),((база!$M$5*Таблица1[[#This Row],[сумма]]*Таблица1[[#This Row],[коэф]])),
IF((G208="5/16"),((база!$L$6*Таблица1[[#This Row],[сумма]]*Таблица1[[#This Row],[коэф]])),
IF(OR(G208="4/16",G208="3/16"),((база!$L$5*Таблица1[[#This Row],[сумма]]*Таблица1[[#This Row],[коэф]])),
IF(OR(G208="2/4",G208="3/4",G208="4/4"),((база!$I$5*Таблица1[[#This Row],[сумма]]*Таблица1[[#This Row],[коэф]])),
IF((G208="5/8"),((база!$J$6*Таблица1[[#This Row],[сумма]]*Таблица1[[#This Row],[коэф]])),
IF(OR(G208="4/8",G208="3/8",G208="2/8"),((база!$J$5*Таблица1[[#This Row],[сумма]]*Таблица1[[#This Row],[коэф]])))))))))))</f>
        <v>0</v>
      </c>
      <c r="AP208" s="730" t="b">
        <f>IF(AR208&lt;=3,(IF((G208="5/24"),((база!$M$6*2*Таблица1[[#This Row],[Столбец1]]*Таблица1[[#This Row],[коэф]])),
IF((G208="4/24"),((база!$M$5*2*Таблица1[[#This Row],[Столбец1]]*Таблица1[[#This Row],[коэф]])),
IF((G208="3/24"),((база!$M$4*2*Таблица1[[#This Row],[Столбец1]]*Таблица1[[#This Row],[коэф]])),
IF((G208="5/16"),((база!$L$6*2*Таблица1[[#This Row],[Столбец1]]*Таблица1[[#This Row],[коэф]])),
IF((G208="4/16"),((база!$L$5*2*Таблица1[[#This Row],[Столбец1]]*Таблица1[[#This Row],[коэф]])),
IF((G208="3/16"),((база!$L$4*2*Таблица1[[#This Row],[Столбец1]]*Таблица1[[#This Row],[коэф]])),
IF((G208="4/4"),((база!$I$5*2*Таблица1[[#This Row],[Столбец1]]*Таблица1[[#This Row],[коэф]])),
IF(OR(G208="2/4",G208="3/4"),((база!$I$4*2*Таблица1[[#This Row],[Столбец1]]*Таблица1[[#This Row],[коэф]])),
IF((G208="5/8"),((база!$J$6*2*Таблица1[[#This Row],[Столбец1]]*Таблица1[[#This Row],[коэф]])),
IF((G208="4/8"),((база!$J$5*2*Таблица1[[#This Row],[Столбец1]]*Таблица1[[#This Row],[коэф]])),
IF(OR(G208="3/8",G208="2/8"),((база!$J$4*2*Таблица1[[#This Row],[Столбец1]]*Таблица1[[#This Row],[коэф]])))))))))))))),
(IF((G208="5/24"),((база!$M$6*2*Таблица1[[#This Row],[Столбец1]]*Таблица1[[#This Row],[коэф]])),
IF(OR(G208="4/24",G208="3/24"),((база!$M$5*2*Таблица1[[#This Row],[Столбец1]]*Таблица1[[#This Row],[коэф]])),
IF((G208="5/16"),((база!$L$6*2*Таблица1[[#This Row],[Столбец1]]*Таблица1[[#This Row],[коэф]])),
IF(OR(G208="4/16",G208="3/16"),((база!$L$5*2*Таблица1[[#This Row],[Столбец1]]*Таблица1[[#This Row],[коэф]])),
IF(OR(G208="2/4",G208="3/4",G208="4/4"),((база!$I$5*2*Таблица1[[#This Row],[Столбец1]]*Таблица1[[#This Row],[коэф]])),
IF((G208="5/8"),((база!$J$6*2*Таблица1[[#This Row],[Столбец1]]*Таблица1[[#This Row],[коэф]])),
IF(OR(G208="4/8",G208="3/8",G208="2/8"),((база!$J$5*2*Таблица1[[#This Row],[Столбец1]]*Таблица1[[#This Row],[коэф]])))))))))))</f>
        <v>0</v>
      </c>
      <c r="AQ208" s="712" t="str">
        <f>IFERROR(INDEX(база!T:T, MATCH(F208,база!Q:Q,0)),"")</f>
        <v/>
      </c>
      <c r="AR208" s="208" t="str">
        <f>IFERROR(INDEX(база!D:D, MATCH(F208,база!B:B,0)),"")</f>
        <v/>
      </c>
      <c r="AS208" s="758" t="str">
        <f>IFERROR(INDEX(база!E:E, MATCH(F208,база!B:B,0)),"")</f>
        <v/>
      </c>
    </row>
    <row r="209" spans="1:45" ht="15">
      <c r="A209" s="66" t="str">
        <f t="shared" si="4"/>
        <v>январь</v>
      </c>
      <c r="B209" s="231">
        <v>2024</v>
      </c>
      <c r="C209" s="60"/>
      <c r="D209" s="61"/>
      <c r="E209" s="211"/>
      <c r="F209" s="679"/>
      <c r="G209" s="47"/>
      <c r="H209" s="563"/>
      <c r="I209" s="563"/>
      <c r="J209" s="563"/>
      <c r="K209" s="563"/>
      <c r="L209" s="563"/>
      <c r="M209" s="563"/>
      <c r="N209" s="563"/>
      <c r="O209" s="563"/>
      <c r="P209" s="300"/>
      <c r="Q209" s="563"/>
      <c r="R209" s="563"/>
      <c r="S209" s="563"/>
      <c r="T209" s="563"/>
      <c r="U209" s="563"/>
      <c r="V209" s="563"/>
      <c r="W209" s="563"/>
      <c r="X209" s="563"/>
      <c r="Y209" s="563"/>
      <c r="Z209" s="563"/>
      <c r="AA209" s="563"/>
      <c r="AB209" s="563"/>
      <c r="AC209" s="563"/>
      <c r="AD209" s="48"/>
      <c r="AE209" s="48"/>
      <c r="AF209" s="258"/>
      <c r="AG209" s="48"/>
      <c r="AH209" s="48"/>
      <c r="AI209" s="48"/>
      <c r="AJ209" s="48"/>
      <c r="AK209" s="48"/>
      <c r="AL209" s="51"/>
      <c r="AM209" s="212">
        <f>IF(AQ209=1,SUM(Q209:T209,W209:Z209,AC209:AF209,AI209:AL209),
IF(AQ209=2,SUM(P209,S209:V209,Y209:AB209,AE209:AH209,AK209:AL209),
IF(AQ209=3,SUM(P209:R209,U209:X209,AA209:AD209,AG209:AJ209),SUM(Таблица1[[#This Row],[1]:[31]])-Таблица1[[#This Row],[Столбец1]])))</f>
        <v>0</v>
      </c>
      <c r="AN209" s="778">
        <f t="array" ref="AN209">IF(AQ209=1,SUM(P209,U209:V209,AA209:AB209,AG209:AH209),
IF(AQ209=2,SUM(Q209:R209,W209:X209,AC209:AD209,AI209:AJ209),
IF(AQ209=3,SUM(S209:T209,Y209:Z209,AE209:AF209,AK209:AL209),
SUM(IFERROR(WEEKDAY($H$2:$AL$2,2)&gt;5,)*H209:AL209))))+Таблица1[[#This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09" s="292" t="b">
        <f>IF(AR209&lt;=3,(IF((G209="5/24"),((база!$M$6*Таблица1[[#This Row],[сумма]]*Таблица1[[#This Row],[коэф]])),
IF((G209="4/24"),((база!$M$5*Таблица1[[#This Row],[сумма]]*Таблица1[[#This Row],[коэф]])),
IF((G209="3/24"),((база!$M$4*Таблица1[[#This Row],[сумма]]*Таблица1[[#This Row],[коэф]])),
IF((G209="5/16"),((база!$L$6*Таблица1[[#This Row],[сумма]]*Таблица1[[#This Row],[коэф]])),
IF((G209="4/16"),((база!$L$5*Таблица1[[#This Row],[сумма]]*Таблица1[[#This Row],[коэф]])),
IF((G209="3/16"),((база!$L$4*Таблица1[[#This Row],[сумма]]*Таблица1[[#This Row],[коэф]])),
IF((G209="4/4"),((база!$I$5*Таблица1[[#This Row],[сумма]]*Таблица1[[#This Row],[коэф]])),
IF(OR(G209="2/4",G209="3/4"),((база!$I$4*Таблица1[[#This Row],[сумма]]*Таблица1[[#This Row],[коэф]])),
IF((G209="5/8"),((база!$J$6*Таблица1[[#This Row],[сумма]]*Таблица1[[#This Row],[коэф]])),
IF((G209="4/8"),((база!$J$5*Таблица1[[#This Row],[сумма]]*Таблица1[[#This Row],[коэф]])),
IF(OR(G209="3/8",G209="2/8"),((база!$J$4*Таблица1[[#This Row],[сумма]]*Таблица1[[#This Row],[коэф]])))))))))))))),
(IF((G209="5/24"),((база!$M$6*Таблица1[[#This Row],[сумма]]*Таблица1[[#This Row],[коэф]])),
IF(OR(G209="4/24",G209="3/24"),((база!$M$5*Таблица1[[#This Row],[сумма]]*Таблица1[[#This Row],[коэф]])),
IF((G209="5/16"),((база!$L$6*Таблица1[[#This Row],[сумма]]*Таблица1[[#This Row],[коэф]])),
IF(OR(G209="4/16",G209="3/16"),((база!$L$5*Таблица1[[#This Row],[сумма]]*Таблица1[[#This Row],[коэф]])),
IF(OR(G209="2/4",G209="3/4",G209="4/4"),((база!$I$5*Таблица1[[#This Row],[сумма]]*Таблица1[[#This Row],[коэф]])),
IF((G209="5/8"),((база!$J$6*Таблица1[[#This Row],[сумма]]*Таблица1[[#This Row],[коэф]])),
IF(OR(G209="4/8",G209="3/8",G209="2/8"),((база!$J$5*Таблица1[[#This Row],[сумма]]*Таблица1[[#This Row],[коэф]])))))))))))</f>
        <v>0</v>
      </c>
      <c r="AP209" s="730" t="b">
        <f>IF(AR209&lt;=3,(IF((G209="5/24"),((база!$M$6*2*Таблица1[[#This Row],[Столбец1]]*Таблица1[[#This Row],[коэф]])),
IF((G209="4/24"),((база!$M$5*2*Таблица1[[#This Row],[Столбец1]]*Таблица1[[#This Row],[коэф]])),
IF((G209="3/24"),((база!$M$4*2*Таблица1[[#This Row],[Столбец1]]*Таблица1[[#This Row],[коэф]])),
IF((G209="5/16"),((база!$L$6*2*Таблица1[[#This Row],[Столбец1]]*Таблица1[[#This Row],[коэф]])),
IF((G209="4/16"),((база!$L$5*2*Таблица1[[#This Row],[Столбец1]]*Таблица1[[#This Row],[коэф]])),
IF((G209="3/16"),((база!$L$4*2*Таблица1[[#This Row],[Столбец1]]*Таблица1[[#This Row],[коэф]])),
IF((G209="4/4"),((база!$I$5*2*Таблица1[[#This Row],[Столбец1]]*Таблица1[[#This Row],[коэф]])),
IF(OR(G209="2/4",G209="3/4"),((база!$I$4*2*Таблица1[[#This Row],[Столбец1]]*Таблица1[[#This Row],[коэф]])),
IF((G209="5/8"),((база!$J$6*2*Таблица1[[#This Row],[Столбец1]]*Таблица1[[#This Row],[коэф]])),
IF((G209="4/8"),((база!$J$5*2*Таблица1[[#This Row],[Столбец1]]*Таблица1[[#This Row],[коэф]])),
IF(OR(G209="3/8",G209="2/8"),((база!$J$4*2*Таблица1[[#This Row],[Столбец1]]*Таблица1[[#This Row],[коэф]])))))))))))))),
(IF((G209="5/24"),((база!$M$6*2*Таблица1[[#This Row],[Столбец1]]*Таблица1[[#This Row],[коэф]])),
IF(OR(G209="4/24",G209="3/24"),((база!$M$5*2*Таблица1[[#This Row],[Столбец1]]*Таблица1[[#This Row],[коэф]])),
IF((G209="5/16"),((база!$L$6*2*Таблица1[[#This Row],[Столбец1]]*Таблица1[[#This Row],[коэф]])),
IF(OR(G209="4/16",G209="3/16"),((база!$L$5*2*Таблица1[[#This Row],[Столбец1]]*Таблица1[[#This Row],[коэф]])),
IF(OR(G209="2/4",G209="3/4",G209="4/4"),((база!$I$5*2*Таблица1[[#This Row],[Столбец1]]*Таблица1[[#This Row],[коэф]])),
IF((G209="5/8"),((база!$J$6*2*Таблица1[[#This Row],[Столбец1]]*Таблица1[[#This Row],[коэф]])),
IF(OR(G209="4/8",G209="3/8",G209="2/8"),((база!$J$5*2*Таблица1[[#This Row],[Столбец1]]*Таблица1[[#This Row],[коэф]])))))))))))</f>
        <v>0</v>
      </c>
      <c r="AQ209" s="712" t="str">
        <f>IFERROR(INDEX(база!T:T, MATCH(F209,база!Q:Q,0)),"")</f>
        <v/>
      </c>
      <c r="AR209" s="208" t="str">
        <f>IFERROR(INDEX(база!D:D, MATCH(F209,база!B:B,0)),"")</f>
        <v/>
      </c>
      <c r="AS209" s="758" t="str">
        <f>IFERROR(INDEX(база!E:E, MATCH(F209,база!B:B,0)),"")</f>
        <v/>
      </c>
    </row>
    <row r="210" spans="1:45" ht="15">
      <c r="A210" s="66" t="str">
        <f t="shared" si="4"/>
        <v>январь</v>
      </c>
      <c r="B210" s="231">
        <v>2024</v>
      </c>
      <c r="C210" s="60"/>
      <c r="D210" s="61"/>
      <c r="E210" s="211"/>
      <c r="F210" s="679"/>
      <c r="G210" s="47"/>
      <c r="H210" s="563"/>
      <c r="I210" s="563"/>
      <c r="J210" s="563"/>
      <c r="K210" s="563"/>
      <c r="L210" s="563"/>
      <c r="M210" s="563"/>
      <c r="N210" s="563"/>
      <c r="O210" s="563"/>
      <c r="P210" s="300"/>
      <c r="Q210" s="563"/>
      <c r="R210" s="563"/>
      <c r="S210" s="563"/>
      <c r="T210" s="563"/>
      <c r="U210" s="563"/>
      <c r="V210" s="563"/>
      <c r="W210" s="563"/>
      <c r="X210" s="563"/>
      <c r="Y210" s="563"/>
      <c r="Z210" s="563"/>
      <c r="AA210" s="563"/>
      <c r="AB210" s="563"/>
      <c r="AC210" s="563"/>
      <c r="AD210" s="48"/>
      <c r="AE210" s="48"/>
      <c r="AF210" s="258"/>
      <c r="AG210" s="48"/>
      <c r="AH210" s="48"/>
      <c r="AI210" s="258"/>
      <c r="AJ210" s="258"/>
      <c r="AK210" s="258"/>
      <c r="AL210" s="258"/>
      <c r="AM210" s="212">
        <f>IF(AQ210=1,SUM(Q210:T210,W210:Z210,AC210:AF210,AI210:AL210),
IF(AQ210=2,SUM(P210,S210:V210,Y210:AB210,AE210:AH210,AK210:AL210),
IF(AQ210=3,SUM(P210:R210,U210:X210,AA210:AD210,AG210:AJ210),SUM(Таблица1[[#This Row],[1]:[31]])-Таблица1[[#This Row],[Столбец1]])))</f>
        <v>0</v>
      </c>
      <c r="AN210" s="778">
        <f t="array" ref="AN210">IF(AQ210=1,SUM(P210,U210:V210,AA210:AB210,AG210:AH210),
IF(AQ210=2,SUM(Q210:R210,W210:X210,AC210:AD210,AI210:AJ210),
IF(AQ210=3,SUM(S210:T210,Y210:Z210,AE210:AF210,AK210:AL210),
SUM(IFERROR(WEEKDAY($H$2:$AL$2,2)&gt;5,)*H210:AL210))))+Таблица1[[#This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10" s="292" t="b">
        <f>IF(AR210&lt;=3,(IF((G210="5/24"),((база!$M$6*Таблица1[[#This Row],[сумма]]*Таблица1[[#This Row],[коэф]])),
IF((G210="4/24"),((база!$M$5*Таблица1[[#This Row],[сумма]]*Таблица1[[#This Row],[коэф]])),
IF((G210="3/24"),((база!$M$4*Таблица1[[#This Row],[сумма]]*Таблица1[[#This Row],[коэф]])),
IF((G210="5/16"),((база!$L$6*Таблица1[[#This Row],[сумма]]*Таблица1[[#This Row],[коэф]])),
IF((G210="4/16"),((база!$L$5*Таблица1[[#This Row],[сумма]]*Таблица1[[#This Row],[коэф]])),
IF((G210="3/16"),((база!$L$4*Таблица1[[#This Row],[сумма]]*Таблица1[[#This Row],[коэф]])),
IF((G210="4/4"),((база!$I$5*Таблица1[[#This Row],[сумма]]*Таблица1[[#This Row],[коэф]])),
IF(OR(G210="2/4",G210="3/4"),((база!$I$4*Таблица1[[#This Row],[сумма]]*Таблица1[[#This Row],[коэф]])),
IF((G210="5/8"),((база!$J$6*Таблица1[[#This Row],[сумма]]*Таблица1[[#This Row],[коэф]])),
IF((G210="4/8"),((база!$J$5*Таблица1[[#This Row],[сумма]]*Таблица1[[#This Row],[коэф]])),
IF(OR(G210="3/8",G210="2/8"),((база!$J$4*Таблица1[[#This Row],[сумма]]*Таблица1[[#This Row],[коэф]])))))))))))))),
(IF((G210="5/24"),((база!$M$6*Таблица1[[#This Row],[сумма]]*Таблица1[[#This Row],[коэф]])),
IF(OR(G210="4/24",G210="3/24"),((база!$M$5*Таблица1[[#This Row],[сумма]]*Таблица1[[#This Row],[коэф]])),
IF((G210="5/16"),((база!$L$6*Таблица1[[#This Row],[сумма]]*Таблица1[[#This Row],[коэф]])),
IF(OR(G210="4/16",G210="3/16"),((база!$L$5*Таблица1[[#This Row],[сумма]]*Таблица1[[#This Row],[коэф]])),
IF(OR(G210="2/4",G210="3/4",G210="4/4"),((база!$I$5*Таблица1[[#This Row],[сумма]]*Таблица1[[#This Row],[коэф]])),
IF((G210="5/8"),((база!$J$6*Таблица1[[#This Row],[сумма]]*Таблица1[[#This Row],[коэф]])),
IF(OR(G210="4/8",G210="3/8",G210="2/8"),((база!$J$5*Таблица1[[#This Row],[сумма]]*Таблица1[[#This Row],[коэф]])))))))))))</f>
        <v>0</v>
      </c>
      <c r="AP210" s="730" t="b">
        <f>IF(AR210&lt;=3,(IF((G210="5/24"),((база!$M$6*2*Таблица1[[#This Row],[Столбец1]]*Таблица1[[#This Row],[коэф]])),
IF((G210="4/24"),((база!$M$5*2*Таблица1[[#This Row],[Столбец1]]*Таблица1[[#This Row],[коэф]])),
IF((G210="3/24"),((база!$M$4*2*Таблица1[[#This Row],[Столбец1]]*Таблица1[[#This Row],[коэф]])),
IF((G210="5/16"),((база!$L$6*2*Таблица1[[#This Row],[Столбец1]]*Таблица1[[#This Row],[коэф]])),
IF((G210="4/16"),((база!$L$5*2*Таблица1[[#This Row],[Столбец1]]*Таблица1[[#This Row],[коэф]])),
IF((G210="3/16"),((база!$L$4*2*Таблица1[[#This Row],[Столбец1]]*Таблица1[[#This Row],[коэф]])),
IF((G210="4/4"),((база!$I$5*2*Таблица1[[#This Row],[Столбец1]]*Таблица1[[#This Row],[коэф]])),
IF(OR(G210="2/4",G210="3/4"),((база!$I$4*2*Таблица1[[#This Row],[Столбец1]]*Таблица1[[#This Row],[коэф]])),
IF((G210="5/8"),((база!$J$6*2*Таблица1[[#This Row],[Столбец1]]*Таблица1[[#This Row],[коэф]])),
IF((G210="4/8"),((база!$J$5*2*Таблица1[[#This Row],[Столбец1]]*Таблица1[[#This Row],[коэф]])),
IF(OR(G210="3/8",G210="2/8"),((база!$J$4*2*Таблица1[[#This Row],[Столбец1]]*Таблица1[[#This Row],[коэф]])))))))))))))),
(IF((G210="5/24"),((база!$M$6*2*Таблица1[[#This Row],[Столбец1]]*Таблица1[[#This Row],[коэф]])),
IF(OR(G210="4/24",G210="3/24"),((база!$M$5*2*Таблица1[[#This Row],[Столбец1]]*Таблица1[[#This Row],[коэф]])),
IF((G210="5/16"),((база!$L$6*2*Таблица1[[#This Row],[Столбец1]]*Таблица1[[#This Row],[коэф]])),
IF(OR(G210="4/16",G210="3/16"),((база!$L$5*2*Таблица1[[#This Row],[Столбец1]]*Таблица1[[#This Row],[коэф]])),
IF(OR(G210="2/4",G210="3/4",G210="4/4"),((база!$I$5*2*Таблица1[[#This Row],[Столбец1]]*Таблица1[[#This Row],[коэф]])),
IF((G210="5/8"),((база!$J$6*2*Таблица1[[#This Row],[Столбец1]]*Таблица1[[#This Row],[коэф]])),
IF(OR(G210="4/8",G210="3/8",G210="2/8"),((база!$J$5*2*Таблица1[[#This Row],[Столбец1]]*Таблица1[[#This Row],[коэф]])))))))))))</f>
        <v>0</v>
      </c>
      <c r="AQ210" s="712" t="str">
        <f>IFERROR(INDEX(база!T:T, MATCH(F210,база!Q:Q,0)),"")</f>
        <v/>
      </c>
      <c r="AR210" s="208" t="str">
        <f>IFERROR(INDEX(база!D:D, MATCH(F210,база!B:B,0)),"")</f>
        <v/>
      </c>
      <c r="AS210" s="758" t="str">
        <f>IFERROR(INDEX(база!E:E, MATCH(F210,база!B:B,0)),"")</f>
        <v/>
      </c>
    </row>
    <row r="211" spans="1:45" ht="15">
      <c r="A211" s="66" t="str">
        <f t="shared" si="4"/>
        <v>январь</v>
      </c>
      <c r="B211" s="231">
        <v>2024</v>
      </c>
      <c r="C211" s="60"/>
      <c r="D211" s="61"/>
      <c r="E211" s="211"/>
      <c r="F211" s="679"/>
      <c r="G211" s="47"/>
      <c r="H211" s="563"/>
      <c r="I211" s="563"/>
      <c r="J211" s="563"/>
      <c r="K211" s="563"/>
      <c r="L211" s="563"/>
      <c r="M211" s="563"/>
      <c r="N211" s="563"/>
      <c r="O211" s="563"/>
      <c r="P211" s="300"/>
      <c r="Q211" s="563"/>
      <c r="R211" s="563"/>
      <c r="S211" s="563"/>
      <c r="T211" s="563"/>
      <c r="U211" s="563"/>
      <c r="V211" s="563"/>
      <c r="W211" s="563"/>
      <c r="X211" s="563"/>
      <c r="Y211" s="563"/>
      <c r="Z211" s="563"/>
      <c r="AA211" s="563"/>
      <c r="AB211" s="563"/>
      <c r="AC211" s="563"/>
      <c r="AD211" s="48"/>
      <c r="AE211" s="48"/>
      <c r="AF211" s="258"/>
      <c r="AG211" s="48"/>
      <c r="AH211" s="48"/>
      <c r="AI211" s="48"/>
      <c r="AJ211" s="48"/>
      <c r="AK211" s="48"/>
      <c r="AL211" s="51"/>
      <c r="AM211" s="212">
        <f>IF(AQ211=1,SUM(Q211:T211,W211:Z211,AC211:AF211,AI211:AL211),
IF(AQ211=2,SUM(P211,S211:V211,Y211:AB211,AE211:AH211,AK211:AL211),
IF(AQ211=3,SUM(P211:R211,U211:X211,AA211:AD211,AG211:AJ211),SUM(Таблица1[[#This Row],[1]:[31]])-Таблица1[[#This Row],[Столбец1]])))</f>
        <v>0</v>
      </c>
      <c r="AN211" s="778">
        <f t="array" ref="AN211">IF(AQ211=1,SUM(P211,U211:V211,AA211:AB211,AG211:AH211),
IF(AQ211=2,SUM(Q211:R211,W211:X211,AC211:AD211,AI211:AJ211),
IF(AQ211=3,SUM(S211:T211,Y211:Z211,AE211:AF211,AK211:AL211),
SUM(IFERROR(WEEKDAY($H$2:$AL$2,2)&gt;5,)*H211:AL211))))+Таблица1[[#This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11" s="292" t="b">
        <f>IF(AR211&lt;=3,(IF((G211="5/24"),((база!$M$6*Таблица1[[#This Row],[сумма]]*Таблица1[[#This Row],[коэф]])),
IF((G211="4/24"),((база!$M$5*Таблица1[[#This Row],[сумма]]*Таблица1[[#This Row],[коэф]])),
IF((G211="3/24"),((база!$M$4*Таблица1[[#This Row],[сумма]]*Таблица1[[#This Row],[коэф]])),
IF((G211="5/16"),((база!$L$6*Таблица1[[#This Row],[сумма]]*Таблица1[[#This Row],[коэф]])),
IF((G211="4/16"),((база!$L$5*Таблица1[[#This Row],[сумма]]*Таблица1[[#This Row],[коэф]])),
IF((G211="3/16"),((база!$L$4*Таблица1[[#This Row],[сумма]]*Таблица1[[#This Row],[коэф]])),
IF((G211="4/4"),((база!$I$5*Таблица1[[#This Row],[сумма]]*Таблица1[[#This Row],[коэф]])),
IF(OR(G211="2/4",G211="3/4"),((база!$I$4*Таблица1[[#This Row],[сумма]]*Таблица1[[#This Row],[коэф]])),
IF((G211="5/8"),((база!$J$6*Таблица1[[#This Row],[сумма]]*Таблица1[[#This Row],[коэф]])),
IF((G211="4/8"),((база!$J$5*Таблица1[[#This Row],[сумма]]*Таблица1[[#This Row],[коэф]])),
IF(OR(G211="3/8",G211="2/8"),((база!$J$4*Таблица1[[#This Row],[сумма]]*Таблица1[[#This Row],[коэф]])))))))))))))),
(IF((G211="5/24"),((база!$M$6*Таблица1[[#This Row],[сумма]]*Таблица1[[#This Row],[коэф]])),
IF(OR(G211="4/24",G211="3/24"),((база!$M$5*Таблица1[[#This Row],[сумма]]*Таблица1[[#This Row],[коэф]])),
IF((G211="5/16"),((база!$L$6*Таблица1[[#This Row],[сумма]]*Таблица1[[#This Row],[коэф]])),
IF(OR(G211="4/16",G211="3/16"),((база!$L$5*Таблица1[[#This Row],[сумма]]*Таблица1[[#This Row],[коэф]])),
IF(OR(G211="2/4",G211="3/4",G211="4/4"),((база!$I$5*Таблица1[[#This Row],[сумма]]*Таблица1[[#This Row],[коэф]])),
IF((G211="5/8"),((база!$J$6*Таблица1[[#This Row],[сумма]]*Таблица1[[#This Row],[коэф]])),
IF(OR(G211="4/8",G211="3/8",G211="2/8"),((база!$J$5*Таблица1[[#This Row],[сумма]]*Таблица1[[#This Row],[коэф]])))))))))))</f>
        <v>0</v>
      </c>
      <c r="AP211" s="730" t="b">
        <f>IF(AR211&lt;=3,(IF((G211="5/24"),((база!$M$6*2*Таблица1[[#This Row],[Столбец1]]*Таблица1[[#This Row],[коэф]])),
IF((G211="4/24"),((база!$M$5*2*Таблица1[[#This Row],[Столбец1]]*Таблица1[[#This Row],[коэф]])),
IF((G211="3/24"),((база!$M$4*2*Таблица1[[#This Row],[Столбец1]]*Таблица1[[#This Row],[коэф]])),
IF((G211="5/16"),((база!$L$6*2*Таблица1[[#This Row],[Столбец1]]*Таблица1[[#This Row],[коэф]])),
IF((G211="4/16"),((база!$L$5*2*Таблица1[[#This Row],[Столбец1]]*Таблица1[[#This Row],[коэф]])),
IF((G211="3/16"),((база!$L$4*2*Таблица1[[#This Row],[Столбец1]]*Таблица1[[#This Row],[коэф]])),
IF((G211="4/4"),((база!$I$5*2*Таблица1[[#This Row],[Столбец1]]*Таблица1[[#This Row],[коэф]])),
IF(OR(G211="2/4",G211="3/4"),((база!$I$4*2*Таблица1[[#This Row],[Столбец1]]*Таблица1[[#This Row],[коэф]])),
IF((G211="5/8"),((база!$J$6*2*Таблица1[[#This Row],[Столбец1]]*Таблица1[[#This Row],[коэф]])),
IF((G211="4/8"),((база!$J$5*2*Таблица1[[#This Row],[Столбец1]]*Таблица1[[#This Row],[коэф]])),
IF(OR(G211="3/8",G211="2/8"),((база!$J$4*2*Таблица1[[#This Row],[Столбец1]]*Таблица1[[#This Row],[коэф]])))))))))))))),
(IF((G211="5/24"),((база!$M$6*2*Таблица1[[#This Row],[Столбец1]]*Таблица1[[#This Row],[коэф]])),
IF(OR(G211="4/24",G211="3/24"),((база!$M$5*2*Таблица1[[#This Row],[Столбец1]]*Таблица1[[#This Row],[коэф]])),
IF((G211="5/16"),((база!$L$6*2*Таблица1[[#This Row],[Столбец1]]*Таблица1[[#This Row],[коэф]])),
IF(OR(G211="4/16",G211="3/16"),((база!$L$5*2*Таблица1[[#This Row],[Столбец1]]*Таблица1[[#This Row],[коэф]])),
IF(OR(G211="2/4",G211="3/4",G211="4/4"),((база!$I$5*2*Таблица1[[#This Row],[Столбец1]]*Таблица1[[#This Row],[коэф]])),
IF((G211="5/8"),((база!$J$6*2*Таблица1[[#This Row],[Столбец1]]*Таблица1[[#This Row],[коэф]])),
IF(OR(G211="4/8",G211="3/8",G211="2/8"),((база!$J$5*2*Таблица1[[#This Row],[Столбец1]]*Таблица1[[#This Row],[коэф]])))))))))))</f>
        <v>0</v>
      </c>
      <c r="AQ211" s="712" t="str">
        <f>IFERROR(INDEX(база!T:T, MATCH(F211,база!Q:Q,0)),"")</f>
        <v/>
      </c>
      <c r="AR211" s="208" t="str">
        <f>IFERROR(INDEX(база!D:D, MATCH(F211,база!B:B,0)),"")</f>
        <v/>
      </c>
      <c r="AS211" s="758" t="str">
        <f>IFERROR(INDEX(база!E:E, MATCH(F211,база!B:B,0)),"")</f>
        <v/>
      </c>
    </row>
    <row r="212" spans="1:45" ht="15">
      <c r="A212" s="66" t="str">
        <f t="shared" si="4"/>
        <v>январь</v>
      </c>
      <c r="B212" s="231">
        <v>2024</v>
      </c>
      <c r="C212" s="299"/>
      <c r="D212" s="61"/>
      <c r="E212" s="211"/>
      <c r="F212" s="679"/>
      <c r="G212" s="47"/>
      <c r="H212" s="563"/>
      <c r="I212" s="563"/>
      <c r="J212" s="563"/>
      <c r="K212" s="563"/>
      <c r="L212" s="563"/>
      <c r="M212" s="563"/>
      <c r="N212" s="563"/>
      <c r="O212" s="563"/>
      <c r="P212" s="300"/>
      <c r="Q212" s="563"/>
      <c r="R212" s="563"/>
      <c r="S212" s="563"/>
      <c r="T212" s="563"/>
      <c r="U212" s="563"/>
      <c r="V212" s="563"/>
      <c r="W212" s="563"/>
      <c r="X212" s="563"/>
      <c r="Y212" s="563"/>
      <c r="Z212" s="563"/>
      <c r="AA212" s="563"/>
      <c r="AB212" s="563"/>
      <c r="AC212" s="563"/>
      <c r="AD212" s="48"/>
      <c r="AE212" s="48"/>
      <c r="AF212" s="258"/>
      <c r="AG212" s="48"/>
      <c r="AH212" s="48"/>
      <c r="AI212" s="258"/>
      <c r="AJ212" s="258"/>
      <c r="AK212" s="258"/>
      <c r="AL212" s="258"/>
      <c r="AM212" s="212">
        <f>IF(AQ212=1,SUM(Q212:T212,W212:Z212,AC212:AF212,AI212:AL212),
IF(AQ212=2,SUM(P212,S212:V212,Y212:AB212,AE212:AH212,AK212:AL212),
IF(AQ212=3,SUM(P212:R212,U212:X212,AA212:AD212,AG212:AJ212),SUM(Таблица1[[#This Row],[1]:[31]])-Таблица1[[#This Row],[Столбец1]])))</f>
        <v>0</v>
      </c>
      <c r="AN212" s="778">
        <f t="array" ref="AN212">IF(AQ212=1,SUM(P212,U212:V212,AA212:AB212,AG212:AH212),
IF(AQ212=2,SUM(Q212:R212,W212:X212,AC212:AD212,AI212:AJ212),
IF(AQ212=3,SUM(S212:T212,Y212:Z212,AE212:AF212,AK212:AL212),
SUM(IFERROR(WEEKDAY($H$2:$AL$2,2)&gt;5,)*H212:AL212))))+Таблица1[[#This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12" s="292" t="b">
        <f>IF(AR212&lt;=3,(IF((G212="5/24"),((база!$M$6*Таблица1[[#This Row],[сумма]]*Таблица1[[#This Row],[коэф]])),
IF((G212="4/24"),((база!$M$5*Таблица1[[#This Row],[сумма]]*Таблица1[[#This Row],[коэф]])),
IF((G212="3/24"),((база!$M$4*Таблица1[[#This Row],[сумма]]*Таблица1[[#This Row],[коэф]])),
IF((G212="5/16"),((база!$L$6*Таблица1[[#This Row],[сумма]]*Таблица1[[#This Row],[коэф]])),
IF((G212="4/16"),((база!$L$5*Таблица1[[#This Row],[сумма]]*Таблица1[[#This Row],[коэф]])),
IF((G212="3/16"),((база!$L$4*Таблица1[[#This Row],[сумма]]*Таблица1[[#This Row],[коэф]])),
IF((G212="4/4"),((база!$I$5*Таблица1[[#This Row],[сумма]]*Таблица1[[#This Row],[коэф]])),
IF(OR(G212="2/4",G212="3/4"),((база!$I$4*Таблица1[[#This Row],[сумма]]*Таблица1[[#This Row],[коэф]])),
IF((G212="5/8"),((база!$J$6*Таблица1[[#This Row],[сумма]]*Таблица1[[#This Row],[коэф]])),
IF((G212="4/8"),((база!$J$5*Таблица1[[#This Row],[сумма]]*Таблица1[[#This Row],[коэф]])),
IF(OR(G212="3/8",G212="2/8"),((база!$J$4*Таблица1[[#This Row],[сумма]]*Таблица1[[#This Row],[коэф]])))))))))))))),
(IF((G212="5/24"),((база!$M$6*Таблица1[[#This Row],[сумма]]*Таблица1[[#This Row],[коэф]])),
IF(OR(G212="4/24",G212="3/24"),((база!$M$5*Таблица1[[#This Row],[сумма]]*Таблица1[[#This Row],[коэф]])),
IF((G212="5/16"),((база!$L$6*Таблица1[[#This Row],[сумма]]*Таблица1[[#This Row],[коэф]])),
IF(OR(G212="4/16",G212="3/16"),((база!$L$5*Таблица1[[#This Row],[сумма]]*Таблица1[[#This Row],[коэф]])),
IF(OR(G212="2/4",G212="3/4",G212="4/4"),((база!$I$5*Таблица1[[#This Row],[сумма]]*Таблица1[[#This Row],[коэф]])),
IF((G212="5/8"),((база!$J$6*Таблица1[[#This Row],[сумма]]*Таблица1[[#This Row],[коэф]])),
IF(OR(G212="4/8",G212="3/8",G212="2/8"),((база!$J$5*Таблица1[[#This Row],[сумма]]*Таблица1[[#This Row],[коэф]])))))))))))</f>
        <v>0</v>
      </c>
      <c r="AP212" s="730" t="b">
        <f>IF(AR212&lt;=3,(IF((G212="5/24"),((база!$M$6*2*Таблица1[[#This Row],[Столбец1]]*Таблица1[[#This Row],[коэф]])),
IF((G212="4/24"),((база!$M$5*2*Таблица1[[#This Row],[Столбец1]]*Таблица1[[#This Row],[коэф]])),
IF((G212="3/24"),((база!$M$4*2*Таблица1[[#This Row],[Столбец1]]*Таблица1[[#This Row],[коэф]])),
IF((G212="5/16"),((база!$L$6*2*Таблица1[[#This Row],[Столбец1]]*Таблица1[[#This Row],[коэф]])),
IF((G212="4/16"),((база!$L$5*2*Таблица1[[#This Row],[Столбец1]]*Таблица1[[#This Row],[коэф]])),
IF((G212="3/16"),((база!$L$4*2*Таблица1[[#This Row],[Столбец1]]*Таблица1[[#This Row],[коэф]])),
IF((G212="4/4"),((база!$I$5*2*Таблица1[[#This Row],[Столбец1]]*Таблица1[[#This Row],[коэф]])),
IF(OR(G212="2/4",G212="3/4"),((база!$I$4*2*Таблица1[[#This Row],[Столбец1]]*Таблица1[[#This Row],[коэф]])),
IF((G212="5/8"),((база!$J$6*2*Таблица1[[#This Row],[Столбец1]]*Таблица1[[#This Row],[коэф]])),
IF((G212="4/8"),((база!$J$5*2*Таблица1[[#This Row],[Столбец1]]*Таблица1[[#This Row],[коэф]])),
IF(OR(G212="3/8",G212="2/8"),((база!$J$4*2*Таблица1[[#This Row],[Столбец1]]*Таблица1[[#This Row],[коэф]])))))))))))))),
(IF((G212="5/24"),((база!$M$6*2*Таблица1[[#This Row],[Столбец1]]*Таблица1[[#This Row],[коэф]])),
IF(OR(G212="4/24",G212="3/24"),((база!$M$5*2*Таблица1[[#This Row],[Столбец1]]*Таблица1[[#This Row],[коэф]])),
IF((G212="5/16"),((база!$L$6*2*Таблица1[[#This Row],[Столбец1]]*Таблица1[[#This Row],[коэф]])),
IF(OR(G212="4/16",G212="3/16"),((база!$L$5*2*Таблица1[[#This Row],[Столбец1]]*Таблица1[[#This Row],[коэф]])),
IF(OR(G212="2/4",G212="3/4",G212="4/4"),((база!$I$5*2*Таблица1[[#This Row],[Столбец1]]*Таблица1[[#This Row],[коэф]])),
IF((G212="5/8"),((база!$J$6*2*Таблица1[[#This Row],[Столбец1]]*Таблица1[[#This Row],[коэф]])),
IF(OR(G212="4/8",G212="3/8",G212="2/8"),((база!$J$5*2*Таблица1[[#This Row],[Столбец1]]*Таблица1[[#This Row],[коэф]])))))))))))</f>
        <v>0</v>
      </c>
      <c r="AQ212" s="712" t="str">
        <f>IFERROR(INDEX(база!T:T, MATCH(F212,база!Q:Q,0)),"")</f>
        <v/>
      </c>
      <c r="AR212" s="208" t="str">
        <f>IFERROR(INDEX(база!D:D, MATCH(F212,база!B:B,0)),"")</f>
        <v/>
      </c>
      <c r="AS212" s="758" t="str">
        <f>IFERROR(INDEX(база!E:E, MATCH(F212,база!B:B,0)),"")</f>
        <v/>
      </c>
    </row>
    <row r="213" spans="1:45" ht="15">
      <c r="A213" s="66" t="str">
        <f t="shared" si="4"/>
        <v>январь</v>
      </c>
      <c r="B213" s="231">
        <v>2024</v>
      </c>
      <c r="C213" s="60"/>
      <c r="D213" s="61"/>
      <c r="E213" s="211"/>
      <c r="F213" s="679"/>
      <c r="G213" s="47"/>
      <c r="H213" s="563"/>
      <c r="I213" s="563"/>
      <c r="J213" s="563"/>
      <c r="K213" s="563"/>
      <c r="L213" s="563"/>
      <c r="M213" s="563"/>
      <c r="N213" s="563"/>
      <c r="O213" s="563"/>
      <c r="P213" s="300"/>
      <c r="Q213" s="563"/>
      <c r="R213" s="563"/>
      <c r="S213" s="563"/>
      <c r="T213" s="563"/>
      <c r="U213" s="563"/>
      <c r="V213" s="563"/>
      <c r="W213" s="563"/>
      <c r="X213" s="563"/>
      <c r="Y213" s="563"/>
      <c r="Z213" s="563"/>
      <c r="AA213" s="563"/>
      <c r="AB213" s="563"/>
      <c r="AC213" s="563"/>
      <c r="AD213" s="258"/>
      <c r="AE213" s="258"/>
      <c r="AF213" s="258"/>
      <c r="AG213" s="48"/>
      <c r="AH213" s="48"/>
      <c r="AI213" s="258"/>
      <c r="AJ213" s="258"/>
      <c r="AK213" s="258"/>
      <c r="AL213" s="258"/>
      <c r="AM213" s="212">
        <f>IF(AQ213=1,SUM(Q213:T213,W213:Z213,AC213:AF213,AI213:AL213),
IF(AQ213=2,SUM(P213,S213:V213,Y213:AB213,AE213:AH213,AK213:AL213),
IF(AQ213=3,SUM(P213:R213,U213:X213,AA213:AD213,AG213:AJ213),SUM(Таблица1[[#This Row],[1]:[31]])-Таблица1[[#This Row],[Столбец1]])))</f>
        <v>0</v>
      </c>
      <c r="AN213" s="778">
        <f t="array" ref="AN213">IF(AQ213=1,SUM(P213,U213:V213,AA213:AB213,AG213:AH213),
IF(AQ213=2,SUM(Q213:R213,W213:X213,AC213:AD213,AI213:AJ213),
IF(AQ213=3,SUM(S213:T213,Y213:Z213,AE213:AF213,AK213:AL213),
SUM(IFERROR(WEEKDAY($H$2:$AL$2,2)&gt;5,)*H213:AL213))))+Таблица1[[#This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13" s="292" t="b">
        <f>IF(AR213&lt;=3,(IF((G213="5/24"),((база!$M$6*Таблица1[[#This Row],[сумма]]*Таблица1[[#This Row],[коэф]])),
IF((G213="4/24"),((база!$M$5*Таблица1[[#This Row],[сумма]]*Таблица1[[#This Row],[коэф]])),
IF((G213="3/24"),((база!$M$4*Таблица1[[#This Row],[сумма]]*Таблица1[[#This Row],[коэф]])),
IF((G213="5/16"),((база!$L$6*Таблица1[[#This Row],[сумма]]*Таблица1[[#This Row],[коэф]])),
IF((G213="4/16"),((база!$L$5*Таблица1[[#This Row],[сумма]]*Таблица1[[#This Row],[коэф]])),
IF((G213="3/16"),((база!$L$4*Таблица1[[#This Row],[сумма]]*Таблица1[[#This Row],[коэф]])),
IF((G213="4/4"),((база!$I$5*Таблица1[[#This Row],[сумма]]*Таблица1[[#This Row],[коэф]])),
IF(OR(G213="2/4",G213="3/4"),((база!$I$4*Таблица1[[#This Row],[сумма]]*Таблица1[[#This Row],[коэф]])),
IF((G213="5/8"),((база!$J$6*Таблица1[[#This Row],[сумма]]*Таблица1[[#This Row],[коэф]])),
IF((G213="4/8"),((база!$J$5*Таблица1[[#This Row],[сумма]]*Таблица1[[#This Row],[коэф]])),
IF(OR(G213="3/8",G213="2/8"),((база!$J$4*Таблица1[[#This Row],[сумма]]*Таблица1[[#This Row],[коэф]])))))))))))))),
(IF((G213="5/24"),((база!$M$6*Таблица1[[#This Row],[сумма]]*Таблица1[[#This Row],[коэф]])),
IF(OR(G213="4/24",G213="3/24"),((база!$M$5*Таблица1[[#This Row],[сумма]]*Таблица1[[#This Row],[коэф]])),
IF((G213="5/16"),((база!$L$6*Таблица1[[#This Row],[сумма]]*Таблица1[[#This Row],[коэф]])),
IF(OR(G213="4/16",G213="3/16"),((база!$L$5*Таблица1[[#This Row],[сумма]]*Таблица1[[#This Row],[коэф]])),
IF(OR(G213="2/4",G213="3/4",G213="4/4"),((база!$I$5*Таблица1[[#This Row],[сумма]]*Таблица1[[#This Row],[коэф]])),
IF((G213="5/8"),((база!$J$6*Таблица1[[#This Row],[сумма]]*Таблица1[[#This Row],[коэф]])),
IF(OR(G213="4/8",G213="3/8",G213="2/8"),((база!$J$5*Таблица1[[#This Row],[сумма]]*Таблица1[[#This Row],[коэф]])))))))))))</f>
        <v>0</v>
      </c>
      <c r="AP213" s="730" t="b">
        <f>IF(AR213&lt;=3,(IF((G213="5/24"),((база!$M$6*2*Таблица1[[#This Row],[Столбец1]]*Таблица1[[#This Row],[коэф]])),
IF((G213="4/24"),((база!$M$5*2*Таблица1[[#This Row],[Столбец1]]*Таблица1[[#This Row],[коэф]])),
IF((G213="3/24"),((база!$M$4*2*Таблица1[[#This Row],[Столбец1]]*Таблица1[[#This Row],[коэф]])),
IF((G213="5/16"),((база!$L$6*2*Таблица1[[#This Row],[Столбец1]]*Таблица1[[#This Row],[коэф]])),
IF((G213="4/16"),((база!$L$5*2*Таблица1[[#This Row],[Столбец1]]*Таблица1[[#This Row],[коэф]])),
IF((G213="3/16"),((база!$L$4*2*Таблица1[[#This Row],[Столбец1]]*Таблица1[[#This Row],[коэф]])),
IF((G213="4/4"),((база!$I$5*2*Таблица1[[#This Row],[Столбец1]]*Таблица1[[#This Row],[коэф]])),
IF(OR(G213="2/4",G213="3/4"),((база!$I$4*2*Таблица1[[#This Row],[Столбец1]]*Таблица1[[#This Row],[коэф]])),
IF((G213="5/8"),((база!$J$6*2*Таблица1[[#This Row],[Столбец1]]*Таблица1[[#This Row],[коэф]])),
IF((G213="4/8"),((база!$J$5*2*Таблица1[[#This Row],[Столбец1]]*Таблица1[[#This Row],[коэф]])),
IF(OR(G213="3/8",G213="2/8"),((база!$J$4*2*Таблица1[[#This Row],[Столбец1]]*Таблица1[[#This Row],[коэф]])))))))))))))),
(IF((G213="5/24"),((база!$M$6*2*Таблица1[[#This Row],[Столбец1]]*Таблица1[[#This Row],[коэф]])),
IF(OR(G213="4/24",G213="3/24"),((база!$M$5*2*Таблица1[[#This Row],[Столбец1]]*Таблица1[[#This Row],[коэф]])),
IF((G213="5/16"),((база!$L$6*2*Таблица1[[#This Row],[Столбец1]]*Таблица1[[#This Row],[коэф]])),
IF(OR(G213="4/16",G213="3/16"),((база!$L$5*2*Таблица1[[#This Row],[Столбец1]]*Таблица1[[#This Row],[коэф]])),
IF(OR(G213="2/4",G213="3/4",G213="4/4"),((база!$I$5*2*Таблица1[[#This Row],[Столбец1]]*Таблица1[[#This Row],[коэф]])),
IF((G213="5/8"),((база!$J$6*2*Таблица1[[#This Row],[Столбец1]]*Таблица1[[#This Row],[коэф]])),
IF(OR(G213="4/8",G213="3/8",G213="2/8"),((база!$J$5*2*Таблица1[[#This Row],[Столбец1]]*Таблица1[[#This Row],[коэф]])))))))))))</f>
        <v>0</v>
      </c>
      <c r="AQ213" s="712" t="str">
        <f>IFERROR(INDEX(база!T:T, MATCH(F213,база!Q:Q,0)),"")</f>
        <v/>
      </c>
      <c r="AR213" s="208" t="str">
        <f>IFERROR(INDEX(база!D:D, MATCH(F213,база!B:B,0)),"")</f>
        <v/>
      </c>
      <c r="AS213" s="758" t="str">
        <f>IFERROR(INDEX(база!E:E, MATCH(F213,база!B:B,0)),"")</f>
        <v/>
      </c>
    </row>
    <row r="214" spans="1:45" ht="15">
      <c r="A214" s="66" t="str">
        <f t="shared" si="4"/>
        <v>январь</v>
      </c>
      <c r="B214" s="231">
        <v>2024</v>
      </c>
      <c r="C214" s="299"/>
      <c r="D214" s="61"/>
      <c r="E214" s="211"/>
      <c r="F214" s="679"/>
      <c r="G214" s="47"/>
      <c r="H214" s="563"/>
      <c r="I214" s="563"/>
      <c r="J214" s="563"/>
      <c r="K214" s="563"/>
      <c r="L214" s="563"/>
      <c r="M214" s="563"/>
      <c r="N214" s="563"/>
      <c r="O214" s="563"/>
      <c r="P214" s="300"/>
      <c r="Q214" s="563"/>
      <c r="R214" s="563"/>
      <c r="S214" s="563"/>
      <c r="T214" s="563"/>
      <c r="U214" s="563"/>
      <c r="V214" s="563"/>
      <c r="W214" s="563"/>
      <c r="X214" s="563"/>
      <c r="Y214" s="563"/>
      <c r="Z214" s="563"/>
      <c r="AA214" s="563"/>
      <c r="AB214" s="563"/>
      <c r="AC214" s="563"/>
      <c r="AD214" s="48"/>
      <c r="AE214" s="48"/>
      <c r="AF214" s="258"/>
      <c r="AG214" s="48"/>
      <c r="AH214" s="48"/>
      <c r="AI214" s="48"/>
      <c r="AJ214" s="48"/>
      <c r="AK214" s="48"/>
      <c r="AL214" s="51"/>
      <c r="AM214" s="212">
        <f>IF(AQ214=1,SUM(Q214:T214,W214:Z214,AC214:AF214,AI214:AL214),
IF(AQ214=2,SUM(P214,S214:V214,Y214:AB214,AE214:AH214,AK214:AL214),
IF(AQ214=3,SUM(P214:R214,U214:X214,AA214:AD214,AG214:AJ214),SUM(Таблица1[[#This Row],[1]:[31]])-Таблица1[[#This Row],[Столбец1]])))</f>
        <v>0</v>
      </c>
      <c r="AN214" s="778">
        <f t="array" ref="AN214">IF(AQ214=1,SUM(P214,U214:V214,AA214:AB214,AG214:AH214),
IF(AQ214=2,SUM(Q214:R214,W214:X214,AC214:AD214,AI214:AJ214),
IF(AQ214=3,SUM(S214:T214,Y214:Z214,AE214:AF214,AK214:AL214),
SUM(IFERROR(WEEKDAY($H$2:$AL$2,2)&gt;5,)*H214:AL214))))+Таблица1[[#This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14" s="292" t="b">
        <f>IF(AR214&lt;=3,(IF((G214="5/24"),((база!$M$6*Таблица1[[#This Row],[сумма]]*Таблица1[[#This Row],[коэф]])),
IF((G214="4/24"),((база!$M$5*Таблица1[[#This Row],[сумма]]*Таблица1[[#This Row],[коэф]])),
IF((G214="3/24"),((база!$M$4*Таблица1[[#This Row],[сумма]]*Таблица1[[#This Row],[коэф]])),
IF((G214="5/16"),((база!$L$6*Таблица1[[#This Row],[сумма]]*Таблица1[[#This Row],[коэф]])),
IF((G214="4/16"),((база!$L$5*Таблица1[[#This Row],[сумма]]*Таблица1[[#This Row],[коэф]])),
IF((G214="3/16"),((база!$L$4*Таблица1[[#This Row],[сумма]]*Таблица1[[#This Row],[коэф]])),
IF((G214="4/4"),((база!$I$5*Таблица1[[#This Row],[сумма]]*Таблица1[[#This Row],[коэф]])),
IF(OR(G214="2/4",G214="3/4"),((база!$I$4*Таблица1[[#This Row],[сумма]]*Таблица1[[#This Row],[коэф]])),
IF((G214="5/8"),((база!$J$6*Таблица1[[#This Row],[сумма]]*Таблица1[[#This Row],[коэф]])),
IF((G214="4/8"),((база!$J$5*Таблица1[[#This Row],[сумма]]*Таблица1[[#This Row],[коэф]])),
IF(OR(G214="3/8",G214="2/8"),((база!$J$4*Таблица1[[#This Row],[сумма]]*Таблица1[[#This Row],[коэф]])))))))))))))),
(IF((G214="5/24"),((база!$M$6*Таблица1[[#This Row],[сумма]]*Таблица1[[#This Row],[коэф]])),
IF(OR(G214="4/24",G214="3/24"),((база!$M$5*Таблица1[[#This Row],[сумма]]*Таблица1[[#This Row],[коэф]])),
IF((G214="5/16"),((база!$L$6*Таблица1[[#This Row],[сумма]]*Таблица1[[#This Row],[коэф]])),
IF(OR(G214="4/16",G214="3/16"),((база!$L$5*Таблица1[[#This Row],[сумма]]*Таблица1[[#This Row],[коэф]])),
IF(OR(G214="2/4",G214="3/4",G214="4/4"),((база!$I$5*Таблица1[[#This Row],[сумма]]*Таблица1[[#This Row],[коэф]])),
IF((G214="5/8"),((база!$J$6*Таблица1[[#This Row],[сумма]]*Таблица1[[#This Row],[коэф]])),
IF(OR(G214="4/8",G214="3/8",G214="2/8"),((база!$J$5*Таблица1[[#This Row],[сумма]]*Таблица1[[#This Row],[коэф]])))))))))))</f>
        <v>0</v>
      </c>
      <c r="AP214" s="730" t="b">
        <f>IF(AR214&lt;=3,(IF((G214="5/24"),((база!$M$6*2*Таблица1[[#This Row],[Столбец1]]*Таблица1[[#This Row],[коэф]])),
IF((G214="4/24"),((база!$M$5*2*Таблица1[[#This Row],[Столбец1]]*Таблица1[[#This Row],[коэф]])),
IF((G214="3/24"),((база!$M$4*2*Таблица1[[#This Row],[Столбец1]]*Таблица1[[#This Row],[коэф]])),
IF((G214="5/16"),((база!$L$6*2*Таблица1[[#This Row],[Столбец1]]*Таблица1[[#This Row],[коэф]])),
IF((G214="4/16"),((база!$L$5*2*Таблица1[[#This Row],[Столбец1]]*Таблица1[[#This Row],[коэф]])),
IF((G214="3/16"),((база!$L$4*2*Таблица1[[#This Row],[Столбец1]]*Таблица1[[#This Row],[коэф]])),
IF((G214="4/4"),((база!$I$5*2*Таблица1[[#This Row],[Столбец1]]*Таблица1[[#This Row],[коэф]])),
IF(OR(G214="2/4",G214="3/4"),((база!$I$4*2*Таблица1[[#This Row],[Столбец1]]*Таблица1[[#This Row],[коэф]])),
IF((G214="5/8"),((база!$J$6*2*Таблица1[[#This Row],[Столбец1]]*Таблица1[[#This Row],[коэф]])),
IF((G214="4/8"),((база!$J$5*2*Таблица1[[#This Row],[Столбец1]]*Таблица1[[#This Row],[коэф]])),
IF(OR(G214="3/8",G214="2/8"),((база!$J$4*2*Таблица1[[#This Row],[Столбец1]]*Таблица1[[#This Row],[коэф]])))))))))))))),
(IF((G214="5/24"),((база!$M$6*2*Таблица1[[#This Row],[Столбец1]]*Таблица1[[#This Row],[коэф]])),
IF(OR(G214="4/24",G214="3/24"),((база!$M$5*2*Таблица1[[#This Row],[Столбец1]]*Таблица1[[#This Row],[коэф]])),
IF((G214="5/16"),((база!$L$6*2*Таблица1[[#This Row],[Столбец1]]*Таблица1[[#This Row],[коэф]])),
IF(OR(G214="4/16",G214="3/16"),((база!$L$5*2*Таблица1[[#This Row],[Столбец1]]*Таблица1[[#This Row],[коэф]])),
IF(OR(G214="2/4",G214="3/4",G214="4/4"),((база!$I$5*2*Таблица1[[#This Row],[Столбец1]]*Таблица1[[#This Row],[коэф]])),
IF((G214="5/8"),((база!$J$6*2*Таблица1[[#This Row],[Столбец1]]*Таблица1[[#This Row],[коэф]])),
IF(OR(G214="4/8",G214="3/8",G214="2/8"),((база!$J$5*2*Таблица1[[#This Row],[Столбец1]]*Таблица1[[#This Row],[коэф]])))))))))))</f>
        <v>0</v>
      </c>
      <c r="AQ214" s="712" t="str">
        <f>IFERROR(INDEX(база!T:T, MATCH(F214,база!Q:Q,0)),"")</f>
        <v/>
      </c>
      <c r="AR214" s="208" t="str">
        <f>IFERROR(INDEX(база!D:D, MATCH(F214,база!B:B,0)),"")</f>
        <v/>
      </c>
      <c r="AS214" s="758" t="str">
        <f>IFERROR(INDEX(база!E:E, MATCH(F214,база!B:B,0)),"")</f>
        <v/>
      </c>
    </row>
    <row r="215" spans="1:45" ht="15">
      <c r="A215" s="66" t="str">
        <f t="shared" si="4"/>
        <v>январь</v>
      </c>
      <c r="B215" s="231">
        <v>2024</v>
      </c>
      <c r="C215" s="678"/>
      <c r="D215" s="61"/>
      <c r="E215" s="211"/>
      <c r="F215" s="679"/>
      <c r="G215" s="47"/>
      <c r="H215" s="563"/>
      <c r="I215" s="563"/>
      <c r="J215" s="563"/>
      <c r="K215" s="563"/>
      <c r="L215" s="563"/>
      <c r="M215" s="563"/>
      <c r="N215" s="563"/>
      <c r="O215" s="563"/>
      <c r="P215" s="300"/>
      <c r="Q215" s="563"/>
      <c r="R215" s="563"/>
      <c r="S215" s="563"/>
      <c r="T215" s="563"/>
      <c r="U215" s="563"/>
      <c r="V215" s="563"/>
      <c r="W215" s="563"/>
      <c r="X215" s="563"/>
      <c r="Y215" s="563"/>
      <c r="Z215" s="563"/>
      <c r="AA215" s="563"/>
      <c r="AB215" s="563"/>
      <c r="AC215" s="563"/>
      <c r="AD215" s="48"/>
      <c r="AE215" s="48"/>
      <c r="AF215" s="258"/>
      <c r="AG215" s="48"/>
      <c r="AH215" s="48"/>
      <c r="AI215" s="258"/>
      <c r="AJ215" s="258"/>
      <c r="AK215" s="258"/>
      <c r="AL215" s="258"/>
      <c r="AM215" s="212">
        <f>IF(AQ215=1,SUM(Q215:T215,W215:Z215,AC215:AF215,AI215:AL215),
IF(AQ215=2,SUM(P215,S215:V215,Y215:AB215,AE215:AH215,AK215:AL215),
IF(AQ215=3,SUM(P215:R215,U215:X215,AA215:AD215,AG215:AJ215),SUM(Таблица1[[#This Row],[1]:[31]])-Таблица1[[#This Row],[Столбец1]])))</f>
        <v>0</v>
      </c>
      <c r="AN215" s="778">
        <f t="array" ref="AN215">IF(AQ215=1,SUM(P215,U215:V215,AA215:AB215,AG215:AH215),
IF(AQ215=2,SUM(Q215:R215,W215:X215,AC215:AD215,AI215:AJ215),
IF(AQ215=3,SUM(S215:T215,Y215:Z215,AE215:AF215,AK215:AL215),
SUM(IFERROR(WEEKDAY($H$2:$AL$2,2)&gt;5,)*H215:AL215))))+Таблица1[[#This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15" s="292" t="b">
        <f>IF(AR215&lt;=3,(IF((G215="5/24"),((база!$M$6*Таблица1[[#This Row],[сумма]]*Таблица1[[#This Row],[коэф]])),
IF((G215="4/24"),((база!$M$5*Таблица1[[#This Row],[сумма]]*Таблица1[[#This Row],[коэф]])),
IF((G215="3/24"),((база!$M$4*Таблица1[[#This Row],[сумма]]*Таблица1[[#This Row],[коэф]])),
IF((G215="5/16"),((база!$L$6*Таблица1[[#This Row],[сумма]]*Таблица1[[#This Row],[коэф]])),
IF((G215="4/16"),((база!$L$5*Таблица1[[#This Row],[сумма]]*Таблица1[[#This Row],[коэф]])),
IF((G215="3/16"),((база!$L$4*Таблица1[[#This Row],[сумма]]*Таблица1[[#This Row],[коэф]])),
IF((G215="4/4"),((база!$I$5*Таблица1[[#This Row],[сумма]]*Таблица1[[#This Row],[коэф]])),
IF(OR(G215="2/4",G215="3/4"),((база!$I$4*Таблица1[[#This Row],[сумма]]*Таблица1[[#This Row],[коэф]])),
IF((G215="5/8"),((база!$J$6*Таблица1[[#This Row],[сумма]]*Таблица1[[#This Row],[коэф]])),
IF((G215="4/8"),((база!$J$5*Таблица1[[#This Row],[сумма]]*Таблица1[[#This Row],[коэф]])),
IF(OR(G215="3/8",G215="2/8"),((база!$J$4*Таблица1[[#This Row],[сумма]]*Таблица1[[#This Row],[коэф]])))))))))))))),
(IF((G215="5/24"),((база!$M$6*Таблица1[[#This Row],[сумма]]*Таблица1[[#This Row],[коэф]])),
IF(OR(G215="4/24",G215="3/24"),((база!$M$5*Таблица1[[#This Row],[сумма]]*Таблица1[[#This Row],[коэф]])),
IF((G215="5/16"),((база!$L$6*Таблица1[[#This Row],[сумма]]*Таблица1[[#This Row],[коэф]])),
IF(OR(G215="4/16",G215="3/16"),((база!$L$5*Таблица1[[#This Row],[сумма]]*Таблица1[[#This Row],[коэф]])),
IF(OR(G215="2/4",G215="3/4",G215="4/4"),((база!$I$5*Таблица1[[#This Row],[сумма]]*Таблица1[[#This Row],[коэф]])),
IF((G215="5/8"),((база!$J$6*Таблица1[[#This Row],[сумма]]*Таблица1[[#This Row],[коэф]])),
IF(OR(G215="4/8",G215="3/8",G215="2/8"),((база!$J$5*Таблица1[[#This Row],[сумма]]*Таблица1[[#This Row],[коэф]])))))))))))</f>
        <v>0</v>
      </c>
      <c r="AP215" s="730" t="b">
        <f>IF(AR215&lt;=3,(IF((G215="5/24"),((база!$M$6*2*Таблица1[[#This Row],[Столбец1]]*Таблица1[[#This Row],[коэф]])),
IF((G215="4/24"),((база!$M$5*2*Таблица1[[#This Row],[Столбец1]]*Таблица1[[#This Row],[коэф]])),
IF((G215="3/24"),((база!$M$4*2*Таблица1[[#This Row],[Столбец1]]*Таблица1[[#This Row],[коэф]])),
IF((G215="5/16"),((база!$L$6*2*Таблица1[[#This Row],[Столбец1]]*Таблица1[[#This Row],[коэф]])),
IF((G215="4/16"),((база!$L$5*2*Таблица1[[#This Row],[Столбец1]]*Таблица1[[#This Row],[коэф]])),
IF((G215="3/16"),((база!$L$4*2*Таблица1[[#This Row],[Столбец1]]*Таблица1[[#This Row],[коэф]])),
IF((G215="4/4"),((база!$I$5*2*Таблица1[[#This Row],[Столбец1]]*Таблица1[[#This Row],[коэф]])),
IF(OR(G215="2/4",G215="3/4"),((база!$I$4*2*Таблица1[[#This Row],[Столбец1]]*Таблица1[[#This Row],[коэф]])),
IF((G215="5/8"),((база!$J$6*2*Таблица1[[#This Row],[Столбец1]]*Таблица1[[#This Row],[коэф]])),
IF((G215="4/8"),((база!$J$5*2*Таблица1[[#This Row],[Столбец1]]*Таблица1[[#This Row],[коэф]])),
IF(OR(G215="3/8",G215="2/8"),((база!$J$4*2*Таблица1[[#This Row],[Столбец1]]*Таблица1[[#This Row],[коэф]])))))))))))))),
(IF((G215="5/24"),((база!$M$6*2*Таблица1[[#This Row],[Столбец1]]*Таблица1[[#This Row],[коэф]])),
IF(OR(G215="4/24",G215="3/24"),((база!$M$5*2*Таблица1[[#This Row],[Столбец1]]*Таблица1[[#This Row],[коэф]])),
IF((G215="5/16"),((база!$L$6*2*Таблица1[[#This Row],[Столбец1]]*Таблица1[[#This Row],[коэф]])),
IF(OR(G215="4/16",G215="3/16"),((база!$L$5*2*Таблица1[[#This Row],[Столбец1]]*Таблица1[[#This Row],[коэф]])),
IF(OR(G215="2/4",G215="3/4",G215="4/4"),((база!$I$5*2*Таблица1[[#This Row],[Столбец1]]*Таблица1[[#This Row],[коэф]])),
IF((G215="5/8"),((база!$J$6*2*Таблица1[[#This Row],[Столбец1]]*Таблица1[[#This Row],[коэф]])),
IF(OR(G215="4/8",G215="3/8",G215="2/8"),((база!$J$5*2*Таблица1[[#This Row],[Столбец1]]*Таблица1[[#This Row],[коэф]])))))))))))</f>
        <v>0</v>
      </c>
      <c r="AQ215" s="712" t="str">
        <f>IFERROR(INDEX(база!T:T, MATCH(F215,база!Q:Q,0)),"")</f>
        <v/>
      </c>
      <c r="AR215" s="208" t="str">
        <f>IFERROR(INDEX(база!D:D, MATCH(F215,база!B:B,0)),"")</f>
        <v/>
      </c>
      <c r="AS215" s="758" t="str">
        <f>IFERROR(INDEX(база!E:E, MATCH(F215,база!B:B,0)),"")</f>
        <v/>
      </c>
    </row>
    <row r="216" spans="1:45" ht="15">
      <c r="A216" s="66" t="str">
        <f t="shared" si="4"/>
        <v>январь</v>
      </c>
      <c r="B216" s="231">
        <v>2024</v>
      </c>
      <c r="C216" s="299"/>
      <c r="D216" s="61"/>
      <c r="E216" s="211"/>
      <c r="F216" s="679"/>
      <c r="G216" s="47"/>
      <c r="H216" s="563"/>
      <c r="I216" s="563"/>
      <c r="J216" s="563"/>
      <c r="K216" s="563"/>
      <c r="L216" s="563"/>
      <c r="M216" s="563"/>
      <c r="N216" s="563"/>
      <c r="O216" s="563"/>
      <c r="P216" s="300"/>
      <c r="Q216" s="563"/>
      <c r="R216" s="563"/>
      <c r="S216" s="563"/>
      <c r="T216" s="563"/>
      <c r="U216" s="563"/>
      <c r="V216" s="563"/>
      <c r="W216" s="563"/>
      <c r="X216" s="563"/>
      <c r="Y216" s="563"/>
      <c r="Z216" s="563"/>
      <c r="AA216" s="563"/>
      <c r="AB216" s="563"/>
      <c r="AC216" s="563"/>
      <c r="AD216" s="48"/>
      <c r="AE216" s="48"/>
      <c r="AF216" s="258"/>
      <c r="AG216" s="48"/>
      <c r="AH216" s="48"/>
      <c r="AI216" s="48"/>
      <c r="AJ216" s="48"/>
      <c r="AK216" s="48"/>
      <c r="AL216" s="51"/>
      <c r="AM216" s="212">
        <f>IF(AQ216=1,SUM(Q216:T216,W216:Z216,AC216:AF216,AI216:AL216),
IF(AQ216=2,SUM(P216,S216:V216,Y216:AB216,AE216:AH216,AK216:AL216),
IF(AQ216=3,SUM(P216:R216,U216:X216,AA216:AD216,AG216:AJ216),SUM(Таблица1[[#This Row],[1]:[31]])-Таблица1[[#This Row],[Столбец1]])))</f>
        <v>0</v>
      </c>
      <c r="AN216" s="778">
        <f t="array" ref="AN216">IF(AQ216=1,SUM(P216,U216:V216,AA216:AB216,AG216:AH216),
IF(AQ216=2,SUM(Q216:R216,W216:X216,AC216:AD216,AI216:AJ216),
IF(AQ216=3,SUM(S216:T216,Y216:Z216,AE216:AF216,AK216:AL216),
SUM(IFERROR(WEEKDAY($H$2:$AL$2,2)&gt;5,)*H216:AL216))))+Таблица1[[#This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16" s="292" t="b">
        <f>IF(AR216&lt;=3,(IF((G216="5/24"),((база!$M$6*Таблица1[[#This Row],[сумма]]*Таблица1[[#This Row],[коэф]])),
IF((G216="4/24"),((база!$M$5*Таблица1[[#This Row],[сумма]]*Таблица1[[#This Row],[коэф]])),
IF((G216="3/24"),((база!$M$4*Таблица1[[#This Row],[сумма]]*Таблица1[[#This Row],[коэф]])),
IF((G216="5/16"),((база!$L$6*Таблица1[[#This Row],[сумма]]*Таблица1[[#This Row],[коэф]])),
IF((G216="4/16"),((база!$L$5*Таблица1[[#This Row],[сумма]]*Таблица1[[#This Row],[коэф]])),
IF((G216="3/16"),((база!$L$4*Таблица1[[#This Row],[сумма]]*Таблица1[[#This Row],[коэф]])),
IF((G216="4/4"),((база!$I$5*Таблица1[[#This Row],[сумма]]*Таблица1[[#This Row],[коэф]])),
IF(OR(G216="2/4",G216="3/4"),((база!$I$4*Таблица1[[#This Row],[сумма]]*Таблица1[[#This Row],[коэф]])),
IF((G216="5/8"),((база!$J$6*Таблица1[[#This Row],[сумма]]*Таблица1[[#This Row],[коэф]])),
IF((G216="4/8"),((база!$J$5*Таблица1[[#This Row],[сумма]]*Таблица1[[#This Row],[коэф]])),
IF(OR(G216="3/8",G216="2/8"),((база!$J$4*Таблица1[[#This Row],[сумма]]*Таблица1[[#This Row],[коэф]])))))))))))))),
(IF((G216="5/24"),((база!$M$6*Таблица1[[#This Row],[сумма]]*Таблица1[[#This Row],[коэф]])),
IF(OR(G216="4/24",G216="3/24"),((база!$M$5*Таблица1[[#This Row],[сумма]]*Таблица1[[#This Row],[коэф]])),
IF((G216="5/16"),((база!$L$6*Таблица1[[#This Row],[сумма]]*Таблица1[[#This Row],[коэф]])),
IF(OR(G216="4/16",G216="3/16"),((база!$L$5*Таблица1[[#This Row],[сумма]]*Таблица1[[#This Row],[коэф]])),
IF(OR(G216="2/4",G216="3/4",G216="4/4"),((база!$I$5*Таблица1[[#This Row],[сумма]]*Таблица1[[#This Row],[коэф]])),
IF((G216="5/8"),((база!$J$6*Таблица1[[#This Row],[сумма]]*Таблица1[[#This Row],[коэф]])),
IF(OR(G216="4/8",G216="3/8",G216="2/8"),((база!$J$5*Таблица1[[#This Row],[сумма]]*Таблица1[[#This Row],[коэф]])))))))))))</f>
        <v>0</v>
      </c>
      <c r="AP216" s="730" t="b">
        <f>IF(AR216&lt;=3,(IF((G216="5/24"),((база!$M$6*2*Таблица1[[#This Row],[Столбец1]]*Таблица1[[#This Row],[коэф]])),
IF((G216="4/24"),((база!$M$5*2*Таблица1[[#This Row],[Столбец1]]*Таблица1[[#This Row],[коэф]])),
IF((G216="3/24"),((база!$M$4*2*Таблица1[[#This Row],[Столбец1]]*Таблица1[[#This Row],[коэф]])),
IF((G216="5/16"),((база!$L$6*2*Таблица1[[#This Row],[Столбец1]]*Таблица1[[#This Row],[коэф]])),
IF((G216="4/16"),((база!$L$5*2*Таблица1[[#This Row],[Столбец1]]*Таблица1[[#This Row],[коэф]])),
IF((G216="3/16"),((база!$L$4*2*Таблица1[[#This Row],[Столбец1]]*Таблица1[[#This Row],[коэф]])),
IF((G216="4/4"),((база!$I$5*2*Таблица1[[#This Row],[Столбец1]]*Таблица1[[#This Row],[коэф]])),
IF(OR(G216="2/4",G216="3/4"),((база!$I$4*2*Таблица1[[#This Row],[Столбец1]]*Таблица1[[#This Row],[коэф]])),
IF((G216="5/8"),((база!$J$6*2*Таблица1[[#This Row],[Столбец1]]*Таблица1[[#This Row],[коэф]])),
IF((G216="4/8"),((база!$J$5*2*Таблица1[[#This Row],[Столбец1]]*Таблица1[[#This Row],[коэф]])),
IF(OR(G216="3/8",G216="2/8"),((база!$J$4*2*Таблица1[[#This Row],[Столбец1]]*Таблица1[[#This Row],[коэф]])))))))))))))),
(IF((G216="5/24"),((база!$M$6*2*Таблица1[[#This Row],[Столбец1]]*Таблица1[[#This Row],[коэф]])),
IF(OR(G216="4/24",G216="3/24"),((база!$M$5*2*Таблица1[[#This Row],[Столбец1]]*Таблица1[[#This Row],[коэф]])),
IF((G216="5/16"),((база!$L$6*2*Таблица1[[#This Row],[Столбец1]]*Таблица1[[#This Row],[коэф]])),
IF(OR(G216="4/16",G216="3/16"),((база!$L$5*2*Таблица1[[#This Row],[Столбец1]]*Таблица1[[#This Row],[коэф]])),
IF(OR(G216="2/4",G216="3/4",G216="4/4"),((база!$I$5*2*Таблица1[[#This Row],[Столбец1]]*Таблица1[[#This Row],[коэф]])),
IF((G216="5/8"),((база!$J$6*2*Таблица1[[#This Row],[Столбец1]]*Таблица1[[#This Row],[коэф]])),
IF(OR(G216="4/8",G216="3/8",G216="2/8"),((база!$J$5*2*Таблица1[[#This Row],[Столбец1]]*Таблица1[[#This Row],[коэф]])))))))))))</f>
        <v>0</v>
      </c>
      <c r="AQ216" s="712" t="str">
        <f>IFERROR(INDEX(база!T:T, MATCH(F216,база!Q:Q,0)),"")</f>
        <v/>
      </c>
      <c r="AR216" s="208" t="str">
        <f>IFERROR(INDEX(база!D:D, MATCH(F216,база!B:B,0)),"")</f>
        <v/>
      </c>
      <c r="AS216" s="758" t="str">
        <f>IFERROR(INDEX(база!E:E, MATCH(F216,база!B:B,0)),"")</f>
        <v/>
      </c>
    </row>
    <row r="217" spans="1:45" ht="15">
      <c r="A217" s="66" t="str">
        <f t="shared" si="4"/>
        <v>январь</v>
      </c>
      <c r="B217" s="231">
        <v>2024</v>
      </c>
      <c r="C217" s="299"/>
      <c r="D217" s="61"/>
      <c r="E217" s="211"/>
      <c r="F217" s="679"/>
      <c r="G217" s="47"/>
      <c r="H217" s="563"/>
      <c r="I217" s="563"/>
      <c r="J217" s="563"/>
      <c r="K217" s="563"/>
      <c r="L217" s="563"/>
      <c r="M217" s="563"/>
      <c r="N217" s="563"/>
      <c r="O217" s="563"/>
      <c r="P217" s="300"/>
      <c r="Q217" s="563"/>
      <c r="R217" s="563"/>
      <c r="S217" s="563"/>
      <c r="T217" s="563"/>
      <c r="U217" s="563"/>
      <c r="V217" s="563"/>
      <c r="W217" s="563"/>
      <c r="X217" s="563"/>
      <c r="Y217" s="563"/>
      <c r="Z217" s="563"/>
      <c r="AA217" s="563"/>
      <c r="AB217" s="563"/>
      <c r="AC217" s="563"/>
      <c r="AD217" s="48"/>
      <c r="AE217" s="48"/>
      <c r="AF217" s="258"/>
      <c r="AG217" s="48"/>
      <c r="AH217" s="48"/>
      <c r="AI217" s="258"/>
      <c r="AJ217" s="258"/>
      <c r="AK217" s="258"/>
      <c r="AL217" s="258"/>
      <c r="AM217" s="212">
        <f>IF(AQ217=1,SUM(Q217:T217,W217:Z217,AC217:AF217,AI217:AL217),
IF(AQ217=2,SUM(P217,S217:V217,Y217:AB217,AE217:AH217,AK217:AL217),
IF(AQ217=3,SUM(P217:R217,U217:X217,AA217:AD217,AG217:AJ217),SUM(Таблица1[[#This Row],[1]:[31]])-Таблица1[[#This Row],[Столбец1]])))</f>
        <v>0</v>
      </c>
      <c r="AN217" s="778">
        <f t="array" ref="AN217">IF(AQ217=1,SUM(P217,U217:V217,AA217:AB217,AG217:AH217),
IF(AQ217=2,SUM(Q217:R217,W217:X217,AC217:AD217,AI217:AJ217),
IF(AQ217=3,SUM(S217:T217,Y217:Z217,AE217:AF217,AK217:AL217),
SUM(IFERROR(WEEKDAY($H$2:$AL$2,2)&gt;5,)*H217:AL217))))+Таблица1[[#This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17" s="292" t="b">
        <f>IF(AR217&lt;=3,(IF((G217="5/24"),((база!$M$6*Таблица1[[#This Row],[сумма]]*Таблица1[[#This Row],[коэф]])),
IF((G217="4/24"),((база!$M$5*Таблица1[[#This Row],[сумма]]*Таблица1[[#This Row],[коэф]])),
IF((G217="3/24"),((база!$M$4*Таблица1[[#This Row],[сумма]]*Таблица1[[#This Row],[коэф]])),
IF((G217="5/16"),((база!$L$6*Таблица1[[#This Row],[сумма]]*Таблица1[[#This Row],[коэф]])),
IF((G217="4/16"),((база!$L$5*Таблица1[[#This Row],[сумма]]*Таблица1[[#This Row],[коэф]])),
IF((G217="3/16"),((база!$L$4*Таблица1[[#This Row],[сумма]]*Таблица1[[#This Row],[коэф]])),
IF((G217="4/4"),((база!$I$5*Таблица1[[#This Row],[сумма]]*Таблица1[[#This Row],[коэф]])),
IF(OR(G217="2/4",G217="3/4"),((база!$I$4*Таблица1[[#This Row],[сумма]]*Таблица1[[#This Row],[коэф]])),
IF((G217="5/8"),((база!$J$6*Таблица1[[#This Row],[сумма]]*Таблица1[[#This Row],[коэф]])),
IF((G217="4/8"),((база!$J$5*Таблица1[[#This Row],[сумма]]*Таблица1[[#This Row],[коэф]])),
IF(OR(G217="3/8",G217="2/8"),((база!$J$4*Таблица1[[#This Row],[сумма]]*Таблица1[[#This Row],[коэф]])))))))))))))),
(IF((G217="5/24"),((база!$M$6*Таблица1[[#This Row],[сумма]]*Таблица1[[#This Row],[коэф]])),
IF(OR(G217="4/24",G217="3/24"),((база!$M$5*Таблица1[[#This Row],[сумма]]*Таблица1[[#This Row],[коэф]])),
IF((G217="5/16"),((база!$L$6*Таблица1[[#This Row],[сумма]]*Таблица1[[#This Row],[коэф]])),
IF(OR(G217="4/16",G217="3/16"),((база!$L$5*Таблица1[[#This Row],[сумма]]*Таблица1[[#This Row],[коэф]])),
IF(OR(G217="2/4",G217="3/4",G217="4/4"),((база!$I$5*Таблица1[[#This Row],[сумма]]*Таблица1[[#This Row],[коэф]])),
IF((G217="5/8"),((база!$J$6*Таблица1[[#This Row],[сумма]]*Таблица1[[#This Row],[коэф]])),
IF(OR(G217="4/8",G217="3/8",G217="2/8"),((база!$J$5*Таблица1[[#This Row],[сумма]]*Таблица1[[#This Row],[коэф]])))))))))))</f>
        <v>0</v>
      </c>
      <c r="AP217" s="730" t="b">
        <f>IF(AR217&lt;=3,(IF((G217="5/24"),((база!$M$6*2*Таблица1[[#This Row],[Столбец1]]*Таблица1[[#This Row],[коэф]])),
IF((G217="4/24"),((база!$M$5*2*Таблица1[[#This Row],[Столбец1]]*Таблица1[[#This Row],[коэф]])),
IF((G217="3/24"),((база!$M$4*2*Таблица1[[#This Row],[Столбец1]]*Таблица1[[#This Row],[коэф]])),
IF((G217="5/16"),((база!$L$6*2*Таблица1[[#This Row],[Столбец1]]*Таблица1[[#This Row],[коэф]])),
IF((G217="4/16"),((база!$L$5*2*Таблица1[[#This Row],[Столбец1]]*Таблица1[[#This Row],[коэф]])),
IF((G217="3/16"),((база!$L$4*2*Таблица1[[#This Row],[Столбец1]]*Таблица1[[#This Row],[коэф]])),
IF((G217="4/4"),((база!$I$5*2*Таблица1[[#This Row],[Столбец1]]*Таблица1[[#This Row],[коэф]])),
IF(OR(G217="2/4",G217="3/4"),((база!$I$4*2*Таблица1[[#This Row],[Столбец1]]*Таблица1[[#This Row],[коэф]])),
IF((G217="5/8"),((база!$J$6*2*Таблица1[[#This Row],[Столбец1]]*Таблица1[[#This Row],[коэф]])),
IF((G217="4/8"),((база!$J$5*2*Таблица1[[#This Row],[Столбец1]]*Таблица1[[#This Row],[коэф]])),
IF(OR(G217="3/8",G217="2/8"),((база!$J$4*2*Таблица1[[#This Row],[Столбец1]]*Таблица1[[#This Row],[коэф]])))))))))))))),
(IF((G217="5/24"),((база!$M$6*2*Таблица1[[#This Row],[Столбец1]]*Таблица1[[#This Row],[коэф]])),
IF(OR(G217="4/24",G217="3/24"),((база!$M$5*2*Таблица1[[#This Row],[Столбец1]]*Таблица1[[#This Row],[коэф]])),
IF((G217="5/16"),((база!$L$6*2*Таблица1[[#This Row],[Столбец1]]*Таблица1[[#This Row],[коэф]])),
IF(OR(G217="4/16",G217="3/16"),((база!$L$5*2*Таблица1[[#This Row],[Столбец1]]*Таблица1[[#This Row],[коэф]])),
IF(OR(G217="2/4",G217="3/4",G217="4/4"),((база!$I$5*2*Таблица1[[#This Row],[Столбец1]]*Таблица1[[#This Row],[коэф]])),
IF((G217="5/8"),((база!$J$6*2*Таблица1[[#This Row],[Столбец1]]*Таблица1[[#This Row],[коэф]])),
IF(OR(G217="4/8",G217="3/8",G217="2/8"),((база!$J$5*2*Таблица1[[#This Row],[Столбец1]]*Таблица1[[#This Row],[коэф]])))))))))))</f>
        <v>0</v>
      </c>
      <c r="AQ217" s="712" t="str">
        <f>IFERROR(INDEX(база!T:T, MATCH(F217,база!Q:Q,0)),"")</f>
        <v/>
      </c>
      <c r="AR217" s="208" t="str">
        <f>IFERROR(INDEX(база!D:D, MATCH(F217,база!B:B,0)),"")</f>
        <v/>
      </c>
      <c r="AS217" s="758" t="str">
        <f>IFERROR(INDEX(база!E:E, MATCH(F217,база!B:B,0)),"")</f>
        <v/>
      </c>
    </row>
    <row r="218" spans="1:45" ht="15">
      <c r="A218" s="66" t="str">
        <f t="shared" si="4"/>
        <v>январь</v>
      </c>
      <c r="B218" s="231">
        <v>2024</v>
      </c>
      <c r="C218" s="299"/>
      <c r="D218" s="61"/>
      <c r="E218" s="211"/>
      <c r="F218" s="679"/>
      <c r="G218" s="47"/>
      <c r="H218" s="563"/>
      <c r="I218" s="563"/>
      <c r="J218" s="563"/>
      <c r="K218" s="563"/>
      <c r="L218" s="563"/>
      <c r="M218" s="563"/>
      <c r="N218" s="563"/>
      <c r="O218" s="563"/>
      <c r="P218" s="300"/>
      <c r="Q218" s="563"/>
      <c r="R218" s="563"/>
      <c r="S218" s="563"/>
      <c r="T218" s="563"/>
      <c r="U218" s="563"/>
      <c r="V218" s="563"/>
      <c r="W218" s="563"/>
      <c r="X218" s="563"/>
      <c r="Y218" s="563"/>
      <c r="Z218" s="563"/>
      <c r="AA218" s="563"/>
      <c r="AB218" s="563"/>
      <c r="AC218" s="563"/>
      <c r="AD218" s="48"/>
      <c r="AE218" s="48"/>
      <c r="AF218" s="258"/>
      <c r="AG218" s="48"/>
      <c r="AH218" s="48"/>
      <c r="AI218" s="48"/>
      <c r="AJ218" s="48"/>
      <c r="AK218" s="48"/>
      <c r="AL218" s="51"/>
      <c r="AM218" s="212">
        <f>IF(AQ218=1,SUM(Q218:T218,W218:Z218,AC218:AF218,AI218:AL218),
IF(AQ218=2,SUM(P218,S218:V218,Y218:AB218,AE218:AH218,AK218:AL218),
IF(AQ218=3,SUM(P218:R218,U218:X218,AA218:AD218,AG218:AJ218),SUM(Таблица1[[#This Row],[1]:[31]])-Таблица1[[#This Row],[Столбец1]])))</f>
        <v>0</v>
      </c>
      <c r="AN218" s="778">
        <f t="array" ref="AN218">IF(AQ218=1,SUM(P218,U218:V218,AA218:AB218,AG218:AH218),
IF(AQ218=2,SUM(Q218:R218,W218:X218,AC218:AD218,AI218:AJ218),
IF(AQ218=3,SUM(S218:T218,Y218:Z218,AE218:AF218,AK218:AL218),
SUM(IFERROR(WEEKDAY($H$2:$AL$2,2)&gt;5,)*H218:AL218))))+Таблица1[[#This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18" s="292" t="b">
        <f>IF(AR218&lt;=3,(IF((G218="5/24"),((база!$M$6*Таблица1[[#This Row],[сумма]]*Таблица1[[#This Row],[коэф]])),
IF((G218="4/24"),((база!$M$5*Таблица1[[#This Row],[сумма]]*Таблица1[[#This Row],[коэф]])),
IF((G218="3/24"),((база!$M$4*Таблица1[[#This Row],[сумма]]*Таблица1[[#This Row],[коэф]])),
IF((G218="5/16"),((база!$L$6*Таблица1[[#This Row],[сумма]]*Таблица1[[#This Row],[коэф]])),
IF((G218="4/16"),((база!$L$5*Таблица1[[#This Row],[сумма]]*Таблица1[[#This Row],[коэф]])),
IF((G218="3/16"),((база!$L$4*Таблица1[[#This Row],[сумма]]*Таблица1[[#This Row],[коэф]])),
IF((G218="4/4"),((база!$I$5*Таблица1[[#This Row],[сумма]]*Таблица1[[#This Row],[коэф]])),
IF(OR(G218="2/4",G218="3/4"),((база!$I$4*Таблица1[[#This Row],[сумма]]*Таблица1[[#This Row],[коэф]])),
IF((G218="5/8"),((база!$J$6*Таблица1[[#This Row],[сумма]]*Таблица1[[#This Row],[коэф]])),
IF((G218="4/8"),((база!$J$5*Таблица1[[#This Row],[сумма]]*Таблица1[[#This Row],[коэф]])),
IF(OR(G218="3/8",G218="2/8"),((база!$J$4*Таблица1[[#This Row],[сумма]]*Таблица1[[#This Row],[коэф]])))))))))))))),
(IF((G218="5/24"),((база!$M$6*Таблица1[[#This Row],[сумма]]*Таблица1[[#This Row],[коэф]])),
IF(OR(G218="4/24",G218="3/24"),((база!$M$5*Таблица1[[#This Row],[сумма]]*Таблица1[[#This Row],[коэф]])),
IF((G218="5/16"),((база!$L$6*Таблица1[[#This Row],[сумма]]*Таблица1[[#This Row],[коэф]])),
IF(OR(G218="4/16",G218="3/16"),((база!$L$5*Таблица1[[#This Row],[сумма]]*Таблица1[[#This Row],[коэф]])),
IF(OR(G218="2/4",G218="3/4",G218="4/4"),((база!$I$5*Таблица1[[#This Row],[сумма]]*Таблица1[[#This Row],[коэф]])),
IF((G218="5/8"),((база!$J$6*Таблица1[[#This Row],[сумма]]*Таблица1[[#This Row],[коэф]])),
IF(OR(G218="4/8",G218="3/8",G218="2/8"),((база!$J$5*Таблица1[[#This Row],[сумма]]*Таблица1[[#This Row],[коэф]])))))))))))</f>
        <v>0</v>
      </c>
      <c r="AP218" s="730" t="b">
        <f>IF(AR218&lt;=3,(IF((G218="5/24"),((база!$M$6*2*Таблица1[[#This Row],[Столбец1]]*Таблица1[[#This Row],[коэф]])),
IF((G218="4/24"),((база!$M$5*2*Таблица1[[#This Row],[Столбец1]]*Таблица1[[#This Row],[коэф]])),
IF((G218="3/24"),((база!$M$4*2*Таблица1[[#This Row],[Столбец1]]*Таблица1[[#This Row],[коэф]])),
IF((G218="5/16"),((база!$L$6*2*Таблица1[[#This Row],[Столбец1]]*Таблица1[[#This Row],[коэф]])),
IF((G218="4/16"),((база!$L$5*2*Таблица1[[#This Row],[Столбец1]]*Таблица1[[#This Row],[коэф]])),
IF((G218="3/16"),((база!$L$4*2*Таблица1[[#This Row],[Столбец1]]*Таблица1[[#This Row],[коэф]])),
IF((G218="4/4"),((база!$I$5*2*Таблица1[[#This Row],[Столбец1]]*Таблица1[[#This Row],[коэф]])),
IF(OR(G218="2/4",G218="3/4"),((база!$I$4*2*Таблица1[[#This Row],[Столбец1]]*Таблица1[[#This Row],[коэф]])),
IF((G218="5/8"),((база!$J$6*2*Таблица1[[#This Row],[Столбец1]]*Таблица1[[#This Row],[коэф]])),
IF((G218="4/8"),((база!$J$5*2*Таблица1[[#This Row],[Столбец1]]*Таблица1[[#This Row],[коэф]])),
IF(OR(G218="3/8",G218="2/8"),((база!$J$4*2*Таблица1[[#This Row],[Столбец1]]*Таблица1[[#This Row],[коэф]])))))))))))))),
(IF((G218="5/24"),((база!$M$6*2*Таблица1[[#This Row],[Столбец1]]*Таблица1[[#This Row],[коэф]])),
IF(OR(G218="4/24",G218="3/24"),((база!$M$5*2*Таблица1[[#This Row],[Столбец1]]*Таблица1[[#This Row],[коэф]])),
IF((G218="5/16"),((база!$L$6*2*Таблица1[[#This Row],[Столбец1]]*Таблица1[[#This Row],[коэф]])),
IF(OR(G218="4/16",G218="3/16"),((база!$L$5*2*Таблица1[[#This Row],[Столбец1]]*Таблица1[[#This Row],[коэф]])),
IF(OR(G218="2/4",G218="3/4",G218="4/4"),((база!$I$5*2*Таблица1[[#This Row],[Столбец1]]*Таблица1[[#This Row],[коэф]])),
IF((G218="5/8"),((база!$J$6*2*Таблица1[[#This Row],[Столбец1]]*Таблица1[[#This Row],[коэф]])),
IF(OR(G218="4/8",G218="3/8",G218="2/8"),((база!$J$5*2*Таблица1[[#This Row],[Столбец1]]*Таблица1[[#This Row],[коэф]])))))))))))</f>
        <v>0</v>
      </c>
      <c r="AQ218" s="712" t="str">
        <f>IFERROR(INDEX(база!T:T, MATCH(F218,база!Q:Q,0)),"")</f>
        <v/>
      </c>
      <c r="AR218" s="208" t="str">
        <f>IFERROR(INDEX(база!D:D, MATCH(F218,база!B:B,0)),"")</f>
        <v/>
      </c>
      <c r="AS218" s="758" t="str">
        <f>IFERROR(INDEX(база!E:E, MATCH(F218,база!B:B,0)),"")</f>
        <v/>
      </c>
    </row>
    <row r="219" spans="1:45" ht="15">
      <c r="A219" s="66" t="str">
        <f t="shared" si="4"/>
        <v>январь</v>
      </c>
      <c r="B219" s="231">
        <v>2024</v>
      </c>
      <c r="C219" s="299"/>
      <c r="D219" s="61"/>
      <c r="E219" s="211"/>
      <c r="F219" s="679"/>
      <c r="G219" s="47"/>
      <c r="H219" s="563"/>
      <c r="I219" s="563"/>
      <c r="J219" s="563"/>
      <c r="K219" s="563"/>
      <c r="L219" s="563"/>
      <c r="M219" s="563"/>
      <c r="N219" s="563"/>
      <c r="O219" s="563"/>
      <c r="P219" s="563"/>
      <c r="Q219" s="563"/>
      <c r="R219" s="563"/>
      <c r="S219" s="563"/>
      <c r="T219" s="563"/>
      <c r="U219" s="563"/>
      <c r="V219" s="563"/>
      <c r="W219" s="563"/>
      <c r="X219" s="563"/>
      <c r="Y219" s="563"/>
      <c r="Z219" s="563"/>
      <c r="AA219" s="563"/>
      <c r="AB219" s="563"/>
      <c r="AC219" s="563"/>
      <c r="AD219" s="48"/>
      <c r="AE219" s="48"/>
      <c r="AF219" s="258"/>
      <c r="AG219" s="48"/>
      <c r="AH219" s="48"/>
      <c r="AI219" s="258"/>
      <c r="AJ219" s="258"/>
      <c r="AK219" s="258"/>
      <c r="AL219" s="258"/>
      <c r="AM219" s="212">
        <f>IF(AQ219=1,SUM(Q219:T219,W219:Z219,AC219:AF219,AI219:AL219),
IF(AQ219=2,SUM(P219,S219:V219,Y219:AB219,AE219:AH219,AK219:AL219),
IF(AQ219=3,SUM(P219:R219,U219:X219,AA219:AD219,AG219:AJ219),SUM(Таблица1[[#This Row],[1]:[31]])-Таблица1[[#This Row],[Столбец1]])))</f>
        <v>0</v>
      </c>
      <c r="AN219" s="778">
        <f t="array" ref="AN219">IF(AQ219=1,SUM(P219,U219:V219,AA219:AB219,AG219:AH219),
IF(AQ219=2,SUM(Q219:R219,W219:X219,AC219:AD219,AI219:AJ219),
IF(AQ219=3,SUM(S219:T219,Y219:Z219,AE219:AF219,AK219:AL219),
SUM(IFERROR(WEEKDAY($H$2:$AL$2,2)&gt;5,)*H219:AL219))))+Таблица1[[#This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19" s="292" t="b">
        <f>IF(AR219&lt;=3,(IF((G219="5/24"),((база!$M$6*Таблица1[[#This Row],[сумма]]*Таблица1[[#This Row],[коэф]])),
IF((G219="4/24"),((база!$M$5*Таблица1[[#This Row],[сумма]]*Таблица1[[#This Row],[коэф]])),
IF((G219="3/24"),((база!$M$4*Таблица1[[#This Row],[сумма]]*Таблица1[[#This Row],[коэф]])),
IF((G219="5/16"),((база!$L$6*Таблица1[[#This Row],[сумма]]*Таблица1[[#This Row],[коэф]])),
IF((G219="4/16"),((база!$L$5*Таблица1[[#This Row],[сумма]]*Таблица1[[#This Row],[коэф]])),
IF((G219="3/16"),((база!$L$4*Таблица1[[#This Row],[сумма]]*Таблица1[[#This Row],[коэф]])),
IF((G219="4/4"),((база!$I$5*Таблица1[[#This Row],[сумма]]*Таблица1[[#This Row],[коэф]])),
IF(OR(G219="2/4",G219="3/4"),((база!$I$4*Таблица1[[#This Row],[сумма]]*Таблица1[[#This Row],[коэф]])),
IF((G219="5/8"),((база!$J$6*Таблица1[[#This Row],[сумма]]*Таблица1[[#This Row],[коэф]])),
IF((G219="4/8"),((база!$J$5*Таблица1[[#This Row],[сумма]]*Таблица1[[#This Row],[коэф]])),
IF(OR(G219="3/8",G219="2/8"),((база!$J$4*Таблица1[[#This Row],[сумма]]*Таблица1[[#This Row],[коэф]])))))))))))))),
(IF((G219="5/24"),((база!$M$6*Таблица1[[#This Row],[сумма]]*Таблица1[[#This Row],[коэф]])),
IF(OR(G219="4/24",G219="3/24"),((база!$M$5*Таблица1[[#This Row],[сумма]]*Таблица1[[#This Row],[коэф]])),
IF((G219="5/16"),((база!$L$6*Таблица1[[#This Row],[сумма]]*Таблица1[[#This Row],[коэф]])),
IF(OR(G219="4/16",G219="3/16"),((база!$L$5*Таблица1[[#This Row],[сумма]]*Таблица1[[#This Row],[коэф]])),
IF(OR(G219="2/4",G219="3/4",G219="4/4"),((база!$I$5*Таблица1[[#This Row],[сумма]]*Таблица1[[#This Row],[коэф]])),
IF((G219="5/8"),((база!$J$6*Таблица1[[#This Row],[сумма]]*Таблица1[[#This Row],[коэф]])),
IF(OR(G219="4/8",G219="3/8",G219="2/8"),((база!$J$5*Таблица1[[#This Row],[сумма]]*Таблица1[[#This Row],[коэф]])))))))))))</f>
        <v>0</v>
      </c>
      <c r="AP219" s="730" t="b">
        <f>IF(AR219&lt;=3,(IF((G219="5/24"),((база!$M$6*2*Таблица1[[#This Row],[Столбец1]]*Таблица1[[#This Row],[коэф]])),
IF((G219="4/24"),((база!$M$5*2*Таблица1[[#This Row],[Столбец1]]*Таблица1[[#This Row],[коэф]])),
IF((G219="3/24"),((база!$M$4*2*Таблица1[[#This Row],[Столбец1]]*Таблица1[[#This Row],[коэф]])),
IF((G219="5/16"),((база!$L$6*2*Таблица1[[#This Row],[Столбец1]]*Таблица1[[#This Row],[коэф]])),
IF((G219="4/16"),((база!$L$5*2*Таблица1[[#This Row],[Столбец1]]*Таблица1[[#This Row],[коэф]])),
IF((G219="3/16"),((база!$L$4*2*Таблица1[[#This Row],[Столбец1]]*Таблица1[[#This Row],[коэф]])),
IF((G219="4/4"),((база!$I$5*2*Таблица1[[#This Row],[Столбец1]]*Таблица1[[#This Row],[коэф]])),
IF(OR(G219="2/4",G219="3/4"),((база!$I$4*2*Таблица1[[#This Row],[Столбец1]]*Таблица1[[#This Row],[коэф]])),
IF((G219="5/8"),((база!$J$6*2*Таблица1[[#This Row],[Столбец1]]*Таблица1[[#This Row],[коэф]])),
IF((G219="4/8"),((база!$J$5*2*Таблица1[[#This Row],[Столбец1]]*Таблица1[[#This Row],[коэф]])),
IF(OR(G219="3/8",G219="2/8"),((база!$J$4*2*Таблица1[[#This Row],[Столбец1]]*Таблица1[[#This Row],[коэф]])))))))))))))),
(IF((G219="5/24"),((база!$M$6*2*Таблица1[[#This Row],[Столбец1]]*Таблица1[[#This Row],[коэф]])),
IF(OR(G219="4/24",G219="3/24"),((база!$M$5*2*Таблица1[[#This Row],[Столбец1]]*Таблица1[[#This Row],[коэф]])),
IF((G219="5/16"),((база!$L$6*2*Таблица1[[#This Row],[Столбец1]]*Таблица1[[#This Row],[коэф]])),
IF(OR(G219="4/16",G219="3/16"),((база!$L$5*2*Таблица1[[#This Row],[Столбец1]]*Таблица1[[#This Row],[коэф]])),
IF(OR(G219="2/4",G219="3/4",G219="4/4"),((база!$I$5*2*Таблица1[[#This Row],[Столбец1]]*Таблица1[[#This Row],[коэф]])),
IF((G219="5/8"),((база!$J$6*2*Таблица1[[#This Row],[Столбец1]]*Таблица1[[#This Row],[коэф]])),
IF(OR(G219="4/8",G219="3/8",G219="2/8"),((база!$J$5*2*Таблица1[[#This Row],[Столбец1]]*Таблица1[[#This Row],[коэф]])))))))))))</f>
        <v>0</v>
      </c>
      <c r="AQ219" s="712" t="str">
        <f>IFERROR(INDEX(база!T:T, MATCH(F219,база!Q:Q,0)),"")</f>
        <v/>
      </c>
      <c r="AR219" s="208" t="str">
        <f>IFERROR(INDEX(база!D:D, MATCH(F219,база!B:B,0)),"")</f>
        <v/>
      </c>
      <c r="AS219" s="758" t="str">
        <f>IFERROR(INDEX(база!E:E, MATCH(F219,база!B:B,0)),"")</f>
        <v/>
      </c>
    </row>
    <row r="220" spans="1:45" ht="15">
      <c r="A220" s="66" t="str">
        <f t="shared" si="4"/>
        <v>январь</v>
      </c>
      <c r="B220" s="231">
        <v>2024</v>
      </c>
      <c r="C220" s="299"/>
      <c r="D220" s="61"/>
      <c r="E220" s="211"/>
      <c r="F220" s="679"/>
      <c r="G220" s="47"/>
      <c r="H220" s="563"/>
      <c r="I220" s="563"/>
      <c r="J220" s="563"/>
      <c r="K220" s="563"/>
      <c r="L220" s="563"/>
      <c r="M220" s="563"/>
      <c r="N220" s="563"/>
      <c r="O220" s="563"/>
      <c r="P220" s="563"/>
      <c r="Q220" s="563"/>
      <c r="R220" s="563"/>
      <c r="S220" s="563"/>
      <c r="T220" s="563"/>
      <c r="U220" s="563"/>
      <c r="V220" s="563"/>
      <c r="W220" s="563"/>
      <c r="X220" s="563"/>
      <c r="Y220" s="563"/>
      <c r="Z220" s="563"/>
      <c r="AA220" s="563"/>
      <c r="AB220" s="563"/>
      <c r="AC220" s="563"/>
      <c r="AD220" s="48"/>
      <c r="AE220" s="48"/>
      <c r="AF220" s="258"/>
      <c r="AG220" s="48"/>
      <c r="AH220" s="48"/>
      <c r="AI220" s="48"/>
      <c r="AJ220" s="48"/>
      <c r="AK220" s="48"/>
      <c r="AL220" s="51"/>
      <c r="AM220" s="212">
        <f>IF(AQ220=1,SUM(Q220:T220,W220:Z220,AC220:AF220,AI220:AL220),
IF(AQ220=2,SUM(P220,S220:V220,Y220:AB220,AE220:AH220,AK220:AL220),
IF(AQ220=3,SUM(P220:R220,U220:X220,AA220:AD220,AG220:AJ220),SUM(Таблица1[[#This Row],[1]:[31]])-Таблица1[[#This Row],[Столбец1]])))</f>
        <v>0</v>
      </c>
      <c r="AN220" s="778">
        <f t="array" ref="AN220">IF(AQ220=1,SUM(P220,U220:V220,AA220:AB220,AG220:AH220),
IF(AQ220=2,SUM(Q220:R220,W220:X220,AC220:AD220,AI220:AJ220),
IF(AQ220=3,SUM(S220:T220,Y220:Z220,AE220:AF220,AK220:AL220),
SUM(IFERROR(WEEKDAY($H$2:$AL$2,2)&gt;5,)*H220:AL220))))+Таблица1[[#This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20" s="292" t="b">
        <f>IF(AR220&lt;=3,(IF((G220="5/24"),((база!$M$6*Таблица1[[#This Row],[сумма]]*Таблица1[[#This Row],[коэф]])),
IF((G220="4/24"),((база!$M$5*Таблица1[[#This Row],[сумма]]*Таблица1[[#This Row],[коэф]])),
IF((G220="3/24"),((база!$M$4*Таблица1[[#This Row],[сумма]]*Таблица1[[#This Row],[коэф]])),
IF((G220="5/16"),((база!$L$6*Таблица1[[#This Row],[сумма]]*Таблица1[[#This Row],[коэф]])),
IF((G220="4/16"),((база!$L$5*Таблица1[[#This Row],[сумма]]*Таблица1[[#This Row],[коэф]])),
IF((G220="3/16"),((база!$L$4*Таблица1[[#This Row],[сумма]]*Таблица1[[#This Row],[коэф]])),
IF((G220="4/4"),((база!$I$5*Таблица1[[#This Row],[сумма]]*Таблица1[[#This Row],[коэф]])),
IF(OR(G220="2/4",G220="3/4"),((база!$I$4*Таблица1[[#This Row],[сумма]]*Таблица1[[#This Row],[коэф]])),
IF((G220="5/8"),((база!$J$6*Таблица1[[#This Row],[сумма]]*Таблица1[[#This Row],[коэф]])),
IF((G220="4/8"),((база!$J$5*Таблица1[[#This Row],[сумма]]*Таблица1[[#This Row],[коэф]])),
IF(OR(G220="3/8",G220="2/8"),((база!$J$4*Таблица1[[#This Row],[сумма]]*Таблица1[[#This Row],[коэф]])))))))))))))),
(IF((G220="5/24"),((база!$M$6*Таблица1[[#This Row],[сумма]]*Таблица1[[#This Row],[коэф]])),
IF(OR(G220="4/24",G220="3/24"),((база!$M$5*Таблица1[[#This Row],[сумма]]*Таблица1[[#This Row],[коэф]])),
IF((G220="5/16"),((база!$L$6*Таблица1[[#This Row],[сумма]]*Таблица1[[#This Row],[коэф]])),
IF(OR(G220="4/16",G220="3/16"),((база!$L$5*Таблица1[[#This Row],[сумма]]*Таблица1[[#This Row],[коэф]])),
IF(OR(G220="2/4",G220="3/4",G220="4/4"),((база!$I$5*Таблица1[[#This Row],[сумма]]*Таблица1[[#This Row],[коэф]])),
IF((G220="5/8"),((база!$J$6*Таблица1[[#This Row],[сумма]]*Таблица1[[#This Row],[коэф]])),
IF(OR(G220="4/8",G220="3/8",G220="2/8"),((база!$J$5*Таблица1[[#This Row],[сумма]]*Таблица1[[#This Row],[коэф]])))))))))))</f>
        <v>0</v>
      </c>
      <c r="AP220" s="730" t="b">
        <f>IF(AR220&lt;=3,(IF((G220="5/24"),((база!$M$6*2*Таблица1[[#This Row],[Столбец1]]*Таблица1[[#This Row],[коэф]])),
IF((G220="4/24"),((база!$M$5*2*Таблица1[[#This Row],[Столбец1]]*Таблица1[[#This Row],[коэф]])),
IF((G220="3/24"),((база!$M$4*2*Таблица1[[#This Row],[Столбец1]]*Таблица1[[#This Row],[коэф]])),
IF((G220="5/16"),((база!$L$6*2*Таблица1[[#This Row],[Столбец1]]*Таблица1[[#This Row],[коэф]])),
IF((G220="4/16"),((база!$L$5*2*Таблица1[[#This Row],[Столбец1]]*Таблица1[[#This Row],[коэф]])),
IF((G220="3/16"),((база!$L$4*2*Таблица1[[#This Row],[Столбец1]]*Таблица1[[#This Row],[коэф]])),
IF((G220="4/4"),((база!$I$5*2*Таблица1[[#This Row],[Столбец1]]*Таблица1[[#This Row],[коэф]])),
IF(OR(G220="2/4",G220="3/4"),((база!$I$4*2*Таблица1[[#This Row],[Столбец1]]*Таблица1[[#This Row],[коэф]])),
IF((G220="5/8"),((база!$J$6*2*Таблица1[[#This Row],[Столбец1]]*Таблица1[[#This Row],[коэф]])),
IF((G220="4/8"),((база!$J$5*2*Таблица1[[#This Row],[Столбец1]]*Таблица1[[#This Row],[коэф]])),
IF(OR(G220="3/8",G220="2/8"),((база!$J$4*2*Таблица1[[#This Row],[Столбец1]]*Таблица1[[#This Row],[коэф]])))))))))))))),
(IF((G220="5/24"),((база!$M$6*2*Таблица1[[#This Row],[Столбец1]]*Таблица1[[#This Row],[коэф]])),
IF(OR(G220="4/24",G220="3/24"),((база!$M$5*2*Таблица1[[#This Row],[Столбец1]]*Таблица1[[#This Row],[коэф]])),
IF((G220="5/16"),((база!$L$6*2*Таблица1[[#This Row],[Столбец1]]*Таблица1[[#This Row],[коэф]])),
IF(OR(G220="4/16",G220="3/16"),((база!$L$5*2*Таблица1[[#This Row],[Столбец1]]*Таблица1[[#This Row],[коэф]])),
IF(OR(G220="2/4",G220="3/4",G220="4/4"),((база!$I$5*2*Таблица1[[#This Row],[Столбец1]]*Таблица1[[#This Row],[коэф]])),
IF((G220="5/8"),((база!$J$6*2*Таблица1[[#This Row],[Столбец1]]*Таблица1[[#This Row],[коэф]])),
IF(OR(G220="4/8",G220="3/8",G220="2/8"),((база!$J$5*2*Таблица1[[#This Row],[Столбец1]]*Таблица1[[#This Row],[коэф]])))))))))))</f>
        <v>0</v>
      </c>
      <c r="AQ220" s="712" t="str">
        <f>IFERROR(INDEX(база!T:T, MATCH(F220,база!Q:Q,0)),"")</f>
        <v/>
      </c>
      <c r="AR220" s="208" t="str">
        <f>IFERROR(INDEX(база!D:D, MATCH(F220,база!B:B,0)),"")</f>
        <v/>
      </c>
      <c r="AS220" s="758" t="str">
        <f>IFERROR(INDEX(база!E:E, MATCH(F220,база!B:B,0)),"")</f>
        <v/>
      </c>
    </row>
    <row r="221" spans="1:45" ht="15">
      <c r="A221" s="66" t="str">
        <f t="shared" si="4"/>
        <v>январь</v>
      </c>
      <c r="B221" s="231">
        <v>2024</v>
      </c>
      <c r="C221" s="299"/>
      <c r="D221" s="61"/>
      <c r="E221" s="211"/>
      <c r="F221" s="679"/>
      <c r="G221" s="47"/>
      <c r="H221" s="563"/>
      <c r="I221" s="563"/>
      <c r="J221" s="563"/>
      <c r="K221" s="563"/>
      <c r="L221" s="563"/>
      <c r="M221" s="563"/>
      <c r="N221" s="563"/>
      <c r="O221" s="563"/>
      <c r="P221" s="300"/>
      <c r="Q221" s="563"/>
      <c r="R221" s="563"/>
      <c r="S221" s="563"/>
      <c r="T221" s="563"/>
      <c r="U221" s="563"/>
      <c r="V221" s="563"/>
      <c r="W221" s="563"/>
      <c r="X221" s="563"/>
      <c r="Y221" s="563"/>
      <c r="Z221" s="563"/>
      <c r="AA221" s="563"/>
      <c r="AB221" s="563"/>
      <c r="AC221" s="563"/>
      <c r="AD221" s="48"/>
      <c r="AE221" s="48"/>
      <c r="AF221" s="258"/>
      <c r="AG221" s="48"/>
      <c r="AH221" s="48"/>
      <c r="AI221" s="258"/>
      <c r="AJ221" s="258"/>
      <c r="AK221" s="258"/>
      <c r="AL221" s="258"/>
      <c r="AM221" s="212">
        <f>IF(AQ221=1,SUM(Q221:T221,W221:Z221,AC221:AF221,AI221:AL221),
IF(AQ221=2,SUM(P221,S221:V221,Y221:AB221,AE221:AH221,AK221:AL221),
IF(AQ221=3,SUM(P221:R221,U221:X221,AA221:AD221,AG221:AJ221),SUM(Таблица1[[#This Row],[1]:[31]])-Таблица1[[#This Row],[Столбец1]])))</f>
        <v>0</v>
      </c>
      <c r="AN221" s="778">
        <f t="array" ref="AN221">IF(AQ221=1,SUM(P221,U221:V221,AA221:AB221,AG221:AH221),
IF(AQ221=2,SUM(Q221:R221,W221:X221,AC221:AD221,AI221:AJ221),
IF(AQ221=3,SUM(S221:T221,Y221:Z221,AE221:AF221,AK221:AL221),
SUM(IFERROR(WEEKDAY($H$2:$AL$2,2)&gt;5,)*H221:AL221))))+Таблица1[[#This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21" s="292" t="b">
        <f>IF(AR221&lt;=3,(IF((G221="5/24"),((база!$M$6*Таблица1[[#This Row],[сумма]]*Таблица1[[#This Row],[коэф]])),
IF((G221="4/24"),((база!$M$5*Таблица1[[#This Row],[сумма]]*Таблица1[[#This Row],[коэф]])),
IF((G221="3/24"),((база!$M$4*Таблица1[[#This Row],[сумма]]*Таблица1[[#This Row],[коэф]])),
IF((G221="5/16"),((база!$L$6*Таблица1[[#This Row],[сумма]]*Таблица1[[#This Row],[коэф]])),
IF((G221="4/16"),((база!$L$5*Таблица1[[#This Row],[сумма]]*Таблица1[[#This Row],[коэф]])),
IF((G221="3/16"),((база!$L$4*Таблица1[[#This Row],[сумма]]*Таблица1[[#This Row],[коэф]])),
IF((G221="4/4"),((база!$I$5*Таблица1[[#This Row],[сумма]]*Таблица1[[#This Row],[коэф]])),
IF(OR(G221="2/4",G221="3/4"),((база!$I$4*Таблица1[[#This Row],[сумма]]*Таблица1[[#This Row],[коэф]])),
IF((G221="5/8"),((база!$J$6*Таблица1[[#This Row],[сумма]]*Таблица1[[#This Row],[коэф]])),
IF((G221="4/8"),((база!$J$5*Таблица1[[#This Row],[сумма]]*Таблица1[[#This Row],[коэф]])),
IF(OR(G221="3/8",G221="2/8"),((база!$J$4*Таблица1[[#This Row],[сумма]]*Таблица1[[#This Row],[коэф]])))))))))))))),
(IF((G221="5/24"),((база!$M$6*Таблица1[[#This Row],[сумма]]*Таблица1[[#This Row],[коэф]])),
IF(OR(G221="4/24",G221="3/24"),((база!$M$5*Таблица1[[#This Row],[сумма]]*Таблица1[[#This Row],[коэф]])),
IF((G221="5/16"),((база!$L$6*Таблица1[[#This Row],[сумма]]*Таблица1[[#This Row],[коэф]])),
IF(OR(G221="4/16",G221="3/16"),((база!$L$5*Таблица1[[#This Row],[сумма]]*Таблица1[[#This Row],[коэф]])),
IF(OR(G221="2/4",G221="3/4",G221="4/4"),((база!$I$5*Таблица1[[#This Row],[сумма]]*Таблица1[[#This Row],[коэф]])),
IF((G221="5/8"),((база!$J$6*Таблица1[[#This Row],[сумма]]*Таблица1[[#This Row],[коэф]])),
IF(OR(G221="4/8",G221="3/8",G221="2/8"),((база!$J$5*Таблица1[[#This Row],[сумма]]*Таблица1[[#This Row],[коэф]])))))))))))</f>
        <v>0</v>
      </c>
      <c r="AP221" s="730" t="b">
        <f>IF(AR221&lt;=3,(IF((G221="5/24"),((база!$M$6*2*Таблица1[[#This Row],[Столбец1]]*Таблица1[[#This Row],[коэф]])),
IF((G221="4/24"),((база!$M$5*2*Таблица1[[#This Row],[Столбец1]]*Таблица1[[#This Row],[коэф]])),
IF((G221="3/24"),((база!$M$4*2*Таблица1[[#This Row],[Столбец1]]*Таблица1[[#This Row],[коэф]])),
IF((G221="5/16"),((база!$L$6*2*Таблица1[[#This Row],[Столбец1]]*Таблица1[[#This Row],[коэф]])),
IF((G221="4/16"),((база!$L$5*2*Таблица1[[#This Row],[Столбец1]]*Таблица1[[#This Row],[коэф]])),
IF((G221="3/16"),((база!$L$4*2*Таблица1[[#This Row],[Столбец1]]*Таблица1[[#This Row],[коэф]])),
IF((G221="4/4"),((база!$I$5*2*Таблица1[[#This Row],[Столбец1]]*Таблица1[[#This Row],[коэф]])),
IF(OR(G221="2/4",G221="3/4"),((база!$I$4*2*Таблица1[[#This Row],[Столбец1]]*Таблица1[[#This Row],[коэф]])),
IF((G221="5/8"),((база!$J$6*2*Таблица1[[#This Row],[Столбец1]]*Таблица1[[#This Row],[коэф]])),
IF((G221="4/8"),((база!$J$5*2*Таблица1[[#This Row],[Столбец1]]*Таблица1[[#This Row],[коэф]])),
IF(OR(G221="3/8",G221="2/8"),((база!$J$4*2*Таблица1[[#This Row],[Столбец1]]*Таблица1[[#This Row],[коэф]])))))))))))))),
(IF((G221="5/24"),((база!$M$6*2*Таблица1[[#This Row],[Столбец1]]*Таблица1[[#This Row],[коэф]])),
IF(OR(G221="4/24",G221="3/24"),((база!$M$5*2*Таблица1[[#This Row],[Столбец1]]*Таблица1[[#This Row],[коэф]])),
IF((G221="5/16"),((база!$L$6*2*Таблица1[[#This Row],[Столбец1]]*Таблица1[[#This Row],[коэф]])),
IF(OR(G221="4/16",G221="3/16"),((база!$L$5*2*Таблица1[[#This Row],[Столбец1]]*Таблица1[[#This Row],[коэф]])),
IF(OR(G221="2/4",G221="3/4",G221="4/4"),((база!$I$5*2*Таблица1[[#This Row],[Столбец1]]*Таблица1[[#This Row],[коэф]])),
IF((G221="5/8"),((база!$J$6*2*Таблица1[[#This Row],[Столбец1]]*Таблица1[[#This Row],[коэф]])),
IF(OR(G221="4/8",G221="3/8",G221="2/8"),((база!$J$5*2*Таблица1[[#This Row],[Столбец1]]*Таблица1[[#This Row],[коэф]])))))))))))</f>
        <v>0</v>
      </c>
      <c r="AQ221" s="712" t="str">
        <f>IFERROR(INDEX(база!T:T, MATCH(F221,база!Q:Q,0)),"")</f>
        <v/>
      </c>
      <c r="AR221" s="208" t="str">
        <f>IFERROR(INDEX(база!D:D, MATCH(F221,база!B:B,0)),"")</f>
        <v/>
      </c>
      <c r="AS221" s="758" t="str">
        <f>IFERROR(INDEX(база!E:E, MATCH(F221,база!B:B,0)),"")</f>
        <v/>
      </c>
    </row>
    <row r="222" spans="1:45" ht="15" customHeight="1">
      <c r="A222" s="66" t="str">
        <f t="shared" si="4"/>
        <v>январь</v>
      </c>
      <c r="B222" s="231">
        <v>2024</v>
      </c>
      <c r="C222" s="299"/>
      <c r="D222" s="61"/>
      <c r="E222" s="211"/>
      <c r="F222" s="679"/>
      <c r="G222" s="47"/>
      <c r="H222" s="563"/>
      <c r="I222" s="563"/>
      <c r="J222" s="563"/>
      <c r="K222" s="563"/>
      <c r="L222" s="563"/>
      <c r="M222" s="563"/>
      <c r="N222" s="563"/>
      <c r="O222" s="563"/>
      <c r="P222" s="300"/>
      <c r="Q222" s="563"/>
      <c r="R222" s="563"/>
      <c r="S222" s="563"/>
      <c r="T222" s="563"/>
      <c r="U222" s="563"/>
      <c r="V222" s="563"/>
      <c r="W222" s="563"/>
      <c r="X222" s="563"/>
      <c r="Y222" s="563"/>
      <c r="Z222" s="563"/>
      <c r="AA222" s="563"/>
      <c r="AB222" s="563"/>
      <c r="AC222" s="563"/>
      <c r="AD222" s="48"/>
      <c r="AE222" s="48"/>
      <c r="AF222" s="258"/>
      <c r="AG222" s="48"/>
      <c r="AH222" s="48"/>
      <c r="AI222" s="48"/>
      <c r="AJ222" s="48"/>
      <c r="AK222" s="48"/>
      <c r="AL222" s="51"/>
      <c r="AM222" s="212">
        <f>IF(AQ222=1,SUM(Q222:T222,W222:Z222,AC222:AF222,AI222:AL222),
IF(AQ222=2,SUM(P222,S222:V222,Y222:AB222,AE222:AH222,AK222:AL222),
IF(AQ222=3,SUM(P222:R222,U222:X222,AA222:AD222,AG222:AJ222),SUM(Таблица1[[#This Row],[1]:[31]])-Таблица1[[#This Row],[Столбец1]])))</f>
        <v>0</v>
      </c>
      <c r="AN222" s="778">
        <f t="array" ref="AN222">IF(AQ222=1,SUM(P222,U222:V222,AA222:AB222,AG222:AH222),
IF(AQ222=2,SUM(Q222:R222,W222:X222,AC222:AD222,AI222:AJ222),
IF(AQ222=3,SUM(S222:T222,Y222:Z222,AE222:AF222,AK222:AL222),
SUM(IFERROR(WEEKDAY($H$2:$AL$2,2)&gt;5,)*H222:AL222))))+Таблица1[[#This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22" s="292" t="b">
        <f>IF(AR222&lt;=3,(IF((G222="5/24"),((база!$M$6*Таблица1[[#This Row],[сумма]]*Таблица1[[#This Row],[коэф]])),
IF((G222="4/24"),((база!$M$5*Таблица1[[#This Row],[сумма]]*Таблица1[[#This Row],[коэф]])),
IF((G222="3/24"),((база!$M$4*Таблица1[[#This Row],[сумма]]*Таблица1[[#This Row],[коэф]])),
IF((G222="5/16"),((база!$L$6*Таблица1[[#This Row],[сумма]]*Таблица1[[#This Row],[коэф]])),
IF((G222="4/16"),((база!$L$5*Таблица1[[#This Row],[сумма]]*Таблица1[[#This Row],[коэф]])),
IF((G222="3/16"),((база!$L$4*Таблица1[[#This Row],[сумма]]*Таблица1[[#This Row],[коэф]])),
IF((G222="4/4"),((база!$I$5*Таблица1[[#This Row],[сумма]]*Таблица1[[#This Row],[коэф]])),
IF(OR(G222="2/4",G222="3/4"),((база!$I$4*Таблица1[[#This Row],[сумма]]*Таблица1[[#This Row],[коэф]])),
IF((G222="5/8"),((база!$J$6*Таблица1[[#This Row],[сумма]]*Таблица1[[#This Row],[коэф]])),
IF((G222="4/8"),((база!$J$5*Таблица1[[#This Row],[сумма]]*Таблица1[[#This Row],[коэф]])),
IF(OR(G222="3/8",G222="2/8"),((база!$J$4*Таблица1[[#This Row],[сумма]]*Таблица1[[#This Row],[коэф]])))))))))))))),
(IF((G222="5/24"),((база!$M$6*Таблица1[[#This Row],[сумма]]*Таблица1[[#This Row],[коэф]])),
IF(OR(G222="4/24",G222="3/24"),((база!$M$5*Таблица1[[#This Row],[сумма]]*Таблица1[[#This Row],[коэф]])),
IF((G222="5/16"),((база!$L$6*Таблица1[[#This Row],[сумма]]*Таблица1[[#This Row],[коэф]])),
IF(OR(G222="4/16",G222="3/16"),((база!$L$5*Таблица1[[#This Row],[сумма]]*Таблица1[[#This Row],[коэф]])),
IF(OR(G222="2/4",G222="3/4",G222="4/4"),((база!$I$5*Таблица1[[#This Row],[сумма]]*Таблица1[[#This Row],[коэф]])),
IF((G222="5/8"),((база!$J$6*Таблица1[[#This Row],[сумма]]*Таблица1[[#This Row],[коэф]])),
IF(OR(G222="4/8",G222="3/8",G222="2/8"),((база!$J$5*Таблица1[[#This Row],[сумма]]*Таблица1[[#This Row],[коэф]])))))))))))</f>
        <v>0</v>
      </c>
      <c r="AP222" s="730" t="b">
        <f>IF(AR222&lt;=3,(IF((G222="5/24"),((база!$M$6*2*Таблица1[[#This Row],[Столбец1]]*Таблица1[[#This Row],[коэф]])),
IF((G222="4/24"),((база!$M$5*2*Таблица1[[#This Row],[Столбец1]]*Таблица1[[#This Row],[коэф]])),
IF((G222="3/24"),((база!$M$4*2*Таблица1[[#This Row],[Столбец1]]*Таблица1[[#This Row],[коэф]])),
IF((G222="5/16"),((база!$L$6*2*Таблица1[[#This Row],[Столбец1]]*Таблица1[[#This Row],[коэф]])),
IF((G222="4/16"),((база!$L$5*2*Таблица1[[#This Row],[Столбец1]]*Таблица1[[#This Row],[коэф]])),
IF((G222="3/16"),((база!$L$4*2*Таблица1[[#This Row],[Столбец1]]*Таблица1[[#This Row],[коэф]])),
IF((G222="4/4"),((база!$I$5*2*Таблица1[[#This Row],[Столбец1]]*Таблица1[[#This Row],[коэф]])),
IF(OR(G222="2/4",G222="3/4"),((база!$I$4*2*Таблица1[[#This Row],[Столбец1]]*Таблица1[[#This Row],[коэф]])),
IF((G222="5/8"),((база!$J$6*2*Таблица1[[#This Row],[Столбец1]]*Таблица1[[#This Row],[коэф]])),
IF((G222="4/8"),((база!$J$5*2*Таблица1[[#This Row],[Столбец1]]*Таблица1[[#This Row],[коэф]])),
IF(OR(G222="3/8",G222="2/8"),((база!$J$4*2*Таблица1[[#This Row],[Столбец1]]*Таблица1[[#This Row],[коэф]])))))))))))))),
(IF((G222="5/24"),((база!$M$6*2*Таблица1[[#This Row],[Столбец1]]*Таблица1[[#This Row],[коэф]])),
IF(OR(G222="4/24",G222="3/24"),((база!$M$5*2*Таблица1[[#This Row],[Столбец1]]*Таблица1[[#This Row],[коэф]])),
IF((G222="5/16"),((база!$L$6*2*Таблица1[[#This Row],[Столбец1]]*Таблица1[[#This Row],[коэф]])),
IF(OR(G222="4/16",G222="3/16"),((база!$L$5*2*Таблица1[[#This Row],[Столбец1]]*Таблица1[[#This Row],[коэф]])),
IF(OR(G222="2/4",G222="3/4",G222="4/4"),((база!$I$5*2*Таблица1[[#This Row],[Столбец1]]*Таблица1[[#This Row],[коэф]])),
IF((G222="5/8"),((база!$J$6*2*Таблица1[[#This Row],[Столбец1]]*Таблица1[[#This Row],[коэф]])),
IF(OR(G222="4/8",G222="3/8",G222="2/8"),((база!$J$5*2*Таблица1[[#This Row],[Столбец1]]*Таблица1[[#This Row],[коэф]])))))))))))</f>
        <v>0</v>
      </c>
      <c r="AQ222" s="712" t="str">
        <f>IFERROR(INDEX(база!T:T, MATCH(F222,база!Q:Q,0)),"")</f>
        <v/>
      </c>
      <c r="AR222" s="208" t="str">
        <f>IFERROR(INDEX(база!D:D, MATCH(F222,база!B:B,0)),"")</f>
        <v/>
      </c>
      <c r="AS222" s="758" t="str">
        <f>IFERROR(INDEX(база!E:E, MATCH(F222,база!B:B,0)),"")</f>
        <v/>
      </c>
    </row>
    <row r="223" spans="1:45" ht="15" customHeight="1">
      <c r="A223" s="66" t="str">
        <f t="shared" si="4"/>
        <v>январь</v>
      </c>
      <c r="B223" s="231">
        <v>2024</v>
      </c>
      <c r="C223" s="60"/>
      <c r="D223" s="61"/>
      <c r="E223" s="211"/>
      <c r="F223" s="679"/>
      <c r="G223" s="47"/>
      <c r="H223" s="563"/>
      <c r="I223" s="563"/>
      <c r="J223" s="563"/>
      <c r="K223" s="563"/>
      <c r="L223" s="563"/>
      <c r="M223" s="563"/>
      <c r="N223" s="563"/>
      <c r="O223" s="563"/>
      <c r="P223" s="563"/>
      <c r="Q223" s="563"/>
      <c r="R223" s="563"/>
      <c r="S223" s="563"/>
      <c r="T223" s="563"/>
      <c r="U223" s="563"/>
      <c r="V223" s="563"/>
      <c r="W223" s="563"/>
      <c r="X223" s="563"/>
      <c r="Y223" s="563"/>
      <c r="Z223" s="563"/>
      <c r="AA223" s="563"/>
      <c r="AB223" s="563"/>
      <c r="AC223" s="563"/>
      <c r="AD223" s="48"/>
      <c r="AE223" s="48"/>
      <c r="AF223" s="258"/>
      <c r="AG223" s="48"/>
      <c r="AH223" s="48"/>
      <c r="AI223" s="258"/>
      <c r="AJ223" s="258"/>
      <c r="AK223" s="258"/>
      <c r="AL223" s="258"/>
      <c r="AM223" s="212">
        <f>IF(AQ223=1,SUM(Q223:T223,W223:Z223,AC223:AF223,AI223:AL223),
IF(AQ223=2,SUM(P223,S223:V223,Y223:AB223,AE223:AH223,AK223:AL223),
IF(AQ223=3,SUM(P223:R223,U223:X223,AA223:AD223,AG223:AJ223),SUM(Таблица1[[#This Row],[1]:[31]])-Таблица1[[#This Row],[Столбец1]])))</f>
        <v>0</v>
      </c>
      <c r="AN223" s="778">
        <f t="array" ref="AN223">IF(AQ223=1,SUM(P223,U223:V223,AA223:AB223,AG223:AH223),
IF(AQ223=2,SUM(Q223:R223,W223:X223,AC223:AD223,AI223:AJ223),
IF(AQ223=3,SUM(S223:T223,Y223:Z223,AE223:AF223,AK223:AL223),
SUM(IFERROR(WEEKDAY($H$2:$AL$2,2)&gt;5,)*H223:AL223))))+Таблица1[[#This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23" s="292" t="b">
        <f>IF(AR223&lt;=3,(IF((G223="5/24"),((база!$M$6*Таблица1[[#This Row],[сумма]]*Таблица1[[#This Row],[коэф]])),
IF((G223="4/24"),((база!$M$5*Таблица1[[#This Row],[сумма]]*Таблица1[[#This Row],[коэф]])),
IF((G223="3/24"),((база!$M$4*Таблица1[[#This Row],[сумма]]*Таблица1[[#This Row],[коэф]])),
IF((G223="5/16"),((база!$L$6*Таблица1[[#This Row],[сумма]]*Таблица1[[#This Row],[коэф]])),
IF((G223="4/16"),((база!$L$5*Таблица1[[#This Row],[сумма]]*Таблица1[[#This Row],[коэф]])),
IF((G223="3/16"),((база!$L$4*Таблица1[[#This Row],[сумма]]*Таблица1[[#This Row],[коэф]])),
IF((G223="4/4"),((база!$I$5*Таблица1[[#This Row],[сумма]]*Таблица1[[#This Row],[коэф]])),
IF(OR(G223="2/4",G223="3/4"),((база!$I$4*Таблица1[[#This Row],[сумма]]*Таблица1[[#This Row],[коэф]])),
IF((G223="5/8"),((база!$J$6*Таблица1[[#This Row],[сумма]]*Таблица1[[#This Row],[коэф]])),
IF((G223="4/8"),((база!$J$5*Таблица1[[#This Row],[сумма]]*Таблица1[[#This Row],[коэф]])),
IF(OR(G223="3/8",G223="2/8"),((база!$J$4*Таблица1[[#This Row],[сумма]]*Таблица1[[#This Row],[коэф]])))))))))))))),
(IF((G223="5/24"),((база!$M$6*Таблица1[[#This Row],[сумма]]*Таблица1[[#This Row],[коэф]])),
IF(OR(G223="4/24",G223="3/24"),((база!$M$5*Таблица1[[#This Row],[сумма]]*Таблица1[[#This Row],[коэф]])),
IF((G223="5/16"),((база!$L$6*Таблица1[[#This Row],[сумма]]*Таблица1[[#This Row],[коэф]])),
IF(OR(G223="4/16",G223="3/16"),((база!$L$5*Таблица1[[#This Row],[сумма]]*Таблица1[[#This Row],[коэф]])),
IF(OR(G223="2/4",G223="3/4",G223="4/4"),((база!$I$5*Таблица1[[#This Row],[сумма]]*Таблица1[[#This Row],[коэф]])),
IF((G223="5/8"),((база!$J$6*Таблица1[[#This Row],[сумма]]*Таблица1[[#This Row],[коэф]])),
IF(OR(G223="4/8",G223="3/8",G223="2/8"),((база!$J$5*Таблица1[[#This Row],[сумма]]*Таблица1[[#This Row],[коэф]])))))))))))</f>
        <v>0</v>
      </c>
      <c r="AP223" s="730" t="b">
        <f>IF(AR223&lt;=3,(IF((G223="5/24"),((база!$M$6*2*Таблица1[[#This Row],[Столбец1]]*Таблица1[[#This Row],[коэф]])),
IF((G223="4/24"),((база!$M$5*2*Таблица1[[#This Row],[Столбец1]]*Таблица1[[#This Row],[коэф]])),
IF((G223="3/24"),((база!$M$4*2*Таблица1[[#This Row],[Столбец1]]*Таблица1[[#This Row],[коэф]])),
IF((G223="5/16"),((база!$L$6*2*Таблица1[[#This Row],[Столбец1]]*Таблица1[[#This Row],[коэф]])),
IF((G223="4/16"),((база!$L$5*2*Таблица1[[#This Row],[Столбец1]]*Таблица1[[#This Row],[коэф]])),
IF((G223="3/16"),((база!$L$4*2*Таблица1[[#This Row],[Столбец1]]*Таблица1[[#This Row],[коэф]])),
IF((G223="4/4"),((база!$I$5*2*Таблица1[[#This Row],[Столбец1]]*Таблица1[[#This Row],[коэф]])),
IF(OR(G223="2/4",G223="3/4"),((база!$I$4*2*Таблица1[[#This Row],[Столбец1]]*Таблица1[[#This Row],[коэф]])),
IF((G223="5/8"),((база!$J$6*2*Таблица1[[#This Row],[Столбец1]]*Таблица1[[#This Row],[коэф]])),
IF((G223="4/8"),((база!$J$5*2*Таблица1[[#This Row],[Столбец1]]*Таблица1[[#This Row],[коэф]])),
IF(OR(G223="3/8",G223="2/8"),((база!$J$4*2*Таблица1[[#This Row],[Столбец1]]*Таблица1[[#This Row],[коэф]])))))))))))))),
(IF((G223="5/24"),((база!$M$6*2*Таблица1[[#This Row],[Столбец1]]*Таблица1[[#This Row],[коэф]])),
IF(OR(G223="4/24",G223="3/24"),((база!$M$5*2*Таблица1[[#This Row],[Столбец1]]*Таблица1[[#This Row],[коэф]])),
IF((G223="5/16"),((база!$L$6*2*Таблица1[[#This Row],[Столбец1]]*Таблица1[[#This Row],[коэф]])),
IF(OR(G223="4/16",G223="3/16"),((база!$L$5*2*Таблица1[[#This Row],[Столбец1]]*Таблица1[[#This Row],[коэф]])),
IF(OR(G223="2/4",G223="3/4",G223="4/4"),((база!$I$5*2*Таблица1[[#This Row],[Столбец1]]*Таблица1[[#This Row],[коэф]])),
IF((G223="5/8"),((база!$J$6*2*Таблица1[[#This Row],[Столбец1]]*Таблица1[[#This Row],[коэф]])),
IF(OR(G223="4/8",G223="3/8",G223="2/8"),((база!$J$5*2*Таблица1[[#This Row],[Столбец1]]*Таблица1[[#This Row],[коэф]])))))))))))</f>
        <v>0</v>
      </c>
      <c r="AQ223" s="712" t="str">
        <f>IFERROR(INDEX(база!T:T, MATCH(F223,база!Q:Q,0)),"")</f>
        <v/>
      </c>
      <c r="AR223" s="208" t="str">
        <f>IFERROR(INDEX(база!D:D, MATCH(F223,база!B:B,0)),"")</f>
        <v/>
      </c>
      <c r="AS223" s="758" t="str">
        <f>IFERROR(INDEX(база!E:E, MATCH(F223,база!B:B,0)),"")</f>
        <v/>
      </c>
    </row>
    <row r="224" spans="1:45" ht="15">
      <c r="A224" s="66" t="str">
        <f t="shared" si="4"/>
        <v>январь</v>
      </c>
      <c r="B224" s="231">
        <v>2024</v>
      </c>
      <c r="C224" s="299"/>
      <c r="D224" s="61"/>
      <c r="E224" s="211"/>
      <c r="F224" s="679"/>
      <c r="G224" s="47"/>
      <c r="H224" s="563"/>
      <c r="I224" s="563"/>
      <c r="J224" s="563"/>
      <c r="K224" s="563"/>
      <c r="L224" s="563"/>
      <c r="M224" s="563"/>
      <c r="N224" s="563"/>
      <c r="O224" s="563"/>
      <c r="P224" s="300"/>
      <c r="Q224" s="563"/>
      <c r="R224" s="563"/>
      <c r="S224" s="563"/>
      <c r="T224" s="563"/>
      <c r="U224" s="563"/>
      <c r="V224" s="563"/>
      <c r="W224" s="563"/>
      <c r="X224" s="563"/>
      <c r="Y224" s="563"/>
      <c r="Z224" s="563"/>
      <c r="AA224" s="563"/>
      <c r="AB224" s="563"/>
      <c r="AC224" s="563"/>
      <c r="AD224" s="48"/>
      <c r="AE224" s="48"/>
      <c r="AF224" s="48"/>
      <c r="AG224" s="48"/>
      <c r="AH224" s="48"/>
      <c r="AI224" s="48"/>
      <c r="AJ224" s="48"/>
      <c r="AK224" s="48"/>
      <c r="AL224" s="48"/>
      <c r="AM224" s="212">
        <f>IF(AQ224=1,SUM(Q224:T224,W224:Z224,AC224:AF224,AI224:AL224),
IF(AQ224=2,SUM(P224,S224:V224,Y224:AB224,AE224:AH224,AK224:AL224),
IF(AQ224=3,SUM(P224:R224,U224:X224,AA224:AD224,AG224:AJ224),SUM(Таблица1[[#This Row],[1]:[31]])-Таблица1[[#This Row],[Столбец1]])))</f>
        <v>0</v>
      </c>
      <c r="AN224" s="778">
        <f t="array" ref="AN224">IF(AQ224=1,SUM(P224,U224:V224,AA224:AB224,AG224:AH224),
IF(AQ224=2,SUM(Q224:R224,W224:X224,AC224:AD224,AI224:AJ224),
IF(AQ224=3,SUM(S224:T224,Y224:Z224,AE224:AF224,AK224:AL224),
SUM(IFERROR(WEEKDAY($H$2:$AL$2,2)&gt;5,)*H224:AL224))))+Таблица1[[#This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24" s="292" t="b">
        <f>IF(AR224&lt;=3,(IF((G224="5/24"),((база!$M$6*Таблица1[[#This Row],[сумма]]*Таблица1[[#This Row],[коэф]])),
IF((G224="4/24"),((база!$M$5*Таблица1[[#This Row],[сумма]]*Таблица1[[#This Row],[коэф]])),
IF((G224="3/24"),((база!$M$4*Таблица1[[#This Row],[сумма]]*Таблица1[[#This Row],[коэф]])),
IF((G224="5/16"),((база!$L$6*Таблица1[[#This Row],[сумма]]*Таблица1[[#This Row],[коэф]])),
IF((G224="4/16"),((база!$L$5*Таблица1[[#This Row],[сумма]]*Таблица1[[#This Row],[коэф]])),
IF((G224="3/16"),((база!$L$4*Таблица1[[#This Row],[сумма]]*Таблица1[[#This Row],[коэф]])),
IF((G224="4/4"),((база!$I$5*Таблица1[[#This Row],[сумма]]*Таблица1[[#This Row],[коэф]])),
IF(OR(G224="2/4",G224="3/4"),((база!$I$4*Таблица1[[#This Row],[сумма]]*Таблица1[[#This Row],[коэф]])),
IF((G224="5/8"),((база!$J$6*Таблица1[[#This Row],[сумма]]*Таблица1[[#This Row],[коэф]])),
IF((G224="4/8"),((база!$J$5*Таблица1[[#This Row],[сумма]]*Таблица1[[#This Row],[коэф]])),
IF(OR(G224="3/8",G224="2/8"),((база!$J$4*Таблица1[[#This Row],[сумма]]*Таблица1[[#This Row],[коэф]])))))))))))))),
(IF((G224="5/24"),((база!$M$6*Таблица1[[#This Row],[сумма]]*Таблица1[[#This Row],[коэф]])),
IF(OR(G224="4/24",G224="3/24"),((база!$M$5*Таблица1[[#This Row],[сумма]]*Таблица1[[#This Row],[коэф]])),
IF((G224="5/16"),((база!$L$6*Таблица1[[#This Row],[сумма]]*Таблица1[[#This Row],[коэф]])),
IF(OR(G224="4/16",G224="3/16"),((база!$L$5*Таблица1[[#This Row],[сумма]]*Таблица1[[#This Row],[коэф]])),
IF(OR(G224="2/4",G224="3/4",G224="4/4"),((база!$I$5*Таблица1[[#This Row],[сумма]]*Таблица1[[#This Row],[коэф]])),
IF((G224="5/8"),((база!$J$6*Таблица1[[#This Row],[сумма]]*Таблица1[[#This Row],[коэф]])),
IF(OR(G224="4/8",G224="3/8",G224="2/8"),((база!$J$5*Таблица1[[#This Row],[сумма]]*Таблица1[[#This Row],[коэф]])))))))))))</f>
        <v>0</v>
      </c>
      <c r="AP224" s="730" t="b">
        <f>IF(AR224&lt;=3,(IF((G224="5/24"),((база!$M$6*2*Таблица1[[#This Row],[Столбец1]]*Таблица1[[#This Row],[коэф]])),
IF((G224="4/24"),((база!$M$5*2*Таблица1[[#This Row],[Столбец1]]*Таблица1[[#This Row],[коэф]])),
IF((G224="3/24"),((база!$M$4*2*Таблица1[[#This Row],[Столбец1]]*Таблица1[[#This Row],[коэф]])),
IF((G224="5/16"),((база!$L$6*2*Таблица1[[#This Row],[Столбец1]]*Таблица1[[#This Row],[коэф]])),
IF((G224="4/16"),((база!$L$5*2*Таблица1[[#This Row],[Столбец1]]*Таблица1[[#This Row],[коэф]])),
IF((G224="3/16"),((база!$L$4*2*Таблица1[[#This Row],[Столбец1]]*Таблица1[[#This Row],[коэф]])),
IF((G224="4/4"),((база!$I$5*2*Таблица1[[#This Row],[Столбец1]]*Таблица1[[#This Row],[коэф]])),
IF(OR(G224="2/4",G224="3/4"),((база!$I$4*2*Таблица1[[#This Row],[Столбец1]]*Таблица1[[#This Row],[коэф]])),
IF((G224="5/8"),((база!$J$6*2*Таблица1[[#This Row],[Столбец1]]*Таблица1[[#This Row],[коэф]])),
IF((G224="4/8"),((база!$J$5*2*Таблица1[[#This Row],[Столбец1]]*Таблица1[[#This Row],[коэф]])),
IF(OR(G224="3/8",G224="2/8"),((база!$J$4*2*Таблица1[[#This Row],[Столбец1]]*Таблица1[[#This Row],[коэф]])))))))))))))),
(IF((G224="5/24"),((база!$M$6*2*Таблица1[[#This Row],[Столбец1]]*Таблица1[[#This Row],[коэф]])),
IF(OR(G224="4/24",G224="3/24"),((база!$M$5*2*Таблица1[[#This Row],[Столбец1]]*Таблица1[[#This Row],[коэф]])),
IF((G224="5/16"),((база!$L$6*2*Таблица1[[#This Row],[Столбец1]]*Таблица1[[#This Row],[коэф]])),
IF(OR(G224="4/16",G224="3/16"),((база!$L$5*2*Таблица1[[#This Row],[Столбец1]]*Таблица1[[#This Row],[коэф]])),
IF(OR(G224="2/4",G224="3/4",G224="4/4"),((база!$I$5*2*Таблица1[[#This Row],[Столбец1]]*Таблица1[[#This Row],[коэф]])),
IF((G224="5/8"),((база!$J$6*2*Таблица1[[#This Row],[Столбец1]]*Таблица1[[#This Row],[коэф]])),
IF(OR(G224="4/8",G224="3/8",G224="2/8"),((база!$J$5*2*Таблица1[[#This Row],[Столбец1]]*Таблица1[[#This Row],[коэф]])))))))))))</f>
        <v>0</v>
      </c>
      <c r="AQ224" s="712" t="str">
        <f>IFERROR(INDEX(база!T:T, MATCH(F224,база!Q:Q,0)),"")</f>
        <v/>
      </c>
      <c r="AR224" s="208" t="str">
        <f>IFERROR(INDEX(база!D:D, MATCH(F224,база!B:B,0)),"")</f>
        <v/>
      </c>
      <c r="AS224" s="758" t="str">
        <f>IFERROR(INDEX(база!E:E, MATCH(F224,база!B:B,0)),"")</f>
        <v/>
      </c>
    </row>
    <row r="225" spans="1:45" ht="15">
      <c r="A225" s="66" t="str">
        <f t="shared" si="4"/>
        <v>январь</v>
      </c>
      <c r="B225" s="231">
        <v>2024</v>
      </c>
      <c r="C225" s="299"/>
      <c r="D225" s="61"/>
      <c r="E225" s="211"/>
      <c r="F225" s="679"/>
      <c r="G225" s="47"/>
      <c r="H225" s="563"/>
      <c r="I225" s="563"/>
      <c r="J225" s="563"/>
      <c r="K225" s="563"/>
      <c r="L225" s="563"/>
      <c r="M225" s="563"/>
      <c r="N225" s="563"/>
      <c r="O225" s="563"/>
      <c r="P225" s="300"/>
      <c r="Q225" s="563"/>
      <c r="R225" s="563"/>
      <c r="S225" s="563"/>
      <c r="T225" s="563"/>
      <c r="U225" s="563"/>
      <c r="V225" s="563"/>
      <c r="W225" s="563"/>
      <c r="X225" s="563"/>
      <c r="Y225" s="563"/>
      <c r="Z225" s="563"/>
      <c r="AA225" s="563"/>
      <c r="AB225" s="563"/>
      <c r="AC225" s="563"/>
      <c r="AD225" s="48"/>
      <c r="AE225" s="48"/>
      <c r="AF225" s="258"/>
      <c r="AG225" s="48"/>
      <c r="AH225" s="48"/>
      <c r="AI225" s="258"/>
      <c r="AJ225" s="258"/>
      <c r="AK225" s="258"/>
      <c r="AL225" s="258"/>
      <c r="AM225" s="212">
        <f>IF(AQ225=1,SUM(Q225:T225,W225:Z225,AC225:AF225,AI225:AL225),
IF(AQ225=2,SUM(P225,S225:V225,Y225:AB225,AE225:AH225,AK225:AL225),
IF(AQ225=3,SUM(P225:R225,U225:X225,AA225:AD225,AG225:AJ225),SUM(Таблица1[[#This Row],[1]:[31]])-Таблица1[[#This Row],[Столбец1]])))</f>
        <v>0</v>
      </c>
      <c r="AN225" s="778">
        <f t="array" ref="AN225">IF(AQ225=1,SUM(P225,U225:V225,AA225:AB225,AG225:AH225),
IF(AQ225=2,SUM(Q225:R225,W225:X225,AC225:AD225,AI225:AJ225),
IF(AQ225=3,SUM(S225:T225,Y225:Z225,AE225:AF225,AK225:AL225),
SUM(IFERROR(WEEKDAY($H$2:$AL$2,2)&gt;5,)*H225:AL225))))+Таблица1[[#This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25" s="292" t="b">
        <f>IF(AR225&lt;=3,(IF((G225="5/24"),((база!$M$6*Таблица1[[#This Row],[сумма]]*Таблица1[[#This Row],[коэф]])),
IF((G225="4/24"),((база!$M$5*Таблица1[[#This Row],[сумма]]*Таблица1[[#This Row],[коэф]])),
IF((G225="3/24"),((база!$M$4*Таблица1[[#This Row],[сумма]]*Таблица1[[#This Row],[коэф]])),
IF((G225="5/16"),((база!$L$6*Таблица1[[#This Row],[сумма]]*Таблица1[[#This Row],[коэф]])),
IF((G225="4/16"),((база!$L$5*Таблица1[[#This Row],[сумма]]*Таблица1[[#This Row],[коэф]])),
IF((G225="3/16"),((база!$L$4*Таблица1[[#This Row],[сумма]]*Таблица1[[#This Row],[коэф]])),
IF((G225="4/4"),((база!$I$5*Таблица1[[#This Row],[сумма]]*Таблица1[[#This Row],[коэф]])),
IF(OR(G225="2/4",G225="3/4"),((база!$I$4*Таблица1[[#This Row],[сумма]]*Таблица1[[#This Row],[коэф]])),
IF((G225="5/8"),((база!$J$6*Таблица1[[#This Row],[сумма]]*Таблица1[[#This Row],[коэф]])),
IF((G225="4/8"),((база!$J$5*Таблица1[[#This Row],[сумма]]*Таблица1[[#This Row],[коэф]])),
IF(OR(G225="3/8",G225="2/8"),((база!$J$4*Таблица1[[#This Row],[сумма]]*Таблица1[[#This Row],[коэф]])))))))))))))),
(IF((G225="5/24"),((база!$M$6*Таблица1[[#This Row],[сумма]]*Таблица1[[#This Row],[коэф]])),
IF(OR(G225="4/24",G225="3/24"),((база!$M$5*Таблица1[[#This Row],[сумма]]*Таблица1[[#This Row],[коэф]])),
IF((G225="5/16"),((база!$L$6*Таблица1[[#This Row],[сумма]]*Таблица1[[#This Row],[коэф]])),
IF(OR(G225="4/16",G225="3/16"),((база!$L$5*Таблица1[[#This Row],[сумма]]*Таблица1[[#This Row],[коэф]])),
IF(OR(G225="2/4",G225="3/4",G225="4/4"),((база!$I$5*Таблица1[[#This Row],[сумма]]*Таблица1[[#This Row],[коэф]])),
IF((G225="5/8"),((база!$J$6*Таблица1[[#This Row],[сумма]]*Таблица1[[#This Row],[коэф]])),
IF(OR(G225="4/8",G225="3/8",G225="2/8"),((база!$J$5*Таблица1[[#This Row],[сумма]]*Таблица1[[#This Row],[коэф]])))))))))))</f>
        <v>0</v>
      </c>
      <c r="AP225" s="730" t="b">
        <f>IF(AR225&lt;=3,(IF((G225="5/24"),((база!$M$6*2*Таблица1[[#This Row],[Столбец1]]*Таблица1[[#This Row],[коэф]])),
IF((G225="4/24"),((база!$M$5*2*Таблица1[[#This Row],[Столбец1]]*Таблица1[[#This Row],[коэф]])),
IF((G225="3/24"),((база!$M$4*2*Таблица1[[#This Row],[Столбец1]]*Таблица1[[#This Row],[коэф]])),
IF((G225="5/16"),((база!$L$6*2*Таблица1[[#This Row],[Столбец1]]*Таблица1[[#This Row],[коэф]])),
IF((G225="4/16"),((база!$L$5*2*Таблица1[[#This Row],[Столбец1]]*Таблица1[[#This Row],[коэф]])),
IF((G225="3/16"),((база!$L$4*2*Таблица1[[#This Row],[Столбец1]]*Таблица1[[#This Row],[коэф]])),
IF((G225="4/4"),((база!$I$5*2*Таблица1[[#This Row],[Столбец1]]*Таблица1[[#This Row],[коэф]])),
IF(OR(G225="2/4",G225="3/4"),((база!$I$4*2*Таблица1[[#This Row],[Столбец1]]*Таблица1[[#This Row],[коэф]])),
IF((G225="5/8"),((база!$J$6*2*Таблица1[[#This Row],[Столбец1]]*Таблица1[[#This Row],[коэф]])),
IF((G225="4/8"),((база!$J$5*2*Таблица1[[#This Row],[Столбец1]]*Таблица1[[#This Row],[коэф]])),
IF(OR(G225="3/8",G225="2/8"),((база!$J$4*2*Таблица1[[#This Row],[Столбец1]]*Таблица1[[#This Row],[коэф]])))))))))))))),
(IF((G225="5/24"),((база!$M$6*2*Таблица1[[#This Row],[Столбец1]]*Таблица1[[#This Row],[коэф]])),
IF(OR(G225="4/24",G225="3/24"),((база!$M$5*2*Таблица1[[#This Row],[Столбец1]]*Таблица1[[#This Row],[коэф]])),
IF((G225="5/16"),((база!$L$6*2*Таблица1[[#This Row],[Столбец1]]*Таблица1[[#This Row],[коэф]])),
IF(OR(G225="4/16",G225="3/16"),((база!$L$5*2*Таблица1[[#This Row],[Столбец1]]*Таблица1[[#This Row],[коэф]])),
IF(OR(G225="2/4",G225="3/4",G225="4/4"),((база!$I$5*2*Таблица1[[#This Row],[Столбец1]]*Таблица1[[#This Row],[коэф]])),
IF((G225="5/8"),((база!$J$6*2*Таблица1[[#This Row],[Столбец1]]*Таблица1[[#This Row],[коэф]])),
IF(OR(G225="4/8",G225="3/8",G225="2/8"),((база!$J$5*2*Таблица1[[#This Row],[Столбец1]]*Таблица1[[#This Row],[коэф]])))))))))))</f>
        <v>0</v>
      </c>
      <c r="AQ225" s="712" t="str">
        <f>IFERROR(INDEX(база!T:T, MATCH(F225,база!Q:Q,0)),"")</f>
        <v/>
      </c>
      <c r="AR225" s="208" t="str">
        <f>IFERROR(INDEX(база!D:D, MATCH(F225,база!B:B,0)),"")</f>
        <v/>
      </c>
      <c r="AS225" s="758" t="str">
        <f>IFERROR(INDEX(база!E:E, MATCH(F225,база!B:B,0)),"")</f>
        <v/>
      </c>
    </row>
    <row r="226" spans="1:45" ht="15">
      <c r="A226" s="66" t="str">
        <f t="shared" si="4"/>
        <v>январь</v>
      </c>
      <c r="B226" s="231">
        <v>2024</v>
      </c>
      <c r="C226" s="299"/>
      <c r="D226" s="61"/>
      <c r="E226" s="211"/>
      <c r="F226" s="679"/>
      <c r="G226" s="47"/>
      <c r="H226" s="563"/>
      <c r="I226" s="563"/>
      <c r="J226" s="563"/>
      <c r="K226" s="563"/>
      <c r="L226" s="563"/>
      <c r="M226" s="563"/>
      <c r="N226" s="563"/>
      <c r="O226" s="563"/>
      <c r="P226" s="300"/>
      <c r="Q226" s="563"/>
      <c r="R226" s="563"/>
      <c r="S226" s="563"/>
      <c r="T226" s="563"/>
      <c r="U226" s="563"/>
      <c r="V226" s="563"/>
      <c r="W226" s="563"/>
      <c r="X226" s="563"/>
      <c r="Y226" s="563"/>
      <c r="Z226" s="563"/>
      <c r="AA226" s="563"/>
      <c r="AB226" s="563"/>
      <c r="AC226" s="563"/>
      <c r="AD226" s="258"/>
      <c r="AE226" s="258"/>
      <c r="AF226" s="258"/>
      <c r="AG226" s="48"/>
      <c r="AH226" s="48"/>
      <c r="AI226" s="48"/>
      <c r="AJ226" s="48"/>
      <c r="AK226" s="48"/>
      <c r="AL226" s="51"/>
      <c r="AM226" s="212">
        <f>IF(AQ226=1,SUM(Q226:T226,W226:Z226,AC226:AF226,AI226:AL226),
IF(AQ226=2,SUM(P226,S226:V226,Y226:AB226,AE226:AH226,AK226:AL226),
IF(AQ226=3,SUM(P226:R226,U226:X226,AA226:AD226,AG226:AJ226),SUM(Таблица1[[#This Row],[1]:[31]])-Таблица1[[#This Row],[Столбец1]])))</f>
        <v>0</v>
      </c>
      <c r="AN226" s="778">
        <f t="array" ref="AN226">IF(AQ226=1,SUM(P226,U226:V226,AA226:AB226,AG226:AH226),
IF(AQ226=2,SUM(Q226:R226,W226:X226,AC226:AD226,AI226:AJ226),
IF(AQ226=3,SUM(S226:T226,Y226:Z226,AE226:AF226,AK226:AL226),
SUM(IFERROR(WEEKDAY($H$2:$AL$2,2)&gt;5,)*H226:AL226))))+Таблица1[[#This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26" s="292" t="b">
        <f>IF(AR226&lt;=3,(IF((G226="5/24"),((база!$M$6*Таблица1[[#This Row],[сумма]]*Таблица1[[#This Row],[коэф]])),
IF((G226="4/24"),((база!$M$5*Таблица1[[#This Row],[сумма]]*Таблица1[[#This Row],[коэф]])),
IF((G226="3/24"),((база!$M$4*Таблица1[[#This Row],[сумма]]*Таблица1[[#This Row],[коэф]])),
IF((G226="5/16"),((база!$L$6*Таблица1[[#This Row],[сумма]]*Таблица1[[#This Row],[коэф]])),
IF((G226="4/16"),((база!$L$5*Таблица1[[#This Row],[сумма]]*Таблица1[[#This Row],[коэф]])),
IF((G226="3/16"),((база!$L$4*Таблица1[[#This Row],[сумма]]*Таблица1[[#This Row],[коэф]])),
IF((G226="4/4"),((база!$I$5*Таблица1[[#This Row],[сумма]]*Таблица1[[#This Row],[коэф]])),
IF(OR(G226="2/4",G226="3/4"),((база!$I$4*Таблица1[[#This Row],[сумма]]*Таблица1[[#This Row],[коэф]])),
IF((G226="5/8"),((база!$J$6*Таблица1[[#This Row],[сумма]]*Таблица1[[#This Row],[коэф]])),
IF((G226="4/8"),((база!$J$5*Таблица1[[#This Row],[сумма]]*Таблица1[[#This Row],[коэф]])),
IF(OR(G226="3/8",G226="2/8"),((база!$J$4*Таблица1[[#This Row],[сумма]]*Таблица1[[#This Row],[коэф]])))))))))))))),
(IF((G226="5/24"),((база!$M$6*Таблица1[[#This Row],[сумма]]*Таблица1[[#This Row],[коэф]])),
IF(OR(G226="4/24",G226="3/24"),((база!$M$5*Таблица1[[#This Row],[сумма]]*Таблица1[[#This Row],[коэф]])),
IF((G226="5/16"),((база!$L$6*Таблица1[[#This Row],[сумма]]*Таблица1[[#This Row],[коэф]])),
IF(OR(G226="4/16",G226="3/16"),((база!$L$5*Таблица1[[#This Row],[сумма]]*Таблица1[[#This Row],[коэф]])),
IF(OR(G226="2/4",G226="3/4",G226="4/4"),((база!$I$5*Таблица1[[#This Row],[сумма]]*Таблица1[[#This Row],[коэф]])),
IF((G226="5/8"),((база!$J$6*Таблица1[[#This Row],[сумма]]*Таблица1[[#This Row],[коэф]])),
IF(OR(G226="4/8",G226="3/8",G226="2/8"),((база!$J$5*Таблица1[[#This Row],[сумма]]*Таблица1[[#This Row],[коэф]])))))))))))</f>
        <v>0</v>
      </c>
      <c r="AP226" s="730" t="b">
        <f>IF(AR226&lt;=3,(IF((G226="5/24"),((база!$M$6*2*Таблица1[[#This Row],[Столбец1]]*Таблица1[[#This Row],[коэф]])),
IF((G226="4/24"),((база!$M$5*2*Таблица1[[#This Row],[Столбец1]]*Таблица1[[#This Row],[коэф]])),
IF((G226="3/24"),((база!$M$4*2*Таблица1[[#This Row],[Столбец1]]*Таблица1[[#This Row],[коэф]])),
IF((G226="5/16"),((база!$L$6*2*Таблица1[[#This Row],[Столбец1]]*Таблица1[[#This Row],[коэф]])),
IF((G226="4/16"),((база!$L$5*2*Таблица1[[#This Row],[Столбец1]]*Таблица1[[#This Row],[коэф]])),
IF((G226="3/16"),((база!$L$4*2*Таблица1[[#This Row],[Столбец1]]*Таблица1[[#This Row],[коэф]])),
IF((G226="4/4"),((база!$I$5*2*Таблица1[[#This Row],[Столбец1]]*Таблица1[[#This Row],[коэф]])),
IF(OR(G226="2/4",G226="3/4"),((база!$I$4*2*Таблица1[[#This Row],[Столбец1]]*Таблица1[[#This Row],[коэф]])),
IF((G226="5/8"),((база!$J$6*2*Таблица1[[#This Row],[Столбец1]]*Таблица1[[#This Row],[коэф]])),
IF((G226="4/8"),((база!$J$5*2*Таблица1[[#This Row],[Столбец1]]*Таблица1[[#This Row],[коэф]])),
IF(OR(G226="3/8",G226="2/8"),((база!$J$4*2*Таблица1[[#This Row],[Столбец1]]*Таблица1[[#This Row],[коэф]])))))))))))))),
(IF((G226="5/24"),((база!$M$6*2*Таблица1[[#This Row],[Столбец1]]*Таблица1[[#This Row],[коэф]])),
IF(OR(G226="4/24",G226="3/24"),((база!$M$5*2*Таблица1[[#This Row],[Столбец1]]*Таблица1[[#This Row],[коэф]])),
IF((G226="5/16"),((база!$L$6*2*Таблица1[[#This Row],[Столбец1]]*Таблица1[[#This Row],[коэф]])),
IF(OR(G226="4/16",G226="3/16"),((база!$L$5*2*Таблица1[[#This Row],[Столбец1]]*Таблица1[[#This Row],[коэф]])),
IF(OR(G226="2/4",G226="3/4",G226="4/4"),((база!$I$5*2*Таблица1[[#This Row],[Столбец1]]*Таблица1[[#This Row],[коэф]])),
IF((G226="5/8"),((база!$J$6*2*Таблица1[[#This Row],[Столбец1]]*Таблица1[[#This Row],[коэф]])),
IF(OR(G226="4/8",G226="3/8",G226="2/8"),((база!$J$5*2*Таблица1[[#This Row],[Столбец1]]*Таблица1[[#This Row],[коэф]])))))))))))</f>
        <v>0</v>
      </c>
      <c r="AQ226" s="712" t="str">
        <f>IFERROR(INDEX(база!T:T, MATCH(F226,база!Q:Q,0)),"")</f>
        <v/>
      </c>
      <c r="AR226" s="208" t="str">
        <f>IFERROR(INDEX(база!D:D, MATCH(F226,база!B:B,0)),"")</f>
        <v/>
      </c>
      <c r="AS226" s="758" t="str">
        <f>IFERROR(INDEX(база!E:E, MATCH(F226,база!B:B,0)),"")</f>
        <v/>
      </c>
    </row>
    <row r="227" spans="1:45" ht="15">
      <c r="A227" s="66" t="str">
        <f t="shared" si="4"/>
        <v>январь</v>
      </c>
      <c r="B227" s="231">
        <v>2024</v>
      </c>
      <c r="C227" s="60"/>
      <c r="D227" s="61"/>
      <c r="E227" s="211"/>
      <c r="F227" s="679"/>
      <c r="G227" s="47"/>
      <c r="H227" s="563"/>
      <c r="I227" s="563"/>
      <c r="J227" s="563"/>
      <c r="K227" s="563"/>
      <c r="L227" s="563"/>
      <c r="M227" s="563"/>
      <c r="N227" s="563"/>
      <c r="O227" s="563"/>
      <c r="P227" s="300"/>
      <c r="Q227" s="563"/>
      <c r="R227" s="563"/>
      <c r="S227" s="563"/>
      <c r="T227" s="563"/>
      <c r="U227" s="563"/>
      <c r="V227" s="563"/>
      <c r="W227" s="563"/>
      <c r="X227" s="563"/>
      <c r="Y227" s="563"/>
      <c r="Z227" s="563"/>
      <c r="AA227" s="563"/>
      <c r="AB227" s="563"/>
      <c r="AC227" s="563"/>
      <c r="AD227" s="48"/>
      <c r="AE227" s="48"/>
      <c r="AF227" s="258"/>
      <c r="AG227" s="48"/>
      <c r="AH227" s="48"/>
      <c r="AI227" s="48"/>
      <c r="AJ227" s="48"/>
      <c r="AK227" s="48"/>
      <c r="AL227" s="51"/>
      <c r="AM227" s="212">
        <f>IF(AQ227=1,SUM(Q227:T227,W227:Z227,AC227:AF227,AI227:AL227),
IF(AQ227=2,SUM(P227,S227:V227,Y227:AB227,AE227:AH227,AK227:AL227),
IF(AQ227=3,SUM(P227:R227,U227:X227,AA227:AD227,AG227:AJ227),SUM(Таблица1[[#This Row],[1]:[31]])-Таблица1[[#This Row],[Столбец1]])))</f>
        <v>0</v>
      </c>
      <c r="AN227" s="778">
        <f t="array" ref="AN227">IF(AQ227=1,SUM(P227,U227:V227,AA227:AB227,AG227:AH227),
IF(AQ227=2,SUM(Q227:R227,W227:X227,AC227:AD227,AI227:AJ227),
IF(AQ227=3,SUM(S227:T227,Y227:Z227,AE227:AF227,AK227:AL227),
SUM(IFERROR(WEEKDAY($H$2:$AL$2,2)&gt;5,)*H227:AL227))))+Таблица1[[#This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27" s="292" t="b">
        <f>IF(AR227&lt;=3,(IF((G227="5/24"),((база!$M$6*Таблица1[[#This Row],[сумма]]*Таблица1[[#This Row],[коэф]])),
IF((G227="4/24"),((база!$M$5*Таблица1[[#This Row],[сумма]]*Таблица1[[#This Row],[коэф]])),
IF((G227="3/24"),((база!$M$4*Таблица1[[#This Row],[сумма]]*Таблица1[[#This Row],[коэф]])),
IF((G227="5/16"),((база!$L$6*Таблица1[[#This Row],[сумма]]*Таблица1[[#This Row],[коэф]])),
IF((G227="4/16"),((база!$L$5*Таблица1[[#This Row],[сумма]]*Таблица1[[#This Row],[коэф]])),
IF((G227="3/16"),((база!$L$4*Таблица1[[#This Row],[сумма]]*Таблица1[[#This Row],[коэф]])),
IF((G227="4/4"),((база!$I$5*Таблица1[[#This Row],[сумма]]*Таблица1[[#This Row],[коэф]])),
IF(OR(G227="2/4",G227="3/4"),((база!$I$4*Таблица1[[#This Row],[сумма]]*Таблица1[[#This Row],[коэф]])),
IF((G227="5/8"),((база!$J$6*Таблица1[[#This Row],[сумма]]*Таблица1[[#This Row],[коэф]])),
IF((G227="4/8"),((база!$J$5*Таблица1[[#This Row],[сумма]]*Таблица1[[#This Row],[коэф]])),
IF(OR(G227="3/8",G227="2/8"),((база!$J$4*Таблица1[[#This Row],[сумма]]*Таблица1[[#This Row],[коэф]])))))))))))))),
(IF((G227="5/24"),((база!$M$6*Таблица1[[#This Row],[сумма]]*Таблица1[[#This Row],[коэф]])),
IF(OR(G227="4/24",G227="3/24"),((база!$M$5*Таблица1[[#This Row],[сумма]]*Таблица1[[#This Row],[коэф]])),
IF((G227="5/16"),((база!$L$6*Таблица1[[#This Row],[сумма]]*Таблица1[[#This Row],[коэф]])),
IF(OR(G227="4/16",G227="3/16"),((база!$L$5*Таблица1[[#This Row],[сумма]]*Таблица1[[#This Row],[коэф]])),
IF(OR(G227="2/4",G227="3/4",G227="4/4"),((база!$I$5*Таблица1[[#This Row],[сумма]]*Таблица1[[#This Row],[коэф]])),
IF((G227="5/8"),((база!$J$6*Таблица1[[#This Row],[сумма]]*Таблица1[[#This Row],[коэф]])),
IF(OR(G227="4/8",G227="3/8",G227="2/8"),((база!$J$5*Таблица1[[#This Row],[сумма]]*Таблица1[[#This Row],[коэф]])))))))))))</f>
        <v>0</v>
      </c>
      <c r="AP227" s="730" t="b">
        <f>IF(AR227&lt;=3,(IF((G227="5/24"),((база!$M$6*2*Таблица1[[#This Row],[Столбец1]]*Таблица1[[#This Row],[коэф]])),
IF((G227="4/24"),((база!$M$5*2*Таблица1[[#This Row],[Столбец1]]*Таблица1[[#This Row],[коэф]])),
IF((G227="3/24"),((база!$M$4*2*Таблица1[[#This Row],[Столбец1]]*Таблица1[[#This Row],[коэф]])),
IF((G227="5/16"),((база!$L$6*2*Таблица1[[#This Row],[Столбец1]]*Таблица1[[#This Row],[коэф]])),
IF((G227="4/16"),((база!$L$5*2*Таблица1[[#This Row],[Столбец1]]*Таблица1[[#This Row],[коэф]])),
IF((G227="3/16"),((база!$L$4*2*Таблица1[[#This Row],[Столбец1]]*Таблица1[[#This Row],[коэф]])),
IF((G227="4/4"),((база!$I$5*2*Таблица1[[#This Row],[Столбец1]]*Таблица1[[#This Row],[коэф]])),
IF(OR(G227="2/4",G227="3/4"),((база!$I$4*2*Таблица1[[#This Row],[Столбец1]]*Таблица1[[#This Row],[коэф]])),
IF((G227="5/8"),((база!$J$6*2*Таблица1[[#This Row],[Столбец1]]*Таблица1[[#This Row],[коэф]])),
IF((G227="4/8"),((база!$J$5*2*Таблица1[[#This Row],[Столбец1]]*Таблица1[[#This Row],[коэф]])),
IF(OR(G227="3/8",G227="2/8"),((база!$J$4*2*Таблица1[[#This Row],[Столбец1]]*Таблица1[[#This Row],[коэф]])))))))))))))),
(IF((G227="5/24"),((база!$M$6*2*Таблица1[[#This Row],[Столбец1]]*Таблица1[[#This Row],[коэф]])),
IF(OR(G227="4/24",G227="3/24"),((база!$M$5*2*Таблица1[[#This Row],[Столбец1]]*Таблица1[[#This Row],[коэф]])),
IF((G227="5/16"),((база!$L$6*2*Таблица1[[#This Row],[Столбец1]]*Таблица1[[#This Row],[коэф]])),
IF(OR(G227="4/16",G227="3/16"),((база!$L$5*2*Таблица1[[#This Row],[Столбец1]]*Таблица1[[#This Row],[коэф]])),
IF(OR(G227="2/4",G227="3/4",G227="4/4"),((база!$I$5*2*Таблица1[[#This Row],[Столбец1]]*Таблица1[[#This Row],[коэф]])),
IF((G227="5/8"),((база!$J$6*2*Таблица1[[#This Row],[Столбец1]]*Таблица1[[#This Row],[коэф]])),
IF(OR(G227="4/8",G227="3/8",G227="2/8"),((база!$J$5*2*Таблица1[[#This Row],[Столбец1]]*Таблица1[[#This Row],[коэф]])))))))))))</f>
        <v>0</v>
      </c>
      <c r="AQ227" s="712" t="str">
        <f>IFERROR(INDEX(база!T:T, MATCH(F227,база!Q:Q,0)),"")</f>
        <v/>
      </c>
      <c r="AR227" s="208" t="str">
        <f>IFERROR(INDEX(база!D:D, MATCH(F227,база!B:B,0)),"")</f>
        <v/>
      </c>
      <c r="AS227" s="758" t="str">
        <f>IFERROR(INDEX(база!E:E, MATCH(F227,база!B:B,0)),"")</f>
        <v/>
      </c>
    </row>
    <row r="228" spans="1:45" ht="15">
      <c r="A228" s="66" t="str">
        <f t="shared" si="4"/>
        <v>январь</v>
      </c>
      <c r="B228" s="231">
        <v>2024</v>
      </c>
      <c r="C228" s="60"/>
      <c r="D228" s="61"/>
      <c r="E228" s="211"/>
      <c r="F228" s="679"/>
      <c r="G228" s="47"/>
      <c r="H228" s="563"/>
      <c r="I228" s="563"/>
      <c r="J228" s="563"/>
      <c r="K228" s="563"/>
      <c r="L228" s="563"/>
      <c r="M228" s="563"/>
      <c r="N228" s="563"/>
      <c r="O228" s="563"/>
      <c r="P228" s="300"/>
      <c r="Q228" s="563"/>
      <c r="R228" s="563"/>
      <c r="S228" s="563"/>
      <c r="T228" s="563"/>
      <c r="U228" s="563"/>
      <c r="V228" s="563"/>
      <c r="W228" s="563"/>
      <c r="X228" s="563"/>
      <c r="Y228" s="563"/>
      <c r="Z228" s="563"/>
      <c r="AA228" s="563"/>
      <c r="AB228" s="563"/>
      <c r="AC228" s="563"/>
      <c r="AD228" s="258"/>
      <c r="AE228" s="258"/>
      <c r="AF228" s="258"/>
      <c r="AG228" s="48"/>
      <c r="AH228" s="48"/>
      <c r="AI228" s="48"/>
      <c r="AJ228" s="48"/>
      <c r="AK228" s="48"/>
      <c r="AL228" s="51"/>
      <c r="AM228" s="212">
        <f>IF(AQ228=1,SUM(Q228:T228,W228:Z228,AC228:AF228,AI228:AL228),
IF(AQ228=2,SUM(P228,S228:V228,Y228:AB228,AE228:AH228,AK228:AL228),
IF(AQ228=3,SUM(P228:R228,U228:X228,AA228:AD228,AG228:AJ228),SUM(Таблица1[[#This Row],[1]:[31]])-Таблица1[[#This Row],[Столбец1]])))</f>
        <v>0</v>
      </c>
      <c r="AN228" s="778">
        <f t="array" ref="AN228">IF(AQ228=1,SUM(P228,U228:V228,AA228:AB228,AG228:AH228),
IF(AQ228=2,SUM(Q228:R228,W228:X228,AC228:AD228,AI228:AJ228),
IF(AQ228=3,SUM(S228:T228,Y228:Z228,AE228:AF228,AK228:AL228),
SUM(IFERROR(WEEKDAY($H$2:$AL$2,2)&gt;5,)*H228:AL228))))+Таблица1[[#This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28" s="292" t="b">
        <f>IF(AR228&lt;=3,(IF((G228="5/24"),((база!$M$6*Таблица1[[#This Row],[сумма]]*Таблица1[[#This Row],[коэф]])),
IF((G228="4/24"),((база!$M$5*Таблица1[[#This Row],[сумма]]*Таблица1[[#This Row],[коэф]])),
IF((G228="3/24"),((база!$M$4*Таблица1[[#This Row],[сумма]]*Таблица1[[#This Row],[коэф]])),
IF((G228="5/16"),((база!$L$6*Таблица1[[#This Row],[сумма]]*Таблица1[[#This Row],[коэф]])),
IF((G228="4/16"),((база!$L$5*Таблица1[[#This Row],[сумма]]*Таблица1[[#This Row],[коэф]])),
IF((G228="3/16"),((база!$L$4*Таблица1[[#This Row],[сумма]]*Таблица1[[#This Row],[коэф]])),
IF((G228="4/4"),((база!$I$5*Таблица1[[#This Row],[сумма]]*Таблица1[[#This Row],[коэф]])),
IF(OR(G228="2/4",G228="3/4"),((база!$I$4*Таблица1[[#This Row],[сумма]]*Таблица1[[#This Row],[коэф]])),
IF((G228="5/8"),((база!$J$6*Таблица1[[#This Row],[сумма]]*Таблица1[[#This Row],[коэф]])),
IF((G228="4/8"),((база!$J$5*Таблица1[[#This Row],[сумма]]*Таблица1[[#This Row],[коэф]])),
IF(OR(G228="3/8",G228="2/8"),((база!$J$4*Таблица1[[#This Row],[сумма]]*Таблица1[[#This Row],[коэф]])))))))))))))),
(IF((G228="5/24"),((база!$M$6*Таблица1[[#This Row],[сумма]]*Таблица1[[#This Row],[коэф]])),
IF(OR(G228="4/24",G228="3/24"),((база!$M$5*Таблица1[[#This Row],[сумма]]*Таблица1[[#This Row],[коэф]])),
IF((G228="5/16"),((база!$L$6*Таблица1[[#This Row],[сумма]]*Таблица1[[#This Row],[коэф]])),
IF(OR(G228="4/16",G228="3/16"),((база!$L$5*Таблица1[[#This Row],[сумма]]*Таблица1[[#This Row],[коэф]])),
IF(OR(G228="2/4",G228="3/4",G228="4/4"),((база!$I$5*Таблица1[[#This Row],[сумма]]*Таблица1[[#This Row],[коэф]])),
IF((G228="5/8"),((база!$J$6*Таблица1[[#This Row],[сумма]]*Таблица1[[#This Row],[коэф]])),
IF(OR(G228="4/8",G228="3/8",G228="2/8"),((база!$J$5*Таблица1[[#This Row],[сумма]]*Таблица1[[#This Row],[коэф]])))))))))))</f>
        <v>0</v>
      </c>
      <c r="AP228" s="730" t="b">
        <f>IF(AR228&lt;=3,(IF((G228="5/24"),((база!$M$6*2*Таблица1[[#This Row],[Столбец1]]*Таблица1[[#This Row],[коэф]])),
IF((G228="4/24"),((база!$M$5*2*Таблица1[[#This Row],[Столбец1]]*Таблица1[[#This Row],[коэф]])),
IF((G228="3/24"),((база!$M$4*2*Таблица1[[#This Row],[Столбец1]]*Таблица1[[#This Row],[коэф]])),
IF((G228="5/16"),((база!$L$6*2*Таблица1[[#This Row],[Столбец1]]*Таблица1[[#This Row],[коэф]])),
IF((G228="4/16"),((база!$L$5*2*Таблица1[[#This Row],[Столбец1]]*Таблица1[[#This Row],[коэф]])),
IF((G228="3/16"),((база!$L$4*2*Таблица1[[#This Row],[Столбец1]]*Таблица1[[#This Row],[коэф]])),
IF((G228="4/4"),((база!$I$5*2*Таблица1[[#This Row],[Столбец1]]*Таблица1[[#This Row],[коэф]])),
IF(OR(G228="2/4",G228="3/4"),((база!$I$4*2*Таблица1[[#This Row],[Столбец1]]*Таблица1[[#This Row],[коэф]])),
IF((G228="5/8"),((база!$J$6*2*Таблица1[[#This Row],[Столбец1]]*Таблица1[[#This Row],[коэф]])),
IF((G228="4/8"),((база!$J$5*2*Таблица1[[#This Row],[Столбец1]]*Таблица1[[#This Row],[коэф]])),
IF(OR(G228="3/8",G228="2/8"),((база!$J$4*2*Таблица1[[#This Row],[Столбец1]]*Таблица1[[#This Row],[коэф]])))))))))))))),
(IF((G228="5/24"),((база!$M$6*2*Таблица1[[#This Row],[Столбец1]]*Таблица1[[#This Row],[коэф]])),
IF(OR(G228="4/24",G228="3/24"),((база!$M$5*2*Таблица1[[#This Row],[Столбец1]]*Таблица1[[#This Row],[коэф]])),
IF((G228="5/16"),((база!$L$6*2*Таблица1[[#This Row],[Столбец1]]*Таблица1[[#This Row],[коэф]])),
IF(OR(G228="4/16",G228="3/16"),((база!$L$5*2*Таблица1[[#This Row],[Столбец1]]*Таблица1[[#This Row],[коэф]])),
IF(OR(G228="2/4",G228="3/4",G228="4/4"),((база!$I$5*2*Таблица1[[#This Row],[Столбец1]]*Таблица1[[#This Row],[коэф]])),
IF((G228="5/8"),((база!$J$6*2*Таблица1[[#This Row],[Столбец1]]*Таблица1[[#This Row],[коэф]])),
IF(OR(G228="4/8",G228="3/8",G228="2/8"),((база!$J$5*2*Таблица1[[#This Row],[Столбец1]]*Таблица1[[#This Row],[коэф]])))))))))))</f>
        <v>0</v>
      </c>
      <c r="AQ228" s="712" t="str">
        <f>IFERROR(INDEX(база!T:T, MATCH(F228,база!Q:Q,0)),"")</f>
        <v/>
      </c>
      <c r="AR228" s="208" t="str">
        <f>IFERROR(INDEX(база!D:D, MATCH(F228,база!B:B,0)),"")</f>
        <v/>
      </c>
      <c r="AS228" s="758" t="str">
        <f>IFERROR(INDEX(база!E:E, MATCH(F228,база!B:B,0)),"")</f>
        <v/>
      </c>
    </row>
    <row r="229" spans="1:45" ht="15">
      <c r="A229" s="66" t="str">
        <f t="shared" si="4"/>
        <v>январь</v>
      </c>
      <c r="B229" s="231">
        <v>2024</v>
      </c>
      <c r="C229" s="299"/>
      <c r="D229" s="61"/>
      <c r="E229" s="211"/>
      <c r="F229" s="679"/>
      <c r="G229" s="47"/>
      <c r="H229" s="563"/>
      <c r="I229" s="563"/>
      <c r="J229" s="563"/>
      <c r="K229" s="563"/>
      <c r="L229" s="563"/>
      <c r="M229" s="563"/>
      <c r="N229" s="563"/>
      <c r="O229" s="563"/>
      <c r="P229" s="300"/>
      <c r="Q229" s="563"/>
      <c r="R229" s="563"/>
      <c r="S229" s="563"/>
      <c r="T229" s="563"/>
      <c r="U229" s="563"/>
      <c r="V229" s="563"/>
      <c r="W229" s="563"/>
      <c r="X229" s="563"/>
      <c r="Y229" s="563"/>
      <c r="Z229" s="563"/>
      <c r="AA229" s="563"/>
      <c r="AB229" s="563"/>
      <c r="AC229" s="563"/>
      <c r="AD229" s="48"/>
      <c r="AE229" s="48"/>
      <c r="AF229" s="258"/>
      <c r="AG229" s="48"/>
      <c r="AH229" s="48"/>
      <c r="AI229" s="258"/>
      <c r="AJ229" s="258"/>
      <c r="AK229" s="258"/>
      <c r="AL229" s="258"/>
      <c r="AM229" s="212">
        <f>IF(AQ229=1,SUM(Q229:T229,W229:Z229,AC229:AF229,AI229:AL229),
IF(AQ229=2,SUM(P229,S229:V229,Y229:AB229,AE229:AH229,AK229:AL229),
IF(AQ229=3,SUM(P229:R229,U229:X229,AA229:AD229,AG229:AJ229),SUM(Таблица1[[#This Row],[1]:[31]])-Таблица1[[#This Row],[Столбец1]])))</f>
        <v>0</v>
      </c>
      <c r="AN229" s="778">
        <f t="array" ref="AN229">IF(AQ229=1,SUM(P229,U229:V229,AA229:AB229,AG229:AH229),
IF(AQ229=2,SUM(Q229:R229,W229:X229,AC229:AD229,AI229:AJ229),
IF(AQ229=3,SUM(S229:T229,Y229:Z229,AE229:AF229,AK229:AL229),
SUM(IFERROR(WEEKDAY($H$2:$AL$2,2)&gt;5,)*H229:AL229))))+Таблица1[[#This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29" s="292" t="b">
        <f>IF(AR229&lt;=3,(IF((G229="5/24"),((база!$M$6*Таблица1[[#This Row],[сумма]]*Таблица1[[#This Row],[коэф]])),
IF((G229="4/24"),((база!$M$5*Таблица1[[#This Row],[сумма]]*Таблица1[[#This Row],[коэф]])),
IF((G229="3/24"),((база!$M$4*Таблица1[[#This Row],[сумма]]*Таблица1[[#This Row],[коэф]])),
IF((G229="5/16"),((база!$L$6*Таблица1[[#This Row],[сумма]]*Таблица1[[#This Row],[коэф]])),
IF((G229="4/16"),((база!$L$5*Таблица1[[#This Row],[сумма]]*Таблица1[[#This Row],[коэф]])),
IF((G229="3/16"),((база!$L$4*Таблица1[[#This Row],[сумма]]*Таблица1[[#This Row],[коэф]])),
IF((G229="4/4"),((база!$I$5*Таблица1[[#This Row],[сумма]]*Таблица1[[#This Row],[коэф]])),
IF(OR(G229="2/4",G229="3/4"),((база!$I$4*Таблица1[[#This Row],[сумма]]*Таблица1[[#This Row],[коэф]])),
IF((G229="5/8"),((база!$J$6*Таблица1[[#This Row],[сумма]]*Таблица1[[#This Row],[коэф]])),
IF((G229="4/8"),((база!$J$5*Таблица1[[#This Row],[сумма]]*Таблица1[[#This Row],[коэф]])),
IF(OR(G229="3/8",G229="2/8"),((база!$J$4*Таблица1[[#This Row],[сумма]]*Таблица1[[#This Row],[коэф]])))))))))))))),
(IF((G229="5/24"),((база!$M$6*Таблица1[[#This Row],[сумма]]*Таблица1[[#This Row],[коэф]])),
IF(OR(G229="4/24",G229="3/24"),((база!$M$5*Таблица1[[#This Row],[сумма]]*Таблица1[[#This Row],[коэф]])),
IF((G229="5/16"),((база!$L$6*Таблица1[[#This Row],[сумма]]*Таблица1[[#This Row],[коэф]])),
IF(OR(G229="4/16",G229="3/16"),((база!$L$5*Таблица1[[#This Row],[сумма]]*Таблица1[[#This Row],[коэф]])),
IF(OR(G229="2/4",G229="3/4",G229="4/4"),((база!$I$5*Таблица1[[#This Row],[сумма]]*Таблица1[[#This Row],[коэф]])),
IF((G229="5/8"),((база!$J$6*Таблица1[[#This Row],[сумма]]*Таблица1[[#This Row],[коэф]])),
IF(OR(G229="4/8",G229="3/8",G229="2/8"),((база!$J$5*Таблица1[[#This Row],[сумма]]*Таблица1[[#This Row],[коэф]])))))))))))</f>
        <v>0</v>
      </c>
      <c r="AP229" s="730" t="b">
        <f>IF(AR229&lt;=3,(IF((G229="5/24"),((база!$M$6*2*Таблица1[[#This Row],[Столбец1]]*Таблица1[[#This Row],[коэф]])),
IF((G229="4/24"),((база!$M$5*2*Таблица1[[#This Row],[Столбец1]]*Таблица1[[#This Row],[коэф]])),
IF((G229="3/24"),((база!$M$4*2*Таблица1[[#This Row],[Столбец1]]*Таблица1[[#This Row],[коэф]])),
IF((G229="5/16"),((база!$L$6*2*Таблица1[[#This Row],[Столбец1]]*Таблица1[[#This Row],[коэф]])),
IF((G229="4/16"),((база!$L$5*2*Таблица1[[#This Row],[Столбец1]]*Таблица1[[#This Row],[коэф]])),
IF((G229="3/16"),((база!$L$4*2*Таблица1[[#This Row],[Столбец1]]*Таблица1[[#This Row],[коэф]])),
IF((G229="4/4"),((база!$I$5*2*Таблица1[[#This Row],[Столбец1]]*Таблица1[[#This Row],[коэф]])),
IF(OR(G229="2/4",G229="3/4"),((база!$I$4*2*Таблица1[[#This Row],[Столбец1]]*Таблица1[[#This Row],[коэф]])),
IF((G229="5/8"),((база!$J$6*2*Таблица1[[#This Row],[Столбец1]]*Таблица1[[#This Row],[коэф]])),
IF((G229="4/8"),((база!$J$5*2*Таблица1[[#This Row],[Столбец1]]*Таблица1[[#This Row],[коэф]])),
IF(OR(G229="3/8",G229="2/8"),((база!$J$4*2*Таблица1[[#This Row],[Столбец1]]*Таблица1[[#This Row],[коэф]])))))))))))))),
(IF((G229="5/24"),((база!$M$6*2*Таблица1[[#This Row],[Столбец1]]*Таблица1[[#This Row],[коэф]])),
IF(OR(G229="4/24",G229="3/24"),((база!$M$5*2*Таблица1[[#This Row],[Столбец1]]*Таблица1[[#This Row],[коэф]])),
IF((G229="5/16"),((база!$L$6*2*Таблица1[[#This Row],[Столбец1]]*Таблица1[[#This Row],[коэф]])),
IF(OR(G229="4/16",G229="3/16"),((база!$L$5*2*Таблица1[[#This Row],[Столбец1]]*Таблица1[[#This Row],[коэф]])),
IF(OR(G229="2/4",G229="3/4",G229="4/4"),((база!$I$5*2*Таблица1[[#This Row],[Столбец1]]*Таблица1[[#This Row],[коэф]])),
IF((G229="5/8"),((база!$J$6*2*Таблица1[[#This Row],[Столбец1]]*Таблица1[[#This Row],[коэф]])),
IF(OR(G229="4/8",G229="3/8",G229="2/8"),((база!$J$5*2*Таблица1[[#This Row],[Столбец1]]*Таблица1[[#This Row],[коэф]])))))))))))</f>
        <v>0</v>
      </c>
      <c r="AQ229" s="712" t="str">
        <f>IFERROR(INDEX(база!T:T, MATCH(F229,база!Q:Q,0)),"")</f>
        <v/>
      </c>
      <c r="AR229" s="208" t="str">
        <f>IFERROR(INDEX(база!D:D, MATCH(F229,база!B:B,0)),"")</f>
        <v/>
      </c>
      <c r="AS229" s="758" t="str">
        <f>IFERROR(INDEX(база!E:E, MATCH(F229,база!B:B,0)),"")</f>
        <v/>
      </c>
    </row>
    <row r="230" spans="1:45" ht="15">
      <c r="A230" s="66" t="str">
        <f t="shared" si="4"/>
        <v>январь</v>
      </c>
      <c r="B230" s="231">
        <v>2024</v>
      </c>
      <c r="C230" s="60"/>
      <c r="D230" s="61"/>
      <c r="E230" s="211"/>
      <c r="F230" s="679"/>
      <c r="G230" s="47"/>
      <c r="H230" s="563"/>
      <c r="I230" s="563"/>
      <c r="J230" s="563"/>
      <c r="K230" s="563"/>
      <c r="L230" s="563"/>
      <c r="M230" s="563"/>
      <c r="N230" s="563"/>
      <c r="O230" s="563"/>
      <c r="P230" s="300"/>
      <c r="Q230" s="563"/>
      <c r="R230" s="563"/>
      <c r="S230" s="563"/>
      <c r="T230" s="563"/>
      <c r="U230" s="563"/>
      <c r="V230" s="563"/>
      <c r="W230" s="563"/>
      <c r="X230" s="563"/>
      <c r="Y230" s="563"/>
      <c r="Z230" s="563"/>
      <c r="AA230" s="563"/>
      <c r="AB230" s="563"/>
      <c r="AC230" s="563"/>
      <c r="AD230" s="48"/>
      <c r="AE230" s="48"/>
      <c r="AF230" s="258"/>
      <c r="AG230" s="48"/>
      <c r="AH230" s="48"/>
      <c r="AI230" s="48"/>
      <c r="AJ230" s="48"/>
      <c r="AK230" s="48"/>
      <c r="AL230" s="51"/>
      <c r="AM230" s="212">
        <f>IF(AQ230=1,SUM(Q230:T230,W230:Z230,AC230:AF230,AI230:AL230),
IF(AQ230=2,SUM(P230,S230:V230,Y230:AB230,AE230:AH230,AK230:AL230),
IF(AQ230=3,SUM(P230:R230,U230:X230,AA230:AD230,AG230:AJ230),SUM(Таблица1[[#This Row],[1]:[31]])-Таблица1[[#This Row],[Столбец1]])))</f>
        <v>0</v>
      </c>
      <c r="AN230" s="778">
        <f t="array" ref="AN230">IF(AQ230=1,SUM(P230,U230:V230,AA230:AB230,AG230:AH230),
IF(AQ230=2,SUM(Q230:R230,W230:X230,AC230:AD230,AI230:AJ230),
IF(AQ230=3,SUM(S230:T230,Y230:Z230,AE230:AF230,AK230:AL230),
SUM(IFERROR(WEEKDAY($H$2:$AL$2,2)&gt;5,)*H230:AL230))))+Таблица1[[#This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30" s="292" t="b">
        <f>IF(AR230&lt;=3,(IF((G230="5/24"),((база!$M$6*Таблица1[[#This Row],[сумма]]*Таблица1[[#This Row],[коэф]])),
IF((G230="4/24"),((база!$M$5*Таблица1[[#This Row],[сумма]]*Таблица1[[#This Row],[коэф]])),
IF((G230="3/24"),((база!$M$4*Таблица1[[#This Row],[сумма]]*Таблица1[[#This Row],[коэф]])),
IF((G230="5/16"),((база!$L$6*Таблица1[[#This Row],[сумма]]*Таблица1[[#This Row],[коэф]])),
IF((G230="4/16"),((база!$L$5*Таблица1[[#This Row],[сумма]]*Таблица1[[#This Row],[коэф]])),
IF((G230="3/16"),((база!$L$4*Таблица1[[#This Row],[сумма]]*Таблица1[[#This Row],[коэф]])),
IF((G230="4/4"),((база!$I$5*Таблица1[[#This Row],[сумма]]*Таблица1[[#This Row],[коэф]])),
IF(OR(G230="2/4",G230="3/4"),((база!$I$4*Таблица1[[#This Row],[сумма]]*Таблица1[[#This Row],[коэф]])),
IF((G230="5/8"),((база!$J$6*Таблица1[[#This Row],[сумма]]*Таблица1[[#This Row],[коэф]])),
IF((G230="4/8"),((база!$J$5*Таблица1[[#This Row],[сумма]]*Таблица1[[#This Row],[коэф]])),
IF(OR(G230="3/8",G230="2/8"),((база!$J$4*Таблица1[[#This Row],[сумма]]*Таблица1[[#This Row],[коэф]])))))))))))))),
(IF((G230="5/24"),((база!$M$6*Таблица1[[#This Row],[сумма]]*Таблица1[[#This Row],[коэф]])),
IF(OR(G230="4/24",G230="3/24"),((база!$M$5*Таблица1[[#This Row],[сумма]]*Таблица1[[#This Row],[коэф]])),
IF((G230="5/16"),((база!$L$6*Таблица1[[#This Row],[сумма]]*Таблица1[[#This Row],[коэф]])),
IF(OR(G230="4/16",G230="3/16"),((база!$L$5*Таблица1[[#This Row],[сумма]]*Таблица1[[#This Row],[коэф]])),
IF(OR(G230="2/4",G230="3/4",G230="4/4"),((база!$I$5*Таблица1[[#This Row],[сумма]]*Таблица1[[#This Row],[коэф]])),
IF((G230="5/8"),((база!$J$6*Таблица1[[#This Row],[сумма]]*Таблица1[[#This Row],[коэф]])),
IF(OR(G230="4/8",G230="3/8",G230="2/8"),((база!$J$5*Таблица1[[#This Row],[сумма]]*Таблица1[[#This Row],[коэф]])))))))))))</f>
        <v>0</v>
      </c>
      <c r="AP230" s="730" t="b">
        <f>IF(AR230&lt;=3,(IF((G230="5/24"),((база!$M$6*2*Таблица1[[#This Row],[Столбец1]]*Таблица1[[#This Row],[коэф]])),
IF((G230="4/24"),((база!$M$5*2*Таблица1[[#This Row],[Столбец1]]*Таблица1[[#This Row],[коэф]])),
IF((G230="3/24"),((база!$M$4*2*Таблица1[[#This Row],[Столбец1]]*Таблица1[[#This Row],[коэф]])),
IF((G230="5/16"),((база!$L$6*2*Таблица1[[#This Row],[Столбец1]]*Таблица1[[#This Row],[коэф]])),
IF((G230="4/16"),((база!$L$5*2*Таблица1[[#This Row],[Столбец1]]*Таблица1[[#This Row],[коэф]])),
IF((G230="3/16"),((база!$L$4*2*Таблица1[[#This Row],[Столбец1]]*Таблица1[[#This Row],[коэф]])),
IF((G230="4/4"),((база!$I$5*2*Таблица1[[#This Row],[Столбец1]]*Таблица1[[#This Row],[коэф]])),
IF(OR(G230="2/4",G230="3/4"),((база!$I$4*2*Таблица1[[#This Row],[Столбец1]]*Таблица1[[#This Row],[коэф]])),
IF((G230="5/8"),((база!$J$6*2*Таблица1[[#This Row],[Столбец1]]*Таблица1[[#This Row],[коэф]])),
IF((G230="4/8"),((база!$J$5*2*Таблица1[[#This Row],[Столбец1]]*Таблица1[[#This Row],[коэф]])),
IF(OR(G230="3/8",G230="2/8"),((база!$J$4*2*Таблица1[[#This Row],[Столбец1]]*Таблица1[[#This Row],[коэф]])))))))))))))),
(IF((G230="5/24"),((база!$M$6*2*Таблица1[[#This Row],[Столбец1]]*Таблица1[[#This Row],[коэф]])),
IF(OR(G230="4/24",G230="3/24"),((база!$M$5*2*Таблица1[[#This Row],[Столбец1]]*Таблица1[[#This Row],[коэф]])),
IF((G230="5/16"),((база!$L$6*2*Таблица1[[#This Row],[Столбец1]]*Таблица1[[#This Row],[коэф]])),
IF(OR(G230="4/16",G230="3/16"),((база!$L$5*2*Таблица1[[#This Row],[Столбец1]]*Таблица1[[#This Row],[коэф]])),
IF(OR(G230="2/4",G230="3/4",G230="4/4"),((база!$I$5*2*Таблица1[[#This Row],[Столбец1]]*Таблица1[[#This Row],[коэф]])),
IF((G230="5/8"),((база!$J$6*2*Таблица1[[#This Row],[Столбец1]]*Таблица1[[#This Row],[коэф]])),
IF(OR(G230="4/8",G230="3/8",G230="2/8"),((база!$J$5*2*Таблица1[[#This Row],[Столбец1]]*Таблица1[[#This Row],[коэф]])))))))))))</f>
        <v>0</v>
      </c>
      <c r="AQ230" s="712" t="str">
        <f>IFERROR(INDEX(база!T:T, MATCH(F230,база!Q:Q,0)),"")</f>
        <v/>
      </c>
      <c r="AR230" s="208" t="str">
        <f>IFERROR(INDEX(база!D:D, MATCH(F230,база!B:B,0)),"")</f>
        <v/>
      </c>
      <c r="AS230" s="758" t="str">
        <f>IFERROR(INDEX(база!E:E, MATCH(F230,база!B:B,0)),"")</f>
        <v/>
      </c>
    </row>
    <row r="231" spans="1:45" ht="15">
      <c r="A231" s="66" t="str">
        <f t="shared" si="4"/>
        <v>январь</v>
      </c>
      <c r="B231" s="231">
        <v>2024</v>
      </c>
      <c r="C231" s="299"/>
      <c r="D231" s="61"/>
      <c r="E231" s="211"/>
      <c r="F231" s="679"/>
      <c r="G231" s="47"/>
      <c r="H231" s="563"/>
      <c r="I231" s="563"/>
      <c r="J231" s="563"/>
      <c r="K231" s="563"/>
      <c r="L231" s="563"/>
      <c r="M231" s="563"/>
      <c r="N231" s="563"/>
      <c r="O231" s="563"/>
      <c r="P231" s="300"/>
      <c r="Q231" s="563"/>
      <c r="R231" s="563"/>
      <c r="S231" s="563"/>
      <c r="T231" s="563"/>
      <c r="U231" s="563"/>
      <c r="V231" s="563"/>
      <c r="W231" s="563"/>
      <c r="X231" s="563"/>
      <c r="Y231" s="563"/>
      <c r="Z231" s="563"/>
      <c r="AA231" s="563"/>
      <c r="AB231" s="563"/>
      <c r="AC231" s="563"/>
      <c r="AD231" s="48"/>
      <c r="AE231" s="48"/>
      <c r="AF231" s="258"/>
      <c r="AG231" s="48"/>
      <c r="AH231" s="48"/>
      <c r="AI231" s="258"/>
      <c r="AJ231" s="258"/>
      <c r="AK231" s="258"/>
      <c r="AL231" s="258"/>
      <c r="AM231" s="212">
        <f>IF(AQ231=1,SUM(Q231:T231,W231:Z231,AC231:AF231,AI231:AL231),
IF(AQ231=2,SUM(P231,S231:V231,Y231:AB231,AE231:AH231,AK231:AL231),
IF(AQ231=3,SUM(P231:R231,U231:X231,AA231:AD231,AG231:AJ231),SUM(Таблица1[[#This Row],[1]:[31]])-Таблица1[[#This Row],[Столбец1]])))</f>
        <v>0</v>
      </c>
      <c r="AN231" s="778">
        <f t="array" ref="AN231">IF(AQ231=1,SUM(P231,U231:V231,AA231:AB231,AG231:AH231),
IF(AQ231=2,SUM(Q231:R231,W231:X231,AC231:AD231,AI231:AJ231),
IF(AQ231=3,SUM(S231:T231,Y231:Z231,AE231:AF231,AK231:AL231),
SUM(IFERROR(WEEKDAY($H$2:$AL$2,2)&gt;5,)*H231:AL231))))+Таблица1[[#This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31" s="292" t="b">
        <f>IF(AR231&lt;=3,(IF((G231="5/24"),((база!$M$6*Таблица1[[#This Row],[сумма]]*Таблица1[[#This Row],[коэф]])),
IF((G231="4/24"),((база!$M$5*Таблица1[[#This Row],[сумма]]*Таблица1[[#This Row],[коэф]])),
IF((G231="3/24"),((база!$M$4*Таблица1[[#This Row],[сумма]]*Таблица1[[#This Row],[коэф]])),
IF((G231="5/16"),((база!$L$6*Таблица1[[#This Row],[сумма]]*Таблица1[[#This Row],[коэф]])),
IF((G231="4/16"),((база!$L$5*Таблица1[[#This Row],[сумма]]*Таблица1[[#This Row],[коэф]])),
IF((G231="3/16"),((база!$L$4*Таблица1[[#This Row],[сумма]]*Таблица1[[#This Row],[коэф]])),
IF((G231="4/4"),((база!$I$5*Таблица1[[#This Row],[сумма]]*Таблица1[[#This Row],[коэф]])),
IF(OR(G231="2/4",G231="3/4"),((база!$I$4*Таблица1[[#This Row],[сумма]]*Таблица1[[#This Row],[коэф]])),
IF((G231="5/8"),((база!$J$6*Таблица1[[#This Row],[сумма]]*Таблица1[[#This Row],[коэф]])),
IF((G231="4/8"),((база!$J$5*Таблица1[[#This Row],[сумма]]*Таблица1[[#This Row],[коэф]])),
IF(OR(G231="3/8",G231="2/8"),((база!$J$4*Таблица1[[#This Row],[сумма]]*Таблица1[[#This Row],[коэф]])))))))))))))),
(IF((G231="5/24"),((база!$M$6*Таблица1[[#This Row],[сумма]]*Таблица1[[#This Row],[коэф]])),
IF(OR(G231="4/24",G231="3/24"),((база!$M$5*Таблица1[[#This Row],[сумма]]*Таблица1[[#This Row],[коэф]])),
IF((G231="5/16"),((база!$L$6*Таблица1[[#This Row],[сумма]]*Таблица1[[#This Row],[коэф]])),
IF(OR(G231="4/16",G231="3/16"),((база!$L$5*Таблица1[[#This Row],[сумма]]*Таблица1[[#This Row],[коэф]])),
IF(OR(G231="2/4",G231="3/4",G231="4/4"),((база!$I$5*Таблица1[[#This Row],[сумма]]*Таблица1[[#This Row],[коэф]])),
IF((G231="5/8"),((база!$J$6*Таблица1[[#This Row],[сумма]]*Таблица1[[#This Row],[коэф]])),
IF(OR(G231="4/8",G231="3/8",G231="2/8"),((база!$J$5*Таблица1[[#This Row],[сумма]]*Таблица1[[#This Row],[коэф]])))))))))))</f>
        <v>0</v>
      </c>
      <c r="AP231" s="730" t="b">
        <f>IF(AR231&lt;=3,(IF((G231="5/24"),((база!$M$6*2*Таблица1[[#This Row],[Столбец1]]*Таблица1[[#This Row],[коэф]])),
IF((G231="4/24"),((база!$M$5*2*Таблица1[[#This Row],[Столбец1]]*Таблица1[[#This Row],[коэф]])),
IF((G231="3/24"),((база!$M$4*2*Таблица1[[#This Row],[Столбец1]]*Таблица1[[#This Row],[коэф]])),
IF((G231="5/16"),((база!$L$6*2*Таблица1[[#This Row],[Столбец1]]*Таблица1[[#This Row],[коэф]])),
IF((G231="4/16"),((база!$L$5*2*Таблица1[[#This Row],[Столбец1]]*Таблица1[[#This Row],[коэф]])),
IF((G231="3/16"),((база!$L$4*2*Таблица1[[#This Row],[Столбец1]]*Таблица1[[#This Row],[коэф]])),
IF((G231="4/4"),((база!$I$5*2*Таблица1[[#This Row],[Столбец1]]*Таблица1[[#This Row],[коэф]])),
IF(OR(G231="2/4",G231="3/4"),((база!$I$4*2*Таблица1[[#This Row],[Столбец1]]*Таблица1[[#This Row],[коэф]])),
IF((G231="5/8"),((база!$J$6*2*Таблица1[[#This Row],[Столбец1]]*Таблица1[[#This Row],[коэф]])),
IF((G231="4/8"),((база!$J$5*2*Таблица1[[#This Row],[Столбец1]]*Таблица1[[#This Row],[коэф]])),
IF(OR(G231="3/8",G231="2/8"),((база!$J$4*2*Таблица1[[#This Row],[Столбец1]]*Таблица1[[#This Row],[коэф]])))))))))))))),
(IF((G231="5/24"),((база!$M$6*2*Таблица1[[#This Row],[Столбец1]]*Таблица1[[#This Row],[коэф]])),
IF(OR(G231="4/24",G231="3/24"),((база!$M$5*2*Таблица1[[#This Row],[Столбец1]]*Таблица1[[#This Row],[коэф]])),
IF((G231="5/16"),((база!$L$6*2*Таблица1[[#This Row],[Столбец1]]*Таблица1[[#This Row],[коэф]])),
IF(OR(G231="4/16",G231="3/16"),((база!$L$5*2*Таблица1[[#This Row],[Столбец1]]*Таблица1[[#This Row],[коэф]])),
IF(OR(G231="2/4",G231="3/4",G231="4/4"),((база!$I$5*2*Таблица1[[#This Row],[Столбец1]]*Таблица1[[#This Row],[коэф]])),
IF((G231="5/8"),((база!$J$6*2*Таблица1[[#This Row],[Столбец1]]*Таблица1[[#This Row],[коэф]])),
IF(OR(G231="4/8",G231="3/8",G231="2/8"),((база!$J$5*2*Таблица1[[#This Row],[Столбец1]]*Таблица1[[#This Row],[коэф]])))))))))))</f>
        <v>0</v>
      </c>
      <c r="AQ231" s="712" t="str">
        <f>IFERROR(INDEX(база!T:T, MATCH(F231,база!Q:Q,0)),"")</f>
        <v/>
      </c>
      <c r="AR231" s="208" t="str">
        <f>IFERROR(INDEX(база!D:D, MATCH(F231,база!B:B,0)),"")</f>
        <v/>
      </c>
      <c r="AS231" s="758" t="str">
        <f>IFERROR(INDEX(база!E:E, MATCH(F231,база!B:B,0)),"")</f>
        <v/>
      </c>
    </row>
    <row r="232" spans="1:45" ht="15">
      <c r="A232" s="66" t="str">
        <f t="shared" si="4"/>
        <v>январь</v>
      </c>
      <c r="B232" s="231">
        <v>2024</v>
      </c>
      <c r="C232" s="60"/>
      <c r="D232" s="61"/>
      <c r="E232" s="211"/>
      <c r="F232" s="679"/>
      <c r="G232" s="47"/>
      <c r="H232" s="563"/>
      <c r="I232" s="563"/>
      <c r="J232" s="563"/>
      <c r="K232" s="563"/>
      <c r="L232" s="563"/>
      <c r="M232" s="563"/>
      <c r="N232" s="563"/>
      <c r="O232" s="563"/>
      <c r="P232" s="300"/>
      <c r="Q232" s="563"/>
      <c r="R232" s="563"/>
      <c r="S232" s="563"/>
      <c r="T232" s="563"/>
      <c r="U232" s="563"/>
      <c r="V232" s="563"/>
      <c r="W232" s="563"/>
      <c r="X232" s="563"/>
      <c r="Y232" s="563"/>
      <c r="Z232" s="563"/>
      <c r="AA232" s="563"/>
      <c r="AB232" s="563"/>
      <c r="AC232" s="563"/>
      <c r="AD232" s="48"/>
      <c r="AE232" s="48"/>
      <c r="AF232" s="258"/>
      <c r="AG232" s="48"/>
      <c r="AH232" s="48"/>
      <c r="AI232" s="48"/>
      <c r="AJ232" s="48"/>
      <c r="AK232" s="48"/>
      <c r="AL232" s="51"/>
      <c r="AM232" s="212">
        <f>IF(AQ232=1,SUM(Q232:T232,W232:Z232,AC232:AF232,AI232:AL232),
IF(AQ232=2,SUM(P232,S232:V232,Y232:AB232,AE232:AH232,AK232:AL232),
IF(AQ232=3,SUM(P232:R232,U232:X232,AA232:AD232,AG232:AJ232),SUM(Таблица1[[#This Row],[1]:[31]])-Таблица1[[#This Row],[Столбец1]])))</f>
        <v>0</v>
      </c>
      <c r="AN232" s="778">
        <f t="array" ref="AN232">IF(AQ232=1,SUM(P232,U232:V232,AA232:AB232,AG232:AH232),
IF(AQ232=2,SUM(Q232:R232,W232:X232,AC232:AD232,AI232:AJ232),
IF(AQ232=3,SUM(S232:T232,Y232:Z232,AE232:AF232,AK232:AL232),
SUM(IFERROR(WEEKDAY($H$2:$AL$2,2)&gt;5,)*H232:AL232))))+Таблица1[[#This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32" s="292" t="b">
        <f>IF(AR232&lt;=3,(IF((G232="5/24"),((база!$M$6*Таблица1[[#This Row],[сумма]]*Таблица1[[#This Row],[коэф]])),
IF((G232="4/24"),((база!$M$5*Таблица1[[#This Row],[сумма]]*Таблица1[[#This Row],[коэф]])),
IF((G232="3/24"),((база!$M$4*Таблица1[[#This Row],[сумма]]*Таблица1[[#This Row],[коэф]])),
IF((G232="5/16"),((база!$L$6*Таблица1[[#This Row],[сумма]]*Таблица1[[#This Row],[коэф]])),
IF((G232="4/16"),((база!$L$5*Таблица1[[#This Row],[сумма]]*Таблица1[[#This Row],[коэф]])),
IF((G232="3/16"),((база!$L$4*Таблица1[[#This Row],[сумма]]*Таблица1[[#This Row],[коэф]])),
IF((G232="4/4"),((база!$I$5*Таблица1[[#This Row],[сумма]]*Таблица1[[#This Row],[коэф]])),
IF(OR(G232="2/4",G232="3/4"),((база!$I$4*Таблица1[[#This Row],[сумма]]*Таблица1[[#This Row],[коэф]])),
IF((G232="5/8"),((база!$J$6*Таблица1[[#This Row],[сумма]]*Таблица1[[#This Row],[коэф]])),
IF((G232="4/8"),((база!$J$5*Таблица1[[#This Row],[сумма]]*Таблица1[[#This Row],[коэф]])),
IF(OR(G232="3/8",G232="2/8"),((база!$J$4*Таблица1[[#This Row],[сумма]]*Таблица1[[#This Row],[коэф]])))))))))))))),
(IF((G232="5/24"),((база!$M$6*Таблица1[[#This Row],[сумма]]*Таблица1[[#This Row],[коэф]])),
IF(OR(G232="4/24",G232="3/24"),((база!$M$5*Таблица1[[#This Row],[сумма]]*Таблица1[[#This Row],[коэф]])),
IF((G232="5/16"),((база!$L$6*Таблица1[[#This Row],[сумма]]*Таблица1[[#This Row],[коэф]])),
IF(OR(G232="4/16",G232="3/16"),((база!$L$5*Таблица1[[#This Row],[сумма]]*Таблица1[[#This Row],[коэф]])),
IF(OR(G232="2/4",G232="3/4",G232="4/4"),((база!$I$5*Таблица1[[#This Row],[сумма]]*Таблица1[[#This Row],[коэф]])),
IF((G232="5/8"),((база!$J$6*Таблица1[[#This Row],[сумма]]*Таблица1[[#This Row],[коэф]])),
IF(OR(G232="4/8",G232="3/8",G232="2/8"),((база!$J$5*Таблица1[[#This Row],[сумма]]*Таблица1[[#This Row],[коэф]])))))))))))</f>
        <v>0</v>
      </c>
      <c r="AP232" s="730" t="b">
        <f>IF(AR232&lt;=3,(IF((G232="5/24"),((база!$M$6*2*Таблица1[[#This Row],[Столбец1]]*Таблица1[[#This Row],[коэф]])),
IF((G232="4/24"),((база!$M$5*2*Таблица1[[#This Row],[Столбец1]]*Таблица1[[#This Row],[коэф]])),
IF((G232="3/24"),((база!$M$4*2*Таблица1[[#This Row],[Столбец1]]*Таблица1[[#This Row],[коэф]])),
IF((G232="5/16"),((база!$L$6*2*Таблица1[[#This Row],[Столбец1]]*Таблица1[[#This Row],[коэф]])),
IF((G232="4/16"),((база!$L$5*2*Таблица1[[#This Row],[Столбец1]]*Таблица1[[#This Row],[коэф]])),
IF((G232="3/16"),((база!$L$4*2*Таблица1[[#This Row],[Столбец1]]*Таблица1[[#This Row],[коэф]])),
IF((G232="4/4"),((база!$I$5*2*Таблица1[[#This Row],[Столбец1]]*Таблица1[[#This Row],[коэф]])),
IF(OR(G232="2/4",G232="3/4"),((база!$I$4*2*Таблица1[[#This Row],[Столбец1]]*Таблица1[[#This Row],[коэф]])),
IF((G232="5/8"),((база!$J$6*2*Таблица1[[#This Row],[Столбец1]]*Таблица1[[#This Row],[коэф]])),
IF((G232="4/8"),((база!$J$5*2*Таблица1[[#This Row],[Столбец1]]*Таблица1[[#This Row],[коэф]])),
IF(OR(G232="3/8",G232="2/8"),((база!$J$4*2*Таблица1[[#This Row],[Столбец1]]*Таблица1[[#This Row],[коэф]])))))))))))))),
(IF((G232="5/24"),((база!$M$6*2*Таблица1[[#This Row],[Столбец1]]*Таблица1[[#This Row],[коэф]])),
IF(OR(G232="4/24",G232="3/24"),((база!$M$5*2*Таблица1[[#This Row],[Столбец1]]*Таблица1[[#This Row],[коэф]])),
IF((G232="5/16"),((база!$L$6*2*Таблица1[[#This Row],[Столбец1]]*Таблица1[[#This Row],[коэф]])),
IF(OR(G232="4/16",G232="3/16"),((база!$L$5*2*Таблица1[[#This Row],[Столбец1]]*Таблица1[[#This Row],[коэф]])),
IF(OR(G232="2/4",G232="3/4",G232="4/4"),((база!$I$5*2*Таблица1[[#This Row],[Столбец1]]*Таблица1[[#This Row],[коэф]])),
IF((G232="5/8"),((база!$J$6*2*Таблица1[[#This Row],[Столбец1]]*Таблица1[[#This Row],[коэф]])),
IF(OR(G232="4/8",G232="3/8",G232="2/8"),((база!$J$5*2*Таблица1[[#This Row],[Столбец1]]*Таблица1[[#This Row],[коэф]])))))))))))</f>
        <v>0</v>
      </c>
      <c r="AQ232" s="712" t="str">
        <f>IFERROR(INDEX(база!T:T, MATCH(F232,база!Q:Q,0)),"")</f>
        <v/>
      </c>
      <c r="AR232" s="208" t="str">
        <f>IFERROR(INDEX(база!D:D, MATCH(F232,база!B:B,0)),"")</f>
        <v/>
      </c>
      <c r="AS232" s="758" t="str">
        <f>IFERROR(INDEX(база!E:E, MATCH(F232,база!B:B,0)),"")</f>
        <v/>
      </c>
    </row>
    <row r="233" spans="1:45" ht="15">
      <c r="A233" s="66" t="str">
        <f t="shared" si="4"/>
        <v>январь</v>
      </c>
      <c r="B233" s="231">
        <v>2024</v>
      </c>
      <c r="C233" s="299"/>
      <c r="D233" s="61"/>
      <c r="E233" s="211"/>
      <c r="F233" s="679"/>
      <c r="G233" s="47"/>
      <c r="H233" s="563"/>
      <c r="I233" s="563"/>
      <c r="J233" s="563"/>
      <c r="K233" s="563"/>
      <c r="L233" s="563"/>
      <c r="M233" s="563"/>
      <c r="N233" s="563"/>
      <c r="O233" s="563"/>
      <c r="P233" s="300"/>
      <c r="Q233" s="563"/>
      <c r="R233" s="563"/>
      <c r="S233" s="563"/>
      <c r="T233" s="563"/>
      <c r="U233" s="563"/>
      <c r="V233" s="563"/>
      <c r="W233" s="563"/>
      <c r="X233" s="563"/>
      <c r="Y233" s="563"/>
      <c r="Z233" s="563"/>
      <c r="AA233" s="563"/>
      <c r="AB233" s="563"/>
      <c r="AC233" s="563"/>
      <c r="AD233" s="48"/>
      <c r="AE233" s="48"/>
      <c r="AF233" s="258"/>
      <c r="AG233" s="48"/>
      <c r="AH233" s="48"/>
      <c r="AI233" s="48"/>
      <c r="AJ233" s="48"/>
      <c r="AK233" s="48"/>
      <c r="AL233" s="51"/>
      <c r="AM233" s="212">
        <f>IF(AQ233=1,SUM(Q233:T233,W233:Z233,AC233:AF233,AI233:AL233),
IF(AQ233=2,SUM(P233,S233:V233,Y233:AB233,AE233:AH233,AK233:AL233),
IF(AQ233=3,SUM(P233:R233,U233:X233,AA233:AD233,AG233:AJ233),SUM(Таблица1[[#This Row],[1]:[31]])-Таблица1[[#This Row],[Столбец1]])))</f>
        <v>0</v>
      </c>
      <c r="AN233" s="778">
        <f t="array" ref="AN233">IF(AQ233=1,SUM(P233,U233:V233,AA233:AB233,AG233:AH233),
IF(AQ233=2,SUM(Q233:R233,W233:X233,AC233:AD233,AI233:AJ233),
IF(AQ233=3,SUM(S233:T233,Y233:Z233,AE233:AF233,AK233:AL233),
SUM(IFERROR(WEEKDAY($H$2:$AL$2,2)&gt;5,)*H233:AL233))))+Таблица1[[#This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33" s="292" t="b">
        <f>IF(AR233&lt;=3,(IF((G233="5/24"),((база!$M$6*Таблица1[[#This Row],[сумма]]*Таблица1[[#This Row],[коэф]])),
IF((G233="4/24"),((база!$M$5*Таблица1[[#This Row],[сумма]]*Таблица1[[#This Row],[коэф]])),
IF((G233="3/24"),((база!$M$4*Таблица1[[#This Row],[сумма]]*Таблица1[[#This Row],[коэф]])),
IF((G233="5/16"),((база!$L$6*Таблица1[[#This Row],[сумма]]*Таблица1[[#This Row],[коэф]])),
IF((G233="4/16"),((база!$L$5*Таблица1[[#This Row],[сумма]]*Таблица1[[#This Row],[коэф]])),
IF((G233="3/16"),((база!$L$4*Таблица1[[#This Row],[сумма]]*Таблица1[[#This Row],[коэф]])),
IF((G233="4/4"),((база!$I$5*Таблица1[[#This Row],[сумма]]*Таблица1[[#This Row],[коэф]])),
IF(OR(G233="2/4",G233="3/4"),((база!$I$4*Таблица1[[#This Row],[сумма]]*Таблица1[[#This Row],[коэф]])),
IF((G233="5/8"),((база!$J$6*Таблица1[[#This Row],[сумма]]*Таблица1[[#This Row],[коэф]])),
IF((G233="4/8"),((база!$J$5*Таблица1[[#This Row],[сумма]]*Таблица1[[#This Row],[коэф]])),
IF(OR(G233="3/8",G233="2/8"),((база!$J$4*Таблица1[[#This Row],[сумма]]*Таблица1[[#This Row],[коэф]])))))))))))))),
(IF((G233="5/24"),((база!$M$6*Таблица1[[#This Row],[сумма]]*Таблица1[[#This Row],[коэф]])),
IF(OR(G233="4/24",G233="3/24"),((база!$M$5*Таблица1[[#This Row],[сумма]]*Таблица1[[#This Row],[коэф]])),
IF((G233="5/16"),((база!$L$6*Таблица1[[#This Row],[сумма]]*Таблица1[[#This Row],[коэф]])),
IF(OR(G233="4/16",G233="3/16"),((база!$L$5*Таблица1[[#This Row],[сумма]]*Таблица1[[#This Row],[коэф]])),
IF(OR(G233="2/4",G233="3/4",G233="4/4"),((база!$I$5*Таблица1[[#This Row],[сумма]]*Таблица1[[#This Row],[коэф]])),
IF((G233="5/8"),((база!$J$6*Таблица1[[#This Row],[сумма]]*Таблица1[[#This Row],[коэф]])),
IF(OR(G233="4/8",G233="3/8",G233="2/8"),((база!$J$5*Таблица1[[#This Row],[сумма]]*Таблица1[[#This Row],[коэф]])))))))))))</f>
        <v>0</v>
      </c>
      <c r="AP233" s="730" t="b">
        <f>IF(AR233&lt;=3,(IF((G233="5/24"),((база!$M$6*2*Таблица1[[#This Row],[Столбец1]]*Таблица1[[#This Row],[коэф]])),
IF((G233="4/24"),((база!$M$5*2*Таблица1[[#This Row],[Столбец1]]*Таблица1[[#This Row],[коэф]])),
IF((G233="3/24"),((база!$M$4*2*Таблица1[[#This Row],[Столбец1]]*Таблица1[[#This Row],[коэф]])),
IF((G233="5/16"),((база!$L$6*2*Таблица1[[#This Row],[Столбец1]]*Таблица1[[#This Row],[коэф]])),
IF((G233="4/16"),((база!$L$5*2*Таблица1[[#This Row],[Столбец1]]*Таблица1[[#This Row],[коэф]])),
IF((G233="3/16"),((база!$L$4*2*Таблица1[[#This Row],[Столбец1]]*Таблица1[[#This Row],[коэф]])),
IF((G233="4/4"),((база!$I$5*2*Таблица1[[#This Row],[Столбец1]]*Таблица1[[#This Row],[коэф]])),
IF(OR(G233="2/4",G233="3/4"),((база!$I$4*2*Таблица1[[#This Row],[Столбец1]]*Таблица1[[#This Row],[коэф]])),
IF((G233="5/8"),((база!$J$6*2*Таблица1[[#This Row],[Столбец1]]*Таблица1[[#This Row],[коэф]])),
IF((G233="4/8"),((база!$J$5*2*Таблица1[[#This Row],[Столбец1]]*Таблица1[[#This Row],[коэф]])),
IF(OR(G233="3/8",G233="2/8"),((база!$J$4*2*Таблица1[[#This Row],[Столбец1]]*Таблица1[[#This Row],[коэф]])))))))))))))),
(IF((G233="5/24"),((база!$M$6*2*Таблица1[[#This Row],[Столбец1]]*Таблица1[[#This Row],[коэф]])),
IF(OR(G233="4/24",G233="3/24"),((база!$M$5*2*Таблица1[[#This Row],[Столбец1]]*Таблица1[[#This Row],[коэф]])),
IF((G233="5/16"),((база!$L$6*2*Таблица1[[#This Row],[Столбец1]]*Таблица1[[#This Row],[коэф]])),
IF(OR(G233="4/16",G233="3/16"),((база!$L$5*2*Таблица1[[#This Row],[Столбец1]]*Таблица1[[#This Row],[коэф]])),
IF(OR(G233="2/4",G233="3/4",G233="4/4"),((база!$I$5*2*Таблица1[[#This Row],[Столбец1]]*Таблица1[[#This Row],[коэф]])),
IF((G233="5/8"),((база!$J$6*2*Таблица1[[#This Row],[Столбец1]]*Таблица1[[#This Row],[коэф]])),
IF(OR(G233="4/8",G233="3/8",G233="2/8"),((база!$J$5*2*Таблица1[[#This Row],[Столбец1]]*Таблица1[[#This Row],[коэф]])))))))))))</f>
        <v>0</v>
      </c>
      <c r="AQ233" s="712" t="str">
        <f>IFERROR(INDEX(база!T:T, MATCH(F233,база!Q:Q,0)),"")</f>
        <v/>
      </c>
      <c r="AR233" s="208" t="str">
        <f>IFERROR(INDEX(база!D:D, MATCH(F233,база!B:B,0)),"")</f>
        <v/>
      </c>
      <c r="AS233" s="758" t="str">
        <f>IFERROR(INDEX(база!E:E, MATCH(F233,база!B:B,0)),"")</f>
        <v/>
      </c>
    </row>
    <row r="234" spans="1:45" ht="15">
      <c r="A234" s="66" t="str">
        <f t="shared" si="4"/>
        <v>январь</v>
      </c>
      <c r="B234" s="231">
        <v>2024</v>
      </c>
      <c r="C234" s="299"/>
      <c r="D234" s="61"/>
      <c r="E234" s="211"/>
      <c r="F234" s="679"/>
      <c r="G234" s="47"/>
      <c r="H234" s="563"/>
      <c r="I234" s="563"/>
      <c r="J234" s="563"/>
      <c r="K234" s="563"/>
      <c r="L234" s="563"/>
      <c r="M234" s="563"/>
      <c r="N234" s="563"/>
      <c r="O234" s="563"/>
      <c r="P234" s="300"/>
      <c r="Q234" s="563"/>
      <c r="R234" s="563"/>
      <c r="S234" s="563"/>
      <c r="T234" s="563"/>
      <c r="U234" s="563"/>
      <c r="V234" s="563"/>
      <c r="W234" s="563"/>
      <c r="X234" s="563"/>
      <c r="Y234" s="563"/>
      <c r="Z234" s="563"/>
      <c r="AA234" s="563"/>
      <c r="AB234" s="563"/>
      <c r="AC234" s="563"/>
      <c r="AD234" s="48"/>
      <c r="AE234" s="48"/>
      <c r="AF234" s="258"/>
      <c r="AG234" s="48"/>
      <c r="AH234" s="48"/>
      <c r="AI234" s="48"/>
      <c r="AJ234" s="48"/>
      <c r="AK234" s="48"/>
      <c r="AL234" s="51"/>
      <c r="AM234" s="212">
        <f>IF(AQ234=1,SUM(Q234:T234,W234:Z234,AC234:AF234,AI234:AL234),
IF(AQ234=2,SUM(P234,S234:V234,Y234:AB234,AE234:AH234,AK234:AL234),
IF(AQ234=3,SUM(P234:R234,U234:X234,AA234:AD234,AG234:AJ234),SUM(Таблица1[[#This Row],[1]:[31]])-Таблица1[[#This Row],[Столбец1]])))</f>
        <v>0</v>
      </c>
      <c r="AN234" s="778">
        <f t="array" ref="AN234">IF(AQ234=1,SUM(P234,U234:V234,AA234:AB234,AG234:AH234),
IF(AQ234=2,SUM(Q234:R234,W234:X234,AC234:AD234,AI234:AJ234),
IF(AQ234=3,SUM(S234:T234,Y234:Z234,AE234:AF234,AK234:AL234),
SUM(IFERROR(WEEKDAY($H$2:$AL$2,2)&gt;5,)*H234:AL234))))+Таблица1[[#This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34" s="292" t="b">
        <f>IF(AR234&lt;=3,(IF((G234="5/24"),((база!$M$6*Таблица1[[#This Row],[сумма]]*Таблица1[[#This Row],[коэф]])),
IF((G234="4/24"),((база!$M$5*Таблица1[[#This Row],[сумма]]*Таблица1[[#This Row],[коэф]])),
IF((G234="3/24"),((база!$M$4*Таблица1[[#This Row],[сумма]]*Таблица1[[#This Row],[коэф]])),
IF((G234="5/16"),((база!$L$6*Таблица1[[#This Row],[сумма]]*Таблица1[[#This Row],[коэф]])),
IF((G234="4/16"),((база!$L$5*Таблица1[[#This Row],[сумма]]*Таблица1[[#This Row],[коэф]])),
IF((G234="3/16"),((база!$L$4*Таблица1[[#This Row],[сумма]]*Таблица1[[#This Row],[коэф]])),
IF((G234="4/4"),((база!$I$5*Таблица1[[#This Row],[сумма]]*Таблица1[[#This Row],[коэф]])),
IF(OR(G234="2/4",G234="3/4"),((база!$I$4*Таблица1[[#This Row],[сумма]]*Таблица1[[#This Row],[коэф]])),
IF((G234="5/8"),((база!$J$6*Таблица1[[#This Row],[сумма]]*Таблица1[[#This Row],[коэф]])),
IF((G234="4/8"),((база!$J$5*Таблица1[[#This Row],[сумма]]*Таблица1[[#This Row],[коэф]])),
IF(OR(G234="3/8",G234="2/8"),((база!$J$4*Таблица1[[#This Row],[сумма]]*Таблица1[[#This Row],[коэф]])))))))))))))),
(IF((G234="5/24"),((база!$M$6*Таблица1[[#This Row],[сумма]]*Таблица1[[#This Row],[коэф]])),
IF(OR(G234="4/24",G234="3/24"),((база!$M$5*Таблица1[[#This Row],[сумма]]*Таблица1[[#This Row],[коэф]])),
IF((G234="5/16"),((база!$L$6*Таблица1[[#This Row],[сумма]]*Таблица1[[#This Row],[коэф]])),
IF(OR(G234="4/16",G234="3/16"),((база!$L$5*Таблица1[[#This Row],[сумма]]*Таблица1[[#This Row],[коэф]])),
IF(OR(G234="2/4",G234="3/4",G234="4/4"),((база!$I$5*Таблица1[[#This Row],[сумма]]*Таблица1[[#This Row],[коэф]])),
IF((G234="5/8"),((база!$J$6*Таблица1[[#This Row],[сумма]]*Таблица1[[#This Row],[коэф]])),
IF(OR(G234="4/8",G234="3/8",G234="2/8"),((база!$J$5*Таблица1[[#This Row],[сумма]]*Таблица1[[#This Row],[коэф]])))))))))))</f>
        <v>0</v>
      </c>
      <c r="AP234" s="730" t="b">
        <f>IF(AR234&lt;=3,(IF((G234="5/24"),((база!$M$6*2*Таблица1[[#This Row],[Столбец1]]*Таблица1[[#This Row],[коэф]])),
IF((G234="4/24"),((база!$M$5*2*Таблица1[[#This Row],[Столбец1]]*Таблица1[[#This Row],[коэф]])),
IF((G234="3/24"),((база!$M$4*2*Таблица1[[#This Row],[Столбец1]]*Таблица1[[#This Row],[коэф]])),
IF((G234="5/16"),((база!$L$6*2*Таблица1[[#This Row],[Столбец1]]*Таблица1[[#This Row],[коэф]])),
IF((G234="4/16"),((база!$L$5*2*Таблица1[[#This Row],[Столбец1]]*Таблица1[[#This Row],[коэф]])),
IF((G234="3/16"),((база!$L$4*2*Таблица1[[#This Row],[Столбец1]]*Таблица1[[#This Row],[коэф]])),
IF((G234="4/4"),((база!$I$5*2*Таблица1[[#This Row],[Столбец1]]*Таблица1[[#This Row],[коэф]])),
IF(OR(G234="2/4",G234="3/4"),((база!$I$4*2*Таблица1[[#This Row],[Столбец1]]*Таблица1[[#This Row],[коэф]])),
IF((G234="5/8"),((база!$J$6*2*Таблица1[[#This Row],[Столбец1]]*Таблица1[[#This Row],[коэф]])),
IF((G234="4/8"),((база!$J$5*2*Таблица1[[#This Row],[Столбец1]]*Таблица1[[#This Row],[коэф]])),
IF(OR(G234="3/8",G234="2/8"),((база!$J$4*2*Таблица1[[#This Row],[Столбец1]]*Таблица1[[#This Row],[коэф]])))))))))))))),
(IF((G234="5/24"),((база!$M$6*2*Таблица1[[#This Row],[Столбец1]]*Таблица1[[#This Row],[коэф]])),
IF(OR(G234="4/24",G234="3/24"),((база!$M$5*2*Таблица1[[#This Row],[Столбец1]]*Таблица1[[#This Row],[коэф]])),
IF((G234="5/16"),((база!$L$6*2*Таблица1[[#This Row],[Столбец1]]*Таблица1[[#This Row],[коэф]])),
IF(OR(G234="4/16",G234="3/16"),((база!$L$5*2*Таблица1[[#This Row],[Столбец1]]*Таблица1[[#This Row],[коэф]])),
IF(OR(G234="2/4",G234="3/4",G234="4/4"),((база!$I$5*2*Таблица1[[#This Row],[Столбец1]]*Таблица1[[#This Row],[коэф]])),
IF((G234="5/8"),((база!$J$6*2*Таблица1[[#This Row],[Столбец1]]*Таблица1[[#This Row],[коэф]])),
IF(OR(G234="4/8",G234="3/8",G234="2/8"),((база!$J$5*2*Таблица1[[#This Row],[Столбец1]]*Таблица1[[#This Row],[коэф]])))))))))))</f>
        <v>0</v>
      </c>
      <c r="AQ234" s="712" t="str">
        <f>IFERROR(INDEX(база!T:T, MATCH(F234,база!Q:Q,0)),"")</f>
        <v/>
      </c>
      <c r="AR234" s="208" t="str">
        <f>IFERROR(INDEX(база!D:D, MATCH(F234,база!B:B,0)),"")</f>
        <v/>
      </c>
      <c r="AS234" s="758" t="str">
        <f>IFERROR(INDEX(база!E:E, MATCH(F234,база!B:B,0)),"")</f>
        <v/>
      </c>
    </row>
    <row r="235" spans="1:45" ht="15">
      <c r="A235" s="66" t="str">
        <f t="shared" si="4"/>
        <v>январь</v>
      </c>
      <c r="B235" s="231">
        <v>2024</v>
      </c>
      <c r="C235" s="60"/>
      <c r="D235" s="61"/>
      <c r="E235" s="211"/>
      <c r="F235" s="679"/>
      <c r="G235" s="47"/>
      <c r="H235" s="563"/>
      <c r="I235" s="563"/>
      <c r="J235" s="563"/>
      <c r="K235" s="563"/>
      <c r="L235" s="563"/>
      <c r="M235" s="563"/>
      <c r="N235" s="563"/>
      <c r="O235" s="563"/>
      <c r="P235" s="563"/>
      <c r="Q235" s="563"/>
      <c r="R235" s="563"/>
      <c r="S235" s="563"/>
      <c r="T235" s="563"/>
      <c r="U235" s="563"/>
      <c r="V235" s="563"/>
      <c r="W235" s="563"/>
      <c r="X235" s="563"/>
      <c r="Y235" s="563"/>
      <c r="Z235" s="563"/>
      <c r="AA235" s="563"/>
      <c r="AB235" s="563"/>
      <c r="AC235" s="563"/>
      <c r="AD235" s="48"/>
      <c r="AE235" s="48"/>
      <c r="AF235" s="48"/>
      <c r="AG235" s="48"/>
      <c r="AH235" s="48"/>
      <c r="AI235" s="258"/>
      <c r="AJ235" s="258"/>
      <c r="AK235" s="258"/>
      <c r="AL235" s="258"/>
      <c r="AM235" s="212">
        <f>IF(AQ235=1,SUM(Q235:T235,W235:Z235,AC235:AF235,AI235:AL235),
IF(AQ235=2,SUM(P235,S235:V235,Y235:AB235,AE235:AH235,AK235:AL235),
IF(AQ235=3,SUM(P235:R235,U235:X235,AA235:AD235,AG235:AJ235),SUM(Таблица1[[#This Row],[1]:[31]])-Таблица1[[#This Row],[Столбец1]])))</f>
        <v>0</v>
      </c>
      <c r="AN235" s="778">
        <f t="array" ref="AN235">IF(AQ235=1,SUM(P235,U235:V235,AA235:AB235,AG235:AH235),
IF(AQ235=2,SUM(Q235:R235,W235:X235,AC235:AD235,AI235:AJ235),
IF(AQ235=3,SUM(S235:T235,Y235:Z235,AE235:AF235,AK235:AL235),
SUM(IFERROR(WEEKDAY($H$2:$AL$2,2)&gt;5,)*H235:AL235))))+Таблица1[[#This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35" s="292" t="b">
        <f>IF(AR235&lt;=3,(IF((G235="5/24"),((база!$M$6*Таблица1[[#This Row],[сумма]]*Таблица1[[#This Row],[коэф]])),
IF((G235="4/24"),((база!$M$5*Таблица1[[#This Row],[сумма]]*Таблица1[[#This Row],[коэф]])),
IF((G235="3/24"),((база!$M$4*Таблица1[[#This Row],[сумма]]*Таблица1[[#This Row],[коэф]])),
IF((G235="5/16"),((база!$L$6*Таблица1[[#This Row],[сумма]]*Таблица1[[#This Row],[коэф]])),
IF((G235="4/16"),((база!$L$5*Таблица1[[#This Row],[сумма]]*Таблица1[[#This Row],[коэф]])),
IF((G235="3/16"),((база!$L$4*Таблица1[[#This Row],[сумма]]*Таблица1[[#This Row],[коэф]])),
IF((G235="4/4"),((база!$I$5*Таблица1[[#This Row],[сумма]]*Таблица1[[#This Row],[коэф]])),
IF(OR(G235="2/4",G235="3/4"),((база!$I$4*Таблица1[[#This Row],[сумма]]*Таблица1[[#This Row],[коэф]])),
IF((G235="5/8"),((база!$J$6*Таблица1[[#This Row],[сумма]]*Таблица1[[#This Row],[коэф]])),
IF((G235="4/8"),((база!$J$5*Таблица1[[#This Row],[сумма]]*Таблица1[[#This Row],[коэф]])),
IF(OR(G235="3/8",G235="2/8"),((база!$J$4*Таблица1[[#This Row],[сумма]]*Таблица1[[#This Row],[коэф]])))))))))))))),
(IF((G235="5/24"),((база!$M$6*Таблица1[[#This Row],[сумма]]*Таблица1[[#This Row],[коэф]])),
IF(OR(G235="4/24",G235="3/24"),((база!$M$5*Таблица1[[#This Row],[сумма]]*Таблица1[[#This Row],[коэф]])),
IF((G235="5/16"),((база!$L$6*Таблица1[[#This Row],[сумма]]*Таблица1[[#This Row],[коэф]])),
IF(OR(G235="4/16",G235="3/16"),((база!$L$5*Таблица1[[#This Row],[сумма]]*Таблица1[[#This Row],[коэф]])),
IF(OR(G235="2/4",G235="3/4",G235="4/4"),((база!$I$5*Таблица1[[#This Row],[сумма]]*Таблица1[[#This Row],[коэф]])),
IF((G235="5/8"),((база!$J$6*Таблица1[[#This Row],[сумма]]*Таблица1[[#This Row],[коэф]])),
IF(OR(G235="4/8",G235="3/8",G235="2/8"),((база!$J$5*Таблица1[[#This Row],[сумма]]*Таблица1[[#This Row],[коэф]])))))))))))</f>
        <v>0</v>
      </c>
      <c r="AP235" s="730" t="b">
        <f>IF(AR235&lt;=3,(IF((G235="5/24"),((база!$M$6*2*Таблица1[[#This Row],[Столбец1]]*Таблица1[[#This Row],[коэф]])),
IF((G235="4/24"),((база!$M$5*2*Таблица1[[#This Row],[Столбец1]]*Таблица1[[#This Row],[коэф]])),
IF((G235="3/24"),((база!$M$4*2*Таблица1[[#This Row],[Столбец1]]*Таблица1[[#This Row],[коэф]])),
IF((G235="5/16"),((база!$L$6*2*Таблица1[[#This Row],[Столбец1]]*Таблица1[[#This Row],[коэф]])),
IF((G235="4/16"),((база!$L$5*2*Таблица1[[#This Row],[Столбец1]]*Таблица1[[#This Row],[коэф]])),
IF((G235="3/16"),((база!$L$4*2*Таблица1[[#This Row],[Столбец1]]*Таблица1[[#This Row],[коэф]])),
IF((G235="4/4"),((база!$I$5*2*Таблица1[[#This Row],[Столбец1]]*Таблица1[[#This Row],[коэф]])),
IF(OR(G235="2/4",G235="3/4"),((база!$I$4*2*Таблица1[[#This Row],[Столбец1]]*Таблица1[[#This Row],[коэф]])),
IF((G235="5/8"),((база!$J$6*2*Таблица1[[#This Row],[Столбец1]]*Таблица1[[#This Row],[коэф]])),
IF((G235="4/8"),((база!$J$5*2*Таблица1[[#This Row],[Столбец1]]*Таблица1[[#This Row],[коэф]])),
IF(OR(G235="3/8",G235="2/8"),((база!$J$4*2*Таблица1[[#This Row],[Столбец1]]*Таблица1[[#This Row],[коэф]])))))))))))))),
(IF((G235="5/24"),((база!$M$6*2*Таблица1[[#This Row],[Столбец1]]*Таблица1[[#This Row],[коэф]])),
IF(OR(G235="4/24",G235="3/24"),((база!$M$5*2*Таблица1[[#This Row],[Столбец1]]*Таблица1[[#This Row],[коэф]])),
IF((G235="5/16"),((база!$L$6*2*Таблица1[[#This Row],[Столбец1]]*Таблица1[[#This Row],[коэф]])),
IF(OR(G235="4/16",G235="3/16"),((база!$L$5*2*Таблица1[[#This Row],[Столбец1]]*Таблица1[[#This Row],[коэф]])),
IF(OR(G235="2/4",G235="3/4",G235="4/4"),((база!$I$5*2*Таблица1[[#This Row],[Столбец1]]*Таблица1[[#This Row],[коэф]])),
IF((G235="5/8"),((база!$J$6*2*Таблица1[[#This Row],[Столбец1]]*Таблица1[[#This Row],[коэф]])),
IF(OR(G235="4/8",G235="3/8",G235="2/8"),((база!$J$5*2*Таблица1[[#This Row],[Столбец1]]*Таблица1[[#This Row],[коэф]])))))))))))</f>
        <v>0</v>
      </c>
      <c r="AQ235" s="712" t="str">
        <f>IFERROR(INDEX(база!T:T, MATCH(F235,база!Q:Q,0)),"")</f>
        <v/>
      </c>
      <c r="AR235" s="208" t="str">
        <f>IFERROR(INDEX(база!D:D, MATCH(F235,база!B:B,0)),"")</f>
        <v/>
      </c>
      <c r="AS235" s="758" t="str">
        <f>IFERROR(INDEX(база!E:E, MATCH(F235,база!B:B,0)),"")</f>
        <v/>
      </c>
    </row>
    <row r="236" spans="1:45" ht="15">
      <c r="A236" s="66" t="str">
        <f t="shared" si="4"/>
        <v>январь</v>
      </c>
      <c r="B236" s="231">
        <v>2024</v>
      </c>
      <c r="C236" s="299"/>
      <c r="D236" s="61"/>
      <c r="E236" s="211"/>
      <c r="F236" s="679"/>
      <c r="G236" s="47"/>
      <c r="H236" s="563"/>
      <c r="I236" s="563"/>
      <c r="J236" s="563"/>
      <c r="K236" s="563"/>
      <c r="L236" s="563"/>
      <c r="M236" s="563"/>
      <c r="N236" s="563"/>
      <c r="O236" s="563"/>
      <c r="P236" s="300"/>
      <c r="Q236" s="563"/>
      <c r="R236" s="563"/>
      <c r="S236" s="563"/>
      <c r="T236" s="563"/>
      <c r="U236" s="563"/>
      <c r="V236" s="563"/>
      <c r="W236" s="563"/>
      <c r="X236" s="563"/>
      <c r="Y236" s="563"/>
      <c r="Z236" s="563"/>
      <c r="AA236" s="563"/>
      <c r="AB236" s="563"/>
      <c r="AC236" s="563"/>
      <c r="AD236" s="48"/>
      <c r="AE236" s="48"/>
      <c r="AF236" s="258"/>
      <c r="AG236" s="48"/>
      <c r="AH236" s="48"/>
      <c r="AI236" s="48"/>
      <c r="AJ236" s="48"/>
      <c r="AK236" s="48"/>
      <c r="AL236" s="51"/>
      <c r="AM236" s="212">
        <f>IF(AQ236=1,SUM(Q236:T236,W236:Z236,AC236:AF236,AI236:AL236),
IF(AQ236=2,SUM(P236,S236:V236,Y236:AB236,AE236:AH236,AK236:AL236),
IF(AQ236=3,SUM(P236:R236,U236:X236,AA236:AD236,AG236:AJ236),SUM(Таблица1[[#This Row],[1]:[31]])-Таблица1[[#This Row],[Столбец1]])))</f>
        <v>0</v>
      </c>
      <c r="AN236" s="778">
        <f t="array" ref="AN236">IF(AQ236=1,SUM(P236,U236:V236,AA236:AB236,AG236:AH236),
IF(AQ236=2,SUM(Q236:R236,W236:X236,AC236:AD236,AI236:AJ236),
IF(AQ236=3,SUM(S236:T236,Y236:Z236,AE236:AF236,AK236:AL236),
SUM(IFERROR(WEEKDAY($H$2:$AL$2,2)&gt;5,)*H236:AL236))))+Таблица1[[#This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36" s="292" t="b">
        <f>IF(AR236&lt;=3,(IF((G236="5/24"),((база!$M$6*Таблица1[[#This Row],[сумма]]*Таблица1[[#This Row],[коэф]])),
IF((G236="4/24"),((база!$M$5*Таблица1[[#This Row],[сумма]]*Таблица1[[#This Row],[коэф]])),
IF((G236="3/24"),((база!$M$4*Таблица1[[#This Row],[сумма]]*Таблица1[[#This Row],[коэф]])),
IF((G236="5/16"),((база!$L$6*Таблица1[[#This Row],[сумма]]*Таблица1[[#This Row],[коэф]])),
IF((G236="4/16"),((база!$L$5*Таблица1[[#This Row],[сумма]]*Таблица1[[#This Row],[коэф]])),
IF((G236="3/16"),((база!$L$4*Таблица1[[#This Row],[сумма]]*Таблица1[[#This Row],[коэф]])),
IF((G236="4/4"),((база!$I$5*Таблица1[[#This Row],[сумма]]*Таблица1[[#This Row],[коэф]])),
IF(OR(G236="2/4",G236="3/4"),((база!$I$4*Таблица1[[#This Row],[сумма]]*Таблица1[[#This Row],[коэф]])),
IF((G236="5/8"),((база!$J$6*Таблица1[[#This Row],[сумма]]*Таблица1[[#This Row],[коэф]])),
IF((G236="4/8"),((база!$J$5*Таблица1[[#This Row],[сумма]]*Таблица1[[#This Row],[коэф]])),
IF(OR(G236="3/8",G236="2/8"),((база!$J$4*Таблица1[[#This Row],[сумма]]*Таблица1[[#This Row],[коэф]])))))))))))))),
(IF((G236="5/24"),((база!$M$6*Таблица1[[#This Row],[сумма]]*Таблица1[[#This Row],[коэф]])),
IF(OR(G236="4/24",G236="3/24"),((база!$M$5*Таблица1[[#This Row],[сумма]]*Таблица1[[#This Row],[коэф]])),
IF((G236="5/16"),((база!$L$6*Таблица1[[#This Row],[сумма]]*Таблица1[[#This Row],[коэф]])),
IF(OR(G236="4/16",G236="3/16"),((база!$L$5*Таблица1[[#This Row],[сумма]]*Таблица1[[#This Row],[коэф]])),
IF(OR(G236="2/4",G236="3/4",G236="4/4"),((база!$I$5*Таблица1[[#This Row],[сумма]]*Таблица1[[#This Row],[коэф]])),
IF((G236="5/8"),((база!$J$6*Таблица1[[#This Row],[сумма]]*Таблица1[[#This Row],[коэф]])),
IF(OR(G236="4/8",G236="3/8",G236="2/8"),((база!$J$5*Таблица1[[#This Row],[сумма]]*Таблица1[[#This Row],[коэф]])))))))))))</f>
        <v>0</v>
      </c>
      <c r="AP236" s="730" t="b">
        <f>IF(AR236&lt;=3,(IF((G236="5/24"),((база!$M$6*2*Таблица1[[#This Row],[Столбец1]]*Таблица1[[#This Row],[коэф]])),
IF((G236="4/24"),((база!$M$5*2*Таблица1[[#This Row],[Столбец1]]*Таблица1[[#This Row],[коэф]])),
IF((G236="3/24"),((база!$M$4*2*Таблица1[[#This Row],[Столбец1]]*Таблица1[[#This Row],[коэф]])),
IF((G236="5/16"),((база!$L$6*2*Таблица1[[#This Row],[Столбец1]]*Таблица1[[#This Row],[коэф]])),
IF((G236="4/16"),((база!$L$5*2*Таблица1[[#This Row],[Столбец1]]*Таблица1[[#This Row],[коэф]])),
IF((G236="3/16"),((база!$L$4*2*Таблица1[[#This Row],[Столбец1]]*Таблица1[[#This Row],[коэф]])),
IF((G236="4/4"),((база!$I$5*2*Таблица1[[#This Row],[Столбец1]]*Таблица1[[#This Row],[коэф]])),
IF(OR(G236="2/4",G236="3/4"),((база!$I$4*2*Таблица1[[#This Row],[Столбец1]]*Таблица1[[#This Row],[коэф]])),
IF((G236="5/8"),((база!$J$6*2*Таблица1[[#This Row],[Столбец1]]*Таблица1[[#This Row],[коэф]])),
IF((G236="4/8"),((база!$J$5*2*Таблица1[[#This Row],[Столбец1]]*Таблица1[[#This Row],[коэф]])),
IF(OR(G236="3/8",G236="2/8"),((база!$J$4*2*Таблица1[[#This Row],[Столбец1]]*Таблица1[[#This Row],[коэф]])))))))))))))),
(IF((G236="5/24"),((база!$M$6*2*Таблица1[[#This Row],[Столбец1]]*Таблица1[[#This Row],[коэф]])),
IF(OR(G236="4/24",G236="3/24"),((база!$M$5*2*Таблица1[[#This Row],[Столбец1]]*Таблица1[[#This Row],[коэф]])),
IF((G236="5/16"),((база!$L$6*2*Таблица1[[#This Row],[Столбец1]]*Таблица1[[#This Row],[коэф]])),
IF(OR(G236="4/16",G236="3/16"),((база!$L$5*2*Таблица1[[#This Row],[Столбец1]]*Таблица1[[#This Row],[коэф]])),
IF(OR(G236="2/4",G236="3/4",G236="4/4"),((база!$I$5*2*Таблица1[[#This Row],[Столбец1]]*Таблица1[[#This Row],[коэф]])),
IF((G236="5/8"),((база!$J$6*2*Таблица1[[#This Row],[Столбец1]]*Таблица1[[#This Row],[коэф]])),
IF(OR(G236="4/8",G236="3/8",G236="2/8"),((база!$J$5*2*Таблица1[[#This Row],[Столбец1]]*Таблица1[[#This Row],[коэф]])))))))))))</f>
        <v>0</v>
      </c>
      <c r="AQ236" s="712" t="str">
        <f>IFERROR(INDEX(база!T:T, MATCH(F236,база!Q:Q,0)),"")</f>
        <v/>
      </c>
      <c r="AR236" s="208" t="str">
        <f>IFERROR(INDEX(база!D:D, MATCH(F236,база!B:B,0)),"")</f>
        <v/>
      </c>
      <c r="AS236" s="758" t="str">
        <f>IFERROR(INDEX(база!E:E, MATCH(F236,база!B:B,0)),"")</f>
        <v/>
      </c>
    </row>
    <row r="237" spans="1:45" ht="15">
      <c r="A237" s="66" t="str">
        <f t="shared" si="4"/>
        <v>январь</v>
      </c>
      <c r="B237" s="231">
        <v>2024</v>
      </c>
      <c r="C237" s="299"/>
      <c r="D237" s="61"/>
      <c r="E237" s="211"/>
      <c r="F237" s="679"/>
      <c r="G237" s="47"/>
      <c r="H237" s="563"/>
      <c r="I237" s="563"/>
      <c r="J237" s="563"/>
      <c r="K237" s="563"/>
      <c r="L237" s="563"/>
      <c r="M237" s="563"/>
      <c r="N237" s="563"/>
      <c r="O237" s="563"/>
      <c r="P237" s="300"/>
      <c r="Q237" s="563"/>
      <c r="R237" s="563"/>
      <c r="S237" s="563"/>
      <c r="T237" s="563"/>
      <c r="U237" s="563"/>
      <c r="V237" s="563"/>
      <c r="W237" s="563"/>
      <c r="X237" s="563"/>
      <c r="Y237" s="563"/>
      <c r="Z237" s="563"/>
      <c r="AA237" s="563"/>
      <c r="AB237" s="563"/>
      <c r="AC237" s="563"/>
      <c r="AD237" s="48"/>
      <c r="AE237" s="48"/>
      <c r="AF237" s="258"/>
      <c r="AG237" s="48"/>
      <c r="AH237" s="48"/>
      <c r="AI237" s="258"/>
      <c r="AJ237" s="258"/>
      <c r="AK237" s="258"/>
      <c r="AL237" s="258"/>
      <c r="AM237" s="212">
        <f>IF(AQ237=1,SUM(Q237:T237,W237:Z237,AC237:AF237,AI237:AL237),
IF(AQ237=2,SUM(P237,S237:V237,Y237:AB237,AE237:AH237,AK237:AL237),
IF(AQ237=3,SUM(P237:R237,U237:X237,AA237:AD237,AG237:AJ237),SUM(Таблица1[[#This Row],[1]:[31]])-Таблица1[[#This Row],[Столбец1]])))</f>
        <v>0</v>
      </c>
      <c r="AN237" s="778">
        <f t="array" ref="AN237">IF(AQ237=1,SUM(P237,U237:V237,AA237:AB237,AG237:AH237),
IF(AQ237=2,SUM(Q237:R237,W237:X237,AC237:AD237,AI237:AJ237),
IF(AQ237=3,SUM(S237:T237,Y237:Z237,AE237:AF237,AK237:AL237),
SUM(IFERROR(WEEKDAY($H$2:$AL$2,2)&gt;5,)*H237:AL237))))+Таблица1[[#This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37" s="292" t="b">
        <f>IF(AR237&lt;=3,(IF((G237="5/24"),((база!$M$6*Таблица1[[#This Row],[сумма]]*Таблица1[[#This Row],[коэф]])),
IF((G237="4/24"),((база!$M$5*Таблица1[[#This Row],[сумма]]*Таблица1[[#This Row],[коэф]])),
IF((G237="3/24"),((база!$M$4*Таблица1[[#This Row],[сумма]]*Таблица1[[#This Row],[коэф]])),
IF((G237="5/16"),((база!$L$6*Таблица1[[#This Row],[сумма]]*Таблица1[[#This Row],[коэф]])),
IF((G237="4/16"),((база!$L$5*Таблица1[[#This Row],[сумма]]*Таблица1[[#This Row],[коэф]])),
IF((G237="3/16"),((база!$L$4*Таблица1[[#This Row],[сумма]]*Таблица1[[#This Row],[коэф]])),
IF((G237="4/4"),((база!$I$5*Таблица1[[#This Row],[сумма]]*Таблица1[[#This Row],[коэф]])),
IF(OR(G237="2/4",G237="3/4"),((база!$I$4*Таблица1[[#This Row],[сумма]]*Таблица1[[#This Row],[коэф]])),
IF((G237="5/8"),((база!$J$6*Таблица1[[#This Row],[сумма]]*Таблица1[[#This Row],[коэф]])),
IF((G237="4/8"),((база!$J$5*Таблица1[[#This Row],[сумма]]*Таблица1[[#This Row],[коэф]])),
IF(OR(G237="3/8",G237="2/8"),((база!$J$4*Таблица1[[#This Row],[сумма]]*Таблица1[[#This Row],[коэф]])))))))))))))),
(IF((G237="5/24"),((база!$M$6*Таблица1[[#This Row],[сумма]]*Таблица1[[#This Row],[коэф]])),
IF(OR(G237="4/24",G237="3/24"),((база!$M$5*Таблица1[[#This Row],[сумма]]*Таблица1[[#This Row],[коэф]])),
IF((G237="5/16"),((база!$L$6*Таблица1[[#This Row],[сумма]]*Таблица1[[#This Row],[коэф]])),
IF(OR(G237="4/16",G237="3/16"),((база!$L$5*Таблица1[[#This Row],[сумма]]*Таблица1[[#This Row],[коэф]])),
IF(OR(G237="2/4",G237="3/4",G237="4/4"),((база!$I$5*Таблица1[[#This Row],[сумма]]*Таблица1[[#This Row],[коэф]])),
IF((G237="5/8"),((база!$J$6*Таблица1[[#This Row],[сумма]]*Таблица1[[#This Row],[коэф]])),
IF(OR(G237="4/8",G237="3/8",G237="2/8"),((база!$J$5*Таблица1[[#This Row],[сумма]]*Таблица1[[#This Row],[коэф]])))))))))))</f>
        <v>0</v>
      </c>
      <c r="AP237" s="730" t="b">
        <f>IF(AR237&lt;=3,(IF((G237="5/24"),((база!$M$6*2*Таблица1[[#This Row],[Столбец1]]*Таблица1[[#This Row],[коэф]])),
IF((G237="4/24"),((база!$M$5*2*Таблица1[[#This Row],[Столбец1]]*Таблица1[[#This Row],[коэф]])),
IF((G237="3/24"),((база!$M$4*2*Таблица1[[#This Row],[Столбец1]]*Таблица1[[#This Row],[коэф]])),
IF((G237="5/16"),((база!$L$6*2*Таблица1[[#This Row],[Столбец1]]*Таблица1[[#This Row],[коэф]])),
IF((G237="4/16"),((база!$L$5*2*Таблица1[[#This Row],[Столбец1]]*Таблица1[[#This Row],[коэф]])),
IF((G237="3/16"),((база!$L$4*2*Таблица1[[#This Row],[Столбец1]]*Таблица1[[#This Row],[коэф]])),
IF((G237="4/4"),((база!$I$5*2*Таблица1[[#This Row],[Столбец1]]*Таблица1[[#This Row],[коэф]])),
IF(OR(G237="2/4",G237="3/4"),((база!$I$4*2*Таблица1[[#This Row],[Столбец1]]*Таблица1[[#This Row],[коэф]])),
IF((G237="5/8"),((база!$J$6*2*Таблица1[[#This Row],[Столбец1]]*Таблица1[[#This Row],[коэф]])),
IF((G237="4/8"),((база!$J$5*2*Таблица1[[#This Row],[Столбец1]]*Таблица1[[#This Row],[коэф]])),
IF(OR(G237="3/8",G237="2/8"),((база!$J$4*2*Таблица1[[#This Row],[Столбец1]]*Таблица1[[#This Row],[коэф]])))))))))))))),
(IF((G237="5/24"),((база!$M$6*2*Таблица1[[#This Row],[Столбец1]]*Таблица1[[#This Row],[коэф]])),
IF(OR(G237="4/24",G237="3/24"),((база!$M$5*2*Таблица1[[#This Row],[Столбец1]]*Таблица1[[#This Row],[коэф]])),
IF((G237="5/16"),((база!$L$6*2*Таблица1[[#This Row],[Столбец1]]*Таблица1[[#This Row],[коэф]])),
IF(OR(G237="4/16",G237="3/16"),((база!$L$5*2*Таблица1[[#This Row],[Столбец1]]*Таблица1[[#This Row],[коэф]])),
IF(OR(G237="2/4",G237="3/4",G237="4/4"),((база!$I$5*2*Таблица1[[#This Row],[Столбец1]]*Таблица1[[#This Row],[коэф]])),
IF((G237="5/8"),((база!$J$6*2*Таблица1[[#This Row],[Столбец1]]*Таблица1[[#This Row],[коэф]])),
IF(OR(G237="4/8",G237="3/8",G237="2/8"),((база!$J$5*2*Таблица1[[#This Row],[Столбец1]]*Таблица1[[#This Row],[коэф]])))))))))))</f>
        <v>0</v>
      </c>
      <c r="AQ237" s="712" t="str">
        <f>IFERROR(INDEX(база!T:T, MATCH(F237,база!Q:Q,0)),"")</f>
        <v/>
      </c>
      <c r="AR237" s="208" t="str">
        <f>IFERROR(INDEX(база!D:D, MATCH(F237,база!B:B,0)),"")</f>
        <v/>
      </c>
      <c r="AS237" s="758" t="str">
        <f>IFERROR(INDEX(база!E:E, MATCH(F237,база!B:B,0)),"")</f>
        <v/>
      </c>
    </row>
    <row r="238" spans="1:45" ht="15">
      <c r="A238" s="66" t="str">
        <f t="shared" si="4"/>
        <v>январь</v>
      </c>
      <c r="B238" s="231">
        <v>2024</v>
      </c>
      <c r="C238" s="299"/>
      <c r="D238" s="61"/>
      <c r="E238" s="211"/>
      <c r="F238" s="679"/>
      <c r="G238" s="47"/>
      <c r="H238" s="563"/>
      <c r="I238" s="563"/>
      <c r="J238" s="563"/>
      <c r="K238" s="563"/>
      <c r="L238" s="563"/>
      <c r="M238" s="563"/>
      <c r="N238" s="563"/>
      <c r="O238" s="563"/>
      <c r="P238" s="300"/>
      <c r="Q238" s="563"/>
      <c r="R238" s="563"/>
      <c r="S238" s="563"/>
      <c r="T238" s="563"/>
      <c r="U238" s="563"/>
      <c r="V238" s="563"/>
      <c r="W238" s="563"/>
      <c r="X238" s="563"/>
      <c r="Y238" s="563"/>
      <c r="Z238" s="563"/>
      <c r="AA238" s="563"/>
      <c r="AB238" s="563"/>
      <c r="AC238" s="563"/>
      <c r="AD238" s="48"/>
      <c r="AE238" s="48"/>
      <c r="AF238" s="258"/>
      <c r="AG238" s="48"/>
      <c r="AH238" s="48"/>
      <c r="AI238" s="48"/>
      <c r="AJ238" s="48"/>
      <c r="AK238" s="48"/>
      <c r="AL238" s="51"/>
      <c r="AM238" s="212">
        <f>IF(AQ238=1,SUM(Q238:T238,W238:Z238,AC238:AF238,AI238:AL238),
IF(AQ238=2,SUM(P238,S238:V238,Y238:AB238,AE238:AH238,AK238:AL238),
IF(AQ238=3,SUM(P238:R238,U238:X238,AA238:AD238,AG238:AJ238),SUM(Таблица1[[#This Row],[1]:[31]])-Таблица1[[#This Row],[Столбец1]])))</f>
        <v>0</v>
      </c>
      <c r="AN238" s="778">
        <f t="array" ref="AN238">IF(AQ238=1,SUM(P238,U238:V238,AA238:AB238,AG238:AH238),
IF(AQ238=2,SUM(Q238:R238,W238:X238,AC238:AD238,AI238:AJ238),
IF(AQ238=3,SUM(S238:T238,Y238:Z238,AE238:AF238,AK238:AL238),
SUM(IFERROR(WEEKDAY($H$2:$AL$2,2)&gt;5,)*H238:AL238))))+Таблица1[[#This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38" s="292" t="b">
        <f>IF(AR238&lt;=3,(IF((G238="5/24"),((база!$M$6*Таблица1[[#This Row],[сумма]]*Таблица1[[#This Row],[коэф]])),
IF((G238="4/24"),((база!$M$5*Таблица1[[#This Row],[сумма]]*Таблица1[[#This Row],[коэф]])),
IF((G238="3/24"),((база!$M$4*Таблица1[[#This Row],[сумма]]*Таблица1[[#This Row],[коэф]])),
IF((G238="5/16"),((база!$L$6*Таблица1[[#This Row],[сумма]]*Таблица1[[#This Row],[коэф]])),
IF((G238="4/16"),((база!$L$5*Таблица1[[#This Row],[сумма]]*Таблица1[[#This Row],[коэф]])),
IF((G238="3/16"),((база!$L$4*Таблица1[[#This Row],[сумма]]*Таблица1[[#This Row],[коэф]])),
IF((G238="4/4"),((база!$I$5*Таблица1[[#This Row],[сумма]]*Таблица1[[#This Row],[коэф]])),
IF(OR(G238="2/4",G238="3/4"),((база!$I$4*Таблица1[[#This Row],[сумма]]*Таблица1[[#This Row],[коэф]])),
IF((G238="5/8"),((база!$J$6*Таблица1[[#This Row],[сумма]]*Таблица1[[#This Row],[коэф]])),
IF((G238="4/8"),((база!$J$5*Таблица1[[#This Row],[сумма]]*Таблица1[[#This Row],[коэф]])),
IF(OR(G238="3/8",G238="2/8"),((база!$J$4*Таблица1[[#This Row],[сумма]]*Таблица1[[#This Row],[коэф]])))))))))))))),
(IF((G238="5/24"),((база!$M$6*Таблица1[[#This Row],[сумма]]*Таблица1[[#This Row],[коэф]])),
IF(OR(G238="4/24",G238="3/24"),((база!$M$5*Таблица1[[#This Row],[сумма]]*Таблица1[[#This Row],[коэф]])),
IF((G238="5/16"),((база!$L$6*Таблица1[[#This Row],[сумма]]*Таблица1[[#This Row],[коэф]])),
IF(OR(G238="4/16",G238="3/16"),((база!$L$5*Таблица1[[#This Row],[сумма]]*Таблица1[[#This Row],[коэф]])),
IF(OR(G238="2/4",G238="3/4",G238="4/4"),((база!$I$5*Таблица1[[#This Row],[сумма]]*Таблица1[[#This Row],[коэф]])),
IF((G238="5/8"),((база!$J$6*Таблица1[[#This Row],[сумма]]*Таблица1[[#This Row],[коэф]])),
IF(OR(G238="4/8",G238="3/8",G238="2/8"),((база!$J$5*Таблица1[[#This Row],[сумма]]*Таблица1[[#This Row],[коэф]])))))))))))</f>
        <v>0</v>
      </c>
      <c r="AP238" s="730" t="b">
        <f>IF(AR238&lt;=3,(IF((G238="5/24"),((база!$M$6*2*Таблица1[[#This Row],[Столбец1]]*Таблица1[[#This Row],[коэф]])),
IF((G238="4/24"),((база!$M$5*2*Таблица1[[#This Row],[Столбец1]]*Таблица1[[#This Row],[коэф]])),
IF((G238="3/24"),((база!$M$4*2*Таблица1[[#This Row],[Столбец1]]*Таблица1[[#This Row],[коэф]])),
IF((G238="5/16"),((база!$L$6*2*Таблица1[[#This Row],[Столбец1]]*Таблица1[[#This Row],[коэф]])),
IF((G238="4/16"),((база!$L$5*2*Таблица1[[#This Row],[Столбец1]]*Таблица1[[#This Row],[коэф]])),
IF((G238="3/16"),((база!$L$4*2*Таблица1[[#This Row],[Столбец1]]*Таблица1[[#This Row],[коэф]])),
IF((G238="4/4"),((база!$I$5*2*Таблица1[[#This Row],[Столбец1]]*Таблица1[[#This Row],[коэф]])),
IF(OR(G238="2/4",G238="3/4"),((база!$I$4*2*Таблица1[[#This Row],[Столбец1]]*Таблица1[[#This Row],[коэф]])),
IF((G238="5/8"),((база!$J$6*2*Таблица1[[#This Row],[Столбец1]]*Таблица1[[#This Row],[коэф]])),
IF((G238="4/8"),((база!$J$5*2*Таблица1[[#This Row],[Столбец1]]*Таблица1[[#This Row],[коэф]])),
IF(OR(G238="3/8",G238="2/8"),((база!$J$4*2*Таблица1[[#This Row],[Столбец1]]*Таблица1[[#This Row],[коэф]])))))))))))))),
(IF((G238="5/24"),((база!$M$6*2*Таблица1[[#This Row],[Столбец1]]*Таблица1[[#This Row],[коэф]])),
IF(OR(G238="4/24",G238="3/24"),((база!$M$5*2*Таблица1[[#This Row],[Столбец1]]*Таблица1[[#This Row],[коэф]])),
IF((G238="5/16"),((база!$L$6*2*Таблица1[[#This Row],[Столбец1]]*Таблица1[[#This Row],[коэф]])),
IF(OR(G238="4/16",G238="3/16"),((база!$L$5*2*Таблица1[[#This Row],[Столбец1]]*Таблица1[[#This Row],[коэф]])),
IF(OR(G238="2/4",G238="3/4",G238="4/4"),((база!$I$5*2*Таблица1[[#This Row],[Столбец1]]*Таблица1[[#This Row],[коэф]])),
IF((G238="5/8"),((база!$J$6*2*Таблица1[[#This Row],[Столбец1]]*Таблица1[[#This Row],[коэф]])),
IF(OR(G238="4/8",G238="3/8",G238="2/8"),((база!$J$5*2*Таблица1[[#This Row],[Столбец1]]*Таблица1[[#This Row],[коэф]])))))))))))</f>
        <v>0</v>
      </c>
      <c r="AQ238" s="712" t="str">
        <f>IFERROR(INDEX(база!T:T, MATCH(F238,база!Q:Q,0)),"")</f>
        <v/>
      </c>
      <c r="AR238" s="208" t="str">
        <f>IFERROR(INDEX(база!D:D, MATCH(F238,база!B:B,0)),"")</f>
        <v/>
      </c>
      <c r="AS238" s="758" t="str">
        <f>IFERROR(INDEX(база!E:E, MATCH(F238,база!B:B,0)),"")</f>
        <v/>
      </c>
    </row>
    <row r="239" spans="1:45" ht="15">
      <c r="A239" s="66" t="str">
        <f t="shared" si="4"/>
        <v>январь</v>
      </c>
      <c r="B239" s="231">
        <v>2024</v>
      </c>
      <c r="C239" s="60"/>
      <c r="D239" s="61"/>
      <c r="E239" s="211"/>
      <c r="F239" s="679"/>
      <c r="G239" s="47"/>
      <c r="H239" s="563"/>
      <c r="I239" s="563"/>
      <c r="J239" s="563"/>
      <c r="K239" s="563"/>
      <c r="L239" s="563"/>
      <c r="M239" s="563"/>
      <c r="N239" s="563"/>
      <c r="O239" s="563"/>
      <c r="P239" s="300"/>
      <c r="Q239" s="563"/>
      <c r="R239" s="563"/>
      <c r="S239" s="563"/>
      <c r="T239" s="563"/>
      <c r="U239" s="563"/>
      <c r="V239" s="563"/>
      <c r="W239" s="563"/>
      <c r="X239" s="563"/>
      <c r="Y239" s="563"/>
      <c r="Z239" s="563"/>
      <c r="AA239" s="563"/>
      <c r="AB239" s="563"/>
      <c r="AC239" s="563"/>
      <c r="AD239" s="48"/>
      <c r="AE239" s="48"/>
      <c r="AF239" s="258"/>
      <c r="AG239" s="48"/>
      <c r="AH239" s="48"/>
      <c r="AI239" s="258"/>
      <c r="AJ239" s="258"/>
      <c r="AK239" s="258"/>
      <c r="AL239" s="258"/>
      <c r="AM239" s="212">
        <f>IF(AQ239=1,SUM(Q239:T239,W239:Z239,AC239:AF239,AI239:AL239),
IF(AQ239=2,SUM(P239,S239:V239,Y239:AB239,AE239:AH239,AK239:AL239),
IF(AQ239=3,SUM(P239:R239,U239:X239,AA239:AD239,AG239:AJ239),SUM(Таблица1[[#This Row],[1]:[31]])-Таблица1[[#This Row],[Столбец1]])))</f>
        <v>0</v>
      </c>
      <c r="AN239" s="778">
        <f t="array" ref="AN239">IF(AQ239=1,SUM(P239,U239:V239,AA239:AB239,AG239:AH239),
IF(AQ239=2,SUM(Q239:R239,W239:X239,AC239:AD239,AI239:AJ239),
IF(AQ239=3,SUM(S239:T239,Y239:Z239,AE239:AF239,AK239:AL239),
SUM(IFERROR(WEEKDAY($H$2:$AL$2,2)&gt;5,)*H239:AL239))))+Таблица1[[#This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39" s="292" t="b">
        <f>IF(AR239&lt;=3,(IF((G239="5/24"),((база!$M$6*Таблица1[[#This Row],[сумма]]*Таблица1[[#This Row],[коэф]])),
IF((G239="4/24"),((база!$M$5*Таблица1[[#This Row],[сумма]]*Таблица1[[#This Row],[коэф]])),
IF((G239="3/24"),((база!$M$4*Таблица1[[#This Row],[сумма]]*Таблица1[[#This Row],[коэф]])),
IF((G239="5/16"),((база!$L$6*Таблица1[[#This Row],[сумма]]*Таблица1[[#This Row],[коэф]])),
IF((G239="4/16"),((база!$L$5*Таблица1[[#This Row],[сумма]]*Таблица1[[#This Row],[коэф]])),
IF((G239="3/16"),((база!$L$4*Таблица1[[#This Row],[сумма]]*Таблица1[[#This Row],[коэф]])),
IF((G239="4/4"),((база!$I$5*Таблица1[[#This Row],[сумма]]*Таблица1[[#This Row],[коэф]])),
IF(OR(G239="2/4",G239="3/4"),((база!$I$4*Таблица1[[#This Row],[сумма]]*Таблица1[[#This Row],[коэф]])),
IF((G239="5/8"),((база!$J$6*Таблица1[[#This Row],[сумма]]*Таблица1[[#This Row],[коэф]])),
IF((G239="4/8"),((база!$J$5*Таблица1[[#This Row],[сумма]]*Таблица1[[#This Row],[коэф]])),
IF(OR(G239="3/8",G239="2/8"),((база!$J$4*Таблица1[[#This Row],[сумма]]*Таблица1[[#This Row],[коэф]])))))))))))))),
(IF((G239="5/24"),((база!$M$6*Таблица1[[#This Row],[сумма]]*Таблица1[[#This Row],[коэф]])),
IF(OR(G239="4/24",G239="3/24"),((база!$M$5*Таблица1[[#This Row],[сумма]]*Таблица1[[#This Row],[коэф]])),
IF((G239="5/16"),((база!$L$6*Таблица1[[#This Row],[сумма]]*Таблица1[[#This Row],[коэф]])),
IF(OR(G239="4/16",G239="3/16"),((база!$L$5*Таблица1[[#This Row],[сумма]]*Таблица1[[#This Row],[коэф]])),
IF(OR(G239="2/4",G239="3/4",G239="4/4"),((база!$I$5*Таблица1[[#This Row],[сумма]]*Таблица1[[#This Row],[коэф]])),
IF((G239="5/8"),((база!$J$6*Таблица1[[#This Row],[сумма]]*Таблица1[[#This Row],[коэф]])),
IF(OR(G239="4/8",G239="3/8",G239="2/8"),((база!$J$5*Таблица1[[#This Row],[сумма]]*Таблица1[[#This Row],[коэф]])))))))))))</f>
        <v>0</v>
      </c>
      <c r="AP239" s="730" t="b">
        <f>IF(AR239&lt;=3,(IF((G239="5/24"),((база!$M$6*2*Таблица1[[#This Row],[Столбец1]]*Таблица1[[#This Row],[коэф]])),
IF((G239="4/24"),((база!$M$5*2*Таблица1[[#This Row],[Столбец1]]*Таблица1[[#This Row],[коэф]])),
IF((G239="3/24"),((база!$M$4*2*Таблица1[[#This Row],[Столбец1]]*Таблица1[[#This Row],[коэф]])),
IF((G239="5/16"),((база!$L$6*2*Таблица1[[#This Row],[Столбец1]]*Таблица1[[#This Row],[коэф]])),
IF((G239="4/16"),((база!$L$5*2*Таблица1[[#This Row],[Столбец1]]*Таблица1[[#This Row],[коэф]])),
IF((G239="3/16"),((база!$L$4*2*Таблица1[[#This Row],[Столбец1]]*Таблица1[[#This Row],[коэф]])),
IF((G239="4/4"),((база!$I$5*2*Таблица1[[#This Row],[Столбец1]]*Таблица1[[#This Row],[коэф]])),
IF(OR(G239="2/4",G239="3/4"),((база!$I$4*2*Таблица1[[#This Row],[Столбец1]]*Таблица1[[#This Row],[коэф]])),
IF((G239="5/8"),((база!$J$6*2*Таблица1[[#This Row],[Столбец1]]*Таблица1[[#This Row],[коэф]])),
IF((G239="4/8"),((база!$J$5*2*Таблица1[[#This Row],[Столбец1]]*Таблица1[[#This Row],[коэф]])),
IF(OR(G239="3/8",G239="2/8"),((база!$J$4*2*Таблица1[[#This Row],[Столбец1]]*Таблица1[[#This Row],[коэф]])))))))))))))),
(IF((G239="5/24"),((база!$M$6*2*Таблица1[[#This Row],[Столбец1]]*Таблица1[[#This Row],[коэф]])),
IF(OR(G239="4/24",G239="3/24"),((база!$M$5*2*Таблица1[[#This Row],[Столбец1]]*Таблица1[[#This Row],[коэф]])),
IF((G239="5/16"),((база!$L$6*2*Таблица1[[#This Row],[Столбец1]]*Таблица1[[#This Row],[коэф]])),
IF(OR(G239="4/16",G239="3/16"),((база!$L$5*2*Таблица1[[#This Row],[Столбец1]]*Таблица1[[#This Row],[коэф]])),
IF(OR(G239="2/4",G239="3/4",G239="4/4"),((база!$I$5*2*Таблица1[[#This Row],[Столбец1]]*Таблица1[[#This Row],[коэф]])),
IF((G239="5/8"),((база!$J$6*2*Таблица1[[#This Row],[Столбец1]]*Таблица1[[#This Row],[коэф]])),
IF(OR(G239="4/8",G239="3/8",G239="2/8"),((база!$J$5*2*Таблица1[[#This Row],[Столбец1]]*Таблица1[[#This Row],[коэф]])))))))))))</f>
        <v>0</v>
      </c>
      <c r="AQ239" s="712" t="str">
        <f>IFERROR(INDEX(база!T:T, MATCH(F239,база!Q:Q,0)),"")</f>
        <v/>
      </c>
      <c r="AR239" s="208" t="str">
        <f>IFERROR(INDEX(база!D:D, MATCH(F239,база!B:B,0)),"")</f>
        <v/>
      </c>
      <c r="AS239" s="758" t="str">
        <f>IFERROR(INDEX(база!E:E, MATCH(F239,база!B:B,0)),"")</f>
        <v/>
      </c>
    </row>
    <row r="240" spans="1:45" ht="15">
      <c r="A240" s="66" t="str">
        <f t="shared" si="4"/>
        <v>январь</v>
      </c>
      <c r="B240" s="231">
        <v>2024</v>
      </c>
      <c r="C240" s="60"/>
      <c r="D240" s="61"/>
      <c r="E240" s="211"/>
      <c r="F240" s="679"/>
      <c r="G240" s="47"/>
      <c r="H240" s="563"/>
      <c r="I240" s="563"/>
      <c r="J240" s="563"/>
      <c r="K240" s="563"/>
      <c r="L240" s="563"/>
      <c r="M240" s="563"/>
      <c r="N240" s="563"/>
      <c r="O240" s="563"/>
      <c r="P240" s="300"/>
      <c r="Q240" s="563"/>
      <c r="R240" s="563"/>
      <c r="S240" s="563"/>
      <c r="T240" s="563"/>
      <c r="U240" s="563"/>
      <c r="V240" s="563"/>
      <c r="W240" s="563"/>
      <c r="X240" s="563"/>
      <c r="Y240" s="563"/>
      <c r="Z240" s="563"/>
      <c r="AA240" s="563"/>
      <c r="AB240" s="563"/>
      <c r="AC240" s="563"/>
      <c r="AD240" s="258"/>
      <c r="AE240" s="258"/>
      <c r="AF240" s="258"/>
      <c r="AG240" s="48"/>
      <c r="AH240" s="48"/>
      <c r="AI240" s="48"/>
      <c r="AJ240" s="48"/>
      <c r="AK240" s="48"/>
      <c r="AL240" s="51"/>
      <c r="AM240" s="212">
        <f>IF(AQ240=1,SUM(Q240:T240,W240:Z240,AC240:AF240,AI240:AL240),
IF(AQ240=2,SUM(P240,S240:V240,Y240:AB240,AE240:AH240,AK240:AL240),
IF(AQ240=3,SUM(P240:R240,U240:X240,AA240:AD240,AG240:AJ240),SUM(Таблица1[[#This Row],[1]:[31]])-Таблица1[[#This Row],[Столбец1]])))</f>
        <v>0</v>
      </c>
      <c r="AN240" s="778">
        <f t="array" ref="AN240">IF(AQ240=1,SUM(P240,U240:V240,AA240:AB240,AG240:AH240),
IF(AQ240=2,SUM(Q240:R240,W240:X240,AC240:AD240,AI240:AJ240),
IF(AQ240=3,SUM(S240:T240,Y240:Z240,AE240:AF240,AK240:AL240),
SUM(IFERROR(WEEKDAY($H$2:$AL$2,2)&gt;5,)*H240:AL240))))+Таблица1[[#This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40" s="292" t="b">
        <f>IF(AR240&lt;=3,(IF((G240="5/24"),((база!$M$6*Таблица1[[#This Row],[сумма]]*Таблица1[[#This Row],[коэф]])),
IF((G240="4/24"),((база!$M$5*Таблица1[[#This Row],[сумма]]*Таблица1[[#This Row],[коэф]])),
IF((G240="3/24"),((база!$M$4*Таблица1[[#This Row],[сумма]]*Таблица1[[#This Row],[коэф]])),
IF((G240="5/16"),((база!$L$6*Таблица1[[#This Row],[сумма]]*Таблица1[[#This Row],[коэф]])),
IF((G240="4/16"),((база!$L$5*Таблица1[[#This Row],[сумма]]*Таблица1[[#This Row],[коэф]])),
IF((G240="3/16"),((база!$L$4*Таблица1[[#This Row],[сумма]]*Таблица1[[#This Row],[коэф]])),
IF((G240="4/4"),((база!$I$5*Таблица1[[#This Row],[сумма]]*Таблица1[[#This Row],[коэф]])),
IF(OR(G240="2/4",G240="3/4"),((база!$I$4*Таблица1[[#This Row],[сумма]]*Таблица1[[#This Row],[коэф]])),
IF((G240="5/8"),((база!$J$6*Таблица1[[#This Row],[сумма]]*Таблица1[[#This Row],[коэф]])),
IF((G240="4/8"),((база!$J$5*Таблица1[[#This Row],[сумма]]*Таблица1[[#This Row],[коэф]])),
IF(OR(G240="3/8",G240="2/8"),((база!$J$4*Таблица1[[#This Row],[сумма]]*Таблица1[[#This Row],[коэф]])))))))))))))),
(IF((G240="5/24"),((база!$M$6*Таблица1[[#This Row],[сумма]]*Таблица1[[#This Row],[коэф]])),
IF(OR(G240="4/24",G240="3/24"),((база!$M$5*Таблица1[[#This Row],[сумма]]*Таблица1[[#This Row],[коэф]])),
IF((G240="5/16"),((база!$L$6*Таблица1[[#This Row],[сумма]]*Таблица1[[#This Row],[коэф]])),
IF(OR(G240="4/16",G240="3/16"),((база!$L$5*Таблица1[[#This Row],[сумма]]*Таблица1[[#This Row],[коэф]])),
IF(OR(G240="2/4",G240="3/4",G240="4/4"),((база!$I$5*Таблица1[[#This Row],[сумма]]*Таблица1[[#This Row],[коэф]])),
IF((G240="5/8"),((база!$J$6*Таблица1[[#This Row],[сумма]]*Таблица1[[#This Row],[коэф]])),
IF(OR(G240="4/8",G240="3/8",G240="2/8"),((база!$J$5*Таблица1[[#This Row],[сумма]]*Таблица1[[#This Row],[коэф]])))))))))))</f>
        <v>0</v>
      </c>
      <c r="AP240" s="730" t="b">
        <f>IF(AR240&lt;=3,(IF((G240="5/24"),((база!$M$6*2*Таблица1[[#This Row],[Столбец1]]*Таблица1[[#This Row],[коэф]])),
IF((G240="4/24"),((база!$M$5*2*Таблица1[[#This Row],[Столбец1]]*Таблица1[[#This Row],[коэф]])),
IF((G240="3/24"),((база!$M$4*2*Таблица1[[#This Row],[Столбец1]]*Таблица1[[#This Row],[коэф]])),
IF((G240="5/16"),((база!$L$6*2*Таблица1[[#This Row],[Столбец1]]*Таблица1[[#This Row],[коэф]])),
IF((G240="4/16"),((база!$L$5*2*Таблица1[[#This Row],[Столбец1]]*Таблица1[[#This Row],[коэф]])),
IF((G240="3/16"),((база!$L$4*2*Таблица1[[#This Row],[Столбец1]]*Таблица1[[#This Row],[коэф]])),
IF((G240="4/4"),((база!$I$5*2*Таблица1[[#This Row],[Столбец1]]*Таблица1[[#This Row],[коэф]])),
IF(OR(G240="2/4",G240="3/4"),((база!$I$4*2*Таблица1[[#This Row],[Столбец1]]*Таблица1[[#This Row],[коэф]])),
IF((G240="5/8"),((база!$J$6*2*Таблица1[[#This Row],[Столбец1]]*Таблица1[[#This Row],[коэф]])),
IF((G240="4/8"),((база!$J$5*2*Таблица1[[#This Row],[Столбец1]]*Таблица1[[#This Row],[коэф]])),
IF(OR(G240="3/8",G240="2/8"),((база!$J$4*2*Таблица1[[#This Row],[Столбец1]]*Таблица1[[#This Row],[коэф]])))))))))))))),
(IF((G240="5/24"),((база!$M$6*2*Таблица1[[#This Row],[Столбец1]]*Таблица1[[#This Row],[коэф]])),
IF(OR(G240="4/24",G240="3/24"),((база!$M$5*2*Таблица1[[#This Row],[Столбец1]]*Таблица1[[#This Row],[коэф]])),
IF((G240="5/16"),((база!$L$6*2*Таблица1[[#This Row],[Столбец1]]*Таблица1[[#This Row],[коэф]])),
IF(OR(G240="4/16",G240="3/16"),((база!$L$5*2*Таблица1[[#This Row],[Столбец1]]*Таблица1[[#This Row],[коэф]])),
IF(OR(G240="2/4",G240="3/4",G240="4/4"),((база!$I$5*2*Таблица1[[#This Row],[Столбец1]]*Таблица1[[#This Row],[коэф]])),
IF((G240="5/8"),((база!$J$6*2*Таблица1[[#This Row],[Столбец1]]*Таблица1[[#This Row],[коэф]])),
IF(OR(G240="4/8",G240="3/8",G240="2/8"),((база!$J$5*2*Таблица1[[#This Row],[Столбец1]]*Таблица1[[#This Row],[коэф]])))))))))))</f>
        <v>0</v>
      </c>
      <c r="AQ240" s="712" t="str">
        <f>IFERROR(INDEX(база!T:T, MATCH(F240,база!Q:Q,0)),"")</f>
        <v/>
      </c>
      <c r="AR240" s="208" t="str">
        <f>IFERROR(INDEX(база!D:D, MATCH(F240,база!B:B,0)),"")</f>
        <v/>
      </c>
      <c r="AS240" s="758" t="str">
        <f>IFERROR(INDEX(база!E:E, MATCH(F240,база!B:B,0)),"")</f>
        <v/>
      </c>
    </row>
    <row r="241" spans="1:45" ht="15">
      <c r="A241" s="66" t="str">
        <f t="shared" si="4"/>
        <v>январь</v>
      </c>
      <c r="B241" s="231">
        <v>2024</v>
      </c>
      <c r="C241" s="60"/>
      <c r="D241" s="61"/>
      <c r="E241" s="211"/>
      <c r="F241" s="679"/>
      <c r="G241" s="47"/>
      <c r="H241" s="563"/>
      <c r="I241" s="563"/>
      <c r="J241" s="563"/>
      <c r="K241" s="563"/>
      <c r="L241" s="563"/>
      <c r="M241" s="563"/>
      <c r="N241" s="563"/>
      <c r="O241" s="563"/>
      <c r="P241" s="300"/>
      <c r="Q241" s="563"/>
      <c r="R241" s="563"/>
      <c r="S241" s="563"/>
      <c r="T241" s="563"/>
      <c r="U241" s="563"/>
      <c r="V241" s="563"/>
      <c r="W241" s="563"/>
      <c r="X241" s="563"/>
      <c r="Y241" s="563"/>
      <c r="Z241" s="563"/>
      <c r="AA241" s="563"/>
      <c r="AB241" s="563"/>
      <c r="AC241" s="563"/>
      <c r="AD241" s="48"/>
      <c r="AE241" s="48"/>
      <c r="AF241" s="258"/>
      <c r="AG241" s="48"/>
      <c r="AH241" s="48"/>
      <c r="AI241" s="258"/>
      <c r="AJ241" s="258"/>
      <c r="AK241" s="258"/>
      <c r="AL241" s="258"/>
      <c r="AM241" s="212">
        <f>IF(AQ241=1,SUM(Q241:T241,W241:Z241,AC241:AF241,AI241:AL241),
IF(AQ241=2,SUM(P241,S241:V241,Y241:AB241,AE241:AH241,AK241:AL241),
IF(AQ241=3,SUM(P241:R241,U241:X241,AA241:AD241,AG241:AJ241),SUM(Таблица1[[#This Row],[1]:[31]])-Таблица1[[#This Row],[Столбец1]])))</f>
        <v>0</v>
      </c>
      <c r="AN241" s="778">
        <f t="array" ref="AN241">IF(AQ241=1,SUM(P241,U241:V241,AA241:AB241,AG241:AH241),
IF(AQ241=2,SUM(Q241:R241,W241:X241,AC241:AD241,AI241:AJ241),
IF(AQ241=3,SUM(S241:T241,Y241:Z241,AE241:AF241,AK241:AL241),
SUM(IFERROR(WEEKDAY($H$2:$AL$2,2)&gt;5,)*H241:AL241))))+Таблица1[[#This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41" s="292" t="b">
        <f>IF(AR241&lt;=3,(IF((G241="5/24"),((база!$M$6*Таблица1[[#This Row],[сумма]]*Таблица1[[#This Row],[коэф]])),
IF((G241="4/24"),((база!$M$5*Таблица1[[#This Row],[сумма]]*Таблица1[[#This Row],[коэф]])),
IF((G241="3/24"),((база!$M$4*Таблица1[[#This Row],[сумма]]*Таблица1[[#This Row],[коэф]])),
IF((G241="5/16"),((база!$L$6*Таблица1[[#This Row],[сумма]]*Таблица1[[#This Row],[коэф]])),
IF((G241="4/16"),((база!$L$5*Таблица1[[#This Row],[сумма]]*Таблица1[[#This Row],[коэф]])),
IF((G241="3/16"),((база!$L$4*Таблица1[[#This Row],[сумма]]*Таблица1[[#This Row],[коэф]])),
IF((G241="4/4"),((база!$I$5*Таблица1[[#This Row],[сумма]]*Таблица1[[#This Row],[коэф]])),
IF(OR(G241="2/4",G241="3/4"),((база!$I$4*Таблица1[[#This Row],[сумма]]*Таблица1[[#This Row],[коэф]])),
IF((G241="5/8"),((база!$J$6*Таблица1[[#This Row],[сумма]]*Таблица1[[#This Row],[коэф]])),
IF((G241="4/8"),((база!$J$5*Таблица1[[#This Row],[сумма]]*Таблица1[[#This Row],[коэф]])),
IF(OR(G241="3/8",G241="2/8"),((база!$J$4*Таблица1[[#This Row],[сумма]]*Таблица1[[#This Row],[коэф]])))))))))))))),
(IF((G241="5/24"),((база!$M$6*Таблица1[[#This Row],[сумма]]*Таблица1[[#This Row],[коэф]])),
IF(OR(G241="4/24",G241="3/24"),((база!$M$5*Таблица1[[#This Row],[сумма]]*Таблица1[[#This Row],[коэф]])),
IF((G241="5/16"),((база!$L$6*Таблица1[[#This Row],[сумма]]*Таблица1[[#This Row],[коэф]])),
IF(OR(G241="4/16",G241="3/16"),((база!$L$5*Таблица1[[#This Row],[сумма]]*Таблица1[[#This Row],[коэф]])),
IF(OR(G241="2/4",G241="3/4",G241="4/4"),((база!$I$5*Таблица1[[#This Row],[сумма]]*Таблица1[[#This Row],[коэф]])),
IF((G241="5/8"),((база!$J$6*Таблица1[[#This Row],[сумма]]*Таблица1[[#This Row],[коэф]])),
IF(OR(G241="4/8",G241="3/8",G241="2/8"),((база!$J$5*Таблица1[[#This Row],[сумма]]*Таблица1[[#This Row],[коэф]])))))))))))</f>
        <v>0</v>
      </c>
      <c r="AP241" s="730" t="b">
        <f>IF(AR241&lt;=3,(IF((G241="5/24"),((база!$M$6*2*Таблица1[[#This Row],[Столбец1]]*Таблица1[[#This Row],[коэф]])),
IF((G241="4/24"),((база!$M$5*2*Таблица1[[#This Row],[Столбец1]]*Таблица1[[#This Row],[коэф]])),
IF((G241="3/24"),((база!$M$4*2*Таблица1[[#This Row],[Столбец1]]*Таблица1[[#This Row],[коэф]])),
IF((G241="5/16"),((база!$L$6*2*Таблица1[[#This Row],[Столбец1]]*Таблица1[[#This Row],[коэф]])),
IF((G241="4/16"),((база!$L$5*2*Таблица1[[#This Row],[Столбец1]]*Таблица1[[#This Row],[коэф]])),
IF((G241="3/16"),((база!$L$4*2*Таблица1[[#This Row],[Столбец1]]*Таблица1[[#This Row],[коэф]])),
IF((G241="4/4"),((база!$I$5*2*Таблица1[[#This Row],[Столбец1]]*Таблица1[[#This Row],[коэф]])),
IF(OR(G241="2/4",G241="3/4"),((база!$I$4*2*Таблица1[[#This Row],[Столбец1]]*Таблица1[[#This Row],[коэф]])),
IF((G241="5/8"),((база!$J$6*2*Таблица1[[#This Row],[Столбец1]]*Таблица1[[#This Row],[коэф]])),
IF((G241="4/8"),((база!$J$5*2*Таблица1[[#This Row],[Столбец1]]*Таблица1[[#This Row],[коэф]])),
IF(OR(G241="3/8",G241="2/8"),((база!$J$4*2*Таблица1[[#This Row],[Столбец1]]*Таблица1[[#This Row],[коэф]])))))))))))))),
(IF((G241="5/24"),((база!$M$6*2*Таблица1[[#This Row],[Столбец1]]*Таблица1[[#This Row],[коэф]])),
IF(OR(G241="4/24",G241="3/24"),((база!$M$5*2*Таблица1[[#This Row],[Столбец1]]*Таблица1[[#This Row],[коэф]])),
IF((G241="5/16"),((база!$L$6*2*Таблица1[[#This Row],[Столбец1]]*Таблица1[[#This Row],[коэф]])),
IF(OR(G241="4/16",G241="3/16"),((база!$L$5*2*Таблица1[[#This Row],[Столбец1]]*Таблица1[[#This Row],[коэф]])),
IF(OR(G241="2/4",G241="3/4",G241="4/4"),((база!$I$5*2*Таблица1[[#This Row],[Столбец1]]*Таблица1[[#This Row],[коэф]])),
IF((G241="5/8"),((база!$J$6*2*Таблица1[[#This Row],[Столбец1]]*Таблица1[[#This Row],[коэф]])),
IF(OR(G241="4/8",G241="3/8",G241="2/8"),((база!$J$5*2*Таблица1[[#This Row],[Столбец1]]*Таблица1[[#This Row],[коэф]])))))))))))</f>
        <v>0</v>
      </c>
      <c r="AQ241" s="712" t="str">
        <f>IFERROR(INDEX(база!T:T, MATCH(F241,база!Q:Q,0)),"")</f>
        <v/>
      </c>
      <c r="AR241" s="208" t="str">
        <f>IFERROR(INDEX(база!D:D, MATCH(F241,база!B:B,0)),"")</f>
        <v/>
      </c>
      <c r="AS241" s="758" t="str">
        <f>IFERROR(INDEX(база!E:E, MATCH(F241,база!B:B,0)),"")</f>
        <v/>
      </c>
    </row>
    <row r="242" spans="1:45" ht="15">
      <c r="A242" s="66" t="str">
        <f t="shared" si="4"/>
        <v>январь</v>
      </c>
      <c r="B242" s="231">
        <v>2024</v>
      </c>
      <c r="C242" s="60"/>
      <c r="D242" s="61"/>
      <c r="E242" s="211"/>
      <c r="F242" s="679"/>
      <c r="G242" s="47"/>
      <c r="H242" s="563"/>
      <c r="I242" s="563"/>
      <c r="J242" s="563"/>
      <c r="K242" s="563"/>
      <c r="L242" s="563"/>
      <c r="M242" s="563"/>
      <c r="N242" s="563"/>
      <c r="O242" s="563"/>
      <c r="P242" s="300"/>
      <c r="Q242" s="563"/>
      <c r="R242" s="563"/>
      <c r="S242" s="563"/>
      <c r="T242" s="563"/>
      <c r="U242" s="563"/>
      <c r="V242" s="563"/>
      <c r="W242" s="563"/>
      <c r="X242" s="563"/>
      <c r="Y242" s="563"/>
      <c r="Z242" s="563"/>
      <c r="AA242" s="563"/>
      <c r="AB242" s="563"/>
      <c r="AC242" s="563"/>
      <c r="AD242" s="48"/>
      <c r="AE242" s="48"/>
      <c r="AF242" s="258"/>
      <c r="AG242" s="48"/>
      <c r="AH242" s="48"/>
      <c r="AI242" s="48"/>
      <c r="AJ242" s="48"/>
      <c r="AK242" s="48"/>
      <c r="AL242" s="51"/>
      <c r="AM242" s="212">
        <f>IF(AQ242=1,SUM(Q242:T242,W242:Z242,AC242:AF242,AI242:AL242),
IF(AQ242=2,SUM(P242,S242:V242,Y242:AB242,AE242:AH242,AK242:AL242),
IF(AQ242=3,SUM(P242:R242,U242:X242,AA242:AD242,AG242:AJ242),SUM(Таблица1[[#This Row],[1]:[31]])-Таблица1[[#This Row],[Столбец1]])))</f>
        <v>0</v>
      </c>
      <c r="AN242" s="778">
        <f t="array" ref="AN242">IF(AQ242=1,SUM(P242,U242:V242,AA242:AB242,AG242:AH242),
IF(AQ242=2,SUM(Q242:R242,W242:X242,AC242:AD242,AI242:AJ242),
IF(AQ242=3,SUM(S242:T242,Y242:Z242,AE242:AF242,AK242:AL242),
SUM(IFERROR(WEEKDAY($H$2:$AL$2,2)&gt;5,)*H242:AL242))))+Таблица1[[#This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42" s="292" t="b">
        <f>IF(AR242&lt;=3,(IF((G242="5/24"),((база!$M$6*Таблица1[[#This Row],[сумма]]*Таблица1[[#This Row],[коэф]])),
IF((G242="4/24"),((база!$M$5*Таблица1[[#This Row],[сумма]]*Таблица1[[#This Row],[коэф]])),
IF((G242="3/24"),((база!$M$4*Таблица1[[#This Row],[сумма]]*Таблица1[[#This Row],[коэф]])),
IF((G242="5/16"),((база!$L$6*Таблица1[[#This Row],[сумма]]*Таблица1[[#This Row],[коэф]])),
IF((G242="4/16"),((база!$L$5*Таблица1[[#This Row],[сумма]]*Таблица1[[#This Row],[коэф]])),
IF((G242="3/16"),((база!$L$4*Таблица1[[#This Row],[сумма]]*Таблица1[[#This Row],[коэф]])),
IF((G242="4/4"),((база!$I$5*Таблица1[[#This Row],[сумма]]*Таблица1[[#This Row],[коэф]])),
IF(OR(G242="2/4",G242="3/4"),((база!$I$4*Таблица1[[#This Row],[сумма]]*Таблица1[[#This Row],[коэф]])),
IF((G242="5/8"),((база!$J$6*Таблица1[[#This Row],[сумма]]*Таблица1[[#This Row],[коэф]])),
IF((G242="4/8"),((база!$J$5*Таблица1[[#This Row],[сумма]]*Таблица1[[#This Row],[коэф]])),
IF(OR(G242="3/8",G242="2/8"),((база!$J$4*Таблица1[[#This Row],[сумма]]*Таблица1[[#This Row],[коэф]])))))))))))))),
(IF((G242="5/24"),((база!$M$6*Таблица1[[#This Row],[сумма]]*Таблица1[[#This Row],[коэф]])),
IF(OR(G242="4/24",G242="3/24"),((база!$M$5*Таблица1[[#This Row],[сумма]]*Таблица1[[#This Row],[коэф]])),
IF((G242="5/16"),((база!$L$6*Таблица1[[#This Row],[сумма]]*Таблица1[[#This Row],[коэф]])),
IF(OR(G242="4/16",G242="3/16"),((база!$L$5*Таблица1[[#This Row],[сумма]]*Таблица1[[#This Row],[коэф]])),
IF(OR(G242="2/4",G242="3/4",G242="4/4"),((база!$I$5*Таблица1[[#This Row],[сумма]]*Таблица1[[#This Row],[коэф]])),
IF((G242="5/8"),((база!$J$6*Таблица1[[#This Row],[сумма]]*Таблица1[[#This Row],[коэф]])),
IF(OR(G242="4/8",G242="3/8",G242="2/8"),((база!$J$5*Таблица1[[#This Row],[сумма]]*Таблица1[[#This Row],[коэф]])))))))))))</f>
        <v>0</v>
      </c>
      <c r="AP242" s="730" t="b">
        <f>IF(AR242&lt;=3,(IF((G242="5/24"),((база!$M$6*2*Таблица1[[#This Row],[Столбец1]]*Таблица1[[#This Row],[коэф]])),
IF((G242="4/24"),((база!$M$5*2*Таблица1[[#This Row],[Столбец1]]*Таблица1[[#This Row],[коэф]])),
IF((G242="3/24"),((база!$M$4*2*Таблица1[[#This Row],[Столбец1]]*Таблица1[[#This Row],[коэф]])),
IF((G242="5/16"),((база!$L$6*2*Таблица1[[#This Row],[Столбец1]]*Таблица1[[#This Row],[коэф]])),
IF((G242="4/16"),((база!$L$5*2*Таблица1[[#This Row],[Столбец1]]*Таблица1[[#This Row],[коэф]])),
IF((G242="3/16"),((база!$L$4*2*Таблица1[[#This Row],[Столбец1]]*Таблица1[[#This Row],[коэф]])),
IF((G242="4/4"),((база!$I$5*2*Таблица1[[#This Row],[Столбец1]]*Таблица1[[#This Row],[коэф]])),
IF(OR(G242="2/4",G242="3/4"),((база!$I$4*2*Таблица1[[#This Row],[Столбец1]]*Таблица1[[#This Row],[коэф]])),
IF((G242="5/8"),((база!$J$6*2*Таблица1[[#This Row],[Столбец1]]*Таблица1[[#This Row],[коэф]])),
IF((G242="4/8"),((база!$J$5*2*Таблица1[[#This Row],[Столбец1]]*Таблица1[[#This Row],[коэф]])),
IF(OR(G242="3/8",G242="2/8"),((база!$J$4*2*Таблица1[[#This Row],[Столбец1]]*Таблица1[[#This Row],[коэф]])))))))))))))),
(IF((G242="5/24"),((база!$M$6*2*Таблица1[[#This Row],[Столбец1]]*Таблица1[[#This Row],[коэф]])),
IF(OR(G242="4/24",G242="3/24"),((база!$M$5*2*Таблица1[[#This Row],[Столбец1]]*Таблица1[[#This Row],[коэф]])),
IF((G242="5/16"),((база!$L$6*2*Таблица1[[#This Row],[Столбец1]]*Таблица1[[#This Row],[коэф]])),
IF(OR(G242="4/16",G242="3/16"),((база!$L$5*2*Таблица1[[#This Row],[Столбец1]]*Таблица1[[#This Row],[коэф]])),
IF(OR(G242="2/4",G242="3/4",G242="4/4"),((база!$I$5*2*Таблица1[[#This Row],[Столбец1]]*Таблица1[[#This Row],[коэф]])),
IF((G242="5/8"),((база!$J$6*2*Таблица1[[#This Row],[Столбец1]]*Таблица1[[#This Row],[коэф]])),
IF(OR(G242="4/8",G242="3/8",G242="2/8"),((база!$J$5*2*Таблица1[[#This Row],[Столбец1]]*Таблица1[[#This Row],[коэф]])))))))))))</f>
        <v>0</v>
      </c>
      <c r="AQ242" s="712" t="str">
        <f>IFERROR(INDEX(база!T:T, MATCH(F242,база!Q:Q,0)),"")</f>
        <v/>
      </c>
      <c r="AR242" s="208" t="str">
        <f>IFERROR(INDEX(база!D:D, MATCH(F242,база!B:B,0)),"")</f>
        <v/>
      </c>
      <c r="AS242" s="758" t="str">
        <f>IFERROR(INDEX(база!E:E, MATCH(F242,база!B:B,0)),"")</f>
        <v/>
      </c>
    </row>
    <row r="243" spans="1:45" ht="15">
      <c r="A243" s="66" t="str">
        <f t="shared" si="4"/>
        <v>январь</v>
      </c>
      <c r="B243" s="231">
        <v>2024</v>
      </c>
      <c r="C243" s="60"/>
      <c r="D243" s="61"/>
      <c r="E243" s="211"/>
      <c r="F243" s="679"/>
      <c r="G243" s="47"/>
      <c r="H243" s="563"/>
      <c r="I243" s="563"/>
      <c r="J243" s="563"/>
      <c r="K243" s="563"/>
      <c r="L243" s="563"/>
      <c r="M243" s="563"/>
      <c r="N243" s="563"/>
      <c r="O243" s="563"/>
      <c r="P243" s="300"/>
      <c r="Q243" s="563"/>
      <c r="R243" s="563"/>
      <c r="S243" s="563"/>
      <c r="T243" s="563"/>
      <c r="U243" s="563"/>
      <c r="V243" s="563"/>
      <c r="W243" s="563"/>
      <c r="X243" s="563"/>
      <c r="Y243" s="563"/>
      <c r="Z243" s="563"/>
      <c r="AA243" s="563"/>
      <c r="AB243" s="563"/>
      <c r="AC243" s="563"/>
      <c r="AD243" s="48"/>
      <c r="AE243" s="48"/>
      <c r="AF243" s="258"/>
      <c r="AG243" s="48"/>
      <c r="AH243" s="48"/>
      <c r="AI243" s="258"/>
      <c r="AJ243" s="258"/>
      <c r="AK243" s="258"/>
      <c r="AL243" s="258"/>
      <c r="AM243" s="212">
        <f>IF(AQ243=1,SUM(Q243:T243,W243:Z243,AC243:AF243,AI243:AL243),
IF(AQ243=2,SUM(P243,S243:V243,Y243:AB243,AE243:AH243,AK243:AL243),
IF(AQ243=3,SUM(P243:R243,U243:X243,AA243:AD243,AG243:AJ243),SUM(Таблица1[[#This Row],[1]:[31]])-Таблица1[[#This Row],[Столбец1]])))</f>
        <v>0</v>
      </c>
      <c r="AN243" s="778">
        <f t="array" ref="AN243">IF(AQ243=1,SUM(P243,U243:V243,AA243:AB243,AG243:AH243),
IF(AQ243=2,SUM(Q243:R243,W243:X243,AC243:AD243,AI243:AJ243),
IF(AQ243=3,SUM(S243:T243,Y243:Z243,AE243:AF243,AK243:AL243),
SUM(IFERROR(WEEKDAY($H$2:$AL$2,2)&gt;5,)*H243:AL243))))+Таблица1[[#This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43" s="292" t="b">
        <f>IF(AR243&lt;=3,(IF((G243="5/24"),((база!$M$6*Таблица1[[#This Row],[сумма]]*Таблица1[[#This Row],[коэф]])),
IF((G243="4/24"),((база!$M$5*Таблица1[[#This Row],[сумма]]*Таблица1[[#This Row],[коэф]])),
IF((G243="3/24"),((база!$M$4*Таблица1[[#This Row],[сумма]]*Таблица1[[#This Row],[коэф]])),
IF((G243="5/16"),((база!$L$6*Таблица1[[#This Row],[сумма]]*Таблица1[[#This Row],[коэф]])),
IF((G243="4/16"),((база!$L$5*Таблица1[[#This Row],[сумма]]*Таблица1[[#This Row],[коэф]])),
IF((G243="3/16"),((база!$L$4*Таблица1[[#This Row],[сумма]]*Таблица1[[#This Row],[коэф]])),
IF((G243="4/4"),((база!$I$5*Таблица1[[#This Row],[сумма]]*Таблица1[[#This Row],[коэф]])),
IF(OR(G243="2/4",G243="3/4"),((база!$I$4*Таблица1[[#This Row],[сумма]]*Таблица1[[#This Row],[коэф]])),
IF((G243="5/8"),((база!$J$6*Таблица1[[#This Row],[сумма]]*Таблица1[[#This Row],[коэф]])),
IF((G243="4/8"),((база!$J$5*Таблица1[[#This Row],[сумма]]*Таблица1[[#This Row],[коэф]])),
IF(OR(G243="3/8",G243="2/8"),((база!$J$4*Таблица1[[#This Row],[сумма]]*Таблица1[[#This Row],[коэф]])))))))))))))),
(IF((G243="5/24"),((база!$M$6*Таблица1[[#This Row],[сумма]]*Таблица1[[#This Row],[коэф]])),
IF(OR(G243="4/24",G243="3/24"),((база!$M$5*Таблица1[[#This Row],[сумма]]*Таблица1[[#This Row],[коэф]])),
IF((G243="5/16"),((база!$L$6*Таблица1[[#This Row],[сумма]]*Таблица1[[#This Row],[коэф]])),
IF(OR(G243="4/16",G243="3/16"),((база!$L$5*Таблица1[[#This Row],[сумма]]*Таблица1[[#This Row],[коэф]])),
IF(OR(G243="2/4",G243="3/4",G243="4/4"),((база!$I$5*Таблица1[[#This Row],[сумма]]*Таблица1[[#This Row],[коэф]])),
IF((G243="5/8"),((база!$J$6*Таблица1[[#This Row],[сумма]]*Таблица1[[#This Row],[коэф]])),
IF(OR(G243="4/8",G243="3/8",G243="2/8"),((база!$J$5*Таблица1[[#This Row],[сумма]]*Таблица1[[#This Row],[коэф]])))))))))))</f>
        <v>0</v>
      </c>
      <c r="AP243" s="730" t="b">
        <f>IF(AR243&lt;=3,(IF((G243="5/24"),((база!$M$6*2*Таблица1[[#This Row],[Столбец1]]*Таблица1[[#This Row],[коэф]])),
IF((G243="4/24"),((база!$M$5*2*Таблица1[[#This Row],[Столбец1]]*Таблица1[[#This Row],[коэф]])),
IF((G243="3/24"),((база!$M$4*2*Таблица1[[#This Row],[Столбец1]]*Таблица1[[#This Row],[коэф]])),
IF((G243="5/16"),((база!$L$6*2*Таблица1[[#This Row],[Столбец1]]*Таблица1[[#This Row],[коэф]])),
IF((G243="4/16"),((база!$L$5*2*Таблица1[[#This Row],[Столбец1]]*Таблица1[[#This Row],[коэф]])),
IF((G243="3/16"),((база!$L$4*2*Таблица1[[#This Row],[Столбец1]]*Таблица1[[#This Row],[коэф]])),
IF((G243="4/4"),((база!$I$5*2*Таблица1[[#This Row],[Столбец1]]*Таблица1[[#This Row],[коэф]])),
IF(OR(G243="2/4",G243="3/4"),((база!$I$4*2*Таблица1[[#This Row],[Столбец1]]*Таблица1[[#This Row],[коэф]])),
IF((G243="5/8"),((база!$J$6*2*Таблица1[[#This Row],[Столбец1]]*Таблица1[[#This Row],[коэф]])),
IF((G243="4/8"),((база!$J$5*2*Таблица1[[#This Row],[Столбец1]]*Таблица1[[#This Row],[коэф]])),
IF(OR(G243="3/8",G243="2/8"),((база!$J$4*2*Таблица1[[#This Row],[Столбец1]]*Таблица1[[#This Row],[коэф]])))))))))))))),
(IF((G243="5/24"),((база!$M$6*2*Таблица1[[#This Row],[Столбец1]]*Таблица1[[#This Row],[коэф]])),
IF(OR(G243="4/24",G243="3/24"),((база!$M$5*2*Таблица1[[#This Row],[Столбец1]]*Таблица1[[#This Row],[коэф]])),
IF((G243="5/16"),((база!$L$6*2*Таблица1[[#This Row],[Столбец1]]*Таблица1[[#This Row],[коэф]])),
IF(OR(G243="4/16",G243="3/16"),((база!$L$5*2*Таблица1[[#This Row],[Столбец1]]*Таблица1[[#This Row],[коэф]])),
IF(OR(G243="2/4",G243="3/4",G243="4/4"),((база!$I$5*2*Таблица1[[#This Row],[Столбец1]]*Таблица1[[#This Row],[коэф]])),
IF((G243="5/8"),((база!$J$6*2*Таблица1[[#This Row],[Столбец1]]*Таблица1[[#This Row],[коэф]])),
IF(OR(G243="4/8",G243="3/8",G243="2/8"),((база!$J$5*2*Таблица1[[#This Row],[Столбец1]]*Таблица1[[#This Row],[коэф]])))))))))))</f>
        <v>0</v>
      </c>
      <c r="AQ243" s="712" t="str">
        <f>IFERROR(INDEX(база!T:T, MATCH(F243,база!Q:Q,0)),"")</f>
        <v/>
      </c>
      <c r="AR243" s="208" t="str">
        <f>IFERROR(INDEX(база!D:D, MATCH(F243,база!B:B,0)),"")</f>
        <v/>
      </c>
      <c r="AS243" s="758" t="str">
        <f>IFERROR(INDEX(база!E:E, MATCH(F243,база!B:B,0)),"")</f>
        <v/>
      </c>
    </row>
    <row r="244" spans="1:45" ht="15">
      <c r="A244" s="66" t="str">
        <f t="shared" si="4"/>
        <v>январь</v>
      </c>
      <c r="B244" s="231">
        <v>2024</v>
      </c>
      <c r="C244" s="60"/>
      <c r="D244" s="61"/>
      <c r="E244" s="211"/>
      <c r="F244" s="679"/>
      <c r="G244" s="47"/>
      <c r="H244" s="563"/>
      <c r="I244" s="563"/>
      <c r="J244" s="563"/>
      <c r="K244" s="563"/>
      <c r="L244" s="563"/>
      <c r="M244" s="563"/>
      <c r="N244" s="563"/>
      <c r="O244" s="563"/>
      <c r="P244" s="300"/>
      <c r="Q244" s="563"/>
      <c r="R244" s="563"/>
      <c r="S244" s="563"/>
      <c r="T244" s="563"/>
      <c r="U244" s="563"/>
      <c r="V244" s="563"/>
      <c r="W244" s="563"/>
      <c r="X244" s="563"/>
      <c r="Y244" s="563"/>
      <c r="Z244" s="563"/>
      <c r="AA244" s="563"/>
      <c r="AB244" s="563"/>
      <c r="AC244" s="563"/>
      <c r="AD244" s="48"/>
      <c r="AE244" s="48"/>
      <c r="AF244" s="258"/>
      <c r="AG244" s="48"/>
      <c r="AH244" s="48"/>
      <c r="AI244" s="48"/>
      <c r="AJ244" s="48"/>
      <c r="AK244" s="48"/>
      <c r="AL244" s="51"/>
      <c r="AM244" s="212">
        <f>IF(AQ244=1,SUM(Q244:T244,W244:Z244,AC244:AF244,AI244:AL244),
IF(AQ244=2,SUM(P244,S244:V244,Y244:AB244,AE244:AH244,AK244:AL244),
IF(AQ244=3,SUM(P244:R244,U244:X244,AA244:AD244,AG244:AJ244),SUM(Таблица1[[#This Row],[1]:[31]])-Таблица1[[#This Row],[Столбец1]])))</f>
        <v>0</v>
      </c>
      <c r="AN244" s="778">
        <f t="array" ref="AN244">IF(AQ244=1,SUM(P244,U244:V244,AA244:AB244,AG244:AH244),
IF(AQ244=2,SUM(Q244:R244,W244:X244,AC244:AD244,AI244:AJ244),
IF(AQ244=3,SUM(S244:T244,Y244:Z244,AE244:AF244,AK244:AL244),
SUM(IFERROR(WEEKDAY($H$2:$AL$2,2)&gt;5,)*H244:AL244))))+Таблица1[[#This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44" s="292" t="b">
        <f>IF(AR244&lt;=3,(IF((G244="5/24"),((база!$M$6*Таблица1[[#This Row],[сумма]]*Таблица1[[#This Row],[коэф]])),
IF((G244="4/24"),((база!$M$5*Таблица1[[#This Row],[сумма]]*Таблица1[[#This Row],[коэф]])),
IF((G244="3/24"),((база!$M$4*Таблица1[[#This Row],[сумма]]*Таблица1[[#This Row],[коэф]])),
IF((G244="5/16"),((база!$L$6*Таблица1[[#This Row],[сумма]]*Таблица1[[#This Row],[коэф]])),
IF((G244="4/16"),((база!$L$5*Таблица1[[#This Row],[сумма]]*Таблица1[[#This Row],[коэф]])),
IF((G244="3/16"),((база!$L$4*Таблица1[[#This Row],[сумма]]*Таблица1[[#This Row],[коэф]])),
IF((G244="4/4"),((база!$I$5*Таблица1[[#This Row],[сумма]]*Таблица1[[#This Row],[коэф]])),
IF(OR(G244="2/4",G244="3/4"),((база!$I$4*Таблица1[[#This Row],[сумма]]*Таблица1[[#This Row],[коэф]])),
IF((G244="5/8"),((база!$J$6*Таблица1[[#This Row],[сумма]]*Таблица1[[#This Row],[коэф]])),
IF((G244="4/8"),((база!$J$5*Таблица1[[#This Row],[сумма]]*Таблица1[[#This Row],[коэф]])),
IF(OR(G244="3/8",G244="2/8"),((база!$J$4*Таблица1[[#This Row],[сумма]]*Таблица1[[#This Row],[коэф]])))))))))))))),
(IF((G244="5/24"),((база!$M$6*Таблица1[[#This Row],[сумма]]*Таблица1[[#This Row],[коэф]])),
IF(OR(G244="4/24",G244="3/24"),((база!$M$5*Таблица1[[#This Row],[сумма]]*Таблица1[[#This Row],[коэф]])),
IF((G244="5/16"),((база!$L$6*Таблица1[[#This Row],[сумма]]*Таблица1[[#This Row],[коэф]])),
IF(OR(G244="4/16",G244="3/16"),((база!$L$5*Таблица1[[#This Row],[сумма]]*Таблица1[[#This Row],[коэф]])),
IF(OR(G244="2/4",G244="3/4",G244="4/4"),((база!$I$5*Таблица1[[#This Row],[сумма]]*Таблица1[[#This Row],[коэф]])),
IF((G244="5/8"),((база!$J$6*Таблица1[[#This Row],[сумма]]*Таблица1[[#This Row],[коэф]])),
IF(OR(G244="4/8",G244="3/8",G244="2/8"),((база!$J$5*Таблица1[[#This Row],[сумма]]*Таблица1[[#This Row],[коэф]])))))))))))</f>
        <v>0</v>
      </c>
      <c r="AP244" s="730" t="b">
        <f>IF(AR244&lt;=3,(IF((G244="5/24"),((база!$M$6*2*Таблица1[[#This Row],[Столбец1]]*Таблица1[[#This Row],[коэф]])),
IF((G244="4/24"),((база!$M$5*2*Таблица1[[#This Row],[Столбец1]]*Таблица1[[#This Row],[коэф]])),
IF((G244="3/24"),((база!$M$4*2*Таблица1[[#This Row],[Столбец1]]*Таблица1[[#This Row],[коэф]])),
IF((G244="5/16"),((база!$L$6*2*Таблица1[[#This Row],[Столбец1]]*Таблица1[[#This Row],[коэф]])),
IF((G244="4/16"),((база!$L$5*2*Таблица1[[#This Row],[Столбец1]]*Таблица1[[#This Row],[коэф]])),
IF((G244="3/16"),((база!$L$4*2*Таблица1[[#This Row],[Столбец1]]*Таблица1[[#This Row],[коэф]])),
IF((G244="4/4"),((база!$I$5*2*Таблица1[[#This Row],[Столбец1]]*Таблица1[[#This Row],[коэф]])),
IF(OR(G244="2/4",G244="3/4"),((база!$I$4*2*Таблица1[[#This Row],[Столбец1]]*Таблица1[[#This Row],[коэф]])),
IF((G244="5/8"),((база!$J$6*2*Таблица1[[#This Row],[Столбец1]]*Таблица1[[#This Row],[коэф]])),
IF((G244="4/8"),((база!$J$5*2*Таблица1[[#This Row],[Столбец1]]*Таблица1[[#This Row],[коэф]])),
IF(OR(G244="3/8",G244="2/8"),((база!$J$4*2*Таблица1[[#This Row],[Столбец1]]*Таблица1[[#This Row],[коэф]])))))))))))))),
(IF((G244="5/24"),((база!$M$6*2*Таблица1[[#This Row],[Столбец1]]*Таблица1[[#This Row],[коэф]])),
IF(OR(G244="4/24",G244="3/24"),((база!$M$5*2*Таблица1[[#This Row],[Столбец1]]*Таблица1[[#This Row],[коэф]])),
IF((G244="5/16"),((база!$L$6*2*Таблица1[[#This Row],[Столбец1]]*Таблица1[[#This Row],[коэф]])),
IF(OR(G244="4/16",G244="3/16"),((база!$L$5*2*Таблица1[[#This Row],[Столбец1]]*Таблица1[[#This Row],[коэф]])),
IF(OR(G244="2/4",G244="3/4",G244="4/4"),((база!$I$5*2*Таблица1[[#This Row],[Столбец1]]*Таблица1[[#This Row],[коэф]])),
IF((G244="5/8"),((база!$J$6*2*Таблица1[[#This Row],[Столбец1]]*Таблица1[[#This Row],[коэф]])),
IF(OR(G244="4/8",G244="3/8",G244="2/8"),((база!$J$5*2*Таблица1[[#This Row],[Столбец1]]*Таблица1[[#This Row],[коэф]])))))))))))</f>
        <v>0</v>
      </c>
      <c r="AQ244" s="712" t="str">
        <f>IFERROR(INDEX(база!T:T, MATCH(F244,база!Q:Q,0)),"")</f>
        <v/>
      </c>
      <c r="AR244" s="208" t="str">
        <f>IFERROR(INDEX(база!D:D, MATCH(F244,база!B:B,0)),"")</f>
        <v/>
      </c>
      <c r="AS244" s="758" t="str">
        <f>IFERROR(INDEX(база!E:E, MATCH(F244,база!B:B,0)),"")</f>
        <v/>
      </c>
    </row>
    <row r="245" spans="1:45" ht="15">
      <c r="A245" s="66" t="str">
        <f t="shared" si="4"/>
        <v>январь</v>
      </c>
      <c r="B245" s="231">
        <v>2024</v>
      </c>
      <c r="C245" s="60"/>
      <c r="D245" s="61"/>
      <c r="E245" s="211"/>
      <c r="F245" s="679"/>
      <c r="G245" s="47"/>
      <c r="H245" s="563"/>
      <c r="I245" s="563"/>
      <c r="J245" s="563"/>
      <c r="K245" s="563"/>
      <c r="L245" s="563"/>
      <c r="M245" s="563"/>
      <c r="N245" s="563"/>
      <c r="O245" s="563"/>
      <c r="P245" s="300"/>
      <c r="Q245" s="563"/>
      <c r="R245" s="563"/>
      <c r="S245" s="563"/>
      <c r="T245" s="563"/>
      <c r="U245" s="563"/>
      <c r="V245" s="563"/>
      <c r="W245" s="563"/>
      <c r="X245" s="563"/>
      <c r="Y245" s="563"/>
      <c r="Z245" s="563"/>
      <c r="AA245" s="563"/>
      <c r="AB245" s="563"/>
      <c r="AC245" s="563"/>
      <c r="AD245" s="48"/>
      <c r="AE245" s="48"/>
      <c r="AF245" s="258"/>
      <c r="AG245" s="48"/>
      <c r="AH245" s="48"/>
      <c r="AI245" s="258"/>
      <c r="AJ245" s="258"/>
      <c r="AK245" s="258"/>
      <c r="AL245" s="258"/>
      <c r="AM245" s="212">
        <f>IF(AQ245=1,SUM(Q245:T245,W245:Z245,AC245:AF245,AI245:AL245),
IF(AQ245=2,SUM(P245,S245:V245,Y245:AB245,AE245:AH245,AK245:AL245),
IF(AQ245=3,SUM(P245:R245,U245:X245,AA245:AD245,AG245:AJ245),SUM(Таблица1[[#This Row],[1]:[31]])-Таблица1[[#This Row],[Столбец1]])))</f>
        <v>0</v>
      </c>
      <c r="AN245" s="778">
        <f t="array" ref="AN245">IF(AQ245=1,SUM(P245,U245:V245,AA245:AB245,AG245:AH245),
IF(AQ245=2,SUM(Q245:R245,W245:X245,AC245:AD245,AI245:AJ245),
IF(AQ245=3,SUM(S245:T245,Y245:Z245,AE245:AF245,AK245:AL245),
SUM(IFERROR(WEEKDAY($H$2:$AL$2,2)&gt;5,)*H245:AL245))))+Таблица1[[#This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45" s="292" t="b">
        <f>IF(AR245&lt;=3,(IF((G245="5/24"),((база!$M$6*Таблица1[[#This Row],[сумма]]*Таблица1[[#This Row],[коэф]])),
IF((G245="4/24"),((база!$M$5*Таблица1[[#This Row],[сумма]]*Таблица1[[#This Row],[коэф]])),
IF((G245="3/24"),((база!$M$4*Таблица1[[#This Row],[сумма]]*Таблица1[[#This Row],[коэф]])),
IF((G245="5/16"),((база!$L$6*Таблица1[[#This Row],[сумма]]*Таблица1[[#This Row],[коэф]])),
IF((G245="4/16"),((база!$L$5*Таблица1[[#This Row],[сумма]]*Таблица1[[#This Row],[коэф]])),
IF((G245="3/16"),((база!$L$4*Таблица1[[#This Row],[сумма]]*Таблица1[[#This Row],[коэф]])),
IF((G245="4/4"),((база!$I$5*Таблица1[[#This Row],[сумма]]*Таблица1[[#This Row],[коэф]])),
IF(OR(G245="2/4",G245="3/4"),((база!$I$4*Таблица1[[#This Row],[сумма]]*Таблица1[[#This Row],[коэф]])),
IF((G245="5/8"),((база!$J$6*Таблица1[[#This Row],[сумма]]*Таблица1[[#This Row],[коэф]])),
IF((G245="4/8"),((база!$J$5*Таблица1[[#This Row],[сумма]]*Таблица1[[#This Row],[коэф]])),
IF(OR(G245="3/8",G245="2/8"),((база!$J$4*Таблица1[[#This Row],[сумма]]*Таблица1[[#This Row],[коэф]])))))))))))))),
(IF((G245="5/24"),((база!$M$6*Таблица1[[#This Row],[сумма]]*Таблица1[[#This Row],[коэф]])),
IF(OR(G245="4/24",G245="3/24"),((база!$M$5*Таблица1[[#This Row],[сумма]]*Таблица1[[#This Row],[коэф]])),
IF((G245="5/16"),((база!$L$6*Таблица1[[#This Row],[сумма]]*Таблица1[[#This Row],[коэф]])),
IF(OR(G245="4/16",G245="3/16"),((база!$L$5*Таблица1[[#This Row],[сумма]]*Таблица1[[#This Row],[коэф]])),
IF(OR(G245="2/4",G245="3/4",G245="4/4"),((база!$I$5*Таблица1[[#This Row],[сумма]]*Таблица1[[#This Row],[коэф]])),
IF((G245="5/8"),((база!$J$6*Таблица1[[#This Row],[сумма]]*Таблица1[[#This Row],[коэф]])),
IF(OR(G245="4/8",G245="3/8",G245="2/8"),((база!$J$5*Таблица1[[#This Row],[сумма]]*Таблица1[[#This Row],[коэф]])))))))))))</f>
        <v>0</v>
      </c>
      <c r="AP245" s="730" t="b">
        <f>IF(AR245&lt;=3,(IF((G245="5/24"),((база!$M$6*2*Таблица1[[#This Row],[Столбец1]]*Таблица1[[#This Row],[коэф]])),
IF((G245="4/24"),((база!$M$5*2*Таблица1[[#This Row],[Столбец1]]*Таблица1[[#This Row],[коэф]])),
IF((G245="3/24"),((база!$M$4*2*Таблица1[[#This Row],[Столбец1]]*Таблица1[[#This Row],[коэф]])),
IF((G245="5/16"),((база!$L$6*2*Таблица1[[#This Row],[Столбец1]]*Таблица1[[#This Row],[коэф]])),
IF((G245="4/16"),((база!$L$5*2*Таблица1[[#This Row],[Столбец1]]*Таблица1[[#This Row],[коэф]])),
IF((G245="3/16"),((база!$L$4*2*Таблица1[[#This Row],[Столбец1]]*Таблица1[[#This Row],[коэф]])),
IF((G245="4/4"),((база!$I$5*2*Таблица1[[#This Row],[Столбец1]]*Таблица1[[#This Row],[коэф]])),
IF(OR(G245="2/4",G245="3/4"),((база!$I$4*2*Таблица1[[#This Row],[Столбец1]]*Таблица1[[#This Row],[коэф]])),
IF((G245="5/8"),((база!$J$6*2*Таблица1[[#This Row],[Столбец1]]*Таблица1[[#This Row],[коэф]])),
IF((G245="4/8"),((база!$J$5*2*Таблица1[[#This Row],[Столбец1]]*Таблица1[[#This Row],[коэф]])),
IF(OR(G245="3/8",G245="2/8"),((база!$J$4*2*Таблица1[[#This Row],[Столбец1]]*Таблица1[[#This Row],[коэф]])))))))))))))),
(IF((G245="5/24"),((база!$M$6*2*Таблица1[[#This Row],[Столбец1]]*Таблица1[[#This Row],[коэф]])),
IF(OR(G245="4/24",G245="3/24"),((база!$M$5*2*Таблица1[[#This Row],[Столбец1]]*Таблица1[[#This Row],[коэф]])),
IF((G245="5/16"),((база!$L$6*2*Таблица1[[#This Row],[Столбец1]]*Таблица1[[#This Row],[коэф]])),
IF(OR(G245="4/16",G245="3/16"),((база!$L$5*2*Таблица1[[#This Row],[Столбец1]]*Таблица1[[#This Row],[коэф]])),
IF(OR(G245="2/4",G245="3/4",G245="4/4"),((база!$I$5*2*Таблица1[[#This Row],[Столбец1]]*Таблица1[[#This Row],[коэф]])),
IF((G245="5/8"),((база!$J$6*2*Таблица1[[#This Row],[Столбец1]]*Таблица1[[#This Row],[коэф]])),
IF(OR(G245="4/8",G245="3/8",G245="2/8"),((база!$J$5*2*Таблица1[[#This Row],[Столбец1]]*Таблица1[[#This Row],[коэф]])))))))))))</f>
        <v>0</v>
      </c>
      <c r="AQ245" s="712" t="str">
        <f>IFERROR(INDEX(база!T:T, MATCH(F245,база!Q:Q,0)),"")</f>
        <v/>
      </c>
      <c r="AR245" s="208" t="str">
        <f>IFERROR(INDEX(база!D:D, MATCH(F245,база!B:B,0)),"")</f>
        <v/>
      </c>
      <c r="AS245" s="758" t="str">
        <f>IFERROR(INDEX(база!E:E, MATCH(F245,база!B:B,0)),"")</f>
        <v/>
      </c>
    </row>
    <row r="246" spans="1:45" ht="15">
      <c r="A246" s="66" t="str">
        <f t="shared" si="4"/>
        <v>январь</v>
      </c>
      <c r="B246" s="231">
        <v>2024</v>
      </c>
      <c r="C246" s="60"/>
      <c r="D246" s="61"/>
      <c r="E246" s="211"/>
      <c r="F246" s="679"/>
      <c r="G246" s="47"/>
      <c r="H246" s="563"/>
      <c r="I246" s="563"/>
      <c r="J246" s="563"/>
      <c r="K246" s="563"/>
      <c r="L246" s="563"/>
      <c r="M246" s="563"/>
      <c r="N246" s="563"/>
      <c r="O246" s="563"/>
      <c r="P246" s="300"/>
      <c r="Q246" s="563"/>
      <c r="R246" s="563"/>
      <c r="S246" s="563"/>
      <c r="T246" s="563"/>
      <c r="U246" s="563"/>
      <c r="V246" s="563"/>
      <c r="W246" s="563"/>
      <c r="X246" s="563"/>
      <c r="Y246" s="563"/>
      <c r="Z246" s="563"/>
      <c r="AA246" s="563"/>
      <c r="AB246" s="563"/>
      <c r="AC246" s="563"/>
      <c r="AD246" s="48"/>
      <c r="AE246" s="48"/>
      <c r="AF246" s="258"/>
      <c r="AG246" s="48"/>
      <c r="AH246" s="48"/>
      <c r="AI246" s="48"/>
      <c r="AJ246" s="48"/>
      <c r="AK246" s="48"/>
      <c r="AL246" s="51"/>
      <c r="AM246" s="212">
        <f>IF(AQ246=1,SUM(Q246:T246,W246:Z246,AC246:AF246,AI246:AL246),
IF(AQ246=2,SUM(P246,S246:V246,Y246:AB246,AE246:AH246,AK246:AL246),
IF(AQ246=3,SUM(P246:R246,U246:X246,AA246:AD246,AG246:AJ246),SUM(Таблица1[[#This Row],[1]:[31]])-Таблица1[[#This Row],[Столбец1]])))</f>
        <v>0</v>
      </c>
      <c r="AN246" s="778">
        <f t="array" ref="AN246">IF(AQ246=1,SUM(P246,U246:V246,AA246:AB246,AG246:AH246),
IF(AQ246=2,SUM(Q246:R246,W246:X246,AC246:AD246,AI246:AJ246),
IF(AQ246=3,SUM(S246:T246,Y246:Z246,AE246:AF246,AK246:AL246),
SUM(IFERROR(WEEKDAY($H$2:$AL$2,2)&gt;5,)*H246:AL246))))+Таблица1[[#This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46" s="292" t="b">
        <f>IF(AR246&lt;=3,(IF((G246="5/24"),((база!$M$6*Таблица1[[#This Row],[сумма]]*Таблица1[[#This Row],[коэф]])),
IF((G246="4/24"),((база!$M$5*Таблица1[[#This Row],[сумма]]*Таблица1[[#This Row],[коэф]])),
IF((G246="3/24"),((база!$M$4*Таблица1[[#This Row],[сумма]]*Таблица1[[#This Row],[коэф]])),
IF((G246="5/16"),((база!$L$6*Таблица1[[#This Row],[сумма]]*Таблица1[[#This Row],[коэф]])),
IF((G246="4/16"),((база!$L$5*Таблица1[[#This Row],[сумма]]*Таблица1[[#This Row],[коэф]])),
IF((G246="3/16"),((база!$L$4*Таблица1[[#This Row],[сумма]]*Таблица1[[#This Row],[коэф]])),
IF((G246="4/4"),((база!$I$5*Таблица1[[#This Row],[сумма]]*Таблица1[[#This Row],[коэф]])),
IF(OR(G246="2/4",G246="3/4"),((база!$I$4*Таблица1[[#This Row],[сумма]]*Таблица1[[#This Row],[коэф]])),
IF((G246="5/8"),((база!$J$6*Таблица1[[#This Row],[сумма]]*Таблица1[[#This Row],[коэф]])),
IF((G246="4/8"),((база!$J$5*Таблица1[[#This Row],[сумма]]*Таблица1[[#This Row],[коэф]])),
IF(OR(G246="3/8",G246="2/8"),((база!$J$4*Таблица1[[#This Row],[сумма]]*Таблица1[[#This Row],[коэф]])))))))))))))),
(IF((G246="5/24"),((база!$M$6*Таблица1[[#This Row],[сумма]]*Таблица1[[#This Row],[коэф]])),
IF(OR(G246="4/24",G246="3/24"),((база!$M$5*Таблица1[[#This Row],[сумма]]*Таблица1[[#This Row],[коэф]])),
IF((G246="5/16"),((база!$L$6*Таблица1[[#This Row],[сумма]]*Таблица1[[#This Row],[коэф]])),
IF(OR(G246="4/16",G246="3/16"),((база!$L$5*Таблица1[[#This Row],[сумма]]*Таблица1[[#This Row],[коэф]])),
IF(OR(G246="2/4",G246="3/4",G246="4/4"),((база!$I$5*Таблица1[[#This Row],[сумма]]*Таблица1[[#This Row],[коэф]])),
IF((G246="5/8"),((база!$J$6*Таблица1[[#This Row],[сумма]]*Таблица1[[#This Row],[коэф]])),
IF(OR(G246="4/8",G246="3/8",G246="2/8"),((база!$J$5*Таблица1[[#This Row],[сумма]]*Таблица1[[#This Row],[коэф]])))))))))))</f>
        <v>0</v>
      </c>
      <c r="AP246" s="730" t="b">
        <f>IF(AR246&lt;=3,(IF((G246="5/24"),((база!$M$6*2*Таблица1[[#This Row],[Столбец1]]*Таблица1[[#This Row],[коэф]])),
IF((G246="4/24"),((база!$M$5*2*Таблица1[[#This Row],[Столбец1]]*Таблица1[[#This Row],[коэф]])),
IF((G246="3/24"),((база!$M$4*2*Таблица1[[#This Row],[Столбец1]]*Таблица1[[#This Row],[коэф]])),
IF((G246="5/16"),((база!$L$6*2*Таблица1[[#This Row],[Столбец1]]*Таблица1[[#This Row],[коэф]])),
IF((G246="4/16"),((база!$L$5*2*Таблица1[[#This Row],[Столбец1]]*Таблица1[[#This Row],[коэф]])),
IF((G246="3/16"),((база!$L$4*2*Таблица1[[#This Row],[Столбец1]]*Таблица1[[#This Row],[коэф]])),
IF((G246="4/4"),((база!$I$5*2*Таблица1[[#This Row],[Столбец1]]*Таблица1[[#This Row],[коэф]])),
IF(OR(G246="2/4",G246="3/4"),((база!$I$4*2*Таблица1[[#This Row],[Столбец1]]*Таблица1[[#This Row],[коэф]])),
IF((G246="5/8"),((база!$J$6*2*Таблица1[[#This Row],[Столбец1]]*Таблица1[[#This Row],[коэф]])),
IF((G246="4/8"),((база!$J$5*2*Таблица1[[#This Row],[Столбец1]]*Таблица1[[#This Row],[коэф]])),
IF(OR(G246="3/8",G246="2/8"),((база!$J$4*2*Таблица1[[#This Row],[Столбец1]]*Таблица1[[#This Row],[коэф]])))))))))))))),
(IF((G246="5/24"),((база!$M$6*2*Таблица1[[#This Row],[Столбец1]]*Таблица1[[#This Row],[коэф]])),
IF(OR(G246="4/24",G246="3/24"),((база!$M$5*2*Таблица1[[#This Row],[Столбец1]]*Таблица1[[#This Row],[коэф]])),
IF((G246="5/16"),((база!$L$6*2*Таблица1[[#This Row],[Столбец1]]*Таблица1[[#This Row],[коэф]])),
IF(OR(G246="4/16",G246="3/16"),((база!$L$5*2*Таблица1[[#This Row],[Столбец1]]*Таблица1[[#This Row],[коэф]])),
IF(OR(G246="2/4",G246="3/4",G246="4/4"),((база!$I$5*2*Таблица1[[#This Row],[Столбец1]]*Таблица1[[#This Row],[коэф]])),
IF((G246="5/8"),((база!$J$6*2*Таблица1[[#This Row],[Столбец1]]*Таблица1[[#This Row],[коэф]])),
IF(OR(G246="4/8",G246="3/8",G246="2/8"),((база!$J$5*2*Таблица1[[#This Row],[Столбец1]]*Таблица1[[#This Row],[коэф]])))))))))))</f>
        <v>0</v>
      </c>
      <c r="AQ246" s="712" t="str">
        <f>IFERROR(INDEX(база!T:T, MATCH(F246,база!Q:Q,0)),"")</f>
        <v/>
      </c>
      <c r="AR246" s="208" t="str">
        <f>IFERROR(INDEX(база!D:D, MATCH(F246,база!B:B,0)),"")</f>
        <v/>
      </c>
      <c r="AS246" s="758" t="str">
        <f>IFERROR(INDEX(база!E:E, MATCH(F246,база!B:B,0)),"")</f>
        <v/>
      </c>
    </row>
    <row r="247" spans="1:45" ht="15">
      <c r="A247" s="66" t="str">
        <f t="shared" si="4"/>
        <v>январь</v>
      </c>
      <c r="B247" s="231">
        <v>2024</v>
      </c>
      <c r="C247" s="60"/>
      <c r="D247" s="61"/>
      <c r="E247" s="211"/>
      <c r="F247" s="680"/>
      <c r="G247" s="47"/>
      <c r="H247" s="563"/>
      <c r="I247" s="563"/>
      <c r="J247" s="563"/>
      <c r="K247" s="563"/>
      <c r="L247" s="563"/>
      <c r="M247" s="563"/>
      <c r="N247" s="563"/>
      <c r="O247" s="563"/>
      <c r="P247" s="300"/>
      <c r="Q247" s="563"/>
      <c r="R247" s="563"/>
      <c r="S247" s="563"/>
      <c r="T247" s="563"/>
      <c r="U247" s="563"/>
      <c r="V247" s="563"/>
      <c r="W247" s="563"/>
      <c r="X247" s="563"/>
      <c r="Y247" s="563"/>
      <c r="Z247" s="563"/>
      <c r="AA247" s="563"/>
      <c r="AB247" s="563"/>
      <c r="AC247" s="563"/>
      <c r="AD247" s="48"/>
      <c r="AE247" s="48"/>
      <c r="AF247" s="258"/>
      <c r="AG247" s="48"/>
      <c r="AH247" s="48"/>
      <c r="AI247" s="258"/>
      <c r="AJ247" s="258"/>
      <c r="AK247" s="258"/>
      <c r="AL247" s="258"/>
      <c r="AM247" s="212">
        <f>IF(AQ247=1,SUM(Q247:T247,W247:Z247,AC247:AF247,AI247:AL247),
IF(AQ247=2,SUM(P247,S247:V247,Y247:AB247,AE247:AH247,AK247:AL247),
IF(AQ247=3,SUM(P247:R247,U247:X247,AA247:AD247,AG247:AJ247),SUM(Таблица1[[#This Row],[1]:[31]])-Таблица1[[#This Row],[Столбец1]])))</f>
        <v>0</v>
      </c>
      <c r="AN247" s="778">
        <f t="array" ref="AN247">IF(AQ247=1,SUM(P247,U247:V247,AA247:AB247,AG247:AH247),
IF(AQ247=2,SUM(Q247:R247,W247:X247,AC247:AD247,AI247:AJ247),
IF(AQ247=3,SUM(S247:T247,Y247:Z247,AE247:AF247,AK247:AL247),
SUM(IFERROR(WEEKDAY($H$2:$AL$2,2)&gt;5,)*H247:AL247))))+Таблица1[[#This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47" s="292" t="b">
        <f>IF(AR247&lt;=3,(IF((G247="5/24"),((база!$M$6*Таблица1[[#This Row],[сумма]]*Таблица1[[#This Row],[коэф]])),
IF((G247="4/24"),((база!$M$5*Таблица1[[#This Row],[сумма]]*Таблица1[[#This Row],[коэф]])),
IF((G247="3/24"),((база!$M$4*Таблица1[[#This Row],[сумма]]*Таблица1[[#This Row],[коэф]])),
IF((G247="5/16"),((база!$L$6*Таблица1[[#This Row],[сумма]]*Таблица1[[#This Row],[коэф]])),
IF((G247="4/16"),((база!$L$5*Таблица1[[#This Row],[сумма]]*Таблица1[[#This Row],[коэф]])),
IF((G247="3/16"),((база!$L$4*Таблица1[[#This Row],[сумма]]*Таблица1[[#This Row],[коэф]])),
IF((G247="4/4"),((база!$I$5*Таблица1[[#This Row],[сумма]]*Таблица1[[#This Row],[коэф]])),
IF(OR(G247="2/4",G247="3/4"),((база!$I$4*Таблица1[[#This Row],[сумма]]*Таблица1[[#This Row],[коэф]])),
IF((G247="5/8"),((база!$J$6*Таблица1[[#This Row],[сумма]]*Таблица1[[#This Row],[коэф]])),
IF((G247="4/8"),((база!$J$5*Таблица1[[#This Row],[сумма]]*Таблица1[[#This Row],[коэф]])),
IF(OR(G247="3/8",G247="2/8"),((база!$J$4*Таблица1[[#This Row],[сумма]]*Таблица1[[#This Row],[коэф]])))))))))))))),
(IF((G247="5/24"),((база!$M$6*Таблица1[[#This Row],[сумма]]*Таблица1[[#This Row],[коэф]])),
IF(OR(G247="4/24",G247="3/24"),((база!$M$5*Таблица1[[#This Row],[сумма]]*Таблица1[[#This Row],[коэф]])),
IF((G247="5/16"),((база!$L$6*Таблица1[[#This Row],[сумма]]*Таблица1[[#This Row],[коэф]])),
IF(OR(G247="4/16",G247="3/16"),((база!$L$5*Таблица1[[#This Row],[сумма]]*Таблица1[[#This Row],[коэф]])),
IF(OR(G247="2/4",G247="3/4",G247="4/4"),((база!$I$5*Таблица1[[#This Row],[сумма]]*Таблица1[[#This Row],[коэф]])),
IF((G247="5/8"),((база!$J$6*Таблица1[[#This Row],[сумма]]*Таблица1[[#This Row],[коэф]])),
IF(OR(G247="4/8",G247="3/8",G247="2/8"),((база!$J$5*Таблица1[[#This Row],[сумма]]*Таблица1[[#This Row],[коэф]])))))))))))</f>
        <v>0</v>
      </c>
      <c r="AP247" s="730" t="b">
        <f>IF(AR247&lt;=3,(IF((G247="5/24"),((база!$M$6*2*Таблица1[[#This Row],[Столбец1]]*Таблица1[[#This Row],[коэф]])),
IF((G247="4/24"),((база!$M$5*2*Таблица1[[#This Row],[Столбец1]]*Таблица1[[#This Row],[коэф]])),
IF((G247="3/24"),((база!$M$4*2*Таблица1[[#This Row],[Столбец1]]*Таблица1[[#This Row],[коэф]])),
IF((G247="5/16"),((база!$L$6*2*Таблица1[[#This Row],[Столбец1]]*Таблица1[[#This Row],[коэф]])),
IF((G247="4/16"),((база!$L$5*2*Таблица1[[#This Row],[Столбец1]]*Таблица1[[#This Row],[коэф]])),
IF((G247="3/16"),((база!$L$4*2*Таблица1[[#This Row],[Столбец1]]*Таблица1[[#This Row],[коэф]])),
IF((G247="4/4"),((база!$I$5*2*Таблица1[[#This Row],[Столбец1]]*Таблица1[[#This Row],[коэф]])),
IF(OR(G247="2/4",G247="3/4"),((база!$I$4*2*Таблица1[[#This Row],[Столбец1]]*Таблица1[[#This Row],[коэф]])),
IF((G247="5/8"),((база!$J$6*2*Таблица1[[#This Row],[Столбец1]]*Таблица1[[#This Row],[коэф]])),
IF((G247="4/8"),((база!$J$5*2*Таблица1[[#This Row],[Столбец1]]*Таблица1[[#This Row],[коэф]])),
IF(OR(G247="3/8",G247="2/8"),((база!$J$4*2*Таблица1[[#This Row],[Столбец1]]*Таблица1[[#This Row],[коэф]])))))))))))))),
(IF((G247="5/24"),((база!$M$6*2*Таблица1[[#This Row],[Столбец1]]*Таблица1[[#This Row],[коэф]])),
IF(OR(G247="4/24",G247="3/24"),((база!$M$5*2*Таблица1[[#This Row],[Столбец1]]*Таблица1[[#This Row],[коэф]])),
IF((G247="5/16"),((база!$L$6*2*Таблица1[[#This Row],[Столбец1]]*Таблица1[[#This Row],[коэф]])),
IF(OR(G247="4/16",G247="3/16"),((база!$L$5*2*Таблица1[[#This Row],[Столбец1]]*Таблица1[[#This Row],[коэф]])),
IF(OR(G247="2/4",G247="3/4",G247="4/4"),((база!$I$5*2*Таблица1[[#This Row],[Столбец1]]*Таблица1[[#This Row],[коэф]])),
IF((G247="5/8"),((база!$J$6*2*Таблица1[[#This Row],[Столбец1]]*Таблица1[[#This Row],[коэф]])),
IF(OR(G247="4/8",G247="3/8",G247="2/8"),((база!$J$5*2*Таблица1[[#This Row],[Столбец1]]*Таблица1[[#This Row],[коэф]])))))))))))</f>
        <v>0</v>
      </c>
      <c r="AQ247" s="712" t="str">
        <f>IFERROR(INDEX(база!T:T, MATCH(F247,база!Q:Q,0)),"")</f>
        <v/>
      </c>
      <c r="AR247" s="208" t="str">
        <f>IFERROR(INDEX(база!D:D, MATCH(F247,база!B:B,0)),"")</f>
        <v/>
      </c>
      <c r="AS247" s="758" t="str">
        <f>IFERROR(INDEX(база!E:E, MATCH(F247,база!B:B,0)),"")</f>
        <v/>
      </c>
    </row>
    <row r="248" spans="1:45" ht="15">
      <c r="A248" s="66" t="str">
        <f t="shared" si="4"/>
        <v>январь</v>
      </c>
      <c r="B248" s="231">
        <v>2024</v>
      </c>
      <c r="C248" s="60"/>
      <c r="D248" s="61"/>
      <c r="E248" s="211"/>
      <c r="F248" s="680"/>
      <c r="G248" s="47"/>
      <c r="H248" s="563"/>
      <c r="I248" s="563"/>
      <c r="J248" s="563"/>
      <c r="K248" s="563"/>
      <c r="L248" s="563"/>
      <c r="M248" s="563"/>
      <c r="N248" s="563"/>
      <c r="O248" s="563"/>
      <c r="P248" s="300"/>
      <c r="Q248" s="563"/>
      <c r="R248" s="563"/>
      <c r="S248" s="563"/>
      <c r="T248" s="563"/>
      <c r="U248" s="563"/>
      <c r="V248" s="563"/>
      <c r="W248" s="563"/>
      <c r="X248" s="563"/>
      <c r="Y248" s="563"/>
      <c r="Z248" s="563"/>
      <c r="AA248" s="563"/>
      <c r="AB248" s="563"/>
      <c r="AC248" s="563"/>
      <c r="AD248" s="48"/>
      <c r="AE248" s="48"/>
      <c r="AF248" s="258"/>
      <c r="AG248" s="48"/>
      <c r="AH248" s="48"/>
      <c r="AI248" s="48"/>
      <c r="AJ248" s="48"/>
      <c r="AK248" s="48"/>
      <c r="AL248" s="51"/>
      <c r="AM248" s="212">
        <f>IF(AQ248=1,SUM(Q248:T248,W248:Z248,AC248:AF248,AI248:AL248),
IF(AQ248=2,SUM(P248,S248:V248,Y248:AB248,AE248:AH248,AK248:AL248),
IF(AQ248=3,SUM(P248:R248,U248:X248,AA248:AD248,AG248:AJ248),SUM(Таблица1[[#This Row],[1]:[31]])-Таблица1[[#This Row],[Столбец1]])))</f>
        <v>0</v>
      </c>
      <c r="AN248" s="778">
        <f t="array" ref="AN248">IF(AQ248=1,SUM(P248,U248:V248,AA248:AB248,AG248:AH248),
IF(AQ248=2,SUM(Q248:R248,W248:X248,AC248:AD248,AI248:AJ248),
IF(AQ248=3,SUM(S248:T248,Y248:Z248,AE248:AF248,AK248:AL248),
SUM(IFERROR(WEEKDAY($H$2:$AL$2,2)&gt;5,)*H248:AL248))))+Таблица1[[#This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48" s="292" t="b">
        <f>IF(AR248&lt;=3,(IF((G248="5/24"),((база!$M$6*Таблица1[[#This Row],[сумма]]*Таблица1[[#This Row],[коэф]])),
IF((G248="4/24"),((база!$M$5*Таблица1[[#This Row],[сумма]]*Таблица1[[#This Row],[коэф]])),
IF((G248="3/24"),((база!$M$4*Таблица1[[#This Row],[сумма]]*Таблица1[[#This Row],[коэф]])),
IF((G248="5/16"),((база!$L$6*Таблица1[[#This Row],[сумма]]*Таблица1[[#This Row],[коэф]])),
IF((G248="4/16"),((база!$L$5*Таблица1[[#This Row],[сумма]]*Таблица1[[#This Row],[коэф]])),
IF((G248="3/16"),((база!$L$4*Таблица1[[#This Row],[сумма]]*Таблица1[[#This Row],[коэф]])),
IF((G248="4/4"),((база!$I$5*Таблица1[[#This Row],[сумма]]*Таблица1[[#This Row],[коэф]])),
IF(OR(G248="2/4",G248="3/4"),((база!$I$4*Таблица1[[#This Row],[сумма]]*Таблица1[[#This Row],[коэф]])),
IF((G248="5/8"),((база!$J$6*Таблица1[[#This Row],[сумма]]*Таблица1[[#This Row],[коэф]])),
IF((G248="4/8"),((база!$J$5*Таблица1[[#This Row],[сумма]]*Таблица1[[#This Row],[коэф]])),
IF(OR(G248="3/8",G248="2/8"),((база!$J$4*Таблица1[[#This Row],[сумма]]*Таблица1[[#This Row],[коэф]])))))))))))))),
(IF((G248="5/24"),((база!$M$6*Таблица1[[#This Row],[сумма]]*Таблица1[[#This Row],[коэф]])),
IF(OR(G248="4/24",G248="3/24"),((база!$M$5*Таблица1[[#This Row],[сумма]]*Таблица1[[#This Row],[коэф]])),
IF((G248="5/16"),((база!$L$6*Таблица1[[#This Row],[сумма]]*Таблица1[[#This Row],[коэф]])),
IF(OR(G248="4/16",G248="3/16"),((база!$L$5*Таблица1[[#This Row],[сумма]]*Таблица1[[#This Row],[коэф]])),
IF(OR(G248="2/4",G248="3/4",G248="4/4"),((база!$I$5*Таблица1[[#This Row],[сумма]]*Таблица1[[#This Row],[коэф]])),
IF((G248="5/8"),((база!$J$6*Таблица1[[#This Row],[сумма]]*Таблица1[[#This Row],[коэф]])),
IF(OR(G248="4/8",G248="3/8",G248="2/8"),((база!$J$5*Таблица1[[#This Row],[сумма]]*Таблица1[[#This Row],[коэф]])))))))))))</f>
        <v>0</v>
      </c>
      <c r="AP248" s="730" t="b">
        <f>IF(AR248&lt;=3,(IF((G248="5/24"),((база!$M$6*2*Таблица1[[#This Row],[Столбец1]]*Таблица1[[#This Row],[коэф]])),
IF((G248="4/24"),((база!$M$5*2*Таблица1[[#This Row],[Столбец1]]*Таблица1[[#This Row],[коэф]])),
IF((G248="3/24"),((база!$M$4*2*Таблица1[[#This Row],[Столбец1]]*Таблица1[[#This Row],[коэф]])),
IF((G248="5/16"),((база!$L$6*2*Таблица1[[#This Row],[Столбец1]]*Таблица1[[#This Row],[коэф]])),
IF((G248="4/16"),((база!$L$5*2*Таблица1[[#This Row],[Столбец1]]*Таблица1[[#This Row],[коэф]])),
IF((G248="3/16"),((база!$L$4*2*Таблица1[[#This Row],[Столбец1]]*Таблица1[[#This Row],[коэф]])),
IF((G248="4/4"),((база!$I$5*2*Таблица1[[#This Row],[Столбец1]]*Таблица1[[#This Row],[коэф]])),
IF(OR(G248="2/4",G248="3/4"),((база!$I$4*2*Таблица1[[#This Row],[Столбец1]]*Таблица1[[#This Row],[коэф]])),
IF((G248="5/8"),((база!$J$6*2*Таблица1[[#This Row],[Столбец1]]*Таблица1[[#This Row],[коэф]])),
IF((G248="4/8"),((база!$J$5*2*Таблица1[[#This Row],[Столбец1]]*Таблица1[[#This Row],[коэф]])),
IF(OR(G248="3/8",G248="2/8"),((база!$J$4*2*Таблица1[[#This Row],[Столбец1]]*Таблица1[[#This Row],[коэф]])))))))))))))),
(IF((G248="5/24"),((база!$M$6*2*Таблица1[[#This Row],[Столбец1]]*Таблица1[[#This Row],[коэф]])),
IF(OR(G248="4/24",G248="3/24"),((база!$M$5*2*Таблица1[[#This Row],[Столбец1]]*Таблица1[[#This Row],[коэф]])),
IF((G248="5/16"),((база!$L$6*2*Таблица1[[#This Row],[Столбец1]]*Таблица1[[#This Row],[коэф]])),
IF(OR(G248="4/16",G248="3/16"),((база!$L$5*2*Таблица1[[#This Row],[Столбец1]]*Таблица1[[#This Row],[коэф]])),
IF(OR(G248="2/4",G248="3/4",G248="4/4"),((база!$I$5*2*Таблица1[[#This Row],[Столбец1]]*Таблица1[[#This Row],[коэф]])),
IF((G248="5/8"),((база!$J$6*2*Таблица1[[#This Row],[Столбец1]]*Таблица1[[#This Row],[коэф]])),
IF(OR(G248="4/8",G248="3/8",G248="2/8"),((база!$J$5*2*Таблица1[[#This Row],[Столбец1]]*Таблица1[[#This Row],[коэф]])))))))))))</f>
        <v>0</v>
      </c>
      <c r="AQ248" s="712" t="str">
        <f>IFERROR(INDEX(база!T:T, MATCH(F248,база!Q:Q,0)),"")</f>
        <v/>
      </c>
      <c r="AR248" s="208" t="str">
        <f>IFERROR(INDEX(база!D:D, MATCH(F248,база!B:B,0)),"")</f>
        <v/>
      </c>
      <c r="AS248" s="758" t="str">
        <f>IFERROR(INDEX(база!E:E, MATCH(F248,база!B:B,0)),"")</f>
        <v/>
      </c>
    </row>
    <row r="249" spans="1:45" ht="15">
      <c r="A249" s="66" t="str">
        <f t="shared" si="4"/>
        <v>январь</v>
      </c>
      <c r="B249" s="231">
        <v>2024</v>
      </c>
      <c r="C249" s="60"/>
      <c r="D249" s="61"/>
      <c r="E249" s="211"/>
      <c r="F249" s="680"/>
      <c r="G249" s="47"/>
      <c r="H249" s="563"/>
      <c r="I249" s="563"/>
      <c r="J249" s="563"/>
      <c r="K249" s="563"/>
      <c r="L249" s="563"/>
      <c r="M249" s="563"/>
      <c r="N249" s="563"/>
      <c r="O249" s="563"/>
      <c r="P249" s="300"/>
      <c r="Q249" s="563"/>
      <c r="R249" s="563"/>
      <c r="S249" s="563"/>
      <c r="T249" s="563"/>
      <c r="U249" s="563"/>
      <c r="V249" s="563"/>
      <c r="W249" s="563"/>
      <c r="X249" s="563"/>
      <c r="Y249" s="563"/>
      <c r="Z249" s="563"/>
      <c r="AA249" s="563"/>
      <c r="AB249" s="563"/>
      <c r="AC249" s="563"/>
      <c r="AD249" s="48"/>
      <c r="AE249" s="48"/>
      <c r="AF249" s="258"/>
      <c r="AG249" s="258"/>
      <c r="AH249" s="258"/>
      <c r="AI249" s="258"/>
      <c r="AJ249" s="258"/>
      <c r="AK249" s="258"/>
      <c r="AL249" s="258"/>
      <c r="AM249" s="212">
        <f>IF(AQ249=1,SUM(Q249:T249,W249:Z249,AC249:AF249,AI249:AL249),
IF(AQ249=2,SUM(P249,S249:V249,Y249:AB249,AE249:AH249,AK249:AL249),
IF(AQ249=3,SUM(P249:R249,U249:X249,AA249:AD249,AG249:AJ249),SUM(Таблица1[[#This Row],[1]:[31]])-Таблица1[[#This Row],[Столбец1]])))</f>
        <v>0</v>
      </c>
      <c r="AN249" s="778">
        <f t="array" ref="AN249">IF(AQ249=1,SUM(P249,U249:V249,AA249:AB249,AG249:AH249),
IF(AQ249=2,SUM(Q249:R249,W249:X249,AC249:AD249,AI249:AJ249),
IF(AQ249=3,SUM(S249:T249,Y249:Z249,AE249:AF249,AK249:AL249),
SUM(IFERROR(WEEKDAY($H$2:$AL$2,2)&gt;5,)*H249:AL249))))+Таблица1[[#This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49" s="292" t="b">
        <f>IF(AR249&lt;=3,(IF((G249="5/24"),((база!$M$6*Таблица1[[#This Row],[сумма]]*Таблица1[[#This Row],[коэф]])),
IF((G249="4/24"),((база!$M$5*Таблица1[[#This Row],[сумма]]*Таблица1[[#This Row],[коэф]])),
IF((G249="3/24"),((база!$M$4*Таблица1[[#This Row],[сумма]]*Таблица1[[#This Row],[коэф]])),
IF((G249="5/16"),((база!$L$6*Таблица1[[#This Row],[сумма]]*Таблица1[[#This Row],[коэф]])),
IF((G249="4/16"),((база!$L$5*Таблица1[[#This Row],[сумма]]*Таблица1[[#This Row],[коэф]])),
IF((G249="3/16"),((база!$L$4*Таблица1[[#This Row],[сумма]]*Таблица1[[#This Row],[коэф]])),
IF((G249="4/4"),((база!$I$5*Таблица1[[#This Row],[сумма]]*Таблица1[[#This Row],[коэф]])),
IF(OR(G249="2/4",G249="3/4"),((база!$I$4*Таблица1[[#This Row],[сумма]]*Таблица1[[#This Row],[коэф]])),
IF((G249="5/8"),((база!$J$6*Таблица1[[#This Row],[сумма]]*Таблица1[[#This Row],[коэф]])),
IF((G249="4/8"),((база!$J$5*Таблица1[[#This Row],[сумма]]*Таблица1[[#This Row],[коэф]])),
IF(OR(G249="3/8",G249="2/8"),((база!$J$4*Таблица1[[#This Row],[сумма]]*Таблица1[[#This Row],[коэф]])))))))))))))),
(IF((G249="5/24"),((база!$M$6*Таблица1[[#This Row],[сумма]]*Таблица1[[#This Row],[коэф]])),
IF(OR(G249="4/24",G249="3/24"),((база!$M$5*Таблица1[[#This Row],[сумма]]*Таблица1[[#This Row],[коэф]])),
IF((G249="5/16"),((база!$L$6*Таблица1[[#This Row],[сумма]]*Таблица1[[#This Row],[коэф]])),
IF(OR(G249="4/16",G249="3/16"),((база!$L$5*Таблица1[[#This Row],[сумма]]*Таблица1[[#This Row],[коэф]])),
IF(OR(G249="2/4",G249="3/4",G249="4/4"),((база!$I$5*Таблица1[[#This Row],[сумма]]*Таблица1[[#This Row],[коэф]])),
IF((G249="5/8"),((база!$J$6*Таблица1[[#This Row],[сумма]]*Таблица1[[#This Row],[коэф]])),
IF(OR(G249="4/8",G249="3/8",G249="2/8"),((база!$J$5*Таблица1[[#This Row],[сумма]]*Таблица1[[#This Row],[коэф]])))))))))))</f>
        <v>0</v>
      </c>
      <c r="AP249" s="730" t="b">
        <f>IF(AR249&lt;=3,(IF((G249="5/24"),((база!$M$6*2*Таблица1[[#This Row],[Столбец1]]*Таблица1[[#This Row],[коэф]])),
IF((G249="4/24"),((база!$M$5*2*Таблица1[[#This Row],[Столбец1]]*Таблица1[[#This Row],[коэф]])),
IF((G249="3/24"),((база!$M$4*2*Таблица1[[#This Row],[Столбец1]]*Таблица1[[#This Row],[коэф]])),
IF((G249="5/16"),((база!$L$6*2*Таблица1[[#This Row],[Столбец1]]*Таблица1[[#This Row],[коэф]])),
IF((G249="4/16"),((база!$L$5*2*Таблица1[[#This Row],[Столбец1]]*Таблица1[[#This Row],[коэф]])),
IF((G249="3/16"),((база!$L$4*2*Таблица1[[#This Row],[Столбец1]]*Таблица1[[#This Row],[коэф]])),
IF((G249="4/4"),((база!$I$5*2*Таблица1[[#This Row],[Столбец1]]*Таблица1[[#This Row],[коэф]])),
IF(OR(G249="2/4",G249="3/4"),((база!$I$4*2*Таблица1[[#This Row],[Столбец1]]*Таблица1[[#This Row],[коэф]])),
IF((G249="5/8"),((база!$J$6*2*Таблица1[[#This Row],[Столбец1]]*Таблица1[[#This Row],[коэф]])),
IF((G249="4/8"),((база!$J$5*2*Таблица1[[#This Row],[Столбец1]]*Таблица1[[#This Row],[коэф]])),
IF(OR(G249="3/8",G249="2/8"),((база!$J$4*2*Таблица1[[#This Row],[Столбец1]]*Таблица1[[#This Row],[коэф]])))))))))))))),
(IF((G249="5/24"),((база!$M$6*2*Таблица1[[#This Row],[Столбец1]]*Таблица1[[#This Row],[коэф]])),
IF(OR(G249="4/24",G249="3/24"),((база!$M$5*2*Таблица1[[#This Row],[Столбец1]]*Таблица1[[#This Row],[коэф]])),
IF((G249="5/16"),((база!$L$6*2*Таблица1[[#This Row],[Столбец1]]*Таблица1[[#This Row],[коэф]])),
IF(OR(G249="4/16",G249="3/16"),((база!$L$5*2*Таблица1[[#This Row],[Столбец1]]*Таблица1[[#This Row],[коэф]])),
IF(OR(G249="2/4",G249="3/4",G249="4/4"),((база!$I$5*2*Таблица1[[#This Row],[Столбец1]]*Таблица1[[#This Row],[коэф]])),
IF((G249="5/8"),((база!$J$6*2*Таблица1[[#This Row],[Столбец1]]*Таблица1[[#This Row],[коэф]])),
IF(OR(G249="4/8",G249="3/8",G249="2/8"),((база!$J$5*2*Таблица1[[#This Row],[Столбец1]]*Таблица1[[#This Row],[коэф]])))))))))))</f>
        <v>0</v>
      </c>
      <c r="AQ249" s="712" t="str">
        <f>IFERROR(INDEX(база!T:T, MATCH(F249,база!Q:Q,0)),"")</f>
        <v/>
      </c>
      <c r="AR249" s="208" t="str">
        <f>IFERROR(INDEX(база!D:D, MATCH(F249,база!B:B,0)),"")</f>
        <v/>
      </c>
      <c r="AS249" s="758" t="str">
        <f>IFERROR(INDEX(база!E:E, MATCH(F249,база!B:B,0)),"")</f>
        <v/>
      </c>
    </row>
    <row r="250" spans="1:45" ht="15">
      <c r="A250" s="66" t="str">
        <f t="shared" si="4"/>
        <v>январь</v>
      </c>
      <c r="B250" s="231">
        <v>2024</v>
      </c>
      <c r="C250" s="299"/>
      <c r="D250" s="61"/>
      <c r="E250" s="211"/>
      <c r="F250" s="680"/>
      <c r="G250" s="47"/>
      <c r="H250" s="563"/>
      <c r="I250" s="563"/>
      <c r="J250" s="563"/>
      <c r="K250" s="563"/>
      <c r="L250" s="563"/>
      <c r="M250" s="563"/>
      <c r="N250" s="563"/>
      <c r="O250" s="563"/>
      <c r="P250" s="563"/>
      <c r="Q250" s="563"/>
      <c r="R250" s="563"/>
      <c r="S250" s="563"/>
      <c r="T250" s="563"/>
      <c r="U250" s="563"/>
      <c r="V250" s="563"/>
      <c r="W250" s="563"/>
      <c r="X250" s="563"/>
      <c r="Y250" s="563"/>
      <c r="Z250" s="563"/>
      <c r="AA250" s="563"/>
      <c r="AB250" s="563"/>
      <c r="AC250" s="563"/>
      <c r="AD250" s="48"/>
      <c r="AE250" s="48"/>
      <c r="AF250" s="258"/>
      <c r="AG250" s="48"/>
      <c r="AH250" s="48"/>
      <c r="AI250" s="48"/>
      <c r="AJ250" s="48"/>
      <c r="AK250" s="48"/>
      <c r="AL250" s="51"/>
      <c r="AM250" s="212">
        <f>IF(AQ250=1,SUM(Q250:T250,W250:Z250,AC250:AF250,AI250:AL250),
IF(AQ250=2,SUM(P250,S250:V250,Y250:AB250,AE250:AH250,AK250:AL250),
IF(AQ250=3,SUM(P250:R250,U250:X250,AA250:AD250,AG250:AJ250),SUM(Таблица1[[#This Row],[1]:[31]])-Таблица1[[#This Row],[Столбец1]])))</f>
        <v>0</v>
      </c>
      <c r="AN250" s="778">
        <f t="array" ref="AN250">IF(AQ250=1,SUM(P250,U250:V250,AA250:AB250,AG250:AH250),
IF(AQ250=2,SUM(Q250:R250,W250:X250,AC250:AD250,AI250:AJ250),
IF(AQ250=3,SUM(S250:T250,Y250:Z250,AE250:AF250,AK250:AL250),
SUM(IFERROR(WEEKDAY($H$2:$AL$2,2)&gt;5,)*H250:AL250))))+Таблица1[[#This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50" s="292" t="b">
        <f>IF(AR250&lt;=3,(IF((G250="5/24"),((база!$M$6*Таблица1[[#This Row],[сумма]]*Таблица1[[#This Row],[коэф]])),
IF((G250="4/24"),((база!$M$5*Таблица1[[#This Row],[сумма]]*Таблица1[[#This Row],[коэф]])),
IF((G250="3/24"),((база!$M$4*Таблица1[[#This Row],[сумма]]*Таблица1[[#This Row],[коэф]])),
IF((G250="5/16"),((база!$L$6*Таблица1[[#This Row],[сумма]]*Таблица1[[#This Row],[коэф]])),
IF((G250="4/16"),((база!$L$5*Таблица1[[#This Row],[сумма]]*Таблица1[[#This Row],[коэф]])),
IF((G250="3/16"),((база!$L$4*Таблица1[[#This Row],[сумма]]*Таблица1[[#This Row],[коэф]])),
IF((G250="4/4"),((база!$I$5*Таблица1[[#This Row],[сумма]]*Таблица1[[#This Row],[коэф]])),
IF(OR(G250="2/4",G250="3/4"),((база!$I$4*Таблица1[[#This Row],[сумма]]*Таблица1[[#This Row],[коэф]])),
IF((G250="5/8"),((база!$J$6*Таблица1[[#This Row],[сумма]]*Таблица1[[#This Row],[коэф]])),
IF((G250="4/8"),((база!$J$5*Таблица1[[#This Row],[сумма]]*Таблица1[[#This Row],[коэф]])),
IF(OR(G250="3/8",G250="2/8"),((база!$J$4*Таблица1[[#This Row],[сумма]]*Таблица1[[#This Row],[коэф]])))))))))))))),
(IF((G250="5/24"),((база!$M$6*Таблица1[[#This Row],[сумма]]*Таблица1[[#This Row],[коэф]])),
IF(OR(G250="4/24",G250="3/24"),((база!$M$5*Таблица1[[#This Row],[сумма]]*Таблица1[[#This Row],[коэф]])),
IF((G250="5/16"),((база!$L$6*Таблица1[[#This Row],[сумма]]*Таблица1[[#This Row],[коэф]])),
IF(OR(G250="4/16",G250="3/16"),((база!$L$5*Таблица1[[#This Row],[сумма]]*Таблица1[[#This Row],[коэф]])),
IF(OR(G250="2/4",G250="3/4",G250="4/4"),((база!$I$5*Таблица1[[#This Row],[сумма]]*Таблица1[[#This Row],[коэф]])),
IF((G250="5/8"),((база!$J$6*Таблица1[[#This Row],[сумма]]*Таблица1[[#This Row],[коэф]])),
IF(OR(G250="4/8",G250="3/8",G250="2/8"),((база!$J$5*Таблица1[[#This Row],[сумма]]*Таблица1[[#This Row],[коэф]])))))))))))</f>
        <v>0</v>
      </c>
      <c r="AP250" s="730" t="b">
        <f>IF(AR250&lt;=3,(IF((G250="5/24"),((база!$M$6*2*Таблица1[[#This Row],[Столбец1]]*Таблица1[[#This Row],[коэф]])),
IF((G250="4/24"),((база!$M$5*2*Таблица1[[#This Row],[Столбец1]]*Таблица1[[#This Row],[коэф]])),
IF((G250="3/24"),((база!$M$4*2*Таблица1[[#This Row],[Столбец1]]*Таблица1[[#This Row],[коэф]])),
IF((G250="5/16"),((база!$L$6*2*Таблица1[[#This Row],[Столбец1]]*Таблица1[[#This Row],[коэф]])),
IF((G250="4/16"),((база!$L$5*2*Таблица1[[#This Row],[Столбец1]]*Таблица1[[#This Row],[коэф]])),
IF((G250="3/16"),((база!$L$4*2*Таблица1[[#This Row],[Столбец1]]*Таблица1[[#This Row],[коэф]])),
IF((G250="4/4"),((база!$I$5*2*Таблица1[[#This Row],[Столбец1]]*Таблица1[[#This Row],[коэф]])),
IF(OR(G250="2/4",G250="3/4"),((база!$I$4*2*Таблица1[[#This Row],[Столбец1]]*Таблица1[[#This Row],[коэф]])),
IF((G250="5/8"),((база!$J$6*2*Таблица1[[#This Row],[Столбец1]]*Таблица1[[#This Row],[коэф]])),
IF((G250="4/8"),((база!$J$5*2*Таблица1[[#This Row],[Столбец1]]*Таблица1[[#This Row],[коэф]])),
IF(OR(G250="3/8",G250="2/8"),((база!$J$4*2*Таблица1[[#This Row],[Столбец1]]*Таблица1[[#This Row],[коэф]])))))))))))))),
(IF((G250="5/24"),((база!$M$6*2*Таблица1[[#This Row],[Столбец1]]*Таблица1[[#This Row],[коэф]])),
IF(OR(G250="4/24",G250="3/24"),((база!$M$5*2*Таблица1[[#This Row],[Столбец1]]*Таблица1[[#This Row],[коэф]])),
IF((G250="5/16"),((база!$L$6*2*Таблица1[[#This Row],[Столбец1]]*Таблица1[[#This Row],[коэф]])),
IF(OR(G250="4/16",G250="3/16"),((база!$L$5*2*Таблица1[[#This Row],[Столбец1]]*Таблица1[[#This Row],[коэф]])),
IF(OR(G250="2/4",G250="3/4",G250="4/4"),((база!$I$5*2*Таблица1[[#This Row],[Столбец1]]*Таблица1[[#This Row],[коэф]])),
IF((G250="5/8"),((база!$J$6*2*Таблица1[[#This Row],[Столбец1]]*Таблица1[[#This Row],[коэф]])),
IF(OR(G250="4/8",G250="3/8",G250="2/8"),((база!$J$5*2*Таблица1[[#This Row],[Столбец1]]*Таблица1[[#This Row],[коэф]])))))))))))</f>
        <v>0</v>
      </c>
      <c r="AQ250" s="712" t="str">
        <f>IFERROR(INDEX(база!T:T, MATCH(F250,база!Q:Q,0)),"")</f>
        <v/>
      </c>
      <c r="AR250" s="208" t="str">
        <f>IFERROR(INDEX(база!D:D, MATCH(F250,база!B:B,0)),"")</f>
        <v/>
      </c>
      <c r="AS250" s="758" t="str">
        <f>IFERROR(INDEX(база!E:E, MATCH(F250,база!B:B,0)),"")</f>
        <v/>
      </c>
    </row>
    <row r="251" spans="1:45" ht="15">
      <c r="A251" s="66" t="str">
        <f t="shared" si="4"/>
        <v>январь</v>
      </c>
      <c r="B251" s="231">
        <v>2024</v>
      </c>
      <c r="C251" s="60"/>
      <c r="D251" s="61"/>
      <c r="E251" s="211"/>
      <c r="F251" s="680"/>
      <c r="G251" s="47"/>
      <c r="H251" s="563"/>
      <c r="I251" s="563"/>
      <c r="J251" s="563"/>
      <c r="K251" s="563"/>
      <c r="L251" s="563"/>
      <c r="M251" s="563"/>
      <c r="N251" s="563"/>
      <c r="O251" s="563"/>
      <c r="P251" s="563"/>
      <c r="Q251" s="563"/>
      <c r="R251" s="563"/>
      <c r="S251" s="563"/>
      <c r="T251" s="563"/>
      <c r="U251" s="563"/>
      <c r="V251" s="563"/>
      <c r="W251" s="563"/>
      <c r="X251" s="563"/>
      <c r="Y251" s="563"/>
      <c r="Z251" s="563"/>
      <c r="AA251" s="563"/>
      <c r="AB251" s="563"/>
      <c r="AC251" s="563"/>
      <c r="AD251" s="48"/>
      <c r="AE251" s="48"/>
      <c r="AF251" s="258"/>
      <c r="AG251" s="48"/>
      <c r="AH251" s="48"/>
      <c r="AI251" s="258"/>
      <c r="AJ251" s="258"/>
      <c r="AK251" s="258"/>
      <c r="AL251" s="258"/>
      <c r="AM251" s="212">
        <f>IF(AQ251=1,SUM(Q251:T251,W251:Z251,AC251:AF251,AI251:AL251),
IF(AQ251=2,SUM(P251,S251:V251,Y251:AB251,AE251:AH251,AK251:AL251),
IF(AQ251=3,SUM(P251:R251,U251:X251,AA251:AD251,AG251:AJ251),SUM(Таблица1[[#This Row],[1]:[31]])-Таблица1[[#This Row],[Столбец1]])))</f>
        <v>0</v>
      </c>
      <c r="AN251" s="778">
        <f t="array" ref="AN251">IF(AQ251=1,SUM(P251,U251:V251,AA251:AB251,AG251:AH251),
IF(AQ251=2,SUM(Q251:R251,W251:X251,AC251:AD251,AI251:AJ251),
IF(AQ251=3,SUM(S251:T251,Y251:Z251,AE251:AF251,AK251:AL251),
SUM(IFERROR(WEEKDAY($H$2:$AL$2,2)&gt;5,)*H251:AL251))))+Таблица1[[#This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51" s="292" t="b">
        <f>IF(AR251&lt;=3,(IF((G251="5/24"),((база!$M$6*Таблица1[[#This Row],[сумма]]*Таблица1[[#This Row],[коэф]])),
IF((G251="4/24"),((база!$M$5*Таблица1[[#This Row],[сумма]]*Таблица1[[#This Row],[коэф]])),
IF((G251="3/24"),((база!$M$4*Таблица1[[#This Row],[сумма]]*Таблица1[[#This Row],[коэф]])),
IF((G251="5/16"),((база!$L$6*Таблица1[[#This Row],[сумма]]*Таблица1[[#This Row],[коэф]])),
IF((G251="4/16"),((база!$L$5*Таблица1[[#This Row],[сумма]]*Таблица1[[#This Row],[коэф]])),
IF((G251="3/16"),((база!$L$4*Таблица1[[#This Row],[сумма]]*Таблица1[[#This Row],[коэф]])),
IF((G251="4/4"),((база!$I$5*Таблица1[[#This Row],[сумма]]*Таблица1[[#This Row],[коэф]])),
IF(OR(G251="2/4",G251="3/4"),((база!$I$4*Таблица1[[#This Row],[сумма]]*Таблица1[[#This Row],[коэф]])),
IF((G251="5/8"),((база!$J$6*Таблица1[[#This Row],[сумма]]*Таблица1[[#This Row],[коэф]])),
IF((G251="4/8"),((база!$J$5*Таблица1[[#This Row],[сумма]]*Таблица1[[#This Row],[коэф]])),
IF(OR(G251="3/8",G251="2/8"),((база!$J$4*Таблица1[[#This Row],[сумма]]*Таблица1[[#This Row],[коэф]])))))))))))))),
(IF((G251="5/24"),((база!$M$6*Таблица1[[#This Row],[сумма]]*Таблица1[[#This Row],[коэф]])),
IF(OR(G251="4/24",G251="3/24"),((база!$M$5*Таблица1[[#This Row],[сумма]]*Таблица1[[#This Row],[коэф]])),
IF((G251="5/16"),((база!$L$6*Таблица1[[#This Row],[сумма]]*Таблица1[[#This Row],[коэф]])),
IF(OR(G251="4/16",G251="3/16"),((база!$L$5*Таблица1[[#This Row],[сумма]]*Таблица1[[#This Row],[коэф]])),
IF(OR(G251="2/4",G251="3/4",G251="4/4"),((база!$I$5*Таблица1[[#This Row],[сумма]]*Таблица1[[#This Row],[коэф]])),
IF((G251="5/8"),((база!$J$6*Таблица1[[#This Row],[сумма]]*Таблица1[[#This Row],[коэф]])),
IF(OR(G251="4/8",G251="3/8",G251="2/8"),((база!$J$5*Таблица1[[#This Row],[сумма]]*Таблица1[[#This Row],[коэф]])))))))))))</f>
        <v>0</v>
      </c>
      <c r="AP251" s="730" t="b">
        <f>IF(AR251&lt;=3,(IF((G251="5/24"),((база!$M$6*2*Таблица1[[#This Row],[Столбец1]]*Таблица1[[#This Row],[коэф]])),
IF((G251="4/24"),((база!$M$5*2*Таблица1[[#This Row],[Столбец1]]*Таблица1[[#This Row],[коэф]])),
IF((G251="3/24"),((база!$M$4*2*Таблица1[[#This Row],[Столбец1]]*Таблица1[[#This Row],[коэф]])),
IF((G251="5/16"),((база!$L$6*2*Таблица1[[#This Row],[Столбец1]]*Таблица1[[#This Row],[коэф]])),
IF((G251="4/16"),((база!$L$5*2*Таблица1[[#This Row],[Столбец1]]*Таблица1[[#This Row],[коэф]])),
IF((G251="3/16"),((база!$L$4*2*Таблица1[[#This Row],[Столбец1]]*Таблица1[[#This Row],[коэф]])),
IF((G251="4/4"),((база!$I$5*2*Таблица1[[#This Row],[Столбец1]]*Таблица1[[#This Row],[коэф]])),
IF(OR(G251="2/4",G251="3/4"),((база!$I$4*2*Таблица1[[#This Row],[Столбец1]]*Таблица1[[#This Row],[коэф]])),
IF((G251="5/8"),((база!$J$6*2*Таблица1[[#This Row],[Столбец1]]*Таблица1[[#This Row],[коэф]])),
IF((G251="4/8"),((база!$J$5*2*Таблица1[[#This Row],[Столбец1]]*Таблица1[[#This Row],[коэф]])),
IF(OR(G251="3/8",G251="2/8"),((база!$J$4*2*Таблица1[[#This Row],[Столбец1]]*Таблица1[[#This Row],[коэф]])))))))))))))),
(IF((G251="5/24"),((база!$M$6*2*Таблица1[[#This Row],[Столбец1]]*Таблица1[[#This Row],[коэф]])),
IF(OR(G251="4/24",G251="3/24"),((база!$M$5*2*Таблица1[[#This Row],[Столбец1]]*Таблица1[[#This Row],[коэф]])),
IF((G251="5/16"),((база!$L$6*2*Таблица1[[#This Row],[Столбец1]]*Таблица1[[#This Row],[коэф]])),
IF(OR(G251="4/16",G251="3/16"),((база!$L$5*2*Таблица1[[#This Row],[Столбец1]]*Таблица1[[#This Row],[коэф]])),
IF(OR(G251="2/4",G251="3/4",G251="4/4"),((база!$I$5*2*Таблица1[[#This Row],[Столбец1]]*Таблица1[[#This Row],[коэф]])),
IF((G251="5/8"),((база!$J$6*2*Таблица1[[#This Row],[Столбец1]]*Таблица1[[#This Row],[коэф]])),
IF(OR(G251="4/8",G251="3/8",G251="2/8"),((база!$J$5*2*Таблица1[[#This Row],[Столбец1]]*Таблица1[[#This Row],[коэф]])))))))))))</f>
        <v>0</v>
      </c>
      <c r="AQ251" s="712" t="str">
        <f>IFERROR(INDEX(база!T:T, MATCH(F251,база!Q:Q,0)),"")</f>
        <v/>
      </c>
      <c r="AR251" s="208" t="str">
        <f>IFERROR(INDEX(база!D:D, MATCH(F251,база!B:B,0)),"")</f>
        <v/>
      </c>
      <c r="AS251" s="758" t="str">
        <f>IFERROR(INDEX(база!E:E, MATCH(F251,база!B:B,0)),"")</f>
        <v/>
      </c>
    </row>
    <row r="252" spans="1:45" ht="15">
      <c r="A252" s="66" t="str">
        <f t="shared" si="4"/>
        <v>январь</v>
      </c>
      <c r="B252" s="231">
        <v>2024</v>
      </c>
      <c r="C252" s="60"/>
      <c r="D252" s="61"/>
      <c r="E252" s="211"/>
      <c r="F252" s="680"/>
      <c r="G252" s="47"/>
      <c r="H252" s="563"/>
      <c r="I252" s="563"/>
      <c r="J252" s="563"/>
      <c r="K252" s="563"/>
      <c r="L252" s="563"/>
      <c r="M252" s="563"/>
      <c r="N252" s="563"/>
      <c r="O252" s="563"/>
      <c r="P252" s="300"/>
      <c r="Q252" s="563"/>
      <c r="R252" s="563"/>
      <c r="S252" s="563"/>
      <c r="T252" s="563"/>
      <c r="U252" s="563"/>
      <c r="V252" s="563"/>
      <c r="W252" s="563"/>
      <c r="X252" s="563"/>
      <c r="Y252" s="563"/>
      <c r="Z252" s="563"/>
      <c r="AA252" s="563"/>
      <c r="AB252" s="563"/>
      <c r="AC252" s="563"/>
      <c r="AD252" s="48"/>
      <c r="AE252" s="48"/>
      <c r="AF252" s="258"/>
      <c r="AG252" s="48"/>
      <c r="AH252" s="48"/>
      <c r="AI252" s="48"/>
      <c r="AJ252" s="48"/>
      <c r="AK252" s="48"/>
      <c r="AL252" s="51"/>
      <c r="AM252" s="212">
        <f>IF(AQ252=1,SUM(Q252:T252,W252:Z252,AC252:AF252,AI252:AL252),
IF(AQ252=2,SUM(P252,S252:V252,Y252:AB252,AE252:AH252,AK252:AL252),
IF(AQ252=3,SUM(P252:R252,U252:X252,AA252:AD252,AG252:AJ252),SUM(Таблица1[[#This Row],[1]:[31]])-Таблица1[[#This Row],[Столбец1]])))</f>
        <v>0</v>
      </c>
      <c r="AN252" s="778">
        <f t="array" ref="AN252">IF(AQ252=1,SUM(P252,U252:V252,AA252:AB252,AG252:AH252),
IF(AQ252=2,SUM(Q252:R252,W252:X252,AC252:AD252,AI252:AJ252),
IF(AQ252=3,SUM(S252:T252,Y252:Z252,AE252:AF252,AK252:AL252),
SUM(IFERROR(WEEKDAY($H$2:$AL$2,2)&gt;5,)*H252:AL252))))+Таблица1[[#This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52" s="292" t="b">
        <f>IF(AR252&lt;=3,(IF((G252="5/24"),((база!$M$6*Таблица1[[#This Row],[сумма]]*Таблица1[[#This Row],[коэф]])),
IF((G252="4/24"),((база!$M$5*Таблица1[[#This Row],[сумма]]*Таблица1[[#This Row],[коэф]])),
IF((G252="3/24"),((база!$M$4*Таблица1[[#This Row],[сумма]]*Таблица1[[#This Row],[коэф]])),
IF((G252="5/16"),((база!$L$6*Таблица1[[#This Row],[сумма]]*Таблица1[[#This Row],[коэф]])),
IF((G252="4/16"),((база!$L$5*Таблица1[[#This Row],[сумма]]*Таблица1[[#This Row],[коэф]])),
IF((G252="3/16"),((база!$L$4*Таблица1[[#This Row],[сумма]]*Таблица1[[#This Row],[коэф]])),
IF((G252="4/4"),((база!$I$5*Таблица1[[#This Row],[сумма]]*Таблица1[[#This Row],[коэф]])),
IF(OR(G252="2/4",G252="3/4"),((база!$I$4*Таблица1[[#This Row],[сумма]]*Таблица1[[#This Row],[коэф]])),
IF((G252="5/8"),((база!$J$6*Таблица1[[#This Row],[сумма]]*Таблица1[[#This Row],[коэф]])),
IF((G252="4/8"),((база!$J$5*Таблица1[[#This Row],[сумма]]*Таблица1[[#This Row],[коэф]])),
IF(OR(G252="3/8",G252="2/8"),((база!$J$4*Таблица1[[#This Row],[сумма]]*Таблица1[[#This Row],[коэф]])))))))))))))),
(IF((G252="5/24"),((база!$M$6*Таблица1[[#This Row],[сумма]]*Таблица1[[#This Row],[коэф]])),
IF(OR(G252="4/24",G252="3/24"),((база!$M$5*Таблица1[[#This Row],[сумма]]*Таблица1[[#This Row],[коэф]])),
IF((G252="5/16"),((база!$L$6*Таблица1[[#This Row],[сумма]]*Таблица1[[#This Row],[коэф]])),
IF(OR(G252="4/16",G252="3/16"),((база!$L$5*Таблица1[[#This Row],[сумма]]*Таблица1[[#This Row],[коэф]])),
IF(OR(G252="2/4",G252="3/4",G252="4/4"),((база!$I$5*Таблица1[[#This Row],[сумма]]*Таблица1[[#This Row],[коэф]])),
IF((G252="5/8"),((база!$J$6*Таблица1[[#This Row],[сумма]]*Таблица1[[#This Row],[коэф]])),
IF(OR(G252="4/8",G252="3/8",G252="2/8"),((база!$J$5*Таблица1[[#This Row],[сумма]]*Таблица1[[#This Row],[коэф]])))))))))))</f>
        <v>0</v>
      </c>
      <c r="AP252" s="730" t="b">
        <f>IF(AR252&lt;=3,(IF((G252="5/24"),((база!$M$6*2*Таблица1[[#This Row],[Столбец1]]*Таблица1[[#This Row],[коэф]])),
IF((G252="4/24"),((база!$M$5*2*Таблица1[[#This Row],[Столбец1]]*Таблица1[[#This Row],[коэф]])),
IF((G252="3/24"),((база!$M$4*2*Таблица1[[#This Row],[Столбец1]]*Таблица1[[#This Row],[коэф]])),
IF((G252="5/16"),((база!$L$6*2*Таблица1[[#This Row],[Столбец1]]*Таблица1[[#This Row],[коэф]])),
IF((G252="4/16"),((база!$L$5*2*Таблица1[[#This Row],[Столбец1]]*Таблица1[[#This Row],[коэф]])),
IF((G252="3/16"),((база!$L$4*2*Таблица1[[#This Row],[Столбец1]]*Таблица1[[#This Row],[коэф]])),
IF((G252="4/4"),((база!$I$5*2*Таблица1[[#This Row],[Столбец1]]*Таблица1[[#This Row],[коэф]])),
IF(OR(G252="2/4",G252="3/4"),((база!$I$4*2*Таблица1[[#This Row],[Столбец1]]*Таблица1[[#This Row],[коэф]])),
IF((G252="5/8"),((база!$J$6*2*Таблица1[[#This Row],[Столбец1]]*Таблица1[[#This Row],[коэф]])),
IF((G252="4/8"),((база!$J$5*2*Таблица1[[#This Row],[Столбец1]]*Таблица1[[#This Row],[коэф]])),
IF(OR(G252="3/8",G252="2/8"),((база!$J$4*2*Таблица1[[#This Row],[Столбец1]]*Таблица1[[#This Row],[коэф]])))))))))))))),
(IF((G252="5/24"),((база!$M$6*2*Таблица1[[#This Row],[Столбец1]]*Таблица1[[#This Row],[коэф]])),
IF(OR(G252="4/24",G252="3/24"),((база!$M$5*2*Таблица1[[#This Row],[Столбец1]]*Таблица1[[#This Row],[коэф]])),
IF((G252="5/16"),((база!$L$6*2*Таблица1[[#This Row],[Столбец1]]*Таблица1[[#This Row],[коэф]])),
IF(OR(G252="4/16",G252="3/16"),((база!$L$5*2*Таблица1[[#This Row],[Столбец1]]*Таблица1[[#This Row],[коэф]])),
IF(OR(G252="2/4",G252="3/4",G252="4/4"),((база!$I$5*2*Таблица1[[#This Row],[Столбец1]]*Таблица1[[#This Row],[коэф]])),
IF((G252="5/8"),((база!$J$6*2*Таблица1[[#This Row],[Столбец1]]*Таблица1[[#This Row],[коэф]])),
IF(OR(G252="4/8",G252="3/8",G252="2/8"),((база!$J$5*2*Таблица1[[#This Row],[Столбец1]]*Таблица1[[#This Row],[коэф]])))))))))))</f>
        <v>0</v>
      </c>
      <c r="AQ252" s="712" t="str">
        <f>IFERROR(INDEX(база!T:T, MATCH(F252,база!Q:Q,0)),"")</f>
        <v/>
      </c>
      <c r="AR252" s="208" t="str">
        <f>IFERROR(INDEX(база!D:D, MATCH(F252,база!B:B,0)),"")</f>
        <v/>
      </c>
      <c r="AS252" s="758" t="str">
        <f>IFERROR(INDEX(база!E:E, MATCH(F252,база!B:B,0)),"")</f>
        <v/>
      </c>
    </row>
    <row r="253" spans="1:45" ht="15">
      <c r="A253" s="66" t="str">
        <f t="shared" si="4"/>
        <v>январь</v>
      </c>
      <c r="B253" s="231">
        <v>2024</v>
      </c>
      <c r="C253" s="60"/>
      <c r="D253" s="61"/>
      <c r="E253" s="211"/>
      <c r="F253" s="680"/>
      <c r="G253" s="47"/>
      <c r="H253" s="563"/>
      <c r="I253" s="563"/>
      <c r="J253" s="563"/>
      <c r="K253" s="563"/>
      <c r="L253" s="563"/>
      <c r="M253" s="563"/>
      <c r="N253" s="563"/>
      <c r="O253" s="563"/>
      <c r="P253" s="300"/>
      <c r="Q253" s="563"/>
      <c r="R253" s="563"/>
      <c r="S253" s="563"/>
      <c r="T253" s="563"/>
      <c r="U253" s="563"/>
      <c r="V253" s="563"/>
      <c r="W253" s="563"/>
      <c r="X253" s="563"/>
      <c r="Y253" s="563"/>
      <c r="Z253" s="563"/>
      <c r="AA253" s="563"/>
      <c r="AB253" s="563"/>
      <c r="AC253" s="563"/>
      <c r="AD253" s="48"/>
      <c r="AE253" s="48"/>
      <c r="AF253" s="258"/>
      <c r="AG253" s="48"/>
      <c r="AH253" s="48"/>
      <c r="AI253" s="258"/>
      <c r="AJ253" s="258"/>
      <c r="AK253" s="258"/>
      <c r="AL253" s="258"/>
      <c r="AM253" s="212">
        <f>IF(AQ253=1,SUM(Q253:T253,W253:Z253,AC253:AF253,AI253:AL253),
IF(AQ253=2,SUM(P253,S253:V253,Y253:AB253,AE253:AH253,AK253:AL253),
IF(AQ253=3,SUM(P253:R253,U253:X253,AA253:AD253,AG253:AJ253),SUM(Таблица1[[#This Row],[1]:[31]])-Таблица1[[#This Row],[Столбец1]])))</f>
        <v>0</v>
      </c>
      <c r="AN253" s="778">
        <f t="array" ref="AN253">IF(AQ253=1,SUM(P253,U253:V253,AA253:AB253,AG253:AH253),
IF(AQ253=2,SUM(Q253:R253,W253:X253,AC253:AD253,AI253:AJ253),
IF(AQ253=3,SUM(S253:T253,Y253:Z253,AE253:AF253,AK253:AL253),
SUM(IFERROR(WEEKDAY($H$2:$AL$2,2)&gt;5,)*H253:AL253))))+Таблица1[[#This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53" s="292" t="b">
        <f>IF(AR253&lt;=3,(IF((G253="5/24"),((база!$M$6*Таблица1[[#This Row],[сумма]]*Таблица1[[#This Row],[коэф]])),
IF((G253="4/24"),((база!$M$5*Таблица1[[#This Row],[сумма]]*Таблица1[[#This Row],[коэф]])),
IF((G253="3/24"),((база!$M$4*Таблица1[[#This Row],[сумма]]*Таблица1[[#This Row],[коэф]])),
IF((G253="5/16"),((база!$L$6*Таблица1[[#This Row],[сумма]]*Таблица1[[#This Row],[коэф]])),
IF((G253="4/16"),((база!$L$5*Таблица1[[#This Row],[сумма]]*Таблица1[[#This Row],[коэф]])),
IF((G253="3/16"),((база!$L$4*Таблица1[[#This Row],[сумма]]*Таблица1[[#This Row],[коэф]])),
IF((G253="4/4"),((база!$I$5*Таблица1[[#This Row],[сумма]]*Таблица1[[#This Row],[коэф]])),
IF(OR(G253="2/4",G253="3/4"),((база!$I$4*Таблица1[[#This Row],[сумма]]*Таблица1[[#This Row],[коэф]])),
IF((G253="5/8"),((база!$J$6*Таблица1[[#This Row],[сумма]]*Таблица1[[#This Row],[коэф]])),
IF((G253="4/8"),((база!$J$5*Таблица1[[#This Row],[сумма]]*Таблица1[[#This Row],[коэф]])),
IF(OR(G253="3/8",G253="2/8"),((база!$J$4*Таблица1[[#This Row],[сумма]]*Таблица1[[#This Row],[коэф]])))))))))))))),
(IF((G253="5/24"),((база!$M$6*Таблица1[[#This Row],[сумма]]*Таблица1[[#This Row],[коэф]])),
IF(OR(G253="4/24",G253="3/24"),((база!$M$5*Таблица1[[#This Row],[сумма]]*Таблица1[[#This Row],[коэф]])),
IF((G253="5/16"),((база!$L$6*Таблица1[[#This Row],[сумма]]*Таблица1[[#This Row],[коэф]])),
IF(OR(G253="4/16",G253="3/16"),((база!$L$5*Таблица1[[#This Row],[сумма]]*Таблица1[[#This Row],[коэф]])),
IF(OR(G253="2/4",G253="3/4",G253="4/4"),((база!$I$5*Таблица1[[#This Row],[сумма]]*Таблица1[[#This Row],[коэф]])),
IF((G253="5/8"),((база!$J$6*Таблица1[[#This Row],[сумма]]*Таблица1[[#This Row],[коэф]])),
IF(OR(G253="4/8",G253="3/8",G253="2/8"),((база!$J$5*Таблица1[[#This Row],[сумма]]*Таблица1[[#This Row],[коэф]])))))))))))</f>
        <v>0</v>
      </c>
      <c r="AP253" s="730" t="b">
        <f>IF(AR253&lt;=3,(IF((G253="5/24"),((база!$M$6*2*Таблица1[[#This Row],[Столбец1]]*Таблица1[[#This Row],[коэф]])),
IF((G253="4/24"),((база!$M$5*2*Таблица1[[#This Row],[Столбец1]]*Таблица1[[#This Row],[коэф]])),
IF((G253="3/24"),((база!$M$4*2*Таблица1[[#This Row],[Столбец1]]*Таблица1[[#This Row],[коэф]])),
IF((G253="5/16"),((база!$L$6*2*Таблица1[[#This Row],[Столбец1]]*Таблица1[[#This Row],[коэф]])),
IF((G253="4/16"),((база!$L$5*2*Таблица1[[#This Row],[Столбец1]]*Таблица1[[#This Row],[коэф]])),
IF((G253="3/16"),((база!$L$4*2*Таблица1[[#This Row],[Столбец1]]*Таблица1[[#This Row],[коэф]])),
IF((G253="4/4"),((база!$I$5*2*Таблица1[[#This Row],[Столбец1]]*Таблица1[[#This Row],[коэф]])),
IF(OR(G253="2/4",G253="3/4"),((база!$I$4*2*Таблица1[[#This Row],[Столбец1]]*Таблица1[[#This Row],[коэф]])),
IF((G253="5/8"),((база!$J$6*2*Таблица1[[#This Row],[Столбец1]]*Таблица1[[#This Row],[коэф]])),
IF((G253="4/8"),((база!$J$5*2*Таблица1[[#This Row],[Столбец1]]*Таблица1[[#This Row],[коэф]])),
IF(OR(G253="3/8",G253="2/8"),((база!$J$4*2*Таблица1[[#This Row],[Столбец1]]*Таблица1[[#This Row],[коэф]])))))))))))))),
(IF((G253="5/24"),((база!$M$6*2*Таблица1[[#This Row],[Столбец1]]*Таблица1[[#This Row],[коэф]])),
IF(OR(G253="4/24",G253="3/24"),((база!$M$5*2*Таблица1[[#This Row],[Столбец1]]*Таблица1[[#This Row],[коэф]])),
IF((G253="5/16"),((база!$L$6*2*Таблица1[[#This Row],[Столбец1]]*Таблица1[[#This Row],[коэф]])),
IF(OR(G253="4/16",G253="3/16"),((база!$L$5*2*Таблица1[[#This Row],[Столбец1]]*Таблица1[[#This Row],[коэф]])),
IF(OR(G253="2/4",G253="3/4",G253="4/4"),((база!$I$5*2*Таблица1[[#This Row],[Столбец1]]*Таблица1[[#This Row],[коэф]])),
IF((G253="5/8"),((база!$J$6*2*Таблица1[[#This Row],[Столбец1]]*Таблица1[[#This Row],[коэф]])),
IF(OR(G253="4/8",G253="3/8",G253="2/8"),((база!$J$5*2*Таблица1[[#This Row],[Столбец1]]*Таблица1[[#This Row],[коэф]])))))))))))</f>
        <v>0</v>
      </c>
      <c r="AQ253" s="712" t="str">
        <f>IFERROR(INDEX(база!T:T, MATCH(F253,база!Q:Q,0)),"")</f>
        <v/>
      </c>
      <c r="AR253" s="208" t="str">
        <f>IFERROR(INDEX(база!D:D, MATCH(F253,база!B:B,0)),"")</f>
        <v/>
      </c>
      <c r="AS253" s="758" t="str">
        <f>IFERROR(INDEX(база!E:E, MATCH(F253,база!B:B,0)),"")</f>
        <v/>
      </c>
    </row>
    <row r="254" spans="1:45" ht="15">
      <c r="A254" s="66" t="str">
        <f t="shared" si="4"/>
        <v>январь</v>
      </c>
      <c r="B254" s="231">
        <v>2024</v>
      </c>
      <c r="C254" s="299"/>
      <c r="D254" s="61"/>
      <c r="E254" s="211"/>
      <c r="F254" s="680"/>
      <c r="G254" s="47"/>
      <c r="H254" s="563"/>
      <c r="I254" s="563"/>
      <c r="J254" s="563"/>
      <c r="K254" s="563"/>
      <c r="L254" s="563"/>
      <c r="M254" s="563"/>
      <c r="N254" s="563"/>
      <c r="O254" s="563"/>
      <c r="P254" s="300"/>
      <c r="Q254" s="563"/>
      <c r="R254" s="563"/>
      <c r="S254" s="563"/>
      <c r="T254" s="563"/>
      <c r="U254" s="563"/>
      <c r="V254" s="563"/>
      <c r="W254" s="563"/>
      <c r="X254" s="563"/>
      <c r="Y254" s="563"/>
      <c r="Z254" s="563"/>
      <c r="AA254" s="563"/>
      <c r="AB254" s="563"/>
      <c r="AC254" s="563"/>
      <c r="AD254" s="258"/>
      <c r="AE254" s="48"/>
      <c r="AF254" s="258"/>
      <c r="AG254" s="48"/>
      <c r="AH254" s="48"/>
      <c r="AI254" s="48"/>
      <c r="AJ254" s="48"/>
      <c r="AK254" s="48"/>
      <c r="AL254" s="51"/>
      <c r="AM254" s="212">
        <f>IF(AQ254=1,SUM(Q254:T254,W254:Z254,AC254:AF254,AI254:AL254),
IF(AQ254=2,SUM(P254,S254:V254,Y254:AB254,AE254:AH254,AK254:AL254),
IF(AQ254=3,SUM(P254:R254,U254:X254,AA254:AD254,AG254:AJ254),SUM(Таблица1[[#This Row],[1]:[31]])-Таблица1[[#This Row],[Столбец1]])))</f>
        <v>0</v>
      </c>
      <c r="AN254" s="778">
        <f t="array" ref="AN254">IF(AQ254=1,SUM(P254,U254:V254,AA254:AB254,AG254:AH254),
IF(AQ254=2,SUM(Q254:R254,W254:X254,AC254:AD254,AI254:AJ254),
IF(AQ254=3,SUM(S254:T254,Y254:Z254,AE254:AF254,AK254:AL254),
SUM(IFERROR(WEEKDAY($H$2:$AL$2,2)&gt;5,)*H254:AL254))))+Таблица1[[#This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54" s="292" t="b">
        <f>IF(AR254&lt;=3,(IF((G254="5/24"),((база!$M$6*Таблица1[[#This Row],[сумма]]*Таблица1[[#This Row],[коэф]])),
IF((G254="4/24"),((база!$M$5*Таблица1[[#This Row],[сумма]]*Таблица1[[#This Row],[коэф]])),
IF((G254="3/24"),((база!$M$4*Таблица1[[#This Row],[сумма]]*Таблица1[[#This Row],[коэф]])),
IF((G254="5/16"),((база!$L$6*Таблица1[[#This Row],[сумма]]*Таблица1[[#This Row],[коэф]])),
IF((G254="4/16"),((база!$L$5*Таблица1[[#This Row],[сумма]]*Таблица1[[#This Row],[коэф]])),
IF((G254="3/16"),((база!$L$4*Таблица1[[#This Row],[сумма]]*Таблица1[[#This Row],[коэф]])),
IF((G254="4/4"),((база!$I$5*Таблица1[[#This Row],[сумма]]*Таблица1[[#This Row],[коэф]])),
IF(OR(G254="2/4",G254="3/4"),((база!$I$4*Таблица1[[#This Row],[сумма]]*Таблица1[[#This Row],[коэф]])),
IF((G254="5/8"),((база!$J$6*Таблица1[[#This Row],[сумма]]*Таблица1[[#This Row],[коэф]])),
IF((G254="4/8"),((база!$J$5*Таблица1[[#This Row],[сумма]]*Таблица1[[#This Row],[коэф]])),
IF(OR(G254="3/8",G254="2/8"),((база!$J$4*Таблица1[[#This Row],[сумма]]*Таблица1[[#This Row],[коэф]])))))))))))))),
(IF((G254="5/24"),((база!$M$6*Таблица1[[#This Row],[сумма]]*Таблица1[[#This Row],[коэф]])),
IF(OR(G254="4/24",G254="3/24"),((база!$M$5*Таблица1[[#This Row],[сумма]]*Таблица1[[#This Row],[коэф]])),
IF((G254="5/16"),((база!$L$6*Таблица1[[#This Row],[сумма]]*Таблица1[[#This Row],[коэф]])),
IF(OR(G254="4/16",G254="3/16"),((база!$L$5*Таблица1[[#This Row],[сумма]]*Таблица1[[#This Row],[коэф]])),
IF(OR(G254="2/4",G254="3/4",G254="4/4"),((база!$I$5*Таблица1[[#This Row],[сумма]]*Таблица1[[#This Row],[коэф]])),
IF((G254="5/8"),((база!$J$6*Таблица1[[#This Row],[сумма]]*Таблица1[[#This Row],[коэф]])),
IF(OR(G254="4/8",G254="3/8",G254="2/8"),((база!$J$5*Таблица1[[#This Row],[сумма]]*Таблица1[[#This Row],[коэф]])))))))))))</f>
        <v>0</v>
      </c>
      <c r="AP254" s="730" t="b">
        <f>IF(AR254&lt;=3,(IF((G254="5/24"),((база!$M$6*2*Таблица1[[#This Row],[Столбец1]]*Таблица1[[#This Row],[коэф]])),
IF((G254="4/24"),((база!$M$5*2*Таблица1[[#This Row],[Столбец1]]*Таблица1[[#This Row],[коэф]])),
IF((G254="3/24"),((база!$M$4*2*Таблица1[[#This Row],[Столбец1]]*Таблица1[[#This Row],[коэф]])),
IF((G254="5/16"),((база!$L$6*2*Таблица1[[#This Row],[Столбец1]]*Таблица1[[#This Row],[коэф]])),
IF((G254="4/16"),((база!$L$5*2*Таблица1[[#This Row],[Столбец1]]*Таблица1[[#This Row],[коэф]])),
IF((G254="3/16"),((база!$L$4*2*Таблица1[[#This Row],[Столбец1]]*Таблица1[[#This Row],[коэф]])),
IF((G254="4/4"),((база!$I$5*2*Таблица1[[#This Row],[Столбец1]]*Таблица1[[#This Row],[коэф]])),
IF(OR(G254="2/4",G254="3/4"),((база!$I$4*2*Таблица1[[#This Row],[Столбец1]]*Таблица1[[#This Row],[коэф]])),
IF((G254="5/8"),((база!$J$6*2*Таблица1[[#This Row],[Столбец1]]*Таблица1[[#This Row],[коэф]])),
IF((G254="4/8"),((база!$J$5*2*Таблица1[[#This Row],[Столбец1]]*Таблица1[[#This Row],[коэф]])),
IF(OR(G254="3/8",G254="2/8"),((база!$J$4*2*Таблица1[[#This Row],[Столбец1]]*Таблица1[[#This Row],[коэф]])))))))))))))),
(IF((G254="5/24"),((база!$M$6*2*Таблица1[[#This Row],[Столбец1]]*Таблица1[[#This Row],[коэф]])),
IF(OR(G254="4/24",G254="3/24"),((база!$M$5*2*Таблица1[[#This Row],[Столбец1]]*Таблица1[[#This Row],[коэф]])),
IF((G254="5/16"),((база!$L$6*2*Таблица1[[#This Row],[Столбец1]]*Таблица1[[#This Row],[коэф]])),
IF(OR(G254="4/16",G254="3/16"),((база!$L$5*2*Таблица1[[#This Row],[Столбец1]]*Таблица1[[#This Row],[коэф]])),
IF(OR(G254="2/4",G254="3/4",G254="4/4"),((база!$I$5*2*Таблица1[[#This Row],[Столбец1]]*Таблица1[[#This Row],[коэф]])),
IF((G254="5/8"),((база!$J$6*2*Таблица1[[#This Row],[Столбец1]]*Таблица1[[#This Row],[коэф]])),
IF(OR(G254="4/8",G254="3/8",G254="2/8"),((база!$J$5*2*Таблица1[[#This Row],[Столбец1]]*Таблица1[[#This Row],[коэф]])))))))))))</f>
        <v>0</v>
      </c>
      <c r="AQ254" s="712" t="str">
        <f>IFERROR(INDEX(база!T:T, MATCH(F254,база!Q:Q,0)),"")</f>
        <v/>
      </c>
      <c r="AR254" s="208" t="str">
        <f>IFERROR(INDEX(база!D:D, MATCH(F254,база!B:B,0)),"")</f>
        <v/>
      </c>
      <c r="AS254" s="758" t="str">
        <f>IFERROR(INDEX(база!E:E, MATCH(F254,база!B:B,0)),"")</f>
        <v/>
      </c>
    </row>
    <row r="255" spans="1:45" ht="15">
      <c r="A255" s="66" t="str">
        <f t="shared" si="4"/>
        <v>январь</v>
      </c>
      <c r="B255" s="231">
        <v>2024</v>
      </c>
      <c r="C255" s="60"/>
      <c r="D255" s="61"/>
      <c r="E255" s="211"/>
      <c r="F255" s="680"/>
      <c r="G255" s="47"/>
      <c r="H255" s="563"/>
      <c r="I255" s="563"/>
      <c r="J255" s="563"/>
      <c r="K255" s="563"/>
      <c r="L255" s="563"/>
      <c r="M255" s="563"/>
      <c r="N255" s="563"/>
      <c r="O255" s="563"/>
      <c r="P255" s="300"/>
      <c r="Q255" s="563"/>
      <c r="R255" s="563"/>
      <c r="S255" s="563"/>
      <c r="T255" s="563"/>
      <c r="U255" s="563"/>
      <c r="V255" s="563"/>
      <c r="W255" s="563"/>
      <c r="X255" s="563"/>
      <c r="Y255" s="563"/>
      <c r="Z255" s="563"/>
      <c r="AA255" s="563"/>
      <c r="AB255" s="563"/>
      <c r="AC255" s="563"/>
      <c r="AD255" s="48"/>
      <c r="AE255" s="48"/>
      <c r="AF255" s="258"/>
      <c r="AG255" s="48"/>
      <c r="AH255" s="48"/>
      <c r="AI255" s="258"/>
      <c r="AJ255" s="258"/>
      <c r="AK255" s="258"/>
      <c r="AL255" s="258"/>
      <c r="AM255" s="212">
        <f>IF(AQ255=1,SUM(Q255:T255,W255:Z255,AC255:AF255,AI255:AL255),
IF(AQ255=2,SUM(P255,S255:V255,Y255:AB255,AE255:AH255,AK255:AL255),
IF(AQ255=3,SUM(P255:R255,U255:X255,AA255:AD255,AG255:AJ255),SUM(Таблица1[[#This Row],[1]:[31]])-Таблица1[[#This Row],[Столбец1]])))</f>
        <v>0</v>
      </c>
      <c r="AN255" s="778">
        <f t="array" ref="AN255">IF(AQ255=1,SUM(P255,U255:V255,AA255:AB255,AG255:AH255),
IF(AQ255=2,SUM(Q255:R255,W255:X255,AC255:AD255,AI255:AJ255),
IF(AQ255=3,SUM(S255:T255,Y255:Z255,AE255:AF255,AK255:AL255),
SUM(IFERROR(WEEKDAY($H$2:$AL$2,2)&gt;5,)*H255:AL255))))+Таблица1[[#This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55" s="292" t="b">
        <f>IF(AR255&lt;=3,(IF((G255="5/24"),((база!$M$6*Таблица1[[#This Row],[сумма]]*Таблица1[[#This Row],[коэф]])),
IF((G255="4/24"),((база!$M$5*Таблица1[[#This Row],[сумма]]*Таблица1[[#This Row],[коэф]])),
IF((G255="3/24"),((база!$M$4*Таблица1[[#This Row],[сумма]]*Таблица1[[#This Row],[коэф]])),
IF((G255="5/16"),((база!$L$6*Таблица1[[#This Row],[сумма]]*Таблица1[[#This Row],[коэф]])),
IF((G255="4/16"),((база!$L$5*Таблица1[[#This Row],[сумма]]*Таблица1[[#This Row],[коэф]])),
IF((G255="3/16"),((база!$L$4*Таблица1[[#This Row],[сумма]]*Таблица1[[#This Row],[коэф]])),
IF((G255="4/4"),((база!$I$5*Таблица1[[#This Row],[сумма]]*Таблица1[[#This Row],[коэф]])),
IF(OR(G255="2/4",G255="3/4"),((база!$I$4*Таблица1[[#This Row],[сумма]]*Таблица1[[#This Row],[коэф]])),
IF((G255="5/8"),((база!$J$6*Таблица1[[#This Row],[сумма]]*Таблица1[[#This Row],[коэф]])),
IF((G255="4/8"),((база!$J$5*Таблица1[[#This Row],[сумма]]*Таблица1[[#This Row],[коэф]])),
IF(OR(G255="3/8",G255="2/8"),((база!$J$4*Таблица1[[#This Row],[сумма]]*Таблица1[[#This Row],[коэф]])))))))))))))),
(IF((G255="5/24"),((база!$M$6*Таблица1[[#This Row],[сумма]]*Таблица1[[#This Row],[коэф]])),
IF(OR(G255="4/24",G255="3/24"),((база!$M$5*Таблица1[[#This Row],[сумма]]*Таблица1[[#This Row],[коэф]])),
IF((G255="5/16"),((база!$L$6*Таблица1[[#This Row],[сумма]]*Таблица1[[#This Row],[коэф]])),
IF(OR(G255="4/16",G255="3/16"),((база!$L$5*Таблица1[[#This Row],[сумма]]*Таблица1[[#This Row],[коэф]])),
IF(OR(G255="2/4",G255="3/4",G255="4/4"),((база!$I$5*Таблица1[[#This Row],[сумма]]*Таблица1[[#This Row],[коэф]])),
IF((G255="5/8"),((база!$J$6*Таблица1[[#This Row],[сумма]]*Таблица1[[#This Row],[коэф]])),
IF(OR(G255="4/8",G255="3/8",G255="2/8"),((база!$J$5*Таблица1[[#This Row],[сумма]]*Таблица1[[#This Row],[коэф]])))))))))))</f>
        <v>0</v>
      </c>
      <c r="AP255" s="730" t="b">
        <f>IF(AR255&lt;=3,(IF((G255="5/24"),((база!$M$6*2*Таблица1[[#This Row],[Столбец1]]*Таблица1[[#This Row],[коэф]])),
IF((G255="4/24"),((база!$M$5*2*Таблица1[[#This Row],[Столбец1]]*Таблица1[[#This Row],[коэф]])),
IF((G255="3/24"),((база!$M$4*2*Таблица1[[#This Row],[Столбец1]]*Таблица1[[#This Row],[коэф]])),
IF((G255="5/16"),((база!$L$6*2*Таблица1[[#This Row],[Столбец1]]*Таблица1[[#This Row],[коэф]])),
IF((G255="4/16"),((база!$L$5*2*Таблица1[[#This Row],[Столбец1]]*Таблица1[[#This Row],[коэф]])),
IF((G255="3/16"),((база!$L$4*2*Таблица1[[#This Row],[Столбец1]]*Таблица1[[#This Row],[коэф]])),
IF((G255="4/4"),((база!$I$5*2*Таблица1[[#This Row],[Столбец1]]*Таблица1[[#This Row],[коэф]])),
IF(OR(G255="2/4",G255="3/4"),((база!$I$4*2*Таблица1[[#This Row],[Столбец1]]*Таблица1[[#This Row],[коэф]])),
IF((G255="5/8"),((база!$J$6*2*Таблица1[[#This Row],[Столбец1]]*Таблица1[[#This Row],[коэф]])),
IF((G255="4/8"),((база!$J$5*2*Таблица1[[#This Row],[Столбец1]]*Таблица1[[#This Row],[коэф]])),
IF(OR(G255="3/8",G255="2/8"),((база!$J$4*2*Таблица1[[#This Row],[Столбец1]]*Таблица1[[#This Row],[коэф]])))))))))))))),
(IF((G255="5/24"),((база!$M$6*2*Таблица1[[#This Row],[Столбец1]]*Таблица1[[#This Row],[коэф]])),
IF(OR(G255="4/24",G255="3/24"),((база!$M$5*2*Таблица1[[#This Row],[Столбец1]]*Таблица1[[#This Row],[коэф]])),
IF((G255="5/16"),((база!$L$6*2*Таблица1[[#This Row],[Столбец1]]*Таблица1[[#This Row],[коэф]])),
IF(OR(G255="4/16",G255="3/16"),((база!$L$5*2*Таблица1[[#This Row],[Столбец1]]*Таблица1[[#This Row],[коэф]])),
IF(OR(G255="2/4",G255="3/4",G255="4/4"),((база!$I$5*2*Таблица1[[#This Row],[Столбец1]]*Таблица1[[#This Row],[коэф]])),
IF((G255="5/8"),((база!$J$6*2*Таблица1[[#This Row],[Столбец1]]*Таблица1[[#This Row],[коэф]])),
IF(OR(G255="4/8",G255="3/8",G255="2/8"),((база!$J$5*2*Таблица1[[#This Row],[Столбец1]]*Таблица1[[#This Row],[коэф]])))))))))))</f>
        <v>0</v>
      </c>
      <c r="AQ255" s="712" t="str">
        <f>IFERROR(INDEX(база!T:T, MATCH(F255,база!Q:Q,0)),"")</f>
        <v/>
      </c>
      <c r="AR255" s="208" t="str">
        <f>IFERROR(INDEX(база!D:D, MATCH(F255,база!B:B,0)),"")</f>
        <v/>
      </c>
      <c r="AS255" s="758" t="str">
        <f>IFERROR(INDEX(база!E:E, MATCH(F255,база!B:B,0)),"")</f>
        <v/>
      </c>
    </row>
    <row r="256" spans="1:45" ht="15">
      <c r="A256" s="66" t="str">
        <f t="shared" si="4"/>
        <v>январь</v>
      </c>
      <c r="B256" s="231">
        <v>2024</v>
      </c>
      <c r="C256" s="60"/>
      <c r="D256" s="61"/>
      <c r="E256" s="211"/>
      <c r="F256" s="680"/>
      <c r="G256" s="47"/>
      <c r="H256" s="563"/>
      <c r="I256" s="563"/>
      <c r="J256" s="563"/>
      <c r="K256" s="563"/>
      <c r="L256" s="563"/>
      <c r="M256" s="563"/>
      <c r="N256" s="563"/>
      <c r="O256" s="563"/>
      <c r="P256" s="300"/>
      <c r="Q256" s="563"/>
      <c r="R256" s="563"/>
      <c r="S256" s="563"/>
      <c r="T256" s="563"/>
      <c r="U256" s="563"/>
      <c r="V256" s="563"/>
      <c r="W256" s="563"/>
      <c r="X256" s="563"/>
      <c r="Y256" s="563"/>
      <c r="Z256" s="563"/>
      <c r="AA256" s="563"/>
      <c r="AB256" s="563"/>
      <c r="AC256" s="563"/>
      <c r="AD256" s="48"/>
      <c r="AE256" s="48"/>
      <c r="AF256" s="258"/>
      <c r="AG256" s="48"/>
      <c r="AH256" s="48"/>
      <c r="AI256" s="48"/>
      <c r="AJ256" s="48"/>
      <c r="AK256" s="48"/>
      <c r="AL256" s="51"/>
      <c r="AM256" s="212">
        <f>IF(AQ256=1,SUM(Q256:T256,W256:Z256,AC256:AF256,AI256:AL256),
IF(AQ256=2,SUM(P256,S256:V256,Y256:AB256,AE256:AH256,AK256:AL256),
IF(AQ256=3,SUM(P256:R256,U256:X256,AA256:AD256,AG256:AJ256),SUM(Таблица1[[#This Row],[1]:[31]])-Таблица1[[#This Row],[Столбец1]])))</f>
        <v>0</v>
      </c>
      <c r="AN256" s="778">
        <f t="array" ref="AN256">IF(AQ256=1,SUM(P256,U256:V256,AA256:AB256,AG256:AH256),
IF(AQ256=2,SUM(Q256:R256,W256:X256,AC256:AD256,AI256:AJ256),
IF(AQ256=3,SUM(S256:T256,Y256:Z256,AE256:AF256,AK256:AL256),
SUM(IFERROR(WEEKDAY($H$2:$AL$2,2)&gt;5,)*H256:AL256))))+Таблица1[[#This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56" s="292" t="b">
        <f>IF(AR256&lt;=3,(IF((G256="5/24"),((база!$M$6*Таблица1[[#This Row],[сумма]]*Таблица1[[#This Row],[коэф]])),
IF((G256="4/24"),((база!$M$5*Таблица1[[#This Row],[сумма]]*Таблица1[[#This Row],[коэф]])),
IF((G256="3/24"),((база!$M$4*Таблица1[[#This Row],[сумма]]*Таблица1[[#This Row],[коэф]])),
IF((G256="5/16"),((база!$L$6*Таблица1[[#This Row],[сумма]]*Таблица1[[#This Row],[коэф]])),
IF((G256="4/16"),((база!$L$5*Таблица1[[#This Row],[сумма]]*Таблица1[[#This Row],[коэф]])),
IF((G256="3/16"),((база!$L$4*Таблица1[[#This Row],[сумма]]*Таблица1[[#This Row],[коэф]])),
IF((G256="4/4"),((база!$I$5*Таблица1[[#This Row],[сумма]]*Таблица1[[#This Row],[коэф]])),
IF(OR(G256="2/4",G256="3/4"),((база!$I$4*Таблица1[[#This Row],[сумма]]*Таблица1[[#This Row],[коэф]])),
IF((G256="5/8"),((база!$J$6*Таблица1[[#This Row],[сумма]]*Таблица1[[#This Row],[коэф]])),
IF((G256="4/8"),((база!$J$5*Таблица1[[#This Row],[сумма]]*Таблица1[[#This Row],[коэф]])),
IF(OR(G256="3/8",G256="2/8"),((база!$J$4*Таблица1[[#This Row],[сумма]]*Таблица1[[#This Row],[коэф]])))))))))))))),
(IF((G256="5/24"),((база!$M$6*Таблица1[[#This Row],[сумма]]*Таблица1[[#This Row],[коэф]])),
IF(OR(G256="4/24",G256="3/24"),((база!$M$5*Таблица1[[#This Row],[сумма]]*Таблица1[[#This Row],[коэф]])),
IF((G256="5/16"),((база!$L$6*Таблица1[[#This Row],[сумма]]*Таблица1[[#This Row],[коэф]])),
IF(OR(G256="4/16",G256="3/16"),((база!$L$5*Таблица1[[#This Row],[сумма]]*Таблица1[[#This Row],[коэф]])),
IF(OR(G256="2/4",G256="3/4",G256="4/4"),((база!$I$5*Таблица1[[#This Row],[сумма]]*Таблица1[[#This Row],[коэф]])),
IF((G256="5/8"),((база!$J$6*Таблица1[[#This Row],[сумма]]*Таблица1[[#This Row],[коэф]])),
IF(OR(G256="4/8",G256="3/8",G256="2/8"),((база!$J$5*Таблица1[[#This Row],[сумма]]*Таблица1[[#This Row],[коэф]])))))))))))</f>
        <v>0</v>
      </c>
      <c r="AP256" s="730" t="b">
        <f>IF(AR256&lt;=3,(IF((G256="5/24"),((база!$M$6*2*Таблица1[[#This Row],[Столбец1]]*Таблица1[[#This Row],[коэф]])),
IF((G256="4/24"),((база!$M$5*2*Таблица1[[#This Row],[Столбец1]]*Таблица1[[#This Row],[коэф]])),
IF((G256="3/24"),((база!$M$4*2*Таблица1[[#This Row],[Столбец1]]*Таблица1[[#This Row],[коэф]])),
IF((G256="5/16"),((база!$L$6*2*Таблица1[[#This Row],[Столбец1]]*Таблица1[[#This Row],[коэф]])),
IF((G256="4/16"),((база!$L$5*2*Таблица1[[#This Row],[Столбец1]]*Таблица1[[#This Row],[коэф]])),
IF((G256="3/16"),((база!$L$4*2*Таблица1[[#This Row],[Столбец1]]*Таблица1[[#This Row],[коэф]])),
IF((G256="4/4"),((база!$I$5*2*Таблица1[[#This Row],[Столбец1]]*Таблица1[[#This Row],[коэф]])),
IF(OR(G256="2/4",G256="3/4"),((база!$I$4*2*Таблица1[[#This Row],[Столбец1]]*Таблица1[[#This Row],[коэф]])),
IF((G256="5/8"),((база!$J$6*2*Таблица1[[#This Row],[Столбец1]]*Таблица1[[#This Row],[коэф]])),
IF((G256="4/8"),((база!$J$5*2*Таблица1[[#This Row],[Столбец1]]*Таблица1[[#This Row],[коэф]])),
IF(OR(G256="3/8",G256="2/8"),((база!$J$4*2*Таблица1[[#This Row],[Столбец1]]*Таблица1[[#This Row],[коэф]])))))))))))))),
(IF((G256="5/24"),((база!$M$6*2*Таблица1[[#This Row],[Столбец1]]*Таблица1[[#This Row],[коэф]])),
IF(OR(G256="4/24",G256="3/24"),((база!$M$5*2*Таблица1[[#This Row],[Столбец1]]*Таблица1[[#This Row],[коэф]])),
IF((G256="5/16"),((база!$L$6*2*Таблица1[[#This Row],[Столбец1]]*Таблица1[[#This Row],[коэф]])),
IF(OR(G256="4/16",G256="3/16"),((база!$L$5*2*Таблица1[[#This Row],[Столбец1]]*Таблица1[[#This Row],[коэф]])),
IF(OR(G256="2/4",G256="3/4",G256="4/4"),((база!$I$5*2*Таблица1[[#This Row],[Столбец1]]*Таблица1[[#This Row],[коэф]])),
IF((G256="5/8"),((база!$J$6*2*Таблица1[[#This Row],[Столбец1]]*Таблица1[[#This Row],[коэф]])),
IF(OR(G256="4/8",G256="3/8",G256="2/8"),((база!$J$5*2*Таблица1[[#This Row],[Столбец1]]*Таблица1[[#This Row],[коэф]])))))))))))</f>
        <v>0</v>
      </c>
      <c r="AQ256" s="712" t="str">
        <f>IFERROR(INDEX(база!T:T, MATCH(F256,база!Q:Q,0)),"")</f>
        <v/>
      </c>
      <c r="AR256" s="208" t="str">
        <f>IFERROR(INDEX(база!D:D, MATCH(F256,база!B:B,0)),"")</f>
        <v/>
      </c>
      <c r="AS256" s="758" t="str">
        <f>IFERROR(INDEX(база!E:E, MATCH(F256,база!B:B,0)),"")</f>
        <v/>
      </c>
    </row>
    <row r="257" spans="1:45" ht="15">
      <c r="A257" s="66" t="str">
        <f t="shared" si="4"/>
        <v>январь</v>
      </c>
      <c r="B257" s="231">
        <v>2024</v>
      </c>
      <c r="C257" s="60"/>
      <c r="D257" s="61"/>
      <c r="E257" s="211"/>
      <c r="F257" s="680"/>
      <c r="G257" s="47"/>
      <c r="H257" s="563"/>
      <c r="I257" s="563"/>
      <c r="J257" s="563"/>
      <c r="K257" s="563"/>
      <c r="L257" s="563"/>
      <c r="M257" s="563"/>
      <c r="N257" s="563"/>
      <c r="O257" s="563"/>
      <c r="P257" s="300"/>
      <c r="Q257" s="563"/>
      <c r="R257" s="563"/>
      <c r="S257" s="563"/>
      <c r="T257" s="563"/>
      <c r="U257" s="563"/>
      <c r="V257" s="563"/>
      <c r="W257" s="563"/>
      <c r="X257" s="563"/>
      <c r="Y257" s="563"/>
      <c r="Z257" s="563"/>
      <c r="AA257" s="563"/>
      <c r="AB257" s="563"/>
      <c r="AC257" s="563"/>
      <c r="AD257" s="48"/>
      <c r="AE257" s="48"/>
      <c r="AF257" s="258"/>
      <c r="AG257" s="48"/>
      <c r="AH257" s="48"/>
      <c r="AI257" s="258"/>
      <c r="AJ257" s="258"/>
      <c r="AK257" s="258"/>
      <c r="AL257" s="258"/>
      <c r="AM257" s="212">
        <f>IF(AQ257=1,SUM(Q257:T257,W257:Z257,AC257:AF257,AI257:AL257),
IF(AQ257=2,SUM(P257,S257:V257,Y257:AB257,AE257:AH257,AK257:AL257),
IF(AQ257=3,SUM(P257:R257,U257:X257,AA257:AD257,AG257:AJ257),SUM(Таблица1[[#This Row],[1]:[31]])-Таблица1[[#This Row],[Столбец1]])))</f>
        <v>0</v>
      </c>
      <c r="AN257" s="778">
        <f t="array" ref="AN257">IF(AQ257=1,SUM(P257,U257:V257,AA257:AB257,AG257:AH257),
IF(AQ257=2,SUM(Q257:R257,W257:X257,AC257:AD257,AI257:AJ257),
IF(AQ257=3,SUM(S257:T257,Y257:Z257,AE257:AF257,AK257:AL257),
SUM(IFERROR(WEEKDAY($H$2:$AL$2,2)&gt;5,)*H257:AL257))))+Таблица1[[#This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57" s="292" t="b">
        <f>IF(AR257&lt;=3,(IF((G257="5/24"),((база!$M$6*Таблица1[[#This Row],[сумма]]*Таблица1[[#This Row],[коэф]])),
IF((G257="4/24"),((база!$M$5*Таблица1[[#This Row],[сумма]]*Таблица1[[#This Row],[коэф]])),
IF((G257="3/24"),((база!$M$4*Таблица1[[#This Row],[сумма]]*Таблица1[[#This Row],[коэф]])),
IF((G257="5/16"),((база!$L$6*Таблица1[[#This Row],[сумма]]*Таблица1[[#This Row],[коэф]])),
IF((G257="4/16"),((база!$L$5*Таблица1[[#This Row],[сумма]]*Таблица1[[#This Row],[коэф]])),
IF((G257="3/16"),((база!$L$4*Таблица1[[#This Row],[сумма]]*Таблица1[[#This Row],[коэф]])),
IF((G257="4/4"),((база!$I$5*Таблица1[[#This Row],[сумма]]*Таблица1[[#This Row],[коэф]])),
IF(OR(G257="2/4",G257="3/4"),((база!$I$4*Таблица1[[#This Row],[сумма]]*Таблица1[[#This Row],[коэф]])),
IF((G257="5/8"),((база!$J$6*Таблица1[[#This Row],[сумма]]*Таблица1[[#This Row],[коэф]])),
IF((G257="4/8"),((база!$J$5*Таблица1[[#This Row],[сумма]]*Таблица1[[#This Row],[коэф]])),
IF(OR(G257="3/8",G257="2/8"),((база!$J$4*Таблица1[[#This Row],[сумма]]*Таблица1[[#This Row],[коэф]])))))))))))))),
(IF((G257="5/24"),((база!$M$6*Таблица1[[#This Row],[сумма]]*Таблица1[[#This Row],[коэф]])),
IF(OR(G257="4/24",G257="3/24"),((база!$M$5*Таблица1[[#This Row],[сумма]]*Таблица1[[#This Row],[коэф]])),
IF((G257="5/16"),((база!$L$6*Таблица1[[#This Row],[сумма]]*Таблица1[[#This Row],[коэф]])),
IF(OR(G257="4/16",G257="3/16"),((база!$L$5*Таблица1[[#This Row],[сумма]]*Таблица1[[#This Row],[коэф]])),
IF(OR(G257="2/4",G257="3/4",G257="4/4"),((база!$I$5*Таблица1[[#This Row],[сумма]]*Таблица1[[#This Row],[коэф]])),
IF((G257="5/8"),((база!$J$6*Таблица1[[#This Row],[сумма]]*Таблица1[[#This Row],[коэф]])),
IF(OR(G257="4/8",G257="3/8",G257="2/8"),((база!$J$5*Таблица1[[#This Row],[сумма]]*Таблица1[[#This Row],[коэф]])))))))))))</f>
        <v>0</v>
      </c>
      <c r="AP257" s="730" t="b">
        <f>IF(AR257&lt;=3,(IF((G257="5/24"),((база!$M$6*2*Таблица1[[#This Row],[Столбец1]]*Таблица1[[#This Row],[коэф]])),
IF((G257="4/24"),((база!$M$5*2*Таблица1[[#This Row],[Столбец1]]*Таблица1[[#This Row],[коэф]])),
IF((G257="3/24"),((база!$M$4*2*Таблица1[[#This Row],[Столбец1]]*Таблица1[[#This Row],[коэф]])),
IF((G257="5/16"),((база!$L$6*2*Таблица1[[#This Row],[Столбец1]]*Таблица1[[#This Row],[коэф]])),
IF((G257="4/16"),((база!$L$5*2*Таблица1[[#This Row],[Столбец1]]*Таблица1[[#This Row],[коэф]])),
IF((G257="3/16"),((база!$L$4*2*Таблица1[[#This Row],[Столбец1]]*Таблица1[[#This Row],[коэф]])),
IF((G257="4/4"),((база!$I$5*2*Таблица1[[#This Row],[Столбец1]]*Таблица1[[#This Row],[коэф]])),
IF(OR(G257="2/4",G257="3/4"),((база!$I$4*2*Таблица1[[#This Row],[Столбец1]]*Таблица1[[#This Row],[коэф]])),
IF((G257="5/8"),((база!$J$6*2*Таблица1[[#This Row],[Столбец1]]*Таблица1[[#This Row],[коэф]])),
IF((G257="4/8"),((база!$J$5*2*Таблица1[[#This Row],[Столбец1]]*Таблица1[[#This Row],[коэф]])),
IF(OR(G257="3/8",G257="2/8"),((база!$J$4*2*Таблица1[[#This Row],[Столбец1]]*Таблица1[[#This Row],[коэф]])))))))))))))),
(IF((G257="5/24"),((база!$M$6*2*Таблица1[[#This Row],[Столбец1]]*Таблица1[[#This Row],[коэф]])),
IF(OR(G257="4/24",G257="3/24"),((база!$M$5*2*Таблица1[[#This Row],[Столбец1]]*Таблица1[[#This Row],[коэф]])),
IF((G257="5/16"),((база!$L$6*2*Таблица1[[#This Row],[Столбец1]]*Таблица1[[#This Row],[коэф]])),
IF(OR(G257="4/16",G257="3/16"),((база!$L$5*2*Таблица1[[#This Row],[Столбец1]]*Таблица1[[#This Row],[коэф]])),
IF(OR(G257="2/4",G257="3/4",G257="4/4"),((база!$I$5*2*Таблица1[[#This Row],[Столбец1]]*Таблица1[[#This Row],[коэф]])),
IF((G257="5/8"),((база!$J$6*2*Таблица1[[#This Row],[Столбец1]]*Таблица1[[#This Row],[коэф]])),
IF(OR(G257="4/8",G257="3/8",G257="2/8"),((база!$J$5*2*Таблица1[[#This Row],[Столбец1]]*Таблица1[[#This Row],[коэф]])))))))))))</f>
        <v>0</v>
      </c>
      <c r="AQ257" s="712" t="str">
        <f>IFERROR(INDEX(база!T:T, MATCH(F257,база!Q:Q,0)),"")</f>
        <v/>
      </c>
      <c r="AR257" s="208" t="str">
        <f>IFERROR(INDEX(база!D:D, MATCH(F257,база!B:B,0)),"")</f>
        <v/>
      </c>
      <c r="AS257" s="758" t="str">
        <f>IFERROR(INDEX(база!E:E, MATCH(F257,база!B:B,0)),"")</f>
        <v/>
      </c>
    </row>
    <row r="258" spans="1:45" ht="15">
      <c r="A258" s="66" t="str">
        <f t="shared" si="4"/>
        <v>январь</v>
      </c>
      <c r="B258" s="231">
        <v>2024</v>
      </c>
      <c r="C258" s="299"/>
      <c r="D258" s="61"/>
      <c r="E258" s="211"/>
      <c r="F258" s="680"/>
      <c r="G258" s="47"/>
      <c r="H258" s="563"/>
      <c r="I258" s="563"/>
      <c r="J258" s="563"/>
      <c r="K258" s="563"/>
      <c r="L258" s="563"/>
      <c r="M258" s="563"/>
      <c r="N258" s="563"/>
      <c r="O258" s="563"/>
      <c r="P258" s="300"/>
      <c r="Q258" s="563"/>
      <c r="R258" s="563"/>
      <c r="S258" s="563"/>
      <c r="T258" s="563"/>
      <c r="U258" s="563"/>
      <c r="V258" s="563"/>
      <c r="W258" s="563"/>
      <c r="X258" s="563"/>
      <c r="Y258" s="563"/>
      <c r="Z258" s="563"/>
      <c r="AA258" s="563"/>
      <c r="AB258" s="563"/>
      <c r="AC258" s="563"/>
      <c r="AD258" s="48"/>
      <c r="AE258" s="48"/>
      <c r="AF258" s="258"/>
      <c r="AG258" s="48"/>
      <c r="AH258" s="48"/>
      <c r="AI258" s="48"/>
      <c r="AJ258" s="48"/>
      <c r="AK258" s="48"/>
      <c r="AL258" s="51"/>
      <c r="AM258" s="212">
        <f>IF(AQ258=1,SUM(Q258:T258,W258:Z258,AC258:AF258,AI258:AL258),
IF(AQ258=2,SUM(P258,S258:V258,Y258:AB258,AE258:AH258,AK258:AL258),
IF(AQ258=3,SUM(P258:R258,U258:X258,AA258:AD258,AG258:AJ258),SUM(Таблица1[[#This Row],[1]:[31]])-Таблица1[[#This Row],[Столбец1]])))</f>
        <v>0</v>
      </c>
      <c r="AN258" s="778">
        <f t="array" ref="AN258">IF(AQ258=1,SUM(P258,U258:V258,AA258:AB258,AG258:AH258),
IF(AQ258=2,SUM(Q258:R258,W258:X258,AC258:AD258,AI258:AJ258),
IF(AQ258=3,SUM(S258:T258,Y258:Z258,AE258:AF258,AK258:AL258),
SUM(IFERROR(WEEKDAY($H$2:$AL$2,2)&gt;5,)*H258:AL258))))+Таблица1[[#This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58" s="292" t="b">
        <f>IF(AR258&lt;=3,(IF((G258="5/24"),((база!$M$6*Таблица1[[#This Row],[сумма]]*Таблица1[[#This Row],[коэф]])),
IF((G258="4/24"),((база!$M$5*Таблица1[[#This Row],[сумма]]*Таблица1[[#This Row],[коэф]])),
IF((G258="3/24"),((база!$M$4*Таблица1[[#This Row],[сумма]]*Таблица1[[#This Row],[коэф]])),
IF((G258="5/16"),((база!$L$6*Таблица1[[#This Row],[сумма]]*Таблица1[[#This Row],[коэф]])),
IF((G258="4/16"),((база!$L$5*Таблица1[[#This Row],[сумма]]*Таблица1[[#This Row],[коэф]])),
IF((G258="3/16"),((база!$L$4*Таблица1[[#This Row],[сумма]]*Таблица1[[#This Row],[коэф]])),
IF((G258="4/4"),((база!$I$5*Таблица1[[#This Row],[сумма]]*Таблица1[[#This Row],[коэф]])),
IF(OR(G258="2/4",G258="3/4"),((база!$I$4*Таблица1[[#This Row],[сумма]]*Таблица1[[#This Row],[коэф]])),
IF((G258="5/8"),((база!$J$6*Таблица1[[#This Row],[сумма]]*Таблица1[[#This Row],[коэф]])),
IF((G258="4/8"),((база!$J$5*Таблица1[[#This Row],[сумма]]*Таблица1[[#This Row],[коэф]])),
IF(OR(G258="3/8",G258="2/8"),((база!$J$4*Таблица1[[#This Row],[сумма]]*Таблица1[[#This Row],[коэф]])))))))))))))),
(IF((G258="5/24"),((база!$M$6*Таблица1[[#This Row],[сумма]]*Таблица1[[#This Row],[коэф]])),
IF(OR(G258="4/24",G258="3/24"),((база!$M$5*Таблица1[[#This Row],[сумма]]*Таблица1[[#This Row],[коэф]])),
IF((G258="5/16"),((база!$L$6*Таблица1[[#This Row],[сумма]]*Таблица1[[#This Row],[коэф]])),
IF(OR(G258="4/16",G258="3/16"),((база!$L$5*Таблица1[[#This Row],[сумма]]*Таблица1[[#This Row],[коэф]])),
IF(OR(G258="2/4",G258="3/4",G258="4/4"),((база!$I$5*Таблица1[[#This Row],[сумма]]*Таблица1[[#This Row],[коэф]])),
IF((G258="5/8"),((база!$J$6*Таблица1[[#This Row],[сумма]]*Таблица1[[#This Row],[коэф]])),
IF(OR(G258="4/8",G258="3/8",G258="2/8"),((база!$J$5*Таблица1[[#This Row],[сумма]]*Таблица1[[#This Row],[коэф]])))))))))))</f>
        <v>0</v>
      </c>
      <c r="AP258" s="730" t="b">
        <f>IF(AR258&lt;=3,(IF((G258="5/24"),((база!$M$6*2*Таблица1[[#This Row],[Столбец1]]*Таблица1[[#This Row],[коэф]])),
IF((G258="4/24"),((база!$M$5*2*Таблица1[[#This Row],[Столбец1]]*Таблица1[[#This Row],[коэф]])),
IF((G258="3/24"),((база!$M$4*2*Таблица1[[#This Row],[Столбец1]]*Таблица1[[#This Row],[коэф]])),
IF((G258="5/16"),((база!$L$6*2*Таблица1[[#This Row],[Столбец1]]*Таблица1[[#This Row],[коэф]])),
IF((G258="4/16"),((база!$L$5*2*Таблица1[[#This Row],[Столбец1]]*Таблица1[[#This Row],[коэф]])),
IF((G258="3/16"),((база!$L$4*2*Таблица1[[#This Row],[Столбец1]]*Таблица1[[#This Row],[коэф]])),
IF((G258="4/4"),((база!$I$5*2*Таблица1[[#This Row],[Столбец1]]*Таблица1[[#This Row],[коэф]])),
IF(OR(G258="2/4",G258="3/4"),((база!$I$4*2*Таблица1[[#This Row],[Столбец1]]*Таблица1[[#This Row],[коэф]])),
IF((G258="5/8"),((база!$J$6*2*Таблица1[[#This Row],[Столбец1]]*Таблица1[[#This Row],[коэф]])),
IF((G258="4/8"),((база!$J$5*2*Таблица1[[#This Row],[Столбец1]]*Таблица1[[#This Row],[коэф]])),
IF(OR(G258="3/8",G258="2/8"),((база!$J$4*2*Таблица1[[#This Row],[Столбец1]]*Таблица1[[#This Row],[коэф]])))))))))))))),
(IF((G258="5/24"),((база!$M$6*2*Таблица1[[#This Row],[Столбец1]]*Таблица1[[#This Row],[коэф]])),
IF(OR(G258="4/24",G258="3/24"),((база!$M$5*2*Таблица1[[#This Row],[Столбец1]]*Таблица1[[#This Row],[коэф]])),
IF((G258="5/16"),((база!$L$6*2*Таблица1[[#This Row],[Столбец1]]*Таблица1[[#This Row],[коэф]])),
IF(OR(G258="4/16",G258="3/16"),((база!$L$5*2*Таблица1[[#This Row],[Столбец1]]*Таблица1[[#This Row],[коэф]])),
IF(OR(G258="2/4",G258="3/4",G258="4/4"),((база!$I$5*2*Таблица1[[#This Row],[Столбец1]]*Таблица1[[#This Row],[коэф]])),
IF((G258="5/8"),((база!$J$6*2*Таблица1[[#This Row],[Столбец1]]*Таблица1[[#This Row],[коэф]])),
IF(OR(G258="4/8",G258="3/8",G258="2/8"),((база!$J$5*2*Таблица1[[#This Row],[Столбец1]]*Таблица1[[#This Row],[коэф]])))))))))))</f>
        <v>0</v>
      </c>
      <c r="AQ258" s="712" t="str">
        <f>IFERROR(INDEX(база!T:T, MATCH(F258,база!Q:Q,0)),"")</f>
        <v/>
      </c>
      <c r="AR258" s="208" t="str">
        <f>IFERROR(INDEX(база!D:D, MATCH(F258,база!B:B,0)),"")</f>
        <v/>
      </c>
      <c r="AS258" s="758" t="str">
        <f>IFERROR(INDEX(база!E:E, MATCH(F258,база!B:B,0)),"")</f>
        <v/>
      </c>
    </row>
    <row r="259" spans="1:45" ht="15">
      <c r="A259" s="66" t="str">
        <f t="shared" si="4"/>
        <v>январь</v>
      </c>
      <c r="B259" s="231">
        <v>2024</v>
      </c>
      <c r="C259" s="299"/>
      <c r="D259" s="61"/>
      <c r="E259" s="211"/>
      <c r="F259" s="680"/>
      <c r="G259" s="47"/>
      <c r="H259" s="563"/>
      <c r="I259" s="563"/>
      <c r="J259" s="563"/>
      <c r="K259" s="563"/>
      <c r="L259" s="563"/>
      <c r="M259" s="563"/>
      <c r="N259" s="563"/>
      <c r="O259" s="563"/>
      <c r="P259" s="300"/>
      <c r="Q259" s="563"/>
      <c r="R259" s="563"/>
      <c r="S259" s="563"/>
      <c r="T259" s="563"/>
      <c r="U259" s="563"/>
      <c r="V259" s="563"/>
      <c r="W259" s="563"/>
      <c r="X259" s="563"/>
      <c r="Y259" s="563"/>
      <c r="Z259" s="563"/>
      <c r="AA259" s="563"/>
      <c r="AB259" s="563"/>
      <c r="AC259" s="563"/>
      <c r="AD259" s="48"/>
      <c r="AE259" s="48"/>
      <c r="AF259" s="48"/>
      <c r="AG259" s="48"/>
      <c r="AH259" s="48"/>
      <c r="AI259" s="258"/>
      <c r="AJ259" s="258"/>
      <c r="AK259" s="258"/>
      <c r="AL259" s="258"/>
      <c r="AM259" s="212">
        <f>IF(AQ259=1,SUM(Q259:T259,W259:Z259,AC259:AF259,AI259:AL259),
IF(AQ259=2,SUM(P259,S259:V259,Y259:AB259,AE259:AH259,AK259:AL259),
IF(AQ259=3,SUM(P259:R259,U259:X259,AA259:AD259,AG259:AJ259),SUM(Таблица1[[#This Row],[1]:[31]])-Таблица1[[#This Row],[Столбец1]])))</f>
        <v>0</v>
      </c>
      <c r="AN259" s="778">
        <f t="array" ref="AN259">IF(AQ259=1,SUM(P259,U259:V259,AA259:AB259,AG259:AH259),
IF(AQ259=2,SUM(Q259:R259,W259:X259,AC259:AD259,AI259:AJ259),
IF(AQ259=3,SUM(S259:T259,Y259:Z259,AE259:AF259,AK259:AL259),
SUM(IFERROR(WEEKDAY($H$2:$AL$2,2)&gt;5,)*H259:AL259))))+Таблица1[[#This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59" s="292" t="b">
        <f>IF(AR259&lt;=3,(IF((G259="5/24"),((база!$M$6*Таблица1[[#This Row],[сумма]]*Таблица1[[#This Row],[коэф]])),
IF((G259="4/24"),((база!$M$5*Таблица1[[#This Row],[сумма]]*Таблица1[[#This Row],[коэф]])),
IF((G259="3/24"),((база!$M$4*Таблица1[[#This Row],[сумма]]*Таблица1[[#This Row],[коэф]])),
IF((G259="5/16"),((база!$L$6*Таблица1[[#This Row],[сумма]]*Таблица1[[#This Row],[коэф]])),
IF((G259="4/16"),((база!$L$5*Таблица1[[#This Row],[сумма]]*Таблица1[[#This Row],[коэф]])),
IF((G259="3/16"),((база!$L$4*Таблица1[[#This Row],[сумма]]*Таблица1[[#This Row],[коэф]])),
IF((G259="4/4"),((база!$I$5*Таблица1[[#This Row],[сумма]]*Таблица1[[#This Row],[коэф]])),
IF(OR(G259="2/4",G259="3/4"),((база!$I$4*Таблица1[[#This Row],[сумма]]*Таблица1[[#This Row],[коэф]])),
IF((G259="5/8"),((база!$J$6*Таблица1[[#This Row],[сумма]]*Таблица1[[#This Row],[коэф]])),
IF((G259="4/8"),((база!$J$5*Таблица1[[#This Row],[сумма]]*Таблица1[[#This Row],[коэф]])),
IF(OR(G259="3/8",G259="2/8"),((база!$J$4*Таблица1[[#This Row],[сумма]]*Таблица1[[#This Row],[коэф]])))))))))))))),
(IF((G259="5/24"),((база!$M$6*Таблица1[[#This Row],[сумма]]*Таблица1[[#This Row],[коэф]])),
IF(OR(G259="4/24",G259="3/24"),((база!$M$5*Таблица1[[#This Row],[сумма]]*Таблица1[[#This Row],[коэф]])),
IF((G259="5/16"),((база!$L$6*Таблица1[[#This Row],[сумма]]*Таблица1[[#This Row],[коэф]])),
IF(OR(G259="4/16",G259="3/16"),((база!$L$5*Таблица1[[#This Row],[сумма]]*Таблица1[[#This Row],[коэф]])),
IF(OR(G259="2/4",G259="3/4",G259="4/4"),((база!$I$5*Таблица1[[#This Row],[сумма]]*Таблица1[[#This Row],[коэф]])),
IF((G259="5/8"),((база!$J$6*Таблица1[[#This Row],[сумма]]*Таблица1[[#This Row],[коэф]])),
IF(OR(G259="4/8",G259="3/8",G259="2/8"),((база!$J$5*Таблица1[[#This Row],[сумма]]*Таблица1[[#This Row],[коэф]])))))))))))</f>
        <v>0</v>
      </c>
      <c r="AP259" s="730" t="b">
        <f>IF(AR259&lt;=3,(IF((G259="5/24"),((база!$M$6*2*Таблица1[[#This Row],[Столбец1]]*Таблица1[[#This Row],[коэф]])),
IF((G259="4/24"),((база!$M$5*2*Таблица1[[#This Row],[Столбец1]]*Таблица1[[#This Row],[коэф]])),
IF((G259="3/24"),((база!$M$4*2*Таблица1[[#This Row],[Столбец1]]*Таблица1[[#This Row],[коэф]])),
IF((G259="5/16"),((база!$L$6*2*Таблица1[[#This Row],[Столбец1]]*Таблица1[[#This Row],[коэф]])),
IF((G259="4/16"),((база!$L$5*2*Таблица1[[#This Row],[Столбец1]]*Таблица1[[#This Row],[коэф]])),
IF((G259="3/16"),((база!$L$4*2*Таблица1[[#This Row],[Столбец1]]*Таблица1[[#This Row],[коэф]])),
IF((G259="4/4"),((база!$I$5*2*Таблица1[[#This Row],[Столбец1]]*Таблица1[[#This Row],[коэф]])),
IF(OR(G259="2/4",G259="3/4"),((база!$I$4*2*Таблица1[[#This Row],[Столбец1]]*Таблица1[[#This Row],[коэф]])),
IF((G259="5/8"),((база!$J$6*2*Таблица1[[#This Row],[Столбец1]]*Таблица1[[#This Row],[коэф]])),
IF((G259="4/8"),((база!$J$5*2*Таблица1[[#This Row],[Столбец1]]*Таблица1[[#This Row],[коэф]])),
IF(OR(G259="3/8",G259="2/8"),((база!$J$4*2*Таблица1[[#This Row],[Столбец1]]*Таблица1[[#This Row],[коэф]])))))))))))))),
(IF((G259="5/24"),((база!$M$6*2*Таблица1[[#This Row],[Столбец1]]*Таблица1[[#This Row],[коэф]])),
IF(OR(G259="4/24",G259="3/24"),((база!$M$5*2*Таблица1[[#This Row],[Столбец1]]*Таблица1[[#This Row],[коэф]])),
IF((G259="5/16"),((база!$L$6*2*Таблица1[[#This Row],[Столбец1]]*Таблица1[[#This Row],[коэф]])),
IF(OR(G259="4/16",G259="3/16"),((база!$L$5*2*Таблица1[[#This Row],[Столбец1]]*Таблица1[[#This Row],[коэф]])),
IF(OR(G259="2/4",G259="3/4",G259="4/4"),((база!$I$5*2*Таблица1[[#This Row],[Столбец1]]*Таблица1[[#This Row],[коэф]])),
IF((G259="5/8"),((база!$J$6*2*Таблица1[[#This Row],[Столбец1]]*Таблица1[[#This Row],[коэф]])),
IF(OR(G259="4/8",G259="3/8",G259="2/8"),((база!$J$5*2*Таблица1[[#This Row],[Столбец1]]*Таблица1[[#This Row],[коэф]])))))))))))</f>
        <v>0</v>
      </c>
      <c r="AQ259" s="712" t="str">
        <f>IFERROR(INDEX(база!T:T, MATCH(F259,база!Q:Q,0)),"")</f>
        <v/>
      </c>
      <c r="AR259" s="208" t="str">
        <f>IFERROR(INDEX(база!D:D, MATCH(F259,база!B:B,0)),"")</f>
        <v/>
      </c>
      <c r="AS259" s="758" t="str">
        <f>IFERROR(INDEX(база!E:E, MATCH(F259,база!B:B,0)),"")</f>
        <v/>
      </c>
    </row>
    <row r="260" spans="1:45" ht="15">
      <c r="A260" s="66" t="str">
        <f t="shared" si="4"/>
        <v>январь</v>
      </c>
      <c r="B260" s="231">
        <v>2024</v>
      </c>
      <c r="C260" s="60"/>
      <c r="D260" s="61"/>
      <c r="E260" s="211"/>
      <c r="F260" s="680"/>
      <c r="G260" s="47"/>
      <c r="H260" s="563"/>
      <c r="I260" s="563"/>
      <c r="J260" s="563"/>
      <c r="K260" s="563"/>
      <c r="L260" s="563"/>
      <c r="M260" s="563"/>
      <c r="N260" s="563"/>
      <c r="O260" s="563"/>
      <c r="P260" s="300"/>
      <c r="Q260" s="563"/>
      <c r="R260" s="563"/>
      <c r="S260" s="563"/>
      <c r="T260" s="563"/>
      <c r="U260" s="563"/>
      <c r="V260" s="563"/>
      <c r="W260" s="563"/>
      <c r="X260" s="563"/>
      <c r="Y260" s="563"/>
      <c r="Z260" s="563"/>
      <c r="AA260" s="563"/>
      <c r="AB260" s="563"/>
      <c r="AC260" s="563"/>
      <c r="AD260" s="48"/>
      <c r="AE260" s="48"/>
      <c r="AF260" s="258"/>
      <c r="AG260" s="48"/>
      <c r="AH260" s="48"/>
      <c r="AI260" s="48"/>
      <c r="AJ260" s="48"/>
      <c r="AK260" s="48"/>
      <c r="AL260" s="51"/>
      <c r="AM260" s="212">
        <f>IF(AQ260=1,SUM(Q260:T260,W260:Z260,AC260:AF260,AI260:AL260),
IF(AQ260=2,SUM(P260,S260:V260,Y260:AB260,AE260:AH260,AK260:AL260),
IF(AQ260=3,SUM(P260:R260,U260:X260,AA260:AD260,AG260:AJ260),SUM(Таблица1[[#This Row],[1]:[31]])-Таблица1[[#This Row],[Столбец1]])))</f>
        <v>0</v>
      </c>
      <c r="AN260" s="778">
        <f t="array" ref="AN260">IF(AQ260=1,SUM(P260,U260:V260,AA260:AB260,AG260:AH260),
IF(AQ260=2,SUM(Q260:R260,W260:X260,AC260:AD260,AI260:AJ260),
IF(AQ260=3,SUM(S260:T260,Y260:Z260,AE260:AF260,AK260:AL260),
SUM(IFERROR(WEEKDAY($H$2:$AL$2,2)&gt;5,)*H260:AL260))))+Таблица1[[#This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60" s="292" t="b">
        <f>IF(AR260&lt;=3,(IF((G260="5/24"),((база!$M$6*Таблица1[[#This Row],[сумма]]*Таблица1[[#This Row],[коэф]])),
IF((G260="4/24"),((база!$M$5*Таблица1[[#This Row],[сумма]]*Таблица1[[#This Row],[коэф]])),
IF((G260="3/24"),((база!$M$4*Таблица1[[#This Row],[сумма]]*Таблица1[[#This Row],[коэф]])),
IF((G260="5/16"),((база!$L$6*Таблица1[[#This Row],[сумма]]*Таблица1[[#This Row],[коэф]])),
IF((G260="4/16"),((база!$L$5*Таблица1[[#This Row],[сумма]]*Таблица1[[#This Row],[коэф]])),
IF((G260="3/16"),((база!$L$4*Таблица1[[#This Row],[сумма]]*Таблица1[[#This Row],[коэф]])),
IF((G260="4/4"),((база!$I$5*Таблица1[[#This Row],[сумма]]*Таблица1[[#This Row],[коэф]])),
IF(OR(G260="2/4",G260="3/4"),((база!$I$4*Таблица1[[#This Row],[сумма]]*Таблица1[[#This Row],[коэф]])),
IF((G260="5/8"),((база!$J$6*Таблица1[[#This Row],[сумма]]*Таблица1[[#This Row],[коэф]])),
IF((G260="4/8"),((база!$J$5*Таблица1[[#This Row],[сумма]]*Таблица1[[#This Row],[коэф]])),
IF(OR(G260="3/8",G260="2/8"),((база!$J$4*Таблица1[[#This Row],[сумма]]*Таблица1[[#This Row],[коэф]])))))))))))))),
(IF((G260="5/24"),((база!$M$6*Таблица1[[#This Row],[сумма]]*Таблица1[[#This Row],[коэф]])),
IF(OR(G260="4/24",G260="3/24"),((база!$M$5*Таблица1[[#This Row],[сумма]]*Таблица1[[#This Row],[коэф]])),
IF((G260="5/16"),((база!$L$6*Таблица1[[#This Row],[сумма]]*Таблица1[[#This Row],[коэф]])),
IF(OR(G260="4/16",G260="3/16"),((база!$L$5*Таблица1[[#This Row],[сумма]]*Таблица1[[#This Row],[коэф]])),
IF(OR(G260="2/4",G260="3/4",G260="4/4"),((база!$I$5*Таблица1[[#This Row],[сумма]]*Таблица1[[#This Row],[коэф]])),
IF((G260="5/8"),((база!$J$6*Таблица1[[#This Row],[сумма]]*Таблица1[[#This Row],[коэф]])),
IF(OR(G260="4/8",G260="3/8",G260="2/8"),((база!$J$5*Таблица1[[#This Row],[сумма]]*Таблица1[[#This Row],[коэф]])))))))))))</f>
        <v>0</v>
      </c>
      <c r="AP260" s="730" t="b">
        <f>IF(AR260&lt;=3,(IF((G260="5/24"),((база!$M$6*2*Таблица1[[#This Row],[Столбец1]]*Таблица1[[#This Row],[коэф]])),
IF((G260="4/24"),((база!$M$5*2*Таблица1[[#This Row],[Столбец1]]*Таблица1[[#This Row],[коэф]])),
IF((G260="3/24"),((база!$M$4*2*Таблица1[[#This Row],[Столбец1]]*Таблица1[[#This Row],[коэф]])),
IF((G260="5/16"),((база!$L$6*2*Таблица1[[#This Row],[Столбец1]]*Таблица1[[#This Row],[коэф]])),
IF((G260="4/16"),((база!$L$5*2*Таблица1[[#This Row],[Столбец1]]*Таблица1[[#This Row],[коэф]])),
IF((G260="3/16"),((база!$L$4*2*Таблица1[[#This Row],[Столбец1]]*Таблица1[[#This Row],[коэф]])),
IF((G260="4/4"),((база!$I$5*2*Таблица1[[#This Row],[Столбец1]]*Таблица1[[#This Row],[коэф]])),
IF(OR(G260="2/4",G260="3/4"),((база!$I$4*2*Таблица1[[#This Row],[Столбец1]]*Таблица1[[#This Row],[коэф]])),
IF((G260="5/8"),((база!$J$6*2*Таблица1[[#This Row],[Столбец1]]*Таблица1[[#This Row],[коэф]])),
IF((G260="4/8"),((база!$J$5*2*Таблица1[[#This Row],[Столбец1]]*Таблица1[[#This Row],[коэф]])),
IF(OR(G260="3/8",G260="2/8"),((база!$J$4*2*Таблица1[[#This Row],[Столбец1]]*Таблица1[[#This Row],[коэф]])))))))))))))),
(IF((G260="5/24"),((база!$M$6*2*Таблица1[[#This Row],[Столбец1]]*Таблица1[[#This Row],[коэф]])),
IF(OR(G260="4/24",G260="3/24"),((база!$M$5*2*Таблица1[[#This Row],[Столбец1]]*Таблица1[[#This Row],[коэф]])),
IF((G260="5/16"),((база!$L$6*2*Таблица1[[#This Row],[Столбец1]]*Таблица1[[#This Row],[коэф]])),
IF(OR(G260="4/16",G260="3/16"),((база!$L$5*2*Таблица1[[#This Row],[Столбец1]]*Таблица1[[#This Row],[коэф]])),
IF(OR(G260="2/4",G260="3/4",G260="4/4"),((база!$I$5*2*Таблица1[[#This Row],[Столбец1]]*Таблица1[[#This Row],[коэф]])),
IF((G260="5/8"),((база!$J$6*2*Таблица1[[#This Row],[Столбец1]]*Таблица1[[#This Row],[коэф]])),
IF(OR(G260="4/8",G260="3/8",G260="2/8"),((база!$J$5*2*Таблица1[[#This Row],[Столбец1]]*Таблица1[[#This Row],[коэф]])))))))))))</f>
        <v>0</v>
      </c>
      <c r="AQ260" s="712" t="str">
        <f>IFERROR(INDEX(база!T:T, MATCH(F260,база!Q:Q,0)),"")</f>
        <v/>
      </c>
      <c r="AR260" s="208" t="str">
        <f>IFERROR(INDEX(база!D:D, MATCH(F260,база!B:B,0)),"")</f>
        <v/>
      </c>
      <c r="AS260" s="758" t="str">
        <f>IFERROR(INDEX(база!E:E, MATCH(F260,база!B:B,0)),"")</f>
        <v/>
      </c>
    </row>
    <row r="261" spans="1:45" ht="15">
      <c r="A261" s="66" t="str">
        <f t="shared" si="4"/>
        <v>январь</v>
      </c>
      <c r="B261" s="231">
        <v>2024</v>
      </c>
      <c r="C261" s="60"/>
      <c r="D261" s="61"/>
      <c r="E261" s="211"/>
      <c r="F261" s="680"/>
      <c r="G261" s="47"/>
      <c r="H261" s="563"/>
      <c r="I261" s="563"/>
      <c r="J261" s="563"/>
      <c r="K261" s="563"/>
      <c r="L261" s="563"/>
      <c r="M261" s="563"/>
      <c r="N261" s="563"/>
      <c r="O261" s="563"/>
      <c r="P261" s="300"/>
      <c r="Q261" s="563"/>
      <c r="R261" s="563"/>
      <c r="S261" s="563"/>
      <c r="T261" s="563"/>
      <c r="U261" s="563"/>
      <c r="V261" s="563"/>
      <c r="W261" s="563"/>
      <c r="X261" s="563"/>
      <c r="Y261" s="563"/>
      <c r="Z261" s="563"/>
      <c r="AA261" s="563"/>
      <c r="AB261" s="563"/>
      <c r="AC261" s="563"/>
      <c r="AD261" s="48"/>
      <c r="AE261" s="48"/>
      <c r="AF261" s="258"/>
      <c r="AG261" s="48"/>
      <c r="AH261" s="48"/>
      <c r="AI261" s="258"/>
      <c r="AJ261" s="258"/>
      <c r="AK261" s="258"/>
      <c r="AL261" s="258"/>
      <c r="AM261" s="212">
        <f>IF(AQ261=1,SUM(Q261:T261,W261:Z261,AC261:AF261,AI261:AL261),
IF(AQ261=2,SUM(P261,S261:V261,Y261:AB261,AE261:AH261,AK261:AL261),
IF(AQ261=3,SUM(P261:R261,U261:X261,AA261:AD261,AG261:AJ261),SUM(Таблица1[[#This Row],[1]:[31]])-Таблица1[[#This Row],[Столбец1]])))</f>
        <v>0</v>
      </c>
      <c r="AN261" s="778">
        <f t="array" ref="AN261">IF(AQ261=1,SUM(P261,U261:V261,AA261:AB261,AG261:AH261),
IF(AQ261=2,SUM(Q261:R261,W261:X261,AC261:AD261,AI261:AJ261),
IF(AQ261=3,SUM(S261:T261,Y261:Z261,AE261:AF261,AK261:AL261),
SUM(IFERROR(WEEKDAY($H$2:$AL$2,2)&gt;5,)*H261:AL261))))+Таблица1[[#This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61" s="292" t="b">
        <f>IF(AR261&lt;=3,(IF((G261="5/24"),((база!$M$6*Таблица1[[#This Row],[сумма]]*Таблица1[[#This Row],[коэф]])),
IF((G261="4/24"),((база!$M$5*Таблица1[[#This Row],[сумма]]*Таблица1[[#This Row],[коэф]])),
IF((G261="3/24"),((база!$M$4*Таблица1[[#This Row],[сумма]]*Таблица1[[#This Row],[коэф]])),
IF((G261="5/16"),((база!$L$6*Таблица1[[#This Row],[сумма]]*Таблица1[[#This Row],[коэф]])),
IF((G261="4/16"),((база!$L$5*Таблица1[[#This Row],[сумма]]*Таблица1[[#This Row],[коэф]])),
IF((G261="3/16"),((база!$L$4*Таблица1[[#This Row],[сумма]]*Таблица1[[#This Row],[коэф]])),
IF((G261="4/4"),((база!$I$5*Таблица1[[#This Row],[сумма]]*Таблица1[[#This Row],[коэф]])),
IF(OR(G261="2/4",G261="3/4"),((база!$I$4*Таблица1[[#This Row],[сумма]]*Таблица1[[#This Row],[коэф]])),
IF((G261="5/8"),((база!$J$6*Таблица1[[#This Row],[сумма]]*Таблица1[[#This Row],[коэф]])),
IF((G261="4/8"),((база!$J$5*Таблица1[[#This Row],[сумма]]*Таблица1[[#This Row],[коэф]])),
IF(OR(G261="3/8",G261="2/8"),((база!$J$4*Таблица1[[#This Row],[сумма]]*Таблица1[[#This Row],[коэф]])))))))))))))),
(IF((G261="5/24"),((база!$M$6*Таблица1[[#This Row],[сумма]]*Таблица1[[#This Row],[коэф]])),
IF(OR(G261="4/24",G261="3/24"),((база!$M$5*Таблица1[[#This Row],[сумма]]*Таблица1[[#This Row],[коэф]])),
IF((G261="5/16"),((база!$L$6*Таблица1[[#This Row],[сумма]]*Таблица1[[#This Row],[коэф]])),
IF(OR(G261="4/16",G261="3/16"),((база!$L$5*Таблица1[[#This Row],[сумма]]*Таблица1[[#This Row],[коэф]])),
IF(OR(G261="2/4",G261="3/4",G261="4/4"),((база!$I$5*Таблица1[[#This Row],[сумма]]*Таблица1[[#This Row],[коэф]])),
IF((G261="5/8"),((база!$J$6*Таблица1[[#This Row],[сумма]]*Таблица1[[#This Row],[коэф]])),
IF(OR(G261="4/8",G261="3/8",G261="2/8"),((база!$J$5*Таблица1[[#This Row],[сумма]]*Таблица1[[#This Row],[коэф]])))))))))))</f>
        <v>0</v>
      </c>
      <c r="AP261" s="730" t="b">
        <f>IF(AR261&lt;=3,(IF((G261="5/24"),((база!$M$6*2*Таблица1[[#This Row],[Столбец1]]*Таблица1[[#This Row],[коэф]])),
IF((G261="4/24"),((база!$M$5*2*Таблица1[[#This Row],[Столбец1]]*Таблица1[[#This Row],[коэф]])),
IF((G261="3/24"),((база!$M$4*2*Таблица1[[#This Row],[Столбец1]]*Таблица1[[#This Row],[коэф]])),
IF((G261="5/16"),((база!$L$6*2*Таблица1[[#This Row],[Столбец1]]*Таблица1[[#This Row],[коэф]])),
IF((G261="4/16"),((база!$L$5*2*Таблица1[[#This Row],[Столбец1]]*Таблица1[[#This Row],[коэф]])),
IF((G261="3/16"),((база!$L$4*2*Таблица1[[#This Row],[Столбец1]]*Таблица1[[#This Row],[коэф]])),
IF((G261="4/4"),((база!$I$5*2*Таблица1[[#This Row],[Столбец1]]*Таблица1[[#This Row],[коэф]])),
IF(OR(G261="2/4",G261="3/4"),((база!$I$4*2*Таблица1[[#This Row],[Столбец1]]*Таблица1[[#This Row],[коэф]])),
IF((G261="5/8"),((база!$J$6*2*Таблица1[[#This Row],[Столбец1]]*Таблица1[[#This Row],[коэф]])),
IF((G261="4/8"),((база!$J$5*2*Таблица1[[#This Row],[Столбец1]]*Таблица1[[#This Row],[коэф]])),
IF(OR(G261="3/8",G261="2/8"),((база!$J$4*2*Таблица1[[#This Row],[Столбец1]]*Таблица1[[#This Row],[коэф]])))))))))))))),
(IF((G261="5/24"),((база!$M$6*2*Таблица1[[#This Row],[Столбец1]]*Таблица1[[#This Row],[коэф]])),
IF(OR(G261="4/24",G261="3/24"),((база!$M$5*2*Таблица1[[#This Row],[Столбец1]]*Таблица1[[#This Row],[коэф]])),
IF((G261="5/16"),((база!$L$6*2*Таблица1[[#This Row],[Столбец1]]*Таблица1[[#This Row],[коэф]])),
IF(OR(G261="4/16",G261="3/16"),((база!$L$5*2*Таблица1[[#This Row],[Столбец1]]*Таблица1[[#This Row],[коэф]])),
IF(OR(G261="2/4",G261="3/4",G261="4/4"),((база!$I$5*2*Таблица1[[#This Row],[Столбец1]]*Таблица1[[#This Row],[коэф]])),
IF((G261="5/8"),((база!$J$6*2*Таблица1[[#This Row],[Столбец1]]*Таблица1[[#This Row],[коэф]])),
IF(OR(G261="4/8",G261="3/8",G261="2/8"),((база!$J$5*2*Таблица1[[#This Row],[Столбец1]]*Таблица1[[#This Row],[коэф]])))))))))))</f>
        <v>0</v>
      </c>
      <c r="AQ261" s="712" t="str">
        <f>IFERROR(INDEX(база!T:T, MATCH(F261,база!Q:Q,0)),"")</f>
        <v/>
      </c>
      <c r="AR261" s="208" t="str">
        <f>IFERROR(INDEX(база!D:D, MATCH(F261,база!B:B,0)),"")</f>
        <v/>
      </c>
      <c r="AS261" s="758" t="str">
        <f>IFERROR(INDEX(база!E:E, MATCH(F261,база!B:B,0)),"")</f>
        <v/>
      </c>
    </row>
    <row r="262" spans="1:45" ht="15">
      <c r="A262" s="66" t="str">
        <f t="shared" si="4"/>
        <v>январь</v>
      </c>
      <c r="B262" s="231">
        <v>2024</v>
      </c>
      <c r="C262" s="299"/>
      <c r="D262" s="61"/>
      <c r="E262" s="211"/>
      <c r="F262" s="680"/>
      <c r="G262" s="47"/>
      <c r="H262" s="563"/>
      <c r="I262" s="563"/>
      <c r="J262" s="563"/>
      <c r="K262" s="563"/>
      <c r="L262" s="563"/>
      <c r="M262" s="563"/>
      <c r="N262" s="563"/>
      <c r="O262" s="563"/>
      <c r="P262" s="300"/>
      <c r="Q262" s="563"/>
      <c r="R262" s="563"/>
      <c r="S262" s="563"/>
      <c r="T262" s="563"/>
      <c r="U262" s="563"/>
      <c r="V262" s="563"/>
      <c r="W262" s="563"/>
      <c r="X262" s="563"/>
      <c r="Y262" s="563"/>
      <c r="Z262" s="563"/>
      <c r="AA262" s="563"/>
      <c r="AB262" s="563"/>
      <c r="AC262" s="563"/>
      <c r="AD262" s="48"/>
      <c r="AE262" s="48"/>
      <c r="AF262" s="258"/>
      <c r="AG262" s="48"/>
      <c r="AH262" s="48"/>
      <c r="AI262" s="48"/>
      <c r="AJ262" s="48"/>
      <c r="AK262" s="48"/>
      <c r="AL262" s="51"/>
      <c r="AM262" s="212">
        <f>IF(AQ262=1,SUM(Q262:T262,W262:Z262,AC262:AF262,AI262:AL262),
IF(AQ262=2,SUM(P262,S262:V262,Y262:AB262,AE262:AH262,AK262:AL262),
IF(AQ262=3,SUM(P262:R262,U262:X262,AA262:AD262,AG262:AJ262),SUM(Таблица1[[#This Row],[1]:[31]])-Таблица1[[#This Row],[Столбец1]])))</f>
        <v>0</v>
      </c>
      <c r="AN262" s="778">
        <f t="array" ref="AN262">IF(AQ262=1,SUM(P262,U262:V262,AA262:AB262,AG262:AH262),
IF(AQ262=2,SUM(Q262:R262,W262:X262,AC262:AD262,AI262:AJ262),
IF(AQ262=3,SUM(S262:T262,Y262:Z262,AE262:AF262,AK262:AL262),
SUM(IFERROR(WEEKDAY($H$2:$AL$2,2)&gt;5,)*H262:AL262))))+Таблица1[[#This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62" s="292" t="b">
        <f>IF(AR262&lt;=3,(IF((G262="5/24"),((база!$M$6*Таблица1[[#This Row],[сумма]]*Таблица1[[#This Row],[коэф]])),
IF((G262="4/24"),((база!$M$5*Таблица1[[#This Row],[сумма]]*Таблица1[[#This Row],[коэф]])),
IF((G262="3/24"),((база!$M$4*Таблица1[[#This Row],[сумма]]*Таблица1[[#This Row],[коэф]])),
IF((G262="5/16"),((база!$L$6*Таблица1[[#This Row],[сумма]]*Таблица1[[#This Row],[коэф]])),
IF((G262="4/16"),((база!$L$5*Таблица1[[#This Row],[сумма]]*Таблица1[[#This Row],[коэф]])),
IF((G262="3/16"),((база!$L$4*Таблица1[[#This Row],[сумма]]*Таблица1[[#This Row],[коэф]])),
IF((G262="4/4"),((база!$I$5*Таблица1[[#This Row],[сумма]]*Таблица1[[#This Row],[коэф]])),
IF(OR(G262="2/4",G262="3/4"),((база!$I$4*Таблица1[[#This Row],[сумма]]*Таблица1[[#This Row],[коэф]])),
IF((G262="5/8"),((база!$J$6*Таблица1[[#This Row],[сумма]]*Таблица1[[#This Row],[коэф]])),
IF((G262="4/8"),((база!$J$5*Таблица1[[#This Row],[сумма]]*Таблица1[[#This Row],[коэф]])),
IF(OR(G262="3/8",G262="2/8"),((база!$J$4*Таблица1[[#This Row],[сумма]]*Таблица1[[#This Row],[коэф]])))))))))))))),
(IF((G262="5/24"),((база!$M$6*Таблица1[[#This Row],[сумма]]*Таблица1[[#This Row],[коэф]])),
IF(OR(G262="4/24",G262="3/24"),((база!$M$5*Таблица1[[#This Row],[сумма]]*Таблица1[[#This Row],[коэф]])),
IF((G262="5/16"),((база!$L$6*Таблица1[[#This Row],[сумма]]*Таблица1[[#This Row],[коэф]])),
IF(OR(G262="4/16",G262="3/16"),((база!$L$5*Таблица1[[#This Row],[сумма]]*Таблица1[[#This Row],[коэф]])),
IF(OR(G262="2/4",G262="3/4",G262="4/4"),((база!$I$5*Таблица1[[#This Row],[сумма]]*Таблица1[[#This Row],[коэф]])),
IF((G262="5/8"),((база!$J$6*Таблица1[[#This Row],[сумма]]*Таблица1[[#This Row],[коэф]])),
IF(OR(G262="4/8",G262="3/8",G262="2/8"),((база!$J$5*Таблица1[[#This Row],[сумма]]*Таблица1[[#This Row],[коэф]])))))))))))</f>
        <v>0</v>
      </c>
      <c r="AP262" s="730" t="b">
        <f>IF(AR262&lt;=3,(IF((G262="5/24"),((база!$M$6*2*Таблица1[[#This Row],[Столбец1]]*Таблица1[[#This Row],[коэф]])),
IF((G262="4/24"),((база!$M$5*2*Таблица1[[#This Row],[Столбец1]]*Таблица1[[#This Row],[коэф]])),
IF((G262="3/24"),((база!$M$4*2*Таблица1[[#This Row],[Столбец1]]*Таблица1[[#This Row],[коэф]])),
IF((G262="5/16"),((база!$L$6*2*Таблица1[[#This Row],[Столбец1]]*Таблица1[[#This Row],[коэф]])),
IF((G262="4/16"),((база!$L$5*2*Таблица1[[#This Row],[Столбец1]]*Таблица1[[#This Row],[коэф]])),
IF((G262="3/16"),((база!$L$4*2*Таблица1[[#This Row],[Столбец1]]*Таблица1[[#This Row],[коэф]])),
IF((G262="4/4"),((база!$I$5*2*Таблица1[[#This Row],[Столбец1]]*Таблица1[[#This Row],[коэф]])),
IF(OR(G262="2/4",G262="3/4"),((база!$I$4*2*Таблица1[[#This Row],[Столбец1]]*Таблица1[[#This Row],[коэф]])),
IF((G262="5/8"),((база!$J$6*2*Таблица1[[#This Row],[Столбец1]]*Таблица1[[#This Row],[коэф]])),
IF((G262="4/8"),((база!$J$5*2*Таблица1[[#This Row],[Столбец1]]*Таблица1[[#This Row],[коэф]])),
IF(OR(G262="3/8",G262="2/8"),((база!$J$4*2*Таблица1[[#This Row],[Столбец1]]*Таблица1[[#This Row],[коэф]])))))))))))))),
(IF((G262="5/24"),((база!$M$6*2*Таблица1[[#This Row],[Столбец1]]*Таблица1[[#This Row],[коэф]])),
IF(OR(G262="4/24",G262="3/24"),((база!$M$5*2*Таблица1[[#This Row],[Столбец1]]*Таблица1[[#This Row],[коэф]])),
IF((G262="5/16"),((база!$L$6*2*Таблица1[[#This Row],[Столбец1]]*Таблица1[[#This Row],[коэф]])),
IF(OR(G262="4/16",G262="3/16"),((база!$L$5*2*Таблица1[[#This Row],[Столбец1]]*Таблица1[[#This Row],[коэф]])),
IF(OR(G262="2/4",G262="3/4",G262="4/4"),((база!$I$5*2*Таблица1[[#This Row],[Столбец1]]*Таблица1[[#This Row],[коэф]])),
IF((G262="5/8"),((база!$J$6*2*Таблица1[[#This Row],[Столбец1]]*Таблица1[[#This Row],[коэф]])),
IF(OR(G262="4/8",G262="3/8",G262="2/8"),((база!$J$5*2*Таблица1[[#This Row],[Столбец1]]*Таблица1[[#This Row],[коэф]])))))))))))</f>
        <v>0</v>
      </c>
      <c r="AQ262" s="712" t="str">
        <f>IFERROR(INDEX(база!T:T, MATCH(F262,база!Q:Q,0)),"")</f>
        <v/>
      </c>
      <c r="AR262" s="208" t="str">
        <f>IFERROR(INDEX(база!D:D, MATCH(F262,база!B:B,0)),"")</f>
        <v/>
      </c>
      <c r="AS262" s="758" t="str">
        <f>IFERROR(INDEX(база!E:E, MATCH(F262,база!B:B,0)),"")</f>
        <v/>
      </c>
    </row>
    <row r="263" spans="1:45" ht="15">
      <c r="A263" s="66" t="str">
        <f t="shared" si="4"/>
        <v>январь</v>
      </c>
      <c r="B263" s="231">
        <v>2024</v>
      </c>
      <c r="C263" s="60"/>
      <c r="D263" s="61"/>
      <c r="E263" s="211"/>
      <c r="F263" s="680"/>
      <c r="G263" s="47"/>
      <c r="H263" s="563"/>
      <c r="I263" s="563"/>
      <c r="J263" s="563"/>
      <c r="K263" s="563"/>
      <c r="L263" s="563"/>
      <c r="M263" s="563"/>
      <c r="N263" s="563"/>
      <c r="O263" s="563"/>
      <c r="P263" s="300"/>
      <c r="Q263" s="563"/>
      <c r="R263" s="563"/>
      <c r="S263" s="563"/>
      <c r="T263" s="563"/>
      <c r="U263" s="563"/>
      <c r="V263" s="563"/>
      <c r="W263" s="563"/>
      <c r="X263" s="563"/>
      <c r="Y263" s="563"/>
      <c r="Z263" s="563"/>
      <c r="AA263" s="563"/>
      <c r="AB263" s="563"/>
      <c r="AC263" s="563"/>
      <c r="AD263" s="48"/>
      <c r="AE263" s="48"/>
      <c r="AF263" s="258"/>
      <c r="AG263" s="48"/>
      <c r="AH263" s="48"/>
      <c r="AI263" s="48"/>
      <c r="AJ263" s="48"/>
      <c r="AK263" s="48"/>
      <c r="AL263" s="51"/>
      <c r="AM263" s="212">
        <f>IF(AQ263=1,SUM(Q263:T263,W263:Z263,AC263:AF263,AI263:AL263),
IF(AQ263=2,SUM(P263,S263:V263,Y263:AB263,AE263:AH263,AK263:AL263),
IF(AQ263=3,SUM(P263:R263,U263:X263,AA263:AD263,AG263:AJ263),SUM(Таблица1[[#This Row],[1]:[31]])-Таблица1[[#This Row],[Столбец1]])))</f>
        <v>0</v>
      </c>
      <c r="AN263" s="778">
        <f t="array" ref="AN263">IF(AQ263=1,SUM(P263,U263:V263,AA263:AB263,AG263:AH263),
IF(AQ263=2,SUM(Q263:R263,W263:X263,AC263:AD263,AI263:AJ263),
IF(AQ263=3,SUM(S263:T263,Y263:Z263,AE263:AF263,AK263:AL263),
SUM(IFERROR(WEEKDAY($H$2:$AL$2,2)&gt;5,)*H263:AL263))))+Таблица1[[#This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63" s="292" t="b">
        <f>IF(AR263&lt;=3,(IF((G263="5/24"),((база!$M$6*Таблица1[[#This Row],[сумма]]*Таблица1[[#This Row],[коэф]])),
IF((G263="4/24"),((база!$M$5*Таблица1[[#This Row],[сумма]]*Таблица1[[#This Row],[коэф]])),
IF((G263="3/24"),((база!$M$4*Таблица1[[#This Row],[сумма]]*Таблица1[[#This Row],[коэф]])),
IF((G263="5/16"),((база!$L$6*Таблица1[[#This Row],[сумма]]*Таблица1[[#This Row],[коэф]])),
IF((G263="4/16"),((база!$L$5*Таблица1[[#This Row],[сумма]]*Таблица1[[#This Row],[коэф]])),
IF((G263="3/16"),((база!$L$4*Таблица1[[#This Row],[сумма]]*Таблица1[[#This Row],[коэф]])),
IF((G263="4/4"),((база!$I$5*Таблица1[[#This Row],[сумма]]*Таблица1[[#This Row],[коэф]])),
IF(OR(G263="2/4",G263="3/4"),((база!$I$4*Таблица1[[#This Row],[сумма]]*Таблица1[[#This Row],[коэф]])),
IF((G263="5/8"),((база!$J$6*Таблица1[[#This Row],[сумма]]*Таблица1[[#This Row],[коэф]])),
IF((G263="4/8"),((база!$J$5*Таблица1[[#This Row],[сумма]]*Таблица1[[#This Row],[коэф]])),
IF(OR(G263="3/8",G263="2/8"),((база!$J$4*Таблица1[[#This Row],[сумма]]*Таблица1[[#This Row],[коэф]])))))))))))))),
(IF((G263="5/24"),((база!$M$6*Таблица1[[#This Row],[сумма]]*Таблица1[[#This Row],[коэф]])),
IF(OR(G263="4/24",G263="3/24"),((база!$M$5*Таблица1[[#This Row],[сумма]]*Таблица1[[#This Row],[коэф]])),
IF((G263="5/16"),((база!$L$6*Таблица1[[#This Row],[сумма]]*Таблица1[[#This Row],[коэф]])),
IF(OR(G263="4/16",G263="3/16"),((база!$L$5*Таблица1[[#This Row],[сумма]]*Таблица1[[#This Row],[коэф]])),
IF(OR(G263="2/4",G263="3/4",G263="4/4"),((база!$I$5*Таблица1[[#This Row],[сумма]]*Таблица1[[#This Row],[коэф]])),
IF((G263="5/8"),((база!$J$6*Таблица1[[#This Row],[сумма]]*Таблица1[[#This Row],[коэф]])),
IF(OR(G263="4/8",G263="3/8",G263="2/8"),((база!$J$5*Таблица1[[#This Row],[сумма]]*Таблица1[[#This Row],[коэф]])))))))))))</f>
        <v>0</v>
      </c>
      <c r="AP263" s="730" t="b">
        <f>IF(AR263&lt;=3,(IF((G263="5/24"),((база!$M$6*2*Таблица1[[#This Row],[Столбец1]]*Таблица1[[#This Row],[коэф]])),
IF((G263="4/24"),((база!$M$5*2*Таблица1[[#This Row],[Столбец1]]*Таблица1[[#This Row],[коэф]])),
IF((G263="3/24"),((база!$M$4*2*Таблица1[[#This Row],[Столбец1]]*Таблица1[[#This Row],[коэф]])),
IF((G263="5/16"),((база!$L$6*2*Таблица1[[#This Row],[Столбец1]]*Таблица1[[#This Row],[коэф]])),
IF((G263="4/16"),((база!$L$5*2*Таблица1[[#This Row],[Столбец1]]*Таблица1[[#This Row],[коэф]])),
IF((G263="3/16"),((база!$L$4*2*Таблица1[[#This Row],[Столбец1]]*Таблица1[[#This Row],[коэф]])),
IF((G263="4/4"),((база!$I$5*2*Таблица1[[#This Row],[Столбец1]]*Таблица1[[#This Row],[коэф]])),
IF(OR(G263="2/4",G263="3/4"),((база!$I$4*2*Таблица1[[#This Row],[Столбец1]]*Таблица1[[#This Row],[коэф]])),
IF((G263="5/8"),((база!$J$6*2*Таблица1[[#This Row],[Столбец1]]*Таблица1[[#This Row],[коэф]])),
IF((G263="4/8"),((база!$J$5*2*Таблица1[[#This Row],[Столбец1]]*Таблица1[[#This Row],[коэф]])),
IF(OR(G263="3/8",G263="2/8"),((база!$J$4*2*Таблица1[[#This Row],[Столбец1]]*Таблица1[[#This Row],[коэф]])))))))))))))),
(IF((G263="5/24"),((база!$M$6*2*Таблица1[[#This Row],[Столбец1]]*Таблица1[[#This Row],[коэф]])),
IF(OR(G263="4/24",G263="3/24"),((база!$M$5*2*Таблица1[[#This Row],[Столбец1]]*Таблица1[[#This Row],[коэф]])),
IF((G263="5/16"),((база!$L$6*2*Таблица1[[#This Row],[Столбец1]]*Таблица1[[#This Row],[коэф]])),
IF(OR(G263="4/16",G263="3/16"),((база!$L$5*2*Таблица1[[#This Row],[Столбец1]]*Таблица1[[#This Row],[коэф]])),
IF(OR(G263="2/4",G263="3/4",G263="4/4"),((база!$I$5*2*Таблица1[[#This Row],[Столбец1]]*Таблица1[[#This Row],[коэф]])),
IF((G263="5/8"),((база!$J$6*2*Таблица1[[#This Row],[Столбец1]]*Таблица1[[#This Row],[коэф]])),
IF(OR(G263="4/8",G263="3/8",G263="2/8"),((база!$J$5*2*Таблица1[[#This Row],[Столбец1]]*Таблица1[[#This Row],[коэф]])))))))))))</f>
        <v>0</v>
      </c>
      <c r="AQ263" s="712" t="str">
        <f>IFERROR(INDEX(база!T:T, MATCH(F263,база!Q:Q,0)),"")</f>
        <v/>
      </c>
      <c r="AR263" s="208" t="str">
        <f>IFERROR(INDEX(база!D:D, MATCH(F263,база!B:B,0)),"")</f>
        <v/>
      </c>
      <c r="AS263" s="758" t="str">
        <f>IFERROR(INDEX(база!E:E, MATCH(F263,база!B:B,0)),"")</f>
        <v/>
      </c>
    </row>
    <row r="264" spans="1:45" ht="15">
      <c r="A264" s="66" t="str">
        <f t="shared" si="4"/>
        <v>январь</v>
      </c>
      <c r="B264" s="231">
        <v>2024</v>
      </c>
      <c r="C264" s="299"/>
      <c r="D264" s="61"/>
      <c r="E264" s="211"/>
      <c r="F264" s="680"/>
      <c r="G264" s="47"/>
      <c r="H264" s="563"/>
      <c r="I264" s="563"/>
      <c r="J264" s="563"/>
      <c r="K264" s="563"/>
      <c r="L264" s="563"/>
      <c r="M264" s="563"/>
      <c r="N264" s="563"/>
      <c r="O264" s="563"/>
      <c r="P264" s="300"/>
      <c r="Q264" s="563"/>
      <c r="R264" s="563"/>
      <c r="S264" s="563"/>
      <c r="T264" s="563"/>
      <c r="U264" s="563"/>
      <c r="V264" s="563"/>
      <c r="W264" s="563"/>
      <c r="X264" s="563"/>
      <c r="Y264" s="563"/>
      <c r="Z264" s="563"/>
      <c r="AA264" s="563"/>
      <c r="AB264" s="563"/>
      <c r="AC264" s="563"/>
      <c r="AD264" s="48"/>
      <c r="AE264" s="48"/>
      <c r="AF264" s="258"/>
      <c r="AG264" s="48"/>
      <c r="AH264" s="48"/>
      <c r="AI264" s="48"/>
      <c r="AJ264" s="48"/>
      <c r="AK264" s="48"/>
      <c r="AL264" s="51"/>
      <c r="AM264" s="212">
        <f>IF(AQ264=1,SUM(Q264:T264,W264:Z264,AC264:AF264,AI264:AL264),
IF(AQ264=2,SUM(P264,S264:V264,Y264:AB264,AE264:AH264,AK264:AL264),
IF(AQ264=3,SUM(P264:R264,U264:X264,AA264:AD264,AG264:AJ264),SUM(Таблица1[[#This Row],[1]:[31]])-Таблица1[[#This Row],[Столбец1]])))</f>
        <v>0</v>
      </c>
      <c r="AN264" s="778">
        <f t="array" ref="AN264">IF(AQ264=1,SUM(P264,U264:V264,AA264:AB264,AG264:AH264),
IF(AQ264=2,SUM(Q264:R264,W264:X264,AC264:AD264,AI264:AJ264),
IF(AQ264=3,SUM(S264:T264,Y264:Z264,AE264:AF264,AK264:AL264),
SUM(IFERROR(WEEKDAY($H$2:$AL$2,2)&gt;5,)*H264:AL264))))+Таблица1[[#This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64" s="292" t="b">
        <f>IF(AR264&lt;=3,(IF((G264="5/24"),((база!$M$6*Таблица1[[#This Row],[сумма]]*Таблица1[[#This Row],[коэф]])),
IF((G264="4/24"),((база!$M$5*Таблица1[[#This Row],[сумма]]*Таблица1[[#This Row],[коэф]])),
IF((G264="3/24"),((база!$M$4*Таблица1[[#This Row],[сумма]]*Таблица1[[#This Row],[коэф]])),
IF((G264="5/16"),((база!$L$6*Таблица1[[#This Row],[сумма]]*Таблица1[[#This Row],[коэф]])),
IF((G264="4/16"),((база!$L$5*Таблица1[[#This Row],[сумма]]*Таблица1[[#This Row],[коэф]])),
IF((G264="3/16"),((база!$L$4*Таблица1[[#This Row],[сумма]]*Таблица1[[#This Row],[коэф]])),
IF((G264="4/4"),((база!$I$5*Таблица1[[#This Row],[сумма]]*Таблица1[[#This Row],[коэф]])),
IF(OR(G264="2/4",G264="3/4"),((база!$I$4*Таблица1[[#This Row],[сумма]]*Таблица1[[#This Row],[коэф]])),
IF((G264="5/8"),((база!$J$6*Таблица1[[#This Row],[сумма]]*Таблица1[[#This Row],[коэф]])),
IF((G264="4/8"),((база!$J$5*Таблица1[[#This Row],[сумма]]*Таблица1[[#This Row],[коэф]])),
IF(OR(G264="3/8",G264="2/8"),((база!$J$4*Таблица1[[#This Row],[сумма]]*Таблица1[[#This Row],[коэф]])))))))))))))),
(IF((G264="5/24"),((база!$M$6*Таблица1[[#This Row],[сумма]]*Таблица1[[#This Row],[коэф]])),
IF(OR(G264="4/24",G264="3/24"),((база!$M$5*Таблица1[[#This Row],[сумма]]*Таблица1[[#This Row],[коэф]])),
IF((G264="5/16"),((база!$L$6*Таблица1[[#This Row],[сумма]]*Таблица1[[#This Row],[коэф]])),
IF(OR(G264="4/16",G264="3/16"),((база!$L$5*Таблица1[[#This Row],[сумма]]*Таблица1[[#This Row],[коэф]])),
IF(OR(G264="2/4",G264="3/4",G264="4/4"),((база!$I$5*Таблица1[[#This Row],[сумма]]*Таблица1[[#This Row],[коэф]])),
IF((G264="5/8"),((база!$J$6*Таблица1[[#This Row],[сумма]]*Таблица1[[#This Row],[коэф]])),
IF(OR(G264="4/8",G264="3/8",G264="2/8"),((база!$J$5*Таблица1[[#This Row],[сумма]]*Таблица1[[#This Row],[коэф]])))))))))))</f>
        <v>0</v>
      </c>
      <c r="AP264" s="730" t="b">
        <f>IF(AR264&lt;=3,(IF((G264="5/24"),((база!$M$6*2*Таблица1[[#This Row],[Столбец1]]*Таблица1[[#This Row],[коэф]])),
IF((G264="4/24"),((база!$M$5*2*Таблица1[[#This Row],[Столбец1]]*Таблица1[[#This Row],[коэф]])),
IF((G264="3/24"),((база!$M$4*2*Таблица1[[#This Row],[Столбец1]]*Таблица1[[#This Row],[коэф]])),
IF((G264="5/16"),((база!$L$6*2*Таблица1[[#This Row],[Столбец1]]*Таблица1[[#This Row],[коэф]])),
IF((G264="4/16"),((база!$L$5*2*Таблица1[[#This Row],[Столбец1]]*Таблица1[[#This Row],[коэф]])),
IF((G264="3/16"),((база!$L$4*2*Таблица1[[#This Row],[Столбец1]]*Таблица1[[#This Row],[коэф]])),
IF((G264="4/4"),((база!$I$5*2*Таблица1[[#This Row],[Столбец1]]*Таблица1[[#This Row],[коэф]])),
IF(OR(G264="2/4",G264="3/4"),((база!$I$4*2*Таблица1[[#This Row],[Столбец1]]*Таблица1[[#This Row],[коэф]])),
IF((G264="5/8"),((база!$J$6*2*Таблица1[[#This Row],[Столбец1]]*Таблица1[[#This Row],[коэф]])),
IF((G264="4/8"),((база!$J$5*2*Таблица1[[#This Row],[Столбец1]]*Таблица1[[#This Row],[коэф]])),
IF(OR(G264="3/8",G264="2/8"),((база!$J$4*2*Таблица1[[#This Row],[Столбец1]]*Таблица1[[#This Row],[коэф]])))))))))))))),
(IF((G264="5/24"),((база!$M$6*2*Таблица1[[#This Row],[Столбец1]]*Таблица1[[#This Row],[коэф]])),
IF(OR(G264="4/24",G264="3/24"),((база!$M$5*2*Таблица1[[#This Row],[Столбец1]]*Таблица1[[#This Row],[коэф]])),
IF((G264="5/16"),((база!$L$6*2*Таблица1[[#This Row],[Столбец1]]*Таблица1[[#This Row],[коэф]])),
IF(OR(G264="4/16",G264="3/16"),((база!$L$5*2*Таблица1[[#This Row],[Столбец1]]*Таблица1[[#This Row],[коэф]])),
IF(OR(G264="2/4",G264="3/4",G264="4/4"),((база!$I$5*2*Таблица1[[#This Row],[Столбец1]]*Таблица1[[#This Row],[коэф]])),
IF((G264="5/8"),((база!$J$6*2*Таблица1[[#This Row],[Столбец1]]*Таблица1[[#This Row],[коэф]])),
IF(OR(G264="4/8",G264="3/8",G264="2/8"),((база!$J$5*2*Таблица1[[#This Row],[Столбец1]]*Таблица1[[#This Row],[коэф]])))))))))))</f>
        <v>0</v>
      </c>
      <c r="AQ264" s="712" t="str">
        <f>IFERROR(INDEX(база!T:T, MATCH(F264,база!Q:Q,0)),"")</f>
        <v/>
      </c>
      <c r="AR264" s="208" t="str">
        <f>IFERROR(INDEX(база!D:D, MATCH(F264,база!B:B,0)),"")</f>
        <v/>
      </c>
      <c r="AS264" s="758" t="str">
        <f>IFERROR(INDEX(база!E:E, MATCH(F264,база!B:B,0)),"")</f>
        <v/>
      </c>
    </row>
    <row r="265" spans="1:45" ht="15">
      <c r="A265" s="66" t="str">
        <f t="shared" si="4"/>
        <v>январь</v>
      </c>
      <c r="B265" s="231">
        <v>2024</v>
      </c>
      <c r="C265" s="60"/>
      <c r="D265" s="61"/>
      <c r="E265" s="211"/>
      <c r="F265" s="680"/>
      <c r="G265" s="47"/>
      <c r="H265" s="563"/>
      <c r="I265" s="563"/>
      <c r="J265" s="563"/>
      <c r="K265" s="563"/>
      <c r="L265" s="563"/>
      <c r="M265" s="563"/>
      <c r="N265" s="563"/>
      <c r="O265" s="563"/>
      <c r="P265" s="300"/>
      <c r="Q265" s="563"/>
      <c r="R265" s="563"/>
      <c r="S265" s="563"/>
      <c r="T265" s="563"/>
      <c r="U265" s="563"/>
      <c r="V265" s="563"/>
      <c r="W265" s="563"/>
      <c r="X265" s="563"/>
      <c r="Y265" s="563"/>
      <c r="Z265" s="563"/>
      <c r="AA265" s="563"/>
      <c r="AB265" s="563"/>
      <c r="AC265" s="563"/>
      <c r="AD265" s="48"/>
      <c r="AE265" s="48"/>
      <c r="AF265" s="258"/>
      <c r="AG265" s="48"/>
      <c r="AH265" s="48"/>
      <c r="AI265" s="258"/>
      <c r="AJ265" s="258"/>
      <c r="AK265" s="258"/>
      <c r="AL265" s="258"/>
      <c r="AM265" s="212">
        <f>IF(AQ265=1,SUM(Q265:T265,W265:Z265,AC265:AF265,AI265:AL265),
IF(AQ265=2,SUM(P265,S265:V265,Y265:AB265,AE265:AH265,AK265:AL265),
IF(AQ265=3,SUM(P265:R265,U265:X265,AA265:AD265,AG265:AJ265),SUM(Таблица1[[#This Row],[1]:[31]])-Таблица1[[#This Row],[Столбец1]])))</f>
        <v>0</v>
      </c>
      <c r="AN265" s="778">
        <f t="array" ref="AN265">IF(AQ265=1,SUM(P265,U265:V265,AA265:AB265,AG265:AH265),
IF(AQ265=2,SUM(Q265:R265,W265:X265,AC265:AD265,AI265:AJ265),
IF(AQ265=3,SUM(S265:T265,Y265:Z265,AE265:AF265,AK265:AL265),
SUM(IFERROR(WEEKDAY($H$2:$AL$2,2)&gt;5,)*H265:AL265))))+Таблица1[[#This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65" s="292" t="b">
        <f>IF(AR265&lt;=3,(IF((G265="5/24"),((база!$M$6*Таблица1[[#This Row],[сумма]]*Таблица1[[#This Row],[коэф]])),
IF((G265="4/24"),((база!$M$5*Таблица1[[#This Row],[сумма]]*Таблица1[[#This Row],[коэф]])),
IF((G265="3/24"),((база!$M$4*Таблица1[[#This Row],[сумма]]*Таблица1[[#This Row],[коэф]])),
IF((G265="5/16"),((база!$L$6*Таблица1[[#This Row],[сумма]]*Таблица1[[#This Row],[коэф]])),
IF((G265="4/16"),((база!$L$5*Таблица1[[#This Row],[сумма]]*Таблица1[[#This Row],[коэф]])),
IF((G265="3/16"),((база!$L$4*Таблица1[[#This Row],[сумма]]*Таблица1[[#This Row],[коэф]])),
IF((G265="4/4"),((база!$I$5*Таблица1[[#This Row],[сумма]]*Таблица1[[#This Row],[коэф]])),
IF(OR(G265="2/4",G265="3/4"),((база!$I$4*Таблица1[[#This Row],[сумма]]*Таблица1[[#This Row],[коэф]])),
IF((G265="5/8"),((база!$J$6*Таблица1[[#This Row],[сумма]]*Таблица1[[#This Row],[коэф]])),
IF((G265="4/8"),((база!$J$5*Таблица1[[#This Row],[сумма]]*Таблица1[[#This Row],[коэф]])),
IF(OR(G265="3/8",G265="2/8"),((база!$J$4*Таблица1[[#This Row],[сумма]]*Таблица1[[#This Row],[коэф]])))))))))))))),
(IF((G265="5/24"),((база!$M$6*Таблица1[[#This Row],[сумма]]*Таблица1[[#This Row],[коэф]])),
IF(OR(G265="4/24",G265="3/24"),((база!$M$5*Таблица1[[#This Row],[сумма]]*Таблица1[[#This Row],[коэф]])),
IF((G265="5/16"),((база!$L$6*Таблица1[[#This Row],[сумма]]*Таблица1[[#This Row],[коэф]])),
IF(OR(G265="4/16",G265="3/16"),((база!$L$5*Таблица1[[#This Row],[сумма]]*Таблица1[[#This Row],[коэф]])),
IF(OR(G265="2/4",G265="3/4",G265="4/4"),((база!$I$5*Таблица1[[#This Row],[сумма]]*Таблица1[[#This Row],[коэф]])),
IF((G265="5/8"),((база!$J$6*Таблица1[[#This Row],[сумма]]*Таблица1[[#This Row],[коэф]])),
IF(OR(G265="4/8",G265="3/8",G265="2/8"),((база!$J$5*Таблица1[[#This Row],[сумма]]*Таблица1[[#This Row],[коэф]])))))))))))</f>
        <v>0</v>
      </c>
      <c r="AP265" s="730" t="b">
        <f>IF(AR265&lt;=3,(IF((G265="5/24"),((база!$M$6*2*Таблица1[[#This Row],[Столбец1]]*Таблица1[[#This Row],[коэф]])),
IF((G265="4/24"),((база!$M$5*2*Таблица1[[#This Row],[Столбец1]]*Таблица1[[#This Row],[коэф]])),
IF((G265="3/24"),((база!$M$4*2*Таблица1[[#This Row],[Столбец1]]*Таблица1[[#This Row],[коэф]])),
IF((G265="5/16"),((база!$L$6*2*Таблица1[[#This Row],[Столбец1]]*Таблица1[[#This Row],[коэф]])),
IF((G265="4/16"),((база!$L$5*2*Таблица1[[#This Row],[Столбец1]]*Таблица1[[#This Row],[коэф]])),
IF((G265="3/16"),((база!$L$4*2*Таблица1[[#This Row],[Столбец1]]*Таблица1[[#This Row],[коэф]])),
IF((G265="4/4"),((база!$I$5*2*Таблица1[[#This Row],[Столбец1]]*Таблица1[[#This Row],[коэф]])),
IF(OR(G265="2/4",G265="3/4"),((база!$I$4*2*Таблица1[[#This Row],[Столбец1]]*Таблица1[[#This Row],[коэф]])),
IF((G265="5/8"),((база!$J$6*2*Таблица1[[#This Row],[Столбец1]]*Таблица1[[#This Row],[коэф]])),
IF((G265="4/8"),((база!$J$5*2*Таблица1[[#This Row],[Столбец1]]*Таблица1[[#This Row],[коэф]])),
IF(OR(G265="3/8",G265="2/8"),((база!$J$4*2*Таблица1[[#This Row],[Столбец1]]*Таблица1[[#This Row],[коэф]])))))))))))))),
(IF((G265="5/24"),((база!$M$6*2*Таблица1[[#This Row],[Столбец1]]*Таблица1[[#This Row],[коэф]])),
IF(OR(G265="4/24",G265="3/24"),((база!$M$5*2*Таблица1[[#This Row],[Столбец1]]*Таблица1[[#This Row],[коэф]])),
IF((G265="5/16"),((база!$L$6*2*Таблица1[[#This Row],[Столбец1]]*Таблица1[[#This Row],[коэф]])),
IF(OR(G265="4/16",G265="3/16"),((база!$L$5*2*Таблица1[[#This Row],[Столбец1]]*Таблица1[[#This Row],[коэф]])),
IF(OR(G265="2/4",G265="3/4",G265="4/4"),((база!$I$5*2*Таблица1[[#This Row],[Столбец1]]*Таблица1[[#This Row],[коэф]])),
IF((G265="5/8"),((база!$J$6*2*Таблица1[[#This Row],[Столбец1]]*Таблица1[[#This Row],[коэф]])),
IF(OR(G265="4/8",G265="3/8",G265="2/8"),((база!$J$5*2*Таблица1[[#This Row],[Столбец1]]*Таблица1[[#This Row],[коэф]])))))))))))</f>
        <v>0</v>
      </c>
      <c r="AQ265" s="712" t="str">
        <f>IFERROR(INDEX(база!T:T, MATCH(F265,база!Q:Q,0)),"")</f>
        <v/>
      </c>
      <c r="AR265" s="208" t="str">
        <f>IFERROR(INDEX(база!D:D, MATCH(F265,база!B:B,0)),"")</f>
        <v/>
      </c>
      <c r="AS265" s="758" t="str">
        <f>IFERROR(INDEX(база!E:E, MATCH(F265,база!B:B,0)),"")</f>
        <v/>
      </c>
    </row>
    <row r="266" spans="1:45" ht="15">
      <c r="A266" s="66" t="str">
        <f t="shared" si="4"/>
        <v>январь</v>
      </c>
      <c r="B266" s="231">
        <v>2024</v>
      </c>
      <c r="C266" s="60"/>
      <c r="D266" s="61"/>
      <c r="E266" s="211"/>
      <c r="F266" s="680"/>
      <c r="G266" s="47"/>
      <c r="H266" s="563"/>
      <c r="I266" s="563"/>
      <c r="J266" s="563"/>
      <c r="K266" s="563"/>
      <c r="L266" s="563"/>
      <c r="M266" s="563"/>
      <c r="N266" s="563"/>
      <c r="O266" s="563"/>
      <c r="P266" s="300"/>
      <c r="Q266" s="563"/>
      <c r="R266" s="563"/>
      <c r="S266" s="563"/>
      <c r="T266" s="563"/>
      <c r="U266" s="563"/>
      <c r="V266" s="563"/>
      <c r="W266" s="563"/>
      <c r="X266" s="563"/>
      <c r="Y266" s="563"/>
      <c r="Z266" s="563"/>
      <c r="AA266" s="563"/>
      <c r="AB266" s="563"/>
      <c r="AC266" s="563"/>
      <c r="AD266" s="48"/>
      <c r="AE266" s="48"/>
      <c r="AF266" s="258"/>
      <c r="AG266" s="48"/>
      <c r="AH266" s="48"/>
      <c r="AI266" s="48"/>
      <c r="AJ266" s="48"/>
      <c r="AK266" s="48"/>
      <c r="AL266" s="51"/>
      <c r="AM266" s="212">
        <f>IF(AQ266=1,SUM(Q266:T266,W266:Z266,AC266:AF266,AI266:AL266),
IF(AQ266=2,SUM(P266,S266:V266,Y266:AB266,AE266:AH266,AK266:AL266),
IF(AQ266=3,SUM(P266:R266,U266:X266,AA266:AD266,AG266:AJ266),SUM(Таблица1[[#This Row],[1]:[31]])-Таблица1[[#This Row],[Столбец1]])))</f>
        <v>0</v>
      </c>
      <c r="AN266" s="778">
        <f t="array" ref="AN266">IF(AQ266=1,SUM(P266,U266:V266,AA266:AB266,AG266:AH266),
IF(AQ266=2,SUM(Q266:R266,W266:X266,AC266:AD266,AI266:AJ266),
IF(AQ266=3,SUM(S266:T266,Y266:Z266,AE266:AF266,AK266:AL266),
SUM(IFERROR(WEEKDAY($H$2:$AL$2,2)&gt;5,)*H266:AL266))))+Таблица1[[#This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66" s="292" t="b">
        <f>IF(AR266&lt;=3,(IF((G266="5/24"),((база!$M$6*Таблица1[[#This Row],[сумма]]*Таблица1[[#This Row],[коэф]])),
IF((G266="4/24"),((база!$M$5*Таблица1[[#This Row],[сумма]]*Таблица1[[#This Row],[коэф]])),
IF((G266="3/24"),((база!$M$4*Таблица1[[#This Row],[сумма]]*Таблица1[[#This Row],[коэф]])),
IF((G266="5/16"),((база!$L$6*Таблица1[[#This Row],[сумма]]*Таблица1[[#This Row],[коэф]])),
IF((G266="4/16"),((база!$L$5*Таблица1[[#This Row],[сумма]]*Таблица1[[#This Row],[коэф]])),
IF((G266="3/16"),((база!$L$4*Таблица1[[#This Row],[сумма]]*Таблица1[[#This Row],[коэф]])),
IF((G266="4/4"),((база!$I$5*Таблица1[[#This Row],[сумма]]*Таблица1[[#This Row],[коэф]])),
IF(OR(G266="2/4",G266="3/4"),((база!$I$4*Таблица1[[#This Row],[сумма]]*Таблица1[[#This Row],[коэф]])),
IF((G266="5/8"),((база!$J$6*Таблица1[[#This Row],[сумма]]*Таблица1[[#This Row],[коэф]])),
IF((G266="4/8"),((база!$J$5*Таблица1[[#This Row],[сумма]]*Таблица1[[#This Row],[коэф]])),
IF(OR(G266="3/8",G266="2/8"),((база!$J$4*Таблица1[[#This Row],[сумма]]*Таблица1[[#This Row],[коэф]])))))))))))))),
(IF((G266="5/24"),((база!$M$6*Таблица1[[#This Row],[сумма]]*Таблица1[[#This Row],[коэф]])),
IF(OR(G266="4/24",G266="3/24"),((база!$M$5*Таблица1[[#This Row],[сумма]]*Таблица1[[#This Row],[коэф]])),
IF((G266="5/16"),((база!$L$6*Таблица1[[#This Row],[сумма]]*Таблица1[[#This Row],[коэф]])),
IF(OR(G266="4/16",G266="3/16"),((база!$L$5*Таблица1[[#This Row],[сумма]]*Таблица1[[#This Row],[коэф]])),
IF(OR(G266="2/4",G266="3/4",G266="4/4"),((база!$I$5*Таблица1[[#This Row],[сумма]]*Таблица1[[#This Row],[коэф]])),
IF((G266="5/8"),((база!$J$6*Таблица1[[#This Row],[сумма]]*Таблица1[[#This Row],[коэф]])),
IF(OR(G266="4/8",G266="3/8",G266="2/8"),((база!$J$5*Таблица1[[#This Row],[сумма]]*Таблица1[[#This Row],[коэф]])))))))))))</f>
        <v>0</v>
      </c>
      <c r="AP266" s="730" t="b">
        <f>IF(AR266&lt;=3,(IF((G266="5/24"),((база!$M$6*2*Таблица1[[#This Row],[Столбец1]]*Таблица1[[#This Row],[коэф]])),
IF((G266="4/24"),((база!$M$5*2*Таблица1[[#This Row],[Столбец1]]*Таблица1[[#This Row],[коэф]])),
IF((G266="3/24"),((база!$M$4*2*Таблица1[[#This Row],[Столбец1]]*Таблица1[[#This Row],[коэф]])),
IF((G266="5/16"),((база!$L$6*2*Таблица1[[#This Row],[Столбец1]]*Таблица1[[#This Row],[коэф]])),
IF((G266="4/16"),((база!$L$5*2*Таблица1[[#This Row],[Столбец1]]*Таблица1[[#This Row],[коэф]])),
IF((G266="3/16"),((база!$L$4*2*Таблица1[[#This Row],[Столбец1]]*Таблица1[[#This Row],[коэф]])),
IF((G266="4/4"),((база!$I$5*2*Таблица1[[#This Row],[Столбец1]]*Таблица1[[#This Row],[коэф]])),
IF(OR(G266="2/4",G266="3/4"),((база!$I$4*2*Таблица1[[#This Row],[Столбец1]]*Таблица1[[#This Row],[коэф]])),
IF((G266="5/8"),((база!$J$6*2*Таблица1[[#This Row],[Столбец1]]*Таблица1[[#This Row],[коэф]])),
IF((G266="4/8"),((база!$J$5*2*Таблица1[[#This Row],[Столбец1]]*Таблица1[[#This Row],[коэф]])),
IF(OR(G266="3/8",G266="2/8"),((база!$J$4*2*Таблица1[[#This Row],[Столбец1]]*Таблица1[[#This Row],[коэф]])))))))))))))),
(IF((G266="5/24"),((база!$M$6*2*Таблица1[[#This Row],[Столбец1]]*Таблица1[[#This Row],[коэф]])),
IF(OR(G266="4/24",G266="3/24"),((база!$M$5*2*Таблица1[[#This Row],[Столбец1]]*Таблица1[[#This Row],[коэф]])),
IF((G266="5/16"),((база!$L$6*2*Таблица1[[#This Row],[Столбец1]]*Таблица1[[#This Row],[коэф]])),
IF(OR(G266="4/16",G266="3/16"),((база!$L$5*2*Таблица1[[#This Row],[Столбец1]]*Таблица1[[#This Row],[коэф]])),
IF(OR(G266="2/4",G266="3/4",G266="4/4"),((база!$I$5*2*Таблица1[[#This Row],[Столбец1]]*Таблица1[[#This Row],[коэф]])),
IF((G266="5/8"),((база!$J$6*2*Таблица1[[#This Row],[Столбец1]]*Таблица1[[#This Row],[коэф]])),
IF(OR(G266="4/8",G266="3/8",G266="2/8"),((база!$J$5*2*Таблица1[[#This Row],[Столбец1]]*Таблица1[[#This Row],[коэф]])))))))))))</f>
        <v>0</v>
      </c>
      <c r="AQ266" s="712" t="str">
        <f>IFERROR(INDEX(база!T:T, MATCH(F266,база!Q:Q,0)),"")</f>
        <v/>
      </c>
      <c r="AR266" s="208" t="str">
        <f>IFERROR(INDEX(база!D:D, MATCH(F266,база!B:B,0)),"")</f>
        <v/>
      </c>
      <c r="AS266" s="758" t="str">
        <f>IFERROR(INDEX(база!E:E, MATCH(F266,база!B:B,0)),"")</f>
        <v/>
      </c>
    </row>
    <row r="267" spans="1:45" ht="15">
      <c r="A267" s="66" t="str">
        <f t="shared" si="4"/>
        <v>январь</v>
      </c>
      <c r="B267" s="231">
        <v>2024</v>
      </c>
      <c r="C267" s="299"/>
      <c r="D267" s="61"/>
      <c r="E267" s="211"/>
      <c r="F267" s="680"/>
      <c r="G267" s="47"/>
      <c r="H267" s="563"/>
      <c r="I267" s="563"/>
      <c r="J267" s="563"/>
      <c r="K267" s="563"/>
      <c r="L267" s="563"/>
      <c r="M267" s="563"/>
      <c r="N267" s="563"/>
      <c r="O267" s="563"/>
      <c r="P267" s="300"/>
      <c r="Q267" s="563"/>
      <c r="R267" s="563"/>
      <c r="S267" s="563"/>
      <c r="T267" s="563"/>
      <c r="U267" s="563"/>
      <c r="V267" s="563"/>
      <c r="W267" s="563"/>
      <c r="X267" s="563"/>
      <c r="Y267" s="563"/>
      <c r="Z267" s="563"/>
      <c r="AA267" s="563"/>
      <c r="AB267" s="563"/>
      <c r="AC267" s="563"/>
      <c r="AD267" s="48"/>
      <c r="AE267" s="48"/>
      <c r="AF267" s="258"/>
      <c r="AG267" s="48"/>
      <c r="AH267" s="48"/>
      <c r="AI267" s="258"/>
      <c r="AJ267" s="258"/>
      <c r="AK267" s="258"/>
      <c r="AL267" s="258"/>
      <c r="AM267" s="212">
        <f>IF(AQ267=1,SUM(Q267:T267,W267:Z267,AC267:AF267,AI267:AL267),
IF(AQ267=2,SUM(P267,S267:V267,Y267:AB267,AE267:AH267,AK267:AL267),
IF(AQ267=3,SUM(P267:R267,U267:X267,AA267:AD267,AG267:AJ267),SUM(Таблица1[[#This Row],[1]:[31]])-Таблица1[[#This Row],[Столбец1]])))</f>
        <v>0</v>
      </c>
      <c r="AN267" s="778">
        <f t="array" ref="AN267">IF(AQ267=1,SUM(P267,U267:V267,AA267:AB267,AG267:AH267),
IF(AQ267=2,SUM(Q267:R267,W267:X267,AC267:AD267,AI267:AJ267),
IF(AQ267=3,SUM(S267:T267,Y267:Z267,AE267:AF267,AK267:AL267),
SUM(IFERROR(WEEKDAY($H$2:$AL$2,2)&gt;5,)*H267:AL267))))+Таблица1[[#This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67" s="292" t="b">
        <f>IF(AR267&lt;=3,(IF((G267="5/24"),((база!$M$6*Таблица1[[#This Row],[сумма]]*Таблица1[[#This Row],[коэф]])),
IF((G267="4/24"),((база!$M$5*Таблица1[[#This Row],[сумма]]*Таблица1[[#This Row],[коэф]])),
IF((G267="3/24"),((база!$M$4*Таблица1[[#This Row],[сумма]]*Таблица1[[#This Row],[коэф]])),
IF((G267="5/16"),((база!$L$6*Таблица1[[#This Row],[сумма]]*Таблица1[[#This Row],[коэф]])),
IF((G267="4/16"),((база!$L$5*Таблица1[[#This Row],[сумма]]*Таблица1[[#This Row],[коэф]])),
IF((G267="3/16"),((база!$L$4*Таблица1[[#This Row],[сумма]]*Таблица1[[#This Row],[коэф]])),
IF((G267="4/4"),((база!$I$5*Таблица1[[#This Row],[сумма]]*Таблица1[[#This Row],[коэф]])),
IF(OR(G267="2/4",G267="3/4"),((база!$I$4*Таблица1[[#This Row],[сумма]]*Таблица1[[#This Row],[коэф]])),
IF((G267="5/8"),((база!$J$6*Таблица1[[#This Row],[сумма]]*Таблица1[[#This Row],[коэф]])),
IF((G267="4/8"),((база!$J$5*Таблица1[[#This Row],[сумма]]*Таблица1[[#This Row],[коэф]])),
IF(OR(G267="3/8",G267="2/8"),((база!$J$4*Таблица1[[#This Row],[сумма]]*Таблица1[[#This Row],[коэф]])))))))))))))),
(IF((G267="5/24"),((база!$M$6*Таблица1[[#This Row],[сумма]]*Таблица1[[#This Row],[коэф]])),
IF(OR(G267="4/24",G267="3/24"),((база!$M$5*Таблица1[[#This Row],[сумма]]*Таблица1[[#This Row],[коэф]])),
IF((G267="5/16"),((база!$L$6*Таблица1[[#This Row],[сумма]]*Таблица1[[#This Row],[коэф]])),
IF(OR(G267="4/16",G267="3/16"),((база!$L$5*Таблица1[[#This Row],[сумма]]*Таблица1[[#This Row],[коэф]])),
IF(OR(G267="2/4",G267="3/4",G267="4/4"),((база!$I$5*Таблица1[[#This Row],[сумма]]*Таблица1[[#This Row],[коэф]])),
IF((G267="5/8"),((база!$J$6*Таблица1[[#This Row],[сумма]]*Таблица1[[#This Row],[коэф]])),
IF(OR(G267="4/8",G267="3/8",G267="2/8"),((база!$J$5*Таблица1[[#This Row],[сумма]]*Таблица1[[#This Row],[коэф]])))))))))))</f>
        <v>0</v>
      </c>
      <c r="AP267" s="730" t="b">
        <f>IF(AR267&lt;=3,(IF((G267="5/24"),((база!$M$6*2*Таблица1[[#This Row],[Столбец1]]*Таблица1[[#This Row],[коэф]])),
IF((G267="4/24"),((база!$M$5*2*Таблица1[[#This Row],[Столбец1]]*Таблица1[[#This Row],[коэф]])),
IF((G267="3/24"),((база!$M$4*2*Таблица1[[#This Row],[Столбец1]]*Таблица1[[#This Row],[коэф]])),
IF((G267="5/16"),((база!$L$6*2*Таблица1[[#This Row],[Столбец1]]*Таблица1[[#This Row],[коэф]])),
IF((G267="4/16"),((база!$L$5*2*Таблица1[[#This Row],[Столбец1]]*Таблица1[[#This Row],[коэф]])),
IF((G267="3/16"),((база!$L$4*2*Таблица1[[#This Row],[Столбец1]]*Таблица1[[#This Row],[коэф]])),
IF((G267="4/4"),((база!$I$5*2*Таблица1[[#This Row],[Столбец1]]*Таблица1[[#This Row],[коэф]])),
IF(OR(G267="2/4",G267="3/4"),((база!$I$4*2*Таблица1[[#This Row],[Столбец1]]*Таблица1[[#This Row],[коэф]])),
IF((G267="5/8"),((база!$J$6*2*Таблица1[[#This Row],[Столбец1]]*Таблица1[[#This Row],[коэф]])),
IF((G267="4/8"),((база!$J$5*2*Таблица1[[#This Row],[Столбец1]]*Таблица1[[#This Row],[коэф]])),
IF(OR(G267="3/8",G267="2/8"),((база!$J$4*2*Таблица1[[#This Row],[Столбец1]]*Таблица1[[#This Row],[коэф]])))))))))))))),
(IF((G267="5/24"),((база!$M$6*2*Таблица1[[#This Row],[Столбец1]]*Таблица1[[#This Row],[коэф]])),
IF(OR(G267="4/24",G267="3/24"),((база!$M$5*2*Таблица1[[#This Row],[Столбец1]]*Таблица1[[#This Row],[коэф]])),
IF((G267="5/16"),((база!$L$6*2*Таблица1[[#This Row],[Столбец1]]*Таблица1[[#This Row],[коэф]])),
IF(OR(G267="4/16",G267="3/16"),((база!$L$5*2*Таблица1[[#This Row],[Столбец1]]*Таблица1[[#This Row],[коэф]])),
IF(OR(G267="2/4",G267="3/4",G267="4/4"),((база!$I$5*2*Таблица1[[#This Row],[Столбец1]]*Таблица1[[#This Row],[коэф]])),
IF((G267="5/8"),((база!$J$6*2*Таблица1[[#This Row],[Столбец1]]*Таблица1[[#This Row],[коэф]])),
IF(OR(G267="4/8",G267="3/8",G267="2/8"),((база!$J$5*2*Таблица1[[#This Row],[Столбец1]]*Таблица1[[#This Row],[коэф]])))))))))))</f>
        <v>0</v>
      </c>
      <c r="AQ267" s="712" t="str">
        <f>IFERROR(INDEX(база!T:T, MATCH(F267,база!Q:Q,0)),"")</f>
        <v/>
      </c>
      <c r="AR267" s="208" t="str">
        <f>IFERROR(INDEX(база!D:D, MATCH(F267,база!B:B,0)),"")</f>
        <v/>
      </c>
      <c r="AS267" s="758" t="str">
        <f>IFERROR(INDEX(база!E:E, MATCH(F267,база!B:B,0)),"")</f>
        <v/>
      </c>
    </row>
    <row r="268" spans="1:45" ht="15">
      <c r="A268" s="66" t="str">
        <f t="shared" si="4"/>
        <v>январь</v>
      </c>
      <c r="B268" s="231">
        <v>2024</v>
      </c>
      <c r="C268" s="299"/>
      <c r="D268" s="61"/>
      <c r="E268" s="211"/>
      <c r="F268" s="680"/>
      <c r="G268" s="47"/>
      <c r="H268" s="563"/>
      <c r="I268" s="563"/>
      <c r="J268" s="563"/>
      <c r="K268" s="563"/>
      <c r="L268" s="563"/>
      <c r="M268" s="563"/>
      <c r="N268" s="563"/>
      <c r="O268" s="563"/>
      <c r="P268" s="300"/>
      <c r="Q268" s="563"/>
      <c r="R268" s="563"/>
      <c r="S268" s="563"/>
      <c r="T268" s="563"/>
      <c r="U268" s="563"/>
      <c r="V268" s="563"/>
      <c r="W268" s="563"/>
      <c r="X268" s="563"/>
      <c r="Y268" s="563"/>
      <c r="Z268" s="563"/>
      <c r="AA268" s="563"/>
      <c r="AB268" s="563"/>
      <c r="AC268" s="563"/>
      <c r="AD268" s="48"/>
      <c r="AE268" s="48"/>
      <c r="AF268" s="258"/>
      <c r="AG268" s="48"/>
      <c r="AH268" s="48"/>
      <c r="AI268" s="48"/>
      <c r="AJ268" s="48"/>
      <c r="AK268" s="48"/>
      <c r="AL268" s="51"/>
      <c r="AM268" s="212">
        <f>IF(AQ268=1,SUM(Q268:T268,W268:Z268,AC268:AF268,AI268:AL268),
IF(AQ268=2,SUM(P268,S268:V268,Y268:AB268,AE268:AH268,AK268:AL268),
IF(AQ268=3,SUM(P268:R268,U268:X268,AA268:AD268,AG268:AJ268),SUM(Таблица1[[#This Row],[1]:[31]])-Таблица1[[#This Row],[Столбец1]])))</f>
        <v>0</v>
      </c>
      <c r="AN268" s="778">
        <f t="array" ref="AN268">IF(AQ268=1,SUM(P268,U268:V268,AA268:AB268,AG268:AH268),
IF(AQ268=2,SUM(Q268:R268,W268:X268,AC268:AD268,AI268:AJ268),
IF(AQ268=3,SUM(S268:T268,Y268:Z268,AE268:AF268,AK268:AL268),
SUM(IFERROR(WEEKDAY($H$2:$AL$2,2)&gt;5,)*H268:AL268))))+Таблица1[[#This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68" s="292" t="b">
        <f>IF(AR268&lt;=3,(IF((G268="5/24"),((база!$M$6*Таблица1[[#This Row],[сумма]]*Таблица1[[#This Row],[коэф]])),
IF((G268="4/24"),((база!$M$5*Таблица1[[#This Row],[сумма]]*Таблица1[[#This Row],[коэф]])),
IF((G268="3/24"),((база!$M$4*Таблица1[[#This Row],[сумма]]*Таблица1[[#This Row],[коэф]])),
IF((G268="5/16"),((база!$L$6*Таблица1[[#This Row],[сумма]]*Таблица1[[#This Row],[коэф]])),
IF((G268="4/16"),((база!$L$5*Таблица1[[#This Row],[сумма]]*Таблица1[[#This Row],[коэф]])),
IF((G268="3/16"),((база!$L$4*Таблица1[[#This Row],[сумма]]*Таблица1[[#This Row],[коэф]])),
IF((G268="4/4"),((база!$I$5*Таблица1[[#This Row],[сумма]]*Таблица1[[#This Row],[коэф]])),
IF(OR(G268="2/4",G268="3/4"),((база!$I$4*Таблица1[[#This Row],[сумма]]*Таблица1[[#This Row],[коэф]])),
IF((G268="5/8"),((база!$J$6*Таблица1[[#This Row],[сумма]]*Таблица1[[#This Row],[коэф]])),
IF((G268="4/8"),((база!$J$5*Таблица1[[#This Row],[сумма]]*Таблица1[[#This Row],[коэф]])),
IF(OR(G268="3/8",G268="2/8"),((база!$J$4*Таблица1[[#This Row],[сумма]]*Таблица1[[#This Row],[коэф]])))))))))))))),
(IF((G268="5/24"),((база!$M$6*Таблица1[[#This Row],[сумма]]*Таблица1[[#This Row],[коэф]])),
IF(OR(G268="4/24",G268="3/24"),((база!$M$5*Таблица1[[#This Row],[сумма]]*Таблица1[[#This Row],[коэф]])),
IF((G268="5/16"),((база!$L$6*Таблица1[[#This Row],[сумма]]*Таблица1[[#This Row],[коэф]])),
IF(OR(G268="4/16",G268="3/16"),((база!$L$5*Таблица1[[#This Row],[сумма]]*Таблица1[[#This Row],[коэф]])),
IF(OR(G268="2/4",G268="3/4",G268="4/4"),((база!$I$5*Таблица1[[#This Row],[сумма]]*Таблица1[[#This Row],[коэф]])),
IF((G268="5/8"),((база!$J$6*Таблица1[[#This Row],[сумма]]*Таблица1[[#This Row],[коэф]])),
IF(OR(G268="4/8",G268="3/8",G268="2/8"),((база!$J$5*Таблица1[[#This Row],[сумма]]*Таблица1[[#This Row],[коэф]])))))))))))</f>
        <v>0</v>
      </c>
      <c r="AP268" s="730" t="b">
        <f>IF(AR268&lt;=3,(IF((G268="5/24"),((база!$M$6*2*Таблица1[[#This Row],[Столбец1]]*Таблица1[[#This Row],[коэф]])),
IF((G268="4/24"),((база!$M$5*2*Таблица1[[#This Row],[Столбец1]]*Таблица1[[#This Row],[коэф]])),
IF((G268="3/24"),((база!$M$4*2*Таблица1[[#This Row],[Столбец1]]*Таблица1[[#This Row],[коэф]])),
IF((G268="5/16"),((база!$L$6*2*Таблица1[[#This Row],[Столбец1]]*Таблица1[[#This Row],[коэф]])),
IF((G268="4/16"),((база!$L$5*2*Таблица1[[#This Row],[Столбец1]]*Таблица1[[#This Row],[коэф]])),
IF((G268="3/16"),((база!$L$4*2*Таблица1[[#This Row],[Столбец1]]*Таблица1[[#This Row],[коэф]])),
IF((G268="4/4"),((база!$I$5*2*Таблица1[[#This Row],[Столбец1]]*Таблица1[[#This Row],[коэф]])),
IF(OR(G268="2/4",G268="3/4"),((база!$I$4*2*Таблица1[[#This Row],[Столбец1]]*Таблица1[[#This Row],[коэф]])),
IF((G268="5/8"),((база!$J$6*2*Таблица1[[#This Row],[Столбец1]]*Таблица1[[#This Row],[коэф]])),
IF((G268="4/8"),((база!$J$5*2*Таблица1[[#This Row],[Столбец1]]*Таблица1[[#This Row],[коэф]])),
IF(OR(G268="3/8",G268="2/8"),((база!$J$4*2*Таблица1[[#This Row],[Столбец1]]*Таблица1[[#This Row],[коэф]])))))))))))))),
(IF((G268="5/24"),((база!$M$6*2*Таблица1[[#This Row],[Столбец1]]*Таблица1[[#This Row],[коэф]])),
IF(OR(G268="4/24",G268="3/24"),((база!$M$5*2*Таблица1[[#This Row],[Столбец1]]*Таблица1[[#This Row],[коэф]])),
IF((G268="5/16"),((база!$L$6*2*Таблица1[[#This Row],[Столбец1]]*Таблица1[[#This Row],[коэф]])),
IF(OR(G268="4/16",G268="3/16"),((база!$L$5*2*Таблица1[[#This Row],[Столбец1]]*Таблица1[[#This Row],[коэф]])),
IF(OR(G268="2/4",G268="3/4",G268="4/4"),((база!$I$5*2*Таблица1[[#This Row],[Столбец1]]*Таблица1[[#This Row],[коэф]])),
IF((G268="5/8"),((база!$J$6*2*Таблица1[[#This Row],[Столбец1]]*Таблица1[[#This Row],[коэф]])),
IF(OR(G268="4/8",G268="3/8",G268="2/8"),((база!$J$5*2*Таблица1[[#This Row],[Столбец1]]*Таблица1[[#This Row],[коэф]])))))))))))</f>
        <v>0</v>
      </c>
      <c r="AQ268" s="712" t="str">
        <f>IFERROR(INDEX(база!T:T, MATCH(F268,база!Q:Q,0)),"")</f>
        <v/>
      </c>
      <c r="AR268" s="208" t="str">
        <f>IFERROR(INDEX(база!D:D, MATCH(F268,база!B:B,0)),"")</f>
        <v/>
      </c>
      <c r="AS268" s="758" t="str">
        <f>IFERROR(INDEX(база!E:E, MATCH(F268,база!B:B,0)),"")</f>
        <v/>
      </c>
    </row>
    <row r="269" spans="1:45" ht="15">
      <c r="A269" s="66" t="str">
        <f t="shared" si="4"/>
        <v>январь</v>
      </c>
      <c r="B269" s="231">
        <v>2024</v>
      </c>
      <c r="C269" s="299"/>
      <c r="D269" s="61"/>
      <c r="E269" s="211"/>
      <c r="F269" s="680"/>
      <c r="G269" s="47"/>
      <c r="H269" s="563"/>
      <c r="I269" s="563"/>
      <c r="J269" s="563"/>
      <c r="K269" s="563"/>
      <c r="L269" s="563"/>
      <c r="M269" s="563"/>
      <c r="N269" s="563"/>
      <c r="O269" s="563"/>
      <c r="P269" s="300"/>
      <c r="Q269" s="563"/>
      <c r="R269" s="563"/>
      <c r="S269" s="563"/>
      <c r="T269" s="563"/>
      <c r="U269" s="563"/>
      <c r="V269" s="563"/>
      <c r="W269" s="563"/>
      <c r="X269" s="563"/>
      <c r="Y269" s="563"/>
      <c r="Z269" s="563"/>
      <c r="AA269" s="563"/>
      <c r="AB269" s="563"/>
      <c r="AC269" s="563"/>
      <c r="AD269" s="48"/>
      <c r="AE269" s="48"/>
      <c r="AF269" s="258"/>
      <c r="AG269" s="48"/>
      <c r="AH269" s="48"/>
      <c r="AI269" s="258"/>
      <c r="AJ269" s="258"/>
      <c r="AK269" s="258"/>
      <c r="AL269" s="258"/>
      <c r="AM269" s="212">
        <f>IF(AQ269=1,SUM(Q269:T269,W269:Z269,AC269:AF269,AI269:AL269),
IF(AQ269=2,SUM(P269,S269:V269,Y269:AB269,AE269:AH269,AK269:AL269),
IF(AQ269=3,SUM(P269:R269,U269:X269,AA269:AD269,AG269:AJ269),SUM(Таблица1[[#This Row],[1]:[31]])-Таблица1[[#This Row],[Столбец1]])))</f>
        <v>0</v>
      </c>
      <c r="AN269" s="778">
        <f t="array" ref="AN269">IF(AQ269=1,SUM(P269,U269:V269,AA269:AB269,AG269:AH269),
IF(AQ269=2,SUM(Q269:R269,W269:X269,AC269:AD269,AI269:AJ269),
IF(AQ269=3,SUM(S269:T269,Y269:Z269,AE269:AF269,AK269:AL269),
SUM(IFERROR(WEEKDAY($H$2:$AL$2,2)&gt;5,)*H269:AL269))))+Таблица1[[#This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69" s="292" t="b">
        <f>IF(AR269&lt;=3,(IF((G269="5/24"),((база!$M$6*Таблица1[[#This Row],[сумма]]*Таблица1[[#This Row],[коэф]])),
IF((G269="4/24"),((база!$M$5*Таблица1[[#This Row],[сумма]]*Таблица1[[#This Row],[коэф]])),
IF((G269="3/24"),((база!$M$4*Таблица1[[#This Row],[сумма]]*Таблица1[[#This Row],[коэф]])),
IF((G269="5/16"),((база!$L$6*Таблица1[[#This Row],[сумма]]*Таблица1[[#This Row],[коэф]])),
IF((G269="4/16"),((база!$L$5*Таблица1[[#This Row],[сумма]]*Таблица1[[#This Row],[коэф]])),
IF((G269="3/16"),((база!$L$4*Таблица1[[#This Row],[сумма]]*Таблица1[[#This Row],[коэф]])),
IF((G269="4/4"),((база!$I$5*Таблица1[[#This Row],[сумма]]*Таблица1[[#This Row],[коэф]])),
IF(OR(G269="2/4",G269="3/4"),((база!$I$4*Таблица1[[#This Row],[сумма]]*Таблица1[[#This Row],[коэф]])),
IF((G269="5/8"),((база!$J$6*Таблица1[[#This Row],[сумма]]*Таблица1[[#This Row],[коэф]])),
IF((G269="4/8"),((база!$J$5*Таблица1[[#This Row],[сумма]]*Таблица1[[#This Row],[коэф]])),
IF(OR(G269="3/8",G269="2/8"),((база!$J$4*Таблица1[[#This Row],[сумма]]*Таблица1[[#This Row],[коэф]])))))))))))))),
(IF((G269="5/24"),((база!$M$6*Таблица1[[#This Row],[сумма]]*Таблица1[[#This Row],[коэф]])),
IF(OR(G269="4/24",G269="3/24"),((база!$M$5*Таблица1[[#This Row],[сумма]]*Таблица1[[#This Row],[коэф]])),
IF((G269="5/16"),((база!$L$6*Таблица1[[#This Row],[сумма]]*Таблица1[[#This Row],[коэф]])),
IF(OR(G269="4/16",G269="3/16"),((база!$L$5*Таблица1[[#This Row],[сумма]]*Таблица1[[#This Row],[коэф]])),
IF(OR(G269="2/4",G269="3/4",G269="4/4"),((база!$I$5*Таблица1[[#This Row],[сумма]]*Таблица1[[#This Row],[коэф]])),
IF((G269="5/8"),((база!$J$6*Таблица1[[#This Row],[сумма]]*Таблица1[[#This Row],[коэф]])),
IF(OR(G269="4/8",G269="3/8",G269="2/8"),((база!$J$5*Таблица1[[#This Row],[сумма]]*Таблица1[[#This Row],[коэф]])))))))))))</f>
        <v>0</v>
      </c>
      <c r="AP269" s="730" t="b">
        <f>IF(AR269&lt;=3,(IF((G269="5/24"),((база!$M$6*2*Таблица1[[#This Row],[Столбец1]]*Таблица1[[#This Row],[коэф]])),
IF((G269="4/24"),((база!$M$5*2*Таблица1[[#This Row],[Столбец1]]*Таблица1[[#This Row],[коэф]])),
IF((G269="3/24"),((база!$M$4*2*Таблица1[[#This Row],[Столбец1]]*Таблица1[[#This Row],[коэф]])),
IF((G269="5/16"),((база!$L$6*2*Таблица1[[#This Row],[Столбец1]]*Таблица1[[#This Row],[коэф]])),
IF((G269="4/16"),((база!$L$5*2*Таблица1[[#This Row],[Столбец1]]*Таблица1[[#This Row],[коэф]])),
IF((G269="3/16"),((база!$L$4*2*Таблица1[[#This Row],[Столбец1]]*Таблица1[[#This Row],[коэф]])),
IF((G269="4/4"),((база!$I$5*2*Таблица1[[#This Row],[Столбец1]]*Таблица1[[#This Row],[коэф]])),
IF(OR(G269="2/4",G269="3/4"),((база!$I$4*2*Таблица1[[#This Row],[Столбец1]]*Таблица1[[#This Row],[коэф]])),
IF((G269="5/8"),((база!$J$6*2*Таблица1[[#This Row],[Столбец1]]*Таблица1[[#This Row],[коэф]])),
IF((G269="4/8"),((база!$J$5*2*Таблица1[[#This Row],[Столбец1]]*Таблица1[[#This Row],[коэф]])),
IF(OR(G269="3/8",G269="2/8"),((база!$J$4*2*Таблица1[[#This Row],[Столбец1]]*Таблица1[[#This Row],[коэф]])))))))))))))),
(IF((G269="5/24"),((база!$M$6*2*Таблица1[[#This Row],[Столбец1]]*Таблица1[[#This Row],[коэф]])),
IF(OR(G269="4/24",G269="3/24"),((база!$M$5*2*Таблица1[[#This Row],[Столбец1]]*Таблица1[[#This Row],[коэф]])),
IF((G269="5/16"),((база!$L$6*2*Таблица1[[#This Row],[Столбец1]]*Таблица1[[#This Row],[коэф]])),
IF(OR(G269="4/16",G269="3/16"),((база!$L$5*2*Таблица1[[#This Row],[Столбец1]]*Таблица1[[#This Row],[коэф]])),
IF(OR(G269="2/4",G269="3/4",G269="4/4"),((база!$I$5*2*Таблица1[[#This Row],[Столбец1]]*Таблица1[[#This Row],[коэф]])),
IF((G269="5/8"),((база!$J$6*2*Таблица1[[#This Row],[Столбец1]]*Таблица1[[#This Row],[коэф]])),
IF(OR(G269="4/8",G269="3/8",G269="2/8"),((база!$J$5*2*Таблица1[[#This Row],[Столбец1]]*Таблица1[[#This Row],[коэф]])))))))))))</f>
        <v>0</v>
      </c>
      <c r="AQ269" s="712" t="str">
        <f>IFERROR(INDEX(база!T:T, MATCH(F269,база!Q:Q,0)),"")</f>
        <v/>
      </c>
      <c r="AR269" s="208" t="str">
        <f>IFERROR(INDEX(база!D:D, MATCH(F269,база!B:B,0)),"")</f>
        <v/>
      </c>
      <c r="AS269" s="758" t="str">
        <f>IFERROR(INDEX(база!E:E, MATCH(F269,база!B:B,0)),"")</f>
        <v/>
      </c>
    </row>
    <row r="270" spans="1:45" ht="15">
      <c r="A270" s="66" t="str">
        <f t="shared" si="4"/>
        <v>январь</v>
      </c>
      <c r="B270" s="231">
        <v>2024</v>
      </c>
      <c r="C270" s="299"/>
      <c r="D270" s="61"/>
      <c r="E270" s="211"/>
      <c r="F270" s="680"/>
      <c r="G270" s="47"/>
      <c r="H270" s="563"/>
      <c r="I270" s="563"/>
      <c r="J270" s="563"/>
      <c r="K270" s="563"/>
      <c r="L270" s="563"/>
      <c r="M270" s="563"/>
      <c r="N270" s="563"/>
      <c r="O270" s="563"/>
      <c r="P270" s="563"/>
      <c r="Q270" s="563"/>
      <c r="R270" s="563"/>
      <c r="S270" s="563"/>
      <c r="T270" s="563"/>
      <c r="U270" s="563"/>
      <c r="V270" s="563"/>
      <c r="W270" s="563"/>
      <c r="X270" s="563"/>
      <c r="Y270" s="563"/>
      <c r="Z270" s="563"/>
      <c r="AA270" s="563"/>
      <c r="AB270" s="563"/>
      <c r="AC270" s="563"/>
      <c r="AD270" s="48"/>
      <c r="AE270" s="48"/>
      <c r="AF270" s="258"/>
      <c r="AG270" s="48"/>
      <c r="AH270" s="48"/>
      <c r="AI270" s="48"/>
      <c r="AJ270" s="48"/>
      <c r="AK270" s="48"/>
      <c r="AL270" s="51"/>
      <c r="AM270" s="212">
        <f>IF(AQ270=1,SUM(Q270:T270,W270:Z270,AC270:AF270,AI270:AL270),
IF(AQ270=2,SUM(P270,S270:V270,Y270:AB270,AE270:AH270,AK270:AL270),
IF(AQ270=3,SUM(P270:R270,U270:X270,AA270:AD270,AG270:AJ270),SUM(Таблица1[[#This Row],[1]:[31]])-Таблица1[[#This Row],[Столбец1]])))</f>
        <v>0</v>
      </c>
      <c r="AN270" s="778">
        <f t="array" ref="AN270">IF(AQ270=1,SUM(P270,U270:V270,AA270:AB270,AG270:AH270),
IF(AQ270=2,SUM(Q270:R270,W270:X270,AC270:AD270,AI270:AJ270),
IF(AQ270=3,SUM(S270:T270,Y270:Z270,AE270:AF270,AK270:AL270),
SUM(IFERROR(WEEKDAY($H$2:$AL$2,2)&gt;5,)*H270:AL270))))+Таблица1[[#This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70" s="292" t="b">
        <f>IF(AR270&lt;=3,(IF((G270="5/24"),((база!$M$6*Таблица1[[#This Row],[сумма]]*Таблица1[[#This Row],[коэф]])),
IF((G270="4/24"),((база!$M$5*Таблица1[[#This Row],[сумма]]*Таблица1[[#This Row],[коэф]])),
IF((G270="3/24"),((база!$M$4*Таблица1[[#This Row],[сумма]]*Таблица1[[#This Row],[коэф]])),
IF((G270="5/16"),((база!$L$6*Таблица1[[#This Row],[сумма]]*Таблица1[[#This Row],[коэф]])),
IF((G270="4/16"),((база!$L$5*Таблица1[[#This Row],[сумма]]*Таблица1[[#This Row],[коэф]])),
IF((G270="3/16"),((база!$L$4*Таблица1[[#This Row],[сумма]]*Таблица1[[#This Row],[коэф]])),
IF((G270="4/4"),((база!$I$5*Таблица1[[#This Row],[сумма]]*Таблица1[[#This Row],[коэф]])),
IF(OR(G270="2/4",G270="3/4"),((база!$I$4*Таблица1[[#This Row],[сумма]]*Таблица1[[#This Row],[коэф]])),
IF((G270="5/8"),((база!$J$6*Таблица1[[#This Row],[сумма]]*Таблица1[[#This Row],[коэф]])),
IF((G270="4/8"),((база!$J$5*Таблица1[[#This Row],[сумма]]*Таблица1[[#This Row],[коэф]])),
IF(OR(G270="3/8",G270="2/8"),((база!$J$4*Таблица1[[#This Row],[сумма]]*Таблица1[[#This Row],[коэф]])))))))))))))),
(IF((G270="5/24"),((база!$M$6*Таблица1[[#This Row],[сумма]]*Таблица1[[#This Row],[коэф]])),
IF(OR(G270="4/24",G270="3/24"),((база!$M$5*Таблица1[[#This Row],[сумма]]*Таблица1[[#This Row],[коэф]])),
IF((G270="5/16"),((база!$L$6*Таблица1[[#This Row],[сумма]]*Таблица1[[#This Row],[коэф]])),
IF(OR(G270="4/16",G270="3/16"),((база!$L$5*Таблица1[[#This Row],[сумма]]*Таблица1[[#This Row],[коэф]])),
IF(OR(G270="2/4",G270="3/4",G270="4/4"),((база!$I$5*Таблица1[[#This Row],[сумма]]*Таблица1[[#This Row],[коэф]])),
IF((G270="5/8"),((база!$J$6*Таблица1[[#This Row],[сумма]]*Таблица1[[#This Row],[коэф]])),
IF(OR(G270="4/8",G270="3/8",G270="2/8"),((база!$J$5*Таблица1[[#This Row],[сумма]]*Таблица1[[#This Row],[коэф]])))))))))))</f>
        <v>0</v>
      </c>
      <c r="AP270" s="730" t="b">
        <f>IF(AR270&lt;=3,(IF((G270="5/24"),((база!$M$6*2*Таблица1[[#This Row],[Столбец1]]*Таблица1[[#This Row],[коэф]])),
IF((G270="4/24"),((база!$M$5*2*Таблица1[[#This Row],[Столбец1]]*Таблица1[[#This Row],[коэф]])),
IF((G270="3/24"),((база!$M$4*2*Таблица1[[#This Row],[Столбец1]]*Таблица1[[#This Row],[коэф]])),
IF((G270="5/16"),((база!$L$6*2*Таблица1[[#This Row],[Столбец1]]*Таблица1[[#This Row],[коэф]])),
IF((G270="4/16"),((база!$L$5*2*Таблица1[[#This Row],[Столбец1]]*Таблица1[[#This Row],[коэф]])),
IF((G270="3/16"),((база!$L$4*2*Таблица1[[#This Row],[Столбец1]]*Таблица1[[#This Row],[коэф]])),
IF((G270="4/4"),((база!$I$5*2*Таблица1[[#This Row],[Столбец1]]*Таблица1[[#This Row],[коэф]])),
IF(OR(G270="2/4",G270="3/4"),((база!$I$4*2*Таблица1[[#This Row],[Столбец1]]*Таблица1[[#This Row],[коэф]])),
IF((G270="5/8"),((база!$J$6*2*Таблица1[[#This Row],[Столбец1]]*Таблица1[[#This Row],[коэф]])),
IF((G270="4/8"),((база!$J$5*2*Таблица1[[#This Row],[Столбец1]]*Таблица1[[#This Row],[коэф]])),
IF(OR(G270="3/8",G270="2/8"),((база!$J$4*2*Таблица1[[#This Row],[Столбец1]]*Таблица1[[#This Row],[коэф]])))))))))))))),
(IF((G270="5/24"),((база!$M$6*2*Таблица1[[#This Row],[Столбец1]]*Таблица1[[#This Row],[коэф]])),
IF(OR(G270="4/24",G270="3/24"),((база!$M$5*2*Таблица1[[#This Row],[Столбец1]]*Таблица1[[#This Row],[коэф]])),
IF((G270="5/16"),((база!$L$6*2*Таблица1[[#This Row],[Столбец1]]*Таблица1[[#This Row],[коэф]])),
IF(OR(G270="4/16",G270="3/16"),((база!$L$5*2*Таблица1[[#This Row],[Столбец1]]*Таблица1[[#This Row],[коэф]])),
IF(OR(G270="2/4",G270="3/4",G270="4/4"),((база!$I$5*2*Таблица1[[#This Row],[Столбец1]]*Таблица1[[#This Row],[коэф]])),
IF((G270="5/8"),((база!$J$6*2*Таблица1[[#This Row],[Столбец1]]*Таблица1[[#This Row],[коэф]])),
IF(OR(G270="4/8",G270="3/8",G270="2/8"),((база!$J$5*2*Таблица1[[#This Row],[Столбец1]]*Таблица1[[#This Row],[коэф]])))))))))))</f>
        <v>0</v>
      </c>
      <c r="AQ270" s="712" t="str">
        <f>IFERROR(INDEX(база!T:T, MATCH(F270,база!Q:Q,0)),"")</f>
        <v/>
      </c>
      <c r="AR270" s="208" t="str">
        <f>IFERROR(INDEX(база!D:D, MATCH(F270,база!B:B,0)),"")</f>
        <v/>
      </c>
      <c r="AS270" s="758" t="str">
        <f>IFERROR(INDEX(база!E:E, MATCH(F270,база!B:B,0)),"")</f>
        <v/>
      </c>
    </row>
    <row r="271" spans="1:45" ht="15">
      <c r="A271" s="66" t="str">
        <f t="shared" si="4"/>
        <v>январь</v>
      </c>
      <c r="B271" s="231">
        <v>2024</v>
      </c>
      <c r="C271" s="60"/>
      <c r="D271" s="61"/>
      <c r="E271" s="211"/>
      <c r="F271" s="680"/>
      <c r="G271" s="47"/>
      <c r="H271" s="563"/>
      <c r="I271" s="563"/>
      <c r="J271" s="563"/>
      <c r="K271" s="563"/>
      <c r="L271" s="563"/>
      <c r="M271" s="563"/>
      <c r="N271" s="563"/>
      <c r="O271" s="563"/>
      <c r="P271" s="300"/>
      <c r="Q271" s="563"/>
      <c r="R271" s="563"/>
      <c r="S271" s="563"/>
      <c r="T271" s="563"/>
      <c r="U271" s="563"/>
      <c r="V271" s="563"/>
      <c r="W271" s="563"/>
      <c r="X271" s="563"/>
      <c r="Y271" s="563"/>
      <c r="Z271" s="563"/>
      <c r="AA271" s="563"/>
      <c r="AB271" s="563"/>
      <c r="AC271" s="563"/>
      <c r="AD271" s="48"/>
      <c r="AE271" s="48"/>
      <c r="AF271" s="258"/>
      <c r="AG271" s="48"/>
      <c r="AH271" s="48"/>
      <c r="AI271" s="258"/>
      <c r="AJ271" s="258"/>
      <c r="AK271" s="258"/>
      <c r="AL271" s="258"/>
      <c r="AM271" s="212">
        <f>IF(AQ271=1,SUM(Q271:T271,W271:Z271,AC271:AF271,AI271:AL271),
IF(AQ271=2,SUM(P271,S271:V271,Y271:AB271,AE271:AH271,AK271:AL271),
IF(AQ271=3,SUM(P271:R271,U271:X271,AA271:AD271,AG271:AJ271),SUM(Таблица1[[#This Row],[1]:[31]])-Таблица1[[#This Row],[Столбец1]])))</f>
        <v>0</v>
      </c>
      <c r="AN271" s="778">
        <f t="array" ref="AN271">IF(AQ271=1,SUM(P271,U271:V271,AA271:AB271,AG271:AH271),
IF(AQ271=2,SUM(Q271:R271,W271:X271,AC271:AD271,AI271:AJ271),
IF(AQ271=3,SUM(S271:T271,Y271:Z271,AE271:AF271,AK271:AL271),
SUM(IFERROR(WEEKDAY($H$2:$AL$2,2)&gt;5,)*H271:AL271))))+Таблица1[[#This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71" s="292" t="b">
        <f>IF(AR271&lt;=3,(IF((G271="5/24"),((база!$M$6*Таблица1[[#This Row],[сумма]]*Таблица1[[#This Row],[коэф]])),
IF((G271="4/24"),((база!$M$5*Таблица1[[#This Row],[сумма]]*Таблица1[[#This Row],[коэф]])),
IF((G271="3/24"),((база!$M$4*Таблица1[[#This Row],[сумма]]*Таблица1[[#This Row],[коэф]])),
IF((G271="5/16"),((база!$L$6*Таблица1[[#This Row],[сумма]]*Таблица1[[#This Row],[коэф]])),
IF((G271="4/16"),((база!$L$5*Таблица1[[#This Row],[сумма]]*Таблица1[[#This Row],[коэф]])),
IF((G271="3/16"),((база!$L$4*Таблица1[[#This Row],[сумма]]*Таблица1[[#This Row],[коэф]])),
IF((G271="4/4"),((база!$I$5*Таблица1[[#This Row],[сумма]]*Таблица1[[#This Row],[коэф]])),
IF(OR(G271="2/4",G271="3/4"),((база!$I$4*Таблица1[[#This Row],[сумма]]*Таблица1[[#This Row],[коэф]])),
IF((G271="5/8"),((база!$J$6*Таблица1[[#This Row],[сумма]]*Таблица1[[#This Row],[коэф]])),
IF((G271="4/8"),((база!$J$5*Таблица1[[#This Row],[сумма]]*Таблица1[[#This Row],[коэф]])),
IF(OR(G271="3/8",G271="2/8"),((база!$J$4*Таблица1[[#This Row],[сумма]]*Таблица1[[#This Row],[коэф]])))))))))))))),
(IF((G271="5/24"),((база!$M$6*Таблица1[[#This Row],[сумма]]*Таблица1[[#This Row],[коэф]])),
IF(OR(G271="4/24",G271="3/24"),((база!$M$5*Таблица1[[#This Row],[сумма]]*Таблица1[[#This Row],[коэф]])),
IF((G271="5/16"),((база!$L$6*Таблица1[[#This Row],[сумма]]*Таблица1[[#This Row],[коэф]])),
IF(OR(G271="4/16",G271="3/16"),((база!$L$5*Таблица1[[#This Row],[сумма]]*Таблица1[[#This Row],[коэф]])),
IF(OR(G271="2/4",G271="3/4",G271="4/4"),((база!$I$5*Таблица1[[#This Row],[сумма]]*Таблица1[[#This Row],[коэф]])),
IF((G271="5/8"),((база!$J$6*Таблица1[[#This Row],[сумма]]*Таблица1[[#This Row],[коэф]])),
IF(OR(G271="4/8",G271="3/8",G271="2/8"),((база!$J$5*Таблица1[[#This Row],[сумма]]*Таблица1[[#This Row],[коэф]])))))))))))</f>
        <v>0</v>
      </c>
      <c r="AP271" s="730" t="b">
        <f>IF(AR271&lt;=3,(IF((G271="5/24"),((база!$M$6*2*Таблица1[[#This Row],[Столбец1]]*Таблица1[[#This Row],[коэф]])),
IF((G271="4/24"),((база!$M$5*2*Таблица1[[#This Row],[Столбец1]]*Таблица1[[#This Row],[коэф]])),
IF((G271="3/24"),((база!$M$4*2*Таблица1[[#This Row],[Столбец1]]*Таблица1[[#This Row],[коэф]])),
IF((G271="5/16"),((база!$L$6*2*Таблица1[[#This Row],[Столбец1]]*Таблица1[[#This Row],[коэф]])),
IF((G271="4/16"),((база!$L$5*2*Таблица1[[#This Row],[Столбец1]]*Таблица1[[#This Row],[коэф]])),
IF((G271="3/16"),((база!$L$4*2*Таблица1[[#This Row],[Столбец1]]*Таблица1[[#This Row],[коэф]])),
IF((G271="4/4"),((база!$I$5*2*Таблица1[[#This Row],[Столбец1]]*Таблица1[[#This Row],[коэф]])),
IF(OR(G271="2/4",G271="3/4"),((база!$I$4*2*Таблица1[[#This Row],[Столбец1]]*Таблица1[[#This Row],[коэф]])),
IF((G271="5/8"),((база!$J$6*2*Таблица1[[#This Row],[Столбец1]]*Таблица1[[#This Row],[коэф]])),
IF((G271="4/8"),((база!$J$5*2*Таблица1[[#This Row],[Столбец1]]*Таблица1[[#This Row],[коэф]])),
IF(OR(G271="3/8",G271="2/8"),((база!$J$4*2*Таблица1[[#This Row],[Столбец1]]*Таблица1[[#This Row],[коэф]])))))))))))))),
(IF((G271="5/24"),((база!$M$6*2*Таблица1[[#This Row],[Столбец1]]*Таблица1[[#This Row],[коэф]])),
IF(OR(G271="4/24",G271="3/24"),((база!$M$5*2*Таблица1[[#This Row],[Столбец1]]*Таблица1[[#This Row],[коэф]])),
IF((G271="5/16"),((база!$L$6*2*Таблица1[[#This Row],[Столбец1]]*Таблица1[[#This Row],[коэф]])),
IF(OR(G271="4/16",G271="3/16"),((база!$L$5*2*Таблица1[[#This Row],[Столбец1]]*Таблица1[[#This Row],[коэф]])),
IF(OR(G271="2/4",G271="3/4",G271="4/4"),((база!$I$5*2*Таблица1[[#This Row],[Столбец1]]*Таблица1[[#This Row],[коэф]])),
IF((G271="5/8"),((база!$J$6*2*Таблица1[[#This Row],[Столбец1]]*Таблица1[[#This Row],[коэф]])),
IF(OR(G271="4/8",G271="3/8",G271="2/8"),((база!$J$5*2*Таблица1[[#This Row],[Столбец1]]*Таблица1[[#This Row],[коэф]])))))))))))</f>
        <v>0</v>
      </c>
      <c r="AQ271" s="712" t="str">
        <f>IFERROR(INDEX(база!T:T, MATCH(F271,база!Q:Q,0)),"")</f>
        <v/>
      </c>
      <c r="AR271" s="208" t="str">
        <f>IFERROR(INDEX(база!D:D, MATCH(F271,база!B:B,0)),"")</f>
        <v/>
      </c>
      <c r="AS271" s="758" t="str">
        <f>IFERROR(INDEX(база!E:E, MATCH(F271,база!B:B,0)),"")</f>
        <v/>
      </c>
    </row>
    <row r="272" spans="1:45" ht="15">
      <c r="A272" s="66" t="str">
        <f t="shared" si="4"/>
        <v>январь</v>
      </c>
      <c r="B272" s="231">
        <v>2024</v>
      </c>
      <c r="C272" s="299"/>
      <c r="D272" s="61"/>
      <c r="E272" s="211"/>
      <c r="F272" s="680"/>
      <c r="G272" s="47"/>
      <c r="H272" s="563"/>
      <c r="I272" s="563"/>
      <c r="J272" s="563"/>
      <c r="K272" s="563"/>
      <c r="L272" s="563"/>
      <c r="M272" s="563"/>
      <c r="N272" s="563"/>
      <c r="O272" s="563"/>
      <c r="P272" s="300"/>
      <c r="Q272" s="563"/>
      <c r="R272" s="563"/>
      <c r="S272" s="563"/>
      <c r="T272" s="563"/>
      <c r="U272" s="563"/>
      <c r="V272" s="563"/>
      <c r="W272" s="563"/>
      <c r="X272" s="563"/>
      <c r="Y272" s="563"/>
      <c r="Z272" s="563"/>
      <c r="AA272" s="563"/>
      <c r="AB272" s="563"/>
      <c r="AC272" s="563"/>
      <c r="AD272" s="48"/>
      <c r="AE272" s="48"/>
      <c r="AF272" s="258"/>
      <c r="AG272" s="48"/>
      <c r="AH272" s="48"/>
      <c r="AI272" s="48"/>
      <c r="AJ272" s="48"/>
      <c r="AK272" s="48"/>
      <c r="AL272" s="51"/>
      <c r="AM272" s="212">
        <f>IF(AQ272=1,SUM(Q272:T272,W272:Z272,AC272:AF272,AI272:AL272),
IF(AQ272=2,SUM(P272,S272:V272,Y272:AB272,AE272:AH272,AK272:AL272),
IF(AQ272=3,SUM(P272:R272,U272:X272,AA272:AD272,AG272:AJ272),SUM(Таблица1[[#This Row],[1]:[31]])-Таблица1[[#This Row],[Столбец1]])))</f>
        <v>0</v>
      </c>
      <c r="AN272" s="778">
        <f t="array" ref="AN272">IF(AQ272=1,SUM(P272,U272:V272,AA272:AB272,AG272:AH272),
IF(AQ272=2,SUM(Q272:R272,W272:X272,AC272:AD272,AI272:AJ272),
IF(AQ272=3,SUM(S272:T272,Y272:Z272,AE272:AF272,AK272:AL272),
SUM(IFERROR(WEEKDAY($H$2:$AL$2,2)&gt;5,)*H272:AL272))))+Таблица1[[#This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72" s="292" t="b">
        <f>IF(AR272&lt;=3,(IF((G272="5/24"),((база!$M$6*Таблица1[[#This Row],[сумма]]*Таблица1[[#This Row],[коэф]])),
IF((G272="4/24"),((база!$M$5*Таблица1[[#This Row],[сумма]]*Таблица1[[#This Row],[коэф]])),
IF((G272="3/24"),((база!$M$4*Таблица1[[#This Row],[сумма]]*Таблица1[[#This Row],[коэф]])),
IF((G272="5/16"),((база!$L$6*Таблица1[[#This Row],[сумма]]*Таблица1[[#This Row],[коэф]])),
IF((G272="4/16"),((база!$L$5*Таблица1[[#This Row],[сумма]]*Таблица1[[#This Row],[коэф]])),
IF((G272="3/16"),((база!$L$4*Таблица1[[#This Row],[сумма]]*Таблица1[[#This Row],[коэф]])),
IF((G272="4/4"),((база!$I$5*Таблица1[[#This Row],[сумма]]*Таблица1[[#This Row],[коэф]])),
IF(OR(G272="2/4",G272="3/4"),((база!$I$4*Таблица1[[#This Row],[сумма]]*Таблица1[[#This Row],[коэф]])),
IF((G272="5/8"),((база!$J$6*Таблица1[[#This Row],[сумма]]*Таблица1[[#This Row],[коэф]])),
IF((G272="4/8"),((база!$J$5*Таблица1[[#This Row],[сумма]]*Таблица1[[#This Row],[коэф]])),
IF(OR(G272="3/8",G272="2/8"),((база!$J$4*Таблица1[[#This Row],[сумма]]*Таблица1[[#This Row],[коэф]])))))))))))))),
(IF((G272="5/24"),((база!$M$6*Таблица1[[#This Row],[сумма]]*Таблица1[[#This Row],[коэф]])),
IF(OR(G272="4/24",G272="3/24"),((база!$M$5*Таблица1[[#This Row],[сумма]]*Таблица1[[#This Row],[коэф]])),
IF((G272="5/16"),((база!$L$6*Таблица1[[#This Row],[сумма]]*Таблица1[[#This Row],[коэф]])),
IF(OR(G272="4/16",G272="3/16"),((база!$L$5*Таблица1[[#This Row],[сумма]]*Таблица1[[#This Row],[коэф]])),
IF(OR(G272="2/4",G272="3/4",G272="4/4"),((база!$I$5*Таблица1[[#This Row],[сумма]]*Таблица1[[#This Row],[коэф]])),
IF((G272="5/8"),((база!$J$6*Таблица1[[#This Row],[сумма]]*Таблица1[[#This Row],[коэф]])),
IF(OR(G272="4/8",G272="3/8",G272="2/8"),((база!$J$5*Таблица1[[#This Row],[сумма]]*Таблица1[[#This Row],[коэф]])))))))))))</f>
        <v>0</v>
      </c>
      <c r="AP272" s="730" t="b">
        <f>IF(AR272&lt;=3,(IF((G272="5/24"),((база!$M$6*2*Таблица1[[#This Row],[Столбец1]]*Таблица1[[#This Row],[коэф]])),
IF((G272="4/24"),((база!$M$5*2*Таблица1[[#This Row],[Столбец1]]*Таблица1[[#This Row],[коэф]])),
IF((G272="3/24"),((база!$M$4*2*Таблица1[[#This Row],[Столбец1]]*Таблица1[[#This Row],[коэф]])),
IF((G272="5/16"),((база!$L$6*2*Таблица1[[#This Row],[Столбец1]]*Таблица1[[#This Row],[коэф]])),
IF((G272="4/16"),((база!$L$5*2*Таблица1[[#This Row],[Столбец1]]*Таблица1[[#This Row],[коэф]])),
IF((G272="3/16"),((база!$L$4*2*Таблица1[[#This Row],[Столбец1]]*Таблица1[[#This Row],[коэф]])),
IF((G272="4/4"),((база!$I$5*2*Таблица1[[#This Row],[Столбец1]]*Таблица1[[#This Row],[коэф]])),
IF(OR(G272="2/4",G272="3/4"),((база!$I$4*2*Таблица1[[#This Row],[Столбец1]]*Таблица1[[#This Row],[коэф]])),
IF((G272="5/8"),((база!$J$6*2*Таблица1[[#This Row],[Столбец1]]*Таблица1[[#This Row],[коэф]])),
IF((G272="4/8"),((база!$J$5*2*Таблица1[[#This Row],[Столбец1]]*Таблица1[[#This Row],[коэф]])),
IF(OR(G272="3/8",G272="2/8"),((база!$J$4*2*Таблица1[[#This Row],[Столбец1]]*Таблица1[[#This Row],[коэф]])))))))))))))),
(IF((G272="5/24"),((база!$M$6*2*Таблица1[[#This Row],[Столбец1]]*Таблица1[[#This Row],[коэф]])),
IF(OR(G272="4/24",G272="3/24"),((база!$M$5*2*Таблица1[[#This Row],[Столбец1]]*Таблица1[[#This Row],[коэф]])),
IF((G272="5/16"),((база!$L$6*2*Таблица1[[#This Row],[Столбец1]]*Таблица1[[#This Row],[коэф]])),
IF(OR(G272="4/16",G272="3/16"),((база!$L$5*2*Таблица1[[#This Row],[Столбец1]]*Таблица1[[#This Row],[коэф]])),
IF(OR(G272="2/4",G272="3/4",G272="4/4"),((база!$I$5*2*Таблица1[[#This Row],[Столбец1]]*Таблица1[[#This Row],[коэф]])),
IF((G272="5/8"),((база!$J$6*2*Таблица1[[#This Row],[Столбец1]]*Таблица1[[#This Row],[коэф]])),
IF(OR(G272="4/8",G272="3/8",G272="2/8"),((база!$J$5*2*Таблица1[[#This Row],[Столбец1]]*Таблица1[[#This Row],[коэф]])))))))))))</f>
        <v>0</v>
      </c>
      <c r="AQ272" s="712" t="str">
        <f>IFERROR(INDEX(база!T:T, MATCH(F272,база!Q:Q,0)),"")</f>
        <v/>
      </c>
      <c r="AR272" s="208" t="str">
        <f>IFERROR(INDEX(база!D:D, MATCH(F272,база!B:B,0)),"")</f>
        <v/>
      </c>
      <c r="AS272" s="758" t="str">
        <f>IFERROR(INDEX(база!E:E, MATCH(F272,база!B:B,0)),"")</f>
        <v/>
      </c>
    </row>
    <row r="273" spans="1:45" ht="15">
      <c r="A273" s="66" t="str">
        <f t="shared" si="4"/>
        <v>январь</v>
      </c>
      <c r="B273" s="231">
        <v>2024</v>
      </c>
      <c r="C273" s="299"/>
      <c r="D273" s="61"/>
      <c r="E273" s="211"/>
      <c r="F273" s="680"/>
      <c r="G273" s="47"/>
      <c r="H273" s="563"/>
      <c r="I273" s="563"/>
      <c r="J273" s="563"/>
      <c r="K273" s="563"/>
      <c r="L273" s="563"/>
      <c r="M273" s="563"/>
      <c r="N273" s="563"/>
      <c r="O273" s="563"/>
      <c r="P273" s="300"/>
      <c r="Q273" s="563"/>
      <c r="R273" s="563"/>
      <c r="S273" s="563"/>
      <c r="T273" s="563"/>
      <c r="U273" s="563"/>
      <c r="V273" s="563"/>
      <c r="W273" s="563"/>
      <c r="X273" s="563"/>
      <c r="Y273" s="563"/>
      <c r="Z273" s="563"/>
      <c r="AA273" s="563"/>
      <c r="AB273" s="563"/>
      <c r="AC273" s="563"/>
      <c r="AD273" s="48"/>
      <c r="AE273" s="48"/>
      <c r="AF273" s="258"/>
      <c r="AG273" s="48"/>
      <c r="AH273" s="48"/>
      <c r="AI273" s="258"/>
      <c r="AJ273" s="258"/>
      <c r="AK273" s="258"/>
      <c r="AL273" s="258"/>
      <c r="AM273" s="212">
        <f>IF(AQ273=1,SUM(Q273:T273,W273:Z273,AC273:AF273,AI273:AL273),
IF(AQ273=2,SUM(P273,S273:V273,Y273:AB273,AE273:AH273,AK273:AL273),
IF(AQ273=3,SUM(P273:R273,U273:X273,AA273:AD273,AG273:AJ273),SUM(Таблица1[[#This Row],[1]:[31]])-Таблица1[[#This Row],[Столбец1]])))</f>
        <v>0</v>
      </c>
      <c r="AN273" s="778">
        <f t="array" ref="AN273">IF(AQ273=1,SUM(P273,U273:V273,AA273:AB273,AG273:AH273),
IF(AQ273=2,SUM(Q273:R273,W273:X273,AC273:AD273,AI273:AJ273),
IF(AQ273=3,SUM(S273:T273,Y273:Z273,AE273:AF273,AK273:AL273),
SUM(IFERROR(WEEKDAY($H$2:$AL$2,2)&gt;5,)*H273:AL273))))+Таблица1[[#This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73" s="292" t="b">
        <f>IF(AR273&lt;=3,(IF((G273="5/24"),((база!$M$6*Таблица1[[#This Row],[сумма]]*Таблица1[[#This Row],[коэф]])),
IF((G273="4/24"),((база!$M$5*Таблица1[[#This Row],[сумма]]*Таблица1[[#This Row],[коэф]])),
IF((G273="3/24"),((база!$M$4*Таблица1[[#This Row],[сумма]]*Таблица1[[#This Row],[коэф]])),
IF((G273="5/16"),((база!$L$6*Таблица1[[#This Row],[сумма]]*Таблица1[[#This Row],[коэф]])),
IF((G273="4/16"),((база!$L$5*Таблица1[[#This Row],[сумма]]*Таблица1[[#This Row],[коэф]])),
IF((G273="3/16"),((база!$L$4*Таблица1[[#This Row],[сумма]]*Таблица1[[#This Row],[коэф]])),
IF((G273="4/4"),((база!$I$5*Таблица1[[#This Row],[сумма]]*Таблица1[[#This Row],[коэф]])),
IF(OR(G273="2/4",G273="3/4"),((база!$I$4*Таблица1[[#This Row],[сумма]]*Таблица1[[#This Row],[коэф]])),
IF((G273="5/8"),((база!$J$6*Таблица1[[#This Row],[сумма]]*Таблица1[[#This Row],[коэф]])),
IF((G273="4/8"),((база!$J$5*Таблица1[[#This Row],[сумма]]*Таблица1[[#This Row],[коэф]])),
IF(OR(G273="3/8",G273="2/8"),((база!$J$4*Таблица1[[#This Row],[сумма]]*Таблица1[[#This Row],[коэф]])))))))))))))),
(IF((G273="5/24"),((база!$M$6*Таблица1[[#This Row],[сумма]]*Таблица1[[#This Row],[коэф]])),
IF(OR(G273="4/24",G273="3/24"),((база!$M$5*Таблица1[[#This Row],[сумма]]*Таблица1[[#This Row],[коэф]])),
IF((G273="5/16"),((база!$L$6*Таблица1[[#This Row],[сумма]]*Таблица1[[#This Row],[коэф]])),
IF(OR(G273="4/16",G273="3/16"),((база!$L$5*Таблица1[[#This Row],[сумма]]*Таблица1[[#This Row],[коэф]])),
IF(OR(G273="2/4",G273="3/4",G273="4/4"),((база!$I$5*Таблица1[[#This Row],[сумма]]*Таблица1[[#This Row],[коэф]])),
IF((G273="5/8"),((база!$J$6*Таблица1[[#This Row],[сумма]]*Таблица1[[#This Row],[коэф]])),
IF(OR(G273="4/8",G273="3/8",G273="2/8"),((база!$J$5*Таблица1[[#This Row],[сумма]]*Таблица1[[#This Row],[коэф]])))))))))))</f>
        <v>0</v>
      </c>
      <c r="AP273" s="730" t="b">
        <f>IF(AR273&lt;=3,(IF((G273="5/24"),((база!$M$6*2*Таблица1[[#This Row],[Столбец1]]*Таблица1[[#This Row],[коэф]])),
IF((G273="4/24"),((база!$M$5*2*Таблица1[[#This Row],[Столбец1]]*Таблица1[[#This Row],[коэф]])),
IF((G273="3/24"),((база!$M$4*2*Таблица1[[#This Row],[Столбец1]]*Таблица1[[#This Row],[коэф]])),
IF((G273="5/16"),((база!$L$6*2*Таблица1[[#This Row],[Столбец1]]*Таблица1[[#This Row],[коэф]])),
IF((G273="4/16"),((база!$L$5*2*Таблица1[[#This Row],[Столбец1]]*Таблица1[[#This Row],[коэф]])),
IF((G273="3/16"),((база!$L$4*2*Таблица1[[#This Row],[Столбец1]]*Таблица1[[#This Row],[коэф]])),
IF((G273="4/4"),((база!$I$5*2*Таблица1[[#This Row],[Столбец1]]*Таблица1[[#This Row],[коэф]])),
IF(OR(G273="2/4",G273="3/4"),((база!$I$4*2*Таблица1[[#This Row],[Столбец1]]*Таблица1[[#This Row],[коэф]])),
IF((G273="5/8"),((база!$J$6*2*Таблица1[[#This Row],[Столбец1]]*Таблица1[[#This Row],[коэф]])),
IF((G273="4/8"),((база!$J$5*2*Таблица1[[#This Row],[Столбец1]]*Таблица1[[#This Row],[коэф]])),
IF(OR(G273="3/8",G273="2/8"),((база!$J$4*2*Таблица1[[#This Row],[Столбец1]]*Таблица1[[#This Row],[коэф]])))))))))))))),
(IF((G273="5/24"),((база!$M$6*2*Таблица1[[#This Row],[Столбец1]]*Таблица1[[#This Row],[коэф]])),
IF(OR(G273="4/24",G273="3/24"),((база!$M$5*2*Таблица1[[#This Row],[Столбец1]]*Таблица1[[#This Row],[коэф]])),
IF((G273="5/16"),((база!$L$6*2*Таблица1[[#This Row],[Столбец1]]*Таблица1[[#This Row],[коэф]])),
IF(OR(G273="4/16",G273="3/16"),((база!$L$5*2*Таблица1[[#This Row],[Столбец1]]*Таблица1[[#This Row],[коэф]])),
IF(OR(G273="2/4",G273="3/4",G273="4/4"),((база!$I$5*2*Таблица1[[#This Row],[Столбец1]]*Таблица1[[#This Row],[коэф]])),
IF((G273="5/8"),((база!$J$6*2*Таблица1[[#This Row],[Столбец1]]*Таблица1[[#This Row],[коэф]])),
IF(OR(G273="4/8",G273="3/8",G273="2/8"),((база!$J$5*2*Таблица1[[#This Row],[Столбец1]]*Таблица1[[#This Row],[коэф]])))))))))))</f>
        <v>0</v>
      </c>
      <c r="AQ273" s="712" t="str">
        <f>IFERROR(INDEX(база!T:T, MATCH(F273,база!Q:Q,0)),"")</f>
        <v/>
      </c>
      <c r="AR273" s="208" t="str">
        <f>IFERROR(INDEX(база!D:D, MATCH(F273,база!B:B,0)),"")</f>
        <v/>
      </c>
      <c r="AS273" s="758" t="str">
        <f>IFERROR(INDEX(база!E:E, MATCH(F273,база!B:B,0)),"")</f>
        <v/>
      </c>
    </row>
    <row r="274" spans="1:45" ht="15">
      <c r="A274" s="66" t="str">
        <f t="shared" si="4"/>
        <v>январь</v>
      </c>
      <c r="B274" s="231">
        <v>2024</v>
      </c>
      <c r="C274" s="299"/>
      <c r="D274" s="61"/>
      <c r="E274" s="211"/>
      <c r="F274" s="680"/>
      <c r="G274" s="47"/>
      <c r="H274" s="563"/>
      <c r="I274" s="563"/>
      <c r="J274" s="563"/>
      <c r="K274" s="563"/>
      <c r="L274" s="563"/>
      <c r="M274" s="563"/>
      <c r="N274" s="563"/>
      <c r="O274" s="563"/>
      <c r="P274" s="300"/>
      <c r="Q274" s="563"/>
      <c r="R274" s="563"/>
      <c r="S274" s="563"/>
      <c r="T274" s="563"/>
      <c r="U274" s="563"/>
      <c r="V274" s="563"/>
      <c r="W274" s="563"/>
      <c r="X274" s="563"/>
      <c r="Y274" s="563"/>
      <c r="Z274" s="563"/>
      <c r="AA274" s="563"/>
      <c r="AB274" s="563"/>
      <c r="AC274" s="563"/>
      <c r="AD274" s="48"/>
      <c r="AE274" s="48"/>
      <c r="AF274" s="258"/>
      <c r="AG274" s="48"/>
      <c r="AH274" s="48"/>
      <c r="AI274" s="48"/>
      <c r="AJ274" s="48"/>
      <c r="AK274" s="48"/>
      <c r="AL274" s="51"/>
      <c r="AM274" s="212">
        <f>IF(AQ274=1,SUM(Q274:T274,W274:Z274,AC274:AF274,AI274:AL274),
IF(AQ274=2,SUM(P274,S274:V274,Y274:AB274,AE274:AH274,AK274:AL274),
IF(AQ274=3,SUM(P274:R274,U274:X274,AA274:AD274,AG274:AJ274),SUM(Таблица1[[#This Row],[1]:[31]])-Таблица1[[#This Row],[Столбец1]])))</f>
        <v>0</v>
      </c>
      <c r="AN274" s="778">
        <f t="array" ref="AN274">IF(AQ274=1,SUM(P274,U274:V274,AA274:AB274,AG274:AH274),
IF(AQ274=2,SUM(Q274:R274,W274:X274,AC274:AD274,AI274:AJ274),
IF(AQ274=3,SUM(S274:T274,Y274:Z274,AE274:AF274,AK274:AL274),
SUM(IFERROR(WEEKDAY($H$2:$AL$2,2)&gt;5,)*H274:AL274))))+Таблица1[[#This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74" s="292" t="b">
        <f>IF(AR274&lt;=3,(IF((G274="5/24"),((база!$M$6*Таблица1[[#This Row],[сумма]]*Таблица1[[#This Row],[коэф]])),
IF((G274="4/24"),((база!$M$5*Таблица1[[#This Row],[сумма]]*Таблица1[[#This Row],[коэф]])),
IF((G274="3/24"),((база!$M$4*Таблица1[[#This Row],[сумма]]*Таблица1[[#This Row],[коэф]])),
IF((G274="5/16"),((база!$L$6*Таблица1[[#This Row],[сумма]]*Таблица1[[#This Row],[коэф]])),
IF((G274="4/16"),((база!$L$5*Таблица1[[#This Row],[сумма]]*Таблица1[[#This Row],[коэф]])),
IF((G274="3/16"),((база!$L$4*Таблица1[[#This Row],[сумма]]*Таблица1[[#This Row],[коэф]])),
IF((G274="4/4"),((база!$I$5*Таблица1[[#This Row],[сумма]]*Таблица1[[#This Row],[коэф]])),
IF(OR(G274="2/4",G274="3/4"),((база!$I$4*Таблица1[[#This Row],[сумма]]*Таблица1[[#This Row],[коэф]])),
IF((G274="5/8"),((база!$J$6*Таблица1[[#This Row],[сумма]]*Таблица1[[#This Row],[коэф]])),
IF((G274="4/8"),((база!$J$5*Таблица1[[#This Row],[сумма]]*Таблица1[[#This Row],[коэф]])),
IF(OR(G274="3/8",G274="2/8"),((база!$J$4*Таблица1[[#This Row],[сумма]]*Таблица1[[#This Row],[коэф]])))))))))))))),
(IF((G274="5/24"),((база!$M$6*Таблица1[[#This Row],[сумма]]*Таблица1[[#This Row],[коэф]])),
IF(OR(G274="4/24",G274="3/24"),((база!$M$5*Таблица1[[#This Row],[сумма]]*Таблица1[[#This Row],[коэф]])),
IF((G274="5/16"),((база!$L$6*Таблица1[[#This Row],[сумма]]*Таблица1[[#This Row],[коэф]])),
IF(OR(G274="4/16",G274="3/16"),((база!$L$5*Таблица1[[#This Row],[сумма]]*Таблица1[[#This Row],[коэф]])),
IF(OR(G274="2/4",G274="3/4",G274="4/4"),((база!$I$5*Таблица1[[#This Row],[сумма]]*Таблица1[[#This Row],[коэф]])),
IF((G274="5/8"),((база!$J$6*Таблица1[[#This Row],[сумма]]*Таблица1[[#This Row],[коэф]])),
IF(OR(G274="4/8",G274="3/8",G274="2/8"),((база!$J$5*Таблица1[[#This Row],[сумма]]*Таблица1[[#This Row],[коэф]])))))))))))</f>
        <v>0</v>
      </c>
      <c r="AP274" s="730" t="b">
        <f>IF(AR274&lt;=3,(IF((G274="5/24"),((база!$M$6*2*Таблица1[[#This Row],[Столбец1]]*Таблица1[[#This Row],[коэф]])),
IF((G274="4/24"),((база!$M$5*2*Таблица1[[#This Row],[Столбец1]]*Таблица1[[#This Row],[коэф]])),
IF((G274="3/24"),((база!$M$4*2*Таблица1[[#This Row],[Столбец1]]*Таблица1[[#This Row],[коэф]])),
IF((G274="5/16"),((база!$L$6*2*Таблица1[[#This Row],[Столбец1]]*Таблица1[[#This Row],[коэф]])),
IF((G274="4/16"),((база!$L$5*2*Таблица1[[#This Row],[Столбец1]]*Таблица1[[#This Row],[коэф]])),
IF((G274="3/16"),((база!$L$4*2*Таблица1[[#This Row],[Столбец1]]*Таблица1[[#This Row],[коэф]])),
IF((G274="4/4"),((база!$I$5*2*Таблица1[[#This Row],[Столбец1]]*Таблица1[[#This Row],[коэф]])),
IF(OR(G274="2/4",G274="3/4"),((база!$I$4*2*Таблица1[[#This Row],[Столбец1]]*Таблица1[[#This Row],[коэф]])),
IF((G274="5/8"),((база!$J$6*2*Таблица1[[#This Row],[Столбец1]]*Таблица1[[#This Row],[коэф]])),
IF((G274="4/8"),((база!$J$5*2*Таблица1[[#This Row],[Столбец1]]*Таблица1[[#This Row],[коэф]])),
IF(OR(G274="3/8",G274="2/8"),((база!$J$4*2*Таблица1[[#This Row],[Столбец1]]*Таблица1[[#This Row],[коэф]])))))))))))))),
(IF((G274="5/24"),((база!$M$6*2*Таблица1[[#This Row],[Столбец1]]*Таблица1[[#This Row],[коэф]])),
IF(OR(G274="4/24",G274="3/24"),((база!$M$5*2*Таблица1[[#This Row],[Столбец1]]*Таблица1[[#This Row],[коэф]])),
IF((G274="5/16"),((база!$L$6*2*Таблица1[[#This Row],[Столбец1]]*Таблица1[[#This Row],[коэф]])),
IF(OR(G274="4/16",G274="3/16"),((база!$L$5*2*Таблица1[[#This Row],[Столбец1]]*Таблица1[[#This Row],[коэф]])),
IF(OR(G274="2/4",G274="3/4",G274="4/4"),((база!$I$5*2*Таблица1[[#This Row],[Столбец1]]*Таблица1[[#This Row],[коэф]])),
IF((G274="5/8"),((база!$J$6*2*Таблица1[[#This Row],[Столбец1]]*Таблица1[[#This Row],[коэф]])),
IF(OR(G274="4/8",G274="3/8",G274="2/8"),((база!$J$5*2*Таблица1[[#This Row],[Столбец1]]*Таблица1[[#This Row],[коэф]])))))))))))</f>
        <v>0</v>
      </c>
      <c r="AQ274" s="712" t="str">
        <f>IFERROR(INDEX(база!T:T, MATCH(F274,база!Q:Q,0)),"")</f>
        <v/>
      </c>
      <c r="AR274" s="208" t="str">
        <f>IFERROR(INDEX(база!D:D, MATCH(F274,база!B:B,0)),"")</f>
        <v/>
      </c>
      <c r="AS274" s="758" t="str">
        <f>IFERROR(INDEX(база!E:E, MATCH(F274,база!B:B,0)),"")</f>
        <v/>
      </c>
    </row>
    <row r="275" spans="1:45" ht="15">
      <c r="A275" s="66" t="str">
        <f t="shared" si="4"/>
        <v>январь</v>
      </c>
      <c r="B275" s="231">
        <v>2024</v>
      </c>
      <c r="C275" s="299"/>
      <c r="D275" s="61"/>
      <c r="E275" s="211"/>
      <c r="F275" s="680"/>
      <c r="G275" s="47"/>
      <c r="H275" s="563"/>
      <c r="I275" s="563"/>
      <c r="J275" s="563"/>
      <c r="K275" s="563"/>
      <c r="L275" s="563"/>
      <c r="M275" s="563"/>
      <c r="N275" s="563"/>
      <c r="O275" s="563"/>
      <c r="P275" s="563"/>
      <c r="Q275" s="563"/>
      <c r="R275" s="563"/>
      <c r="S275" s="563"/>
      <c r="T275" s="563"/>
      <c r="U275" s="563"/>
      <c r="V275" s="563"/>
      <c r="W275" s="563"/>
      <c r="X275" s="563"/>
      <c r="Y275" s="563"/>
      <c r="Z275" s="563"/>
      <c r="AA275" s="563"/>
      <c r="AB275" s="563"/>
      <c r="AC275" s="563"/>
      <c r="AD275" s="563"/>
      <c r="AE275" s="563"/>
      <c r="AF275" s="563"/>
      <c r="AG275" s="563"/>
      <c r="AH275" s="563"/>
      <c r="AI275" s="563"/>
      <c r="AJ275" s="563"/>
      <c r="AK275" s="258"/>
      <c r="AL275" s="258"/>
      <c r="AM275" s="212">
        <f>IF(AQ275=1,SUM(Q275:T275,W275:Z275,AC275:AF275,AI275:AL275),
IF(AQ275=2,SUM(P275,S275:V275,Y275:AB275,AE275:AH275,AK275:AL275),
IF(AQ275=3,SUM(P275:R275,U275:X275,AA275:AD275,AG275:AJ275),SUM(Таблица1[[#This Row],[1]:[31]])-Таблица1[[#This Row],[Столбец1]])))</f>
        <v>0</v>
      </c>
      <c r="AN275" s="778">
        <f t="array" ref="AN275">IF(AQ275=1,SUM(P275,U275:V275,AA275:AB275,AG275:AH275),
IF(AQ275=2,SUM(Q275:R275,W275:X275,AC275:AD275,AI275:AJ275),
IF(AQ275=3,SUM(S275:T275,Y275:Z275,AE275:AF275,AK275:AL275),
SUM(IFERROR(WEEKDAY($H$2:$AL$2,2)&gt;5,)*H275:AL275))))+Таблица1[[#This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75" s="292" t="b">
        <f>IF(AR275&lt;=3,(IF((G275="5/24"),((база!$M$6*Таблица1[[#This Row],[сумма]]*Таблица1[[#This Row],[коэф]])),
IF((G275="4/24"),((база!$M$5*Таблица1[[#This Row],[сумма]]*Таблица1[[#This Row],[коэф]])),
IF((G275="3/24"),((база!$M$4*Таблица1[[#This Row],[сумма]]*Таблица1[[#This Row],[коэф]])),
IF((G275="5/16"),((база!$L$6*Таблица1[[#This Row],[сумма]]*Таблица1[[#This Row],[коэф]])),
IF((G275="4/16"),((база!$L$5*Таблица1[[#This Row],[сумма]]*Таблица1[[#This Row],[коэф]])),
IF((G275="3/16"),((база!$L$4*Таблица1[[#This Row],[сумма]]*Таблица1[[#This Row],[коэф]])),
IF((G275="4/4"),((база!$I$5*Таблица1[[#This Row],[сумма]]*Таблица1[[#This Row],[коэф]])),
IF(OR(G275="2/4",G275="3/4"),((база!$I$4*Таблица1[[#This Row],[сумма]]*Таблица1[[#This Row],[коэф]])),
IF((G275="5/8"),((база!$J$6*Таблица1[[#This Row],[сумма]]*Таблица1[[#This Row],[коэф]])),
IF((G275="4/8"),((база!$J$5*Таблица1[[#This Row],[сумма]]*Таблица1[[#This Row],[коэф]])),
IF(OR(G275="3/8",G275="2/8"),((база!$J$4*Таблица1[[#This Row],[сумма]]*Таблица1[[#This Row],[коэф]])))))))))))))),
(IF((G275="5/24"),((база!$M$6*Таблица1[[#This Row],[сумма]]*Таблица1[[#This Row],[коэф]])),
IF(OR(G275="4/24",G275="3/24"),((база!$M$5*Таблица1[[#This Row],[сумма]]*Таблица1[[#This Row],[коэф]])),
IF((G275="5/16"),((база!$L$6*Таблица1[[#This Row],[сумма]]*Таблица1[[#This Row],[коэф]])),
IF(OR(G275="4/16",G275="3/16"),((база!$L$5*Таблица1[[#This Row],[сумма]]*Таблица1[[#This Row],[коэф]])),
IF(OR(G275="2/4",G275="3/4",G275="4/4"),((база!$I$5*Таблица1[[#This Row],[сумма]]*Таблица1[[#This Row],[коэф]])),
IF((G275="5/8"),((база!$J$6*Таблица1[[#This Row],[сумма]]*Таблица1[[#This Row],[коэф]])),
IF(OR(G275="4/8",G275="3/8",G275="2/8"),((база!$J$5*Таблица1[[#This Row],[сумма]]*Таблица1[[#This Row],[коэф]])))))))))))</f>
        <v>0</v>
      </c>
      <c r="AP275" s="730" t="b">
        <f>IF(AR275&lt;=3,(IF((G275="5/24"),((база!$M$6*2*Таблица1[[#This Row],[Столбец1]]*Таблица1[[#This Row],[коэф]])),
IF((G275="4/24"),((база!$M$5*2*Таблица1[[#This Row],[Столбец1]]*Таблица1[[#This Row],[коэф]])),
IF((G275="3/24"),((база!$M$4*2*Таблица1[[#This Row],[Столбец1]]*Таблица1[[#This Row],[коэф]])),
IF((G275="5/16"),((база!$L$6*2*Таблица1[[#This Row],[Столбец1]]*Таблица1[[#This Row],[коэф]])),
IF((G275="4/16"),((база!$L$5*2*Таблица1[[#This Row],[Столбец1]]*Таблица1[[#This Row],[коэф]])),
IF((G275="3/16"),((база!$L$4*2*Таблица1[[#This Row],[Столбец1]]*Таблица1[[#This Row],[коэф]])),
IF((G275="4/4"),((база!$I$5*2*Таблица1[[#This Row],[Столбец1]]*Таблица1[[#This Row],[коэф]])),
IF(OR(G275="2/4",G275="3/4"),((база!$I$4*2*Таблица1[[#This Row],[Столбец1]]*Таблица1[[#This Row],[коэф]])),
IF((G275="5/8"),((база!$J$6*2*Таблица1[[#This Row],[Столбец1]]*Таблица1[[#This Row],[коэф]])),
IF((G275="4/8"),((база!$J$5*2*Таблица1[[#This Row],[Столбец1]]*Таблица1[[#This Row],[коэф]])),
IF(OR(G275="3/8",G275="2/8"),((база!$J$4*2*Таблица1[[#This Row],[Столбец1]]*Таблица1[[#This Row],[коэф]])))))))))))))),
(IF((G275="5/24"),((база!$M$6*2*Таблица1[[#This Row],[Столбец1]]*Таблица1[[#This Row],[коэф]])),
IF(OR(G275="4/24",G275="3/24"),((база!$M$5*2*Таблица1[[#This Row],[Столбец1]]*Таблица1[[#This Row],[коэф]])),
IF((G275="5/16"),((база!$L$6*2*Таблица1[[#This Row],[Столбец1]]*Таблица1[[#This Row],[коэф]])),
IF(OR(G275="4/16",G275="3/16"),((база!$L$5*2*Таблица1[[#This Row],[Столбец1]]*Таблица1[[#This Row],[коэф]])),
IF(OR(G275="2/4",G275="3/4",G275="4/4"),((база!$I$5*2*Таблица1[[#This Row],[Столбец1]]*Таблица1[[#This Row],[коэф]])),
IF((G275="5/8"),((база!$J$6*2*Таблица1[[#This Row],[Столбец1]]*Таблица1[[#This Row],[коэф]])),
IF(OR(G275="4/8",G275="3/8",G275="2/8"),((база!$J$5*2*Таблица1[[#This Row],[Столбец1]]*Таблица1[[#This Row],[коэф]])))))))))))</f>
        <v>0</v>
      </c>
      <c r="AQ275" s="712" t="str">
        <f>IFERROR(INDEX(база!T:T, MATCH(F275,база!Q:Q,0)),"")</f>
        <v/>
      </c>
      <c r="AR275" s="208" t="str">
        <f>IFERROR(INDEX(база!D:D, MATCH(F275,база!B:B,0)),"")</f>
        <v/>
      </c>
      <c r="AS275" s="758" t="str">
        <f>IFERROR(INDEX(база!E:E, MATCH(F275,база!B:B,0)),"")</f>
        <v/>
      </c>
    </row>
    <row r="276" spans="1:45" ht="15">
      <c r="A276" s="66" t="str">
        <f t="shared" si="4"/>
        <v>январь</v>
      </c>
      <c r="B276" s="231">
        <v>2024</v>
      </c>
      <c r="C276" s="60"/>
      <c r="D276" s="61"/>
      <c r="E276" s="211"/>
      <c r="F276" s="680"/>
      <c r="G276" s="47"/>
      <c r="H276" s="563"/>
      <c r="I276" s="563"/>
      <c r="J276" s="563"/>
      <c r="K276" s="563"/>
      <c r="L276" s="563"/>
      <c r="M276" s="563"/>
      <c r="N276" s="563"/>
      <c r="O276" s="563"/>
      <c r="P276" s="300"/>
      <c r="Q276" s="563"/>
      <c r="R276" s="563"/>
      <c r="S276" s="563"/>
      <c r="T276" s="563"/>
      <c r="U276" s="563"/>
      <c r="V276" s="563"/>
      <c r="W276" s="563"/>
      <c r="X276" s="563"/>
      <c r="Y276" s="563"/>
      <c r="Z276" s="563"/>
      <c r="AA276" s="563"/>
      <c r="AB276" s="563"/>
      <c r="AC276" s="563"/>
      <c r="AD276" s="48"/>
      <c r="AE276" s="48"/>
      <c r="AF276" s="258"/>
      <c r="AG276" s="48"/>
      <c r="AH276" s="48"/>
      <c r="AI276" s="48"/>
      <c r="AJ276" s="48"/>
      <c r="AK276" s="48"/>
      <c r="AL276" s="51"/>
      <c r="AM276" s="212">
        <f>IF(AQ276=1,SUM(Q276:T276,W276:Z276,AC276:AF276,AI276:AL276),
IF(AQ276=2,SUM(P276,S276:V276,Y276:AB276,AE276:AH276,AK276:AL276),
IF(AQ276=3,SUM(P276:R276,U276:X276,AA276:AD276,AG276:AJ276),SUM(Таблица1[[#This Row],[1]:[31]])-Таблица1[[#This Row],[Столбец1]])))</f>
        <v>0</v>
      </c>
      <c r="AN276" s="778">
        <f t="array" ref="AN276">IF(AQ276=1,SUM(P276,U276:V276,AA276:AB276,AG276:AH276),
IF(AQ276=2,SUM(Q276:R276,W276:X276,AC276:AD276,AI276:AJ276),
IF(AQ276=3,SUM(S276:T276,Y276:Z276,AE276:AF276,AK276:AL276),
SUM(IFERROR(WEEKDAY($H$2:$AL$2,2)&gt;5,)*H276:AL276))))+Таблица1[[#This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76" s="292" t="b">
        <f>IF(AR276&lt;=3,(IF((G276="5/24"),((база!$M$6*Таблица1[[#This Row],[сумма]]*Таблица1[[#This Row],[коэф]])),
IF((G276="4/24"),((база!$M$5*Таблица1[[#This Row],[сумма]]*Таблица1[[#This Row],[коэф]])),
IF((G276="3/24"),((база!$M$4*Таблица1[[#This Row],[сумма]]*Таблица1[[#This Row],[коэф]])),
IF((G276="5/16"),((база!$L$6*Таблица1[[#This Row],[сумма]]*Таблица1[[#This Row],[коэф]])),
IF((G276="4/16"),((база!$L$5*Таблица1[[#This Row],[сумма]]*Таблица1[[#This Row],[коэф]])),
IF((G276="3/16"),((база!$L$4*Таблица1[[#This Row],[сумма]]*Таблица1[[#This Row],[коэф]])),
IF((G276="4/4"),((база!$I$5*Таблица1[[#This Row],[сумма]]*Таблица1[[#This Row],[коэф]])),
IF(OR(G276="2/4",G276="3/4"),((база!$I$4*Таблица1[[#This Row],[сумма]]*Таблица1[[#This Row],[коэф]])),
IF((G276="5/8"),((база!$J$6*Таблица1[[#This Row],[сумма]]*Таблица1[[#This Row],[коэф]])),
IF((G276="4/8"),((база!$J$5*Таблица1[[#This Row],[сумма]]*Таблица1[[#This Row],[коэф]])),
IF(OR(G276="3/8",G276="2/8"),((база!$J$4*Таблица1[[#This Row],[сумма]]*Таблица1[[#This Row],[коэф]])))))))))))))),
(IF((G276="5/24"),((база!$M$6*Таблица1[[#This Row],[сумма]]*Таблица1[[#This Row],[коэф]])),
IF(OR(G276="4/24",G276="3/24"),((база!$M$5*Таблица1[[#This Row],[сумма]]*Таблица1[[#This Row],[коэф]])),
IF((G276="5/16"),((база!$L$6*Таблица1[[#This Row],[сумма]]*Таблица1[[#This Row],[коэф]])),
IF(OR(G276="4/16",G276="3/16"),((база!$L$5*Таблица1[[#This Row],[сумма]]*Таблица1[[#This Row],[коэф]])),
IF(OR(G276="2/4",G276="3/4",G276="4/4"),((база!$I$5*Таблица1[[#This Row],[сумма]]*Таблица1[[#This Row],[коэф]])),
IF((G276="5/8"),((база!$J$6*Таблица1[[#This Row],[сумма]]*Таблица1[[#This Row],[коэф]])),
IF(OR(G276="4/8",G276="3/8",G276="2/8"),((база!$J$5*Таблица1[[#This Row],[сумма]]*Таблица1[[#This Row],[коэф]])))))))))))</f>
        <v>0</v>
      </c>
      <c r="AP276" s="730" t="b">
        <f>IF(AR276&lt;=3,(IF((G276="5/24"),((база!$M$6*2*Таблица1[[#This Row],[Столбец1]]*Таблица1[[#This Row],[коэф]])),
IF((G276="4/24"),((база!$M$5*2*Таблица1[[#This Row],[Столбец1]]*Таблица1[[#This Row],[коэф]])),
IF((G276="3/24"),((база!$M$4*2*Таблица1[[#This Row],[Столбец1]]*Таблица1[[#This Row],[коэф]])),
IF((G276="5/16"),((база!$L$6*2*Таблица1[[#This Row],[Столбец1]]*Таблица1[[#This Row],[коэф]])),
IF((G276="4/16"),((база!$L$5*2*Таблица1[[#This Row],[Столбец1]]*Таблица1[[#This Row],[коэф]])),
IF((G276="3/16"),((база!$L$4*2*Таблица1[[#This Row],[Столбец1]]*Таблица1[[#This Row],[коэф]])),
IF((G276="4/4"),((база!$I$5*2*Таблица1[[#This Row],[Столбец1]]*Таблица1[[#This Row],[коэф]])),
IF(OR(G276="2/4",G276="3/4"),((база!$I$4*2*Таблица1[[#This Row],[Столбец1]]*Таблица1[[#This Row],[коэф]])),
IF((G276="5/8"),((база!$J$6*2*Таблица1[[#This Row],[Столбец1]]*Таблица1[[#This Row],[коэф]])),
IF((G276="4/8"),((база!$J$5*2*Таблица1[[#This Row],[Столбец1]]*Таблица1[[#This Row],[коэф]])),
IF(OR(G276="3/8",G276="2/8"),((база!$J$4*2*Таблица1[[#This Row],[Столбец1]]*Таблица1[[#This Row],[коэф]])))))))))))))),
(IF((G276="5/24"),((база!$M$6*2*Таблица1[[#This Row],[Столбец1]]*Таблица1[[#This Row],[коэф]])),
IF(OR(G276="4/24",G276="3/24"),((база!$M$5*2*Таблица1[[#This Row],[Столбец1]]*Таблица1[[#This Row],[коэф]])),
IF((G276="5/16"),((база!$L$6*2*Таблица1[[#This Row],[Столбец1]]*Таблица1[[#This Row],[коэф]])),
IF(OR(G276="4/16",G276="3/16"),((база!$L$5*2*Таблица1[[#This Row],[Столбец1]]*Таблица1[[#This Row],[коэф]])),
IF(OR(G276="2/4",G276="3/4",G276="4/4"),((база!$I$5*2*Таблица1[[#This Row],[Столбец1]]*Таблица1[[#This Row],[коэф]])),
IF((G276="5/8"),((база!$J$6*2*Таблица1[[#This Row],[Столбец1]]*Таблица1[[#This Row],[коэф]])),
IF(OR(G276="4/8",G276="3/8",G276="2/8"),((база!$J$5*2*Таблица1[[#This Row],[Столбец1]]*Таблица1[[#This Row],[коэф]])))))))))))</f>
        <v>0</v>
      </c>
      <c r="AQ276" s="712" t="str">
        <f>IFERROR(INDEX(база!T:T, MATCH(F276,база!Q:Q,0)),"")</f>
        <v/>
      </c>
      <c r="AR276" s="208" t="str">
        <f>IFERROR(INDEX(база!D:D, MATCH(F276,база!B:B,0)),"")</f>
        <v/>
      </c>
      <c r="AS276" s="758" t="str">
        <f>IFERROR(INDEX(база!E:E, MATCH(F276,база!B:B,0)),"")</f>
        <v/>
      </c>
    </row>
    <row r="277" spans="1:45" ht="15">
      <c r="A277" s="66" t="str">
        <f t="shared" si="4"/>
        <v>январь</v>
      </c>
      <c r="B277" s="231">
        <v>2024</v>
      </c>
      <c r="C277" s="299"/>
      <c r="D277" s="61"/>
      <c r="E277" s="211"/>
      <c r="F277" s="679"/>
      <c r="G277" s="47"/>
      <c r="H277" s="563"/>
      <c r="I277" s="563"/>
      <c r="J277" s="563"/>
      <c r="K277" s="563"/>
      <c r="L277" s="563"/>
      <c r="M277" s="563"/>
      <c r="N277" s="563"/>
      <c r="O277" s="563"/>
      <c r="P277" s="300"/>
      <c r="Q277" s="563"/>
      <c r="R277" s="563"/>
      <c r="S277" s="563"/>
      <c r="T277" s="563"/>
      <c r="U277" s="563"/>
      <c r="V277" s="563"/>
      <c r="W277" s="563"/>
      <c r="X277" s="563"/>
      <c r="Y277" s="563"/>
      <c r="Z277" s="563"/>
      <c r="AA277" s="563"/>
      <c r="AB277" s="563"/>
      <c r="AC277" s="563"/>
      <c r="AD277" s="48"/>
      <c r="AE277" s="48"/>
      <c r="AF277" s="258"/>
      <c r="AG277" s="48"/>
      <c r="AH277" s="48"/>
      <c r="AI277" s="258"/>
      <c r="AJ277" s="258"/>
      <c r="AK277" s="258"/>
      <c r="AL277" s="258"/>
      <c r="AM277" s="212">
        <f>IF(AQ277=1,SUM(Q277:T277,W277:Z277,AC277:AF277,AI277:AL277),
IF(AQ277=2,SUM(P277,S277:V277,Y277:AB277,AE277:AH277,AK277:AL277),
IF(AQ277=3,SUM(P277:R277,U277:X277,AA277:AD277,AG277:AJ277),SUM(Таблица1[[#This Row],[1]:[31]])-Таблица1[[#This Row],[Столбец1]])))</f>
        <v>0</v>
      </c>
      <c r="AN277" s="778">
        <f t="array" ref="AN277">IF(AQ277=1,SUM(P277,U277:V277,AA277:AB277,AG277:AH277),
IF(AQ277=2,SUM(Q277:R277,W277:X277,AC277:AD277,AI277:AJ277),
IF(AQ277=3,SUM(S277:T277,Y277:Z277,AE277:AF277,AK277:AL277),
SUM(IFERROR(WEEKDAY($H$2:$AL$2,2)&gt;5,)*H277:AL277))))+Таблица1[[#This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77" s="292" t="b">
        <f>IF(AR277&lt;=3,(IF((G277="5/24"),((база!$M$6*Таблица1[[#This Row],[сумма]]*Таблица1[[#This Row],[коэф]])),
IF((G277="4/24"),((база!$M$5*Таблица1[[#This Row],[сумма]]*Таблица1[[#This Row],[коэф]])),
IF((G277="3/24"),((база!$M$4*Таблица1[[#This Row],[сумма]]*Таблица1[[#This Row],[коэф]])),
IF((G277="5/16"),((база!$L$6*Таблица1[[#This Row],[сумма]]*Таблица1[[#This Row],[коэф]])),
IF((G277="4/16"),((база!$L$5*Таблица1[[#This Row],[сумма]]*Таблица1[[#This Row],[коэф]])),
IF((G277="3/16"),((база!$L$4*Таблица1[[#This Row],[сумма]]*Таблица1[[#This Row],[коэф]])),
IF((G277="4/4"),((база!$I$5*Таблица1[[#This Row],[сумма]]*Таблица1[[#This Row],[коэф]])),
IF(OR(G277="2/4",G277="3/4"),((база!$I$4*Таблица1[[#This Row],[сумма]]*Таблица1[[#This Row],[коэф]])),
IF((G277="5/8"),((база!$J$6*Таблица1[[#This Row],[сумма]]*Таблица1[[#This Row],[коэф]])),
IF((G277="4/8"),((база!$J$5*Таблица1[[#This Row],[сумма]]*Таблица1[[#This Row],[коэф]])),
IF(OR(G277="3/8",G277="2/8"),((база!$J$4*Таблица1[[#This Row],[сумма]]*Таблица1[[#This Row],[коэф]])))))))))))))),
(IF((G277="5/24"),((база!$M$6*Таблица1[[#This Row],[сумма]]*Таблица1[[#This Row],[коэф]])),
IF(OR(G277="4/24",G277="3/24"),((база!$M$5*Таблица1[[#This Row],[сумма]]*Таблица1[[#This Row],[коэф]])),
IF((G277="5/16"),((база!$L$6*Таблица1[[#This Row],[сумма]]*Таблица1[[#This Row],[коэф]])),
IF(OR(G277="4/16",G277="3/16"),((база!$L$5*Таблица1[[#This Row],[сумма]]*Таблица1[[#This Row],[коэф]])),
IF(OR(G277="2/4",G277="3/4",G277="4/4"),((база!$I$5*Таблица1[[#This Row],[сумма]]*Таблица1[[#This Row],[коэф]])),
IF((G277="5/8"),((база!$J$6*Таблица1[[#This Row],[сумма]]*Таблица1[[#This Row],[коэф]])),
IF(OR(G277="4/8",G277="3/8",G277="2/8"),((база!$J$5*Таблица1[[#This Row],[сумма]]*Таблица1[[#This Row],[коэф]])))))))))))</f>
        <v>0</v>
      </c>
      <c r="AP277" s="730" t="b">
        <f>IF(AR277&lt;=3,(IF((G277="5/24"),((база!$M$6*2*Таблица1[[#This Row],[Столбец1]]*Таблица1[[#This Row],[коэф]])),
IF((G277="4/24"),((база!$M$5*2*Таблица1[[#This Row],[Столбец1]]*Таблица1[[#This Row],[коэф]])),
IF((G277="3/24"),((база!$M$4*2*Таблица1[[#This Row],[Столбец1]]*Таблица1[[#This Row],[коэф]])),
IF((G277="5/16"),((база!$L$6*2*Таблица1[[#This Row],[Столбец1]]*Таблица1[[#This Row],[коэф]])),
IF((G277="4/16"),((база!$L$5*2*Таблица1[[#This Row],[Столбец1]]*Таблица1[[#This Row],[коэф]])),
IF((G277="3/16"),((база!$L$4*2*Таблица1[[#This Row],[Столбец1]]*Таблица1[[#This Row],[коэф]])),
IF((G277="4/4"),((база!$I$5*2*Таблица1[[#This Row],[Столбец1]]*Таблица1[[#This Row],[коэф]])),
IF(OR(G277="2/4",G277="3/4"),((база!$I$4*2*Таблица1[[#This Row],[Столбец1]]*Таблица1[[#This Row],[коэф]])),
IF((G277="5/8"),((база!$J$6*2*Таблица1[[#This Row],[Столбец1]]*Таблица1[[#This Row],[коэф]])),
IF((G277="4/8"),((база!$J$5*2*Таблица1[[#This Row],[Столбец1]]*Таблица1[[#This Row],[коэф]])),
IF(OR(G277="3/8",G277="2/8"),((база!$J$4*2*Таблица1[[#This Row],[Столбец1]]*Таблица1[[#This Row],[коэф]])))))))))))))),
(IF((G277="5/24"),((база!$M$6*2*Таблица1[[#This Row],[Столбец1]]*Таблица1[[#This Row],[коэф]])),
IF(OR(G277="4/24",G277="3/24"),((база!$M$5*2*Таблица1[[#This Row],[Столбец1]]*Таблица1[[#This Row],[коэф]])),
IF((G277="5/16"),((база!$L$6*2*Таблица1[[#This Row],[Столбец1]]*Таблица1[[#This Row],[коэф]])),
IF(OR(G277="4/16",G277="3/16"),((база!$L$5*2*Таблица1[[#This Row],[Столбец1]]*Таблица1[[#This Row],[коэф]])),
IF(OR(G277="2/4",G277="3/4",G277="4/4"),((база!$I$5*2*Таблица1[[#This Row],[Столбец1]]*Таблица1[[#This Row],[коэф]])),
IF((G277="5/8"),((база!$J$6*2*Таблица1[[#This Row],[Столбец1]]*Таблица1[[#This Row],[коэф]])),
IF(OR(G277="4/8",G277="3/8",G277="2/8"),((база!$J$5*2*Таблица1[[#This Row],[Столбец1]]*Таблица1[[#This Row],[коэф]])))))))))))</f>
        <v>0</v>
      </c>
      <c r="AQ277" s="712" t="str">
        <f>IFERROR(INDEX(база!T:T, MATCH(F277,база!Q:Q,0)),"")</f>
        <v/>
      </c>
      <c r="AR277" s="208" t="str">
        <f>IFERROR(INDEX(база!D:D, MATCH(F277,база!B:B,0)),"")</f>
        <v/>
      </c>
      <c r="AS277" s="758" t="str">
        <f>IFERROR(INDEX(база!E:E, MATCH(F277,база!B:B,0)),"")</f>
        <v/>
      </c>
    </row>
    <row r="278" spans="1:45" ht="15">
      <c r="A278" s="66" t="str">
        <f t="shared" si="4"/>
        <v>январь</v>
      </c>
      <c r="B278" s="231">
        <v>2024</v>
      </c>
      <c r="C278" s="60"/>
      <c r="D278" s="61"/>
      <c r="E278" s="211"/>
      <c r="F278" s="679"/>
      <c r="G278" s="47"/>
      <c r="H278" s="563"/>
      <c r="I278" s="563"/>
      <c r="J278" s="563"/>
      <c r="K278" s="563"/>
      <c r="L278" s="563"/>
      <c r="M278" s="563"/>
      <c r="N278" s="563"/>
      <c r="O278" s="563"/>
      <c r="P278" s="300"/>
      <c r="Q278" s="563"/>
      <c r="R278" s="563"/>
      <c r="S278" s="563"/>
      <c r="T278" s="563"/>
      <c r="U278" s="563"/>
      <c r="V278" s="563"/>
      <c r="W278" s="563"/>
      <c r="X278" s="563"/>
      <c r="Y278" s="563"/>
      <c r="Z278" s="563"/>
      <c r="AA278" s="563"/>
      <c r="AB278" s="563"/>
      <c r="AC278" s="563"/>
      <c r="AD278" s="48"/>
      <c r="AE278" s="48"/>
      <c r="AF278" s="258"/>
      <c r="AG278" s="48"/>
      <c r="AH278" s="48"/>
      <c r="AI278" s="48"/>
      <c r="AJ278" s="48"/>
      <c r="AK278" s="48"/>
      <c r="AL278" s="51"/>
      <c r="AM278" s="212">
        <f>IF(AQ278=1,SUM(Q278:T278,W278:Z278,AC278:AF278,AI278:AL278),
IF(AQ278=2,SUM(P278,S278:V278,Y278:AB278,AE278:AH278,AK278:AL278),
IF(AQ278=3,SUM(P278:R278,U278:X278,AA278:AD278,AG278:AJ278),SUM(Таблица1[[#This Row],[1]:[31]])-Таблица1[[#This Row],[Столбец1]])))</f>
        <v>0</v>
      </c>
      <c r="AN278" s="778">
        <f t="array" ref="AN278">IF(AQ278=1,SUM(P278,U278:V278,AA278:AB278,AG278:AH278),
IF(AQ278=2,SUM(Q278:R278,W278:X278,AC278:AD278,AI278:AJ278),
IF(AQ278=3,SUM(S278:T278,Y278:Z278,AE278:AF278,AK278:AL278),
SUM(IFERROR(WEEKDAY($H$2:$AL$2,2)&gt;5,)*H278:AL278))))+Таблица1[[#This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78" s="292" t="b">
        <f>IF(AR278&lt;=3,(IF((G278="5/24"),((база!$M$6*Таблица1[[#This Row],[сумма]]*Таблица1[[#This Row],[коэф]])),
IF((G278="4/24"),((база!$M$5*Таблица1[[#This Row],[сумма]]*Таблица1[[#This Row],[коэф]])),
IF((G278="3/24"),((база!$M$4*Таблица1[[#This Row],[сумма]]*Таблица1[[#This Row],[коэф]])),
IF((G278="5/16"),((база!$L$6*Таблица1[[#This Row],[сумма]]*Таблица1[[#This Row],[коэф]])),
IF((G278="4/16"),((база!$L$5*Таблица1[[#This Row],[сумма]]*Таблица1[[#This Row],[коэф]])),
IF((G278="3/16"),((база!$L$4*Таблица1[[#This Row],[сумма]]*Таблица1[[#This Row],[коэф]])),
IF((G278="4/4"),((база!$I$5*Таблица1[[#This Row],[сумма]]*Таблица1[[#This Row],[коэф]])),
IF(OR(G278="2/4",G278="3/4"),((база!$I$4*Таблица1[[#This Row],[сумма]]*Таблица1[[#This Row],[коэф]])),
IF((G278="5/8"),((база!$J$6*Таблица1[[#This Row],[сумма]]*Таблица1[[#This Row],[коэф]])),
IF((G278="4/8"),((база!$J$5*Таблица1[[#This Row],[сумма]]*Таблица1[[#This Row],[коэф]])),
IF(OR(G278="3/8",G278="2/8"),((база!$J$4*Таблица1[[#This Row],[сумма]]*Таблица1[[#This Row],[коэф]])))))))))))))),
(IF((G278="5/24"),((база!$M$6*Таблица1[[#This Row],[сумма]]*Таблица1[[#This Row],[коэф]])),
IF(OR(G278="4/24",G278="3/24"),((база!$M$5*Таблица1[[#This Row],[сумма]]*Таблица1[[#This Row],[коэф]])),
IF((G278="5/16"),((база!$L$6*Таблица1[[#This Row],[сумма]]*Таблица1[[#This Row],[коэф]])),
IF(OR(G278="4/16",G278="3/16"),((база!$L$5*Таблица1[[#This Row],[сумма]]*Таблица1[[#This Row],[коэф]])),
IF(OR(G278="2/4",G278="3/4",G278="4/4"),((база!$I$5*Таблица1[[#This Row],[сумма]]*Таблица1[[#This Row],[коэф]])),
IF((G278="5/8"),((база!$J$6*Таблица1[[#This Row],[сумма]]*Таблица1[[#This Row],[коэф]])),
IF(OR(G278="4/8",G278="3/8",G278="2/8"),((база!$J$5*Таблица1[[#This Row],[сумма]]*Таблица1[[#This Row],[коэф]])))))))))))</f>
        <v>0</v>
      </c>
      <c r="AP278" s="730" t="b">
        <f>IF(AR278&lt;=3,(IF((G278="5/24"),((база!$M$6*2*Таблица1[[#This Row],[Столбец1]]*Таблица1[[#This Row],[коэф]])),
IF((G278="4/24"),((база!$M$5*2*Таблица1[[#This Row],[Столбец1]]*Таблица1[[#This Row],[коэф]])),
IF((G278="3/24"),((база!$M$4*2*Таблица1[[#This Row],[Столбец1]]*Таблица1[[#This Row],[коэф]])),
IF((G278="5/16"),((база!$L$6*2*Таблица1[[#This Row],[Столбец1]]*Таблица1[[#This Row],[коэф]])),
IF((G278="4/16"),((база!$L$5*2*Таблица1[[#This Row],[Столбец1]]*Таблица1[[#This Row],[коэф]])),
IF((G278="3/16"),((база!$L$4*2*Таблица1[[#This Row],[Столбец1]]*Таблица1[[#This Row],[коэф]])),
IF((G278="4/4"),((база!$I$5*2*Таблица1[[#This Row],[Столбец1]]*Таблица1[[#This Row],[коэф]])),
IF(OR(G278="2/4",G278="3/4"),((база!$I$4*2*Таблица1[[#This Row],[Столбец1]]*Таблица1[[#This Row],[коэф]])),
IF((G278="5/8"),((база!$J$6*2*Таблица1[[#This Row],[Столбец1]]*Таблица1[[#This Row],[коэф]])),
IF((G278="4/8"),((база!$J$5*2*Таблица1[[#This Row],[Столбец1]]*Таблица1[[#This Row],[коэф]])),
IF(OR(G278="3/8",G278="2/8"),((база!$J$4*2*Таблица1[[#This Row],[Столбец1]]*Таблица1[[#This Row],[коэф]])))))))))))))),
(IF((G278="5/24"),((база!$M$6*2*Таблица1[[#This Row],[Столбец1]]*Таблица1[[#This Row],[коэф]])),
IF(OR(G278="4/24",G278="3/24"),((база!$M$5*2*Таблица1[[#This Row],[Столбец1]]*Таблица1[[#This Row],[коэф]])),
IF((G278="5/16"),((база!$L$6*2*Таблица1[[#This Row],[Столбец1]]*Таблица1[[#This Row],[коэф]])),
IF(OR(G278="4/16",G278="3/16"),((база!$L$5*2*Таблица1[[#This Row],[Столбец1]]*Таблица1[[#This Row],[коэф]])),
IF(OR(G278="2/4",G278="3/4",G278="4/4"),((база!$I$5*2*Таблица1[[#This Row],[Столбец1]]*Таблица1[[#This Row],[коэф]])),
IF((G278="5/8"),((база!$J$6*2*Таблица1[[#This Row],[Столбец1]]*Таблица1[[#This Row],[коэф]])),
IF(OR(G278="4/8",G278="3/8",G278="2/8"),((база!$J$5*2*Таблица1[[#This Row],[Столбец1]]*Таблица1[[#This Row],[коэф]])))))))))))</f>
        <v>0</v>
      </c>
      <c r="AQ278" s="712" t="str">
        <f>IFERROR(INDEX(база!T:T, MATCH(F278,база!Q:Q,0)),"")</f>
        <v/>
      </c>
      <c r="AR278" s="208" t="str">
        <f>IFERROR(INDEX(база!D:D, MATCH(F278,база!B:B,0)),"")</f>
        <v/>
      </c>
      <c r="AS278" s="758" t="str">
        <f>IFERROR(INDEX(база!E:E, MATCH(F278,база!B:B,0)),"")</f>
        <v/>
      </c>
    </row>
    <row r="279" spans="1:45" ht="15">
      <c r="A279" s="66" t="str">
        <f t="shared" si="4"/>
        <v>январь</v>
      </c>
      <c r="B279" s="231">
        <v>2024</v>
      </c>
      <c r="C279" s="60"/>
      <c r="D279" s="61"/>
      <c r="E279" s="211"/>
      <c r="F279" s="680"/>
      <c r="G279" s="47"/>
      <c r="H279" s="563"/>
      <c r="I279" s="563"/>
      <c r="J279" s="563"/>
      <c r="K279" s="563"/>
      <c r="L279" s="563"/>
      <c r="M279" s="563"/>
      <c r="N279" s="563"/>
      <c r="O279" s="563"/>
      <c r="P279" s="300"/>
      <c r="Q279" s="563"/>
      <c r="R279" s="563"/>
      <c r="S279" s="563"/>
      <c r="T279" s="563"/>
      <c r="U279" s="563"/>
      <c r="V279" s="563"/>
      <c r="W279" s="563"/>
      <c r="X279" s="563"/>
      <c r="Y279" s="563"/>
      <c r="Z279" s="563"/>
      <c r="AA279" s="563"/>
      <c r="AB279" s="563"/>
      <c r="AC279" s="563"/>
      <c r="AD279" s="563"/>
      <c r="AE279" s="563"/>
      <c r="AF279" s="258"/>
      <c r="AG279" s="48"/>
      <c r="AH279" s="48"/>
      <c r="AI279" s="48"/>
      <c r="AJ279" s="48"/>
      <c r="AK279" s="48"/>
      <c r="AL279" s="258"/>
      <c r="AM279" s="212">
        <f>IF(AQ279=1,SUM(Q279:T279,W279:Z279,AC279:AF279,AI279:AL279),
IF(AQ279=2,SUM(P279,S279:V279,Y279:AB279,AE279:AH279,AK279:AL279),
IF(AQ279=3,SUM(P279:R279,U279:X279,AA279:AD279,AG279:AJ279),SUM(Таблица1[[#This Row],[1]:[31]])-Таблица1[[#This Row],[Столбец1]])))</f>
        <v>0</v>
      </c>
      <c r="AN279" s="778">
        <f t="array" ref="AN279">IF(AQ279=1,SUM(P279,U279:V279,AA279:AB279,AG279:AH279),
IF(AQ279=2,SUM(Q279:R279,W279:X279,AC279:AD279,AI279:AJ279),
IF(AQ279=3,SUM(S279:T279,Y279:Z279,AE279:AF279,AK279:AL279),
SUM(IFERROR(WEEKDAY($H$2:$AL$2,2)&gt;5,)*H279:AL279))))+Таблица1[[#This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79" s="292" t="b">
        <f>IF(AR279&lt;=3,(IF((G279="5/24"),((база!$M$6*Таблица1[[#This Row],[сумма]]*Таблица1[[#This Row],[коэф]])),
IF((G279="4/24"),((база!$M$5*Таблица1[[#This Row],[сумма]]*Таблица1[[#This Row],[коэф]])),
IF((G279="3/24"),((база!$M$4*Таблица1[[#This Row],[сумма]]*Таблица1[[#This Row],[коэф]])),
IF((G279="5/16"),((база!$L$6*Таблица1[[#This Row],[сумма]]*Таблица1[[#This Row],[коэф]])),
IF((G279="4/16"),((база!$L$5*Таблица1[[#This Row],[сумма]]*Таблица1[[#This Row],[коэф]])),
IF((G279="3/16"),((база!$L$4*Таблица1[[#This Row],[сумма]]*Таблица1[[#This Row],[коэф]])),
IF((G279="4/4"),((база!$I$5*Таблица1[[#This Row],[сумма]]*Таблица1[[#This Row],[коэф]])),
IF(OR(G279="2/4",G279="3/4"),((база!$I$4*Таблица1[[#This Row],[сумма]]*Таблица1[[#This Row],[коэф]])),
IF((G279="5/8"),((база!$J$6*Таблица1[[#This Row],[сумма]]*Таблица1[[#This Row],[коэф]])),
IF((G279="4/8"),((база!$J$5*Таблица1[[#This Row],[сумма]]*Таблица1[[#This Row],[коэф]])),
IF(OR(G279="3/8",G279="2/8"),((база!$J$4*Таблица1[[#This Row],[сумма]]*Таблица1[[#This Row],[коэф]])))))))))))))),
(IF((G279="5/24"),((база!$M$6*Таблица1[[#This Row],[сумма]]*Таблица1[[#This Row],[коэф]])),
IF(OR(G279="4/24",G279="3/24"),((база!$M$5*Таблица1[[#This Row],[сумма]]*Таблица1[[#This Row],[коэф]])),
IF((G279="5/16"),((база!$L$6*Таблица1[[#This Row],[сумма]]*Таблица1[[#This Row],[коэф]])),
IF(OR(G279="4/16",G279="3/16"),((база!$L$5*Таблица1[[#This Row],[сумма]]*Таблица1[[#This Row],[коэф]])),
IF(OR(G279="2/4",G279="3/4",G279="4/4"),((база!$I$5*Таблица1[[#This Row],[сумма]]*Таблица1[[#This Row],[коэф]])),
IF((G279="5/8"),((база!$J$6*Таблица1[[#This Row],[сумма]]*Таблица1[[#This Row],[коэф]])),
IF(OR(G279="4/8",G279="3/8",G279="2/8"),((база!$J$5*Таблица1[[#This Row],[сумма]]*Таблица1[[#This Row],[коэф]])))))))))))</f>
        <v>0</v>
      </c>
      <c r="AP279" s="730" t="b">
        <f>IF(AR279&lt;=3,(IF((G279="5/24"),((база!$M$6*2*Таблица1[[#This Row],[Столбец1]]*Таблица1[[#This Row],[коэф]])),
IF((G279="4/24"),((база!$M$5*2*Таблица1[[#This Row],[Столбец1]]*Таблица1[[#This Row],[коэф]])),
IF((G279="3/24"),((база!$M$4*2*Таблица1[[#This Row],[Столбец1]]*Таблица1[[#This Row],[коэф]])),
IF((G279="5/16"),((база!$L$6*2*Таблица1[[#This Row],[Столбец1]]*Таблица1[[#This Row],[коэф]])),
IF((G279="4/16"),((база!$L$5*2*Таблица1[[#This Row],[Столбец1]]*Таблица1[[#This Row],[коэф]])),
IF((G279="3/16"),((база!$L$4*2*Таблица1[[#This Row],[Столбец1]]*Таблица1[[#This Row],[коэф]])),
IF((G279="4/4"),((база!$I$5*2*Таблица1[[#This Row],[Столбец1]]*Таблица1[[#This Row],[коэф]])),
IF(OR(G279="2/4",G279="3/4"),((база!$I$4*2*Таблица1[[#This Row],[Столбец1]]*Таблица1[[#This Row],[коэф]])),
IF((G279="5/8"),((база!$J$6*2*Таблица1[[#This Row],[Столбец1]]*Таблица1[[#This Row],[коэф]])),
IF((G279="4/8"),((база!$J$5*2*Таблица1[[#This Row],[Столбец1]]*Таблица1[[#This Row],[коэф]])),
IF(OR(G279="3/8",G279="2/8"),((база!$J$4*2*Таблица1[[#This Row],[Столбец1]]*Таблица1[[#This Row],[коэф]])))))))))))))),
(IF((G279="5/24"),((база!$M$6*2*Таблица1[[#This Row],[Столбец1]]*Таблица1[[#This Row],[коэф]])),
IF(OR(G279="4/24",G279="3/24"),((база!$M$5*2*Таблица1[[#This Row],[Столбец1]]*Таблица1[[#This Row],[коэф]])),
IF((G279="5/16"),((база!$L$6*2*Таблица1[[#This Row],[Столбец1]]*Таблица1[[#This Row],[коэф]])),
IF(OR(G279="4/16",G279="3/16"),((база!$L$5*2*Таблица1[[#This Row],[Столбец1]]*Таблица1[[#This Row],[коэф]])),
IF(OR(G279="2/4",G279="3/4",G279="4/4"),((база!$I$5*2*Таблица1[[#This Row],[Столбец1]]*Таблица1[[#This Row],[коэф]])),
IF((G279="5/8"),((база!$J$6*2*Таблица1[[#This Row],[Столбец1]]*Таблица1[[#This Row],[коэф]])),
IF(OR(G279="4/8",G279="3/8",G279="2/8"),((база!$J$5*2*Таблица1[[#This Row],[Столбец1]]*Таблица1[[#This Row],[коэф]])))))))))))</f>
        <v>0</v>
      </c>
      <c r="AQ279" s="712" t="str">
        <f>IFERROR(INDEX(база!T:T, MATCH(F279,база!Q:Q,0)),"")</f>
        <v/>
      </c>
      <c r="AR279" s="208" t="str">
        <f>IFERROR(INDEX(база!D:D, MATCH(F279,база!B:B,0)),"")</f>
        <v/>
      </c>
      <c r="AS279" s="758" t="str">
        <f>IFERROR(INDEX(база!E:E, MATCH(F279,база!B:B,0)),"")</f>
        <v/>
      </c>
    </row>
    <row r="280" spans="1:45" ht="15">
      <c r="A280" s="66" t="str">
        <f t="shared" si="4"/>
        <v>январь</v>
      </c>
      <c r="B280" s="231">
        <v>2024</v>
      </c>
      <c r="C280" s="60"/>
      <c r="D280" s="61"/>
      <c r="E280" s="211"/>
      <c r="F280" s="680"/>
      <c r="G280" s="47"/>
      <c r="H280" s="563"/>
      <c r="I280" s="563"/>
      <c r="J280" s="563"/>
      <c r="K280" s="563"/>
      <c r="L280" s="563"/>
      <c r="M280" s="563"/>
      <c r="N280" s="563"/>
      <c r="O280" s="563"/>
      <c r="P280" s="300"/>
      <c r="Q280" s="563"/>
      <c r="R280" s="563"/>
      <c r="S280" s="563"/>
      <c r="T280" s="563"/>
      <c r="U280" s="563"/>
      <c r="V280" s="563"/>
      <c r="W280" s="563"/>
      <c r="X280" s="563"/>
      <c r="Y280" s="563"/>
      <c r="Z280" s="563"/>
      <c r="AA280" s="563"/>
      <c r="AB280" s="563"/>
      <c r="AC280" s="563"/>
      <c r="AD280" s="48"/>
      <c r="AE280" s="48"/>
      <c r="AF280" s="258"/>
      <c r="AG280" s="48"/>
      <c r="AH280" s="48"/>
      <c r="AI280" s="48"/>
      <c r="AJ280" s="48"/>
      <c r="AK280" s="48"/>
      <c r="AL280" s="51"/>
      <c r="AM280" s="212">
        <f>IF(AQ280=1,SUM(Q280:T280,W280:Z280,AC280:AF280,AI280:AL280),
IF(AQ280=2,SUM(P280,S280:V280,Y280:AB280,AE280:AH280,AK280:AL280),
IF(AQ280=3,SUM(P280:R280,U280:X280,AA280:AD280,AG280:AJ280),SUM(Таблица1[[#This Row],[1]:[31]])-Таблица1[[#This Row],[Столбец1]])))</f>
        <v>0</v>
      </c>
      <c r="AN280" s="778">
        <f t="array" ref="AN280">IF(AQ280=1,SUM(P280,U280:V280,AA280:AB280,AG280:AH280),
IF(AQ280=2,SUM(Q280:R280,W280:X280,AC280:AD280,AI280:AJ280),
IF(AQ280=3,SUM(S280:T280,Y280:Z280,AE280:AF280,AK280:AL280),
SUM(IFERROR(WEEKDAY($H$2:$AL$2,2)&gt;5,)*H280:AL280))))+Таблица1[[#This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80" s="292" t="b">
        <f>IF(AR280&lt;=3,(IF((G280="5/24"),((база!$M$6*Таблица1[[#This Row],[сумма]]*Таблица1[[#This Row],[коэф]])),
IF((G280="4/24"),((база!$M$5*Таблица1[[#This Row],[сумма]]*Таблица1[[#This Row],[коэф]])),
IF((G280="3/24"),((база!$M$4*Таблица1[[#This Row],[сумма]]*Таблица1[[#This Row],[коэф]])),
IF((G280="5/16"),((база!$L$6*Таблица1[[#This Row],[сумма]]*Таблица1[[#This Row],[коэф]])),
IF((G280="4/16"),((база!$L$5*Таблица1[[#This Row],[сумма]]*Таблица1[[#This Row],[коэф]])),
IF((G280="3/16"),((база!$L$4*Таблица1[[#This Row],[сумма]]*Таблица1[[#This Row],[коэф]])),
IF((G280="4/4"),((база!$I$5*Таблица1[[#This Row],[сумма]]*Таблица1[[#This Row],[коэф]])),
IF(OR(G280="2/4",G280="3/4"),((база!$I$4*Таблица1[[#This Row],[сумма]]*Таблица1[[#This Row],[коэф]])),
IF((G280="5/8"),((база!$J$6*Таблица1[[#This Row],[сумма]]*Таблица1[[#This Row],[коэф]])),
IF((G280="4/8"),((база!$J$5*Таблица1[[#This Row],[сумма]]*Таблица1[[#This Row],[коэф]])),
IF(OR(G280="3/8",G280="2/8"),((база!$J$4*Таблица1[[#This Row],[сумма]]*Таблица1[[#This Row],[коэф]])))))))))))))),
(IF((G280="5/24"),((база!$M$6*Таблица1[[#This Row],[сумма]]*Таблица1[[#This Row],[коэф]])),
IF(OR(G280="4/24",G280="3/24"),((база!$M$5*Таблица1[[#This Row],[сумма]]*Таблица1[[#This Row],[коэф]])),
IF((G280="5/16"),((база!$L$6*Таблица1[[#This Row],[сумма]]*Таблица1[[#This Row],[коэф]])),
IF(OR(G280="4/16",G280="3/16"),((база!$L$5*Таблица1[[#This Row],[сумма]]*Таблица1[[#This Row],[коэф]])),
IF(OR(G280="2/4",G280="3/4",G280="4/4"),((база!$I$5*Таблица1[[#This Row],[сумма]]*Таблица1[[#This Row],[коэф]])),
IF((G280="5/8"),((база!$J$6*Таблица1[[#This Row],[сумма]]*Таблица1[[#This Row],[коэф]])),
IF(OR(G280="4/8",G280="3/8",G280="2/8"),((база!$J$5*Таблица1[[#This Row],[сумма]]*Таблица1[[#This Row],[коэф]])))))))))))</f>
        <v>0</v>
      </c>
      <c r="AP280" s="730" t="b">
        <f>IF(AR280&lt;=3,(IF((G280="5/24"),((база!$M$6*2*Таблица1[[#This Row],[Столбец1]]*Таблица1[[#This Row],[коэф]])),
IF((G280="4/24"),((база!$M$5*2*Таблица1[[#This Row],[Столбец1]]*Таблица1[[#This Row],[коэф]])),
IF((G280="3/24"),((база!$M$4*2*Таблица1[[#This Row],[Столбец1]]*Таблица1[[#This Row],[коэф]])),
IF((G280="5/16"),((база!$L$6*2*Таблица1[[#This Row],[Столбец1]]*Таблица1[[#This Row],[коэф]])),
IF((G280="4/16"),((база!$L$5*2*Таблица1[[#This Row],[Столбец1]]*Таблица1[[#This Row],[коэф]])),
IF((G280="3/16"),((база!$L$4*2*Таблица1[[#This Row],[Столбец1]]*Таблица1[[#This Row],[коэф]])),
IF((G280="4/4"),((база!$I$5*2*Таблица1[[#This Row],[Столбец1]]*Таблица1[[#This Row],[коэф]])),
IF(OR(G280="2/4",G280="3/4"),((база!$I$4*2*Таблица1[[#This Row],[Столбец1]]*Таблица1[[#This Row],[коэф]])),
IF((G280="5/8"),((база!$J$6*2*Таблица1[[#This Row],[Столбец1]]*Таблица1[[#This Row],[коэф]])),
IF((G280="4/8"),((база!$J$5*2*Таблица1[[#This Row],[Столбец1]]*Таблица1[[#This Row],[коэф]])),
IF(OR(G280="3/8",G280="2/8"),((база!$J$4*2*Таблица1[[#This Row],[Столбец1]]*Таблица1[[#This Row],[коэф]])))))))))))))),
(IF((G280="5/24"),((база!$M$6*2*Таблица1[[#This Row],[Столбец1]]*Таблица1[[#This Row],[коэф]])),
IF(OR(G280="4/24",G280="3/24"),((база!$M$5*2*Таблица1[[#This Row],[Столбец1]]*Таблица1[[#This Row],[коэф]])),
IF((G280="5/16"),((база!$L$6*2*Таблица1[[#This Row],[Столбец1]]*Таблица1[[#This Row],[коэф]])),
IF(OR(G280="4/16",G280="3/16"),((база!$L$5*2*Таблица1[[#This Row],[Столбец1]]*Таблица1[[#This Row],[коэф]])),
IF(OR(G280="2/4",G280="3/4",G280="4/4"),((база!$I$5*2*Таблица1[[#This Row],[Столбец1]]*Таблица1[[#This Row],[коэф]])),
IF((G280="5/8"),((база!$J$6*2*Таблица1[[#This Row],[Столбец1]]*Таблица1[[#This Row],[коэф]])),
IF(OR(G280="4/8",G280="3/8",G280="2/8"),((база!$J$5*2*Таблица1[[#This Row],[Столбец1]]*Таблица1[[#This Row],[коэф]])))))))))))</f>
        <v>0</v>
      </c>
      <c r="AQ280" s="712" t="str">
        <f>IFERROR(INDEX(база!T:T, MATCH(F280,база!Q:Q,0)),"")</f>
        <v/>
      </c>
      <c r="AR280" s="208" t="str">
        <f>IFERROR(INDEX(база!D:D, MATCH(F280,база!B:B,0)),"")</f>
        <v/>
      </c>
      <c r="AS280" s="758" t="str">
        <f>IFERROR(INDEX(база!E:E, MATCH(F280,база!B:B,0)),"")</f>
        <v/>
      </c>
    </row>
    <row r="281" spans="1:45" ht="15">
      <c r="A281" s="66" t="str">
        <f t="shared" si="4"/>
        <v>январь</v>
      </c>
      <c r="B281" s="231">
        <v>2024</v>
      </c>
      <c r="C281" s="60"/>
      <c r="D281" s="61"/>
      <c r="E281" s="211"/>
      <c r="F281" s="680"/>
      <c r="G281" s="47"/>
      <c r="H281" s="563"/>
      <c r="I281" s="563"/>
      <c r="J281" s="563"/>
      <c r="K281" s="563"/>
      <c r="L281" s="563"/>
      <c r="M281" s="563"/>
      <c r="N281" s="563"/>
      <c r="O281" s="563"/>
      <c r="P281" s="563"/>
      <c r="Q281" s="563"/>
      <c r="R281" s="563"/>
      <c r="S281" s="563"/>
      <c r="T281" s="563"/>
      <c r="U281" s="563"/>
      <c r="V281" s="563"/>
      <c r="W281" s="563"/>
      <c r="X281" s="563"/>
      <c r="Y281" s="563"/>
      <c r="Z281" s="563"/>
      <c r="AA281" s="563"/>
      <c r="AB281" s="563"/>
      <c r="AC281" s="563"/>
      <c r="AD281" s="48"/>
      <c r="AE281" s="48"/>
      <c r="AF281" s="258"/>
      <c r="AG281" s="48"/>
      <c r="AH281" s="48"/>
      <c r="AI281" s="258"/>
      <c r="AJ281" s="258"/>
      <c r="AK281" s="258"/>
      <c r="AL281" s="258"/>
      <c r="AM281" s="212">
        <f>IF(AQ281=1,SUM(Q281:T281,W281:Z281,AC281:AF281,AI281:AL281),
IF(AQ281=2,SUM(P281,S281:V281,Y281:AB281,AE281:AH281,AK281:AL281),
IF(AQ281=3,SUM(P281:R281,U281:X281,AA281:AD281,AG281:AJ281),SUM(Таблица1[[#This Row],[1]:[31]])-Таблица1[[#This Row],[Столбец1]])))</f>
        <v>0</v>
      </c>
      <c r="AN281" s="778">
        <f t="array" ref="AN281">IF(AQ281=1,SUM(P281,U281:V281,AA281:AB281,AG281:AH281),
IF(AQ281=2,SUM(Q281:R281,W281:X281,AC281:AD281,AI281:AJ281),
IF(AQ281=3,SUM(S281:T281,Y281:Z281,AE281:AF281,AK281:AL281),
SUM(IFERROR(WEEKDAY($H$2:$AL$2,2)&gt;5,)*H281:AL281))))+Таблица1[[#This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81" s="292" t="b">
        <f>IF(AR281&lt;=3,(IF((G281="5/24"),((база!$M$6*Таблица1[[#This Row],[сумма]]*Таблица1[[#This Row],[коэф]])),
IF((G281="4/24"),((база!$M$5*Таблица1[[#This Row],[сумма]]*Таблица1[[#This Row],[коэф]])),
IF((G281="3/24"),((база!$M$4*Таблица1[[#This Row],[сумма]]*Таблица1[[#This Row],[коэф]])),
IF((G281="5/16"),((база!$L$6*Таблица1[[#This Row],[сумма]]*Таблица1[[#This Row],[коэф]])),
IF((G281="4/16"),((база!$L$5*Таблица1[[#This Row],[сумма]]*Таблица1[[#This Row],[коэф]])),
IF((G281="3/16"),((база!$L$4*Таблица1[[#This Row],[сумма]]*Таблица1[[#This Row],[коэф]])),
IF((G281="4/4"),((база!$I$5*Таблица1[[#This Row],[сумма]]*Таблица1[[#This Row],[коэф]])),
IF(OR(G281="2/4",G281="3/4"),((база!$I$4*Таблица1[[#This Row],[сумма]]*Таблица1[[#This Row],[коэф]])),
IF((G281="5/8"),((база!$J$6*Таблица1[[#This Row],[сумма]]*Таблица1[[#This Row],[коэф]])),
IF((G281="4/8"),((база!$J$5*Таблица1[[#This Row],[сумма]]*Таблица1[[#This Row],[коэф]])),
IF(OR(G281="3/8",G281="2/8"),((база!$J$4*Таблица1[[#This Row],[сумма]]*Таблица1[[#This Row],[коэф]])))))))))))))),
(IF((G281="5/24"),((база!$M$6*Таблица1[[#This Row],[сумма]]*Таблица1[[#This Row],[коэф]])),
IF(OR(G281="4/24",G281="3/24"),((база!$M$5*Таблица1[[#This Row],[сумма]]*Таблица1[[#This Row],[коэф]])),
IF((G281="5/16"),((база!$L$6*Таблица1[[#This Row],[сумма]]*Таблица1[[#This Row],[коэф]])),
IF(OR(G281="4/16",G281="3/16"),((база!$L$5*Таблица1[[#This Row],[сумма]]*Таблица1[[#This Row],[коэф]])),
IF(OR(G281="2/4",G281="3/4",G281="4/4"),((база!$I$5*Таблица1[[#This Row],[сумма]]*Таблица1[[#This Row],[коэф]])),
IF((G281="5/8"),((база!$J$6*Таблица1[[#This Row],[сумма]]*Таблица1[[#This Row],[коэф]])),
IF(OR(G281="4/8",G281="3/8",G281="2/8"),((база!$J$5*Таблица1[[#This Row],[сумма]]*Таблица1[[#This Row],[коэф]])))))))))))</f>
        <v>0</v>
      </c>
      <c r="AP281" s="730" t="b">
        <f>IF(AR281&lt;=3,(IF((G281="5/24"),((база!$M$6*2*Таблица1[[#This Row],[Столбец1]]*Таблица1[[#This Row],[коэф]])),
IF((G281="4/24"),((база!$M$5*2*Таблица1[[#This Row],[Столбец1]]*Таблица1[[#This Row],[коэф]])),
IF((G281="3/24"),((база!$M$4*2*Таблица1[[#This Row],[Столбец1]]*Таблица1[[#This Row],[коэф]])),
IF((G281="5/16"),((база!$L$6*2*Таблица1[[#This Row],[Столбец1]]*Таблица1[[#This Row],[коэф]])),
IF((G281="4/16"),((база!$L$5*2*Таблица1[[#This Row],[Столбец1]]*Таблица1[[#This Row],[коэф]])),
IF((G281="3/16"),((база!$L$4*2*Таблица1[[#This Row],[Столбец1]]*Таблица1[[#This Row],[коэф]])),
IF((G281="4/4"),((база!$I$5*2*Таблица1[[#This Row],[Столбец1]]*Таблица1[[#This Row],[коэф]])),
IF(OR(G281="2/4",G281="3/4"),((база!$I$4*2*Таблица1[[#This Row],[Столбец1]]*Таблица1[[#This Row],[коэф]])),
IF((G281="5/8"),((база!$J$6*2*Таблица1[[#This Row],[Столбец1]]*Таблица1[[#This Row],[коэф]])),
IF((G281="4/8"),((база!$J$5*2*Таблица1[[#This Row],[Столбец1]]*Таблица1[[#This Row],[коэф]])),
IF(OR(G281="3/8",G281="2/8"),((база!$J$4*2*Таблица1[[#This Row],[Столбец1]]*Таблица1[[#This Row],[коэф]])))))))))))))),
(IF((G281="5/24"),((база!$M$6*2*Таблица1[[#This Row],[Столбец1]]*Таблица1[[#This Row],[коэф]])),
IF(OR(G281="4/24",G281="3/24"),((база!$M$5*2*Таблица1[[#This Row],[Столбец1]]*Таблица1[[#This Row],[коэф]])),
IF((G281="5/16"),((база!$L$6*2*Таблица1[[#This Row],[Столбец1]]*Таблица1[[#This Row],[коэф]])),
IF(OR(G281="4/16",G281="3/16"),((база!$L$5*2*Таблица1[[#This Row],[Столбец1]]*Таблица1[[#This Row],[коэф]])),
IF(OR(G281="2/4",G281="3/4",G281="4/4"),((база!$I$5*2*Таблица1[[#This Row],[Столбец1]]*Таблица1[[#This Row],[коэф]])),
IF((G281="5/8"),((база!$J$6*2*Таблица1[[#This Row],[Столбец1]]*Таблица1[[#This Row],[коэф]])),
IF(OR(G281="4/8",G281="3/8",G281="2/8"),((база!$J$5*2*Таблица1[[#This Row],[Столбец1]]*Таблица1[[#This Row],[коэф]])))))))))))</f>
        <v>0</v>
      </c>
      <c r="AQ281" s="712" t="str">
        <f>IFERROR(INDEX(база!T:T, MATCH(F282,база!Q:Q,0)),"")</f>
        <v/>
      </c>
      <c r="AR281" s="208" t="str">
        <f>IFERROR(INDEX(база!D:D, MATCH(F281,база!B:B,0)),"")</f>
        <v/>
      </c>
      <c r="AS281" s="758" t="str">
        <f>IFERROR(INDEX(база!E:E, MATCH(F281,база!B:B,0)),"")</f>
        <v/>
      </c>
    </row>
    <row r="282" spans="1:45" ht="15">
      <c r="A282" s="66" t="str">
        <f t="shared" si="4"/>
        <v>январь</v>
      </c>
      <c r="B282" s="231">
        <v>2024</v>
      </c>
      <c r="C282" s="60"/>
      <c r="D282" s="61"/>
      <c r="E282" s="211"/>
      <c r="F282" s="680"/>
      <c r="G282" s="47"/>
      <c r="H282" s="563"/>
      <c r="I282" s="563"/>
      <c r="J282" s="563"/>
      <c r="K282" s="563"/>
      <c r="L282" s="563"/>
      <c r="M282" s="563"/>
      <c r="N282" s="563"/>
      <c r="O282" s="563"/>
      <c r="P282" s="300"/>
      <c r="Q282" s="563"/>
      <c r="R282" s="563"/>
      <c r="S282" s="563"/>
      <c r="T282" s="563"/>
      <c r="U282" s="563"/>
      <c r="V282" s="563"/>
      <c r="W282" s="563"/>
      <c r="X282" s="563"/>
      <c r="Y282" s="563"/>
      <c r="Z282" s="563"/>
      <c r="AA282" s="563"/>
      <c r="AB282" s="563"/>
      <c r="AC282" s="563"/>
      <c r="AD282" s="48"/>
      <c r="AE282" s="48"/>
      <c r="AF282" s="258"/>
      <c r="AG282" s="48"/>
      <c r="AH282" s="48"/>
      <c r="AI282" s="48"/>
      <c r="AJ282" s="48"/>
      <c r="AK282" s="48"/>
      <c r="AL282" s="51"/>
      <c r="AM282" s="212">
        <f>IF(AQ282=1,SUM(Q282:T282,W282:Z282,AC282:AF282,AI282:AL282),
IF(AQ282=2,SUM(P282,S282:V282,Y282:AB282,AE282:AH282,AK282:AL282),
IF(AQ282=3,SUM(P282:R282,U282:X282,AA282:AD282,AG282:AJ282),SUM(Таблица1[[#This Row],[1]:[31]])-Таблица1[[#This Row],[Столбец1]])))</f>
        <v>0</v>
      </c>
      <c r="AN282" s="778">
        <f t="array" ref="AN282">IF(AQ282=1,SUM(P282,U282:V282,AA282:AB282,AG282:AH282),
IF(AQ282=2,SUM(Q282:R282,W282:X282,AC282:AD282,AI282:AJ282),
IF(AQ282=3,SUM(S282:T282,Y282:Z282,AE282:AF282,AK282:AL282),
SUM(IFERROR(WEEKDAY($H$2:$AL$2,2)&gt;5,)*H282:AL282))))+Таблица1[[#This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82" s="292" t="b">
        <f>IF(AR282&lt;=3,(IF((G282="5/24"),((база!$M$6*Таблица1[[#This Row],[сумма]]*Таблица1[[#This Row],[коэф]])),
IF((G282="4/24"),((база!$M$5*Таблица1[[#This Row],[сумма]]*Таблица1[[#This Row],[коэф]])),
IF((G282="3/24"),((база!$M$4*Таблица1[[#This Row],[сумма]]*Таблица1[[#This Row],[коэф]])),
IF((G282="5/16"),((база!$L$6*Таблица1[[#This Row],[сумма]]*Таблица1[[#This Row],[коэф]])),
IF((G282="4/16"),((база!$L$5*Таблица1[[#This Row],[сумма]]*Таблица1[[#This Row],[коэф]])),
IF((G282="3/16"),((база!$L$4*Таблица1[[#This Row],[сумма]]*Таблица1[[#This Row],[коэф]])),
IF((G282="4/4"),((база!$I$5*Таблица1[[#This Row],[сумма]]*Таблица1[[#This Row],[коэф]])),
IF(OR(G282="2/4",G282="3/4"),((база!$I$4*Таблица1[[#This Row],[сумма]]*Таблица1[[#This Row],[коэф]])),
IF((G282="5/8"),((база!$J$6*Таблица1[[#This Row],[сумма]]*Таблица1[[#This Row],[коэф]])),
IF((G282="4/8"),((база!$J$5*Таблица1[[#This Row],[сумма]]*Таблица1[[#This Row],[коэф]])),
IF(OR(G282="3/8",G282="2/8"),((база!$J$4*Таблица1[[#This Row],[сумма]]*Таблица1[[#This Row],[коэф]])))))))))))))),
(IF((G282="5/24"),((база!$M$6*Таблица1[[#This Row],[сумма]]*Таблица1[[#This Row],[коэф]])),
IF(OR(G282="4/24",G282="3/24"),((база!$M$5*Таблица1[[#This Row],[сумма]]*Таблица1[[#This Row],[коэф]])),
IF((G282="5/16"),((база!$L$6*Таблица1[[#This Row],[сумма]]*Таблица1[[#This Row],[коэф]])),
IF(OR(G282="4/16",G282="3/16"),((база!$L$5*Таблица1[[#This Row],[сумма]]*Таблица1[[#This Row],[коэф]])),
IF(OR(G282="2/4",G282="3/4",G282="4/4"),((база!$I$5*Таблица1[[#This Row],[сумма]]*Таблица1[[#This Row],[коэф]])),
IF((G282="5/8"),((база!$J$6*Таблица1[[#This Row],[сумма]]*Таблица1[[#This Row],[коэф]])),
IF(OR(G282="4/8",G282="3/8",G282="2/8"),((база!$J$5*Таблица1[[#This Row],[сумма]]*Таблица1[[#This Row],[коэф]])))))))))))</f>
        <v>0</v>
      </c>
      <c r="AP282" s="730" t="b">
        <f>IF(AR282&lt;=3,(IF((G282="5/24"),((база!$M$6*2*Таблица1[[#This Row],[Столбец1]]*Таблица1[[#This Row],[коэф]])),
IF((G282="4/24"),((база!$M$5*2*Таблица1[[#This Row],[Столбец1]]*Таблица1[[#This Row],[коэф]])),
IF((G282="3/24"),((база!$M$4*2*Таблица1[[#This Row],[Столбец1]]*Таблица1[[#This Row],[коэф]])),
IF((G282="5/16"),((база!$L$6*2*Таблица1[[#This Row],[Столбец1]]*Таблица1[[#This Row],[коэф]])),
IF((G282="4/16"),((база!$L$5*2*Таблица1[[#This Row],[Столбец1]]*Таблица1[[#This Row],[коэф]])),
IF((G282="3/16"),((база!$L$4*2*Таблица1[[#This Row],[Столбец1]]*Таблица1[[#This Row],[коэф]])),
IF((G282="4/4"),((база!$I$5*2*Таблица1[[#This Row],[Столбец1]]*Таблица1[[#This Row],[коэф]])),
IF(OR(G282="2/4",G282="3/4"),((база!$I$4*2*Таблица1[[#This Row],[Столбец1]]*Таблица1[[#This Row],[коэф]])),
IF((G282="5/8"),((база!$J$6*2*Таблица1[[#This Row],[Столбец1]]*Таблица1[[#This Row],[коэф]])),
IF((G282="4/8"),((база!$J$5*2*Таблица1[[#This Row],[Столбец1]]*Таблица1[[#This Row],[коэф]])),
IF(OR(G282="3/8",G282="2/8"),((база!$J$4*2*Таблица1[[#This Row],[Столбец1]]*Таблица1[[#This Row],[коэф]])))))))))))))),
(IF((G282="5/24"),((база!$M$6*2*Таблица1[[#This Row],[Столбец1]]*Таблица1[[#This Row],[коэф]])),
IF(OR(G282="4/24",G282="3/24"),((база!$M$5*2*Таблица1[[#This Row],[Столбец1]]*Таблица1[[#This Row],[коэф]])),
IF((G282="5/16"),((база!$L$6*2*Таблица1[[#This Row],[Столбец1]]*Таблица1[[#This Row],[коэф]])),
IF(OR(G282="4/16",G282="3/16"),((база!$L$5*2*Таблица1[[#This Row],[Столбец1]]*Таблица1[[#This Row],[коэф]])),
IF(OR(G282="2/4",G282="3/4",G282="4/4"),((база!$I$5*2*Таблица1[[#This Row],[Столбец1]]*Таблица1[[#This Row],[коэф]])),
IF((G282="5/8"),((база!$J$6*2*Таблица1[[#This Row],[Столбец1]]*Таблица1[[#This Row],[коэф]])),
IF(OR(G282="4/8",G282="3/8",G282="2/8"),((база!$J$5*2*Таблица1[[#This Row],[Столбец1]]*Таблица1[[#This Row],[коэф]])))))))))))</f>
        <v>0</v>
      </c>
      <c r="AQ282" s="712" t="str">
        <f>IFERROR(INDEX(база!T:T, MATCH(#REF!,база!Q:Q,0)),"")</f>
        <v/>
      </c>
      <c r="AR282" s="208" t="str">
        <f>IFERROR(INDEX(база!D:D, MATCH(F282,база!B:B,0)),"")</f>
        <v/>
      </c>
      <c r="AS282" s="758" t="str">
        <f>IFERROR(INDEX(база!E:E, MATCH(F282,база!B:B,0)),"")</f>
        <v/>
      </c>
    </row>
    <row r="283" spans="1:45" ht="15">
      <c r="A283" s="66" t="str">
        <f t="shared" si="4"/>
        <v>январь</v>
      </c>
      <c r="B283" s="231">
        <v>2024</v>
      </c>
      <c r="C283" s="60"/>
      <c r="D283" s="61"/>
      <c r="E283" s="211"/>
      <c r="F283" s="680"/>
      <c r="G283" s="47"/>
      <c r="H283" s="563"/>
      <c r="I283" s="563"/>
      <c r="J283" s="563"/>
      <c r="K283" s="563"/>
      <c r="L283" s="563"/>
      <c r="M283" s="563"/>
      <c r="N283" s="563"/>
      <c r="O283" s="563"/>
      <c r="P283" s="300"/>
      <c r="Q283" s="563"/>
      <c r="R283" s="563"/>
      <c r="S283" s="563"/>
      <c r="T283" s="563"/>
      <c r="U283" s="563"/>
      <c r="V283" s="563"/>
      <c r="W283" s="563"/>
      <c r="X283" s="563"/>
      <c r="Y283" s="563"/>
      <c r="Z283" s="563"/>
      <c r="AA283" s="563"/>
      <c r="AB283" s="563"/>
      <c r="AC283" s="563"/>
      <c r="AD283" s="48"/>
      <c r="AE283" s="48"/>
      <c r="AF283" s="48"/>
      <c r="AG283" s="48"/>
      <c r="AH283" s="48"/>
      <c r="AI283" s="258"/>
      <c r="AJ283" s="258"/>
      <c r="AK283" s="258"/>
      <c r="AL283" s="258"/>
      <c r="AM283" s="212">
        <f>IF(AQ283=1,SUM(Q283:T283,W283:Z283,AC283:AF283,AI283:AL283),
IF(AQ283=2,SUM(P283,S283:V283,Y283:AB283,AE283:AH283,AK283:AL283),
IF(AQ283=3,SUM(P283:R283,U283:X283,AA283:AD283,AG283:AJ283),SUM(Таблица1[[#This Row],[1]:[31]])-Таблица1[[#This Row],[Столбец1]])))</f>
        <v>0</v>
      </c>
      <c r="AN283" s="778">
        <f t="array" ref="AN283">IF(AQ283=1,SUM(P283,U283:V283,AA283:AB283,AG283:AH283),
IF(AQ283=2,SUM(Q283:R283,W283:X283,AC283:AD283,AI283:AJ283),
IF(AQ283=3,SUM(S283:T283,Y283:Z283,AE283:AF283,AK283:AL283),
SUM(IFERROR(WEEKDAY($H$2:$AL$2,2)&gt;5,)*H283:AL283))))+Таблица1[[#This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83" s="292" t="b">
        <f>IF(AR283&lt;=3,(IF((G283="5/24"),((база!$M$6*Таблица1[[#This Row],[сумма]]*Таблица1[[#This Row],[коэф]])),
IF((G283="4/24"),((база!$M$5*Таблица1[[#This Row],[сумма]]*Таблица1[[#This Row],[коэф]])),
IF((G283="3/24"),((база!$M$4*Таблица1[[#This Row],[сумма]]*Таблица1[[#This Row],[коэф]])),
IF((G283="5/16"),((база!$L$6*Таблица1[[#This Row],[сумма]]*Таблица1[[#This Row],[коэф]])),
IF((G283="4/16"),((база!$L$5*Таблица1[[#This Row],[сумма]]*Таблица1[[#This Row],[коэф]])),
IF((G283="3/16"),((база!$L$4*Таблица1[[#This Row],[сумма]]*Таблица1[[#This Row],[коэф]])),
IF((G283="4/4"),((база!$I$5*Таблица1[[#This Row],[сумма]]*Таблица1[[#This Row],[коэф]])),
IF(OR(G283="2/4",G283="3/4"),((база!$I$4*Таблица1[[#This Row],[сумма]]*Таблица1[[#This Row],[коэф]])),
IF((G283="5/8"),((база!$J$6*Таблица1[[#This Row],[сумма]]*Таблица1[[#This Row],[коэф]])),
IF((G283="4/8"),((база!$J$5*Таблица1[[#This Row],[сумма]]*Таблица1[[#This Row],[коэф]])),
IF(OR(G283="3/8",G283="2/8"),((база!$J$4*Таблица1[[#This Row],[сумма]]*Таблица1[[#This Row],[коэф]])))))))))))))),
(IF((G283="5/24"),((база!$M$6*Таблица1[[#This Row],[сумма]]*Таблица1[[#This Row],[коэф]])),
IF(OR(G283="4/24",G283="3/24"),((база!$M$5*Таблица1[[#This Row],[сумма]]*Таблица1[[#This Row],[коэф]])),
IF((G283="5/16"),((база!$L$6*Таблица1[[#This Row],[сумма]]*Таблица1[[#This Row],[коэф]])),
IF(OR(G283="4/16",G283="3/16"),((база!$L$5*Таблица1[[#This Row],[сумма]]*Таблица1[[#This Row],[коэф]])),
IF(OR(G283="2/4",G283="3/4",G283="4/4"),((база!$I$5*Таблица1[[#This Row],[сумма]]*Таблица1[[#This Row],[коэф]])),
IF((G283="5/8"),((база!$J$6*Таблица1[[#This Row],[сумма]]*Таблица1[[#This Row],[коэф]])),
IF(OR(G283="4/8",G283="3/8",G283="2/8"),((база!$J$5*Таблица1[[#This Row],[сумма]]*Таблица1[[#This Row],[коэф]])))))))))))</f>
        <v>0</v>
      </c>
      <c r="AP283" s="730" t="b">
        <f>IF(AR283&lt;=3,(IF((G283="5/24"),((база!$M$6*2*Таблица1[[#This Row],[Столбец1]]*Таблица1[[#This Row],[коэф]])),
IF((G283="4/24"),((база!$M$5*2*Таблица1[[#This Row],[Столбец1]]*Таблица1[[#This Row],[коэф]])),
IF((G283="3/24"),((база!$M$4*2*Таблица1[[#This Row],[Столбец1]]*Таблица1[[#This Row],[коэф]])),
IF((G283="5/16"),((база!$L$6*2*Таблица1[[#This Row],[Столбец1]]*Таблица1[[#This Row],[коэф]])),
IF((G283="4/16"),((база!$L$5*2*Таблица1[[#This Row],[Столбец1]]*Таблица1[[#This Row],[коэф]])),
IF((G283="3/16"),((база!$L$4*2*Таблица1[[#This Row],[Столбец1]]*Таблица1[[#This Row],[коэф]])),
IF((G283="4/4"),((база!$I$5*2*Таблица1[[#This Row],[Столбец1]]*Таблица1[[#This Row],[коэф]])),
IF(OR(G283="2/4",G283="3/4"),((база!$I$4*2*Таблица1[[#This Row],[Столбец1]]*Таблица1[[#This Row],[коэф]])),
IF((G283="5/8"),((база!$J$6*2*Таблица1[[#This Row],[Столбец1]]*Таблица1[[#This Row],[коэф]])),
IF((G283="4/8"),((база!$J$5*2*Таблица1[[#This Row],[Столбец1]]*Таблица1[[#This Row],[коэф]])),
IF(OR(G283="3/8",G283="2/8"),((база!$J$4*2*Таблица1[[#This Row],[Столбец1]]*Таблица1[[#This Row],[коэф]])))))))))))))),
(IF((G283="5/24"),((база!$M$6*2*Таблица1[[#This Row],[Столбец1]]*Таблица1[[#This Row],[коэф]])),
IF(OR(G283="4/24",G283="3/24"),((база!$M$5*2*Таблица1[[#This Row],[Столбец1]]*Таблица1[[#This Row],[коэф]])),
IF((G283="5/16"),((база!$L$6*2*Таблица1[[#This Row],[Столбец1]]*Таблица1[[#This Row],[коэф]])),
IF(OR(G283="4/16",G283="3/16"),((база!$L$5*2*Таблица1[[#This Row],[Столбец1]]*Таблица1[[#This Row],[коэф]])),
IF(OR(G283="2/4",G283="3/4",G283="4/4"),((база!$I$5*2*Таблица1[[#This Row],[Столбец1]]*Таблица1[[#This Row],[коэф]])),
IF((G283="5/8"),((база!$J$6*2*Таблица1[[#This Row],[Столбец1]]*Таблица1[[#This Row],[коэф]])),
IF(OR(G283="4/8",G283="3/8",G283="2/8"),((база!$J$5*2*Таблица1[[#This Row],[Столбец1]]*Таблица1[[#This Row],[коэф]])))))))))))</f>
        <v>0</v>
      </c>
      <c r="AQ283" s="712" t="str">
        <f>IFERROR(INDEX(база!T:T, MATCH(F283,база!Q:Q,0)),"")</f>
        <v/>
      </c>
      <c r="AR283" s="208" t="str">
        <f>IFERROR(INDEX(база!D:D, MATCH(F283,база!B:B,0)),"")</f>
        <v/>
      </c>
      <c r="AS283" s="758" t="str">
        <f>IFERROR(INDEX(база!E:E, MATCH(F283,база!B:B,0)),"")</f>
        <v/>
      </c>
    </row>
    <row r="284" spans="1:45" ht="15">
      <c r="A284" s="66" t="str">
        <f t="shared" ref="A284" si="6">A283</f>
        <v>январь</v>
      </c>
      <c r="B284" s="231">
        <v>2024</v>
      </c>
      <c r="C284" s="299"/>
      <c r="D284" s="61"/>
      <c r="E284" s="211"/>
      <c r="F284" s="680"/>
      <c r="G284" s="47"/>
      <c r="H284" s="563"/>
      <c r="I284" s="563"/>
      <c r="J284" s="563"/>
      <c r="K284" s="563"/>
      <c r="L284" s="563"/>
      <c r="M284" s="563"/>
      <c r="N284" s="563"/>
      <c r="O284" s="563"/>
      <c r="P284" s="300"/>
      <c r="Q284" s="563"/>
      <c r="R284" s="563"/>
      <c r="S284" s="563"/>
      <c r="T284" s="563"/>
      <c r="U284" s="563"/>
      <c r="V284" s="563"/>
      <c r="W284" s="563"/>
      <c r="X284" s="563"/>
      <c r="Y284" s="563"/>
      <c r="Z284" s="563"/>
      <c r="AA284" s="563"/>
      <c r="AB284" s="563"/>
      <c r="AC284" s="563"/>
      <c r="AD284" s="48"/>
      <c r="AE284" s="48"/>
      <c r="AF284" s="258"/>
      <c r="AG284" s="48"/>
      <c r="AH284" s="48"/>
      <c r="AI284" s="48"/>
      <c r="AJ284" s="48"/>
      <c r="AK284" s="48"/>
      <c r="AL284" s="51"/>
      <c r="AM284" s="212">
        <f>IF(AQ284=1,SUM(Q284:T284,W284:Z284,AC284:AF284,AI284:AL284),
IF(AQ284=2,SUM(P284,S284:V284,Y284:AB284,AE284:AH284,AK284:AL284),
IF(AQ284=3,SUM(P284:R284,U284:X284,AA284:AD284,AG284:AJ284),SUM(Таблица1[[#This Row],[1]:[31]])-Таблица1[[#This Row],[Столбец1]])))</f>
        <v>0</v>
      </c>
      <c r="AN284" s="778">
        <f t="array" ref="AN284">IF(AQ284=1,SUM(P284,U284:V284,AA284:AB284,AG284:AH284),
IF(AQ284=2,SUM(Q284:R284,W284:X284,AC284:AD284,AI284:AJ284),
IF(AQ284=3,SUM(S284:T284,Y284:Z284,AE284:AF284,AK284:AL284),
SUM(IFERROR(WEEKDAY($H$2:$AL$2,2)&gt;5,)*H284:AL284))))+Таблица1[[#This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84" s="292" t="b">
        <f>IF(AR284&lt;=3,(IF((G284="5/24"),((база!$M$6*Таблица1[[#This Row],[сумма]]*Таблица1[[#This Row],[коэф]])),
IF((G284="4/24"),((база!$M$5*Таблица1[[#This Row],[сумма]]*Таблица1[[#This Row],[коэф]])),
IF((G284="3/24"),((база!$M$4*Таблица1[[#This Row],[сумма]]*Таблица1[[#This Row],[коэф]])),
IF((G284="5/16"),((база!$L$6*Таблица1[[#This Row],[сумма]]*Таблица1[[#This Row],[коэф]])),
IF((G284="4/16"),((база!$L$5*Таблица1[[#This Row],[сумма]]*Таблица1[[#This Row],[коэф]])),
IF((G284="3/16"),((база!$L$4*Таблица1[[#This Row],[сумма]]*Таблица1[[#This Row],[коэф]])),
IF((G284="4/4"),((база!$I$5*Таблица1[[#This Row],[сумма]]*Таблица1[[#This Row],[коэф]])),
IF(OR(G284="2/4",G284="3/4"),((база!$I$4*Таблица1[[#This Row],[сумма]]*Таблица1[[#This Row],[коэф]])),
IF((G284="5/8"),((база!$J$6*Таблица1[[#This Row],[сумма]]*Таблица1[[#This Row],[коэф]])),
IF((G284="4/8"),((база!$J$5*Таблица1[[#This Row],[сумма]]*Таблица1[[#This Row],[коэф]])),
IF(OR(G284="3/8",G284="2/8"),((база!$J$4*Таблица1[[#This Row],[сумма]]*Таблица1[[#This Row],[коэф]])))))))))))))),
(IF((G284="5/24"),((база!$M$6*Таблица1[[#This Row],[сумма]]*Таблица1[[#This Row],[коэф]])),
IF(OR(G284="4/24",G284="3/24"),((база!$M$5*Таблица1[[#This Row],[сумма]]*Таблица1[[#This Row],[коэф]])),
IF((G284="5/16"),((база!$L$6*Таблица1[[#This Row],[сумма]]*Таблица1[[#This Row],[коэф]])),
IF(OR(G284="4/16",G284="3/16"),((база!$L$5*Таблица1[[#This Row],[сумма]]*Таблица1[[#This Row],[коэф]])),
IF(OR(G284="2/4",G284="3/4",G284="4/4"),((база!$I$5*Таблица1[[#This Row],[сумма]]*Таблица1[[#This Row],[коэф]])),
IF((G284="5/8"),((база!$J$6*Таблица1[[#This Row],[сумма]]*Таблица1[[#This Row],[коэф]])),
IF(OR(G284="4/8",G284="3/8",G284="2/8"),((база!$J$5*Таблица1[[#This Row],[сумма]]*Таблица1[[#This Row],[коэф]])))))))))))</f>
        <v>0</v>
      </c>
      <c r="AP284" s="730" t="b">
        <f>IF(AR284&lt;=3,(IF((G284="5/24"),((база!$M$6*2*Таблица1[[#This Row],[Столбец1]]*Таблица1[[#This Row],[коэф]])),
IF((G284="4/24"),((база!$M$5*2*Таблица1[[#This Row],[Столбец1]]*Таблица1[[#This Row],[коэф]])),
IF((G284="3/24"),((база!$M$4*2*Таблица1[[#This Row],[Столбец1]]*Таблица1[[#This Row],[коэф]])),
IF((G284="5/16"),((база!$L$6*2*Таблица1[[#This Row],[Столбец1]]*Таблица1[[#This Row],[коэф]])),
IF((G284="4/16"),((база!$L$5*2*Таблица1[[#This Row],[Столбец1]]*Таблица1[[#This Row],[коэф]])),
IF((G284="3/16"),((база!$L$4*2*Таблица1[[#This Row],[Столбец1]]*Таблица1[[#This Row],[коэф]])),
IF((G284="4/4"),((база!$I$5*2*Таблица1[[#This Row],[Столбец1]]*Таблица1[[#This Row],[коэф]])),
IF(OR(G284="2/4",G284="3/4"),((база!$I$4*2*Таблица1[[#This Row],[Столбец1]]*Таблица1[[#This Row],[коэф]])),
IF((G284="5/8"),((база!$J$6*2*Таблица1[[#This Row],[Столбец1]]*Таблица1[[#This Row],[коэф]])),
IF((G284="4/8"),((база!$J$5*2*Таблица1[[#This Row],[Столбец1]]*Таблица1[[#This Row],[коэф]])),
IF(OR(G284="3/8",G284="2/8"),((база!$J$4*2*Таблица1[[#This Row],[Столбец1]]*Таблица1[[#This Row],[коэф]])))))))))))))),
(IF((G284="5/24"),((база!$M$6*2*Таблица1[[#This Row],[Столбец1]]*Таблица1[[#This Row],[коэф]])),
IF(OR(G284="4/24",G284="3/24"),((база!$M$5*2*Таблица1[[#This Row],[Столбец1]]*Таблица1[[#This Row],[коэф]])),
IF((G284="5/16"),((база!$L$6*2*Таблица1[[#This Row],[Столбец1]]*Таблица1[[#This Row],[коэф]])),
IF(OR(G284="4/16",G284="3/16"),((база!$L$5*2*Таблица1[[#This Row],[Столбец1]]*Таблица1[[#This Row],[коэф]])),
IF(OR(G284="2/4",G284="3/4",G284="4/4"),((база!$I$5*2*Таблица1[[#This Row],[Столбец1]]*Таблица1[[#This Row],[коэф]])),
IF((G284="5/8"),((база!$J$6*2*Таблица1[[#This Row],[Столбец1]]*Таблица1[[#This Row],[коэф]])),
IF(OR(G284="4/8",G284="3/8",G284="2/8"),((база!$J$5*2*Таблица1[[#This Row],[Столбец1]]*Таблица1[[#This Row],[коэф]])))))))))))</f>
        <v>0</v>
      </c>
      <c r="AQ284" s="712" t="str">
        <f>IFERROR(INDEX(база!T:T, MATCH(F284,база!Q:Q,0)),"")</f>
        <v/>
      </c>
      <c r="AR284" s="208" t="str">
        <f>IFERROR(INDEX(база!D:D, MATCH(F284,база!B:B,0)),"")</f>
        <v/>
      </c>
      <c r="AS284" s="758" t="str">
        <f>IFERROR(INDEX(база!E:E, MATCH(F284,база!B:B,0)),"")</f>
        <v/>
      </c>
    </row>
    <row r="285" spans="1:45" ht="15">
      <c r="A285" s="66" t="str">
        <f t="shared" si="4"/>
        <v>январь</v>
      </c>
      <c r="B285" s="231">
        <v>2024</v>
      </c>
      <c r="C285" s="60"/>
      <c r="D285" s="61"/>
      <c r="E285" s="211"/>
      <c r="F285" s="680"/>
      <c r="G285" s="47"/>
      <c r="H285" s="563"/>
      <c r="I285" s="563"/>
      <c r="J285" s="563"/>
      <c r="K285" s="563"/>
      <c r="L285" s="563"/>
      <c r="M285" s="563"/>
      <c r="N285" s="563"/>
      <c r="O285" s="563"/>
      <c r="P285" s="563"/>
      <c r="Q285" s="563"/>
      <c r="R285" s="563"/>
      <c r="S285" s="563"/>
      <c r="T285" s="563"/>
      <c r="U285" s="563"/>
      <c r="V285" s="563"/>
      <c r="W285" s="563"/>
      <c r="X285" s="563"/>
      <c r="Y285" s="563"/>
      <c r="Z285" s="563"/>
      <c r="AA285" s="563"/>
      <c r="AB285" s="563"/>
      <c r="AC285" s="563"/>
      <c r="AD285" s="48"/>
      <c r="AE285" s="48"/>
      <c r="AF285" s="258"/>
      <c r="AG285" s="48"/>
      <c r="AH285" s="48"/>
      <c r="AI285" s="258"/>
      <c r="AJ285" s="258"/>
      <c r="AK285" s="258"/>
      <c r="AL285" s="258"/>
      <c r="AM285" s="212">
        <f>IF(AQ285=1,SUM(Q285:T285,W285:Z285,AC285:AF285,AI285:AL285),
IF(AQ285=2,SUM(P285,S285:V285,Y285:AB285,AE285:AH285,AK285:AL285),
IF(AQ285=3,SUM(P285:R285,U285:X285,AA285:AD285,AG285:AJ285),SUM(Таблица1[[#This Row],[1]:[31]])-Таблица1[[#This Row],[Столбец1]])))</f>
        <v>0</v>
      </c>
      <c r="AN285" s="778">
        <f t="array" ref="AN285">IF(AQ285=1,SUM(P285,U285:V285,AA285:AB285,AG285:AH285),
IF(AQ285=2,SUM(Q285:R285,W285:X285,AC285:AD285,AI285:AJ285),
IF(AQ285=3,SUM(S285:T285,Y285:Z285,AE285:AF285,AK285:AL285),
SUM(IFERROR(WEEKDAY($H$2:$AL$2,2)&gt;5,)*H285:AL285))))+Таблица1[[#This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85" s="292" t="b">
        <f>IF(AR285&lt;=3,(IF((G285="5/24"),((база!$M$6*Таблица1[[#This Row],[сумма]]*Таблица1[[#This Row],[коэф]])),
IF((G285="4/24"),((база!$M$5*Таблица1[[#This Row],[сумма]]*Таблица1[[#This Row],[коэф]])),
IF((G285="3/24"),((база!$M$4*Таблица1[[#This Row],[сумма]]*Таблица1[[#This Row],[коэф]])),
IF((G285="5/16"),((база!$L$6*Таблица1[[#This Row],[сумма]]*Таблица1[[#This Row],[коэф]])),
IF((G285="4/16"),((база!$L$5*Таблица1[[#This Row],[сумма]]*Таблица1[[#This Row],[коэф]])),
IF((G285="3/16"),((база!$L$4*Таблица1[[#This Row],[сумма]]*Таблица1[[#This Row],[коэф]])),
IF((G285="4/4"),((база!$I$5*Таблица1[[#This Row],[сумма]]*Таблица1[[#This Row],[коэф]])),
IF(OR(G285="2/4",G285="3/4"),((база!$I$4*Таблица1[[#This Row],[сумма]]*Таблица1[[#This Row],[коэф]])),
IF((G285="5/8"),((база!$J$6*Таблица1[[#This Row],[сумма]]*Таблица1[[#This Row],[коэф]])),
IF((G285="4/8"),((база!$J$5*Таблица1[[#This Row],[сумма]]*Таблица1[[#This Row],[коэф]])),
IF(OR(G285="3/8",G285="2/8"),((база!$J$4*Таблица1[[#This Row],[сумма]]*Таблица1[[#This Row],[коэф]])))))))))))))),
(IF((G285="5/24"),((база!$M$6*Таблица1[[#This Row],[сумма]]*Таблица1[[#This Row],[коэф]])),
IF(OR(G285="4/24",G285="3/24"),((база!$M$5*Таблица1[[#This Row],[сумма]]*Таблица1[[#This Row],[коэф]])),
IF((G285="5/16"),((база!$L$6*Таблица1[[#This Row],[сумма]]*Таблица1[[#This Row],[коэф]])),
IF(OR(G285="4/16",G285="3/16"),((база!$L$5*Таблица1[[#This Row],[сумма]]*Таблица1[[#This Row],[коэф]])),
IF(OR(G285="2/4",G285="3/4",G285="4/4"),((база!$I$5*Таблица1[[#This Row],[сумма]]*Таблица1[[#This Row],[коэф]])),
IF((G285="5/8"),((база!$J$6*Таблица1[[#This Row],[сумма]]*Таблица1[[#This Row],[коэф]])),
IF(OR(G285="4/8",G285="3/8",G285="2/8"),((база!$J$5*Таблица1[[#This Row],[сумма]]*Таблица1[[#This Row],[коэф]])))))))))))</f>
        <v>0</v>
      </c>
      <c r="AP285" s="730" t="b">
        <f>IF(AR285&lt;=3,(IF((G285="5/24"),((база!$M$6*2*Таблица1[[#This Row],[Столбец1]]*Таблица1[[#This Row],[коэф]])),
IF((G285="4/24"),((база!$M$5*2*Таблица1[[#This Row],[Столбец1]]*Таблица1[[#This Row],[коэф]])),
IF((G285="3/24"),((база!$M$4*2*Таблица1[[#This Row],[Столбец1]]*Таблица1[[#This Row],[коэф]])),
IF((G285="5/16"),((база!$L$6*2*Таблица1[[#This Row],[Столбец1]]*Таблица1[[#This Row],[коэф]])),
IF((G285="4/16"),((база!$L$5*2*Таблица1[[#This Row],[Столбец1]]*Таблица1[[#This Row],[коэф]])),
IF((G285="3/16"),((база!$L$4*2*Таблица1[[#This Row],[Столбец1]]*Таблица1[[#This Row],[коэф]])),
IF((G285="4/4"),((база!$I$5*2*Таблица1[[#This Row],[Столбец1]]*Таблица1[[#This Row],[коэф]])),
IF(OR(G285="2/4",G285="3/4"),((база!$I$4*2*Таблица1[[#This Row],[Столбец1]]*Таблица1[[#This Row],[коэф]])),
IF((G285="5/8"),((база!$J$6*2*Таблица1[[#This Row],[Столбец1]]*Таблица1[[#This Row],[коэф]])),
IF((G285="4/8"),((база!$J$5*2*Таблица1[[#This Row],[Столбец1]]*Таблица1[[#This Row],[коэф]])),
IF(OR(G285="3/8",G285="2/8"),((база!$J$4*2*Таблица1[[#This Row],[Столбец1]]*Таблица1[[#This Row],[коэф]])))))))))))))),
(IF((G285="5/24"),((база!$M$6*2*Таблица1[[#This Row],[Столбец1]]*Таблица1[[#This Row],[коэф]])),
IF(OR(G285="4/24",G285="3/24"),((база!$M$5*2*Таблица1[[#This Row],[Столбец1]]*Таблица1[[#This Row],[коэф]])),
IF((G285="5/16"),((база!$L$6*2*Таблица1[[#This Row],[Столбец1]]*Таблица1[[#This Row],[коэф]])),
IF(OR(G285="4/16",G285="3/16"),((база!$L$5*2*Таблица1[[#This Row],[Столбец1]]*Таблица1[[#This Row],[коэф]])),
IF(OR(G285="2/4",G285="3/4",G285="4/4"),((база!$I$5*2*Таблица1[[#This Row],[Столбец1]]*Таблица1[[#This Row],[коэф]])),
IF((G285="5/8"),((база!$J$6*2*Таблица1[[#This Row],[Столбец1]]*Таблица1[[#This Row],[коэф]])),
IF(OR(G285="4/8",G285="3/8",G285="2/8"),((база!$J$5*2*Таблица1[[#This Row],[Столбец1]]*Таблица1[[#This Row],[коэф]])))))))))))</f>
        <v>0</v>
      </c>
      <c r="AQ285" s="712" t="str">
        <f>IFERROR(INDEX(база!T:T, MATCH(F285,база!Q:Q,0)),"")</f>
        <v/>
      </c>
      <c r="AR285" s="208" t="str">
        <f>IFERROR(INDEX(база!D:D, MATCH(F285,база!B:B,0)),"")</f>
        <v/>
      </c>
      <c r="AS285" s="758" t="str">
        <f>IFERROR(INDEX(база!E:E, MATCH(F285,база!B:B,0)),"")</f>
        <v/>
      </c>
    </row>
    <row r="286" spans="1:45" ht="15">
      <c r="A286" s="66" t="str">
        <f t="shared" si="4"/>
        <v>январь</v>
      </c>
      <c r="B286" s="231">
        <v>2024</v>
      </c>
      <c r="C286" s="299"/>
      <c r="D286" s="61"/>
      <c r="E286" s="211"/>
      <c r="F286" s="680"/>
      <c r="G286" s="47"/>
      <c r="H286" s="563"/>
      <c r="I286" s="563"/>
      <c r="J286" s="563"/>
      <c r="K286" s="563"/>
      <c r="L286" s="563"/>
      <c r="M286" s="563"/>
      <c r="N286" s="563"/>
      <c r="O286" s="563"/>
      <c r="P286" s="300"/>
      <c r="Q286" s="563"/>
      <c r="R286" s="563"/>
      <c r="S286" s="563"/>
      <c r="T286" s="563"/>
      <c r="U286" s="563"/>
      <c r="V286" s="563"/>
      <c r="W286" s="563"/>
      <c r="X286" s="563"/>
      <c r="Y286" s="563"/>
      <c r="Z286" s="563"/>
      <c r="AA286" s="563"/>
      <c r="AB286" s="563"/>
      <c r="AC286" s="563"/>
      <c r="AD286" s="48"/>
      <c r="AE286" s="48"/>
      <c r="AF286" s="258"/>
      <c r="AG286" s="48"/>
      <c r="AH286" s="48"/>
      <c r="AI286" s="48"/>
      <c r="AJ286" s="48"/>
      <c r="AK286" s="48"/>
      <c r="AL286" s="51"/>
      <c r="AM286" s="212">
        <f>IF(AQ286=1,SUM(Q286:T286,W286:Z286,AC286:AF286,AI286:AL286),
IF(AQ286=2,SUM(P286,S286:V286,Y286:AB286,AE286:AH286,AK286:AL286),
IF(AQ286=3,SUM(P286:R286,U286:X286,AA286:AD286,AG286:AJ286),SUM(Таблица1[[#This Row],[1]:[31]])-Таблица1[[#This Row],[Столбец1]])))</f>
        <v>0</v>
      </c>
      <c r="AN286" s="778">
        <f t="array" ref="AN286">IF(AQ286=1,SUM(P286,U286:V286,AA286:AB286,AG286:AH286),
IF(AQ286=2,SUM(Q286:R286,W286:X286,AC286:AD286,AI286:AJ286),
IF(AQ286=3,SUM(S286:T286,Y286:Z286,AE286:AF286,AK286:AL286),
SUM(IFERROR(WEEKDAY($H$2:$AL$2,2)&gt;5,)*H286:AL286))))+Таблица1[[#This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86" s="292" t="b">
        <f>IF(AR286&lt;=3,(IF((G286="5/24"),((база!$M$6*Таблица1[[#This Row],[сумма]]*Таблица1[[#This Row],[коэф]])),
IF((G286="4/24"),((база!$M$5*Таблица1[[#This Row],[сумма]]*Таблица1[[#This Row],[коэф]])),
IF((G286="3/24"),((база!$M$4*Таблица1[[#This Row],[сумма]]*Таблица1[[#This Row],[коэф]])),
IF((G286="5/16"),((база!$L$6*Таблица1[[#This Row],[сумма]]*Таблица1[[#This Row],[коэф]])),
IF((G286="4/16"),((база!$L$5*Таблица1[[#This Row],[сумма]]*Таблица1[[#This Row],[коэф]])),
IF((G286="3/16"),((база!$L$4*Таблица1[[#This Row],[сумма]]*Таблица1[[#This Row],[коэф]])),
IF((G286="4/4"),((база!$I$5*Таблица1[[#This Row],[сумма]]*Таблица1[[#This Row],[коэф]])),
IF(OR(G286="2/4",G286="3/4"),((база!$I$4*Таблица1[[#This Row],[сумма]]*Таблица1[[#This Row],[коэф]])),
IF((G286="5/8"),((база!$J$6*Таблица1[[#This Row],[сумма]]*Таблица1[[#This Row],[коэф]])),
IF((G286="4/8"),((база!$J$5*Таблица1[[#This Row],[сумма]]*Таблица1[[#This Row],[коэф]])),
IF(OR(G286="3/8",G286="2/8"),((база!$J$4*Таблица1[[#This Row],[сумма]]*Таблица1[[#This Row],[коэф]])))))))))))))),
(IF((G286="5/24"),((база!$M$6*Таблица1[[#This Row],[сумма]]*Таблица1[[#This Row],[коэф]])),
IF(OR(G286="4/24",G286="3/24"),((база!$M$5*Таблица1[[#This Row],[сумма]]*Таблица1[[#This Row],[коэф]])),
IF((G286="5/16"),((база!$L$6*Таблица1[[#This Row],[сумма]]*Таблица1[[#This Row],[коэф]])),
IF(OR(G286="4/16",G286="3/16"),((база!$L$5*Таблица1[[#This Row],[сумма]]*Таблица1[[#This Row],[коэф]])),
IF(OR(G286="2/4",G286="3/4",G286="4/4"),((база!$I$5*Таблица1[[#This Row],[сумма]]*Таблица1[[#This Row],[коэф]])),
IF((G286="5/8"),((база!$J$6*Таблица1[[#This Row],[сумма]]*Таблица1[[#This Row],[коэф]])),
IF(OR(G286="4/8",G286="3/8",G286="2/8"),((база!$J$5*Таблица1[[#This Row],[сумма]]*Таблица1[[#This Row],[коэф]])))))))))))</f>
        <v>0</v>
      </c>
      <c r="AP286" s="730" t="b">
        <f>IF(AR286&lt;=3,(IF((G286="5/24"),((база!$M$6*2*Таблица1[[#This Row],[Столбец1]]*Таблица1[[#This Row],[коэф]])),
IF((G286="4/24"),((база!$M$5*2*Таблица1[[#This Row],[Столбец1]]*Таблица1[[#This Row],[коэф]])),
IF((G286="3/24"),((база!$M$4*2*Таблица1[[#This Row],[Столбец1]]*Таблица1[[#This Row],[коэф]])),
IF((G286="5/16"),((база!$L$6*2*Таблица1[[#This Row],[Столбец1]]*Таблица1[[#This Row],[коэф]])),
IF((G286="4/16"),((база!$L$5*2*Таблица1[[#This Row],[Столбец1]]*Таблица1[[#This Row],[коэф]])),
IF((G286="3/16"),((база!$L$4*2*Таблица1[[#This Row],[Столбец1]]*Таблица1[[#This Row],[коэф]])),
IF((G286="4/4"),((база!$I$5*2*Таблица1[[#This Row],[Столбец1]]*Таблица1[[#This Row],[коэф]])),
IF(OR(G286="2/4",G286="3/4"),((база!$I$4*2*Таблица1[[#This Row],[Столбец1]]*Таблица1[[#This Row],[коэф]])),
IF((G286="5/8"),((база!$J$6*2*Таблица1[[#This Row],[Столбец1]]*Таблица1[[#This Row],[коэф]])),
IF((G286="4/8"),((база!$J$5*2*Таблица1[[#This Row],[Столбец1]]*Таблица1[[#This Row],[коэф]])),
IF(OR(G286="3/8",G286="2/8"),((база!$J$4*2*Таблица1[[#This Row],[Столбец1]]*Таблица1[[#This Row],[коэф]])))))))))))))),
(IF((G286="5/24"),((база!$M$6*2*Таблица1[[#This Row],[Столбец1]]*Таблица1[[#This Row],[коэф]])),
IF(OR(G286="4/24",G286="3/24"),((база!$M$5*2*Таблица1[[#This Row],[Столбец1]]*Таблица1[[#This Row],[коэф]])),
IF((G286="5/16"),((база!$L$6*2*Таблица1[[#This Row],[Столбец1]]*Таблица1[[#This Row],[коэф]])),
IF(OR(G286="4/16",G286="3/16"),((база!$L$5*2*Таблица1[[#This Row],[Столбец1]]*Таблица1[[#This Row],[коэф]])),
IF(OR(G286="2/4",G286="3/4",G286="4/4"),((база!$I$5*2*Таблица1[[#This Row],[Столбец1]]*Таблица1[[#This Row],[коэф]])),
IF((G286="5/8"),((база!$J$6*2*Таблица1[[#This Row],[Столбец1]]*Таблица1[[#This Row],[коэф]])),
IF(OR(G286="4/8",G286="3/8",G286="2/8"),((база!$J$5*2*Таблица1[[#This Row],[Столбец1]]*Таблица1[[#This Row],[коэф]])))))))))))</f>
        <v>0</v>
      </c>
      <c r="AQ286" s="712" t="str">
        <f>IFERROR(INDEX(база!T:T, MATCH(F286,база!Q:Q,0)),"")</f>
        <v/>
      </c>
      <c r="AR286" s="208" t="str">
        <f>IFERROR(INDEX(база!D:D, MATCH(F286,база!B:B,0)),"")</f>
        <v/>
      </c>
      <c r="AS286" s="758" t="str">
        <f>IFERROR(INDEX(база!E:E, MATCH(F286,база!B:B,0)),"")</f>
        <v/>
      </c>
    </row>
    <row r="287" spans="1:45" ht="15">
      <c r="A287" s="66" t="str">
        <f t="shared" si="4"/>
        <v>январь</v>
      </c>
      <c r="B287" s="231">
        <v>2024</v>
      </c>
      <c r="C287" s="60"/>
      <c r="D287" s="61"/>
      <c r="E287" s="211"/>
      <c r="F287" s="680"/>
      <c r="G287" s="47"/>
      <c r="H287" s="563"/>
      <c r="I287" s="563"/>
      <c r="J287" s="563"/>
      <c r="K287" s="563"/>
      <c r="L287" s="563"/>
      <c r="M287" s="563"/>
      <c r="N287" s="563"/>
      <c r="O287" s="563"/>
      <c r="P287" s="563"/>
      <c r="Q287" s="563"/>
      <c r="R287" s="563"/>
      <c r="S287" s="563"/>
      <c r="T287" s="563"/>
      <c r="U287" s="563"/>
      <c r="V287" s="563"/>
      <c r="W287" s="563"/>
      <c r="X287" s="563"/>
      <c r="Y287" s="563"/>
      <c r="Z287" s="563"/>
      <c r="AA287" s="563"/>
      <c r="AB287" s="563"/>
      <c r="AC287" s="563"/>
      <c r="AD287" s="48"/>
      <c r="AE287" s="48"/>
      <c r="AF287" s="258"/>
      <c r="AG287" s="48"/>
      <c r="AH287" s="48"/>
      <c r="AI287" s="258"/>
      <c r="AJ287" s="258"/>
      <c r="AK287" s="258"/>
      <c r="AL287" s="258"/>
      <c r="AM287" s="212">
        <f>IF(AQ287=1,SUM(Q287:T287,W287:Z287,AC287:AF287,AI287:AL287),
IF(AQ287=2,SUM(P287,S287:V287,Y287:AB287,AE287:AH287,AK287:AL287),
IF(AQ287=3,SUM(P287:R287,U287:X287,AA287:AD287,AG287:AJ287),SUM(Таблица1[[#This Row],[1]:[31]])-Таблица1[[#This Row],[Столбец1]])))</f>
        <v>0</v>
      </c>
      <c r="AN287" s="778">
        <f t="array" ref="AN287">IF(AQ287=1,SUM(P287,U287:V287,AA287:AB287,AG287:AH287),
IF(AQ287=2,SUM(Q287:R287,W287:X287,AC287:AD287,AI287:AJ287),
IF(AQ287=3,SUM(S287:T287,Y287:Z287,AE287:AF287,AK287:AL287),
SUM(IFERROR(WEEKDAY($H$2:$AL$2,2)&gt;5,)*H287:AL287))))+Таблица1[[#This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87" s="292" t="b">
        <f>IF(AR287&lt;=3,(IF((G287="5/24"),((база!$M$6*Таблица1[[#This Row],[сумма]]*Таблица1[[#This Row],[коэф]])),
IF((G287="4/24"),((база!$M$5*Таблица1[[#This Row],[сумма]]*Таблица1[[#This Row],[коэф]])),
IF((G287="3/24"),((база!$M$4*Таблица1[[#This Row],[сумма]]*Таблица1[[#This Row],[коэф]])),
IF((G287="5/16"),((база!$L$6*Таблица1[[#This Row],[сумма]]*Таблица1[[#This Row],[коэф]])),
IF((G287="4/16"),((база!$L$5*Таблица1[[#This Row],[сумма]]*Таблица1[[#This Row],[коэф]])),
IF((G287="3/16"),((база!$L$4*Таблица1[[#This Row],[сумма]]*Таблица1[[#This Row],[коэф]])),
IF((G287="4/4"),((база!$I$5*Таблица1[[#This Row],[сумма]]*Таблица1[[#This Row],[коэф]])),
IF(OR(G287="2/4",G287="3/4"),((база!$I$4*Таблица1[[#This Row],[сумма]]*Таблица1[[#This Row],[коэф]])),
IF((G287="5/8"),((база!$J$6*Таблица1[[#This Row],[сумма]]*Таблица1[[#This Row],[коэф]])),
IF((G287="4/8"),((база!$J$5*Таблица1[[#This Row],[сумма]]*Таблица1[[#This Row],[коэф]])),
IF(OR(G287="3/8",G287="2/8"),((база!$J$4*Таблица1[[#This Row],[сумма]]*Таблица1[[#This Row],[коэф]])))))))))))))),
(IF((G287="5/24"),((база!$M$6*Таблица1[[#This Row],[сумма]]*Таблица1[[#This Row],[коэф]])),
IF(OR(G287="4/24",G287="3/24"),((база!$M$5*Таблица1[[#This Row],[сумма]]*Таблица1[[#This Row],[коэф]])),
IF((G287="5/16"),((база!$L$6*Таблица1[[#This Row],[сумма]]*Таблица1[[#This Row],[коэф]])),
IF(OR(G287="4/16",G287="3/16"),((база!$L$5*Таблица1[[#This Row],[сумма]]*Таблица1[[#This Row],[коэф]])),
IF(OR(G287="2/4",G287="3/4",G287="4/4"),((база!$I$5*Таблица1[[#This Row],[сумма]]*Таблица1[[#This Row],[коэф]])),
IF((G287="5/8"),((база!$J$6*Таблица1[[#This Row],[сумма]]*Таблица1[[#This Row],[коэф]])),
IF(OR(G287="4/8",G287="3/8",G287="2/8"),((база!$J$5*Таблица1[[#This Row],[сумма]]*Таблица1[[#This Row],[коэф]])))))))))))</f>
        <v>0</v>
      </c>
      <c r="AP287" s="730" t="b">
        <f>IF(AR287&lt;=3,(IF((G287="5/24"),((база!$M$6*2*Таблица1[[#This Row],[Столбец1]]*Таблица1[[#This Row],[коэф]])),
IF((G287="4/24"),((база!$M$5*2*Таблица1[[#This Row],[Столбец1]]*Таблица1[[#This Row],[коэф]])),
IF((G287="3/24"),((база!$M$4*2*Таблица1[[#This Row],[Столбец1]]*Таблица1[[#This Row],[коэф]])),
IF((G287="5/16"),((база!$L$6*2*Таблица1[[#This Row],[Столбец1]]*Таблица1[[#This Row],[коэф]])),
IF((G287="4/16"),((база!$L$5*2*Таблица1[[#This Row],[Столбец1]]*Таблица1[[#This Row],[коэф]])),
IF((G287="3/16"),((база!$L$4*2*Таблица1[[#This Row],[Столбец1]]*Таблица1[[#This Row],[коэф]])),
IF((G287="4/4"),((база!$I$5*2*Таблица1[[#This Row],[Столбец1]]*Таблица1[[#This Row],[коэф]])),
IF(OR(G287="2/4",G287="3/4"),((база!$I$4*2*Таблица1[[#This Row],[Столбец1]]*Таблица1[[#This Row],[коэф]])),
IF((G287="5/8"),((база!$J$6*2*Таблица1[[#This Row],[Столбец1]]*Таблица1[[#This Row],[коэф]])),
IF((G287="4/8"),((база!$J$5*2*Таблица1[[#This Row],[Столбец1]]*Таблица1[[#This Row],[коэф]])),
IF(OR(G287="3/8",G287="2/8"),((база!$J$4*2*Таблица1[[#This Row],[Столбец1]]*Таблица1[[#This Row],[коэф]])))))))))))))),
(IF((G287="5/24"),((база!$M$6*2*Таблица1[[#This Row],[Столбец1]]*Таблица1[[#This Row],[коэф]])),
IF(OR(G287="4/24",G287="3/24"),((база!$M$5*2*Таблица1[[#This Row],[Столбец1]]*Таблица1[[#This Row],[коэф]])),
IF((G287="5/16"),((база!$L$6*2*Таблица1[[#This Row],[Столбец1]]*Таблица1[[#This Row],[коэф]])),
IF(OR(G287="4/16",G287="3/16"),((база!$L$5*2*Таблица1[[#This Row],[Столбец1]]*Таблица1[[#This Row],[коэф]])),
IF(OR(G287="2/4",G287="3/4",G287="4/4"),((база!$I$5*2*Таблица1[[#This Row],[Столбец1]]*Таблица1[[#This Row],[коэф]])),
IF((G287="5/8"),((база!$J$6*2*Таблица1[[#This Row],[Столбец1]]*Таблица1[[#This Row],[коэф]])),
IF(OR(G287="4/8",G287="3/8",G287="2/8"),((база!$J$5*2*Таблица1[[#This Row],[Столбец1]]*Таблица1[[#This Row],[коэф]])))))))))))</f>
        <v>0</v>
      </c>
      <c r="AQ287" s="712" t="str">
        <f>IFERROR(INDEX(база!T:T, MATCH(F287,база!Q:Q,0)),"")</f>
        <v/>
      </c>
      <c r="AR287" s="208" t="str">
        <f>IFERROR(INDEX(база!D:D, MATCH(F287,база!B:B,0)),"")</f>
        <v/>
      </c>
      <c r="AS287" s="758" t="str">
        <f>IFERROR(INDEX(база!E:E, MATCH(F287,база!B:B,0)),"")</f>
        <v/>
      </c>
    </row>
    <row r="288" spans="1:45" ht="15">
      <c r="A288" s="66" t="str">
        <f t="shared" si="4"/>
        <v>январь</v>
      </c>
      <c r="B288" s="231">
        <v>2024</v>
      </c>
      <c r="C288" s="60"/>
      <c r="D288" s="61"/>
      <c r="E288" s="211"/>
      <c r="F288" s="680"/>
      <c r="G288" s="47"/>
      <c r="H288" s="563"/>
      <c r="I288" s="563"/>
      <c r="J288" s="563"/>
      <c r="K288" s="563"/>
      <c r="L288" s="563"/>
      <c r="M288" s="563"/>
      <c r="N288" s="563"/>
      <c r="O288" s="563"/>
      <c r="P288" s="300"/>
      <c r="Q288" s="563"/>
      <c r="R288" s="563"/>
      <c r="S288" s="563"/>
      <c r="T288" s="563"/>
      <c r="U288" s="563"/>
      <c r="V288" s="563"/>
      <c r="W288" s="563"/>
      <c r="X288" s="563"/>
      <c r="Y288" s="563"/>
      <c r="Z288" s="563"/>
      <c r="AA288" s="563"/>
      <c r="AB288" s="563"/>
      <c r="AC288" s="563"/>
      <c r="AD288" s="48"/>
      <c r="AE288" s="48"/>
      <c r="AF288" s="258"/>
      <c r="AG288" s="48"/>
      <c r="AH288" s="48"/>
      <c r="AI288" s="48"/>
      <c r="AJ288" s="48"/>
      <c r="AK288" s="48"/>
      <c r="AL288" s="51"/>
      <c r="AM288" s="212">
        <f>IF(AQ288=1,SUM(Q288:T288,W288:Z288,AC288:AF288,AI288:AL288),
IF(AQ288=2,SUM(P288,S288:V288,Y288:AB288,AE288:AH288,AK288:AL288),
IF(AQ288=3,SUM(P288:R288,U288:X288,AA288:AD288,AG288:AJ288),SUM(Таблица1[[#This Row],[1]:[31]])-Таблица1[[#This Row],[Столбец1]])))</f>
        <v>0</v>
      </c>
      <c r="AN288" s="778">
        <f t="array" ref="AN288">IF(AQ288=1,SUM(P288,U288:V288,AA288:AB288,AG288:AH288),
IF(AQ288=2,SUM(Q288:R288,W288:X288,AC288:AD288,AI288:AJ288),
IF(AQ288=3,SUM(S288:T288,Y288:Z288,AE288:AF288,AK288:AL288),
SUM(IFERROR(WEEKDAY($H$2:$AL$2,2)&gt;5,)*H288:AL288))))+Таблица1[[#This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88" s="292" t="b">
        <f>IF(AR288&lt;=3,(IF((G288="5/24"),((база!$M$6*Таблица1[[#This Row],[сумма]]*Таблица1[[#This Row],[коэф]])),
IF((G288="4/24"),((база!$M$5*Таблица1[[#This Row],[сумма]]*Таблица1[[#This Row],[коэф]])),
IF((G288="3/24"),((база!$M$4*Таблица1[[#This Row],[сумма]]*Таблица1[[#This Row],[коэф]])),
IF((G288="5/16"),((база!$L$6*Таблица1[[#This Row],[сумма]]*Таблица1[[#This Row],[коэф]])),
IF((G288="4/16"),((база!$L$5*Таблица1[[#This Row],[сумма]]*Таблица1[[#This Row],[коэф]])),
IF((G288="3/16"),((база!$L$4*Таблица1[[#This Row],[сумма]]*Таблица1[[#This Row],[коэф]])),
IF((G288="4/4"),((база!$I$5*Таблица1[[#This Row],[сумма]]*Таблица1[[#This Row],[коэф]])),
IF(OR(G288="2/4",G288="3/4"),((база!$I$4*Таблица1[[#This Row],[сумма]]*Таблица1[[#This Row],[коэф]])),
IF((G288="5/8"),((база!$J$6*Таблица1[[#This Row],[сумма]]*Таблица1[[#This Row],[коэф]])),
IF((G288="4/8"),((база!$J$5*Таблица1[[#This Row],[сумма]]*Таблица1[[#This Row],[коэф]])),
IF(OR(G288="3/8",G288="2/8"),((база!$J$4*Таблица1[[#This Row],[сумма]]*Таблица1[[#This Row],[коэф]])))))))))))))),
(IF((G288="5/24"),((база!$M$6*Таблица1[[#This Row],[сумма]]*Таблица1[[#This Row],[коэф]])),
IF(OR(G288="4/24",G288="3/24"),((база!$M$5*Таблица1[[#This Row],[сумма]]*Таблица1[[#This Row],[коэф]])),
IF((G288="5/16"),((база!$L$6*Таблица1[[#This Row],[сумма]]*Таблица1[[#This Row],[коэф]])),
IF(OR(G288="4/16",G288="3/16"),((база!$L$5*Таблица1[[#This Row],[сумма]]*Таблица1[[#This Row],[коэф]])),
IF(OR(G288="2/4",G288="3/4",G288="4/4"),((база!$I$5*Таблица1[[#This Row],[сумма]]*Таблица1[[#This Row],[коэф]])),
IF((G288="5/8"),((база!$J$6*Таблица1[[#This Row],[сумма]]*Таблица1[[#This Row],[коэф]])),
IF(OR(G288="4/8",G288="3/8",G288="2/8"),((база!$J$5*Таблица1[[#This Row],[сумма]]*Таблица1[[#This Row],[коэф]])))))))))))</f>
        <v>0</v>
      </c>
      <c r="AP288" s="730" t="b">
        <f>IF(AR288&lt;=3,(IF((G288="5/24"),((база!$M$6*2*Таблица1[[#This Row],[Столбец1]]*Таблица1[[#This Row],[коэф]])),
IF((G288="4/24"),((база!$M$5*2*Таблица1[[#This Row],[Столбец1]]*Таблица1[[#This Row],[коэф]])),
IF((G288="3/24"),((база!$M$4*2*Таблица1[[#This Row],[Столбец1]]*Таблица1[[#This Row],[коэф]])),
IF((G288="5/16"),((база!$L$6*2*Таблица1[[#This Row],[Столбец1]]*Таблица1[[#This Row],[коэф]])),
IF((G288="4/16"),((база!$L$5*2*Таблица1[[#This Row],[Столбец1]]*Таблица1[[#This Row],[коэф]])),
IF((G288="3/16"),((база!$L$4*2*Таблица1[[#This Row],[Столбец1]]*Таблица1[[#This Row],[коэф]])),
IF((G288="4/4"),((база!$I$5*2*Таблица1[[#This Row],[Столбец1]]*Таблица1[[#This Row],[коэф]])),
IF(OR(G288="2/4",G288="3/4"),((база!$I$4*2*Таблица1[[#This Row],[Столбец1]]*Таблица1[[#This Row],[коэф]])),
IF((G288="5/8"),((база!$J$6*2*Таблица1[[#This Row],[Столбец1]]*Таблица1[[#This Row],[коэф]])),
IF((G288="4/8"),((база!$J$5*2*Таблица1[[#This Row],[Столбец1]]*Таблица1[[#This Row],[коэф]])),
IF(OR(G288="3/8",G288="2/8"),((база!$J$4*2*Таблица1[[#This Row],[Столбец1]]*Таблица1[[#This Row],[коэф]])))))))))))))),
(IF((G288="5/24"),((база!$M$6*2*Таблица1[[#This Row],[Столбец1]]*Таблица1[[#This Row],[коэф]])),
IF(OR(G288="4/24",G288="3/24"),((база!$M$5*2*Таблица1[[#This Row],[Столбец1]]*Таблица1[[#This Row],[коэф]])),
IF((G288="5/16"),((база!$L$6*2*Таблица1[[#This Row],[Столбец1]]*Таблица1[[#This Row],[коэф]])),
IF(OR(G288="4/16",G288="3/16"),((база!$L$5*2*Таблица1[[#This Row],[Столбец1]]*Таблица1[[#This Row],[коэф]])),
IF(OR(G288="2/4",G288="3/4",G288="4/4"),((база!$I$5*2*Таблица1[[#This Row],[Столбец1]]*Таблица1[[#This Row],[коэф]])),
IF((G288="5/8"),((база!$J$6*2*Таблица1[[#This Row],[Столбец1]]*Таблица1[[#This Row],[коэф]])),
IF(OR(G288="4/8",G288="3/8",G288="2/8"),((база!$J$5*2*Таблица1[[#This Row],[Столбец1]]*Таблица1[[#This Row],[коэф]])))))))))))</f>
        <v>0</v>
      </c>
      <c r="AQ288" s="712" t="str">
        <f>IFERROR(INDEX(база!T:T, MATCH(F288,база!Q:Q,0)),"")</f>
        <v/>
      </c>
      <c r="AR288" s="208" t="str">
        <f>IFERROR(INDEX(база!D:D, MATCH(F288,база!B:B,0)),"")</f>
        <v/>
      </c>
      <c r="AS288" s="758" t="str">
        <f>IFERROR(INDEX(база!E:E, MATCH(F288,база!B:B,0)),"")</f>
        <v/>
      </c>
    </row>
    <row r="289" spans="1:45" ht="15">
      <c r="A289" s="66" t="str">
        <f t="shared" si="4"/>
        <v>январь</v>
      </c>
      <c r="B289" s="231">
        <v>2024</v>
      </c>
      <c r="C289" s="60"/>
      <c r="D289" s="61"/>
      <c r="E289" s="211"/>
      <c r="F289" s="680"/>
      <c r="G289" s="47"/>
      <c r="H289" s="563"/>
      <c r="I289" s="563"/>
      <c r="J289" s="563"/>
      <c r="K289" s="563"/>
      <c r="L289" s="563"/>
      <c r="M289" s="563"/>
      <c r="N289" s="563"/>
      <c r="O289" s="563"/>
      <c r="P289" s="300"/>
      <c r="Q289" s="563"/>
      <c r="R289" s="563"/>
      <c r="S289" s="563"/>
      <c r="T289" s="563"/>
      <c r="U289" s="563"/>
      <c r="V289" s="563"/>
      <c r="W289" s="563"/>
      <c r="X289" s="563"/>
      <c r="Y289" s="563"/>
      <c r="Z289" s="563"/>
      <c r="AA289" s="563"/>
      <c r="AB289" s="563"/>
      <c r="AC289" s="563"/>
      <c r="AD289" s="48"/>
      <c r="AE289" s="48"/>
      <c r="AF289" s="258"/>
      <c r="AG289" s="48"/>
      <c r="AH289" s="48"/>
      <c r="AI289" s="258"/>
      <c r="AJ289" s="258"/>
      <c r="AK289" s="258"/>
      <c r="AL289" s="258"/>
      <c r="AM289" s="212">
        <f>IF(AQ289=1,SUM(Q289:T289,W289:Z289,AC289:AF289,AI289:AL289),
IF(AQ289=2,SUM(P289,S289:V289,Y289:AB289,AE289:AH289,AK289:AL289),
IF(AQ289=3,SUM(P289:R289,U289:X289,AA289:AD289,AG289:AJ289),SUM(Таблица1[[#This Row],[1]:[31]])-Таблица1[[#This Row],[Столбец1]])))</f>
        <v>0</v>
      </c>
      <c r="AN289" s="778">
        <f t="array" ref="AN289">IF(AQ289=1,SUM(P289,U289:V289,AA289:AB289,AG289:AH289),
IF(AQ289=2,SUM(Q289:R289,W289:X289,AC289:AD289,AI289:AJ289),
IF(AQ289=3,SUM(S289:T289,Y289:Z289,AE289:AF289,AK289:AL289),
SUM(IFERROR(WEEKDAY($H$2:$AL$2,2)&gt;5,)*H289:AL289))))+Таблица1[[#This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89" s="292" t="b">
        <f>IF(AR289&lt;=3,(IF((G289="5/24"),((база!$M$6*Таблица1[[#This Row],[сумма]]*Таблица1[[#This Row],[коэф]])),
IF((G289="4/24"),((база!$M$5*Таблица1[[#This Row],[сумма]]*Таблица1[[#This Row],[коэф]])),
IF((G289="3/24"),((база!$M$4*Таблица1[[#This Row],[сумма]]*Таблица1[[#This Row],[коэф]])),
IF((G289="5/16"),((база!$L$6*Таблица1[[#This Row],[сумма]]*Таблица1[[#This Row],[коэф]])),
IF((G289="4/16"),((база!$L$5*Таблица1[[#This Row],[сумма]]*Таблица1[[#This Row],[коэф]])),
IF((G289="3/16"),((база!$L$4*Таблица1[[#This Row],[сумма]]*Таблица1[[#This Row],[коэф]])),
IF((G289="4/4"),((база!$I$5*Таблица1[[#This Row],[сумма]]*Таблица1[[#This Row],[коэф]])),
IF(OR(G289="2/4",G289="3/4"),((база!$I$4*Таблица1[[#This Row],[сумма]]*Таблица1[[#This Row],[коэф]])),
IF((G289="5/8"),((база!$J$6*Таблица1[[#This Row],[сумма]]*Таблица1[[#This Row],[коэф]])),
IF((G289="4/8"),((база!$J$5*Таблица1[[#This Row],[сумма]]*Таблица1[[#This Row],[коэф]])),
IF(OR(G289="3/8",G289="2/8"),((база!$J$4*Таблица1[[#This Row],[сумма]]*Таблица1[[#This Row],[коэф]])))))))))))))),
(IF((G289="5/24"),((база!$M$6*Таблица1[[#This Row],[сумма]]*Таблица1[[#This Row],[коэф]])),
IF(OR(G289="4/24",G289="3/24"),((база!$M$5*Таблица1[[#This Row],[сумма]]*Таблица1[[#This Row],[коэф]])),
IF((G289="5/16"),((база!$L$6*Таблица1[[#This Row],[сумма]]*Таблица1[[#This Row],[коэф]])),
IF(OR(G289="4/16",G289="3/16"),((база!$L$5*Таблица1[[#This Row],[сумма]]*Таблица1[[#This Row],[коэф]])),
IF(OR(G289="2/4",G289="3/4",G289="4/4"),((база!$I$5*Таблица1[[#This Row],[сумма]]*Таблица1[[#This Row],[коэф]])),
IF((G289="5/8"),((база!$J$6*Таблица1[[#This Row],[сумма]]*Таблица1[[#This Row],[коэф]])),
IF(OR(G289="4/8",G289="3/8",G289="2/8"),((база!$J$5*Таблица1[[#This Row],[сумма]]*Таблица1[[#This Row],[коэф]])))))))))))</f>
        <v>0</v>
      </c>
      <c r="AP289" s="730" t="b">
        <f>IF(AR289&lt;=3,(IF((G289="5/24"),((база!$M$6*2*Таблица1[[#This Row],[Столбец1]]*Таблица1[[#This Row],[коэф]])),
IF((G289="4/24"),((база!$M$5*2*Таблица1[[#This Row],[Столбец1]]*Таблица1[[#This Row],[коэф]])),
IF((G289="3/24"),((база!$M$4*2*Таблица1[[#This Row],[Столбец1]]*Таблица1[[#This Row],[коэф]])),
IF((G289="5/16"),((база!$L$6*2*Таблица1[[#This Row],[Столбец1]]*Таблица1[[#This Row],[коэф]])),
IF((G289="4/16"),((база!$L$5*2*Таблица1[[#This Row],[Столбец1]]*Таблица1[[#This Row],[коэф]])),
IF((G289="3/16"),((база!$L$4*2*Таблица1[[#This Row],[Столбец1]]*Таблица1[[#This Row],[коэф]])),
IF((G289="4/4"),((база!$I$5*2*Таблица1[[#This Row],[Столбец1]]*Таблица1[[#This Row],[коэф]])),
IF(OR(G289="2/4",G289="3/4"),((база!$I$4*2*Таблица1[[#This Row],[Столбец1]]*Таблица1[[#This Row],[коэф]])),
IF((G289="5/8"),((база!$J$6*2*Таблица1[[#This Row],[Столбец1]]*Таблица1[[#This Row],[коэф]])),
IF((G289="4/8"),((база!$J$5*2*Таблица1[[#This Row],[Столбец1]]*Таблица1[[#This Row],[коэф]])),
IF(OR(G289="3/8",G289="2/8"),((база!$J$4*2*Таблица1[[#This Row],[Столбец1]]*Таблица1[[#This Row],[коэф]])))))))))))))),
(IF((G289="5/24"),((база!$M$6*2*Таблица1[[#This Row],[Столбец1]]*Таблица1[[#This Row],[коэф]])),
IF(OR(G289="4/24",G289="3/24"),((база!$M$5*2*Таблица1[[#This Row],[Столбец1]]*Таблица1[[#This Row],[коэф]])),
IF((G289="5/16"),((база!$L$6*2*Таблица1[[#This Row],[Столбец1]]*Таблица1[[#This Row],[коэф]])),
IF(OR(G289="4/16",G289="3/16"),((база!$L$5*2*Таблица1[[#This Row],[Столбец1]]*Таблица1[[#This Row],[коэф]])),
IF(OR(G289="2/4",G289="3/4",G289="4/4"),((база!$I$5*2*Таблица1[[#This Row],[Столбец1]]*Таблица1[[#This Row],[коэф]])),
IF((G289="5/8"),((база!$J$6*2*Таблица1[[#This Row],[Столбец1]]*Таблица1[[#This Row],[коэф]])),
IF(OR(G289="4/8",G289="3/8",G289="2/8"),((база!$J$5*2*Таблица1[[#This Row],[Столбец1]]*Таблица1[[#This Row],[коэф]])))))))))))</f>
        <v>0</v>
      </c>
      <c r="AQ289" s="712" t="str">
        <f>IFERROR(INDEX(база!T:T, MATCH(F289,база!Q:Q,0)),"")</f>
        <v/>
      </c>
      <c r="AR289" s="208" t="str">
        <f>IFERROR(INDEX(база!D:D, MATCH(F289,база!B:B,0)),"")</f>
        <v/>
      </c>
      <c r="AS289" s="758" t="str">
        <f>IFERROR(INDEX(база!E:E, MATCH(F289,база!B:B,0)),"")</f>
        <v/>
      </c>
    </row>
    <row r="290" spans="1:45" ht="15">
      <c r="A290" s="66" t="str">
        <f t="shared" si="4"/>
        <v>январь</v>
      </c>
      <c r="B290" s="231">
        <v>2024</v>
      </c>
      <c r="C290" s="60"/>
      <c r="D290" s="61"/>
      <c r="E290" s="211"/>
      <c r="F290" s="680"/>
      <c r="G290" s="47"/>
      <c r="H290" s="563"/>
      <c r="I290" s="563"/>
      <c r="J290" s="563"/>
      <c r="K290" s="563"/>
      <c r="L290" s="563"/>
      <c r="M290" s="563"/>
      <c r="N290" s="563"/>
      <c r="O290" s="563"/>
      <c r="P290" s="563"/>
      <c r="Q290" s="563"/>
      <c r="R290" s="563"/>
      <c r="S290" s="563"/>
      <c r="T290" s="563"/>
      <c r="U290" s="563"/>
      <c r="V290" s="563"/>
      <c r="W290" s="563"/>
      <c r="X290" s="563"/>
      <c r="Y290" s="563"/>
      <c r="Z290" s="563"/>
      <c r="AA290" s="563"/>
      <c r="AB290" s="563"/>
      <c r="AC290" s="563"/>
      <c r="AD290" s="48"/>
      <c r="AE290" s="48"/>
      <c r="AF290" s="258"/>
      <c r="AG290" s="48"/>
      <c r="AH290" s="48"/>
      <c r="AI290" s="48"/>
      <c r="AJ290" s="48"/>
      <c r="AK290" s="48"/>
      <c r="AL290" s="51"/>
      <c r="AM290" s="212">
        <f>IF(AQ290=1,SUM(Q290:T290,W290:Z290,AC290:AF290,AI290:AL290),
IF(AQ290=2,SUM(P290,S290:V290,Y290:AB290,AE290:AH290,AK290:AL290),
IF(AQ290=3,SUM(P290:R290,U290:X290,AA290:AD290,AG290:AJ290),SUM(Таблица1[[#This Row],[1]:[31]])-Таблица1[[#This Row],[Столбец1]])))</f>
        <v>0</v>
      </c>
      <c r="AN290" s="778">
        <f t="array" ref="AN290">IF(AQ290=1,SUM(P290,U290:V290,AA290:AB290,AG290:AH290),
IF(AQ290=2,SUM(Q290:R290,W290:X290,AC290:AD290,AI290:AJ290),
IF(AQ290=3,SUM(S290:T290,Y290:Z290,AE290:AF290,AK290:AL290),
SUM(IFERROR(WEEKDAY($H$2:$AL$2,2)&gt;5,)*H290:AL290))))+Таблица1[[#This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90" s="292" t="b">
        <f>IF(AR290&lt;=3,(IF((G290="5/24"),((база!$M$6*Таблица1[[#This Row],[сумма]]*Таблица1[[#This Row],[коэф]])),
IF((G290="4/24"),((база!$M$5*Таблица1[[#This Row],[сумма]]*Таблица1[[#This Row],[коэф]])),
IF((G290="3/24"),((база!$M$4*Таблица1[[#This Row],[сумма]]*Таблица1[[#This Row],[коэф]])),
IF((G290="5/16"),((база!$L$6*Таблица1[[#This Row],[сумма]]*Таблица1[[#This Row],[коэф]])),
IF((G290="4/16"),((база!$L$5*Таблица1[[#This Row],[сумма]]*Таблица1[[#This Row],[коэф]])),
IF((G290="3/16"),((база!$L$4*Таблица1[[#This Row],[сумма]]*Таблица1[[#This Row],[коэф]])),
IF((G290="4/4"),((база!$I$5*Таблица1[[#This Row],[сумма]]*Таблица1[[#This Row],[коэф]])),
IF(OR(G290="2/4",G290="3/4"),((база!$I$4*Таблица1[[#This Row],[сумма]]*Таблица1[[#This Row],[коэф]])),
IF((G290="5/8"),((база!$J$6*Таблица1[[#This Row],[сумма]]*Таблица1[[#This Row],[коэф]])),
IF((G290="4/8"),((база!$J$5*Таблица1[[#This Row],[сумма]]*Таблица1[[#This Row],[коэф]])),
IF(OR(G290="3/8",G290="2/8"),((база!$J$4*Таблица1[[#This Row],[сумма]]*Таблица1[[#This Row],[коэф]])))))))))))))),
(IF((G290="5/24"),((база!$M$6*Таблица1[[#This Row],[сумма]]*Таблица1[[#This Row],[коэф]])),
IF(OR(G290="4/24",G290="3/24"),((база!$M$5*Таблица1[[#This Row],[сумма]]*Таблица1[[#This Row],[коэф]])),
IF((G290="5/16"),((база!$L$6*Таблица1[[#This Row],[сумма]]*Таблица1[[#This Row],[коэф]])),
IF(OR(G290="4/16",G290="3/16"),((база!$L$5*Таблица1[[#This Row],[сумма]]*Таблица1[[#This Row],[коэф]])),
IF(OR(G290="2/4",G290="3/4",G290="4/4"),((база!$I$5*Таблица1[[#This Row],[сумма]]*Таблица1[[#This Row],[коэф]])),
IF((G290="5/8"),((база!$J$6*Таблица1[[#This Row],[сумма]]*Таблица1[[#This Row],[коэф]])),
IF(OR(G290="4/8",G290="3/8",G290="2/8"),((база!$J$5*Таблица1[[#This Row],[сумма]]*Таблица1[[#This Row],[коэф]])))))))))))</f>
        <v>0</v>
      </c>
      <c r="AP290" s="730" t="b">
        <f>IF(AR290&lt;=3,(IF((G290="5/24"),((база!$M$6*2*Таблица1[[#This Row],[Столбец1]]*Таблица1[[#This Row],[коэф]])),
IF((G290="4/24"),((база!$M$5*2*Таблица1[[#This Row],[Столбец1]]*Таблица1[[#This Row],[коэф]])),
IF((G290="3/24"),((база!$M$4*2*Таблица1[[#This Row],[Столбец1]]*Таблица1[[#This Row],[коэф]])),
IF((G290="5/16"),((база!$L$6*2*Таблица1[[#This Row],[Столбец1]]*Таблица1[[#This Row],[коэф]])),
IF((G290="4/16"),((база!$L$5*2*Таблица1[[#This Row],[Столбец1]]*Таблица1[[#This Row],[коэф]])),
IF((G290="3/16"),((база!$L$4*2*Таблица1[[#This Row],[Столбец1]]*Таблица1[[#This Row],[коэф]])),
IF((G290="4/4"),((база!$I$5*2*Таблица1[[#This Row],[Столбец1]]*Таблица1[[#This Row],[коэф]])),
IF(OR(G290="2/4",G290="3/4"),((база!$I$4*2*Таблица1[[#This Row],[Столбец1]]*Таблица1[[#This Row],[коэф]])),
IF((G290="5/8"),((база!$J$6*2*Таблица1[[#This Row],[Столбец1]]*Таблица1[[#This Row],[коэф]])),
IF((G290="4/8"),((база!$J$5*2*Таблица1[[#This Row],[Столбец1]]*Таблица1[[#This Row],[коэф]])),
IF(OR(G290="3/8",G290="2/8"),((база!$J$4*2*Таблица1[[#This Row],[Столбец1]]*Таблица1[[#This Row],[коэф]])))))))))))))),
(IF((G290="5/24"),((база!$M$6*2*Таблица1[[#This Row],[Столбец1]]*Таблица1[[#This Row],[коэф]])),
IF(OR(G290="4/24",G290="3/24"),((база!$M$5*2*Таблица1[[#This Row],[Столбец1]]*Таблица1[[#This Row],[коэф]])),
IF((G290="5/16"),((база!$L$6*2*Таблица1[[#This Row],[Столбец1]]*Таблица1[[#This Row],[коэф]])),
IF(OR(G290="4/16",G290="3/16"),((база!$L$5*2*Таблица1[[#This Row],[Столбец1]]*Таблица1[[#This Row],[коэф]])),
IF(OR(G290="2/4",G290="3/4",G290="4/4"),((база!$I$5*2*Таблица1[[#This Row],[Столбец1]]*Таблица1[[#This Row],[коэф]])),
IF((G290="5/8"),((база!$J$6*2*Таблица1[[#This Row],[Столбец1]]*Таблица1[[#This Row],[коэф]])),
IF(OR(G290="4/8",G290="3/8",G290="2/8"),((база!$J$5*2*Таблица1[[#This Row],[Столбец1]]*Таблица1[[#This Row],[коэф]])))))))))))</f>
        <v>0</v>
      </c>
      <c r="AQ290" s="712" t="str">
        <f>IFERROR(INDEX(база!T:T, MATCH(F290,база!Q:Q,0)),"")</f>
        <v/>
      </c>
      <c r="AR290" s="208" t="str">
        <f>IFERROR(INDEX(база!D:D, MATCH(F290,база!B:B,0)),"")</f>
        <v/>
      </c>
      <c r="AS290" s="758" t="str">
        <f>IFERROR(INDEX(база!E:E, MATCH(F290,база!B:B,0)),"")</f>
        <v/>
      </c>
    </row>
    <row r="291" spans="1:45" ht="15">
      <c r="A291" s="66" t="str">
        <f t="shared" si="4"/>
        <v>январь</v>
      </c>
      <c r="B291" s="231">
        <v>2024</v>
      </c>
      <c r="C291" s="299"/>
      <c r="D291" s="61"/>
      <c r="E291" s="211"/>
      <c r="F291" s="680"/>
      <c r="G291" s="47"/>
      <c r="H291" s="563"/>
      <c r="I291" s="563"/>
      <c r="J291" s="563"/>
      <c r="K291" s="563"/>
      <c r="L291" s="563"/>
      <c r="M291" s="563"/>
      <c r="N291" s="563"/>
      <c r="O291" s="563"/>
      <c r="P291" s="300"/>
      <c r="Q291" s="563"/>
      <c r="R291" s="563"/>
      <c r="S291" s="563"/>
      <c r="T291" s="563"/>
      <c r="U291" s="563"/>
      <c r="V291" s="563"/>
      <c r="W291" s="563"/>
      <c r="X291" s="563"/>
      <c r="Y291" s="563"/>
      <c r="Z291" s="563"/>
      <c r="AA291" s="563"/>
      <c r="AB291" s="563"/>
      <c r="AC291" s="563"/>
      <c r="AD291" s="48"/>
      <c r="AE291" s="48"/>
      <c r="AF291" s="258"/>
      <c r="AG291" s="48"/>
      <c r="AH291" s="48"/>
      <c r="AI291" s="258"/>
      <c r="AJ291" s="258"/>
      <c r="AK291" s="258"/>
      <c r="AL291" s="258"/>
      <c r="AM291" s="212">
        <f>IF(AQ291=1,SUM(Q291:T291,W291:Z291,AC291:AF291,AI291:AL291),
IF(AQ291=2,SUM(P291,S291:V291,Y291:AB291,AE291:AH291,AK291:AL291),
IF(AQ291=3,SUM(P291:R291,U291:X291,AA291:AD291,AG291:AJ291),SUM(Таблица1[[#This Row],[1]:[31]])-Таблица1[[#This Row],[Столбец1]])))</f>
        <v>0</v>
      </c>
      <c r="AN291" s="778">
        <f t="array" ref="AN291">IF(AQ291=1,SUM(P291,U291:V291,AA291:AB291,AG291:AH291),
IF(AQ291=2,SUM(Q291:R291,W291:X291,AC291:AD291,AI291:AJ291),
IF(AQ291=3,SUM(S291:T291,Y291:Z291,AE291:AF291,AK291:AL291),
SUM(IFERROR(WEEKDAY($H$2:$AL$2,2)&gt;5,)*H291:AL291))))+Таблица1[[#This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91" s="292" t="b">
        <f>IF(AR291&lt;=3,(IF((G291="5/24"),((база!$M$6*Таблица1[[#This Row],[сумма]]*Таблица1[[#This Row],[коэф]])),
IF((G291="4/24"),((база!$M$5*Таблица1[[#This Row],[сумма]]*Таблица1[[#This Row],[коэф]])),
IF((G291="3/24"),((база!$M$4*Таблица1[[#This Row],[сумма]]*Таблица1[[#This Row],[коэф]])),
IF((G291="5/16"),((база!$L$6*Таблица1[[#This Row],[сумма]]*Таблица1[[#This Row],[коэф]])),
IF((G291="4/16"),((база!$L$5*Таблица1[[#This Row],[сумма]]*Таблица1[[#This Row],[коэф]])),
IF((G291="3/16"),((база!$L$4*Таблица1[[#This Row],[сумма]]*Таблица1[[#This Row],[коэф]])),
IF((G291="4/4"),((база!$I$5*Таблица1[[#This Row],[сумма]]*Таблица1[[#This Row],[коэф]])),
IF(OR(G291="2/4",G291="3/4"),((база!$I$4*Таблица1[[#This Row],[сумма]]*Таблица1[[#This Row],[коэф]])),
IF((G291="5/8"),((база!$J$6*Таблица1[[#This Row],[сумма]]*Таблица1[[#This Row],[коэф]])),
IF((G291="4/8"),((база!$J$5*Таблица1[[#This Row],[сумма]]*Таблица1[[#This Row],[коэф]])),
IF(OR(G291="3/8",G291="2/8"),((база!$J$4*Таблица1[[#This Row],[сумма]]*Таблица1[[#This Row],[коэф]])))))))))))))),
(IF((G291="5/24"),((база!$M$6*Таблица1[[#This Row],[сумма]]*Таблица1[[#This Row],[коэф]])),
IF(OR(G291="4/24",G291="3/24"),((база!$M$5*Таблица1[[#This Row],[сумма]]*Таблица1[[#This Row],[коэф]])),
IF((G291="5/16"),((база!$L$6*Таблица1[[#This Row],[сумма]]*Таблица1[[#This Row],[коэф]])),
IF(OR(G291="4/16",G291="3/16"),((база!$L$5*Таблица1[[#This Row],[сумма]]*Таблица1[[#This Row],[коэф]])),
IF(OR(G291="2/4",G291="3/4",G291="4/4"),((база!$I$5*Таблица1[[#This Row],[сумма]]*Таблица1[[#This Row],[коэф]])),
IF((G291="5/8"),((база!$J$6*Таблица1[[#This Row],[сумма]]*Таблица1[[#This Row],[коэф]])),
IF(OR(G291="4/8",G291="3/8",G291="2/8"),((база!$J$5*Таблица1[[#This Row],[сумма]]*Таблица1[[#This Row],[коэф]])))))))))))</f>
        <v>0</v>
      </c>
      <c r="AP291" s="730" t="b">
        <f>IF(AR291&lt;=3,(IF((G291="5/24"),((база!$M$6*2*Таблица1[[#This Row],[Столбец1]]*Таблица1[[#This Row],[коэф]])),
IF((G291="4/24"),((база!$M$5*2*Таблица1[[#This Row],[Столбец1]]*Таблица1[[#This Row],[коэф]])),
IF((G291="3/24"),((база!$M$4*2*Таблица1[[#This Row],[Столбец1]]*Таблица1[[#This Row],[коэф]])),
IF((G291="5/16"),((база!$L$6*2*Таблица1[[#This Row],[Столбец1]]*Таблица1[[#This Row],[коэф]])),
IF((G291="4/16"),((база!$L$5*2*Таблица1[[#This Row],[Столбец1]]*Таблица1[[#This Row],[коэф]])),
IF((G291="3/16"),((база!$L$4*2*Таблица1[[#This Row],[Столбец1]]*Таблица1[[#This Row],[коэф]])),
IF((G291="4/4"),((база!$I$5*2*Таблица1[[#This Row],[Столбец1]]*Таблица1[[#This Row],[коэф]])),
IF(OR(G291="2/4",G291="3/4"),((база!$I$4*2*Таблица1[[#This Row],[Столбец1]]*Таблица1[[#This Row],[коэф]])),
IF((G291="5/8"),((база!$J$6*2*Таблица1[[#This Row],[Столбец1]]*Таблица1[[#This Row],[коэф]])),
IF((G291="4/8"),((база!$J$5*2*Таблица1[[#This Row],[Столбец1]]*Таблица1[[#This Row],[коэф]])),
IF(OR(G291="3/8",G291="2/8"),((база!$J$4*2*Таблица1[[#This Row],[Столбец1]]*Таблица1[[#This Row],[коэф]])))))))))))))),
(IF((G291="5/24"),((база!$M$6*2*Таблица1[[#This Row],[Столбец1]]*Таблица1[[#This Row],[коэф]])),
IF(OR(G291="4/24",G291="3/24"),((база!$M$5*2*Таблица1[[#This Row],[Столбец1]]*Таблица1[[#This Row],[коэф]])),
IF((G291="5/16"),((база!$L$6*2*Таблица1[[#This Row],[Столбец1]]*Таблица1[[#This Row],[коэф]])),
IF(OR(G291="4/16",G291="3/16"),((база!$L$5*2*Таблица1[[#This Row],[Столбец1]]*Таблица1[[#This Row],[коэф]])),
IF(OR(G291="2/4",G291="3/4",G291="4/4"),((база!$I$5*2*Таблица1[[#This Row],[Столбец1]]*Таблица1[[#This Row],[коэф]])),
IF((G291="5/8"),((база!$J$6*2*Таблица1[[#This Row],[Столбец1]]*Таблица1[[#This Row],[коэф]])),
IF(OR(G291="4/8",G291="3/8",G291="2/8"),((база!$J$5*2*Таблица1[[#This Row],[Столбец1]]*Таблица1[[#This Row],[коэф]])))))))))))</f>
        <v>0</v>
      </c>
      <c r="AQ291" s="712" t="str">
        <f>IFERROR(INDEX(база!T:T, MATCH(F291,база!Q:Q,0)),"")</f>
        <v/>
      </c>
      <c r="AR291" s="208" t="str">
        <f>IFERROR(INDEX(база!D:D, MATCH(F291,база!B:B,0)),"")</f>
        <v/>
      </c>
      <c r="AS291" s="758" t="str">
        <f>IFERROR(INDEX(база!E:E, MATCH(F291,база!B:B,0)),"")</f>
        <v/>
      </c>
    </row>
    <row r="292" spans="1:45" ht="15">
      <c r="A292" s="66" t="str">
        <f t="shared" si="4"/>
        <v>январь</v>
      </c>
      <c r="B292" s="231">
        <v>2024</v>
      </c>
      <c r="C292" s="60"/>
      <c r="D292" s="61"/>
      <c r="E292" s="211"/>
      <c r="F292" s="680"/>
      <c r="G292" s="47"/>
      <c r="H292" s="563"/>
      <c r="I292" s="563"/>
      <c r="J292" s="563"/>
      <c r="K292" s="563"/>
      <c r="L292" s="563"/>
      <c r="M292" s="563"/>
      <c r="N292" s="563"/>
      <c r="O292" s="563"/>
      <c r="P292" s="563"/>
      <c r="Q292" s="563"/>
      <c r="R292" s="563"/>
      <c r="S292" s="563"/>
      <c r="T292" s="563"/>
      <c r="U292" s="563"/>
      <c r="V292" s="563"/>
      <c r="W292" s="563"/>
      <c r="X292" s="563"/>
      <c r="Y292" s="563"/>
      <c r="Z292" s="563"/>
      <c r="AA292" s="563"/>
      <c r="AB292" s="563"/>
      <c r="AC292" s="563"/>
      <c r="AD292" s="48"/>
      <c r="AE292" s="48"/>
      <c r="AF292" s="258"/>
      <c r="AG292" s="48"/>
      <c r="AH292" s="48"/>
      <c r="AI292" s="48"/>
      <c r="AJ292" s="48"/>
      <c r="AK292" s="48"/>
      <c r="AL292" s="51"/>
      <c r="AM292" s="212">
        <f>IF(AQ292=1,SUM(Q292:T292,W292:Z292,AC292:AF292,AI292:AL292),
IF(AQ292=2,SUM(P292,S292:V292,Y292:AB292,AE292:AH292,AK292:AL292),
IF(AQ292=3,SUM(P292:R292,U292:X292,AA292:AD292,AG292:AJ292),SUM(Таблица1[[#This Row],[1]:[31]])-Таблица1[[#This Row],[Столбец1]])))</f>
        <v>0</v>
      </c>
      <c r="AN292" s="778">
        <f t="array" ref="AN292">IF(AQ292=1,SUM(P292,U292:V292,AA292:AB292,AG292:AH292),
IF(AQ292=2,SUM(Q292:R292,W292:X292,AC292:AD292,AI292:AJ292),
IF(AQ292=3,SUM(S292:T292,Y292:Z292,AE292:AF292,AK292:AL292),
SUM(IFERROR(WEEKDAY($H$2:$AL$2,2)&gt;5,)*H292:AL292))))+Таблица1[[#This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92" s="292" t="b">
        <f>IF(AR292&lt;=3,(IF((G292="5/24"),((база!$M$6*Таблица1[[#This Row],[сумма]]*Таблица1[[#This Row],[коэф]])),
IF((G292="4/24"),((база!$M$5*Таблица1[[#This Row],[сумма]]*Таблица1[[#This Row],[коэф]])),
IF((G292="3/24"),((база!$M$4*Таблица1[[#This Row],[сумма]]*Таблица1[[#This Row],[коэф]])),
IF((G292="5/16"),((база!$L$6*Таблица1[[#This Row],[сумма]]*Таблица1[[#This Row],[коэф]])),
IF((G292="4/16"),((база!$L$5*Таблица1[[#This Row],[сумма]]*Таблица1[[#This Row],[коэф]])),
IF((G292="3/16"),((база!$L$4*Таблица1[[#This Row],[сумма]]*Таблица1[[#This Row],[коэф]])),
IF((G292="4/4"),((база!$I$5*Таблица1[[#This Row],[сумма]]*Таблица1[[#This Row],[коэф]])),
IF(OR(G292="2/4",G292="3/4"),((база!$I$4*Таблица1[[#This Row],[сумма]]*Таблица1[[#This Row],[коэф]])),
IF((G292="5/8"),((база!$J$6*Таблица1[[#This Row],[сумма]]*Таблица1[[#This Row],[коэф]])),
IF((G292="4/8"),((база!$J$5*Таблица1[[#This Row],[сумма]]*Таблица1[[#This Row],[коэф]])),
IF(OR(G292="3/8",G292="2/8"),((база!$J$4*Таблица1[[#This Row],[сумма]]*Таблица1[[#This Row],[коэф]])))))))))))))),
(IF((G292="5/24"),((база!$M$6*Таблица1[[#This Row],[сумма]]*Таблица1[[#This Row],[коэф]])),
IF(OR(G292="4/24",G292="3/24"),((база!$M$5*Таблица1[[#This Row],[сумма]]*Таблица1[[#This Row],[коэф]])),
IF((G292="5/16"),((база!$L$6*Таблица1[[#This Row],[сумма]]*Таблица1[[#This Row],[коэф]])),
IF(OR(G292="4/16",G292="3/16"),((база!$L$5*Таблица1[[#This Row],[сумма]]*Таблица1[[#This Row],[коэф]])),
IF(OR(G292="2/4",G292="3/4",G292="4/4"),((база!$I$5*Таблица1[[#This Row],[сумма]]*Таблица1[[#This Row],[коэф]])),
IF((G292="5/8"),((база!$J$6*Таблица1[[#This Row],[сумма]]*Таблица1[[#This Row],[коэф]])),
IF(OR(G292="4/8",G292="3/8",G292="2/8"),((база!$J$5*Таблица1[[#This Row],[сумма]]*Таблица1[[#This Row],[коэф]])))))))))))</f>
        <v>0</v>
      </c>
      <c r="AP292" s="730" t="b">
        <f>IF(AR292&lt;=3,(IF((G292="5/24"),((база!$M$6*2*Таблица1[[#This Row],[Столбец1]]*Таблица1[[#This Row],[коэф]])),
IF((G292="4/24"),((база!$M$5*2*Таблица1[[#This Row],[Столбец1]]*Таблица1[[#This Row],[коэф]])),
IF((G292="3/24"),((база!$M$4*2*Таблица1[[#This Row],[Столбец1]]*Таблица1[[#This Row],[коэф]])),
IF((G292="5/16"),((база!$L$6*2*Таблица1[[#This Row],[Столбец1]]*Таблица1[[#This Row],[коэф]])),
IF((G292="4/16"),((база!$L$5*2*Таблица1[[#This Row],[Столбец1]]*Таблица1[[#This Row],[коэф]])),
IF((G292="3/16"),((база!$L$4*2*Таблица1[[#This Row],[Столбец1]]*Таблица1[[#This Row],[коэф]])),
IF((G292="4/4"),((база!$I$5*2*Таблица1[[#This Row],[Столбец1]]*Таблица1[[#This Row],[коэф]])),
IF(OR(G292="2/4",G292="3/4"),((база!$I$4*2*Таблица1[[#This Row],[Столбец1]]*Таблица1[[#This Row],[коэф]])),
IF((G292="5/8"),((база!$J$6*2*Таблица1[[#This Row],[Столбец1]]*Таблица1[[#This Row],[коэф]])),
IF((G292="4/8"),((база!$J$5*2*Таблица1[[#This Row],[Столбец1]]*Таблица1[[#This Row],[коэф]])),
IF(OR(G292="3/8",G292="2/8"),((база!$J$4*2*Таблица1[[#This Row],[Столбец1]]*Таблица1[[#This Row],[коэф]])))))))))))))),
(IF((G292="5/24"),((база!$M$6*2*Таблица1[[#This Row],[Столбец1]]*Таблица1[[#This Row],[коэф]])),
IF(OR(G292="4/24",G292="3/24"),((база!$M$5*2*Таблица1[[#This Row],[Столбец1]]*Таблица1[[#This Row],[коэф]])),
IF((G292="5/16"),((база!$L$6*2*Таблица1[[#This Row],[Столбец1]]*Таблица1[[#This Row],[коэф]])),
IF(OR(G292="4/16",G292="3/16"),((база!$L$5*2*Таблица1[[#This Row],[Столбец1]]*Таблица1[[#This Row],[коэф]])),
IF(OR(G292="2/4",G292="3/4",G292="4/4"),((база!$I$5*2*Таблица1[[#This Row],[Столбец1]]*Таблица1[[#This Row],[коэф]])),
IF((G292="5/8"),((база!$J$6*2*Таблица1[[#This Row],[Столбец1]]*Таблица1[[#This Row],[коэф]])),
IF(OR(G292="4/8",G292="3/8",G292="2/8"),((база!$J$5*2*Таблица1[[#This Row],[Столбец1]]*Таблица1[[#This Row],[коэф]])))))))))))</f>
        <v>0</v>
      </c>
      <c r="AQ292" s="712" t="str">
        <f>IFERROR(INDEX(база!T:T, MATCH(F292,база!Q:Q,0)),"")</f>
        <v/>
      </c>
      <c r="AR292" s="208" t="str">
        <f>IFERROR(INDEX(база!D:D, MATCH(F292,база!B:B,0)),"")</f>
        <v/>
      </c>
      <c r="AS292" s="758" t="str">
        <f>IFERROR(INDEX(база!E:E, MATCH(F292,база!B:B,0)),"")</f>
        <v/>
      </c>
    </row>
    <row r="293" spans="1:45" ht="15">
      <c r="A293" s="66" t="str">
        <f t="shared" si="4"/>
        <v>январь</v>
      </c>
      <c r="B293" s="231">
        <v>2024</v>
      </c>
      <c r="C293" s="60"/>
      <c r="D293" s="61"/>
      <c r="E293" s="211"/>
      <c r="F293" s="680"/>
      <c r="G293" s="47"/>
      <c r="H293" s="563"/>
      <c r="I293" s="563"/>
      <c r="J293" s="563"/>
      <c r="K293" s="563"/>
      <c r="L293" s="563"/>
      <c r="M293" s="563"/>
      <c r="N293" s="563"/>
      <c r="O293" s="563"/>
      <c r="P293" s="300"/>
      <c r="Q293" s="563"/>
      <c r="R293" s="563"/>
      <c r="S293" s="563"/>
      <c r="T293" s="563"/>
      <c r="U293" s="563"/>
      <c r="V293" s="563"/>
      <c r="W293" s="563"/>
      <c r="X293" s="563"/>
      <c r="Y293" s="563"/>
      <c r="Z293" s="563"/>
      <c r="AA293" s="563"/>
      <c r="AB293" s="563"/>
      <c r="AC293" s="563"/>
      <c r="AD293" s="48"/>
      <c r="AE293" s="48"/>
      <c r="AF293" s="258"/>
      <c r="AG293" s="48"/>
      <c r="AH293" s="48"/>
      <c r="AI293" s="258"/>
      <c r="AJ293" s="258"/>
      <c r="AK293" s="258"/>
      <c r="AL293" s="258"/>
      <c r="AM293" s="212">
        <f>IF(AQ293=1,SUM(Q293:T293,W293:Z293,AC293:AF293,AI293:AL293),
IF(AQ293=2,SUM(P293,S293:V293,Y293:AB293,AE293:AH293,AK293:AL293),
IF(AQ293=3,SUM(P293:R293,U293:X293,AA293:AD293,AG293:AJ293),SUM(Таблица1[[#This Row],[1]:[31]])-Таблица1[[#This Row],[Столбец1]])))</f>
        <v>0</v>
      </c>
      <c r="AN293" s="778">
        <f t="array" ref="AN293">IF(AQ293=1,SUM(P293,U293:V293,AA293:AB293,AG293:AH293),
IF(AQ293=2,SUM(Q293:R293,W293:X293,AC293:AD293,AI293:AJ293),
IF(AQ293=3,SUM(S293:T293,Y293:Z293,AE293:AF293,AK293:AL293),
SUM(IFERROR(WEEKDAY($H$2:$AL$2,2)&gt;5,)*H293:AL293))))+Таблица1[[#This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93" s="292" t="b">
        <f>IF(AR293&lt;=3,(IF((G293="5/24"),((база!$M$6*Таблица1[[#This Row],[сумма]]*Таблица1[[#This Row],[коэф]])),
IF((G293="4/24"),((база!$M$5*Таблица1[[#This Row],[сумма]]*Таблица1[[#This Row],[коэф]])),
IF((G293="3/24"),((база!$M$4*Таблица1[[#This Row],[сумма]]*Таблица1[[#This Row],[коэф]])),
IF((G293="5/16"),((база!$L$6*Таблица1[[#This Row],[сумма]]*Таблица1[[#This Row],[коэф]])),
IF((G293="4/16"),((база!$L$5*Таблица1[[#This Row],[сумма]]*Таблица1[[#This Row],[коэф]])),
IF((G293="3/16"),((база!$L$4*Таблица1[[#This Row],[сумма]]*Таблица1[[#This Row],[коэф]])),
IF((G293="4/4"),((база!$I$5*Таблица1[[#This Row],[сумма]]*Таблица1[[#This Row],[коэф]])),
IF(OR(G293="2/4",G293="3/4"),((база!$I$4*Таблица1[[#This Row],[сумма]]*Таблица1[[#This Row],[коэф]])),
IF((G293="5/8"),((база!$J$6*Таблица1[[#This Row],[сумма]]*Таблица1[[#This Row],[коэф]])),
IF((G293="4/8"),((база!$J$5*Таблица1[[#This Row],[сумма]]*Таблица1[[#This Row],[коэф]])),
IF(OR(G293="3/8",G293="2/8"),((база!$J$4*Таблица1[[#This Row],[сумма]]*Таблица1[[#This Row],[коэф]])))))))))))))),
(IF((G293="5/24"),((база!$M$6*Таблица1[[#This Row],[сумма]]*Таблица1[[#This Row],[коэф]])),
IF(OR(G293="4/24",G293="3/24"),((база!$M$5*Таблица1[[#This Row],[сумма]]*Таблица1[[#This Row],[коэф]])),
IF((G293="5/16"),((база!$L$6*Таблица1[[#This Row],[сумма]]*Таблица1[[#This Row],[коэф]])),
IF(OR(G293="4/16",G293="3/16"),((база!$L$5*Таблица1[[#This Row],[сумма]]*Таблица1[[#This Row],[коэф]])),
IF(OR(G293="2/4",G293="3/4",G293="4/4"),((база!$I$5*Таблица1[[#This Row],[сумма]]*Таблица1[[#This Row],[коэф]])),
IF((G293="5/8"),((база!$J$6*Таблица1[[#This Row],[сумма]]*Таблица1[[#This Row],[коэф]])),
IF(OR(G293="4/8",G293="3/8",G293="2/8"),((база!$J$5*Таблица1[[#This Row],[сумма]]*Таблица1[[#This Row],[коэф]])))))))))))</f>
        <v>0</v>
      </c>
      <c r="AP293" s="730" t="b">
        <f>IF(AR293&lt;=3,(IF((G293="5/24"),((база!$M$6*2*Таблица1[[#This Row],[Столбец1]]*Таблица1[[#This Row],[коэф]])),
IF((G293="4/24"),((база!$M$5*2*Таблица1[[#This Row],[Столбец1]]*Таблица1[[#This Row],[коэф]])),
IF((G293="3/24"),((база!$M$4*2*Таблица1[[#This Row],[Столбец1]]*Таблица1[[#This Row],[коэф]])),
IF((G293="5/16"),((база!$L$6*2*Таблица1[[#This Row],[Столбец1]]*Таблица1[[#This Row],[коэф]])),
IF((G293="4/16"),((база!$L$5*2*Таблица1[[#This Row],[Столбец1]]*Таблица1[[#This Row],[коэф]])),
IF((G293="3/16"),((база!$L$4*2*Таблица1[[#This Row],[Столбец1]]*Таблица1[[#This Row],[коэф]])),
IF((G293="4/4"),((база!$I$5*2*Таблица1[[#This Row],[Столбец1]]*Таблица1[[#This Row],[коэф]])),
IF(OR(G293="2/4",G293="3/4"),((база!$I$4*2*Таблица1[[#This Row],[Столбец1]]*Таблица1[[#This Row],[коэф]])),
IF((G293="5/8"),((база!$J$6*2*Таблица1[[#This Row],[Столбец1]]*Таблица1[[#This Row],[коэф]])),
IF((G293="4/8"),((база!$J$5*2*Таблица1[[#This Row],[Столбец1]]*Таблица1[[#This Row],[коэф]])),
IF(OR(G293="3/8",G293="2/8"),((база!$J$4*2*Таблица1[[#This Row],[Столбец1]]*Таблица1[[#This Row],[коэф]])))))))))))))),
(IF((G293="5/24"),((база!$M$6*2*Таблица1[[#This Row],[Столбец1]]*Таблица1[[#This Row],[коэф]])),
IF(OR(G293="4/24",G293="3/24"),((база!$M$5*2*Таблица1[[#This Row],[Столбец1]]*Таблица1[[#This Row],[коэф]])),
IF((G293="5/16"),((база!$L$6*2*Таблица1[[#This Row],[Столбец1]]*Таблица1[[#This Row],[коэф]])),
IF(OR(G293="4/16",G293="3/16"),((база!$L$5*2*Таблица1[[#This Row],[Столбец1]]*Таблица1[[#This Row],[коэф]])),
IF(OR(G293="2/4",G293="3/4",G293="4/4"),((база!$I$5*2*Таблица1[[#This Row],[Столбец1]]*Таблица1[[#This Row],[коэф]])),
IF((G293="5/8"),((база!$J$6*2*Таблица1[[#This Row],[Столбец1]]*Таблица1[[#This Row],[коэф]])),
IF(OR(G293="4/8",G293="3/8",G293="2/8"),((база!$J$5*2*Таблица1[[#This Row],[Столбец1]]*Таблица1[[#This Row],[коэф]])))))))))))</f>
        <v>0</v>
      </c>
      <c r="AQ293" s="712" t="str">
        <f>IFERROR(INDEX(база!T:T, MATCH(F293,база!Q:Q,0)),"")</f>
        <v/>
      </c>
      <c r="AR293" s="208" t="str">
        <f>IFERROR(INDEX(база!D:D, MATCH(F293,база!B:B,0)),"")</f>
        <v/>
      </c>
      <c r="AS293" s="758" t="str">
        <f>IFERROR(INDEX(база!E:E, MATCH(F293,база!B:B,0)),"")</f>
        <v/>
      </c>
    </row>
    <row r="294" spans="1:45" ht="15">
      <c r="A294" s="66" t="str">
        <f t="shared" si="4"/>
        <v>январь</v>
      </c>
      <c r="B294" s="231">
        <v>2024</v>
      </c>
      <c r="C294" s="60"/>
      <c r="D294" s="61"/>
      <c r="E294" s="211"/>
      <c r="F294" s="680"/>
      <c r="G294" s="47"/>
      <c r="H294" s="563"/>
      <c r="I294" s="563"/>
      <c r="J294" s="563"/>
      <c r="K294" s="563"/>
      <c r="L294" s="563"/>
      <c r="M294" s="563"/>
      <c r="N294" s="563"/>
      <c r="O294" s="563"/>
      <c r="P294" s="300"/>
      <c r="Q294" s="563"/>
      <c r="R294" s="563"/>
      <c r="S294" s="563"/>
      <c r="T294" s="563"/>
      <c r="U294" s="563"/>
      <c r="V294" s="563"/>
      <c r="W294" s="563"/>
      <c r="X294" s="563"/>
      <c r="Y294" s="563"/>
      <c r="Z294" s="563"/>
      <c r="AA294" s="563"/>
      <c r="AB294" s="563"/>
      <c r="AC294" s="563"/>
      <c r="AD294" s="48"/>
      <c r="AE294" s="48"/>
      <c r="AF294" s="48"/>
      <c r="AG294" s="48"/>
      <c r="AH294" s="48"/>
      <c r="AI294" s="48"/>
      <c r="AJ294" s="48"/>
      <c r="AK294" s="48"/>
      <c r="AL294" s="51"/>
      <c r="AM294" s="212">
        <f>IF(AQ294=1,SUM(Q294:T294,W294:Z294,AC294:AF294,AI294:AL294),
IF(AQ294=2,SUM(P294,S294:V294,Y294:AB294,AE294:AH294,AK294:AL294),
IF(AQ294=3,SUM(P294:R294,U294:X294,AA294:AD294,AG294:AJ294),SUM(Таблица1[[#This Row],[1]:[31]])-Таблица1[[#This Row],[Столбец1]])))</f>
        <v>0</v>
      </c>
      <c r="AN294" s="778">
        <f t="array" ref="AN294">IF(AQ294=1,SUM(P294,U294:V294,AA294:AB294,AG294:AH294),
IF(AQ294=2,SUM(Q294:R294,W294:X294,AC294:AD294,AI294:AJ294),
IF(AQ294=3,SUM(S294:T294,Y294:Z294,AE294:AF294,AK294:AL294),
SUM(IFERROR(WEEKDAY($H$2:$AL$2,2)&gt;5,)*H294:AL294))))+Таблица1[[#This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94" s="292" t="b">
        <f>IF(AR294&lt;=3,(IF((G294="5/24"),((база!$M$6*Таблица1[[#This Row],[сумма]]*Таблица1[[#This Row],[коэф]])),
IF((G294="4/24"),((база!$M$5*Таблица1[[#This Row],[сумма]]*Таблица1[[#This Row],[коэф]])),
IF((G294="3/24"),((база!$M$4*Таблица1[[#This Row],[сумма]]*Таблица1[[#This Row],[коэф]])),
IF((G294="5/16"),((база!$L$6*Таблица1[[#This Row],[сумма]]*Таблица1[[#This Row],[коэф]])),
IF((G294="4/16"),((база!$L$5*Таблица1[[#This Row],[сумма]]*Таблица1[[#This Row],[коэф]])),
IF((G294="3/16"),((база!$L$4*Таблица1[[#This Row],[сумма]]*Таблица1[[#This Row],[коэф]])),
IF((G294="4/4"),((база!$I$5*Таблица1[[#This Row],[сумма]]*Таблица1[[#This Row],[коэф]])),
IF(OR(G294="2/4",G294="3/4"),((база!$I$4*Таблица1[[#This Row],[сумма]]*Таблица1[[#This Row],[коэф]])),
IF((G294="5/8"),((база!$J$6*Таблица1[[#This Row],[сумма]]*Таблица1[[#This Row],[коэф]])),
IF((G294="4/8"),((база!$J$5*Таблица1[[#This Row],[сумма]]*Таблица1[[#This Row],[коэф]])),
IF(OR(G294="3/8",G294="2/8"),((база!$J$4*Таблица1[[#This Row],[сумма]]*Таблица1[[#This Row],[коэф]])))))))))))))),
(IF((G294="5/24"),((база!$M$6*Таблица1[[#This Row],[сумма]]*Таблица1[[#This Row],[коэф]])),
IF(OR(G294="4/24",G294="3/24"),((база!$M$5*Таблица1[[#This Row],[сумма]]*Таблица1[[#This Row],[коэф]])),
IF((G294="5/16"),((база!$L$6*Таблица1[[#This Row],[сумма]]*Таблица1[[#This Row],[коэф]])),
IF(OR(G294="4/16",G294="3/16"),((база!$L$5*Таблица1[[#This Row],[сумма]]*Таблица1[[#This Row],[коэф]])),
IF(OR(G294="2/4",G294="3/4",G294="4/4"),((база!$I$5*Таблица1[[#This Row],[сумма]]*Таблица1[[#This Row],[коэф]])),
IF((G294="5/8"),((база!$J$6*Таблица1[[#This Row],[сумма]]*Таблица1[[#This Row],[коэф]])),
IF(OR(G294="4/8",G294="3/8",G294="2/8"),((база!$J$5*Таблица1[[#This Row],[сумма]]*Таблица1[[#This Row],[коэф]])))))))))))</f>
        <v>0</v>
      </c>
      <c r="AP294" s="730" t="b">
        <f>IF(AR294&lt;=3,(IF((G294="5/24"),((база!$M$6*2*Таблица1[[#This Row],[Столбец1]]*Таблица1[[#This Row],[коэф]])),
IF((G294="4/24"),((база!$M$5*2*Таблица1[[#This Row],[Столбец1]]*Таблица1[[#This Row],[коэф]])),
IF((G294="3/24"),((база!$M$4*2*Таблица1[[#This Row],[Столбец1]]*Таблица1[[#This Row],[коэф]])),
IF((G294="5/16"),((база!$L$6*2*Таблица1[[#This Row],[Столбец1]]*Таблица1[[#This Row],[коэф]])),
IF((G294="4/16"),((база!$L$5*2*Таблица1[[#This Row],[Столбец1]]*Таблица1[[#This Row],[коэф]])),
IF((G294="3/16"),((база!$L$4*2*Таблица1[[#This Row],[Столбец1]]*Таблица1[[#This Row],[коэф]])),
IF((G294="4/4"),((база!$I$5*2*Таблица1[[#This Row],[Столбец1]]*Таблица1[[#This Row],[коэф]])),
IF(OR(G294="2/4",G294="3/4"),((база!$I$4*2*Таблица1[[#This Row],[Столбец1]]*Таблица1[[#This Row],[коэф]])),
IF((G294="5/8"),((база!$J$6*2*Таблица1[[#This Row],[Столбец1]]*Таблица1[[#This Row],[коэф]])),
IF((G294="4/8"),((база!$J$5*2*Таблица1[[#This Row],[Столбец1]]*Таблица1[[#This Row],[коэф]])),
IF(OR(G294="3/8",G294="2/8"),((база!$J$4*2*Таблица1[[#This Row],[Столбец1]]*Таблица1[[#This Row],[коэф]])))))))))))))),
(IF((G294="5/24"),((база!$M$6*2*Таблица1[[#This Row],[Столбец1]]*Таблица1[[#This Row],[коэф]])),
IF(OR(G294="4/24",G294="3/24"),((база!$M$5*2*Таблица1[[#This Row],[Столбец1]]*Таблица1[[#This Row],[коэф]])),
IF((G294="5/16"),((база!$L$6*2*Таблица1[[#This Row],[Столбец1]]*Таблица1[[#This Row],[коэф]])),
IF(OR(G294="4/16",G294="3/16"),((база!$L$5*2*Таблица1[[#This Row],[Столбец1]]*Таблица1[[#This Row],[коэф]])),
IF(OR(G294="2/4",G294="3/4",G294="4/4"),((база!$I$5*2*Таблица1[[#This Row],[Столбец1]]*Таблица1[[#This Row],[коэф]])),
IF((G294="5/8"),((база!$J$6*2*Таблица1[[#This Row],[Столбец1]]*Таблица1[[#This Row],[коэф]])),
IF(OR(G294="4/8",G294="3/8",G294="2/8"),((база!$J$5*2*Таблица1[[#This Row],[Столбец1]]*Таблица1[[#This Row],[коэф]])))))))))))</f>
        <v>0</v>
      </c>
      <c r="AQ294" s="712" t="str">
        <f>IFERROR(INDEX(база!T:T, MATCH(F294,база!Q:Q,0)),"")</f>
        <v/>
      </c>
      <c r="AR294" s="208" t="str">
        <f>IFERROR(INDEX(база!D:D, MATCH(F294,база!B:B,0)),"")</f>
        <v/>
      </c>
      <c r="AS294" s="758" t="str">
        <f>IFERROR(INDEX(база!E:E, MATCH(F294,база!B:B,0)),"")</f>
        <v/>
      </c>
    </row>
    <row r="295" spans="1:45" ht="15">
      <c r="A295" s="66" t="str">
        <f t="shared" si="4"/>
        <v>январь</v>
      </c>
      <c r="B295" s="231">
        <v>2024</v>
      </c>
      <c r="C295" s="299"/>
      <c r="D295" s="61"/>
      <c r="E295" s="211"/>
      <c r="F295" s="680"/>
      <c r="G295" s="47"/>
      <c r="H295" s="563"/>
      <c r="I295" s="563"/>
      <c r="J295" s="563"/>
      <c r="K295" s="563"/>
      <c r="L295" s="563"/>
      <c r="M295" s="563"/>
      <c r="N295" s="563"/>
      <c r="O295" s="563"/>
      <c r="P295" s="300"/>
      <c r="Q295" s="563"/>
      <c r="R295" s="563"/>
      <c r="S295" s="563"/>
      <c r="T295" s="563"/>
      <c r="U295" s="563"/>
      <c r="V295" s="563"/>
      <c r="W295" s="563"/>
      <c r="X295" s="563"/>
      <c r="Y295" s="563"/>
      <c r="Z295" s="563"/>
      <c r="AA295" s="563"/>
      <c r="AB295" s="563"/>
      <c r="AC295" s="563"/>
      <c r="AD295" s="48"/>
      <c r="AE295" s="48"/>
      <c r="AF295" s="258"/>
      <c r="AG295" s="48"/>
      <c r="AH295" s="48"/>
      <c r="AI295" s="258"/>
      <c r="AJ295" s="258"/>
      <c r="AK295" s="258"/>
      <c r="AL295" s="258"/>
      <c r="AM295" s="212">
        <f>IF(AQ295=1,SUM(Q295:T295,W295:Z295,AC295:AF295,AI295:AL295),
IF(AQ295=2,SUM(P295,S295:V295,Y295:AB295,AE295:AH295,AK295:AL295),
IF(AQ295=3,SUM(P295:R295,U295:X295,AA295:AD295,AG295:AJ295),SUM(Таблица1[[#This Row],[1]:[31]])-Таблица1[[#This Row],[Столбец1]])))</f>
        <v>0</v>
      </c>
      <c r="AN295" s="778">
        <f t="array" ref="AN295">IF(AQ295=1,SUM(P295,U295:V295,AA295:AB295,AG295:AH295),
IF(AQ295=2,SUM(Q295:R295,W295:X295,AC295:AD295,AI295:AJ295),
IF(AQ295=3,SUM(S295:T295,Y295:Z295,AE295:AF295,AK295:AL295),
SUM(IFERROR(WEEKDAY($H$2:$AL$2,2)&gt;5,)*H295:AL295))))+Таблица1[[#This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95" s="292" t="b">
        <f>IF(AR295&lt;=3,(IF((G295="5/24"),((база!$M$6*Таблица1[[#This Row],[сумма]]*Таблица1[[#This Row],[коэф]])),
IF((G295="4/24"),((база!$M$5*Таблица1[[#This Row],[сумма]]*Таблица1[[#This Row],[коэф]])),
IF((G295="3/24"),((база!$M$4*Таблица1[[#This Row],[сумма]]*Таблица1[[#This Row],[коэф]])),
IF((G295="5/16"),((база!$L$6*Таблица1[[#This Row],[сумма]]*Таблица1[[#This Row],[коэф]])),
IF((G295="4/16"),((база!$L$5*Таблица1[[#This Row],[сумма]]*Таблица1[[#This Row],[коэф]])),
IF((G295="3/16"),((база!$L$4*Таблица1[[#This Row],[сумма]]*Таблица1[[#This Row],[коэф]])),
IF((G295="4/4"),((база!$I$5*Таблица1[[#This Row],[сумма]]*Таблица1[[#This Row],[коэф]])),
IF(OR(G295="2/4",G295="3/4"),((база!$I$4*Таблица1[[#This Row],[сумма]]*Таблица1[[#This Row],[коэф]])),
IF((G295="5/8"),((база!$J$6*Таблица1[[#This Row],[сумма]]*Таблица1[[#This Row],[коэф]])),
IF((G295="4/8"),((база!$J$5*Таблица1[[#This Row],[сумма]]*Таблица1[[#This Row],[коэф]])),
IF(OR(G295="3/8",G295="2/8"),((база!$J$4*Таблица1[[#This Row],[сумма]]*Таблица1[[#This Row],[коэф]])))))))))))))),
(IF((G295="5/24"),((база!$M$6*Таблица1[[#This Row],[сумма]]*Таблица1[[#This Row],[коэф]])),
IF(OR(G295="4/24",G295="3/24"),((база!$M$5*Таблица1[[#This Row],[сумма]]*Таблица1[[#This Row],[коэф]])),
IF((G295="5/16"),((база!$L$6*Таблица1[[#This Row],[сумма]]*Таблица1[[#This Row],[коэф]])),
IF(OR(G295="4/16",G295="3/16"),((база!$L$5*Таблица1[[#This Row],[сумма]]*Таблица1[[#This Row],[коэф]])),
IF(OR(G295="2/4",G295="3/4",G295="4/4"),((база!$I$5*Таблица1[[#This Row],[сумма]]*Таблица1[[#This Row],[коэф]])),
IF((G295="5/8"),((база!$J$6*Таблица1[[#This Row],[сумма]]*Таблица1[[#This Row],[коэф]])),
IF(OR(G295="4/8",G295="3/8",G295="2/8"),((база!$J$5*Таблица1[[#This Row],[сумма]]*Таблица1[[#This Row],[коэф]])))))))))))</f>
        <v>0</v>
      </c>
      <c r="AP295" s="730" t="b">
        <f>IF(AR295&lt;=3,(IF((G295="5/24"),((база!$M$6*2*Таблица1[[#This Row],[Столбец1]]*Таблица1[[#This Row],[коэф]])),
IF((G295="4/24"),((база!$M$5*2*Таблица1[[#This Row],[Столбец1]]*Таблица1[[#This Row],[коэф]])),
IF((G295="3/24"),((база!$M$4*2*Таблица1[[#This Row],[Столбец1]]*Таблица1[[#This Row],[коэф]])),
IF((G295="5/16"),((база!$L$6*2*Таблица1[[#This Row],[Столбец1]]*Таблица1[[#This Row],[коэф]])),
IF((G295="4/16"),((база!$L$5*2*Таблица1[[#This Row],[Столбец1]]*Таблица1[[#This Row],[коэф]])),
IF((G295="3/16"),((база!$L$4*2*Таблица1[[#This Row],[Столбец1]]*Таблица1[[#This Row],[коэф]])),
IF((G295="4/4"),((база!$I$5*2*Таблица1[[#This Row],[Столбец1]]*Таблица1[[#This Row],[коэф]])),
IF(OR(G295="2/4",G295="3/4"),((база!$I$4*2*Таблица1[[#This Row],[Столбец1]]*Таблица1[[#This Row],[коэф]])),
IF((G295="5/8"),((база!$J$6*2*Таблица1[[#This Row],[Столбец1]]*Таблица1[[#This Row],[коэф]])),
IF((G295="4/8"),((база!$J$5*2*Таблица1[[#This Row],[Столбец1]]*Таблица1[[#This Row],[коэф]])),
IF(OR(G295="3/8",G295="2/8"),((база!$J$4*2*Таблица1[[#This Row],[Столбец1]]*Таблица1[[#This Row],[коэф]])))))))))))))),
(IF((G295="5/24"),((база!$M$6*2*Таблица1[[#This Row],[Столбец1]]*Таблица1[[#This Row],[коэф]])),
IF(OR(G295="4/24",G295="3/24"),((база!$M$5*2*Таблица1[[#This Row],[Столбец1]]*Таблица1[[#This Row],[коэф]])),
IF((G295="5/16"),((база!$L$6*2*Таблица1[[#This Row],[Столбец1]]*Таблица1[[#This Row],[коэф]])),
IF(OR(G295="4/16",G295="3/16"),((база!$L$5*2*Таблица1[[#This Row],[Столбец1]]*Таблица1[[#This Row],[коэф]])),
IF(OR(G295="2/4",G295="3/4",G295="4/4"),((база!$I$5*2*Таблица1[[#This Row],[Столбец1]]*Таблица1[[#This Row],[коэф]])),
IF((G295="5/8"),((база!$J$6*2*Таблица1[[#This Row],[Столбец1]]*Таблица1[[#This Row],[коэф]])),
IF(OR(G295="4/8",G295="3/8",G295="2/8"),((база!$J$5*2*Таблица1[[#This Row],[Столбец1]]*Таблица1[[#This Row],[коэф]])))))))))))</f>
        <v>0</v>
      </c>
      <c r="AQ295" s="712" t="str">
        <f>IFERROR(INDEX(база!T:T, MATCH(F295,база!Q:Q,0)),"")</f>
        <v/>
      </c>
      <c r="AR295" s="208" t="str">
        <f>IFERROR(INDEX(база!D:D, MATCH(F295,база!B:B,0)),"")</f>
        <v/>
      </c>
      <c r="AS295" s="758" t="str">
        <f>IFERROR(INDEX(база!E:E, MATCH(F295,база!B:B,0)),"")</f>
        <v/>
      </c>
    </row>
    <row r="296" spans="1:45" ht="15">
      <c r="A296" s="66" t="str">
        <f t="shared" si="4"/>
        <v>январь</v>
      </c>
      <c r="B296" s="231">
        <v>2024</v>
      </c>
      <c r="C296" s="299"/>
      <c r="D296" s="61"/>
      <c r="E296" s="211"/>
      <c r="F296" s="680"/>
      <c r="G296" s="47"/>
      <c r="H296" s="563"/>
      <c r="I296" s="563"/>
      <c r="J296" s="563"/>
      <c r="K296" s="563"/>
      <c r="L296" s="563"/>
      <c r="M296" s="563"/>
      <c r="N296" s="563"/>
      <c r="O296" s="563"/>
      <c r="P296" s="300"/>
      <c r="Q296" s="563"/>
      <c r="R296" s="563"/>
      <c r="S296" s="563"/>
      <c r="T296" s="563"/>
      <c r="U296" s="563"/>
      <c r="V296" s="563"/>
      <c r="W296" s="563"/>
      <c r="X296" s="563"/>
      <c r="Y296" s="563"/>
      <c r="Z296" s="563"/>
      <c r="AA296" s="563"/>
      <c r="AB296" s="563"/>
      <c r="AC296" s="563"/>
      <c r="AD296" s="48"/>
      <c r="AE296" s="48"/>
      <c r="AF296" s="258"/>
      <c r="AG296" s="48"/>
      <c r="AH296" s="48"/>
      <c r="AI296" s="48"/>
      <c r="AJ296" s="48"/>
      <c r="AK296" s="48"/>
      <c r="AL296" s="51"/>
      <c r="AM296" s="212">
        <f>IF(AQ296=1,SUM(Q296:T296,W296:Z296,AC296:AF296,AI296:AL296),
IF(AQ296=2,SUM(P296,S296:V296,Y296:AB296,AE296:AH296,AK296:AL296),
IF(AQ296=3,SUM(P296:R296,U296:X296,AA296:AD296,AG296:AJ296),SUM(Таблица1[[#This Row],[1]:[31]])-Таблица1[[#This Row],[Столбец1]])))</f>
        <v>0</v>
      </c>
      <c r="AN296" s="778">
        <f t="array" ref="AN296">IF(AQ296=1,SUM(P296,U296:V296,AA296:AB296,AG296:AH296),
IF(AQ296=2,SUM(Q296:R296,W296:X296,AC296:AD296,AI296:AJ296),
IF(AQ296=3,SUM(S296:T296,Y296:Z296,AE296:AF296,AK296:AL296),
SUM(IFERROR(WEEKDAY($H$2:$AL$2,2)&gt;5,)*H296:AL296))))+Таблица1[[#This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96" s="292" t="b">
        <f>IF(AR296&lt;=3,(IF((G296="5/24"),((база!$M$6*Таблица1[[#This Row],[сумма]]*Таблица1[[#This Row],[коэф]])),
IF((G296="4/24"),((база!$M$5*Таблица1[[#This Row],[сумма]]*Таблица1[[#This Row],[коэф]])),
IF((G296="3/24"),((база!$M$4*Таблица1[[#This Row],[сумма]]*Таблица1[[#This Row],[коэф]])),
IF((G296="5/16"),((база!$L$6*Таблица1[[#This Row],[сумма]]*Таблица1[[#This Row],[коэф]])),
IF((G296="4/16"),((база!$L$5*Таблица1[[#This Row],[сумма]]*Таблица1[[#This Row],[коэф]])),
IF((G296="3/16"),((база!$L$4*Таблица1[[#This Row],[сумма]]*Таблица1[[#This Row],[коэф]])),
IF((G296="4/4"),((база!$I$5*Таблица1[[#This Row],[сумма]]*Таблица1[[#This Row],[коэф]])),
IF(OR(G296="2/4",G296="3/4"),((база!$I$4*Таблица1[[#This Row],[сумма]]*Таблица1[[#This Row],[коэф]])),
IF((G296="5/8"),((база!$J$6*Таблица1[[#This Row],[сумма]]*Таблица1[[#This Row],[коэф]])),
IF((G296="4/8"),((база!$J$5*Таблица1[[#This Row],[сумма]]*Таблица1[[#This Row],[коэф]])),
IF(OR(G296="3/8",G296="2/8"),((база!$J$4*Таблица1[[#This Row],[сумма]]*Таблица1[[#This Row],[коэф]])))))))))))))),
(IF((G296="5/24"),((база!$M$6*Таблица1[[#This Row],[сумма]]*Таблица1[[#This Row],[коэф]])),
IF(OR(G296="4/24",G296="3/24"),((база!$M$5*Таблица1[[#This Row],[сумма]]*Таблица1[[#This Row],[коэф]])),
IF((G296="5/16"),((база!$L$6*Таблица1[[#This Row],[сумма]]*Таблица1[[#This Row],[коэф]])),
IF(OR(G296="4/16",G296="3/16"),((база!$L$5*Таблица1[[#This Row],[сумма]]*Таблица1[[#This Row],[коэф]])),
IF(OR(G296="2/4",G296="3/4",G296="4/4"),((база!$I$5*Таблица1[[#This Row],[сумма]]*Таблица1[[#This Row],[коэф]])),
IF((G296="5/8"),((база!$J$6*Таблица1[[#This Row],[сумма]]*Таблица1[[#This Row],[коэф]])),
IF(OR(G296="4/8",G296="3/8",G296="2/8"),((база!$J$5*Таблица1[[#This Row],[сумма]]*Таблица1[[#This Row],[коэф]])))))))))))</f>
        <v>0</v>
      </c>
      <c r="AP296" s="730" t="b">
        <f>IF(AR296&lt;=3,(IF((G296="5/24"),((база!$M$6*2*Таблица1[[#This Row],[Столбец1]]*Таблица1[[#This Row],[коэф]])),
IF((G296="4/24"),((база!$M$5*2*Таблица1[[#This Row],[Столбец1]]*Таблица1[[#This Row],[коэф]])),
IF((G296="3/24"),((база!$M$4*2*Таблица1[[#This Row],[Столбец1]]*Таблица1[[#This Row],[коэф]])),
IF((G296="5/16"),((база!$L$6*2*Таблица1[[#This Row],[Столбец1]]*Таблица1[[#This Row],[коэф]])),
IF((G296="4/16"),((база!$L$5*2*Таблица1[[#This Row],[Столбец1]]*Таблица1[[#This Row],[коэф]])),
IF((G296="3/16"),((база!$L$4*2*Таблица1[[#This Row],[Столбец1]]*Таблица1[[#This Row],[коэф]])),
IF((G296="4/4"),((база!$I$5*2*Таблица1[[#This Row],[Столбец1]]*Таблица1[[#This Row],[коэф]])),
IF(OR(G296="2/4",G296="3/4"),((база!$I$4*2*Таблица1[[#This Row],[Столбец1]]*Таблица1[[#This Row],[коэф]])),
IF((G296="5/8"),((база!$J$6*2*Таблица1[[#This Row],[Столбец1]]*Таблица1[[#This Row],[коэф]])),
IF((G296="4/8"),((база!$J$5*2*Таблица1[[#This Row],[Столбец1]]*Таблица1[[#This Row],[коэф]])),
IF(OR(G296="3/8",G296="2/8"),((база!$J$4*2*Таблица1[[#This Row],[Столбец1]]*Таблица1[[#This Row],[коэф]])))))))))))))),
(IF((G296="5/24"),((база!$M$6*2*Таблица1[[#This Row],[Столбец1]]*Таблица1[[#This Row],[коэф]])),
IF(OR(G296="4/24",G296="3/24"),((база!$M$5*2*Таблица1[[#This Row],[Столбец1]]*Таблица1[[#This Row],[коэф]])),
IF((G296="5/16"),((база!$L$6*2*Таблица1[[#This Row],[Столбец1]]*Таблица1[[#This Row],[коэф]])),
IF(OR(G296="4/16",G296="3/16"),((база!$L$5*2*Таблица1[[#This Row],[Столбец1]]*Таблица1[[#This Row],[коэф]])),
IF(OR(G296="2/4",G296="3/4",G296="4/4"),((база!$I$5*2*Таблица1[[#This Row],[Столбец1]]*Таблица1[[#This Row],[коэф]])),
IF((G296="5/8"),((база!$J$6*2*Таблица1[[#This Row],[Столбец1]]*Таблица1[[#This Row],[коэф]])),
IF(OR(G296="4/8",G296="3/8",G296="2/8"),((база!$J$5*2*Таблица1[[#This Row],[Столбец1]]*Таблица1[[#This Row],[коэф]])))))))))))</f>
        <v>0</v>
      </c>
      <c r="AQ296" s="712" t="str">
        <f>IFERROR(INDEX(база!T:T, MATCH(F296,база!Q:Q,0)),"")</f>
        <v/>
      </c>
      <c r="AR296" s="208" t="str">
        <f>IFERROR(INDEX(база!D:D, MATCH(F296,база!B:B,0)),"")</f>
        <v/>
      </c>
      <c r="AS296" s="758" t="str">
        <f>IFERROR(INDEX(база!E:E, MATCH(F296,база!B:B,0)),"")</f>
        <v/>
      </c>
    </row>
    <row r="297" spans="1:45" ht="15">
      <c r="A297" s="66" t="str">
        <f t="shared" si="4"/>
        <v>январь</v>
      </c>
      <c r="B297" s="231">
        <v>2024</v>
      </c>
      <c r="C297" s="299"/>
      <c r="D297" s="61"/>
      <c r="E297" s="211"/>
      <c r="F297" s="680"/>
      <c r="G297" s="47"/>
      <c r="H297" s="563"/>
      <c r="I297" s="563"/>
      <c r="J297" s="563"/>
      <c r="K297" s="563"/>
      <c r="L297" s="563"/>
      <c r="M297" s="563"/>
      <c r="N297" s="563"/>
      <c r="O297" s="563"/>
      <c r="P297" s="300"/>
      <c r="Q297" s="563"/>
      <c r="R297" s="563"/>
      <c r="S297" s="563"/>
      <c r="T297" s="563"/>
      <c r="U297" s="563"/>
      <c r="V297" s="563"/>
      <c r="W297" s="563"/>
      <c r="X297" s="563"/>
      <c r="Y297" s="563"/>
      <c r="Z297" s="563"/>
      <c r="AA297" s="563"/>
      <c r="AB297" s="563"/>
      <c r="AC297" s="563"/>
      <c r="AD297" s="48"/>
      <c r="AE297" s="48"/>
      <c r="AF297" s="258"/>
      <c r="AG297" s="48"/>
      <c r="AH297" s="48"/>
      <c r="AI297" s="258"/>
      <c r="AJ297" s="258"/>
      <c r="AK297" s="258"/>
      <c r="AL297" s="258"/>
      <c r="AM297" s="212">
        <f>IF(AQ297=1,SUM(Q297:T297,W297:Z297,AC297:AF297,AI297:AL297),
IF(AQ297=2,SUM(P297,S297:V297,Y297:AB297,AE297:AH297,AK297:AL297),
IF(AQ297=3,SUM(P297:R297,U297:X297,AA297:AD297,AG297:AJ297),SUM(Таблица1[[#This Row],[1]:[31]])-Таблица1[[#This Row],[Столбец1]])))</f>
        <v>0</v>
      </c>
      <c r="AN297" s="778">
        <f t="array" ref="AN297">IF(AQ297=1,SUM(P297,U297:V297,AA297:AB297,AG297:AH297),
IF(AQ297=2,SUM(Q297:R297,W297:X297,AC297:AD297,AI297:AJ297),
IF(AQ297=3,SUM(S297:T297,Y297:Z297,AE297:AF297,AK297:AL297),
SUM(IFERROR(WEEKDAY($H$2:$AL$2,2)&gt;5,)*H297:AL297))))+Таблица1[[#This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97" s="292" t="b">
        <f>IF(AR297&lt;=3,(IF((G297="5/24"),((база!$M$6*Таблица1[[#This Row],[сумма]]*Таблица1[[#This Row],[коэф]])),
IF((G297="4/24"),((база!$M$5*Таблица1[[#This Row],[сумма]]*Таблица1[[#This Row],[коэф]])),
IF((G297="3/24"),((база!$M$4*Таблица1[[#This Row],[сумма]]*Таблица1[[#This Row],[коэф]])),
IF((G297="5/16"),((база!$L$6*Таблица1[[#This Row],[сумма]]*Таблица1[[#This Row],[коэф]])),
IF((G297="4/16"),((база!$L$5*Таблица1[[#This Row],[сумма]]*Таблица1[[#This Row],[коэф]])),
IF((G297="3/16"),((база!$L$4*Таблица1[[#This Row],[сумма]]*Таблица1[[#This Row],[коэф]])),
IF((G297="4/4"),((база!$I$5*Таблица1[[#This Row],[сумма]]*Таблица1[[#This Row],[коэф]])),
IF(OR(G297="2/4",G297="3/4"),((база!$I$4*Таблица1[[#This Row],[сумма]]*Таблица1[[#This Row],[коэф]])),
IF((G297="5/8"),((база!$J$6*Таблица1[[#This Row],[сумма]]*Таблица1[[#This Row],[коэф]])),
IF((G297="4/8"),((база!$J$5*Таблица1[[#This Row],[сумма]]*Таблица1[[#This Row],[коэф]])),
IF(OR(G297="3/8",G297="2/8"),((база!$J$4*Таблица1[[#This Row],[сумма]]*Таблица1[[#This Row],[коэф]])))))))))))))),
(IF((G297="5/24"),((база!$M$6*Таблица1[[#This Row],[сумма]]*Таблица1[[#This Row],[коэф]])),
IF(OR(G297="4/24",G297="3/24"),((база!$M$5*Таблица1[[#This Row],[сумма]]*Таблица1[[#This Row],[коэф]])),
IF((G297="5/16"),((база!$L$6*Таблица1[[#This Row],[сумма]]*Таблица1[[#This Row],[коэф]])),
IF(OR(G297="4/16",G297="3/16"),((база!$L$5*Таблица1[[#This Row],[сумма]]*Таблица1[[#This Row],[коэф]])),
IF(OR(G297="2/4",G297="3/4",G297="4/4"),((база!$I$5*Таблица1[[#This Row],[сумма]]*Таблица1[[#This Row],[коэф]])),
IF((G297="5/8"),((база!$J$6*Таблица1[[#This Row],[сумма]]*Таблица1[[#This Row],[коэф]])),
IF(OR(G297="4/8",G297="3/8",G297="2/8"),((база!$J$5*Таблица1[[#This Row],[сумма]]*Таблица1[[#This Row],[коэф]])))))))))))</f>
        <v>0</v>
      </c>
      <c r="AP297" s="730" t="b">
        <f>IF(AR297&lt;=3,(IF((G297="5/24"),((база!$M$6*2*Таблица1[[#This Row],[Столбец1]]*Таблица1[[#This Row],[коэф]])),
IF((G297="4/24"),((база!$M$5*2*Таблица1[[#This Row],[Столбец1]]*Таблица1[[#This Row],[коэф]])),
IF((G297="3/24"),((база!$M$4*2*Таблица1[[#This Row],[Столбец1]]*Таблица1[[#This Row],[коэф]])),
IF((G297="5/16"),((база!$L$6*2*Таблица1[[#This Row],[Столбец1]]*Таблица1[[#This Row],[коэф]])),
IF((G297="4/16"),((база!$L$5*2*Таблица1[[#This Row],[Столбец1]]*Таблица1[[#This Row],[коэф]])),
IF((G297="3/16"),((база!$L$4*2*Таблица1[[#This Row],[Столбец1]]*Таблица1[[#This Row],[коэф]])),
IF((G297="4/4"),((база!$I$5*2*Таблица1[[#This Row],[Столбец1]]*Таблица1[[#This Row],[коэф]])),
IF(OR(G297="2/4",G297="3/4"),((база!$I$4*2*Таблица1[[#This Row],[Столбец1]]*Таблица1[[#This Row],[коэф]])),
IF((G297="5/8"),((база!$J$6*2*Таблица1[[#This Row],[Столбец1]]*Таблица1[[#This Row],[коэф]])),
IF((G297="4/8"),((база!$J$5*2*Таблица1[[#This Row],[Столбец1]]*Таблица1[[#This Row],[коэф]])),
IF(OR(G297="3/8",G297="2/8"),((база!$J$4*2*Таблица1[[#This Row],[Столбец1]]*Таблица1[[#This Row],[коэф]])))))))))))))),
(IF((G297="5/24"),((база!$M$6*2*Таблица1[[#This Row],[Столбец1]]*Таблица1[[#This Row],[коэф]])),
IF(OR(G297="4/24",G297="3/24"),((база!$M$5*2*Таблица1[[#This Row],[Столбец1]]*Таблица1[[#This Row],[коэф]])),
IF((G297="5/16"),((база!$L$6*2*Таблица1[[#This Row],[Столбец1]]*Таблица1[[#This Row],[коэф]])),
IF(OR(G297="4/16",G297="3/16"),((база!$L$5*2*Таблица1[[#This Row],[Столбец1]]*Таблица1[[#This Row],[коэф]])),
IF(OR(G297="2/4",G297="3/4",G297="4/4"),((база!$I$5*2*Таблица1[[#This Row],[Столбец1]]*Таблица1[[#This Row],[коэф]])),
IF((G297="5/8"),((база!$J$6*2*Таблица1[[#This Row],[Столбец1]]*Таблица1[[#This Row],[коэф]])),
IF(OR(G297="4/8",G297="3/8",G297="2/8"),((база!$J$5*2*Таблица1[[#This Row],[Столбец1]]*Таблица1[[#This Row],[коэф]])))))))))))</f>
        <v>0</v>
      </c>
      <c r="AQ297" s="712" t="str">
        <f>IFERROR(INDEX(база!T:T, MATCH(F297,база!Q:Q,0)),"")</f>
        <v/>
      </c>
      <c r="AR297" s="208" t="str">
        <f>IFERROR(INDEX(база!D:D, MATCH(F297,база!B:B,0)),"")</f>
        <v/>
      </c>
      <c r="AS297" s="758" t="str">
        <f>IFERROR(INDEX(база!E:E, MATCH(F297,база!B:B,0)),"")</f>
        <v/>
      </c>
    </row>
    <row r="298" spans="1:45" ht="15">
      <c r="A298" s="66" t="str">
        <f t="shared" si="4"/>
        <v>январь</v>
      </c>
      <c r="B298" s="231">
        <v>2024</v>
      </c>
      <c r="C298" s="60"/>
      <c r="D298" s="61"/>
      <c r="E298" s="211"/>
      <c r="F298" s="680"/>
      <c r="G298" s="47"/>
      <c r="H298" s="563"/>
      <c r="I298" s="563"/>
      <c r="J298" s="563"/>
      <c r="K298" s="563"/>
      <c r="L298" s="563"/>
      <c r="M298" s="563"/>
      <c r="N298" s="563"/>
      <c r="O298" s="563"/>
      <c r="P298" s="300"/>
      <c r="Q298" s="563"/>
      <c r="R298" s="563"/>
      <c r="S298" s="563"/>
      <c r="T298" s="563"/>
      <c r="U298" s="563"/>
      <c r="V298" s="563"/>
      <c r="W298" s="563"/>
      <c r="X298" s="563"/>
      <c r="Y298" s="563"/>
      <c r="Z298" s="563"/>
      <c r="AA298" s="563"/>
      <c r="AB298" s="563"/>
      <c r="AC298" s="563"/>
      <c r="AD298" s="48"/>
      <c r="AE298" s="48"/>
      <c r="AF298" s="258"/>
      <c r="AG298" s="48"/>
      <c r="AH298" s="48"/>
      <c r="AI298" s="48"/>
      <c r="AJ298" s="48"/>
      <c r="AK298" s="48"/>
      <c r="AL298" s="51"/>
      <c r="AM298" s="212">
        <f>IF(AQ298=1,SUM(Q298:T298,W298:Z298,AC298:AF298,AI298:AL298),
IF(AQ298=2,SUM(P298,S298:V298,Y298:AB298,AE298:AH298,AK298:AL298),
IF(AQ298=3,SUM(P298:R298,U298:X298,AA298:AD298,AG298:AJ298),SUM(Таблица1[[#This Row],[1]:[31]])-Таблица1[[#This Row],[Столбец1]])))</f>
        <v>0</v>
      </c>
      <c r="AN298" s="778">
        <f t="array" ref="AN298">IF(AQ298=1,SUM(P298,U298:V298,AA298:AB298,AG298:AH298),
IF(AQ298=2,SUM(Q298:R298,W298:X298,AC298:AD298,AI298:AJ298),
IF(AQ298=3,SUM(S298:T298,Y298:Z298,AE298:AF298,AK298:AL298),
SUM(IFERROR(WEEKDAY($H$2:$AL$2,2)&gt;5,)*H298:AL298))))+Таблица1[[#This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98" s="292" t="b">
        <f>IF(AR298&lt;=3,(IF((G298="5/24"),((база!$M$6*Таблица1[[#This Row],[сумма]]*Таблица1[[#This Row],[коэф]])),
IF((G298="4/24"),((база!$M$5*Таблица1[[#This Row],[сумма]]*Таблица1[[#This Row],[коэф]])),
IF((G298="3/24"),((база!$M$4*Таблица1[[#This Row],[сумма]]*Таблица1[[#This Row],[коэф]])),
IF((G298="5/16"),((база!$L$6*Таблица1[[#This Row],[сумма]]*Таблица1[[#This Row],[коэф]])),
IF((G298="4/16"),((база!$L$5*Таблица1[[#This Row],[сумма]]*Таблица1[[#This Row],[коэф]])),
IF((G298="3/16"),((база!$L$4*Таблица1[[#This Row],[сумма]]*Таблица1[[#This Row],[коэф]])),
IF((G298="4/4"),((база!$I$5*Таблица1[[#This Row],[сумма]]*Таблица1[[#This Row],[коэф]])),
IF(OR(G298="2/4",G298="3/4"),((база!$I$4*Таблица1[[#This Row],[сумма]]*Таблица1[[#This Row],[коэф]])),
IF((G298="5/8"),((база!$J$6*Таблица1[[#This Row],[сумма]]*Таблица1[[#This Row],[коэф]])),
IF((G298="4/8"),((база!$J$5*Таблица1[[#This Row],[сумма]]*Таблица1[[#This Row],[коэф]])),
IF(OR(G298="3/8",G298="2/8"),((база!$J$4*Таблица1[[#This Row],[сумма]]*Таблица1[[#This Row],[коэф]])))))))))))))),
(IF((G298="5/24"),((база!$M$6*Таблица1[[#This Row],[сумма]]*Таблица1[[#This Row],[коэф]])),
IF(OR(G298="4/24",G298="3/24"),((база!$M$5*Таблица1[[#This Row],[сумма]]*Таблица1[[#This Row],[коэф]])),
IF((G298="5/16"),((база!$L$6*Таблица1[[#This Row],[сумма]]*Таблица1[[#This Row],[коэф]])),
IF(OR(G298="4/16",G298="3/16"),((база!$L$5*Таблица1[[#This Row],[сумма]]*Таблица1[[#This Row],[коэф]])),
IF(OR(G298="2/4",G298="3/4",G298="4/4"),((база!$I$5*Таблица1[[#This Row],[сумма]]*Таблица1[[#This Row],[коэф]])),
IF((G298="5/8"),((база!$J$6*Таблица1[[#This Row],[сумма]]*Таблица1[[#This Row],[коэф]])),
IF(OR(G298="4/8",G298="3/8",G298="2/8"),((база!$J$5*Таблица1[[#This Row],[сумма]]*Таблица1[[#This Row],[коэф]])))))))))))</f>
        <v>0</v>
      </c>
      <c r="AP298" s="730" t="b">
        <f>IF(AR298&lt;=3,(IF((G298="5/24"),((база!$M$6*2*Таблица1[[#This Row],[Столбец1]]*Таблица1[[#This Row],[коэф]])),
IF((G298="4/24"),((база!$M$5*2*Таблица1[[#This Row],[Столбец1]]*Таблица1[[#This Row],[коэф]])),
IF((G298="3/24"),((база!$M$4*2*Таблица1[[#This Row],[Столбец1]]*Таблица1[[#This Row],[коэф]])),
IF((G298="5/16"),((база!$L$6*2*Таблица1[[#This Row],[Столбец1]]*Таблица1[[#This Row],[коэф]])),
IF((G298="4/16"),((база!$L$5*2*Таблица1[[#This Row],[Столбец1]]*Таблица1[[#This Row],[коэф]])),
IF((G298="3/16"),((база!$L$4*2*Таблица1[[#This Row],[Столбец1]]*Таблица1[[#This Row],[коэф]])),
IF((G298="4/4"),((база!$I$5*2*Таблица1[[#This Row],[Столбец1]]*Таблица1[[#This Row],[коэф]])),
IF(OR(G298="2/4",G298="3/4"),((база!$I$4*2*Таблица1[[#This Row],[Столбец1]]*Таблица1[[#This Row],[коэф]])),
IF((G298="5/8"),((база!$J$6*2*Таблица1[[#This Row],[Столбец1]]*Таблица1[[#This Row],[коэф]])),
IF((G298="4/8"),((база!$J$5*2*Таблица1[[#This Row],[Столбец1]]*Таблица1[[#This Row],[коэф]])),
IF(OR(G298="3/8",G298="2/8"),((база!$J$4*2*Таблица1[[#This Row],[Столбец1]]*Таблица1[[#This Row],[коэф]])))))))))))))),
(IF((G298="5/24"),((база!$M$6*2*Таблица1[[#This Row],[Столбец1]]*Таблица1[[#This Row],[коэф]])),
IF(OR(G298="4/24",G298="3/24"),((база!$M$5*2*Таблица1[[#This Row],[Столбец1]]*Таблица1[[#This Row],[коэф]])),
IF((G298="5/16"),((база!$L$6*2*Таблица1[[#This Row],[Столбец1]]*Таблица1[[#This Row],[коэф]])),
IF(OR(G298="4/16",G298="3/16"),((база!$L$5*2*Таблица1[[#This Row],[Столбец1]]*Таблица1[[#This Row],[коэф]])),
IF(OR(G298="2/4",G298="3/4",G298="4/4"),((база!$I$5*2*Таблица1[[#This Row],[Столбец1]]*Таблица1[[#This Row],[коэф]])),
IF((G298="5/8"),((база!$J$6*2*Таблица1[[#This Row],[Столбец1]]*Таблица1[[#This Row],[коэф]])),
IF(OR(G298="4/8",G298="3/8",G298="2/8"),((база!$J$5*2*Таблица1[[#This Row],[Столбец1]]*Таблица1[[#This Row],[коэф]])))))))))))</f>
        <v>0</v>
      </c>
      <c r="AQ298" s="712" t="str">
        <f>IFERROR(INDEX(база!T:T, MATCH(F298,база!Q:Q,0)),"")</f>
        <v/>
      </c>
      <c r="AR298" s="208" t="str">
        <f>IFERROR(INDEX(база!D:D, MATCH(F298,база!B:B,0)),"")</f>
        <v/>
      </c>
      <c r="AS298" s="758" t="str">
        <f>IFERROR(INDEX(база!E:E, MATCH(F298,база!B:B,0)),"")</f>
        <v/>
      </c>
    </row>
    <row r="299" spans="1:45" ht="15">
      <c r="A299" s="66" t="str">
        <f t="shared" si="4"/>
        <v>январь</v>
      </c>
      <c r="B299" s="231">
        <v>2024</v>
      </c>
      <c r="C299" s="60"/>
      <c r="D299" s="61"/>
      <c r="E299" s="211"/>
      <c r="F299" s="680"/>
      <c r="G299" s="47"/>
      <c r="H299" s="563"/>
      <c r="I299" s="563"/>
      <c r="J299" s="563"/>
      <c r="K299" s="563"/>
      <c r="L299" s="563"/>
      <c r="M299" s="563"/>
      <c r="N299" s="563"/>
      <c r="O299" s="563"/>
      <c r="P299" s="300"/>
      <c r="Q299" s="563"/>
      <c r="R299" s="563"/>
      <c r="S299" s="563"/>
      <c r="T299" s="563"/>
      <c r="U299" s="563"/>
      <c r="V299" s="563"/>
      <c r="W299" s="563"/>
      <c r="X299" s="563"/>
      <c r="Y299" s="563"/>
      <c r="Z299" s="563"/>
      <c r="AA299" s="563"/>
      <c r="AB299" s="563"/>
      <c r="AC299" s="563"/>
      <c r="AD299" s="48"/>
      <c r="AE299" s="48"/>
      <c r="AF299" s="258"/>
      <c r="AG299" s="48"/>
      <c r="AH299" s="48"/>
      <c r="AI299" s="258"/>
      <c r="AJ299" s="258"/>
      <c r="AK299" s="258"/>
      <c r="AL299" s="258"/>
      <c r="AM299" s="212">
        <f>IF(AQ299=1,SUM(Q299:T299,W299:Z299,AC299:AF299,AI299:AL299),
IF(AQ299=2,SUM(P299,S299:V299,Y299:AB299,AE299:AH299,AK299:AL299),
IF(AQ299=3,SUM(P299:R299,U299:X299,AA299:AD299,AG299:AJ299),SUM(Таблица1[[#This Row],[1]:[31]])-Таблица1[[#This Row],[Столбец1]])))</f>
        <v>0</v>
      </c>
      <c r="AN299" s="778">
        <f t="array" ref="AN299">IF(AQ299=1,SUM(P299,U299:V299,AA299:AB299,AG299:AH299),
IF(AQ299=2,SUM(Q299:R299,W299:X299,AC299:AD299,AI299:AJ299),
IF(AQ299=3,SUM(S299:T299,Y299:Z299,AE299:AF299,AK299:AL299),
SUM(IFERROR(WEEKDAY($H$2:$AL$2,2)&gt;5,)*H299:AL299))))+Таблица1[[#This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299" s="292" t="b">
        <f>IF(AR299&lt;=3,(IF((G299="5/24"),((база!$M$6*Таблица1[[#This Row],[сумма]]*Таблица1[[#This Row],[коэф]])),
IF((G299="4/24"),((база!$M$5*Таблица1[[#This Row],[сумма]]*Таблица1[[#This Row],[коэф]])),
IF((G299="3/24"),((база!$M$4*Таблица1[[#This Row],[сумма]]*Таблица1[[#This Row],[коэф]])),
IF((G299="5/16"),((база!$L$6*Таблица1[[#This Row],[сумма]]*Таблица1[[#This Row],[коэф]])),
IF((G299="4/16"),((база!$L$5*Таблица1[[#This Row],[сумма]]*Таблица1[[#This Row],[коэф]])),
IF((G299="3/16"),((база!$L$4*Таблица1[[#This Row],[сумма]]*Таблица1[[#This Row],[коэф]])),
IF((G299="4/4"),((база!$I$5*Таблица1[[#This Row],[сумма]]*Таблица1[[#This Row],[коэф]])),
IF(OR(G299="2/4",G299="3/4"),((база!$I$4*Таблица1[[#This Row],[сумма]]*Таблица1[[#This Row],[коэф]])),
IF((G299="5/8"),((база!$J$6*Таблица1[[#This Row],[сумма]]*Таблица1[[#This Row],[коэф]])),
IF((G299="4/8"),((база!$J$5*Таблица1[[#This Row],[сумма]]*Таблица1[[#This Row],[коэф]])),
IF(OR(G299="3/8",G299="2/8"),((база!$J$4*Таблица1[[#This Row],[сумма]]*Таблица1[[#This Row],[коэф]])))))))))))))),
(IF((G299="5/24"),((база!$M$6*Таблица1[[#This Row],[сумма]]*Таблица1[[#This Row],[коэф]])),
IF(OR(G299="4/24",G299="3/24"),((база!$M$5*Таблица1[[#This Row],[сумма]]*Таблица1[[#This Row],[коэф]])),
IF((G299="5/16"),((база!$L$6*Таблица1[[#This Row],[сумма]]*Таблица1[[#This Row],[коэф]])),
IF(OR(G299="4/16",G299="3/16"),((база!$L$5*Таблица1[[#This Row],[сумма]]*Таблица1[[#This Row],[коэф]])),
IF(OR(G299="2/4",G299="3/4",G299="4/4"),((база!$I$5*Таблица1[[#This Row],[сумма]]*Таблица1[[#This Row],[коэф]])),
IF((G299="5/8"),((база!$J$6*Таблица1[[#This Row],[сумма]]*Таблица1[[#This Row],[коэф]])),
IF(OR(G299="4/8",G299="3/8",G299="2/8"),((база!$J$5*Таблица1[[#This Row],[сумма]]*Таблица1[[#This Row],[коэф]])))))))))))</f>
        <v>0</v>
      </c>
      <c r="AP299" s="730" t="b">
        <f>IF(AR299&lt;=3,(IF((G299="5/24"),((база!$M$6*2*Таблица1[[#This Row],[Столбец1]]*Таблица1[[#This Row],[коэф]])),
IF((G299="4/24"),((база!$M$5*2*Таблица1[[#This Row],[Столбец1]]*Таблица1[[#This Row],[коэф]])),
IF((G299="3/24"),((база!$M$4*2*Таблица1[[#This Row],[Столбец1]]*Таблица1[[#This Row],[коэф]])),
IF((G299="5/16"),((база!$L$6*2*Таблица1[[#This Row],[Столбец1]]*Таблица1[[#This Row],[коэф]])),
IF((G299="4/16"),((база!$L$5*2*Таблица1[[#This Row],[Столбец1]]*Таблица1[[#This Row],[коэф]])),
IF((G299="3/16"),((база!$L$4*2*Таблица1[[#This Row],[Столбец1]]*Таблица1[[#This Row],[коэф]])),
IF((G299="4/4"),((база!$I$5*2*Таблица1[[#This Row],[Столбец1]]*Таблица1[[#This Row],[коэф]])),
IF(OR(G299="2/4",G299="3/4"),((база!$I$4*2*Таблица1[[#This Row],[Столбец1]]*Таблица1[[#This Row],[коэф]])),
IF((G299="5/8"),((база!$J$6*2*Таблица1[[#This Row],[Столбец1]]*Таблица1[[#This Row],[коэф]])),
IF((G299="4/8"),((база!$J$5*2*Таблица1[[#This Row],[Столбец1]]*Таблица1[[#This Row],[коэф]])),
IF(OR(G299="3/8",G299="2/8"),((база!$J$4*2*Таблица1[[#This Row],[Столбец1]]*Таблица1[[#This Row],[коэф]])))))))))))))),
(IF((G299="5/24"),((база!$M$6*2*Таблица1[[#This Row],[Столбец1]]*Таблица1[[#This Row],[коэф]])),
IF(OR(G299="4/24",G299="3/24"),((база!$M$5*2*Таблица1[[#This Row],[Столбец1]]*Таблица1[[#This Row],[коэф]])),
IF((G299="5/16"),((база!$L$6*2*Таблица1[[#This Row],[Столбец1]]*Таблица1[[#This Row],[коэф]])),
IF(OR(G299="4/16",G299="3/16"),((база!$L$5*2*Таблица1[[#This Row],[Столбец1]]*Таблица1[[#This Row],[коэф]])),
IF(OR(G299="2/4",G299="3/4",G299="4/4"),((база!$I$5*2*Таблица1[[#This Row],[Столбец1]]*Таблица1[[#This Row],[коэф]])),
IF((G299="5/8"),((база!$J$6*2*Таблица1[[#This Row],[Столбец1]]*Таблица1[[#This Row],[коэф]])),
IF(OR(G299="4/8",G299="3/8",G299="2/8"),((база!$J$5*2*Таблица1[[#This Row],[Столбец1]]*Таблица1[[#This Row],[коэф]])))))))))))</f>
        <v>0</v>
      </c>
      <c r="AQ299" s="712" t="str">
        <f>IFERROR(INDEX(база!T:T, MATCH(F299,база!Q:Q,0)),"")</f>
        <v/>
      </c>
      <c r="AR299" s="208" t="str">
        <f>IFERROR(INDEX(база!D:D, MATCH(F299,база!B:B,0)),"")</f>
        <v/>
      </c>
      <c r="AS299" s="758" t="str">
        <f>IFERROR(INDEX(база!E:E, MATCH(F299,база!B:B,0)),"")</f>
        <v/>
      </c>
    </row>
    <row r="300" spans="1:45" ht="15">
      <c r="A300" s="66" t="str">
        <f t="shared" si="4"/>
        <v>январь</v>
      </c>
      <c r="B300" s="231">
        <v>2024</v>
      </c>
      <c r="C300" s="299"/>
      <c r="D300" s="61"/>
      <c r="E300" s="211"/>
      <c r="F300" s="680"/>
      <c r="G300" s="47"/>
      <c r="H300" s="563"/>
      <c r="I300" s="563"/>
      <c r="J300" s="563"/>
      <c r="K300" s="563"/>
      <c r="L300" s="563"/>
      <c r="M300" s="563"/>
      <c r="N300" s="563"/>
      <c r="O300" s="563"/>
      <c r="P300" s="300"/>
      <c r="Q300" s="563"/>
      <c r="R300" s="563"/>
      <c r="S300" s="563"/>
      <c r="T300" s="563"/>
      <c r="U300" s="563"/>
      <c r="V300" s="563"/>
      <c r="W300" s="563"/>
      <c r="X300" s="563"/>
      <c r="Y300" s="563"/>
      <c r="Z300" s="563"/>
      <c r="AA300" s="563"/>
      <c r="AB300" s="563"/>
      <c r="AC300" s="563"/>
      <c r="AD300" s="48"/>
      <c r="AE300" s="48"/>
      <c r="AF300" s="258"/>
      <c r="AG300" s="48"/>
      <c r="AH300" s="48"/>
      <c r="AI300" s="48"/>
      <c r="AJ300" s="48"/>
      <c r="AK300" s="48"/>
      <c r="AL300" s="51"/>
      <c r="AM300" s="212">
        <f>IF(AQ300=1,SUM(Q300:T300,W300:Z300,AC300:AF300,AI300:AL300),
IF(AQ300=2,SUM(P300,S300:V300,Y300:AB300,AE300:AH300,AK300:AL300),
IF(AQ300=3,SUM(P300:R300,U300:X300,AA300:AD300,AG300:AJ300),SUM(Таблица1[[#This Row],[1]:[31]])-Таблица1[[#This Row],[Столбец1]])))</f>
        <v>0</v>
      </c>
      <c r="AN300" s="778">
        <f t="array" ref="AN300">IF(AQ300=1,SUM(P300,U300:V300,AA300:AB300,AG300:AH300),
IF(AQ300=2,SUM(Q300:R300,W300:X300,AC300:AD300,AI300:AJ300),
IF(AQ300=3,SUM(S300:T300,Y300:Z300,AE300:AF300,AK300:AL300),
SUM(IFERROR(WEEKDAY($H$2:$AL$2,2)&gt;5,)*H300:AL300))))+Таблица1[[#This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00" s="292" t="b">
        <f>IF(AR300&lt;=3,(IF((G300="5/24"),((база!$M$6*Таблица1[[#This Row],[сумма]]*Таблица1[[#This Row],[коэф]])),
IF((G300="4/24"),((база!$M$5*Таблица1[[#This Row],[сумма]]*Таблица1[[#This Row],[коэф]])),
IF((G300="3/24"),((база!$M$4*Таблица1[[#This Row],[сумма]]*Таблица1[[#This Row],[коэф]])),
IF((G300="5/16"),((база!$L$6*Таблица1[[#This Row],[сумма]]*Таблица1[[#This Row],[коэф]])),
IF((G300="4/16"),((база!$L$5*Таблица1[[#This Row],[сумма]]*Таблица1[[#This Row],[коэф]])),
IF((G300="3/16"),((база!$L$4*Таблица1[[#This Row],[сумма]]*Таблица1[[#This Row],[коэф]])),
IF((G300="4/4"),((база!$I$5*Таблица1[[#This Row],[сумма]]*Таблица1[[#This Row],[коэф]])),
IF(OR(G300="2/4",G300="3/4"),((база!$I$4*Таблица1[[#This Row],[сумма]]*Таблица1[[#This Row],[коэф]])),
IF((G300="5/8"),((база!$J$6*Таблица1[[#This Row],[сумма]]*Таблица1[[#This Row],[коэф]])),
IF((G300="4/8"),((база!$J$5*Таблица1[[#This Row],[сумма]]*Таблица1[[#This Row],[коэф]])),
IF(OR(G300="3/8",G300="2/8"),((база!$J$4*Таблица1[[#This Row],[сумма]]*Таблица1[[#This Row],[коэф]])))))))))))))),
(IF((G300="5/24"),((база!$M$6*Таблица1[[#This Row],[сумма]]*Таблица1[[#This Row],[коэф]])),
IF(OR(G300="4/24",G300="3/24"),((база!$M$5*Таблица1[[#This Row],[сумма]]*Таблица1[[#This Row],[коэф]])),
IF((G300="5/16"),((база!$L$6*Таблица1[[#This Row],[сумма]]*Таблица1[[#This Row],[коэф]])),
IF(OR(G300="4/16",G300="3/16"),((база!$L$5*Таблица1[[#This Row],[сумма]]*Таблица1[[#This Row],[коэф]])),
IF(OR(G300="2/4",G300="3/4",G300="4/4"),((база!$I$5*Таблица1[[#This Row],[сумма]]*Таблица1[[#This Row],[коэф]])),
IF((G300="5/8"),((база!$J$6*Таблица1[[#This Row],[сумма]]*Таблица1[[#This Row],[коэф]])),
IF(OR(G300="4/8",G300="3/8",G300="2/8"),((база!$J$5*Таблица1[[#This Row],[сумма]]*Таблица1[[#This Row],[коэф]])))))))))))</f>
        <v>0</v>
      </c>
      <c r="AP300" s="730" t="b">
        <f>IF(AR300&lt;=3,(IF((G300="5/24"),((база!$M$6*2*Таблица1[[#This Row],[Столбец1]]*Таблица1[[#This Row],[коэф]])),
IF((G300="4/24"),((база!$M$5*2*Таблица1[[#This Row],[Столбец1]]*Таблица1[[#This Row],[коэф]])),
IF((G300="3/24"),((база!$M$4*2*Таблица1[[#This Row],[Столбец1]]*Таблица1[[#This Row],[коэф]])),
IF((G300="5/16"),((база!$L$6*2*Таблица1[[#This Row],[Столбец1]]*Таблица1[[#This Row],[коэф]])),
IF((G300="4/16"),((база!$L$5*2*Таблица1[[#This Row],[Столбец1]]*Таблица1[[#This Row],[коэф]])),
IF((G300="3/16"),((база!$L$4*2*Таблица1[[#This Row],[Столбец1]]*Таблица1[[#This Row],[коэф]])),
IF((G300="4/4"),((база!$I$5*2*Таблица1[[#This Row],[Столбец1]]*Таблица1[[#This Row],[коэф]])),
IF(OR(G300="2/4",G300="3/4"),((база!$I$4*2*Таблица1[[#This Row],[Столбец1]]*Таблица1[[#This Row],[коэф]])),
IF((G300="5/8"),((база!$J$6*2*Таблица1[[#This Row],[Столбец1]]*Таблица1[[#This Row],[коэф]])),
IF((G300="4/8"),((база!$J$5*2*Таблица1[[#This Row],[Столбец1]]*Таблица1[[#This Row],[коэф]])),
IF(OR(G300="3/8",G300="2/8"),((база!$J$4*2*Таблица1[[#This Row],[Столбец1]]*Таблица1[[#This Row],[коэф]])))))))))))))),
(IF((G300="5/24"),((база!$M$6*2*Таблица1[[#This Row],[Столбец1]]*Таблица1[[#This Row],[коэф]])),
IF(OR(G300="4/24",G300="3/24"),((база!$M$5*2*Таблица1[[#This Row],[Столбец1]]*Таблица1[[#This Row],[коэф]])),
IF((G300="5/16"),((база!$L$6*2*Таблица1[[#This Row],[Столбец1]]*Таблица1[[#This Row],[коэф]])),
IF(OR(G300="4/16",G300="3/16"),((база!$L$5*2*Таблица1[[#This Row],[Столбец1]]*Таблица1[[#This Row],[коэф]])),
IF(OR(G300="2/4",G300="3/4",G300="4/4"),((база!$I$5*2*Таблица1[[#This Row],[Столбец1]]*Таблица1[[#This Row],[коэф]])),
IF((G300="5/8"),((база!$J$6*2*Таблица1[[#This Row],[Столбец1]]*Таблица1[[#This Row],[коэф]])),
IF(OR(G300="4/8",G300="3/8",G300="2/8"),((база!$J$5*2*Таблица1[[#This Row],[Столбец1]]*Таблица1[[#This Row],[коэф]])))))))))))</f>
        <v>0</v>
      </c>
      <c r="AQ300" s="712" t="str">
        <f>IFERROR(INDEX(база!T:T, MATCH(F300,база!Q:Q,0)),"")</f>
        <v/>
      </c>
      <c r="AR300" s="208" t="str">
        <f>IFERROR(INDEX(база!D:D, MATCH(F300,база!B:B,0)),"")</f>
        <v/>
      </c>
      <c r="AS300" s="758" t="str">
        <f>IFERROR(INDEX(база!E:E, MATCH(F300,база!B:B,0)),"")</f>
        <v/>
      </c>
    </row>
    <row r="301" spans="1:45" ht="15">
      <c r="A301" s="66" t="str">
        <f t="shared" si="4"/>
        <v>январь</v>
      </c>
      <c r="B301" s="231">
        <v>2024</v>
      </c>
      <c r="C301" s="299"/>
      <c r="D301" s="61"/>
      <c r="E301" s="211"/>
      <c r="F301" s="680"/>
      <c r="G301" s="47"/>
      <c r="H301" s="563"/>
      <c r="I301" s="563"/>
      <c r="J301" s="563"/>
      <c r="K301" s="563"/>
      <c r="L301" s="563"/>
      <c r="M301" s="563"/>
      <c r="N301" s="563"/>
      <c r="O301" s="563"/>
      <c r="P301" s="300"/>
      <c r="Q301" s="563"/>
      <c r="R301" s="563"/>
      <c r="S301" s="563"/>
      <c r="T301" s="563"/>
      <c r="U301" s="563"/>
      <c r="V301" s="563"/>
      <c r="W301" s="563"/>
      <c r="X301" s="563"/>
      <c r="Y301" s="563"/>
      <c r="Z301" s="563"/>
      <c r="AA301" s="563"/>
      <c r="AB301" s="563"/>
      <c r="AC301" s="563"/>
      <c r="AD301" s="563"/>
      <c r="AE301" s="563"/>
      <c r="AF301" s="258"/>
      <c r="AG301" s="48"/>
      <c r="AH301" s="48"/>
      <c r="AI301" s="48"/>
      <c r="AJ301" s="48"/>
      <c r="AK301" s="48"/>
      <c r="AL301" s="258"/>
      <c r="AM301" s="212">
        <f>IF(AQ301=1,SUM(Q301:T301,W301:Z301,AC301:AF301,AI301:AL301),
IF(AQ301=2,SUM(P301,S301:V301,Y301:AB301,AE301:AH301,AK301:AL301),
IF(AQ301=3,SUM(P301:R301,U301:X301,AA301:AD301,AG301:AJ301),SUM(Таблица1[[#This Row],[1]:[31]])-Таблица1[[#This Row],[Столбец1]])))</f>
        <v>0</v>
      </c>
      <c r="AN301" s="778">
        <f t="array" ref="AN301">IF(AQ301=1,SUM(P301,U301:V301,AA301:AB301,AG301:AH301),
IF(AQ301=2,SUM(Q301:R301,W301:X301,AC301:AD301,AI301:AJ301),
IF(AQ301=3,SUM(S301:T301,Y301:Z301,AE301:AF301,AK301:AL301),
SUM(IFERROR(WEEKDAY($H$2:$AL$2,2)&gt;5,)*H301:AL301))))+Таблица1[[#This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01" s="292" t="b">
        <f>IF(AR301&lt;=3,(IF((G301="5/24"),((база!$M$6*Таблица1[[#This Row],[сумма]]*Таблица1[[#This Row],[коэф]])),
IF((G301="4/24"),((база!$M$5*Таблица1[[#This Row],[сумма]]*Таблица1[[#This Row],[коэф]])),
IF((G301="3/24"),((база!$M$4*Таблица1[[#This Row],[сумма]]*Таблица1[[#This Row],[коэф]])),
IF((G301="5/16"),((база!$L$6*Таблица1[[#This Row],[сумма]]*Таблица1[[#This Row],[коэф]])),
IF((G301="4/16"),((база!$L$5*Таблица1[[#This Row],[сумма]]*Таблица1[[#This Row],[коэф]])),
IF((G301="3/16"),((база!$L$4*Таблица1[[#This Row],[сумма]]*Таблица1[[#This Row],[коэф]])),
IF((G301="4/4"),((база!$I$5*Таблица1[[#This Row],[сумма]]*Таблица1[[#This Row],[коэф]])),
IF(OR(G301="2/4",G301="3/4"),((база!$I$4*Таблица1[[#This Row],[сумма]]*Таблица1[[#This Row],[коэф]])),
IF((G301="5/8"),((база!$J$6*Таблица1[[#This Row],[сумма]]*Таблица1[[#This Row],[коэф]])),
IF((G301="4/8"),((база!$J$5*Таблица1[[#This Row],[сумма]]*Таблица1[[#This Row],[коэф]])),
IF(OR(G301="3/8",G301="2/8"),((база!$J$4*Таблица1[[#This Row],[сумма]]*Таблица1[[#This Row],[коэф]])))))))))))))),
(IF((G301="5/24"),((база!$M$6*Таблица1[[#This Row],[сумма]]*Таблица1[[#This Row],[коэф]])),
IF(OR(G301="4/24",G301="3/24"),((база!$M$5*Таблица1[[#This Row],[сумма]]*Таблица1[[#This Row],[коэф]])),
IF((G301="5/16"),((база!$L$6*Таблица1[[#This Row],[сумма]]*Таблица1[[#This Row],[коэф]])),
IF(OR(G301="4/16",G301="3/16"),((база!$L$5*Таблица1[[#This Row],[сумма]]*Таблица1[[#This Row],[коэф]])),
IF(OR(G301="2/4",G301="3/4",G301="4/4"),((база!$I$5*Таблица1[[#This Row],[сумма]]*Таблица1[[#This Row],[коэф]])),
IF((G301="5/8"),((база!$J$6*Таблица1[[#This Row],[сумма]]*Таблица1[[#This Row],[коэф]])),
IF(OR(G301="4/8",G301="3/8",G301="2/8"),((база!$J$5*Таблица1[[#This Row],[сумма]]*Таблица1[[#This Row],[коэф]])))))))))))</f>
        <v>0</v>
      </c>
      <c r="AP301" s="730" t="b">
        <f>IF(AR301&lt;=3,(IF((G301="5/24"),((база!$M$6*2*Таблица1[[#This Row],[Столбец1]]*Таблица1[[#This Row],[коэф]])),
IF((G301="4/24"),((база!$M$5*2*Таблица1[[#This Row],[Столбец1]]*Таблица1[[#This Row],[коэф]])),
IF((G301="3/24"),((база!$M$4*2*Таблица1[[#This Row],[Столбец1]]*Таблица1[[#This Row],[коэф]])),
IF((G301="5/16"),((база!$L$6*2*Таблица1[[#This Row],[Столбец1]]*Таблица1[[#This Row],[коэф]])),
IF((G301="4/16"),((база!$L$5*2*Таблица1[[#This Row],[Столбец1]]*Таблица1[[#This Row],[коэф]])),
IF((G301="3/16"),((база!$L$4*2*Таблица1[[#This Row],[Столбец1]]*Таблица1[[#This Row],[коэф]])),
IF((G301="4/4"),((база!$I$5*2*Таблица1[[#This Row],[Столбец1]]*Таблица1[[#This Row],[коэф]])),
IF(OR(G301="2/4",G301="3/4"),((база!$I$4*2*Таблица1[[#This Row],[Столбец1]]*Таблица1[[#This Row],[коэф]])),
IF((G301="5/8"),((база!$J$6*2*Таблица1[[#This Row],[Столбец1]]*Таблица1[[#This Row],[коэф]])),
IF((G301="4/8"),((база!$J$5*2*Таблица1[[#This Row],[Столбец1]]*Таблица1[[#This Row],[коэф]])),
IF(OR(G301="3/8",G301="2/8"),((база!$J$4*2*Таблица1[[#This Row],[Столбец1]]*Таблица1[[#This Row],[коэф]])))))))))))))),
(IF((G301="5/24"),((база!$M$6*2*Таблица1[[#This Row],[Столбец1]]*Таблица1[[#This Row],[коэф]])),
IF(OR(G301="4/24",G301="3/24"),((база!$M$5*2*Таблица1[[#This Row],[Столбец1]]*Таблица1[[#This Row],[коэф]])),
IF((G301="5/16"),((база!$L$6*2*Таблица1[[#This Row],[Столбец1]]*Таблица1[[#This Row],[коэф]])),
IF(OR(G301="4/16",G301="3/16"),((база!$L$5*2*Таблица1[[#This Row],[Столбец1]]*Таблица1[[#This Row],[коэф]])),
IF(OR(G301="2/4",G301="3/4",G301="4/4"),((база!$I$5*2*Таблица1[[#This Row],[Столбец1]]*Таблица1[[#This Row],[коэф]])),
IF((G301="5/8"),((база!$J$6*2*Таблица1[[#This Row],[Столбец1]]*Таблица1[[#This Row],[коэф]])),
IF(OR(G301="4/8",G301="3/8",G301="2/8"),((база!$J$5*2*Таблица1[[#This Row],[Столбец1]]*Таблица1[[#This Row],[коэф]])))))))))))</f>
        <v>0</v>
      </c>
      <c r="AQ301" s="712" t="str">
        <f>IFERROR(INDEX(база!T:T, MATCH(F301,база!Q:Q,0)),"")</f>
        <v/>
      </c>
      <c r="AR301" s="208" t="str">
        <f>IFERROR(INDEX(база!D:D, MATCH(F301,база!B:B,0)),"")</f>
        <v/>
      </c>
      <c r="AS301" s="758" t="str">
        <f>IFERROR(INDEX(база!E:E, MATCH(F301,база!B:B,0)),"")</f>
        <v/>
      </c>
    </row>
    <row r="302" spans="1:45" ht="15">
      <c r="A302" s="66" t="str">
        <f t="shared" si="4"/>
        <v>январь</v>
      </c>
      <c r="B302" s="231">
        <v>2024</v>
      </c>
      <c r="C302" s="299"/>
      <c r="D302" s="61"/>
      <c r="E302" s="211"/>
      <c r="F302" s="680"/>
      <c r="G302" s="47"/>
      <c r="H302" s="563"/>
      <c r="I302" s="563"/>
      <c r="J302" s="563"/>
      <c r="K302" s="563"/>
      <c r="L302" s="563"/>
      <c r="M302" s="563"/>
      <c r="N302" s="563"/>
      <c r="O302" s="563"/>
      <c r="P302" s="300"/>
      <c r="Q302" s="563"/>
      <c r="R302" s="563"/>
      <c r="S302" s="563"/>
      <c r="T302" s="563"/>
      <c r="U302" s="563"/>
      <c r="V302" s="563"/>
      <c r="W302" s="563"/>
      <c r="X302" s="563"/>
      <c r="Y302" s="563"/>
      <c r="Z302" s="563"/>
      <c r="AA302" s="563"/>
      <c r="AB302" s="563"/>
      <c r="AC302" s="563"/>
      <c r="AD302" s="48"/>
      <c r="AE302" s="48"/>
      <c r="AF302" s="258"/>
      <c r="AG302" s="48"/>
      <c r="AH302" s="48"/>
      <c r="AI302" s="48"/>
      <c r="AJ302" s="48"/>
      <c r="AK302" s="48"/>
      <c r="AL302" s="51"/>
      <c r="AM302" s="212">
        <f>IF(AQ302=1,SUM(Q302:T302,W302:Z302,AC302:AF302,AI302:AL302),
IF(AQ302=2,SUM(P302,S302:V302,Y302:AB302,AE302:AH302,AK302:AL302),
IF(AQ302=3,SUM(P302:R302,U302:X302,AA302:AD302,AG302:AJ302),SUM(Таблица1[[#This Row],[1]:[31]])-Таблица1[[#This Row],[Столбец1]])))</f>
        <v>0</v>
      </c>
      <c r="AN302" s="778">
        <f t="array" ref="AN302">IF(AQ302=1,SUM(P302,U302:V302,AA302:AB302,AG302:AH302),
IF(AQ302=2,SUM(Q302:R302,W302:X302,AC302:AD302,AI302:AJ302),
IF(AQ302=3,SUM(S302:T302,Y302:Z302,AE302:AF302,AK302:AL302),
SUM(IFERROR(WEEKDAY($H$2:$AL$2,2)&gt;5,)*H302:AL302))))+Таблица1[[#This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02" s="292" t="b">
        <f>IF(AR302&lt;=3,(IF((G302="5/24"),((база!$M$6*Таблица1[[#This Row],[сумма]]*Таблица1[[#This Row],[коэф]])),
IF((G302="4/24"),((база!$M$5*Таблица1[[#This Row],[сумма]]*Таблица1[[#This Row],[коэф]])),
IF((G302="3/24"),((база!$M$4*Таблица1[[#This Row],[сумма]]*Таблица1[[#This Row],[коэф]])),
IF((G302="5/16"),((база!$L$6*Таблица1[[#This Row],[сумма]]*Таблица1[[#This Row],[коэф]])),
IF((G302="4/16"),((база!$L$5*Таблица1[[#This Row],[сумма]]*Таблица1[[#This Row],[коэф]])),
IF((G302="3/16"),((база!$L$4*Таблица1[[#This Row],[сумма]]*Таблица1[[#This Row],[коэф]])),
IF((G302="4/4"),((база!$I$5*Таблица1[[#This Row],[сумма]]*Таблица1[[#This Row],[коэф]])),
IF(OR(G302="2/4",G302="3/4"),((база!$I$4*Таблица1[[#This Row],[сумма]]*Таблица1[[#This Row],[коэф]])),
IF((G302="5/8"),((база!$J$6*Таблица1[[#This Row],[сумма]]*Таблица1[[#This Row],[коэф]])),
IF((G302="4/8"),((база!$J$5*Таблица1[[#This Row],[сумма]]*Таблица1[[#This Row],[коэф]])),
IF(OR(G302="3/8",G302="2/8"),((база!$J$4*Таблица1[[#This Row],[сумма]]*Таблица1[[#This Row],[коэф]])))))))))))))),
(IF((G302="5/24"),((база!$M$6*Таблица1[[#This Row],[сумма]]*Таблица1[[#This Row],[коэф]])),
IF(OR(G302="4/24",G302="3/24"),((база!$M$5*Таблица1[[#This Row],[сумма]]*Таблица1[[#This Row],[коэф]])),
IF((G302="5/16"),((база!$L$6*Таблица1[[#This Row],[сумма]]*Таблица1[[#This Row],[коэф]])),
IF(OR(G302="4/16",G302="3/16"),((база!$L$5*Таблица1[[#This Row],[сумма]]*Таблица1[[#This Row],[коэф]])),
IF(OR(G302="2/4",G302="3/4",G302="4/4"),((база!$I$5*Таблица1[[#This Row],[сумма]]*Таблица1[[#This Row],[коэф]])),
IF((G302="5/8"),((база!$J$6*Таблица1[[#This Row],[сумма]]*Таблица1[[#This Row],[коэф]])),
IF(OR(G302="4/8",G302="3/8",G302="2/8"),((база!$J$5*Таблица1[[#This Row],[сумма]]*Таблица1[[#This Row],[коэф]])))))))))))</f>
        <v>0</v>
      </c>
      <c r="AP302" s="730" t="b">
        <f>IF(AR302&lt;=3,(IF((G302="5/24"),((база!$M$6*2*Таблица1[[#This Row],[Столбец1]]*Таблица1[[#This Row],[коэф]])),
IF((G302="4/24"),((база!$M$5*2*Таблица1[[#This Row],[Столбец1]]*Таблица1[[#This Row],[коэф]])),
IF((G302="3/24"),((база!$M$4*2*Таблица1[[#This Row],[Столбец1]]*Таблица1[[#This Row],[коэф]])),
IF((G302="5/16"),((база!$L$6*2*Таблица1[[#This Row],[Столбец1]]*Таблица1[[#This Row],[коэф]])),
IF((G302="4/16"),((база!$L$5*2*Таблица1[[#This Row],[Столбец1]]*Таблица1[[#This Row],[коэф]])),
IF((G302="3/16"),((база!$L$4*2*Таблица1[[#This Row],[Столбец1]]*Таблица1[[#This Row],[коэф]])),
IF((G302="4/4"),((база!$I$5*2*Таблица1[[#This Row],[Столбец1]]*Таблица1[[#This Row],[коэф]])),
IF(OR(G302="2/4",G302="3/4"),((база!$I$4*2*Таблица1[[#This Row],[Столбец1]]*Таблица1[[#This Row],[коэф]])),
IF((G302="5/8"),((база!$J$6*2*Таблица1[[#This Row],[Столбец1]]*Таблица1[[#This Row],[коэф]])),
IF((G302="4/8"),((база!$J$5*2*Таблица1[[#This Row],[Столбец1]]*Таблица1[[#This Row],[коэф]])),
IF(OR(G302="3/8",G302="2/8"),((база!$J$4*2*Таблица1[[#This Row],[Столбец1]]*Таблица1[[#This Row],[коэф]])))))))))))))),
(IF((G302="5/24"),((база!$M$6*2*Таблица1[[#This Row],[Столбец1]]*Таблица1[[#This Row],[коэф]])),
IF(OR(G302="4/24",G302="3/24"),((база!$M$5*2*Таблица1[[#This Row],[Столбец1]]*Таблица1[[#This Row],[коэф]])),
IF((G302="5/16"),((база!$L$6*2*Таблица1[[#This Row],[Столбец1]]*Таблица1[[#This Row],[коэф]])),
IF(OR(G302="4/16",G302="3/16"),((база!$L$5*2*Таблица1[[#This Row],[Столбец1]]*Таблица1[[#This Row],[коэф]])),
IF(OR(G302="2/4",G302="3/4",G302="4/4"),((база!$I$5*2*Таблица1[[#This Row],[Столбец1]]*Таблица1[[#This Row],[коэф]])),
IF((G302="5/8"),((база!$J$6*2*Таблица1[[#This Row],[Столбец1]]*Таблица1[[#This Row],[коэф]])),
IF(OR(G302="4/8",G302="3/8",G302="2/8"),((база!$J$5*2*Таблица1[[#This Row],[Столбец1]]*Таблица1[[#This Row],[коэф]])))))))))))</f>
        <v>0</v>
      </c>
      <c r="AQ302" s="712" t="str">
        <f>IFERROR(INDEX(база!T:T, MATCH(F302,база!Q:Q,0)),"")</f>
        <v/>
      </c>
      <c r="AR302" s="208" t="str">
        <f>IFERROR(INDEX(база!D:D, MATCH(F302,база!B:B,0)),"")</f>
        <v/>
      </c>
      <c r="AS302" s="758" t="str">
        <f>IFERROR(INDEX(база!E:E, MATCH(F302,база!B:B,0)),"")</f>
        <v/>
      </c>
    </row>
    <row r="303" spans="1:45" ht="15">
      <c r="A303" s="66" t="str">
        <f t="shared" si="4"/>
        <v>январь</v>
      </c>
      <c r="B303" s="231">
        <v>2024</v>
      </c>
      <c r="C303" s="299"/>
      <c r="D303" s="61"/>
      <c r="E303" s="211"/>
      <c r="F303" s="680"/>
      <c r="G303" s="47"/>
      <c r="H303" s="563"/>
      <c r="I303" s="563"/>
      <c r="J303" s="563"/>
      <c r="K303" s="563"/>
      <c r="L303" s="563"/>
      <c r="M303" s="563"/>
      <c r="N303" s="563"/>
      <c r="O303" s="563"/>
      <c r="P303" s="300"/>
      <c r="Q303" s="563"/>
      <c r="R303" s="563"/>
      <c r="S303" s="563"/>
      <c r="T303" s="563"/>
      <c r="U303" s="563"/>
      <c r="V303" s="563"/>
      <c r="W303" s="563"/>
      <c r="X303" s="563"/>
      <c r="Y303" s="563"/>
      <c r="Z303" s="563"/>
      <c r="AA303" s="563"/>
      <c r="AB303" s="563"/>
      <c r="AC303" s="563"/>
      <c r="AD303" s="563"/>
      <c r="AE303" s="563"/>
      <c r="AF303" s="258"/>
      <c r="AG303" s="48"/>
      <c r="AH303" s="48"/>
      <c r="AI303" s="258"/>
      <c r="AJ303" s="258"/>
      <c r="AK303" s="258"/>
      <c r="AL303" s="258"/>
      <c r="AM303" s="212">
        <f>IF(AQ303=1,SUM(Q303:T303,W303:Z303,AC303:AF303,AI303:AL303),
IF(AQ303=2,SUM(P303,S303:V303,Y303:AB303,AE303:AH303,AK303:AL303),
IF(AQ303=3,SUM(P303:R303,U303:X303,AA303:AD303,AG303:AJ303),SUM(Таблица1[[#This Row],[1]:[31]])-Таблица1[[#This Row],[Столбец1]])))</f>
        <v>0</v>
      </c>
      <c r="AN303" s="778">
        <f t="array" ref="AN303">IF(AQ303=1,SUM(P303,U303:V303,AA303:AB303,AG303:AH303),
IF(AQ303=2,SUM(Q303:R303,W303:X303,AC303:AD303,AI303:AJ303),
IF(AQ303=3,SUM(S303:T303,Y303:Z303,AE303:AF303,AK303:AL303),
SUM(IFERROR(WEEKDAY($H$2:$AL$2,2)&gt;5,)*H303:AL303))))+Таблица1[[#This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03" s="292" t="b">
        <f>IF(AR303&lt;=3,(IF((G303="5/24"),((база!$M$6*Таблица1[[#This Row],[сумма]]*Таблица1[[#This Row],[коэф]])),
IF((G303="4/24"),((база!$M$5*Таблица1[[#This Row],[сумма]]*Таблица1[[#This Row],[коэф]])),
IF((G303="3/24"),((база!$M$4*Таблица1[[#This Row],[сумма]]*Таблица1[[#This Row],[коэф]])),
IF((G303="5/16"),((база!$L$6*Таблица1[[#This Row],[сумма]]*Таблица1[[#This Row],[коэф]])),
IF((G303="4/16"),((база!$L$5*Таблица1[[#This Row],[сумма]]*Таблица1[[#This Row],[коэф]])),
IF((G303="3/16"),((база!$L$4*Таблица1[[#This Row],[сумма]]*Таблица1[[#This Row],[коэф]])),
IF((G303="4/4"),((база!$I$5*Таблица1[[#This Row],[сумма]]*Таблица1[[#This Row],[коэф]])),
IF(OR(G303="2/4",G303="3/4"),((база!$I$4*Таблица1[[#This Row],[сумма]]*Таблица1[[#This Row],[коэф]])),
IF((G303="5/8"),((база!$J$6*Таблица1[[#This Row],[сумма]]*Таблица1[[#This Row],[коэф]])),
IF((G303="4/8"),((база!$J$5*Таблица1[[#This Row],[сумма]]*Таблица1[[#This Row],[коэф]])),
IF(OR(G303="3/8",G303="2/8"),((база!$J$4*Таблица1[[#This Row],[сумма]]*Таблица1[[#This Row],[коэф]])))))))))))))),
(IF((G303="5/24"),((база!$M$6*Таблица1[[#This Row],[сумма]]*Таблица1[[#This Row],[коэф]])),
IF(OR(G303="4/24",G303="3/24"),((база!$M$5*Таблица1[[#This Row],[сумма]]*Таблица1[[#This Row],[коэф]])),
IF((G303="5/16"),((база!$L$6*Таблица1[[#This Row],[сумма]]*Таблица1[[#This Row],[коэф]])),
IF(OR(G303="4/16",G303="3/16"),((база!$L$5*Таблица1[[#This Row],[сумма]]*Таблица1[[#This Row],[коэф]])),
IF(OR(G303="2/4",G303="3/4",G303="4/4"),((база!$I$5*Таблица1[[#This Row],[сумма]]*Таблица1[[#This Row],[коэф]])),
IF((G303="5/8"),((база!$J$6*Таблица1[[#This Row],[сумма]]*Таблица1[[#This Row],[коэф]])),
IF(OR(G303="4/8",G303="3/8",G303="2/8"),((база!$J$5*Таблица1[[#This Row],[сумма]]*Таблица1[[#This Row],[коэф]])))))))))))</f>
        <v>0</v>
      </c>
      <c r="AP303" s="730" t="b">
        <f>IF(AR303&lt;=3,(IF((G303="5/24"),((база!$M$6*2*Таблица1[[#This Row],[Столбец1]]*Таблица1[[#This Row],[коэф]])),
IF((G303="4/24"),((база!$M$5*2*Таблица1[[#This Row],[Столбец1]]*Таблица1[[#This Row],[коэф]])),
IF((G303="3/24"),((база!$M$4*2*Таблица1[[#This Row],[Столбец1]]*Таблица1[[#This Row],[коэф]])),
IF((G303="5/16"),((база!$L$6*2*Таблица1[[#This Row],[Столбец1]]*Таблица1[[#This Row],[коэф]])),
IF((G303="4/16"),((база!$L$5*2*Таблица1[[#This Row],[Столбец1]]*Таблица1[[#This Row],[коэф]])),
IF((G303="3/16"),((база!$L$4*2*Таблица1[[#This Row],[Столбец1]]*Таблица1[[#This Row],[коэф]])),
IF((G303="4/4"),((база!$I$5*2*Таблица1[[#This Row],[Столбец1]]*Таблица1[[#This Row],[коэф]])),
IF(OR(G303="2/4",G303="3/4"),((база!$I$4*2*Таблица1[[#This Row],[Столбец1]]*Таблица1[[#This Row],[коэф]])),
IF((G303="5/8"),((база!$J$6*2*Таблица1[[#This Row],[Столбец1]]*Таблица1[[#This Row],[коэф]])),
IF((G303="4/8"),((база!$J$5*2*Таблица1[[#This Row],[Столбец1]]*Таблица1[[#This Row],[коэф]])),
IF(OR(G303="3/8",G303="2/8"),((база!$J$4*2*Таблица1[[#This Row],[Столбец1]]*Таблица1[[#This Row],[коэф]])))))))))))))),
(IF((G303="5/24"),((база!$M$6*2*Таблица1[[#This Row],[Столбец1]]*Таблица1[[#This Row],[коэф]])),
IF(OR(G303="4/24",G303="3/24"),((база!$M$5*2*Таблица1[[#This Row],[Столбец1]]*Таблица1[[#This Row],[коэф]])),
IF((G303="5/16"),((база!$L$6*2*Таблица1[[#This Row],[Столбец1]]*Таблица1[[#This Row],[коэф]])),
IF(OR(G303="4/16",G303="3/16"),((база!$L$5*2*Таблица1[[#This Row],[Столбец1]]*Таблица1[[#This Row],[коэф]])),
IF(OR(G303="2/4",G303="3/4",G303="4/4"),((база!$I$5*2*Таблица1[[#This Row],[Столбец1]]*Таблица1[[#This Row],[коэф]])),
IF((G303="5/8"),((база!$J$6*2*Таблица1[[#This Row],[Столбец1]]*Таблица1[[#This Row],[коэф]])),
IF(OR(G303="4/8",G303="3/8",G303="2/8"),((база!$J$5*2*Таблица1[[#This Row],[Столбец1]]*Таблица1[[#This Row],[коэф]])))))))))))</f>
        <v>0</v>
      </c>
      <c r="AQ303" s="712" t="str">
        <f>IFERROR(INDEX(база!T:T, MATCH(F303,база!Q:Q,0)),"")</f>
        <v/>
      </c>
      <c r="AR303" s="208" t="str">
        <f>IFERROR(INDEX(база!D:D, MATCH(F303,база!B:B,0)),"")</f>
        <v/>
      </c>
      <c r="AS303" s="758" t="str">
        <f>IFERROR(INDEX(база!E:E, MATCH(F303,база!B:B,0)),"")</f>
        <v/>
      </c>
    </row>
    <row r="304" spans="1:45" ht="15">
      <c r="A304" s="66" t="str">
        <f t="shared" si="4"/>
        <v>январь</v>
      </c>
      <c r="B304" s="231">
        <v>2024</v>
      </c>
      <c r="C304" s="299"/>
      <c r="D304" s="61"/>
      <c r="E304" s="211"/>
      <c r="F304" s="680"/>
      <c r="G304" s="47"/>
      <c r="H304" s="563"/>
      <c r="I304" s="563"/>
      <c r="J304" s="563"/>
      <c r="K304" s="563"/>
      <c r="L304" s="563"/>
      <c r="M304" s="563"/>
      <c r="N304" s="563"/>
      <c r="O304" s="563"/>
      <c r="P304" s="300"/>
      <c r="Q304" s="563"/>
      <c r="R304" s="563"/>
      <c r="S304" s="563"/>
      <c r="T304" s="563"/>
      <c r="U304" s="563"/>
      <c r="V304" s="563"/>
      <c r="W304" s="563"/>
      <c r="X304" s="563"/>
      <c r="Y304" s="563"/>
      <c r="Z304" s="563"/>
      <c r="AA304" s="563"/>
      <c r="AB304" s="563"/>
      <c r="AC304" s="563"/>
      <c r="AD304" s="48"/>
      <c r="AE304" s="48"/>
      <c r="AF304" s="258"/>
      <c r="AG304" s="258"/>
      <c r="AH304" s="48"/>
      <c r="AI304" s="48"/>
      <c r="AJ304" s="48"/>
      <c r="AK304" s="48"/>
      <c r="AL304" s="51"/>
      <c r="AM304" s="212">
        <f>IF(AQ304=1,SUM(Q304:T304,W304:Z304,AC304:AF304,AI304:AL304),
IF(AQ304=2,SUM(P304,S304:V304,Y304:AB304,AE304:AH304,AK304:AL304),
IF(AQ304=3,SUM(P304:R304,U304:X304,AA304:AD304,AG304:AJ304),SUM(Таблица1[[#This Row],[1]:[31]])-Таблица1[[#This Row],[Столбец1]])))</f>
        <v>0</v>
      </c>
      <c r="AN304" s="778">
        <f t="array" ref="AN304">IF(AQ304=1,SUM(P304,U304:V304,AA304:AB304,AG304:AH304),
IF(AQ304=2,SUM(Q304:R304,W304:X304,AC304:AD304,AI304:AJ304),
IF(AQ304=3,SUM(S304:T304,Y304:Z304,AE304:AF304,AK304:AL304),
SUM(IFERROR(WEEKDAY($H$2:$AL$2,2)&gt;5,)*H304:AL304))))+Таблица1[[#This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04" s="292" t="b">
        <f>IF(AR304&lt;=3,(IF((G304="5/24"),((база!$M$6*Таблица1[[#This Row],[сумма]]*Таблица1[[#This Row],[коэф]])),
IF((G304="4/24"),((база!$M$5*Таблица1[[#This Row],[сумма]]*Таблица1[[#This Row],[коэф]])),
IF((G304="3/24"),((база!$M$4*Таблица1[[#This Row],[сумма]]*Таблица1[[#This Row],[коэф]])),
IF((G304="5/16"),((база!$L$6*Таблица1[[#This Row],[сумма]]*Таблица1[[#This Row],[коэф]])),
IF((G304="4/16"),((база!$L$5*Таблица1[[#This Row],[сумма]]*Таблица1[[#This Row],[коэф]])),
IF((G304="3/16"),((база!$L$4*Таблица1[[#This Row],[сумма]]*Таблица1[[#This Row],[коэф]])),
IF((G304="4/4"),((база!$I$5*Таблица1[[#This Row],[сумма]]*Таблица1[[#This Row],[коэф]])),
IF(OR(G304="2/4",G304="3/4"),((база!$I$4*Таблица1[[#This Row],[сумма]]*Таблица1[[#This Row],[коэф]])),
IF((G304="5/8"),((база!$J$6*Таблица1[[#This Row],[сумма]]*Таблица1[[#This Row],[коэф]])),
IF((G304="4/8"),((база!$J$5*Таблица1[[#This Row],[сумма]]*Таблица1[[#This Row],[коэф]])),
IF(OR(G304="3/8",G304="2/8"),((база!$J$4*Таблица1[[#This Row],[сумма]]*Таблица1[[#This Row],[коэф]])))))))))))))),
(IF((G304="5/24"),((база!$M$6*Таблица1[[#This Row],[сумма]]*Таблица1[[#This Row],[коэф]])),
IF(OR(G304="4/24",G304="3/24"),((база!$M$5*Таблица1[[#This Row],[сумма]]*Таблица1[[#This Row],[коэф]])),
IF((G304="5/16"),((база!$L$6*Таблица1[[#This Row],[сумма]]*Таблица1[[#This Row],[коэф]])),
IF(OR(G304="4/16",G304="3/16"),((база!$L$5*Таблица1[[#This Row],[сумма]]*Таблица1[[#This Row],[коэф]])),
IF(OR(G304="2/4",G304="3/4",G304="4/4"),((база!$I$5*Таблица1[[#This Row],[сумма]]*Таблица1[[#This Row],[коэф]])),
IF((G304="5/8"),((база!$J$6*Таблица1[[#This Row],[сумма]]*Таблица1[[#This Row],[коэф]])),
IF(OR(G304="4/8",G304="3/8",G304="2/8"),((база!$J$5*Таблица1[[#This Row],[сумма]]*Таблица1[[#This Row],[коэф]])))))))))))</f>
        <v>0</v>
      </c>
      <c r="AP304" s="730" t="b">
        <f>IF(AR304&lt;=3,(IF((G304="5/24"),((база!$M$6*2*Таблица1[[#This Row],[Столбец1]]*Таблица1[[#This Row],[коэф]])),
IF((G304="4/24"),((база!$M$5*2*Таблица1[[#This Row],[Столбец1]]*Таблица1[[#This Row],[коэф]])),
IF((G304="3/24"),((база!$M$4*2*Таблица1[[#This Row],[Столбец1]]*Таблица1[[#This Row],[коэф]])),
IF((G304="5/16"),((база!$L$6*2*Таблица1[[#This Row],[Столбец1]]*Таблица1[[#This Row],[коэф]])),
IF((G304="4/16"),((база!$L$5*2*Таблица1[[#This Row],[Столбец1]]*Таблица1[[#This Row],[коэф]])),
IF((G304="3/16"),((база!$L$4*2*Таблица1[[#This Row],[Столбец1]]*Таблица1[[#This Row],[коэф]])),
IF((G304="4/4"),((база!$I$5*2*Таблица1[[#This Row],[Столбец1]]*Таблица1[[#This Row],[коэф]])),
IF(OR(G304="2/4",G304="3/4"),((база!$I$4*2*Таблица1[[#This Row],[Столбец1]]*Таблица1[[#This Row],[коэф]])),
IF((G304="5/8"),((база!$J$6*2*Таблица1[[#This Row],[Столбец1]]*Таблица1[[#This Row],[коэф]])),
IF((G304="4/8"),((база!$J$5*2*Таблица1[[#This Row],[Столбец1]]*Таблица1[[#This Row],[коэф]])),
IF(OR(G304="3/8",G304="2/8"),((база!$J$4*2*Таблица1[[#This Row],[Столбец1]]*Таблица1[[#This Row],[коэф]])))))))))))))),
(IF((G304="5/24"),((база!$M$6*2*Таблица1[[#This Row],[Столбец1]]*Таблица1[[#This Row],[коэф]])),
IF(OR(G304="4/24",G304="3/24"),((база!$M$5*2*Таблица1[[#This Row],[Столбец1]]*Таблица1[[#This Row],[коэф]])),
IF((G304="5/16"),((база!$L$6*2*Таблица1[[#This Row],[Столбец1]]*Таблица1[[#This Row],[коэф]])),
IF(OR(G304="4/16",G304="3/16"),((база!$L$5*2*Таблица1[[#This Row],[Столбец1]]*Таблица1[[#This Row],[коэф]])),
IF(OR(G304="2/4",G304="3/4",G304="4/4"),((база!$I$5*2*Таблица1[[#This Row],[Столбец1]]*Таблица1[[#This Row],[коэф]])),
IF((G304="5/8"),((база!$J$6*2*Таблица1[[#This Row],[Столбец1]]*Таблица1[[#This Row],[коэф]])),
IF(OR(G304="4/8",G304="3/8",G304="2/8"),((база!$J$5*2*Таблица1[[#This Row],[Столбец1]]*Таблица1[[#This Row],[коэф]])))))))))))</f>
        <v>0</v>
      </c>
      <c r="AQ304" s="712" t="str">
        <f>IFERROR(INDEX(база!T:T, MATCH(F304,база!Q:Q,0)),"")</f>
        <v/>
      </c>
      <c r="AR304" s="208" t="str">
        <f>IFERROR(INDEX(база!D:D, MATCH(F304,база!B:B,0)),"")</f>
        <v/>
      </c>
      <c r="AS304" s="758" t="str">
        <f>IFERROR(INDEX(база!E:E, MATCH(F304,база!B:B,0)),"")</f>
        <v/>
      </c>
    </row>
    <row r="305" spans="1:45" ht="15">
      <c r="A305" s="66" t="str">
        <f t="shared" si="4"/>
        <v>январь</v>
      </c>
      <c r="B305" s="231">
        <v>2024</v>
      </c>
      <c r="C305" s="299"/>
      <c r="D305" s="61"/>
      <c r="E305" s="211"/>
      <c r="F305" s="680"/>
      <c r="G305" s="47"/>
      <c r="H305" s="563"/>
      <c r="I305" s="563"/>
      <c r="J305" s="563"/>
      <c r="K305" s="563"/>
      <c r="L305" s="563"/>
      <c r="M305" s="563"/>
      <c r="N305" s="563"/>
      <c r="O305" s="563"/>
      <c r="P305" s="300"/>
      <c r="Q305" s="563"/>
      <c r="R305" s="563"/>
      <c r="S305" s="563"/>
      <c r="T305" s="563"/>
      <c r="U305" s="563"/>
      <c r="V305" s="563"/>
      <c r="W305" s="563"/>
      <c r="X305" s="563"/>
      <c r="Y305" s="563"/>
      <c r="Z305" s="563"/>
      <c r="AA305" s="563"/>
      <c r="AB305" s="563"/>
      <c r="AC305" s="563"/>
      <c r="AD305" s="48"/>
      <c r="AE305" s="48"/>
      <c r="AF305" s="258"/>
      <c r="AG305" s="48"/>
      <c r="AH305" s="48"/>
      <c r="AI305" s="258"/>
      <c r="AJ305" s="258"/>
      <c r="AK305" s="258"/>
      <c r="AL305" s="258"/>
      <c r="AM305" s="212">
        <f>IF(AQ305=1,SUM(Q305:T305,W305:Z305,AC305:AF305,AI305:AL305),
IF(AQ305=2,SUM(P305,S305:V305,Y305:AB305,AE305:AH305,AK305:AL305),
IF(AQ305=3,SUM(P305:R305,U305:X305,AA305:AD305,AG305:AJ305),SUM(Таблица1[[#This Row],[1]:[31]])-Таблица1[[#This Row],[Столбец1]])))</f>
        <v>0</v>
      </c>
      <c r="AN305" s="778">
        <f t="array" ref="AN305">IF(AQ305=1,SUM(P305,U305:V305,AA305:AB305,AG305:AH305),
IF(AQ305=2,SUM(Q305:R305,W305:X305,AC305:AD305,AI305:AJ305),
IF(AQ305=3,SUM(S305:T305,Y305:Z305,AE305:AF305,AK305:AL305),
SUM(IFERROR(WEEKDAY($H$2:$AL$2,2)&gt;5,)*H305:AL305))))+Таблица1[[#This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05" s="292" t="b">
        <f>IF(AR305&lt;=3,(IF((G305="5/24"),((база!$M$6*Таблица1[[#This Row],[сумма]]*Таблица1[[#This Row],[коэф]])),
IF((G305="4/24"),((база!$M$5*Таблица1[[#This Row],[сумма]]*Таблица1[[#This Row],[коэф]])),
IF((G305="3/24"),((база!$M$4*Таблица1[[#This Row],[сумма]]*Таблица1[[#This Row],[коэф]])),
IF((G305="5/16"),((база!$L$6*Таблица1[[#This Row],[сумма]]*Таблица1[[#This Row],[коэф]])),
IF((G305="4/16"),((база!$L$5*Таблица1[[#This Row],[сумма]]*Таблица1[[#This Row],[коэф]])),
IF((G305="3/16"),((база!$L$4*Таблица1[[#This Row],[сумма]]*Таблица1[[#This Row],[коэф]])),
IF((G305="4/4"),((база!$I$5*Таблица1[[#This Row],[сумма]]*Таблица1[[#This Row],[коэф]])),
IF(OR(G305="2/4",G305="3/4"),((база!$I$4*Таблица1[[#This Row],[сумма]]*Таблица1[[#This Row],[коэф]])),
IF((G305="5/8"),((база!$J$6*Таблица1[[#This Row],[сумма]]*Таблица1[[#This Row],[коэф]])),
IF((G305="4/8"),((база!$J$5*Таблица1[[#This Row],[сумма]]*Таблица1[[#This Row],[коэф]])),
IF(OR(G305="3/8",G305="2/8"),((база!$J$4*Таблица1[[#This Row],[сумма]]*Таблица1[[#This Row],[коэф]])))))))))))))),
(IF((G305="5/24"),((база!$M$6*Таблица1[[#This Row],[сумма]]*Таблица1[[#This Row],[коэф]])),
IF(OR(G305="4/24",G305="3/24"),((база!$M$5*Таблица1[[#This Row],[сумма]]*Таблица1[[#This Row],[коэф]])),
IF((G305="5/16"),((база!$L$6*Таблица1[[#This Row],[сумма]]*Таблица1[[#This Row],[коэф]])),
IF(OR(G305="4/16",G305="3/16"),((база!$L$5*Таблица1[[#This Row],[сумма]]*Таблица1[[#This Row],[коэф]])),
IF(OR(G305="2/4",G305="3/4",G305="4/4"),((база!$I$5*Таблица1[[#This Row],[сумма]]*Таблица1[[#This Row],[коэф]])),
IF((G305="5/8"),((база!$J$6*Таблица1[[#This Row],[сумма]]*Таблица1[[#This Row],[коэф]])),
IF(OR(G305="4/8",G305="3/8",G305="2/8"),((база!$J$5*Таблица1[[#This Row],[сумма]]*Таблица1[[#This Row],[коэф]])))))))))))</f>
        <v>0</v>
      </c>
      <c r="AP305" s="730" t="b">
        <f>IF(AR305&lt;=3,(IF((G305="5/24"),((база!$M$6*2*Таблица1[[#This Row],[Столбец1]]*Таблица1[[#This Row],[коэф]])),
IF((G305="4/24"),((база!$M$5*2*Таблица1[[#This Row],[Столбец1]]*Таблица1[[#This Row],[коэф]])),
IF((G305="3/24"),((база!$M$4*2*Таблица1[[#This Row],[Столбец1]]*Таблица1[[#This Row],[коэф]])),
IF((G305="5/16"),((база!$L$6*2*Таблица1[[#This Row],[Столбец1]]*Таблица1[[#This Row],[коэф]])),
IF((G305="4/16"),((база!$L$5*2*Таблица1[[#This Row],[Столбец1]]*Таблица1[[#This Row],[коэф]])),
IF((G305="3/16"),((база!$L$4*2*Таблица1[[#This Row],[Столбец1]]*Таблица1[[#This Row],[коэф]])),
IF((G305="4/4"),((база!$I$5*2*Таблица1[[#This Row],[Столбец1]]*Таблица1[[#This Row],[коэф]])),
IF(OR(G305="2/4",G305="3/4"),((база!$I$4*2*Таблица1[[#This Row],[Столбец1]]*Таблица1[[#This Row],[коэф]])),
IF((G305="5/8"),((база!$J$6*2*Таблица1[[#This Row],[Столбец1]]*Таблица1[[#This Row],[коэф]])),
IF((G305="4/8"),((база!$J$5*2*Таблица1[[#This Row],[Столбец1]]*Таблица1[[#This Row],[коэф]])),
IF(OR(G305="3/8",G305="2/8"),((база!$J$4*2*Таблица1[[#This Row],[Столбец1]]*Таблица1[[#This Row],[коэф]])))))))))))))),
(IF((G305="5/24"),((база!$M$6*2*Таблица1[[#This Row],[Столбец1]]*Таблица1[[#This Row],[коэф]])),
IF(OR(G305="4/24",G305="3/24"),((база!$M$5*2*Таблица1[[#This Row],[Столбец1]]*Таблица1[[#This Row],[коэф]])),
IF((G305="5/16"),((база!$L$6*2*Таблица1[[#This Row],[Столбец1]]*Таблица1[[#This Row],[коэф]])),
IF(OR(G305="4/16",G305="3/16"),((база!$L$5*2*Таблица1[[#This Row],[Столбец1]]*Таблица1[[#This Row],[коэф]])),
IF(OR(G305="2/4",G305="3/4",G305="4/4"),((база!$I$5*2*Таблица1[[#This Row],[Столбец1]]*Таблица1[[#This Row],[коэф]])),
IF((G305="5/8"),((база!$J$6*2*Таблица1[[#This Row],[Столбец1]]*Таблица1[[#This Row],[коэф]])),
IF(OR(G305="4/8",G305="3/8",G305="2/8"),((база!$J$5*2*Таблица1[[#This Row],[Столбец1]]*Таблица1[[#This Row],[коэф]])))))))))))</f>
        <v>0</v>
      </c>
      <c r="AQ305" s="712" t="str">
        <f>IFERROR(INDEX(база!T:T, MATCH(F305,база!Q:Q,0)),"")</f>
        <v/>
      </c>
      <c r="AR305" s="208" t="str">
        <f>IFERROR(INDEX(база!D:D, MATCH(F305,база!B:B,0)),"")</f>
        <v/>
      </c>
      <c r="AS305" s="758" t="str">
        <f>IFERROR(INDEX(база!E:E, MATCH(F305,база!B:B,0)),"")</f>
        <v/>
      </c>
    </row>
    <row r="306" spans="1:45" ht="15">
      <c r="A306" s="66" t="str">
        <f t="shared" si="4"/>
        <v>январь</v>
      </c>
      <c r="B306" s="231">
        <v>2024</v>
      </c>
      <c r="C306" s="299"/>
      <c r="D306" s="61"/>
      <c r="E306" s="211"/>
      <c r="F306" s="680"/>
      <c r="G306" s="47"/>
      <c r="H306" s="563"/>
      <c r="I306" s="563"/>
      <c r="J306" s="563"/>
      <c r="K306" s="563"/>
      <c r="L306" s="563"/>
      <c r="M306" s="563"/>
      <c r="N306" s="563"/>
      <c r="O306" s="563"/>
      <c r="P306" s="300"/>
      <c r="Q306" s="563"/>
      <c r="R306" s="563"/>
      <c r="S306" s="563"/>
      <c r="T306" s="563"/>
      <c r="U306" s="563"/>
      <c r="V306" s="563"/>
      <c r="W306" s="563"/>
      <c r="X306" s="563"/>
      <c r="Y306" s="563"/>
      <c r="Z306" s="563"/>
      <c r="AA306" s="563"/>
      <c r="AB306" s="563"/>
      <c r="AC306" s="563"/>
      <c r="AD306" s="48"/>
      <c r="AE306" s="48"/>
      <c r="AF306" s="258"/>
      <c r="AG306" s="48"/>
      <c r="AH306" s="48"/>
      <c r="AI306" s="48"/>
      <c r="AJ306" s="48"/>
      <c r="AK306" s="48"/>
      <c r="AL306" s="51"/>
      <c r="AM306" s="212">
        <f>IF(AQ306=1,SUM(Q306:T306,W306:Z306,AC306:AF306,AI306:AL306),
IF(AQ306=2,SUM(P306,S306:V306,Y306:AB306,AE306:AH306,AK306:AL306),
IF(AQ306=3,SUM(P306:R306,U306:X306,AA306:AD306,AG306:AJ306),SUM(Таблица1[[#This Row],[1]:[31]])-Таблица1[[#This Row],[Столбец1]])))</f>
        <v>0</v>
      </c>
      <c r="AN306" s="778">
        <f t="array" ref="AN306">IF(AQ306=1,SUM(P306,U306:V306,AA306:AB306,AG306:AH306),
IF(AQ306=2,SUM(Q306:R306,W306:X306,AC306:AD306,AI306:AJ306),
IF(AQ306=3,SUM(S306:T306,Y306:Z306,AE306:AF306,AK306:AL306),
SUM(IFERROR(WEEKDAY($H$2:$AL$2,2)&gt;5,)*H306:AL306))))+Таблица1[[#This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06" s="292" t="b">
        <f>IF(AR306&lt;=3,(IF((G306="5/24"),((база!$M$6*Таблица1[[#This Row],[сумма]]*Таблица1[[#This Row],[коэф]])),
IF((G306="4/24"),((база!$M$5*Таблица1[[#This Row],[сумма]]*Таблица1[[#This Row],[коэф]])),
IF((G306="3/24"),((база!$M$4*Таблица1[[#This Row],[сумма]]*Таблица1[[#This Row],[коэф]])),
IF((G306="5/16"),((база!$L$6*Таблица1[[#This Row],[сумма]]*Таблица1[[#This Row],[коэф]])),
IF((G306="4/16"),((база!$L$5*Таблица1[[#This Row],[сумма]]*Таблица1[[#This Row],[коэф]])),
IF((G306="3/16"),((база!$L$4*Таблица1[[#This Row],[сумма]]*Таблица1[[#This Row],[коэф]])),
IF((G306="4/4"),((база!$I$5*Таблица1[[#This Row],[сумма]]*Таблица1[[#This Row],[коэф]])),
IF(OR(G306="2/4",G306="3/4"),((база!$I$4*Таблица1[[#This Row],[сумма]]*Таблица1[[#This Row],[коэф]])),
IF((G306="5/8"),((база!$J$6*Таблица1[[#This Row],[сумма]]*Таблица1[[#This Row],[коэф]])),
IF((G306="4/8"),((база!$J$5*Таблица1[[#This Row],[сумма]]*Таблица1[[#This Row],[коэф]])),
IF(OR(G306="3/8",G306="2/8"),((база!$J$4*Таблица1[[#This Row],[сумма]]*Таблица1[[#This Row],[коэф]])))))))))))))),
(IF((G306="5/24"),((база!$M$6*Таблица1[[#This Row],[сумма]]*Таблица1[[#This Row],[коэф]])),
IF(OR(G306="4/24",G306="3/24"),((база!$M$5*Таблица1[[#This Row],[сумма]]*Таблица1[[#This Row],[коэф]])),
IF((G306="5/16"),((база!$L$6*Таблица1[[#This Row],[сумма]]*Таблица1[[#This Row],[коэф]])),
IF(OR(G306="4/16",G306="3/16"),((база!$L$5*Таблица1[[#This Row],[сумма]]*Таблица1[[#This Row],[коэф]])),
IF(OR(G306="2/4",G306="3/4",G306="4/4"),((база!$I$5*Таблица1[[#This Row],[сумма]]*Таблица1[[#This Row],[коэф]])),
IF((G306="5/8"),((база!$J$6*Таблица1[[#This Row],[сумма]]*Таблица1[[#This Row],[коэф]])),
IF(OR(G306="4/8",G306="3/8",G306="2/8"),((база!$J$5*Таблица1[[#This Row],[сумма]]*Таблица1[[#This Row],[коэф]])))))))))))</f>
        <v>0</v>
      </c>
      <c r="AP306" s="730" t="b">
        <f>IF(AR306&lt;=3,(IF((G306="5/24"),((база!$M$6*2*Таблица1[[#This Row],[Столбец1]]*Таблица1[[#This Row],[коэф]])),
IF((G306="4/24"),((база!$M$5*2*Таблица1[[#This Row],[Столбец1]]*Таблица1[[#This Row],[коэф]])),
IF((G306="3/24"),((база!$M$4*2*Таблица1[[#This Row],[Столбец1]]*Таблица1[[#This Row],[коэф]])),
IF((G306="5/16"),((база!$L$6*2*Таблица1[[#This Row],[Столбец1]]*Таблица1[[#This Row],[коэф]])),
IF((G306="4/16"),((база!$L$5*2*Таблица1[[#This Row],[Столбец1]]*Таблица1[[#This Row],[коэф]])),
IF((G306="3/16"),((база!$L$4*2*Таблица1[[#This Row],[Столбец1]]*Таблица1[[#This Row],[коэф]])),
IF((G306="4/4"),((база!$I$5*2*Таблица1[[#This Row],[Столбец1]]*Таблица1[[#This Row],[коэф]])),
IF(OR(G306="2/4",G306="3/4"),((база!$I$4*2*Таблица1[[#This Row],[Столбец1]]*Таблица1[[#This Row],[коэф]])),
IF((G306="5/8"),((база!$J$6*2*Таблица1[[#This Row],[Столбец1]]*Таблица1[[#This Row],[коэф]])),
IF((G306="4/8"),((база!$J$5*2*Таблица1[[#This Row],[Столбец1]]*Таблица1[[#This Row],[коэф]])),
IF(OR(G306="3/8",G306="2/8"),((база!$J$4*2*Таблица1[[#This Row],[Столбец1]]*Таблица1[[#This Row],[коэф]])))))))))))))),
(IF((G306="5/24"),((база!$M$6*2*Таблица1[[#This Row],[Столбец1]]*Таблица1[[#This Row],[коэф]])),
IF(OR(G306="4/24",G306="3/24"),((база!$M$5*2*Таблица1[[#This Row],[Столбец1]]*Таблица1[[#This Row],[коэф]])),
IF((G306="5/16"),((база!$L$6*2*Таблица1[[#This Row],[Столбец1]]*Таблица1[[#This Row],[коэф]])),
IF(OR(G306="4/16",G306="3/16"),((база!$L$5*2*Таблица1[[#This Row],[Столбец1]]*Таблица1[[#This Row],[коэф]])),
IF(OR(G306="2/4",G306="3/4",G306="4/4"),((база!$I$5*2*Таблица1[[#This Row],[Столбец1]]*Таблица1[[#This Row],[коэф]])),
IF((G306="5/8"),((база!$J$6*2*Таблица1[[#This Row],[Столбец1]]*Таблица1[[#This Row],[коэф]])),
IF(OR(G306="4/8",G306="3/8",G306="2/8"),((база!$J$5*2*Таблица1[[#This Row],[Столбец1]]*Таблица1[[#This Row],[коэф]])))))))))))</f>
        <v>0</v>
      </c>
      <c r="AQ306" s="712" t="str">
        <f>IFERROR(INDEX(база!T:T, MATCH(F306,база!Q:Q,0)),"")</f>
        <v/>
      </c>
      <c r="AR306" s="208" t="str">
        <f>IFERROR(INDEX(база!D:D, MATCH(F306,база!B:B,0)),"")</f>
        <v/>
      </c>
      <c r="AS306" s="758" t="str">
        <f>IFERROR(INDEX(база!E:E, MATCH(F306,база!B:B,0)),"")</f>
        <v/>
      </c>
    </row>
    <row r="307" spans="1:45" ht="15">
      <c r="A307" s="66" t="str">
        <f t="shared" si="4"/>
        <v>январь</v>
      </c>
      <c r="B307" s="231">
        <v>2024</v>
      </c>
      <c r="C307" s="60"/>
      <c r="D307" s="61"/>
      <c r="E307" s="211"/>
      <c r="F307" s="680"/>
      <c r="G307" s="47"/>
      <c r="H307" s="563"/>
      <c r="I307" s="563"/>
      <c r="J307" s="563"/>
      <c r="K307" s="563"/>
      <c r="L307" s="563"/>
      <c r="M307" s="563"/>
      <c r="N307" s="563"/>
      <c r="O307" s="563"/>
      <c r="P307" s="300"/>
      <c r="Q307" s="563"/>
      <c r="R307" s="563"/>
      <c r="S307" s="563"/>
      <c r="T307" s="563"/>
      <c r="U307" s="563"/>
      <c r="V307" s="563"/>
      <c r="W307" s="563"/>
      <c r="X307" s="563"/>
      <c r="Y307" s="563"/>
      <c r="Z307" s="563"/>
      <c r="AA307" s="563"/>
      <c r="AB307" s="563"/>
      <c r="AC307" s="563"/>
      <c r="AD307" s="48"/>
      <c r="AE307" s="48"/>
      <c r="AF307" s="258"/>
      <c r="AG307" s="48"/>
      <c r="AH307" s="48"/>
      <c r="AI307" s="258"/>
      <c r="AJ307" s="258"/>
      <c r="AK307" s="258"/>
      <c r="AL307" s="258"/>
      <c r="AM307" s="212">
        <f>IF(AQ307=1,SUM(Q307:T307,W307:Z307,AC307:AF307,AI307:AL307),
IF(AQ307=2,SUM(P307,S307:V307,Y307:AB307,AE307:AH307,AK307:AL307),
IF(AQ307=3,SUM(P307:R307,U307:X307,AA307:AD307,AG307:AJ307),SUM(Таблица1[[#This Row],[1]:[31]])-Таблица1[[#This Row],[Столбец1]])))</f>
        <v>0</v>
      </c>
      <c r="AN307" s="778">
        <f t="array" ref="AN307">IF(AQ307=1,SUM(P307,U307:V307,AA307:AB307,AG307:AH307),
IF(AQ307=2,SUM(Q307:R307,W307:X307,AC307:AD307,AI307:AJ307),
IF(AQ307=3,SUM(S307:T307,Y307:Z307,AE307:AF307,AK307:AL307),
SUM(IFERROR(WEEKDAY($H$2:$AL$2,2)&gt;5,)*H307:AL307))))+Таблица1[[#This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07" s="292" t="b">
        <f>IF(AR307&lt;=3,(IF((G307="5/24"),((база!$M$6*Таблица1[[#This Row],[сумма]]*Таблица1[[#This Row],[коэф]])),
IF((G307="4/24"),((база!$M$5*Таблица1[[#This Row],[сумма]]*Таблица1[[#This Row],[коэф]])),
IF((G307="3/24"),((база!$M$4*Таблица1[[#This Row],[сумма]]*Таблица1[[#This Row],[коэф]])),
IF((G307="5/16"),((база!$L$6*Таблица1[[#This Row],[сумма]]*Таблица1[[#This Row],[коэф]])),
IF((G307="4/16"),((база!$L$5*Таблица1[[#This Row],[сумма]]*Таблица1[[#This Row],[коэф]])),
IF((G307="3/16"),((база!$L$4*Таблица1[[#This Row],[сумма]]*Таблица1[[#This Row],[коэф]])),
IF((G307="4/4"),((база!$I$5*Таблица1[[#This Row],[сумма]]*Таблица1[[#This Row],[коэф]])),
IF(OR(G307="2/4",G307="3/4"),((база!$I$4*Таблица1[[#This Row],[сумма]]*Таблица1[[#This Row],[коэф]])),
IF((G307="5/8"),((база!$J$6*Таблица1[[#This Row],[сумма]]*Таблица1[[#This Row],[коэф]])),
IF((G307="4/8"),((база!$J$5*Таблица1[[#This Row],[сумма]]*Таблица1[[#This Row],[коэф]])),
IF(OR(G307="3/8",G307="2/8"),((база!$J$4*Таблица1[[#This Row],[сумма]]*Таблица1[[#This Row],[коэф]])))))))))))))),
(IF((G307="5/24"),((база!$M$6*Таблица1[[#This Row],[сумма]]*Таблица1[[#This Row],[коэф]])),
IF(OR(G307="4/24",G307="3/24"),((база!$M$5*Таблица1[[#This Row],[сумма]]*Таблица1[[#This Row],[коэф]])),
IF((G307="5/16"),((база!$L$6*Таблица1[[#This Row],[сумма]]*Таблица1[[#This Row],[коэф]])),
IF(OR(G307="4/16",G307="3/16"),((база!$L$5*Таблица1[[#This Row],[сумма]]*Таблица1[[#This Row],[коэф]])),
IF(OR(G307="2/4",G307="3/4",G307="4/4"),((база!$I$5*Таблица1[[#This Row],[сумма]]*Таблица1[[#This Row],[коэф]])),
IF((G307="5/8"),((база!$J$6*Таблица1[[#This Row],[сумма]]*Таблица1[[#This Row],[коэф]])),
IF(OR(G307="4/8",G307="3/8",G307="2/8"),((база!$J$5*Таблица1[[#This Row],[сумма]]*Таблица1[[#This Row],[коэф]])))))))))))</f>
        <v>0</v>
      </c>
      <c r="AP307" s="730" t="b">
        <f>IF(AR307&lt;=3,(IF((G307="5/24"),((база!$M$6*2*Таблица1[[#This Row],[Столбец1]]*Таблица1[[#This Row],[коэф]])),
IF((G307="4/24"),((база!$M$5*2*Таблица1[[#This Row],[Столбец1]]*Таблица1[[#This Row],[коэф]])),
IF((G307="3/24"),((база!$M$4*2*Таблица1[[#This Row],[Столбец1]]*Таблица1[[#This Row],[коэф]])),
IF((G307="5/16"),((база!$L$6*2*Таблица1[[#This Row],[Столбец1]]*Таблица1[[#This Row],[коэф]])),
IF((G307="4/16"),((база!$L$5*2*Таблица1[[#This Row],[Столбец1]]*Таблица1[[#This Row],[коэф]])),
IF((G307="3/16"),((база!$L$4*2*Таблица1[[#This Row],[Столбец1]]*Таблица1[[#This Row],[коэф]])),
IF((G307="4/4"),((база!$I$5*2*Таблица1[[#This Row],[Столбец1]]*Таблица1[[#This Row],[коэф]])),
IF(OR(G307="2/4",G307="3/4"),((база!$I$4*2*Таблица1[[#This Row],[Столбец1]]*Таблица1[[#This Row],[коэф]])),
IF((G307="5/8"),((база!$J$6*2*Таблица1[[#This Row],[Столбец1]]*Таблица1[[#This Row],[коэф]])),
IF((G307="4/8"),((база!$J$5*2*Таблица1[[#This Row],[Столбец1]]*Таблица1[[#This Row],[коэф]])),
IF(OR(G307="3/8",G307="2/8"),((база!$J$4*2*Таблица1[[#This Row],[Столбец1]]*Таблица1[[#This Row],[коэф]])))))))))))))),
(IF((G307="5/24"),((база!$M$6*2*Таблица1[[#This Row],[Столбец1]]*Таблица1[[#This Row],[коэф]])),
IF(OR(G307="4/24",G307="3/24"),((база!$M$5*2*Таблица1[[#This Row],[Столбец1]]*Таблица1[[#This Row],[коэф]])),
IF((G307="5/16"),((база!$L$6*2*Таблица1[[#This Row],[Столбец1]]*Таблица1[[#This Row],[коэф]])),
IF(OR(G307="4/16",G307="3/16"),((база!$L$5*2*Таблица1[[#This Row],[Столбец1]]*Таблица1[[#This Row],[коэф]])),
IF(OR(G307="2/4",G307="3/4",G307="4/4"),((база!$I$5*2*Таблица1[[#This Row],[Столбец1]]*Таблица1[[#This Row],[коэф]])),
IF((G307="5/8"),((база!$J$6*2*Таблица1[[#This Row],[Столбец1]]*Таблица1[[#This Row],[коэф]])),
IF(OR(G307="4/8",G307="3/8",G307="2/8"),((база!$J$5*2*Таблица1[[#This Row],[Столбец1]]*Таблица1[[#This Row],[коэф]])))))))))))</f>
        <v>0</v>
      </c>
      <c r="AQ307" s="712" t="str">
        <f>IFERROR(INDEX(база!T:T, MATCH(F307,база!Q:Q,0)),"")</f>
        <v/>
      </c>
      <c r="AR307" s="208" t="str">
        <f>IFERROR(INDEX(база!D:D, MATCH(F307,база!B:B,0)),"")</f>
        <v/>
      </c>
      <c r="AS307" s="758" t="str">
        <f>IFERROR(INDEX(база!E:E, MATCH(F307,база!B:B,0)),"")</f>
        <v/>
      </c>
    </row>
    <row r="308" spans="1:45" ht="15">
      <c r="A308" s="66" t="str">
        <f t="shared" si="4"/>
        <v>январь</v>
      </c>
      <c r="B308" s="231">
        <v>2024</v>
      </c>
      <c r="C308" s="60"/>
      <c r="D308" s="61"/>
      <c r="E308" s="211"/>
      <c r="F308" s="680"/>
      <c r="G308" s="47"/>
      <c r="H308" s="563"/>
      <c r="I308" s="563"/>
      <c r="J308" s="563"/>
      <c r="K308" s="563"/>
      <c r="L308" s="563"/>
      <c r="M308" s="563"/>
      <c r="N308" s="563"/>
      <c r="O308" s="563"/>
      <c r="P308" s="300"/>
      <c r="Q308" s="563"/>
      <c r="R308" s="563"/>
      <c r="S308" s="563"/>
      <c r="T308" s="563"/>
      <c r="U308" s="563"/>
      <c r="V308" s="563"/>
      <c r="W308" s="563"/>
      <c r="X308" s="563"/>
      <c r="Y308" s="563"/>
      <c r="Z308" s="563"/>
      <c r="AA308" s="563"/>
      <c r="AB308" s="563"/>
      <c r="AC308" s="563"/>
      <c r="AD308" s="48"/>
      <c r="AE308" s="48"/>
      <c r="AF308" s="258"/>
      <c r="AG308" s="48"/>
      <c r="AH308" s="48"/>
      <c r="AI308" s="48"/>
      <c r="AJ308" s="48"/>
      <c r="AK308" s="48"/>
      <c r="AL308" s="51"/>
      <c r="AM308" s="212">
        <f>IF(AQ308=1,SUM(Q308:T308,W308:Z308,AC308:AF308,AI308:AL308),
IF(AQ308=2,SUM(P308,S308:V308,Y308:AB308,AE308:AH308,AK308:AL308),
IF(AQ308=3,SUM(P308:R308,U308:X308,AA308:AD308,AG308:AJ308),SUM(Таблица1[[#This Row],[1]:[31]])-Таблица1[[#This Row],[Столбец1]])))</f>
        <v>0</v>
      </c>
      <c r="AN308" s="778">
        <f t="array" ref="AN308">IF(AQ308=1,SUM(P308,U308:V308,AA308:AB308,AG308:AH308),
IF(AQ308=2,SUM(Q308:R308,W308:X308,AC308:AD308,AI308:AJ308),
IF(AQ308=3,SUM(S308:T308,Y308:Z308,AE308:AF308,AK308:AL308),
SUM(IFERROR(WEEKDAY($H$2:$AL$2,2)&gt;5,)*H308:AL308))))+Таблица1[[#This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08" s="292" t="b">
        <f>IF(AR308&lt;=3,(IF((G308="5/24"),((база!$M$6*Таблица1[[#This Row],[сумма]]*Таблица1[[#This Row],[коэф]])),
IF((G308="4/24"),((база!$M$5*Таблица1[[#This Row],[сумма]]*Таблица1[[#This Row],[коэф]])),
IF((G308="3/24"),((база!$M$4*Таблица1[[#This Row],[сумма]]*Таблица1[[#This Row],[коэф]])),
IF((G308="5/16"),((база!$L$6*Таблица1[[#This Row],[сумма]]*Таблица1[[#This Row],[коэф]])),
IF((G308="4/16"),((база!$L$5*Таблица1[[#This Row],[сумма]]*Таблица1[[#This Row],[коэф]])),
IF((G308="3/16"),((база!$L$4*Таблица1[[#This Row],[сумма]]*Таблица1[[#This Row],[коэф]])),
IF((G308="4/4"),((база!$I$5*Таблица1[[#This Row],[сумма]]*Таблица1[[#This Row],[коэф]])),
IF(OR(G308="2/4",G308="3/4"),((база!$I$4*Таблица1[[#This Row],[сумма]]*Таблица1[[#This Row],[коэф]])),
IF((G308="5/8"),((база!$J$6*Таблица1[[#This Row],[сумма]]*Таблица1[[#This Row],[коэф]])),
IF((G308="4/8"),((база!$J$5*Таблица1[[#This Row],[сумма]]*Таблица1[[#This Row],[коэф]])),
IF(OR(G308="3/8",G308="2/8"),((база!$J$4*Таблица1[[#This Row],[сумма]]*Таблица1[[#This Row],[коэф]])))))))))))))),
(IF((G308="5/24"),((база!$M$6*Таблица1[[#This Row],[сумма]]*Таблица1[[#This Row],[коэф]])),
IF(OR(G308="4/24",G308="3/24"),((база!$M$5*Таблица1[[#This Row],[сумма]]*Таблица1[[#This Row],[коэф]])),
IF((G308="5/16"),((база!$L$6*Таблица1[[#This Row],[сумма]]*Таблица1[[#This Row],[коэф]])),
IF(OR(G308="4/16",G308="3/16"),((база!$L$5*Таблица1[[#This Row],[сумма]]*Таблица1[[#This Row],[коэф]])),
IF(OR(G308="2/4",G308="3/4",G308="4/4"),((база!$I$5*Таблица1[[#This Row],[сумма]]*Таблица1[[#This Row],[коэф]])),
IF((G308="5/8"),((база!$J$6*Таблица1[[#This Row],[сумма]]*Таблица1[[#This Row],[коэф]])),
IF(OR(G308="4/8",G308="3/8",G308="2/8"),((база!$J$5*Таблица1[[#This Row],[сумма]]*Таблица1[[#This Row],[коэф]])))))))))))</f>
        <v>0</v>
      </c>
      <c r="AP308" s="730" t="b">
        <f>IF(AR308&lt;=3,(IF((G308="5/24"),((база!$M$6*2*Таблица1[[#This Row],[Столбец1]]*Таблица1[[#This Row],[коэф]])),
IF((G308="4/24"),((база!$M$5*2*Таблица1[[#This Row],[Столбец1]]*Таблица1[[#This Row],[коэф]])),
IF((G308="3/24"),((база!$M$4*2*Таблица1[[#This Row],[Столбец1]]*Таблица1[[#This Row],[коэф]])),
IF((G308="5/16"),((база!$L$6*2*Таблица1[[#This Row],[Столбец1]]*Таблица1[[#This Row],[коэф]])),
IF((G308="4/16"),((база!$L$5*2*Таблица1[[#This Row],[Столбец1]]*Таблица1[[#This Row],[коэф]])),
IF((G308="3/16"),((база!$L$4*2*Таблица1[[#This Row],[Столбец1]]*Таблица1[[#This Row],[коэф]])),
IF((G308="4/4"),((база!$I$5*2*Таблица1[[#This Row],[Столбец1]]*Таблица1[[#This Row],[коэф]])),
IF(OR(G308="2/4",G308="3/4"),((база!$I$4*2*Таблица1[[#This Row],[Столбец1]]*Таблица1[[#This Row],[коэф]])),
IF((G308="5/8"),((база!$J$6*2*Таблица1[[#This Row],[Столбец1]]*Таблица1[[#This Row],[коэф]])),
IF((G308="4/8"),((база!$J$5*2*Таблица1[[#This Row],[Столбец1]]*Таблица1[[#This Row],[коэф]])),
IF(OR(G308="3/8",G308="2/8"),((база!$J$4*2*Таблица1[[#This Row],[Столбец1]]*Таблица1[[#This Row],[коэф]])))))))))))))),
(IF((G308="5/24"),((база!$M$6*2*Таблица1[[#This Row],[Столбец1]]*Таблица1[[#This Row],[коэф]])),
IF(OR(G308="4/24",G308="3/24"),((база!$M$5*2*Таблица1[[#This Row],[Столбец1]]*Таблица1[[#This Row],[коэф]])),
IF((G308="5/16"),((база!$L$6*2*Таблица1[[#This Row],[Столбец1]]*Таблица1[[#This Row],[коэф]])),
IF(OR(G308="4/16",G308="3/16"),((база!$L$5*2*Таблица1[[#This Row],[Столбец1]]*Таблица1[[#This Row],[коэф]])),
IF(OR(G308="2/4",G308="3/4",G308="4/4"),((база!$I$5*2*Таблица1[[#This Row],[Столбец1]]*Таблица1[[#This Row],[коэф]])),
IF((G308="5/8"),((база!$J$6*2*Таблица1[[#This Row],[Столбец1]]*Таблица1[[#This Row],[коэф]])),
IF(OR(G308="4/8",G308="3/8",G308="2/8"),((база!$J$5*2*Таблица1[[#This Row],[Столбец1]]*Таблица1[[#This Row],[коэф]])))))))))))</f>
        <v>0</v>
      </c>
      <c r="AQ308" s="712" t="str">
        <f>IFERROR(INDEX(база!T:T, MATCH(F308,база!Q:Q,0)),"")</f>
        <v/>
      </c>
      <c r="AR308" s="208" t="str">
        <f>IFERROR(INDEX(база!D:D, MATCH(F308,база!B:B,0)),"")</f>
        <v/>
      </c>
      <c r="AS308" s="758" t="str">
        <f>IFERROR(INDEX(база!E:E, MATCH(F308,база!B:B,0)),"")</f>
        <v/>
      </c>
    </row>
    <row r="309" spans="1:45" ht="15">
      <c r="A309" s="66" t="str">
        <f t="shared" si="4"/>
        <v>январь</v>
      </c>
      <c r="B309" s="231">
        <v>2024</v>
      </c>
      <c r="C309" s="299"/>
      <c r="D309" s="61"/>
      <c r="E309" s="211"/>
      <c r="F309" s="680"/>
      <c r="G309" s="47"/>
      <c r="H309" s="563"/>
      <c r="I309" s="563"/>
      <c r="J309" s="563"/>
      <c r="K309" s="563"/>
      <c r="L309" s="563"/>
      <c r="M309" s="563"/>
      <c r="N309" s="563"/>
      <c r="O309" s="563"/>
      <c r="P309" s="300"/>
      <c r="Q309" s="563"/>
      <c r="R309" s="563"/>
      <c r="S309" s="563"/>
      <c r="T309" s="563"/>
      <c r="U309" s="563"/>
      <c r="V309" s="563"/>
      <c r="W309" s="563"/>
      <c r="X309" s="563"/>
      <c r="Y309" s="563"/>
      <c r="Z309" s="563"/>
      <c r="AA309" s="563"/>
      <c r="AB309" s="563"/>
      <c r="AC309" s="563"/>
      <c r="AD309" s="48"/>
      <c r="AE309" s="48"/>
      <c r="AF309" s="258"/>
      <c r="AG309" s="48"/>
      <c r="AH309" s="48"/>
      <c r="AI309" s="258"/>
      <c r="AJ309" s="258"/>
      <c r="AK309" s="258"/>
      <c r="AL309" s="258"/>
      <c r="AM309" s="212">
        <f>IF(AQ309=1,SUM(Q309:T309,W309:Z309,AC309:AF309,AI309:AL309),
IF(AQ309=2,SUM(P309,S309:V309,Y309:AB309,AE309:AH309,AK309:AL309),
IF(AQ309=3,SUM(P309:R309,U309:X309,AA309:AD309,AG309:AJ309),SUM(Таблица1[[#This Row],[1]:[31]])-Таблица1[[#This Row],[Столбец1]])))</f>
        <v>0</v>
      </c>
      <c r="AN309" s="778">
        <f t="array" ref="AN309">IF(AQ309=1,SUM(P309,U309:V309,AA309:AB309,AG309:AH309),
IF(AQ309=2,SUM(Q309:R309,W309:X309,AC309:AD309,AI309:AJ309),
IF(AQ309=3,SUM(S309:T309,Y309:Z309,AE309:AF309,AK309:AL309),
SUM(IFERROR(WEEKDAY($H$2:$AL$2,2)&gt;5,)*H309:AL309))))+Таблица1[[#This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09" s="292" t="b">
        <f>IF(AR309&lt;=3,(IF((G309="5/24"),((база!$M$6*Таблица1[[#This Row],[сумма]]*Таблица1[[#This Row],[коэф]])),
IF((G309="4/24"),((база!$M$5*Таблица1[[#This Row],[сумма]]*Таблица1[[#This Row],[коэф]])),
IF((G309="3/24"),((база!$M$4*Таблица1[[#This Row],[сумма]]*Таблица1[[#This Row],[коэф]])),
IF((G309="5/16"),((база!$L$6*Таблица1[[#This Row],[сумма]]*Таблица1[[#This Row],[коэф]])),
IF((G309="4/16"),((база!$L$5*Таблица1[[#This Row],[сумма]]*Таблица1[[#This Row],[коэф]])),
IF((G309="3/16"),((база!$L$4*Таблица1[[#This Row],[сумма]]*Таблица1[[#This Row],[коэф]])),
IF((G309="4/4"),((база!$I$5*Таблица1[[#This Row],[сумма]]*Таблица1[[#This Row],[коэф]])),
IF(OR(G309="2/4",G309="3/4"),((база!$I$4*Таблица1[[#This Row],[сумма]]*Таблица1[[#This Row],[коэф]])),
IF((G309="5/8"),((база!$J$6*Таблица1[[#This Row],[сумма]]*Таблица1[[#This Row],[коэф]])),
IF((G309="4/8"),((база!$J$5*Таблица1[[#This Row],[сумма]]*Таблица1[[#This Row],[коэф]])),
IF(OR(G309="3/8",G309="2/8"),((база!$J$4*Таблица1[[#This Row],[сумма]]*Таблица1[[#This Row],[коэф]])))))))))))))),
(IF((G309="5/24"),((база!$M$6*Таблица1[[#This Row],[сумма]]*Таблица1[[#This Row],[коэф]])),
IF(OR(G309="4/24",G309="3/24"),((база!$M$5*Таблица1[[#This Row],[сумма]]*Таблица1[[#This Row],[коэф]])),
IF((G309="5/16"),((база!$L$6*Таблица1[[#This Row],[сумма]]*Таблица1[[#This Row],[коэф]])),
IF(OR(G309="4/16",G309="3/16"),((база!$L$5*Таблица1[[#This Row],[сумма]]*Таблица1[[#This Row],[коэф]])),
IF(OR(G309="2/4",G309="3/4",G309="4/4"),((база!$I$5*Таблица1[[#This Row],[сумма]]*Таблица1[[#This Row],[коэф]])),
IF((G309="5/8"),((база!$J$6*Таблица1[[#This Row],[сумма]]*Таблица1[[#This Row],[коэф]])),
IF(OR(G309="4/8",G309="3/8",G309="2/8"),((база!$J$5*Таблица1[[#This Row],[сумма]]*Таблица1[[#This Row],[коэф]])))))))))))</f>
        <v>0</v>
      </c>
      <c r="AP309" s="730" t="b">
        <f>IF(AR309&lt;=3,(IF((G309="5/24"),((база!$M$6*2*Таблица1[[#This Row],[Столбец1]]*Таблица1[[#This Row],[коэф]])),
IF((G309="4/24"),((база!$M$5*2*Таблица1[[#This Row],[Столбец1]]*Таблица1[[#This Row],[коэф]])),
IF((G309="3/24"),((база!$M$4*2*Таблица1[[#This Row],[Столбец1]]*Таблица1[[#This Row],[коэф]])),
IF((G309="5/16"),((база!$L$6*2*Таблица1[[#This Row],[Столбец1]]*Таблица1[[#This Row],[коэф]])),
IF((G309="4/16"),((база!$L$5*2*Таблица1[[#This Row],[Столбец1]]*Таблица1[[#This Row],[коэф]])),
IF((G309="3/16"),((база!$L$4*2*Таблица1[[#This Row],[Столбец1]]*Таблица1[[#This Row],[коэф]])),
IF((G309="4/4"),((база!$I$5*2*Таблица1[[#This Row],[Столбец1]]*Таблица1[[#This Row],[коэф]])),
IF(OR(G309="2/4",G309="3/4"),((база!$I$4*2*Таблица1[[#This Row],[Столбец1]]*Таблица1[[#This Row],[коэф]])),
IF((G309="5/8"),((база!$J$6*2*Таблица1[[#This Row],[Столбец1]]*Таблица1[[#This Row],[коэф]])),
IF((G309="4/8"),((база!$J$5*2*Таблица1[[#This Row],[Столбец1]]*Таблица1[[#This Row],[коэф]])),
IF(OR(G309="3/8",G309="2/8"),((база!$J$4*2*Таблица1[[#This Row],[Столбец1]]*Таблица1[[#This Row],[коэф]])))))))))))))),
(IF((G309="5/24"),((база!$M$6*2*Таблица1[[#This Row],[Столбец1]]*Таблица1[[#This Row],[коэф]])),
IF(OR(G309="4/24",G309="3/24"),((база!$M$5*2*Таблица1[[#This Row],[Столбец1]]*Таблица1[[#This Row],[коэф]])),
IF((G309="5/16"),((база!$L$6*2*Таблица1[[#This Row],[Столбец1]]*Таблица1[[#This Row],[коэф]])),
IF(OR(G309="4/16",G309="3/16"),((база!$L$5*2*Таблица1[[#This Row],[Столбец1]]*Таблица1[[#This Row],[коэф]])),
IF(OR(G309="2/4",G309="3/4",G309="4/4"),((база!$I$5*2*Таблица1[[#This Row],[Столбец1]]*Таблица1[[#This Row],[коэф]])),
IF((G309="5/8"),((база!$J$6*2*Таблица1[[#This Row],[Столбец1]]*Таблица1[[#This Row],[коэф]])),
IF(OR(G309="4/8",G309="3/8",G309="2/8"),((база!$J$5*2*Таблица1[[#This Row],[Столбец1]]*Таблица1[[#This Row],[коэф]])))))))))))</f>
        <v>0</v>
      </c>
      <c r="AQ309" s="712" t="str">
        <f>IFERROR(INDEX(база!T:T, MATCH(F309,база!Q:Q,0)),"")</f>
        <v/>
      </c>
      <c r="AR309" s="208" t="str">
        <f>IFERROR(INDEX(база!D:D, MATCH(F309,база!B:B,0)),"")</f>
        <v/>
      </c>
      <c r="AS309" s="758" t="str">
        <f>IFERROR(INDEX(база!E:E, MATCH(F309,база!B:B,0)),"")</f>
        <v/>
      </c>
    </row>
    <row r="310" spans="1:45" ht="15">
      <c r="A310" s="66" t="str">
        <f t="shared" si="4"/>
        <v>январь</v>
      </c>
      <c r="B310" s="231">
        <v>2024</v>
      </c>
      <c r="C310" s="60"/>
      <c r="D310" s="61"/>
      <c r="E310" s="211"/>
      <c r="F310" s="680"/>
      <c r="G310" s="47"/>
      <c r="H310" s="563"/>
      <c r="I310" s="563"/>
      <c r="J310" s="563"/>
      <c r="K310" s="563"/>
      <c r="L310" s="563"/>
      <c r="M310" s="563"/>
      <c r="N310" s="563"/>
      <c r="O310" s="563"/>
      <c r="P310" s="300"/>
      <c r="Q310" s="563"/>
      <c r="R310" s="563"/>
      <c r="S310" s="563"/>
      <c r="T310" s="563"/>
      <c r="U310" s="563"/>
      <c r="V310" s="563"/>
      <c r="W310" s="563"/>
      <c r="X310" s="563"/>
      <c r="Y310" s="563"/>
      <c r="Z310" s="563"/>
      <c r="AA310" s="563"/>
      <c r="AB310" s="563"/>
      <c r="AC310" s="563"/>
      <c r="AD310" s="48"/>
      <c r="AE310" s="48"/>
      <c r="AF310" s="258"/>
      <c r="AG310" s="48"/>
      <c r="AH310" s="48"/>
      <c r="AI310" s="48"/>
      <c r="AJ310" s="48"/>
      <c r="AK310" s="48"/>
      <c r="AL310" s="51"/>
      <c r="AM310" s="212">
        <f>IF(AQ310=1,SUM(Q310:T310,W310:Z310,AC310:AF310,AI310:AL310),
IF(AQ310=2,SUM(P310,S310:V310,Y310:AB310,AE310:AH310,AK310:AL310),
IF(AQ310=3,SUM(P310:R310,U310:X310,AA310:AD310,AG310:AJ310),SUM(Таблица1[[#This Row],[1]:[31]])-Таблица1[[#This Row],[Столбец1]])))</f>
        <v>0</v>
      </c>
      <c r="AN310" s="778">
        <f t="array" ref="AN310">IF(AQ310=1,SUM(P310,U310:V310,AA310:AB310,AG310:AH310),
IF(AQ310=2,SUM(Q310:R310,W310:X310,AC310:AD310,AI310:AJ310),
IF(AQ310=3,SUM(S310:T310,Y310:Z310,AE310:AF310,AK310:AL310),
SUM(IFERROR(WEEKDAY($H$2:$AL$2,2)&gt;5,)*H310:AL310))))+Таблица1[[#This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10" s="292" t="b">
        <f>IF(AR310&lt;=3,(IF((G310="5/24"),((база!$M$6*Таблица1[[#This Row],[сумма]]*Таблица1[[#This Row],[коэф]])),
IF((G310="4/24"),((база!$M$5*Таблица1[[#This Row],[сумма]]*Таблица1[[#This Row],[коэф]])),
IF((G310="3/24"),((база!$M$4*Таблица1[[#This Row],[сумма]]*Таблица1[[#This Row],[коэф]])),
IF((G310="5/16"),((база!$L$6*Таблица1[[#This Row],[сумма]]*Таблица1[[#This Row],[коэф]])),
IF((G310="4/16"),((база!$L$5*Таблица1[[#This Row],[сумма]]*Таблица1[[#This Row],[коэф]])),
IF((G310="3/16"),((база!$L$4*Таблица1[[#This Row],[сумма]]*Таблица1[[#This Row],[коэф]])),
IF((G310="4/4"),((база!$I$5*Таблица1[[#This Row],[сумма]]*Таблица1[[#This Row],[коэф]])),
IF(OR(G310="2/4",G310="3/4"),((база!$I$4*Таблица1[[#This Row],[сумма]]*Таблица1[[#This Row],[коэф]])),
IF((G310="5/8"),((база!$J$6*Таблица1[[#This Row],[сумма]]*Таблица1[[#This Row],[коэф]])),
IF((G310="4/8"),((база!$J$5*Таблица1[[#This Row],[сумма]]*Таблица1[[#This Row],[коэф]])),
IF(OR(G310="3/8",G310="2/8"),((база!$J$4*Таблица1[[#This Row],[сумма]]*Таблица1[[#This Row],[коэф]])))))))))))))),
(IF((G310="5/24"),((база!$M$6*Таблица1[[#This Row],[сумма]]*Таблица1[[#This Row],[коэф]])),
IF(OR(G310="4/24",G310="3/24"),((база!$M$5*Таблица1[[#This Row],[сумма]]*Таблица1[[#This Row],[коэф]])),
IF((G310="5/16"),((база!$L$6*Таблица1[[#This Row],[сумма]]*Таблица1[[#This Row],[коэф]])),
IF(OR(G310="4/16",G310="3/16"),((база!$L$5*Таблица1[[#This Row],[сумма]]*Таблица1[[#This Row],[коэф]])),
IF(OR(G310="2/4",G310="3/4",G310="4/4"),((база!$I$5*Таблица1[[#This Row],[сумма]]*Таблица1[[#This Row],[коэф]])),
IF((G310="5/8"),((база!$J$6*Таблица1[[#This Row],[сумма]]*Таблица1[[#This Row],[коэф]])),
IF(OR(G310="4/8",G310="3/8",G310="2/8"),((база!$J$5*Таблица1[[#This Row],[сумма]]*Таблица1[[#This Row],[коэф]])))))))))))</f>
        <v>0</v>
      </c>
      <c r="AP310" s="730" t="b">
        <f>IF(AR310&lt;=3,(IF((G310="5/24"),((база!$M$6*2*Таблица1[[#This Row],[Столбец1]]*Таблица1[[#This Row],[коэф]])),
IF((G310="4/24"),((база!$M$5*2*Таблица1[[#This Row],[Столбец1]]*Таблица1[[#This Row],[коэф]])),
IF((G310="3/24"),((база!$M$4*2*Таблица1[[#This Row],[Столбец1]]*Таблица1[[#This Row],[коэф]])),
IF((G310="5/16"),((база!$L$6*2*Таблица1[[#This Row],[Столбец1]]*Таблица1[[#This Row],[коэф]])),
IF((G310="4/16"),((база!$L$5*2*Таблица1[[#This Row],[Столбец1]]*Таблица1[[#This Row],[коэф]])),
IF((G310="3/16"),((база!$L$4*2*Таблица1[[#This Row],[Столбец1]]*Таблица1[[#This Row],[коэф]])),
IF((G310="4/4"),((база!$I$5*2*Таблица1[[#This Row],[Столбец1]]*Таблица1[[#This Row],[коэф]])),
IF(OR(G310="2/4",G310="3/4"),((база!$I$4*2*Таблица1[[#This Row],[Столбец1]]*Таблица1[[#This Row],[коэф]])),
IF((G310="5/8"),((база!$J$6*2*Таблица1[[#This Row],[Столбец1]]*Таблица1[[#This Row],[коэф]])),
IF((G310="4/8"),((база!$J$5*2*Таблица1[[#This Row],[Столбец1]]*Таблица1[[#This Row],[коэф]])),
IF(OR(G310="3/8",G310="2/8"),((база!$J$4*2*Таблица1[[#This Row],[Столбец1]]*Таблица1[[#This Row],[коэф]])))))))))))))),
(IF((G310="5/24"),((база!$M$6*2*Таблица1[[#This Row],[Столбец1]]*Таблица1[[#This Row],[коэф]])),
IF(OR(G310="4/24",G310="3/24"),((база!$M$5*2*Таблица1[[#This Row],[Столбец1]]*Таблица1[[#This Row],[коэф]])),
IF((G310="5/16"),((база!$L$6*2*Таблица1[[#This Row],[Столбец1]]*Таблица1[[#This Row],[коэф]])),
IF(OR(G310="4/16",G310="3/16"),((база!$L$5*2*Таблица1[[#This Row],[Столбец1]]*Таблица1[[#This Row],[коэф]])),
IF(OR(G310="2/4",G310="3/4",G310="4/4"),((база!$I$5*2*Таблица1[[#This Row],[Столбец1]]*Таблица1[[#This Row],[коэф]])),
IF((G310="5/8"),((база!$J$6*2*Таблица1[[#This Row],[Столбец1]]*Таблица1[[#This Row],[коэф]])),
IF(OR(G310="4/8",G310="3/8",G310="2/8"),((база!$J$5*2*Таблица1[[#This Row],[Столбец1]]*Таблица1[[#This Row],[коэф]])))))))))))</f>
        <v>0</v>
      </c>
      <c r="AQ310" s="712" t="str">
        <f>IFERROR(INDEX(база!T:T, MATCH(F310,база!Q:Q,0)),"")</f>
        <v/>
      </c>
      <c r="AR310" s="208" t="str">
        <f>IFERROR(INDEX(база!D:D, MATCH(F310,база!B:B,0)),"")</f>
        <v/>
      </c>
      <c r="AS310" s="758" t="str">
        <f>IFERROR(INDEX(база!E:E, MATCH(F310,база!B:B,0)),"")</f>
        <v/>
      </c>
    </row>
    <row r="311" spans="1:45" ht="15">
      <c r="A311" s="66" t="str">
        <f t="shared" si="4"/>
        <v>январь</v>
      </c>
      <c r="B311" s="231">
        <v>2024</v>
      </c>
      <c r="C311" s="60"/>
      <c r="D311" s="61"/>
      <c r="E311" s="211"/>
      <c r="F311" s="680"/>
      <c r="G311" s="47"/>
      <c r="H311" s="563"/>
      <c r="I311" s="563"/>
      <c r="J311" s="563"/>
      <c r="K311" s="563"/>
      <c r="L311" s="563"/>
      <c r="M311" s="563"/>
      <c r="N311" s="563"/>
      <c r="O311" s="563"/>
      <c r="P311" s="300"/>
      <c r="Q311" s="563"/>
      <c r="R311" s="563"/>
      <c r="S311" s="563"/>
      <c r="T311" s="563"/>
      <c r="U311" s="563"/>
      <c r="V311" s="563"/>
      <c r="W311" s="563"/>
      <c r="X311" s="563"/>
      <c r="Y311" s="563"/>
      <c r="Z311" s="563"/>
      <c r="AA311" s="563"/>
      <c r="AB311" s="563"/>
      <c r="AC311" s="563"/>
      <c r="AD311" s="563"/>
      <c r="AE311" s="563"/>
      <c r="AF311" s="563"/>
      <c r="AG311" s="563"/>
      <c r="AH311" s="48"/>
      <c r="AI311" s="258"/>
      <c r="AJ311" s="258"/>
      <c r="AK311" s="258"/>
      <c r="AL311" s="258"/>
      <c r="AM311" s="212">
        <f>IF(AQ311=1,SUM(Q311:T311,W311:Z311,AC311:AF311,AI311:AL311),
IF(AQ311=2,SUM(P311,S311:V311,Y311:AB311,AE311:AH311,AK311:AL311),
IF(AQ311=3,SUM(P311:R311,U311:X311,AA311:AD311,AG311:AJ311),SUM(Таблица1[[#This Row],[1]:[31]])-Таблица1[[#This Row],[Столбец1]])))</f>
        <v>0</v>
      </c>
      <c r="AN311" s="778">
        <f t="array" ref="AN311">IF(AQ311=1,SUM(P311,U311:V311,AA311:AB311,AG311:AH311),
IF(AQ311=2,SUM(Q311:R311,W311:X311,AC311:AD311,AI311:AJ311),
IF(AQ311=3,SUM(S311:T311,Y311:Z311,AE311:AF311,AK311:AL311),
SUM(IFERROR(WEEKDAY($H$2:$AL$2,2)&gt;5,)*H311:AL311))))+Таблица1[[#This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11" s="292" t="b">
        <f>IF(AR311&lt;=3,(IF((G311="5/24"),((база!$M$6*Таблица1[[#This Row],[сумма]]*Таблица1[[#This Row],[коэф]])),
IF((G311="4/24"),((база!$M$5*Таблица1[[#This Row],[сумма]]*Таблица1[[#This Row],[коэф]])),
IF((G311="3/24"),((база!$M$4*Таблица1[[#This Row],[сумма]]*Таблица1[[#This Row],[коэф]])),
IF((G311="5/16"),((база!$L$6*Таблица1[[#This Row],[сумма]]*Таблица1[[#This Row],[коэф]])),
IF((G311="4/16"),((база!$L$5*Таблица1[[#This Row],[сумма]]*Таблица1[[#This Row],[коэф]])),
IF((G311="3/16"),((база!$L$4*Таблица1[[#This Row],[сумма]]*Таблица1[[#This Row],[коэф]])),
IF((G311="4/4"),((база!$I$5*Таблица1[[#This Row],[сумма]]*Таблица1[[#This Row],[коэф]])),
IF(OR(G311="2/4",G311="3/4"),((база!$I$4*Таблица1[[#This Row],[сумма]]*Таблица1[[#This Row],[коэф]])),
IF((G311="5/8"),((база!$J$6*Таблица1[[#This Row],[сумма]]*Таблица1[[#This Row],[коэф]])),
IF((G311="4/8"),((база!$J$5*Таблица1[[#This Row],[сумма]]*Таблица1[[#This Row],[коэф]])),
IF(OR(G311="3/8",G311="2/8"),((база!$J$4*Таблица1[[#This Row],[сумма]]*Таблица1[[#This Row],[коэф]])))))))))))))),
(IF((G311="5/24"),((база!$M$6*Таблица1[[#This Row],[сумма]]*Таблица1[[#This Row],[коэф]])),
IF(OR(G311="4/24",G311="3/24"),((база!$M$5*Таблица1[[#This Row],[сумма]]*Таблица1[[#This Row],[коэф]])),
IF((G311="5/16"),((база!$L$6*Таблица1[[#This Row],[сумма]]*Таблица1[[#This Row],[коэф]])),
IF(OR(G311="4/16",G311="3/16"),((база!$L$5*Таблица1[[#This Row],[сумма]]*Таблица1[[#This Row],[коэф]])),
IF(OR(G311="2/4",G311="3/4",G311="4/4"),((база!$I$5*Таблица1[[#This Row],[сумма]]*Таблица1[[#This Row],[коэф]])),
IF((G311="5/8"),((база!$J$6*Таблица1[[#This Row],[сумма]]*Таблица1[[#This Row],[коэф]])),
IF(OR(G311="4/8",G311="3/8",G311="2/8"),((база!$J$5*Таблица1[[#This Row],[сумма]]*Таблица1[[#This Row],[коэф]])))))))))))</f>
        <v>0</v>
      </c>
      <c r="AP311" s="730" t="b">
        <f>IF(AR311&lt;=3,(IF((G311="5/24"),((база!$M$6*2*Таблица1[[#This Row],[Столбец1]]*Таблица1[[#This Row],[коэф]])),
IF((G311="4/24"),((база!$M$5*2*Таблица1[[#This Row],[Столбец1]]*Таблица1[[#This Row],[коэф]])),
IF((G311="3/24"),((база!$M$4*2*Таблица1[[#This Row],[Столбец1]]*Таблица1[[#This Row],[коэф]])),
IF((G311="5/16"),((база!$L$6*2*Таблица1[[#This Row],[Столбец1]]*Таблица1[[#This Row],[коэф]])),
IF((G311="4/16"),((база!$L$5*2*Таблица1[[#This Row],[Столбец1]]*Таблица1[[#This Row],[коэф]])),
IF((G311="3/16"),((база!$L$4*2*Таблица1[[#This Row],[Столбец1]]*Таблица1[[#This Row],[коэф]])),
IF((G311="4/4"),((база!$I$5*2*Таблица1[[#This Row],[Столбец1]]*Таблица1[[#This Row],[коэф]])),
IF(OR(G311="2/4",G311="3/4"),((база!$I$4*2*Таблица1[[#This Row],[Столбец1]]*Таблица1[[#This Row],[коэф]])),
IF((G311="5/8"),((база!$J$6*2*Таблица1[[#This Row],[Столбец1]]*Таблица1[[#This Row],[коэф]])),
IF((G311="4/8"),((база!$J$5*2*Таблица1[[#This Row],[Столбец1]]*Таблица1[[#This Row],[коэф]])),
IF(OR(G311="3/8",G311="2/8"),((база!$J$4*2*Таблица1[[#This Row],[Столбец1]]*Таблица1[[#This Row],[коэф]])))))))))))))),
(IF((G311="5/24"),((база!$M$6*2*Таблица1[[#This Row],[Столбец1]]*Таблица1[[#This Row],[коэф]])),
IF(OR(G311="4/24",G311="3/24"),((база!$M$5*2*Таблица1[[#This Row],[Столбец1]]*Таблица1[[#This Row],[коэф]])),
IF((G311="5/16"),((база!$L$6*2*Таблица1[[#This Row],[Столбец1]]*Таблица1[[#This Row],[коэф]])),
IF(OR(G311="4/16",G311="3/16"),((база!$L$5*2*Таблица1[[#This Row],[Столбец1]]*Таблица1[[#This Row],[коэф]])),
IF(OR(G311="2/4",G311="3/4",G311="4/4"),((база!$I$5*2*Таблица1[[#This Row],[Столбец1]]*Таблица1[[#This Row],[коэф]])),
IF((G311="5/8"),((база!$J$6*2*Таблица1[[#This Row],[Столбец1]]*Таблица1[[#This Row],[коэф]])),
IF(OR(G311="4/8",G311="3/8",G311="2/8"),((база!$J$5*2*Таблица1[[#This Row],[Столбец1]]*Таблица1[[#This Row],[коэф]])))))))))))</f>
        <v>0</v>
      </c>
      <c r="AQ311" s="712" t="str">
        <f>IFERROR(INDEX(база!T:T, MATCH(F311,база!Q:Q,0)),"")</f>
        <v/>
      </c>
      <c r="AR311" s="208" t="str">
        <f>IFERROR(INDEX(база!D:D, MATCH(F311,база!B:B,0)),"")</f>
        <v/>
      </c>
      <c r="AS311" s="758" t="str">
        <f>IFERROR(INDEX(база!E:E, MATCH(F311,база!B:B,0)),"")</f>
        <v/>
      </c>
    </row>
    <row r="312" spans="1:45" ht="15">
      <c r="A312" s="66" t="str">
        <f t="shared" si="4"/>
        <v>январь</v>
      </c>
      <c r="B312" s="231">
        <v>2024</v>
      </c>
      <c r="C312" s="60"/>
      <c r="D312" s="61"/>
      <c r="E312" s="211"/>
      <c r="F312" s="680"/>
      <c r="G312" s="47"/>
      <c r="H312" s="563"/>
      <c r="I312" s="563"/>
      <c r="J312" s="563"/>
      <c r="K312" s="563"/>
      <c r="L312" s="563"/>
      <c r="M312" s="563"/>
      <c r="N312" s="563"/>
      <c r="O312" s="563"/>
      <c r="P312" s="300"/>
      <c r="Q312" s="563"/>
      <c r="R312" s="563"/>
      <c r="S312" s="563"/>
      <c r="T312" s="563"/>
      <c r="U312" s="563"/>
      <c r="V312" s="563"/>
      <c r="W312" s="563"/>
      <c r="X312" s="563"/>
      <c r="Y312" s="563"/>
      <c r="Z312" s="563"/>
      <c r="AA312" s="563"/>
      <c r="AB312" s="563"/>
      <c r="AC312" s="563"/>
      <c r="AD312" s="48"/>
      <c r="AE312" s="48"/>
      <c r="AF312" s="258"/>
      <c r="AG312" s="48"/>
      <c r="AH312" s="48"/>
      <c r="AI312" s="48"/>
      <c r="AJ312" s="48"/>
      <c r="AK312" s="48"/>
      <c r="AL312" s="48"/>
      <c r="AM312" s="212">
        <f>IF(AQ312=1,SUM(Q312:T312,W312:Z312,AC312:AF312,AI312:AL312),
IF(AQ312=2,SUM(P312,S312:V312,Y312:AB312,AE312:AH312,AK312:AL312),
IF(AQ312=3,SUM(P312:R312,U312:X312,AA312:AD312,AG312:AJ312),SUM(Таблица1[[#This Row],[1]:[31]])-Таблица1[[#This Row],[Столбец1]])))</f>
        <v>0</v>
      </c>
      <c r="AN312" s="778">
        <f t="array" ref="AN312">IF(AQ312=1,SUM(P312,U312:V312,AA312:AB312,AG312:AH312),
IF(AQ312=2,SUM(Q312:R312,W312:X312,AC312:AD312,AI312:AJ312),
IF(AQ312=3,SUM(S312:T312,Y312:Z312,AE312:AF312,AK312:AL312),
SUM(IFERROR(WEEKDAY($H$2:$AL$2,2)&gt;5,)*H312:AL312))))+Таблица1[[#This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12" s="292" t="b">
        <f>IF(AR312&lt;=3,(IF((G312="5/24"),((база!$M$6*Таблица1[[#This Row],[сумма]]*Таблица1[[#This Row],[коэф]])),
IF((G312="4/24"),((база!$M$5*Таблица1[[#This Row],[сумма]]*Таблица1[[#This Row],[коэф]])),
IF((G312="3/24"),((база!$M$4*Таблица1[[#This Row],[сумма]]*Таблица1[[#This Row],[коэф]])),
IF((G312="5/16"),((база!$L$6*Таблица1[[#This Row],[сумма]]*Таблица1[[#This Row],[коэф]])),
IF((G312="4/16"),((база!$L$5*Таблица1[[#This Row],[сумма]]*Таблица1[[#This Row],[коэф]])),
IF((G312="3/16"),((база!$L$4*Таблица1[[#This Row],[сумма]]*Таблица1[[#This Row],[коэф]])),
IF((G312="4/4"),((база!$I$5*Таблица1[[#This Row],[сумма]]*Таблица1[[#This Row],[коэф]])),
IF(OR(G312="2/4",G312="3/4"),((база!$I$4*Таблица1[[#This Row],[сумма]]*Таблица1[[#This Row],[коэф]])),
IF((G312="5/8"),((база!$J$6*Таблица1[[#This Row],[сумма]]*Таблица1[[#This Row],[коэф]])),
IF((G312="4/8"),((база!$J$5*Таблица1[[#This Row],[сумма]]*Таблица1[[#This Row],[коэф]])),
IF(OR(G312="3/8",G312="2/8"),((база!$J$4*Таблица1[[#This Row],[сумма]]*Таблица1[[#This Row],[коэф]])))))))))))))),
(IF((G312="5/24"),((база!$M$6*Таблица1[[#This Row],[сумма]]*Таблица1[[#This Row],[коэф]])),
IF(OR(G312="4/24",G312="3/24"),((база!$M$5*Таблица1[[#This Row],[сумма]]*Таблица1[[#This Row],[коэф]])),
IF((G312="5/16"),((база!$L$6*Таблица1[[#This Row],[сумма]]*Таблица1[[#This Row],[коэф]])),
IF(OR(G312="4/16",G312="3/16"),((база!$L$5*Таблица1[[#This Row],[сумма]]*Таблица1[[#This Row],[коэф]])),
IF(OR(G312="2/4",G312="3/4",G312="4/4"),((база!$I$5*Таблица1[[#This Row],[сумма]]*Таблица1[[#This Row],[коэф]])),
IF((G312="5/8"),((база!$J$6*Таблица1[[#This Row],[сумма]]*Таблица1[[#This Row],[коэф]])),
IF(OR(G312="4/8",G312="3/8",G312="2/8"),((база!$J$5*Таблица1[[#This Row],[сумма]]*Таблица1[[#This Row],[коэф]])))))))))))</f>
        <v>0</v>
      </c>
      <c r="AP312" s="730" t="b">
        <f>IF(AR312&lt;=3,(IF((G312="5/24"),((база!$M$6*2*Таблица1[[#This Row],[Столбец1]]*Таблица1[[#This Row],[коэф]])),
IF((G312="4/24"),((база!$M$5*2*Таблица1[[#This Row],[Столбец1]]*Таблица1[[#This Row],[коэф]])),
IF((G312="3/24"),((база!$M$4*2*Таблица1[[#This Row],[Столбец1]]*Таблица1[[#This Row],[коэф]])),
IF((G312="5/16"),((база!$L$6*2*Таблица1[[#This Row],[Столбец1]]*Таблица1[[#This Row],[коэф]])),
IF((G312="4/16"),((база!$L$5*2*Таблица1[[#This Row],[Столбец1]]*Таблица1[[#This Row],[коэф]])),
IF((G312="3/16"),((база!$L$4*2*Таблица1[[#This Row],[Столбец1]]*Таблица1[[#This Row],[коэф]])),
IF((G312="4/4"),((база!$I$5*2*Таблица1[[#This Row],[Столбец1]]*Таблица1[[#This Row],[коэф]])),
IF(OR(G312="2/4",G312="3/4"),((база!$I$4*2*Таблица1[[#This Row],[Столбец1]]*Таблица1[[#This Row],[коэф]])),
IF((G312="5/8"),((база!$J$6*2*Таблица1[[#This Row],[Столбец1]]*Таблица1[[#This Row],[коэф]])),
IF((G312="4/8"),((база!$J$5*2*Таблица1[[#This Row],[Столбец1]]*Таблица1[[#This Row],[коэф]])),
IF(OR(G312="3/8",G312="2/8"),((база!$J$4*2*Таблица1[[#This Row],[Столбец1]]*Таблица1[[#This Row],[коэф]])))))))))))))),
(IF((G312="5/24"),((база!$M$6*2*Таблица1[[#This Row],[Столбец1]]*Таблица1[[#This Row],[коэф]])),
IF(OR(G312="4/24",G312="3/24"),((база!$M$5*2*Таблица1[[#This Row],[Столбец1]]*Таблица1[[#This Row],[коэф]])),
IF((G312="5/16"),((база!$L$6*2*Таблица1[[#This Row],[Столбец1]]*Таблица1[[#This Row],[коэф]])),
IF(OR(G312="4/16",G312="3/16"),((база!$L$5*2*Таблица1[[#This Row],[Столбец1]]*Таблица1[[#This Row],[коэф]])),
IF(OR(G312="2/4",G312="3/4",G312="4/4"),((база!$I$5*2*Таблица1[[#This Row],[Столбец1]]*Таблица1[[#This Row],[коэф]])),
IF((G312="5/8"),((база!$J$6*2*Таблица1[[#This Row],[Столбец1]]*Таблица1[[#This Row],[коэф]])),
IF(OR(G312="4/8",G312="3/8",G312="2/8"),((база!$J$5*2*Таблица1[[#This Row],[Столбец1]]*Таблица1[[#This Row],[коэф]])))))))))))</f>
        <v>0</v>
      </c>
      <c r="AQ312" s="712" t="str">
        <f>IFERROR(INDEX(база!T:T, MATCH(F312,база!Q:Q,0)),"")</f>
        <v/>
      </c>
      <c r="AR312" s="208" t="str">
        <f>IFERROR(INDEX(база!D:D, MATCH(F312,база!B:B,0)),"")</f>
        <v/>
      </c>
      <c r="AS312" s="758" t="str">
        <f>IFERROR(INDEX(база!E:E, MATCH(F312,база!B:B,0)),"")</f>
        <v/>
      </c>
    </row>
    <row r="313" spans="1:45" ht="15">
      <c r="A313" s="66" t="str">
        <f t="shared" si="4"/>
        <v>январь</v>
      </c>
      <c r="B313" s="231">
        <v>2024</v>
      </c>
      <c r="C313" s="299"/>
      <c r="D313" s="61"/>
      <c r="E313" s="211"/>
      <c r="F313" s="680"/>
      <c r="G313" s="47"/>
      <c r="H313" s="563"/>
      <c r="I313" s="563"/>
      <c r="J313" s="563"/>
      <c r="K313" s="563"/>
      <c r="L313" s="563"/>
      <c r="M313" s="563"/>
      <c r="N313" s="563"/>
      <c r="O313" s="563"/>
      <c r="P313" s="300"/>
      <c r="Q313" s="563"/>
      <c r="R313" s="563"/>
      <c r="S313" s="563"/>
      <c r="T313" s="563"/>
      <c r="U313" s="563"/>
      <c r="V313" s="563"/>
      <c r="W313" s="563"/>
      <c r="X313" s="563"/>
      <c r="Y313" s="563"/>
      <c r="Z313" s="563"/>
      <c r="AA313" s="563"/>
      <c r="AB313" s="563"/>
      <c r="AC313" s="563"/>
      <c r="AD313" s="48"/>
      <c r="AE313" s="48"/>
      <c r="AF313" s="258"/>
      <c r="AG313" s="258"/>
      <c r="AH313" s="258"/>
      <c r="AI313" s="258"/>
      <c r="AJ313" s="258"/>
      <c r="AK313" s="258"/>
      <c r="AL313" s="258"/>
      <c r="AM313" s="212">
        <f>IF(AQ313=1,SUM(Q313:T313,W313:Z313,AC313:AF313,AI313:AL313),
IF(AQ313=2,SUM(P313,S313:V313,Y313:AB313,AE313:AH313,AK313:AL313),
IF(AQ313=3,SUM(P313:R313,U313:X313,AA313:AD313,AG313:AJ313),SUM(Таблица1[[#This Row],[1]:[31]])-Таблица1[[#This Row],[Столбец1]])))</f>
        <v>0</v>
      </c>
      <c r="AN313" s="778">
        <f t="array" ref="AN313">IF(AQ313=1,SUM(P313,U313:V313,AA313:AB313,AG313:AH313),
IF(AQ313=2,SUM(Q313:R313,W313:X313,AC313:AD313,AI313:AJ313),
IF(AQ313=3,SUM(S313:T313,Y313:Z313,AE313:AF313,AK313:AL313),
SUM(IFERROR(WEEKDAY($H$2:$AL$2,2)&gt;5,)*H313:AL313))))+Таблица1[[#This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13" s="292" t="b">
        <f>IF(AR313&lt;=3,(IF((G313="5/24"),((база!$M$6*Таблица1[[#This Row],[сумма]]*Таблица1[[#This Row],[коэф]])),
IF((G313="4/24"),((база!$M$5*Таблица1[[#This Row],[сумма]]*Таблица1[[#This Row],[коэф]])),
IF((G313="3/24"),((база!$M$4*Таблица1[[#This Row],[сумма]]*Таблица1[[#This Row],[коэф]])),
IF((G313="5/16"),((база!$L$6*Таблица1[[#This Row],[сумма]]*Таблица1[[#This Row],[коэф]])),
IF((G313="4/16"),((база!$L$5*Таблица1[[#This Row],[сумма]]*Таблица1[[#This Row],[коэф]])),
IF((G313="3/16"),((база!$L$4*Таблица1[[#This Row],[сумма]]*Таблица1[[#This Row],[коэф]])),
IF((G313="4/4"),((база!$I$5*Таблица1[[#This Row],[сумма]]*Таблица1[[#This Row],[коэф]])),
IF(OR(G313="2/4",G313="3/4"),((база!$I$4*Таблица1[[#This Row],[сумма]]*Таблица1[[#This Row],[коэф]])),
IF((G313="5/8"),((база!$J$6*Таблица1[[#This Row],[сумма]]*Таблица1[[#This Row],[коэф]])),
IF((G313="4/8"),((база!$J$5*Таблица1[[#This Row],[сумма]]*Таблица1[[#This Row],[коэф]])),
IF(OR(G313="3/8",G313="2/8"),((база!$J$4*Таблица1[[#This Row],[сумма]]*Таблица1[[#This Row],[коэф]])))))))))))))),
(IF((G313="5/24"),((база!$M$6*Таблица1[[#This Row],[сумма]]*Таблица1[[#This Row],[коэф]])),
IF(OR(G313="4/24",G313="3/24"),((база!$M$5*Таблица1[[#This Row],[сумма]]*Таблица1[[#This Row],[коэф]])),
IF((G313="5/16"),((база!$L$6*Таблица1[[#This Row],[сумма]]*Таблица1[[#This Row],[коэф]])),
IF(OR(G313="4/16",G313="3/16"),((база!$L$5*Таблица1[[#This Row],[сумма]]*Таблица1[[#This Row],[коэф]])),
IF(OR(G313="2/4",G313="3/4",G313="4/4"),((база!$I$5*Таблица1[[#This Row],[сумма]]*Таблица1[[#This Row],[коэф]])),
IF((G313="5/8"),((база!$J$6*Таблица1[[#This Row],[сумма]]*Таблица1[[#This Row],[коэф]])),
IF(OR(G313="4/8",G313="3/8",G313="2/8"),((база!$J$5*Таблица1[[#This Row],[сумма]]*Таблица1[[#This Row],[коэф]])))))))))))</f>
        <v>0</v>
      </c>
      <c r="AP313" s="730" t="b">
        <f>IF(AR313&lt;=3,(IF((G313="5/24"),((база!$M$6*2*Таблица1[[#This Row],[Столбец1]]*Таблица1[[#This Row],[коэф]])),
IF((G313="4/24"),((база!$M$5*2*Таблица1[[#This Row],[Столбец1]]*Таблица1[[#This Row],[коэф]])),
IF((G313="3/24"),((база!$M$4*2*Таблица1[[#This Row],[Столбец1]]*Таблица1[[#This Row],[коэф]])),
IF((G313="5/16"),((база!$L$6*2*Таблица1[[#This Row],[Столбец1]]*Таблица1[[#This Row],[коэф]])),
IF((G313="4/16"),((база!$L$5*2*Таблица1[[#This Row],[Столбец1]]*Таблица1[[#This Row],[коэф]])),
IF((G313="3/16"),((база!$L$4*2*Таблица1[[#This Row],[Столбец1]]*Таблица1[[#This Row],[коэф]])),
IF((G313="4/4"),((база!$I$5*2*Таблица1[[#This Row],[Столбец1]]*Таблица1[[#This Row],[коэф]])),
IF(OR(G313="2/4",G313="3/4"),((база!$I$4*2*Таблица1[[#This Row],[Столбец1]]*Таблица1[[#This Row],[коэф]])),
IF((G313="5/8"),((база!$J$6*2*Таблица1[[#This Row],[Столбец1]]*Таблица1[[#This Row],[коэф]])),
IF((G313="4/8"),((база!$J$5*2*Таблица1[[#This Row],[Столбец1]]*Таблица1[[#This Row],[коэф]])),
IF(OR(G313="3/8",G313="2/8"),((база!$J$4*2*Таблица1[[#This Row],[Столбец1]]*Таблица1[[#This Row],[коэф]])))))))))))))),
(IF((G313="5/24"),((база!$M$6*2*Таблица1[[#This Row],[Столбец1]]*Таблица1[[#This Row],[коэф]])),
IF(OR(G313="4/24",G313="3/24"),((база!$M$5*2*Таблица1[[#This Row],[Столбец1]]*Таблица1[[#This Row],[коэф]])),
IF((G313="5/16"),((база!$L$6*2*Таблица1[[#This Row],[Столбец1]]*Таблица1[[#This Row],[коэф]])),
IF(OR(G313="4/16",G313="3/16"),((база!$L$5*2*Таблица1[[#This Row],[Столбец1]]*Таблица1[[#This Row],[коэф]])),
IF(OR(G313="2/4",G313="3/4",G313="4/4"),((база!$I$5*2*Таблица1[[#This Row],[Столбец1]]*Таблица1[[#This Row],[коэф]])),
IF((G313="5/8"),((база!$J$6*2*Таблица1[[#This Row],[Столбец1]]*Таблица1[[#This Row],[коэф]])),
IF(OR(G313="4/8",G313="3/8",G313="2/8"),((база!$J$5*2*Таблица1[[#This Row],[Столбец1]]*Таблица1[[#This Row],[коэф]])))))))))))</f>
        <v>0</v>
      </c>
      <c r="AQ313" s="712" t="str">
        <f>IFERROR(INDEX(база!T:T, MATCH(F313,база!Q:Q,0)),"")</f>
        <v/>
      </c>
      <c r="AR313" s="208" t="str">
        <f>IFERROR(INDEX(база!D:D, MATCH(F313,база!B:B,0)),"")</f>
        <v/>
      </c>
      <c r="AS313" s="758" t="str">
        <f>IFERROR(INDEX(база!E:E, MATCH(F313,база!B:B,0)),"")</f>
        <v/>
      </c>
    </row>
    <row r="314" spans="1:45" ht="15">
      <c r="A314" s="66" t="str">
        <f t="shared" si="4"/>
        <v>январь</v>
      </c>
      <c r="B314" s="231">
        <v>2024</v>
      </c>
      <c r="C314" s="299"/>
      <c r="D314" s="61"/>
      <c r="E314" s="211"/>
      <c r="F314" s="680"/>
      <c r="G314" s="47"/>
      <c r="H314" s="563"/>
      <c r="I314" s="563"/>
      <c r="J314" s="563"/>
      <c r="K314" s="563"/>
      <c r="L314" s="563"/>
      <c r="M314" s="563"/>
      <c r="N314" s="563"/>
      <c r="O314" s="563"/>
      <c r="P314" s="300"/>
      <c r="Q314" s="563"/>
      <c r="R314" s="563"/>
      <c r="S314" s="563"/>
      <c r="T314" s="563"/>
      <c r="U314" s="563"/>
      <c r="V314" s="563"/>
      <c r="W314" s="563"/>
      <c r="X314" s="563"/>
      <c r="Y314" s="563"/>
      <c r="Z314" s="563"/>
      <c r="AA314" s="563"/>
      <c r="AB314" s="563"/>
      <c r="AC314" s="563"/>
      <c r="AD314" s="48"/>
      <c r="AE314" s="48"/>
      <c r="AF314" s="258"/>
      <c r="AG314" s="48"/>
      <c r="AH314" s="48"/>
      <c r="AI314" s="48"/>
      <c r="AJ314" s="48"/>
      <c r="AK314" s="48"/>
      <c r="AL314" s="51"/>
      <c r="AM314" s="212">
        <f>IF(AQ314=1,SUM(Q314:T314,W314:Z314,AC314:AF314,AI314:AL314),
IF(AQ314=2,SUM(P314,S314:V314,Y314:AB314,AE314:AH314,AK314:AL314),
IF(AQ314=3,SUM(P314:R314,U314:X314,AA314:AD314,AG314:AJ314),SUM(Таблица1[[#This Row],[1]:[31]])-Таблица1[[#This Row],[Столбец1]])))</f>
        <v>0</v>
      </c>
      <c r="AN314" s="778">
        <f t="array" ref="AN314">IF(AQ314=1,SUM(P314,U314:V314,AA314:AB314,AG314:AH314),
IF(AQ314=2,SUM(Q314:R314,W314:X314,AC314:AD314,AI314:AJ314),
IF(AQ314=3,SUM(S314:T314,Y314:Z314,AE314:AF314,AK314:AL314),
SUM(IFERROR(WEEKDAY($H$2:$AL$2,2)&gt;5,)*H314:AL314))))+Таблица1[[#This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14" s="292" t="b">
        <f>IF(AR314&lt;=3,(IF((G314="5/24"),((база!$M$6*Таблица1[[#This Row],[сумма]]*Таблица1[[#This Row],[коэф]])),
IF((G314="4/24"),((база!$M$5*Таблица1[[#This Row],[сумма]]*Таблица1[[#This Row],[коэф]])),
IF((G314="3/24"),((база!$M$4*Таблица1[[#This Row],[сумма]]*Таблица1[[#This Row],[коэф]])),
IF((G314="5/16"),((база!$L$6*Таблица1[[#This Row],[сумма]]*Таблица1[[#This Row],[коэф]])),
IF((G314="4/16"),((база!$L$5*Таблица1[[#This Row],[сумма]]*Таблица1[[#This Row],[коэф]])),
IF((G314="3/16"),((база!$L$4*Таблица1[[#This Row],[сумма]]*Таблица1[[#This Row],[коэф]])),
IF((G314="4/4"),((база!$I$5*Таблица1[[#This Row],[сумма]]*Таблица1[[#This Row],[коэф]])),
IF(OR(G314="2/4",G314="3/4"),((база!$I$4*Таблица1[[#This Row],[сумма]]*Таблица1[[#This Row],[коэф]])),
IF((G314="5/8"),((база!$J$6*Таблица1[[#This Row],[сумма]]*Таблица1[[#This Row],[коэф]])),
IF((G314="4/8"),((база!$J$5*Таблица1[[#This Row],[сумма]]*Таблица1[[#This Row],[коэф]])),
IF(OR(G314="3/8",G314="2/8"),((база!$J$4*Таблица1[[#This Row],[сумма]]*Таблица1[[#This Row],[коэф]])))))))))))))),
(IF((G314="5/24"),((база!$M$6*Таблица1[[#This Row],[сумма]]*Таблица1[[#This Row],[коэф]])),
IF(OR(G314="4/24",G314="3/24"),((база!$M$5*Таблица1[[#This Row],[сумма]]*Таблица1[[#This Row],[коэф]])),
IF((G314="5/16"),((база!$L$6*Таблица1[[#This Row],[сумма]]*Таблица1[[#This Row],[коэф]])),
IF(OR(G314="4/16",G314="3/16"),((база!$L$5*Таблица1[[#This Row],[сумма]]*Таблица1[[#This Row],[коэф]])),
IF(OR(G314="2/4",G314="3/4",G314="4/4"),((база!$I$5*Таблица1[[#This Row],[сумма]]*Таблица1[[#This Row],[коэф]])),
IF((G314="5/8"),((база!$J$6*Таблица1[[#This Row],[сумма]]*Таблица1[[#This Row],[коэф]])),
IF(OR(G314="4/8",G314="3/8",G314="2/8"),((база!$J$5*Таблица1[[#This Row],[сумма]]*Таблица1[[#This Row],[коэф]])))))))))))</f>
        <v>0</v>
      </c>
      <c r="AP314" s="730" t="b">
        <f>IF(AR314&lt;=3,(IF((G314="5/24"),((база!$M$6*2*Таблица1[[#This Row],[Столбец1]]*Таблица1[[#This Row],[коэф]])),
IF((G314="4/24"),((база!$M$5*2*Таблица1[[#This Row],[Столбец1]]*Таблица1[[#This Row],[коэф]])),
IF((G314="3/24"),((база!$M$4*2*Таблица1[[#This Row],[Столбец1]]*Таблица1[[#This Row],[коэф]])),
IF((G314="5/16"),((база!$L$6*2*Таблица1[[#This Row],[Столбец1]]*Таблица1[[#This Row],[коэф]])),
IF((G314="4/16"),((база!$L$5*2*Таблица1[[#This Row],[Столбец1]]*Таблица1[[#This Row],[коэф]])),
IF((G314="3/16"),((база!$L$4*2*Таблица1[[#This Row],[Столбец1]]*Таблица1[[#This Row],[коэф]])),
IF((G314="4/4"),((база!$I$5*2*Таблица1[[#This Row],[Столбец1]]*Таблица1[[#This Row],[коэф]])),
IF(OR(G314="2/4",G314="3/4"),((база!$I$4*2*Таблица1[[#This Row],[Столбец1]]*Таблица1[[#This Row],[коэф]])),
IF((G314="5/8"),((база!$J$6*2*Таблица1[[#This Row],[Столбец1]]*Таблица1[[#This Row],[коэф]])),
IF((G314="4/8"),((база!$J$5*2*Таблица1[[#This Row],[Столбец1]]*Таблица1[[#This Row],[коэф]])),
IF(OR(G314="3/8",G314="2/8"),((база!$J$4*2*Таблица1[[#This Row],[Столбец1]]*Таблица1[[#This Row],[коэф]])))))))))))))),
(IF((G314="5/24"),((база!$M$6*2*Таблица1[[#This Row],[Столбец1]]*Таблица1[[#This Row],[коэф]])),
IF(OR(G314="4/24",G314="3/24"),((база!$M$5*2*Таблица1[[#This Row],[Столбец1]]*Таблица1[[#This Row],[коэф]])),
IF((G314="5/16"),((база!$L$6*2*Таблица1[[#This Row],[Столбец1]]*Таблица1[[#This Row],[коэф]])),
IF(OR(G314="4/16",G314="3/16"),((база!$L$5*2*Таблица1[[#This Row],[Столбец1]]*Таблица1[[#This Row],[коэф]])),
IF(OR(G314="2/4",G314="3/4",G314="4/4"),((база!$I$5*2*Таблица1[[#This Row],[Столбец1]]*Таблица1[[#This Row],[коэф]])),
IF((G314="5/8"),((база!$J$6*2*Таблица1[[#This Row],[Столбец1]]*Таблица1[[#This Row],[коэф]])),
IF(OR(G314="4/8",G314="3/8",G314="2/8"),((база!$J$5*2*Таблица1[[#This Row],[Столбец1]]*Таблица1[[#This Row],[коэф]])))))))))))</f>
        <v>0</v>
      </c>
      <c r="AQ314" s="712" t="str">
        <f>IFERROR(INDEX(база!T:T, MATCH(F314,база!Q:Q,0)),"")</f>
        <v/>
      </c>
      <c r="AR314" s="208" t="str">
        <f>IFERROR(INDEX(база!D:D, MATCH(F314,база!B:B,0)),"")</f>
        <v/>
      </c>
      <c r="AS314" s="758" t="str">
        <f>IFERROR(INDEX(база!E:E, MATCH(F314,база!B:B,0)),"")</f>
        <v/>
      </c>
    </row>
    <row r="315" spans="1:45" ht="15">
      <c r="A315" s="66" t="str">
        <f t="shared" si="4"/>
        <v>январь</v>
      </c>
      <c r="B315" s="231">
        <v>2024</v>
      </c>
      <c r="C315" s="299"/>
      <c r="D315" s="61"/>
      <c r="E315" s="211"/>
      <c r="F315" s="680"/>
      <c r="G315" s="47"/>
      <c r="H315" s="563"/>
      <c r="I315" s="563"/>
      <c r="J315" s="563"/>
      <c r="K315" s="563"/>
      <c r="L315" s="563"/>
      <c r="M315" s="563"/>
      <c r="N315" s="563"/>
      <c r="O315" s="563"/>
      <c r="P315" s="300"/>
      <c r="Q315" s="563"/>
      <c r="R315" s="563"/>
      <c r="S315" s="563"/>
      <c r="T315" s="563"/>
      <c r="U315" s="563"/>
      <c r="V315" s="563"/>
      <c r="W315" s="563"/>
      <c r="X315" s="563"/>
      <c r="Y315" s="563"/>
      <c r="Z315" s="563"/>
      <c r="AA315" s="563"/>
      <c r="AB315" s="563"/>
      <c r="AC315" s="563"/>
      <c r="AD315" s="48"/>
      <c r="AE315" s="48"/>
      <c r="AF315" s="258"/>
      <c r="AG315" s="48"/>
      <c r="AH315" s="48"/>
      <c r="AI315" s="258"/>
      <c r="AJ315" s="258"/>
      <c r="AK315" s="258"/>
      <c r="AL315" s="258"/>
      <c r="AM315" s="212">
        <f>IF(AQ315=1,SUM(Q315:T315,W315:Z315,AC315:AF315,AI315:AL315),
IF(AQ315=2,SUM(P315,S315:V315,Y315:AB315,AE315:AH315,AK315:AL315),
IF(AQ315=3,SUM(P315:R315,U315:X315,AA315:AD315,AG315:AJ315),SUM(Таблица1[[#This Row],[1]:[31]])-Таблица1[[#This Row],[Столбец1]])))</f>
        <v>0</v>
      </c>
      <c r="AN315" s="778">
        <f t="array" ref="AN315">IF(AQ315=1,SUM(P315,U315:V315,AA315:AB315,AG315:AH315),
IF(AQ315=2,SUM(Q315:R315,W315:X315,AC315:AD315,AI315:AJ315),
IF(AQ315=3,SUM(S315:T315,Y315:Z315,AE315:AF315,AK315:AL315),
SUM(IFERROR(WEEKDAY($H$2:$AL$2,2)&gt;5,)*H315:AL315))))+Таблица1[[#This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15" s="292" t="b">
        <f>IF(AR315&lt;=3,(IF((G315="5/24"),((база!$M$6*Таблица1[[#This Row],[сумма]]*Таблица1[[#This Row],[коэф]])),
IF((G315="4/24"),((база!$M$5*Таблица1[[#This Row],[сумма]]*Таблица1[[#This Row],[коэф]])),
IF((G315="3/24"),((база!$M$4*Таблица1[[#This Row],[сумма]]*Таблица1[[#This Row],[коэф]])),
IF((G315="5/16"),((база!$L$6*Таблица1[[#This Row],[сумма]]*Таблица1[[#This Row],[коэф]])),
IF((G315="4/16"),((база!$L$5*Таблица1[[#This Row],[сумма]]*Таблица1[[#This Row],[коэф]])),
IF((G315="3/16"),((база!$L$4*Таблица1[[#This Row],[сумма]]*Таблица1[[#This Row],[коэф]])),
IF((G315="4/4"),((база!$I$5*Таблица1[[#This Row],[сумма]]*Таблица1[[#This Row],[коэф]])),
IF(OR(G315="2/4",G315="3/4"),((база!$I$4*Таблица1[[#This Row],[сумма]]*Таблица1[[#This Row],[коэф]])),
IF((G315="5/8"),((база!$J$6*Таблица1[[#This Row],[сумма]]*Таблица1[[#This Row],[коэф]])),
IF((G315="4/8"),((база!$J$5*Таблица1[[#This Row],[сумма]]*Таблица1[[#This Row],[коэф]])),
IF(OR(G315="3/8",G315="2/8"),((база!$J$4*Таблица1[[#This Row],[сумма]]*Таблица1[[#This Row],[коэф]])))))))))))))),
(IF((G315="5/24"),((база!$M$6*Таблица1[[#This Row],[сумма]]*Таблица1[[#This Row],[коэф]])),
IF(OR(G315="4/24",G315="3/24"),((база!$M$5*Таблица1[[#This Row],[сумма]]*Таблица1[[#This Row],[коэф]])),
IF((G315="5/16"),((база!$L$6*Таблица1[[#This Row],[сумма]]*Таблица1[[#This Row],[коэф]])),
IF(OR(G315="4/16",G315="3/16"),((база!$L$5*Таблица1[[#This Row],[сумма]]*Таблица1[[#This Row],[коэф]])),
IF(OR(G315="2/4",G315="3/4",G315="4/4"),((база!$I$5*Таблица1[[#This Row],[сумма]]*Таблица1[[#This Row],[коэф]])),
IF((G315="5/8"),((база!$J$6*Таблица1[[#This Row],[сумма]]*Таблица1[[#This Row],[коэф]])),
IF(OR(G315="4/8",G315="3/8",G315="2/8"),((база!$J$5*Таблица1[[#This Row],[сумма]]*Таблица1[[#This Row],[коэф]])))))))))))</f>
        <v>0</v>
      </c>
      <c r="AP315" s="730" t="b">
        <f>IF(AR315&lt;=3,(IF((G315="5/24"),((база!$M$6*2*Таблица1[[#This Row],[Столбец1]]*Таблица1[[#This Row],[коэф]])),
IF((G315="4/24"),((база!$M$5*2*Таблица1[[#This Row],[Столбец1]]*Таблица1[[#This Row],[коэф]])),
IF((G315="3/24"),((база!$M$4*2*Таблица1[[#This Row],[Столбец1]]*Таблица1[[#This Row],[коэф]])),
IF((G315="5/16"),((база!$L$6*2*Таблица1[[#This Row],[Столбец1]]*Таблица1[[#This Row],[коэф]])),
IF((G315="4/16"),((база!$L$5*2*Таблица1[[#This Row],[Столбец1]]*Таблица1[[#This Row],[коэф]])),
IF((G315="3/16"),((база!$L$4*2*Таблица1[[#This Row],[Столбец1]]*Таблица1[[#This Row],[коэф]])),
IF((G315="4/4"),((база!$I$5*2*Таблица1[[#This Row],[Столбец1]]*Таблица1[[#This Row],[коэф]])),
IF(OR(G315="2/4",G315="3/4"),((база!$I$4*2*Таблица1[[#This Row],[Столбец1]]*Таблица1[[#This Row],[коэф]])),
IF((G315="5/8"),((база!$J$6*2*Таблица1[[#This Row],[Столбец1]]*Таблица1[[#This Row],[коэф]])),
IF((G315="4/8"),((база!$J$5*2*Таблица1[[#This Row],[Столбец1]]*Таблица1[[#This Row],[коэф]])),
IF(OR(G315="3/8",G315="2/8"),((база!$J$4*2*Таблица1[[#This Row],[Столбец1]]*Таблица1[[#This Row],[коэф]])))))))))))))),
(IF((G315="5/24"),((база!$M$6*2*Таблица1[[#This Row],[Столбец1]]*Таблица1[[#This Row],[коэф]])),
IF(OR(G315="4/24",G315="3/24"),((база!$M$5*2*Таблица1[[#This Row],[Столбец1]]*Таблица1[[#This Row],[коэф]])),
IF((G315="5/16"),((база!$L$6*2*Таблица1[[#This Row],[Столбец1]]*Таблица1[[#This Row],[коэф]])),
IF(OR(G315="4/16",G315="3/16"),((база!$L$5*2*Таблица1[[#This Row],[Столбец1]]*Таблица1[[#This Row],[коэф]])),
IF(OR(G315="2/4",G315="3/4",G315="4/4"),((база!$I$5*2*Таблица1[[#This Row],[Столбец1]]*Таблица1[[#This Row],[коэф]])),
IF((G315="5/8"),((база!$J$6*2*Таблица1[[#This Row],[Столбец1]]*Таблица1[[#This Row],[коэф]])),
IF(OR(G315="4/8",G315="3/8",G315="2/8"),((база!$J$5*2*Таблица1[[#This Row],[Столбец1]]*Таблица1[[#This Row],[коэф]])))))))))))</f>
        <v>0</v>
      </c>
      <c r="AQ315" s="712" t="str">
        <f>IFERROR(INDEX(база!T:T, MATCH(F315,база!Q:Q,0)),"")</f>
        <v/>
      </c>
      <c r="AR315" s="208" t="str">
        <f>IFERROR(INDEX(база!D:D, MATCH(F315,база!B:B,0)),"")</f>
        <v/>
      </c>
      <c r="AS315" s="758" t="str">
        <f>IFERROR(INDEX(база!E:E, MATCH(F315,база!B:B,0)),"")</f>
        <v/>
      </c>
    </row>
    <row r="316" spans="1:45" ht="15">
      <c r="A316" s="66" t="str">
        <f t="shared" si="4"/>
        <v>январь</v>
      </c>
      <c r="B316" s="231">
        <v>2024</v>
      </c>
      <c r="C316" s="60"/>
      <c r="D316" s="61"/>
      <c r="E316" s="211"/>
      <c r="F316" s="680"/>
      <c r="G316" s="47"/>
      <c r="H316" s="563"/>
      <c r="I316" s="563"/>
      <c r="J316" s="563"/>
      <c r="K316" s="563"/>
      <c r="L316" s="563"/>
      <c r="M316" s="563"/>
      <c r="N316" s="563"/>
      <c r="O316" s="563"/>
      <c r="P316" s="300"/>
      <c r="Q316" s="563"/>
      <c r="R316" s="563"/>
      <c r="S316" s="563"/>
      <c r="T316" s="563"/>
      <c r="U316" s="563"/>
      <c r="V316" s="563"/>
      <c r="W316" s="563"/>
      <c r="X316" s="563"/>
      <c r="Y316" s="563"/>
      <c r="Z316" s="563"/>
      <c r="AA316" s="563"/>
      <c r="AB316" s="563"/>
      <c r="AC316" s="563"/>
      <c r="AD316" s="48"/>
      <c r="AE316" s="48"/>
      <c r="AF316" s="258"/>
      <c r="AG316" s="48"/>
      <c r="AH316" s="48"/>
      <c r="AI316" s="48"/>
      <c r="AJ316" s="48"/>
      <c r="AK316" s="48"/>
      <c r="AL316" s="51"/>
      <c r="AM316" s="212">
        <f>IF(AQ316=1,SUM(Q316:T316,W316:Z316,AC316:AF316,AI316:AL316),
IF(AQ316=2,SUM(P316,S316:V316,Y316:AB316,AE316:AH316,AK316:AL316),
IF(AQ316=3,SUM(P316:R316,U316:X316,AA316:AD316,AG316:AJ316),SUM(Таблица1[[#This Row],[1]:[31]])-Таблица1[[#This Row],[Столбец1]])))</f>
        <v>0</v>
      </c>
      <c r="AN316" s="778">
        <f t="array" ref="AN316">IF(AQ316=1,SUM(P316,U316:V316,AA316:AB316,AG316:AH316),
IF(AQ316=2,SUM(Q316:R316,W316:X316,AC316:AD316,AI316:AJ316),
IF(AQ316=3,SUM(S316:T316,Y316:Z316,AE316:AF316,AK316:AL316),
SUM(IFERROR(WEEKDAY($H$2:$AL$2,2)&gt;5,)*H316:AL316))))+Таблица1[[#This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16" s="292" t="b">
        <f>IF(AR316&lt;=3,(IF((G316="5/24"),((база!$M$6*Таблица1[[#This Row],[сумма]]*Таблица1[[#This Row],[коэф]])),
IF((G316="4/24"),((база!$M$5*Таблица1[[#This Row],[сумма]]*Таблица1[[#This Row],[коэф]])),
IF((G316="3/24"),((база!$M$4*Таблица1[[#This Row],[сумма]]*Таблица1[[#This Row],[коэф]])),
IF((G316="5/16"),((база!$L$6*Таблица1[[#This Row],[сумма]]*Таблица1[[#This Row],[коэф]])),
IF((G316="4/16"),((база!$L$5*Таблица1[[#This Row],[сумма]]*Таблица1[[#This Row],[коэф]])),
IF((G316="3/16"),((база!$L$4*Таблица1[[#This Row],[сумма]]*Таблица1[[#This Row],[коэф]])),
IF((G316="4/4"),((база!$I$5*Таблица1[[#This Row],[сумма]]*Таблица1[[#This Row],[коэф]])),
IF(OR(G316="2/4",G316="3/4"),((база!$I$4*Таблица1[[#This Row],[сумма]]*Таблица1[[#This Row],[коэф]])),
IF((G316="5/8"),((база!$J$6*Таблица1[[#This Row],[сумма]]*Таблица1[[#This Row],[коэф]])),
IF((G316="4/8"),((база!$J$5*Таблица1[[#This Row],[сумма]]*Таблица1[[#This Row],[коэф]])),
IF(OR(G316="3/8",G316="2/8"),((база!$J$4*Таблица1[[#This Row],[сумма]]*Таблица1[[#This Row],[коэф]])))))))))))))),
(IF((G316="5/24"),((база!$M$6*Таблица1[[#This Row],[сумма]]*Таблица1[[#This Row],[коэф]])),
IF(OR(G316="4/24",G316="3/24"),((база!$M$5*Таблица1[[#This Row],[сумма]]*Таблица1[[#This Row],[коэф]])),
IF((G316="5/16"),((база!$L$6*Таблица1[[#This Row],[сумма]]*Таблица1[[#This Row],[коэф]])),
IF(OR(G316="4/16",G316="3/16"),((база!$L$5*Таблица1[[#This Row],[сумма]]*Таблица1[[#This Row],[коэф]])),
IF(OR(G316="2/4",G316="3/4",G316="4/4"),((база!$I$5*Таблица1[[#This Row],[сумма]]*Таблица1[[#This Row],[коэф]])),
IF((G316="5/8"),((база!$J$6*Таблица1[[#This Row],[сумма]]*Таблица1[[#This Row],[коэф]])),
IF(OR(G316="4/8",G316="3/8",G316="2/8"),((база!$J$5*Таблица1[[#This Row],[сумма]]*Таблица1[[#This Row],[коэф]])))))))))))</f>
        <v>0</v>
      </c>
      <c r="AP316" s="730" t="b">
        <f>IF(AR316&lt;=3,(IF((G316="5/24"),((база!$M$6*2*Таблица1[[#This Row],[Столбец1]]*Таблица1[[#This Row],[коэф]])),
IF((G316="4/24"),((база!$M$5*2*Таблица1[[#This Row],[Столбец1]]*Таблица1[[#This Row],[коэф]])),
IF((G316="3/24"),((база!$M$4*2*Таблица1[[#This Row],[Столбец1]]*Таблица1[[#This Row],[коэф]])),
IF((G316="5/16"),((база!$L$6*2*Таблица1[[#This Row],[Столбец1]]*Таблица1[[#This Row],[коэф]])),
IF((G316="4/16"),((база!$L$5*2*Таблица1[[#This Row],[Столбец1]]*Таблица1[[#This Row],[коэф]])),
IF((G316="3/16"),((база!$L$4*2*Таблица1[[#This Row],[Столбец1]]*Таблица1[[#This Row],[коэф]])),
IF((G316="4/4"),((база!$I$5*2*Таблица1[[#This Row],[Столбец1]]*Таблица1[[#This Row],[коэф]])),
IF(OR(G316="2/4",G316="3/4"),((база!$I$4*2*Таблица1[[#This Row],[Столбец1]]*Таблица1[[#This Row],[коэф]])),
IF((G316="5/8"),((база!$J$6*2*Таблица1[[#This Row],[Столбец1]]*Таблица1[[#This Row],[коэф]])),
IF((G316="4/8"),((база!$J$5*2*Таблица1[[#This Row],[Столбец1]]*Таблица1[[#This Row],[коэф]])),
IF(OR(G316="3/8",G316="2/8"),((база!$J$4*2*Таблица1[[#This Row],[Столбец1]]*Таблица1[[#This Row],[коэф]])))))))))))))),
(IF((G316="5/24"),((база!$M$6*2*Таблица1[[#This Row],[Столбец1]]*Таблица1[[#This Row],[коэф]])),
IF(OR(G316="4/24",G316="3/24"),((база!$M$5*2*Таблица1[[#This Row],[Столбец1]]*Таблица1[[#This Row],[коэф]])),
IF((G316="5/16"),((база!$L$6*2*Таблица1[[#This Row],[Столбец1]]*Таблица1[[#This Row],[коэф]])),
IF(OR(G316="4/16",G316="3/16"),((база!$L$5*2*Таблица1[[#This Row],[Столбец1]]*Таблица1[[#This Row],[коэф]])),
IF(OR(G316="2/4",G316="3/4",G316="4/4"),((база!$I$5*2*Таблица1[[#This Row],[Столбец1]]*Таблица1[[#This Row],[коэф]])),
IF((G316="5/8"),((база!$J$6*2*Таблица1[[#This Row],[Столбец1]]*Таблица1[[#This Row],[коэф]])),
IF(OR(G316="4/8",G316="3/8",G316="2/8"),((база!$J$5*2*Таблица1[[#This Row],[Столбец1]]*Таблица1[[#This Row],[коэф]])))))))))))</f>
        <v>0</v>
      </c>
      <c r="AQ316" s="712" t="str">
        <f>IFERROR(INDEX(база!T:T, MATCH(F316,база!Q:Q,0)),"")</f>
        <v/>
      </c>
      <c r="AR316" s="208" t="str">
        <f>IFERROR(INDEX(база!D:D, MATCH(F316,база!B:B,0)),"")</f>
        <v/>
      </c>
      <c r="AS316" s="758" t="str">
        <f>IFERROR(INDEX(база!E:E, MATCH(F316,база!B:B,0)),"")</f>
        <v/>
      </c>
    </row>
    <row r="317" spans="1:45" ht="15">
      <c r="A317" s="66" t="str">
        <f t="shared" si="4"/>
        <v>январь</v>
      </c>
      <c r="B317" s="231">
        <v>2024</v>
      </c>
      <c r="C317" s="299"/>
      <c r="D317" s="61"/>
      <c r="E317" s="211"/>
      <c r="F317" s="680"/>
      <c r="G317" s="47"/>
      <c r="H317" s="563"/>
      <c r="I317" s="563"/>
      <c r="J317" s="563"/>
      <c r="K317" s="563"/>
      <c r="L317" s="563"/>
      <c r="M317" s="563"/>
      <c r="N317" s="563"/>
      <c r="O317" s="563"/>
      <c r="P317" s="300"/>
      <c r="Q317" s="563"/>
      <c r="R317" s="563"/>
      <c r="S317" s="563"/>
      <c r="T317" s="563"/>
      <c r="U317" s="563"/>
      <c r="V317" s="563"/>
      <c r="W317" s="563"/>
      <c r="X317" s="563"/>
      <c r="Y317" s="563"/>
      <c r="Z317" s="563"/>
      <c r="AA317" s="563"/>
      <c r="AB317" s="563"/>
      <c r="AC317" s="563"/>
      <c r="AD317" s="48"/>
      <c r="AE317" s="48"/>
      <c r="AF317" s="258"/>
      <c r="AG317" s="48"/>
      <c r="AH317" s="48"/>
      <c r="AI317" s="258"/>
      <c r="AJ317" s="258"/>
      <c r="AK317" s="258"/>
      <c r="AL317" s="258"/>
      <c r="AM317" s="212">
        <f>IF(AQ317=1,SUM(Q317:T317,W317:Z317,AC317:AF317,AI317:AL317),
IF(AQ317=2,SUM(P317,S317:V317,Y317:AB317,AE317:AH317,AK317:AL317),
IF(AQ317=3,SUM(P317:R317,U317:X317,AA317:AD317,AG317:AJ317),SUM(Таблица1[[#This Row],[1]:[31]])-Таблица1[[#This Row],[Столбец1]])))</f>
        <v>0</v>
      </c>
      <c r="AN317" s="778">
        <f t="array" ref="AN317">IF(AQ317=1,SUM(P317,U317:V317,AA317:AB317,AG317:AH317),
IF(AQ317=2,SUM(Q317:R317,W317:X317,AC317:AD317,AI317:AJ317),
IF(AQ317=3,SUM(S317:T317,Y317:Z317,AE317:AF317,AK317:AL317),
SUM(IFERROR(WEEKDAY($H$2:$AL$2,2)&gt;5,)*H317:AL317))))+Таблица1[[#This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17" s="292" t="b">
        <f>IF(AR317&lt;=3,(IF((G317="5/24"),((база!$M$6*Таблица1[[#This Row],[сумма]]*Таблица1[[#This Row],[коэф]])),
IF((G317="4/24"),((база!$M$5*Таблица1[[#This Row],[сумма]]*Таблица1[[#This Row],[коэф]])),
IF((G317="3/24"),((база!$M$4*Таблица1[[#This Row],[сумма]]*Таблица1[[#This Row],[коэф]])),
IF((G317="5/16"),((база!$L$6*Таблица1[[#This Row],[сумма]]*Таблица1[[#This Row],[коэф]])),
IF((G317="4/16"),((база!$L$5*Таблица1[[#This Row],[сумма]]*Таблица1[[#This Row],[коэф]])),
IF((G317="3/16"),((база!$L$4*Таблица1[[#This Row],[сумма]]*Таблица1[[#This Row],[коэф]])),
IF((G317="4/4"),((база!$I$5*Таблица1[[#This Row],[сумма]]*Таблица1[[#This Row],[коэф]])),
IF(OR(G317="2/4",G317="3/4"),((база!$I$4*Таблица1[[#This Row],[сумма]]*Таблица1[[#This Row],[коэф]])),
IF((G317="5/8"),((база!$J$6*Таблица1[[#This Row],[сумма]]*Таблица1[[#This Row],[коэф]])),
IF((G317="4/8"),((база!$J$5*Таблица1[[#This Row],[сумма]]*Таблица1[[#This Row],[коэф]])),
IF(OR(G317="3/8",G317="2/8"),((база!$J$4*Таблица1[[#This Row],[сумма]]*Таблица1[[#This Row],[коэф]])))))))))))))),
(IF((G317="5/24"),((база!$M$6*Таблица1[[#This Row],[сумма]]*Таблица1[[#This Row],[коэф]])),
IF(OR(G317="4/24",G317="3/24"),((база!$M$5*Таблица1[[#This Row],[сумма]]*Таблица1[[#This Row],[коэф]])),
IF((G317="5/16"),((база!$L$6*Таблица1[[#This Row],[сумма]]*Таблица1[[#This Row],[коэф]])),
IF(OR(G317="4/16",G317="3/16"),((база!$L$5*Таблица1[[#This Row],[сумма]]*Таблица1[[#This Row],[коэф]])),
IF(OR(G317="2/4",G317="3/4",G317="4/4"),((база!$I$5*Таблица1[[#This Row],[сумма]]*Таблица1[[#This Row],[коэф]])),
IF((G317="5/8"),((база!$J$6*Таблица1[[#This Row],[сумма]]*Таблица1[[#This Row],[коэф]])),
IF(OR(G317="4/8",G317="3/8",G317="2/8"),((база!$J$5*Таблица1[[#This Row],[сумма]]*Таблица1[[#This Row],[коэф]])))))))))))</f>
        <v>0</v>
      </c>
      <c r="AP317" s="730" t="b">
        <f>IF(AR317&lt;=3,(IF((G317="5/24"),((база!$M$6*2*Таблица1[[#This Row],[Столбец1]]*Таблица1[[#This Row],[коэф]])),
IF((G317="4/24"),((база!$M$5*2*Таблица1[[#This Row],[Столбец1]]*Таблица1[[#This Row],[коэф]])),
IF((G317="3/24"),((база!$M$4*2*Таблица1[[#This Row],[Столбец1]]*Таблица1[[#This Row],[коэф]])),
IF((G317="5/16"),((база!$L$6*2*Таблица1[[#This Row],[Столбец1]]*Таблица1[[#This Row],[коэф]])),
IF((G317="4/16"),((база!$L$5*2*Таблица1[[#This Row],[Столбец1]]*Таблица1[[#This Row],[коэф]])),
IF((G317="3/16"),((база!$L$4*2*Таблица1[[#This Row],[Столбец1]]*Таблица1[[#This Row],[коэф]])),
IF((G317="4/4"),((база!$I$5*2*Таблица1[[#This Row],[Столбец1]]*Таблица1[[#This Row],[коэф]])),
IF(OR(G317="2/4",G317="3/4"),((база!$I$4*2*Таблица1[[#This Row],[Столбец1]]*Таблица1[[#This Row],[коэф]])),
IF((G317="5/8"),((база!$J$6*2*Таблица1[[#This Row],[Столбец1]]*Таблица1[[#This Row],[коэф]])),
IF((G317="4/8"),((база!$J$5*2*Таблица1[[#This Row],[Столбец1]]*Таблица1[[#This Row],[коэф]])),
IF(OR(G317="3/8",G317="2/8"),((база!$J$4*2*Таблица1[[#This Row],[Столбец1]]*Таблица1[[#This Row],[коэф]])))))))))))))),
(IF((G317="5/24"),((база!$M$6*2*Таблица1[[#This Row],[Столбец1]]*Таблица1[[#This Row],[коэф]])),
IF(OR(G317="4/24",G317="3/24"),((база!$M$5*2*Таблица1[[#This Row],[Столбец1]]*Таблица1[[#This Row],[коэф]])),
IF((G317="5/16"),((база!$L$6*2*Таблица1[[#This Row],[Столбец1]]*Таблица1[[#This Row],[коэф]])),
IF(OR(G317="4/16",G317="3/16"),((база!$L$5*2*Таблица1[[#This Row],[Столбец1]]*Таблица1[[#This Row],[коэф]])),
IF(OR(G317="2/4",G317="3/4",G317="4/4"),((база!$I$5*2*Таблица1[[#This Row],[Столбец1]]*Таблица1[[#This Row],[коэф]])),
IF((G317="5/8"),((база!$J$6*2*Таблица1[[#This Row],[Столбец1]]*Таблица1[[#This Row],[коэф]])),
IF(OR(G317="4/8",G317="3/8",G317="2/8"),((база!$J$5*2*Таблица1[[#This Row],[Столбец1]]*Таблица1[[#This Row],[коэф]])))))))))))</f>
        <v>0</v>
      </c>
      <c r="AQ317" s="712" t="str">
        <f>IFERROR(INDEX(база!T:T, MATCH(F317,база!Q:Q,0)),"")</f>
        <v/>
      </c>
      <c r="AR317" s="208" t="str">
        <f>IFERROR(INDEX(база!D:D, MATCH(F317,база!B:B,0)),"")</f>
        <v/>
      </c>
      <c r="AS317" s="758" t="str">
        <f>IFERROR(INDEX(база!E:E, MATCH(F317,база!B:B,0)),"")</f>
        <v/>
      </c>
    </row>
    <row r="318" spans="1:45" ht="15">
      <c r="A318" s="66" t="str">
        <f t="shared" si="4"/>
        <v>январь</v>
      </c>
      <c r="B318" s="231">
        <v>2024</v>
      </c>
      <c r="C318" s="60"/>
      <c r="D318" s="61"/>
      <c r="E318" s="211"/>
      <c r="F318" s="680"/>
      <c r="G318" s="47"/>
      <c r="H318" s="563"/>
      <c r="I318" s="563"/>
      <c r="J318" s="563"/>
      <c r="K318" s="563"/>
      <c r="L318" s="563"/>
      <c r="M318" s="563"/>
      <c r="N318" s="563"/>
      <c r="O318" s="563"/>
      <c r="P318" s="300"/>
      <c r="Q318" s="563"/>
      <c r="R318" s="563"/>
      <c r="S318" s="563"/>
      <c r="T318" s="563"/>
      <c r="U318" s="563"/>
      <c r="V318" s="563"/>
      <c r="W318" s="563"/>
      <c r="X318" s="563"/>
      <c r="Y318" s="563"/>
      <c r="Z318" s="563"/>
      <c r="AA318" s="563"/>
      <c r="AB318" s="563"/>
      <c r="AC318" s="563"/>
      <c r="AD318" s="48"/>
      <c r="AE318" s="48"/>
      <c r="AF318" s="258"/>
      <c r="AG318" s="48"/>
      <c r="AH318" s="48"/>
      <c r="AI318" s="48"/>
      <c r="AJ318" s="48"/>
      <c r="AK318" s="48"/>
      <c r="AL318" s="51"/>
      <c r="AM318" s="212">
        <f>IF(AQ318=1,SUM(Q318:T318,W318:Z318,AC318:AF318,AI318:AL318),
IF(AQ318=2,SUM(P318,S318:V318,Y318:AB318,AE318:AH318,AK318:AL318),
IF(AQ318=3,SUM(P318:R318,U318:X318,AA318:AD318,AG318:AJ318),SUM(Таблица1[[#This Row],[1]:[31]])-Таблица1[[#This Row],[Столбец1]])))</f>
        <v>0</v>
      </c>
      <c r="AN318" s="778">
        <f t="array" ref="AN318">IF(AQ318=1,SUM(P318,U318:V318,AA318:AB318,AG318:AH318),
IF(AQ318=2,SUM(Q318:R318,W318:X318,AC318:AD318,AI318:AJ318),
IF(AQ318=3,SUM(S318:T318,Y318:Z318,AE318:AF318,AK318:AL318),
SUM(IFERROR(WEEKDAY($H$2:$AL$2,2)&gt;5,)*H318:AL318))))+Таблица1[[#This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18" s="292" t="b">
        <f>IF(AR318&lt;=3,(IF((G318="5/24"),((база!$M$6*Таблица1[[#This Row],[сумма]]*Таблица1[[#This Row],[коэф]])),
IF((G318="4/24"),((база!$M$5*Таблица1[[#This Row],[сумма]]*Таблица1[[#This Row],[коэф]])),
IF((G318="3/24"),((база!$M$4*Таблица1[[#This Row],[сумма]]*Таблица1[[#This Row],[коэф]])),
IF((G318="5/16"),((база!$L$6*Таблица1[[#This Row],[сумма]]*Таблица1[[#This Row],[коэф]])),
IF((G318="4/16"),((база!$L$5*Таблица1[[#This Row],[сумма]]*Таблица1[[#This Row],[коэф]])),
IF((G318="3/16"),((база!$L$4*Таблица1[[#This Row],[сумма]]*Таблица1[[#This Row],[коэф]])),
IF((G318="4/4"),((база!$I$5*Таблица1[[#This Row],[сумма]]*Таблица1[[#This Row],[коэф]])),
IF(OR(G318="2/4",G318="3/4"),((база!$I$4*Таблица1[[#This Row],[сумма]]*Таблица1[[#This Row],[коэф]])),
IF((G318="5/8"),((база!$J$6*Таблица1[[#This Row],[сумма]]*Таблица1[[#This Row],[коэф]])),
IF((G318="4/8"),((база!$J$5*Таблица1[[#This Row],[сумма]]*Таблица1[[#This Row],[коэф]])),
IF(OR(G318="3/8",G318="2/8"),((база!$J$4*Таблица1[[#This Row],[сумма]]*Таблица1[[#This Row],[коэф]])))))))))))))),
(IF((G318="5/24"),((база!$M$6*Таблица1[[#This Row],[сумма]]*Таблица1[[#This Row],[коэф]])),
IF(OR(G318="4/24",G318="3/24"),((база!$M$5*Таблица1[[#This Row],[сумма]]*Таблица1[[#This Row],[коэф]])),
IF((G318="5/16"),((база!$L$6*Таблица1[[#This Row],[сумма]]*Таблица1[[#This Row],[коэф]])),
IF(OR(G318="4/16",G318="3/16"),((база!$L$5*Таблица1[[#This Row],[сумма]]*Таблица1[[#This Row],[коэф]])),
IF(OR(G318="2/4",G318="3/4",G318="4/4"),((база!$I$5*Таблица1[[#This Row],[сумма]]*Таблица1[[#This Row],[коэф]])),
IF((G318="5/8"),((база!$J$6*Таблица1[[#This Row],[сумма]]*Таблица1[[#This Row],[коэф]])),
IF(OR(G318="4/8",G318="3/8",G318="2/8"),((база!$J$5*Таблица1[[#This Row],[сумма]]*Таблица1[[#This Row],[коэф]])))))))))))</f>
        <v>0</v>
      </c>
      <c r="AP318" s="730" t="b">
        <f>IF(AR318&lt;=3,(IF((G318="5/24"),((база!$M$6*2*Таблица1[[#This Row],[Столбец1]]*Таблица1[[#This Row],[коэф]])),
IF((G318="4/24"),((база!$M$5*2*Таблица1[[#This Row],[Столбец1]]*Таблица1[[#This Row],[коэф]])),
IF((G318="3/24"),((база!$M$4*2*Таблица1[[#This Row],[Столбец1]]*Таблица1[[#This Row],[коэф]])),
IF((G318="5/16"),((база!$L$6*2*Таблица1[[#This Row],[Столбец1]]*Таблица1[[#This Row],[коэф]])),
IF((G318="4/16"),((база!$L$5*2*Таблица1[[#This Row],[Столбец1]]*Таблица1[[#This Row],[коэф]])),
IF((G318="3/16"),((база!$L$4*2*Таблица1[[#This Row],[Столбец1]]*Таблица1[[#This Row],[коэф]])),
IF((G318="4/4"),((база!$I$5*2*Таблица1[[#This Row],[Столбец1]]*Таблица1[[#This Row],[коэф]])),
IF(OR(G318="2/4",G318="3/4"),((база!$I$4*2*Таблица1[[#This Row],[Столбец1]]*Таблица1[[#This Row],[коэф]])),
IF((G318="5/8"),((база!$J$6*2*Таблица1[[#This Row],[Столбец1]]*Таблица1[[#This Row],[коэф]])),
IF((G318="4/8"),((база!$J$5*2*Таблица1[[#This Row],[Столбец1]]*Таблица1[[#This Row],[коэф]])),
IF(OR(G318="3/8",G318="2/8"),((база!$J$4*2*Таблица1[[#This Row],[Столбец1]]*Таблица1[[#This Row],[коэф]])))))))))))))),
(IF((G318="5/24"),((база!$M$6*2*Таблица1[[#This Row],[Столбец1]]*Таблица1[[#This Row],[коэф]])),
IF(OR(G318="4/24",G318="3/24"),((база!$M$5*2*Таблица1[[#This Row],[Столбец1]]*Таблица1[[#This Row],[коэф]])),
IF((G318="5/16"),((база!$L$6*2*Таблица1[[#This Row],[Столбец1]]*Таблица1[[#This Row],[коэф]])),
IF(OR(G318="4/16",G318="3/16"),((база!$L$5*2*Таблица1[[#This Row],[Столбец1]]*Таблица1[[#This Row],[коэф]])),
IF(OR(G318="2/4",G318="3/4",G318="4/4"),((база!$I$5*2*Таблица1[[#This Row],[Столбец1]]*Таблица1[[#This Row],[коэф]])),
IF((G318="5/8"),((база!$J$6*2*Таблица1[[#This Row],[Столбец1]]*Таблица1[[#This Row],[коэф]])),
IF(OR(G318="4/8",G318="3/8",G318="2/8"),((база!$J$5*2*Таблица1[[#This Row],[Столбец1]]*Таблица1[[#This Row],[коэф]])))))))))))</f>
        <v>0</v>
      </c>
      <c r="AQ318" s="712" t="str">
        <f>IFERROR(INDEX(база!T:T, MATCH(F318,база!Q:Q,0)),"")</f>
        <v/>
      </c>
      <c r="AR318" s="208" t="str">
        <f>IFERROR(INDEX(база!D:D, MATCH(F318,база!B:B,0)),"")</f>
        <v/>
      </c>
      <c r="AS318" s="758" t="str">
        <f>IFERROR(INDEX(база!E:E, MATCH(F318,база!B:B,0)),"")</f>
        <v/>
      </c>
    </row>
    <row r="319" spans="1:45" ht="15">
      <c r="A319" s="66" t="str">
        <f t="shared" si="4"/>
        <v>январь</v>
      </c>
      <c r="B319" s="231">
        <v>2024</v>
      </c>
      <c r="C319" s="60"/>
      <c r="D319" s="61"/>
      <c r="E319" s="211"/>
      <c r="F319" s="680"/>
      <c r="G319" s="47"/>
      <c r="H319" s="563"/>
      <c r="I319" s="563"/>
      <c r="J319" s="563"/>
      <c r="K319" s="563"/>
      <c r="L319" s="563"/>
      <c r="M319" s="563"/>
      <c r="N319" s="563"/>
      <c r="O319" s="563"/>
      <c r="P319" s="300"/>
      <c r="Q319" s="563"/>
      <c r="R319" s="563"/>
      <c r="S319" s="563"/>
      <c r="T319" s="563"/>
      <c r="U319" s="563"/>
      <c r="V319" s="563"/>
      <c r="W319" s="563"/>
      <c r="X319" s="563"/>
      <c r="Y319" s="563"/>
      <c r="Z319" s="563"/>
      <c r="AA319" s="563"/>
      <c r="AB319" s="563"/>
      <c r="AC319" s="563"/>
      <c r="AD319" s="48"/>
      <c r="AE319" s="48"/>
      <c r="AF319" s="258"/>
      <c r="AG319" s="48"/>
      <c r="AH319" s="48"/>
      <c r="AI319" s="258"/>
      <c r="AJ319" s="258"/>
      <c r="AK319" s="258"/>
      <c r="AL319" s="258"/>
      <c r="AM319" s="212">
        <f>IF(AQ319=1,SUM(Q319:T319,W319:Z319,AC319:AF319,AI319:AL319),
IF(AQ319=2,SUM(P319,S319:V319,Y319:AB319,AE319:AH319,AK319:AL319),
IF(AQ319=3,SUM(P319:R319,U319:X319,AA319:AD319,AG319:AJ319),SUM(Таблица1[[#This Row],[1]:[31]])-Таблица1[[#This Row],[Столбец1]])))</f>
        <v>0</v>
      </c>
      <c r="AN319" s="778">
        <f t="array" ref="AN319">IF(AQ319=1,SUM(P319,U319:V319,AA319:AB319,AG319:AH319),
IF(AQ319=2,SUM(Q319:R319,W319:X319,AC319:AD319,AI319:AJ319),
IF(AQ319=3,SUM(S319:T319,Y319:Z319,AE319:AF319,AK319:AL319),
SUM(IFERROR(WEEKDAY($H$2:$AL$2,2)&gt;5,)*H319:AL319))))+Таблица1[[#This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19" s="292" t="b">
        <f>IF(AR319&lt;=3,(IF((G319="5/24"),((база!$M$6*Таблица1[[#This Row],[сумма]]*Таблица1[[#This Row],[коэф]])),
IF((G319="4/24"),((база!$M$5*Таблица1[[#This Row],[сумма]]*Таблица1[[#This Row],[коэф]])),
IF((G319="3/24"),((база!$M$4*Таблица1[[#This Row],[сумма]]*Таблица1[[#This Row],[коэф]])),
IF((G319="5/16"),((база!$L$6*Таблица1[[#This Row],[сумма]]*Таблица1[[#This Row],[коэф]])),
IF((G319="4/16"),((база!$L$5*Таблица1[[#This Row],[сумма]]*Таблица1[[#This Row],[коэф]])),
IF((G319="3/16"),((база!$L$4*Таблица1[[#This Row],[сумма]]*Таблица1[[#This Row],[коэф]])),
IF((G319="4/4"),((база!$I$5*Таблица1[[#This Row],[сумма]]*Таблица1[[#This Row],[коэф]])),
IF(OR(G319="2/4",G319="3/4"),((база!$I$4*Таблица1[[#This Row],[сумма]]*Таблица1[[#This Row],[коэф]])),
IF((G319="5/8"),((база!$J$6*Таблица1[[#This Row],[сумма]]*Таблица1[[#This Row],[коэф]])),
IF((G319="4/8"),((база!$J$5*Таблица1[[#This Row],[сумма]]*Таблица1[[#This Row],[коэф]])),
IF(OR(G319="3/8",G319="2/8"),((база!$J$4*Таблица1[[#This Row],[сумма]]*Таблица1[[#This Row],[коэф]])))))))))))))),
(IF((G319="5/24"),((база!$M$6*Таблица1[[#This Row],[сумма]]*Таблица1[[#This Row],[коэф]])),
IF(OR(G319="4/24",G319="3/24"),((база!$M$5*Таблица1[[#This Row],[сумма]]*Таблица1[[#This Row],[коэф]])),
IF((G319="5/16"),((база!$L$6*Таблица1[[#This Row],[сумма]]*Таблица1[[#This Row],[коэф]])),
IF(OR(G319="4/16",G319="3/16"),((база!$L$5*Таблица1[[#This Row],[сумма]]*Таблица1[[#This Row],[коэф]])),
IF(OR(G319="2/4",G319="3/4",G319="4/4"),((база!$I$5*Таблица1[[#This Row],[сумма]]*Таблица1[[#This Row],[коэф]])),
IF((G319="5/8"),((база!$J$6*Таблица1[[#This Row],[сумма]]*Таблица1[[#This Row],[коэф]])),
IF(OR(G319="4/8",G319="3/8",G319="2/8"),((база!$J$5*Таблица1[[#This Row],[сумма]]*Таблица1[[#This Row],[коэф]])))))))))))</f>
        <v>0</v>
      </c>
      <c r="AP319" s="730" t="b">
        <f>IF(AR319&lt;=3,(IF((G319="5/24"),((база!$M$6*2*Таблица1[[#This Row],[Столбец1]]*Таблица1[[#This Row],[коэф]])),
IF((G319="4/24"),((база!$M$5*2*Таблица1[[#This Row],[Столбец1]]*Таблица1[[#This Row],[коэф]])),
IF((G319="3/24"),((база!$M$4*2*Таблица1[[#This Row],[Столбец1]]*Таблица1[[#This Row],[коэф]])),
IF((G319="5/16"),((база!$L$6*2*Таблица1[[#This Row],[Столбец1]]*Таблица1[[#This Row],[коэф]])),
IF((G319="4/16"),((база!$L$5*2*Таблица1[[#This Row],[Столбец1]]*Таблица1[[#This Row],[коэф]])),
IF((G319="3/16"),((база!$L$4*2*Таблица1[[#This Row],[Столбец1]]*Таблица1[[#This Row],[коэф]])),
IF((G319="4/4"),((база!$I$5*2*Таблица1[[#This Row],[Столбец1]]*Таблица1[[#This Row],[коэф]])),
IF(OR(G319="2/4",G319="3/4"),((база!$I$4*2*Таблица1[[#This Row],[Столбец1]]*Таблица1[[#This Row],[коэф]])),
IF((G319="5/8"),((база!$J$6*2*Таблица1[[#This Row],[Столбец1]]*Таблица1[[#This Row],[коэф]])),
IF((G319="4/8"),((база!$J$5*2*Таблица1[[#This Row],[Столбец1]]*Таблица1[[#This Row],[коэф]])),
IF(OR(G319="3/8",G319="2/8"),((база!$J$4*2*Таблица1[[#This Row],[Столбец1]]*Таблица1[[#This Row],[коэф]])))))))))))))),
(IF((G319="5/24"),((база!$M$6*2*Таблица1[[#This Row],[Столбец1]]*Таблица1[[#This Row],[коэф]])),
IF(OR(G319="4/24",G319="3/24"),((база!$M$5*2*Таблица1[[#This Row],[Столбец1]]*Таблица1[[#This Row],[коэф]])),
IF((G319="5/16"),((база!$L$6*2*Таблица1[[#This Row],[Столбец1]]*Таблица1[[#This Row],[коэф]])),
IF(OR(G319="4/16",G319="3/16"),((база!$L$5*2*Таблица1[[#This Row],[Столбец1]]*Таблица1[[#This Row],[коэф]])),
IF(OR(G319="2/4",G319="3/4",G319="4/4"),((база!$I$5*2*Таблица1[[#This Row],[Столбец1]]*Таблица1[[#This Row],[коэф]])),
IF((G319="5/8"),((база!$J$6*2*Таблица1[[#This Row],[Столбец1]]*Таблица1[[#This Row],[коэф]])),
IF(OR(G319="4/8",G319="3/8",G319="2/8"),((база!$J$5*2*Таблица1[[#This Row],[Столбец1]]*Таблица1[[#This Row],[коэф]])))))))))))</f>
        <v>0</v>
      </c>
      <c r="AQ319" s="712" t="str">
        <f>IFERROR(INDEX(база!T:T, MATCH(F319,база!Q:Q,0)),"")</f>
        <v/>
      </c>
      <c r="AR319" s="208" t="str">
        <f>IFERROR(INDEX(база!D:D, MATCH(F319,база!B:B,0)),"")</f>
        <v/>
      </c>
      <c r="AS319" s="758" t="str">
        <f>IFERROR(INDEX(база!E:E, MATCH(F319,база!B:B,0)),"")</f>
        <v/>
      </c>
    </row>
    <row r="320" spans="1:45" ht="15">
      <c r="A320" s="66" t="str">
        <f t="shared" si="4"/>
        <v>январь</v>
      </c>
      <c r="B320" s="231">
        <v>2024</v>
      </c>
      <c r="C320" s="299"/>
      <c r="D320" s="61"/>
      <c r="E320" s="211"/>
      <c r="F320" s="680"/>
      <c r="G320" s="47"/>
      <c r="H320" s="563"/>
      <c r="I320" s="563"/>
      <c r="J320" s="563"/>
      <c r="K320" s="563"/>
      <c r="L320" s="563"/>
      <c r="M320" s="563"/>
      <c r="N320" s="563"/>
      <c r="O320" s="563"/>
      <c r="P320" s="300"/>
      <c r="Q320" s="563"/>
      <c r="R320" s="563"/>
      <c r="S320" s="563"/>
      <c r="T320" s="563"/>
      <c r="U320" s="563"/>
      <c r="V320" s="563"/>
      <c r="W320" s="563"/>
      <c r="X320" s="563"/>
      <c r="Y320" s="563"/>
      <c r="Z320" s="563"/>
      <c r="AA320" s="563"/>
      <c r="AB320" s="563"/>
      <c r="AC320" s="563"/>
      <c r="AD320" s="563"/>
      <c r="AE320" s="563"/>
      <c r="AF320" s="563"/>
      <c r="AG320" s="563"/>
      <c r="AH320" s="48"/>
      <c r="AI320" s="48"/>
      <c r="AJ320" s="48"/>
      <c r="AK320" s="48"/>
      <c r="AL320" s="51"/>
      <c r="AM320" s="212">
        <f>IF(AQ320=1,SUM(Q320:T320,W320:Z320,AC320:AF320,AI320:AL320),
IF(AQ320=2,SUM(P320,S320:V320,Y320:AB320,AE320:AH320,AK320:AL320),
IF(AQ320=3,SUM(P320:R320,U320:X320,AA320:AD320,AG320:AJ320),SUM(Таблица1[[#This Row],[1]:[31]])-Таблица1[[#This Row],[Столбец1]])))</f>
        <v>0</v>
      </c>
      <c r="AN320" s="778">
        <f t="array" ref="AN320">IF(AQ320=1,SUM(P320,U320:V320,AA320:AB320,AG320:AH320),
IF(AQ320=2,SUM(Q320:R320,W320:X320,AC320:AD320,AI320:AJ320),
IF(AQ320=3,SUM(S320:T320,Y320:Z320,AE320:AF320,AK320:AL320),
SUM(IFERROR(WEEKDAY($H$2:$AL$2,2)&gt;5,)*H320:AL320))))+Таблица1[[#This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20" s="292" t="b">
        <f>IF(AR320&lt;=3,(IF((G320="5/24"),((база!$M$6*Таблица1[[#This Row],[сумма]]*Таблица1[[#This Row],[коэф]])),
IF((G320="4/24"),((база!$M$5*Таблица1[[#This Row],[сумма]]*Таблица1[[#This Row],[коэф]])),
IF((G320="3/24"),((база!$M$4*Таблица1[[#This Row],[сумма]]*Таблица1[[#This Row],[коэф]])),
IF((G320="5/16"),((база!$L$6*Таблица1[[#This Row],[сумма]]*Таблица1[[#This Row],[коэф]])),
IF((G320="4/16"),((база!$L$5*Таблица1[[#This Row],[сумма]]*Таблица1[[#This Row],[коэф]])),
IF((G320="3/16"),((база!$L$4*Таблица1[[#This Row],[сумма]]*Таблица1[[#This Row],[коэф]])),
IF((G320="4/4"),((база!$I$5*Таблица1[[#This Row],[сумма]]*Таблица1[[#This Row],[коэф]])),
IF(OR(G320="2/4",G320="3/4"),((база!$I$4*Таблица1[[#This Row],[сумма]]*Таблица1[[#This Row],[коэф]])),
IF((G320="5/8"),((база!$J$6*Таблица1[[#This Row],[сумма]]*Таблица1[[#This Row],[коэф]])),
IF((G320="4/8"),((база!$J$5*Таблица1[[#This Row],[сумма]]*Таблица1[[#This Row],[коэф]])),
IF(OR(G320="3/8",G320="2/8"),((база!$J$4*Таблица1[[#This Row],[сумма]]*Таблица1[[#This Row],[коэф]])))))))))))))),
(IF((G320="5/24"),((база!$M$6*Таблица1[[#This Row],[сумма]]*Таблица1[[#This Row],[коэф]])),
IF(OR(G320="4/24",G320="3/24"),((база!$M$5*Таблица1[[#This Row],[сумма]]*Таблица1[[#This Row],[коэф]])),
IF((G320="5/16"),((база!$L$6*Таблица1[[#This Row],[сумма]]*Таблица1[[#This Row],[коэф]])),
IF(OR(G320="4/16",G320="3/16"),((база!$L$5*Таблица1[[#This Row],[сумма]]*Таблица1[[#This Row],[коэф]])),
IF(OR(G320="2/4",G320="3/4",G320="4/4"),((база!$I$5*Таблица1[[#This Row],[сумма]]*Таблица1[[#This Row],[коэф]])),
IF((G320="5/8"),((база!$J$6*Таблица1[[#This Row],[сумма]]*Таблица1[[#This Row],[коэф]])),
IF(OR(G320="4/8",G320="3/8",G320="2/8"),((база!$J$5*Таблица1[[#This Row],[сумма]]*Таблица1[[#This Row],[коэф]])))))))))))</f>
        <v>0</v>
      </c>
      <c r="AP320" s="730" t="b">
        <f>IF(AR320&lt;=3,(IF((G320="5/24"),((база!$M$6*2*Таблица1[[#This Row],[Столбец1]]*Таблица1[[#This Row],[коэф]])),
IF((G320="4/24"),((база!$M$5*2*Таблица1[[#This Row],[Столбец1]]*Таблица1[[#This Row],[коэф]])),
IF((G320="3/24"),((база!$M$4*2*Таблица1[[#This Row],[Столбец1]]*Таблица1[[#This Row],[коэф]])),
IF((G320="5/16"),((база!$L$6*2*Таблица1[[#This Row],[Столбец1]]*Таблица1[[#This Row],[коэф]])),
IF((G320="4/16"),((база!$L$5*2*Таблица1[[#This Row],[Столбец1]]*Таблица1[[#This Row],[коэф]])),
IF((G320="3/16"),((база!$L$4*2*Таблица1[[#This Row],[Столбец1]]*Таблица1[[#This Row],[коэф]])),
IF((G320="4/4"),((база!$I$5*2*Таблица1[[#This Row],[Столбец1]]*Таблица1[[#This Row],[коэф]])),
IF(OR(G320="2/4",G320="3/4"),((база!$I$4*2*Таблица1[[#This Row],[Столбец1]]*Таблица1[[#This Row],[коэф]])),
IF((G320="5/8"),((база!$J$6*2*Таблица1[[#This Row],[Столбец1]]*Таблица1[[#This Row],[коэф]])),
IF((G320="4/8"),((база!$J$5*2*Таблица1[[#This Row],[Столбец1]]*Таблица1[[#This Row],[коэф]])),
IF(OR(G320="3/8",G320="2/8"),((база!$J$4*2*Таблица1[[#This Row],[Столбец1]]*Таблица1[[#This Row],[коэф]])))))))))))))),
(IF((G320="5/24"),((база!$M$6*2*Таблица1[[#This Row],[Столбец1]]*Таблица1[[#This Row],[коэф]])),
IF(OR(G320="4/24",G320="3/24"),((база!$M$5*2*Таблица1[[#This Row],[Столбец1]]*Таблица1[[#This Row],[коэф]])),
IF((G320="5/16"),((база!$L$6*2*Таблица1[[#This Row],[Столбец1]]*Таблица1[[#This Row],[коэф]])),
IF(OR(G320="4/16",G320="3/16"),((база!$L$5*2*Таблица1[[#This Row],[Столбец1]]*Таблица1[[#This Row],[коэф]])),
IF(OR(G320="2/4",G320="3/4",G320="4/4"),((база!$I$5*2*Таблица1[[#This Row],[Столбец1]]*Таблица1[[#This Row],[коэф]])),
IF((G320="5/8"),((база!$J$6*2*Таблица1[[#This Row],[Столбец1]]*Таблица1[[#This Row],[коэф]])),
IF(OR(G320="4/8",G320="3/8",G320="2/8"),((база!$J$5*2*Таблица1[[#This Row],[Столбец1]]*Таблица1[[#This Row],[коэф]])))))))))))</f>
        <v>0</v>
      </c>
      <c r="AQ320" s="712" t="str">
        <f>IFERROR(INDEX(база!T:T, MATCH(F320,база!Q:Q,0)),"")</f>
        <v/>
      </c>
      <c r="AR320" s="208" t="str">
        <f>IFERROR(INDEX(база!D:D, MATCH(F320,база!B:B,0)),"")</f>
        <v/>
      </c>
      <c r="AS320" s="758" t="str">
        <f>IFERROR(INDEX(база!E:E, MATCH(F320,база!B:B,0)),"")</f>
        <v/>
      </c>
    </row>
    <row r="321" spans="1:45" ht="15">
      <c r="A321" s="66" t="str">
        <f t="shared" si="4"/>
        <v>январь</v>
      </c>
      <c r="B321" s="231">
        <v>2024</v>
      </c>
      <c r="C321" s="60"/>
      <c r="D321" s="61"/>
      <c r="E321" s="211"/>
      <c r="F321" s="680"/>
      <c r="G321" s="47"/>
      <c r="H321" s="563"/>
      <c r="I321" s="563"/>
      <c r="J321" s="563"/>
      <c r="K321" s="563"/>
      <c r="L321" s="563"/>
      <c r="M321" s="563"/>
      <c r="N321" s="563"/>
      <c r="O321" s="563"/>
      <c r="P321" s="300"/>
      <c r="Q321" s="563"/>
      <c r="R321" s="563"/>
      <c r="S321" s="563"/>
      <c r="T321" s="563"/>
      <c r="U321" s="563"/>
      <c r="V321" s="563"/>
      <c r="W321" s="563"/>
      <c r="X321" s="563"/>
      <c r="Y321" s="563"/>
      <c r="Z321" s="563"/>
      <c r="AA321" s="563"/>
      <c r="AB321" s="563"/>
      <c r="AC321" s="563"/>
      <c r="AD321" s="48"/>
      <c r="AE321" s="48"/>
      <c r="AF321" s="258"/>
      <c r="AG321" s="48"/>
      <c r="AH321" s="48"/>
      <c r="AI321" s="258"/>
      <c r="AJ321" s="258"/>
      <c r="AK321" s="258"/>
      <c r="AL321" s="258"/>
      <c r="AM321" s="212">
        <f>IF(AQ321=1,SUM(Q321:T321,W321:Z321,AC321:AF321,AI321:AL321),
IF(AQ321=2,SUM(P321,S321:V321,Y321:AB321,AE321:AH321,AK321:AL321),
IF(AQ321=3,SUM(P321:R321,U321:X321,AA321:AD321,AG321:AJ321),SUM(Таблица1[[#This Row],[1]:[31]])-Таблица1[[#This Row],[Столбец1]])))</f>
        <v>0</v>
      </c>
      <c r="AN321" s="778">
        <f t="array" ref="AN321">IF(AQ321=1,SUM(P321,U321:V321,AA321:AB321,AG321:AH321),
IF(AQ321=2,SUM(Q321:R321,W321:X321,AC321:AD321,AI321:AJ321),
IF(AQ321=3,SUM(S321:T321,Y321:Z321,AE321:AF321,AK321:AL321),
SUM(IFERROR(WEEKDAY($H$2:$AL$2,2)&gt;5,)*H321:AL321))))+Таблица1[[#This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21" s="292" t="b">
        <f>IF(AR321&lt;=3,(IF((G321="5/24"),((база!$M$6*Таблица1[[#This Row],[сумма]]*Таблица1[[#This Row],[коэф]])),
IF((G321="4/24"),((база!$M$5*Таблица1[[#This Row],[сумма]]*Таблица1[[#This Row],[коэф]])),
IF((G321="3/24"),((база!$M$4*Таблица1[[#This Row],[сумма]]*Таблица1[[#This Row],[коэф]])),
IF((G321="5/16"),((база!$L$6*Таблица1[[#This Row],[сумма]]*Таблица1[[#This Row],[коэф]])),
IF((G321="4/16"),((база!$L$5*Таблица1[[#This Row],[сумма]]*Таблица1[[#This Row],[коэф]])),
IF((G321="3/16"),((база!$L$4*Таблица1[[#This Row],[сумма]]*Таблица1[[#This Row],[коэф]])),
IF((G321="4/4"),((база!$I$5*Таблица1[[#This Row],[сумма]]*Таблица1[[#This Row],[коэф]])),
IF(OR(G321="2/4",G321="3/4"),((база!$I$4*Таблица1[[#This Row],[сумма]]*Таблица1[[#This Row],[коэф]])),
IF((G321="5/8"),((база!$J$6*Таблица1[[#This Row],[сумма]]*Таблица1[[#This Row],[коэф]])),
IF((G321="4/8"),((база!$J$5*Таблица1[[#This Row],[сумма]]*Таблица1[[#This Row],[коэф]])),
IF(OR(G321="3/8",G321="2/8"),((база!$J$4*Таблица1[[#This Row],[сумма]]*Таблица1[[#This Row],[коэф]])))))))))))))),
(IF((G321="5/24"),((база!$M$6*Таблица1[[#This Row],[сумма]]*Таблица1[[#This Row],[коэф]])),
IF(OR(G321="4/24",G321="3/24"),((база!$M$5*Таблица1[[#This Row],[сумма]]*Таблица1[[#This Row],[коэф]])),
IF((G321="5/16"),((база!$L$6*Таблица1[[#This Row],[сумма]]*Таблица1[[#This Row],[коэф]])),
IF(OR(G321="4/16",G321="3/16"),((база!$L$5*Таблица1[[#This Row],[сумма]]*Таблица1[[#This Row],[коэф]])),
IF(OR(G321="2/4",G321="3/4",G321="4/4"),((база!$I$5*Таблица1[[#This Row],[сумма]]*Таблица1[[#This Row],[коэф]])),
IF((G321="5/8"),((база!$J$6*Таблица1[[#This Row],[сумма]]*Таблица1[[#This Row],[коэф]])),
IF(OR(G321="4/8",G321="3/8",G321="2/8"),((база!$J$5*Таблица1[[#This Row],[сумма]]*Таблица1[[#This Row],[коэф]])))))))))))</f>
        <v>0</v>
      </c>
      <c r="AP321" s="730" t="b">
        <f>IF(AR321&lt;=3,(IF((G321="5/24"),((база!$M$6*2*Таблица1[[#This Row],[Столбец1]]*Таблица1[[#This Row],[коэф]])),
IF((G321="4/24"),((база!$M$5*2*Таблица1[[#This Row],[Столбец1]]*Таблица1[[#This Row],[коэф]])),
IF((G321="3/24"),((база!$M$4*2*Таблица1[[#This Row],[Столбец1]]*Таблица1[[#This Row],[коэф]])),
IF((G321="5/16"),((база!$L$6*2*Таблица1[[#This Row],[Столбец1]]*Таблица1[[#This Row],[коэф]])),
IF((G321="4/16"),((база!$L$5*2*Таблица1[[#This Row],[Столбец1]]*Таблица1[[#This Row],[коэф]])),
IF((G321="3/16"),((база!$L$4*2*Таблица1[[#This Row],[Столбец1]]*Таблица1[[#This Row],[коэф]])),
IF((G321="4/4"),((база!$I$5*2*Таблица1[[#This Row],[Столбец1]]*Таблица1[[#This Row],[коэф]])),
IF(OR(G321="2/4",G321="3/4"),((база!$I$4*2*Таблица1[[#This Row],[Столбец1]]*Таблица1[[#This Row],[коэф]])),
IF((G321="5/8"),((база!$J$6*2*Таблица1[[#This Row],[Столбец1]]*Таблица1[[#This Row],[коэф]])),
IF((G321="4/8"),((база!$J$5*2*Таблица1[[#This Row],[Столбец1]]*Таблица1[[#This Row],[коэф]])),
IF(OR(G321="3/8",G321="2/8"),((база!$J$4*2*Таблица1[[#This Row],[Столбец1]]*Таблица1[[#This Row],[коэф]])))))))))))))),
(IF((G321="5/24"),((база!$M$6*2*Таблица1[[#This Row],[Столбец1]]*Таблица1[[#This Row],[коэф]])),
IF(OR(G321="4/24",G321="3/24"),((база!$M$5*2*Таблица1[[#This Row],[Столбец1]]*Таблица1[[#This Row],[коэф]])),
IF((G321="5/16"),((база!$L$6*2*Таблица1[[#This Row],[Столбец1]]*Таблица1[[#This Row],[коэф]])),
IF(OR(G321="4/16",G321="3/16"),((база!$L$5*2*Таблица1[[#This Row],[Столбец1]]*Таблица1[[#This Row],[коэф]])),
IF(OR(G321="2/4",G321="3/4",G321="4/4"),((база!$I$5*2*Таблица1[[#This Row],[Столбец1]]*Таблица1[[#This Row],[коэф]])),
IF((G321="5/8"),((база!$J$6*2*Таблица1[[#This Row],[Столбец1]]*Таблица1[[#This Row],[коэф]])),
IF(OR(G321="4/8",G321="3/8",G321="2/8"),((база!$J$5*2*Таблица1[[#This Row],[Столбец1]]*Таблица1[[#This Row],[коэф]])))))))))))</f>
        <v>0</v>
      </c>
      <c r="AQ321" s="712" t="str">
        <f>IFERROR(INDEX(база!T:T, MATCH(F321,база!Q:Q,0)),"")</f>
        <v/>
      </c>
      <c r="AR321" s="208" t="str">
        <f>IFERROR(INDEX(база!D:D, MATCH(F321,база!B:B,0)),"")</f>
        <v/>
      </c>
      <c r="AS321" s="758" t="str">
        <f>IFERROR(INDEX(база!E:E, MATCH(F321,база!B:B,0)),"")</f>
        <v/>
      </c>
    </row>
    <row r="322" spans="1:45" ht="15">
      <c r="A322" s="66" t="str">
        <f t="shared" si="4"/>
        <v>январь</v>
      </c>
      <c r="B322" s="231">
        <v>2024</v>
      </c>
      <c r="C322" s="299"/>
      <c r="D322" s="61"/>
      <c r="E322" s="211"/>
      <c r="F322" s="680"/>
      <c r="G322" s="47"/>
      <c r="H322" s="563"/>
      <c r="I322" s="563"/>
      <c r="J322" s="563"/>
      <c r="K322" s="563"/>
      <c r="L322" s="563"/>
      <c r="M322" s="563"/>
      <c r="N322" s="563"/>
      <c r="O322" s="563"/>
      <c r="P322" s="300"/>
      <c r="Q322" s="563"/>
      <c r="R322" s="563"/>
      <c r="S322" s="563"/>
      <c r="T322" s="563"/>
      <c r="U322" s="563"/>
      <c r="V322" s="563"/>
      <c r="W322" s="563"/>
      <c r="X322" s="563"/>
      <c r="Y322" s="563"/>
      <c r="Z322" s="563"/>
      <c r="AA322" s="563"/>
      <c r="AB322" s="563"/>
      <c r="AC322" s="563"/>
      <c r="AD322" s="48"/>
      <c r="AE322" s="48"/>
      <c r="AF322" s="258"/>
      <c r="AG322" s="48"/>
      <c r="AH322" s="48"/>
      <c r="AI322" s="48"/>
      <c r="AJ322" s="48"/>
      <c r="AK322" s="48"/>
      <c r="AL322" s="51"/>
      <c r="AM322" s="212">
        <f>IF(AQ322=1,SUM(Q322:T322,W322:Z322,AC322:AF322,AI322:AL322),
IF(AQ322=2,SUM(P322,S322:V322,Y322:AB322,AE322:AH322,AK322:AL322),
IF(AQ322=3,SUM(P322:R322,U322:X322,AA322:AD322,AG322:AJ322),SUM(Таблица1[[#This Row],[1]:[31]])-Таблица1[[#This Row],[Столбец1]])))</f>
        <v>0</v>
      </c>
      <c r="AN322" s="778">
        <f t="array" ref="AN322">IF(AQ322=1,SUM(P322,U322:V322,AA322:AB322,AG322:AH322),
IF(AQ322=2,SUM(Q322:R322,W322:X322,AC322:AD322,AI322:AJ322),
IF(AQ322=3,SUM(S322:T322,Y322:Z322,AE322:AF322,AK322:AL322),
SUM(IFERROR(WEEKDAY($H$2:$AL$2,2)&gt;5,)*H322:AL322))))+Таблица1[[#This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22" s="292" t="b">
        <f>IF(AR322&lt;=3,(IF((G322="5/24"),((база!$M$6*Таблица1[[#This Row],[сумма]]*Таблица1[[#This Row],[коэф]])),
IF((G322="4/24"),((база!$M$5*Таблица1[[#This Row],[сумма]]*Таблица1[[#This Row],[коэф]])),
IF((G322="3/24"),((база!$M$4*Таблица1[[#This Row],[сумма]]*Таблица1[[#This Row],[коэф]])),
IF((G322="5/16"),((база!$L$6*Таблица1[[#This Row],[сумма]]*Таблица1[[#This Row],[коэф]])),
IF((G322="4/16"),((база!$L$5*Таблица1[[#This Row],[сумма]]*Таблица1[[#This Row],[коэф]])),
IF((G322="3/16"),((база!$L$4*Таблица1[[#This Row],[сумма]]*Таблица1[[#This Row],[коэф]])),
IF((G322="4/4"),((база!$I$5*Таблица1[[#This Row],[сумма]]*Таблица1[[#This Row],[коэф]])),
IF(OR(G322="2/4",G322="3/4"),((база!$I$4*Таблица1[[#This Row],[сумма]]*Таблица1[[#This Row],[коэф]])),
IF((G322="5/8"),((база!$J$6*Таблица1[[#This Row],[сумма]]*Таблица1[[#This Row],[коэф]])),
IF((G322="4/8"),((база!$J$5*Таблица1[[#This Row],[сумма]]*Таблица1[[#This Row],[коэф]])),
IF(OR(G322="3/8",G322="2/8"),((база!$J$4*Таблица1[[#This Row],[сумма]]*Таблица1[[#This Row],[коэф]])))))))))))))),
(IF((G322="5/24"),((база!$M$6*Таблица1[[#This Row],[сумма]]*Таблица1[[#This Row],[коэф]])),
IF(OR(G322="4/24",G322="3/24"),((база!$M$5*Таблица1[[#This Row],[сумма]]*Таблица1[[#This Row],[коэф]])),
IF((G322="5/16"),((база!$L$6*Таблица1[[#This Row],[сумма]]*Таблица1[[#This Row],[коэф]])),
IF(OR(G322="4/16",G322="3/16"),((база!$L$5*Таблица1[[#This Row],[сумма]]*Таблица1[[#This Row],[коэф]])),
IF(OR(G322="2/4",G322="3/4",G322="4/4"),((база!$I$5*Таблица1[[#This Row],[сумма]]*Таблица1[[#This Row],[коэф]])),
IF((G322="5/8"),((база!$J$6*Таблица1[[#This Row],[сумма]]*Таблица1[[#This Row],[коэф]])),
IF(OR(G322="4/8",G322="3/8",G322="2/8"),((база!$J$5*Таблица1[[#This Row],[сумма]]*Таблица1[[#This Row],[коэф]])))))))))))</f>
        <v>0</v>
      </c>
      <c r="AP322" s="730" t="b">
        <f>IF(AR322&lt;=3,(IF((G322="5/24"),((база!$M$6*2*Таблица1[[#This Row],[Столбец1]]*Таблица1[[#This Row],[коэф]])),
IF((G322="4/24"),((база!$M$5*2*Таблица1[[#This Row],[Столбец1]]*Таблица1[[#This Row],[коэф]])),
IF((G322="3/24"),((база!$M$4*2*Таблица1[[#This Row],[Столбец1]]*Таблица1[[#This Row],[коэф]])),
IF((G322="5/16"),((база!$L$6*2*Таблица1[[#This Row],[Столбец1]]*Таблица1[[#This Row],[коэф]])),
IF((G322="4/16"),((база!$L$5*2*Таблица1[[#This Row],[Столбец1]]*Таблица1[[#This Row],[коэф]])),
IF((G322="3/16"),((база!$L$4*2*Таблица1[[#This Row],[Столбец1]]*Таблица1[[#This Row],[коэф]])),
IF((G322="4/4"),((база!$I$5*2*Таблица1[[#This Row],[Столбец1]]*Таблица1[[#This Row],[коэф]])),
IF(OR(G322="2/4",G322="3/4"),((база!$I$4*2*Таблица1[[#This Row],[Столбец1]]*Таблица1[[#This Row],[коэф]])),
IF((G322="5/8"),((база!$J$6*2*Таблица1[[#This Row],[Столбец1]]*Таблица1[[#This Row],[коэф]])),
IF((G322="4/8"),((база!$J$5*2*Таблица1[[#This Row],[Столбец1]]*Таблица1[[#This Row],[коэф]])),
IF(OR(G322="3/8",G322="2/8"),((база!$J$4*2*Таблица1[[#This Row],[Столбец1]]*Таблица1[[#This Row],[коэф]])))))))))))))),
(IF((G322="5/24"),((база!$M$6*2*Таблица1[[#This Row],[Столбец1]]*Таблица1[[#This Row],[коэф]])),
IF(OR(G322="4/24",G322="3/24"),((база!$M$5*2*Таблица1[[#This Row],[Столбец1]]*Таблица1[[#This Row],[коэф]])),
IF((G322="5/16"),((база!$L$6*2*Таблица1[[#This Row],[Столбец1]]*Таблица1[[#This Row],[коэф]])),
IF(OR(G322="4/16",G322="3/16"),((база!$L$5*2*Таблица1[[#This Row],[Столбец1]]*Таблица1[[#This Row],[коэф]])),
IF(OR(G322="2/4",G322="3/4",G322="4/4"),((база!$I$5*2*Таблица1[[#This Row],[Столбец1]]*Таблица1[[#This Row],[коэф]])),
IF((G322="5/8"),((база!$J$6*2*Таблица1[[#This Row],[Столбец1]]*Таблица1[[#This Row],[коэф]])),
IF(OR(G322="4/8",G322="3/8",G322="2/8"),((база!$J$5*2*Таблица1[[#This Row],[Столбец1]]*Таблица1[[#This Row],[коэф]])))))))))))</f>
        <v>0</v>
      </c>
      <c r="AQ322" s="712" t="str">
        <f>IFERROR(INDEX(база!T:T, MATCH(F322,база!Q:Q,0)),"")</f>
        <v/>
      </c>
      <c r="AR322" s="208" t="str">
        <f>IFERROR(INDEX(база!D:D, MATCH(F322,база!B:B,0)),"")</f>
        <v/>
      </c>
      <c r="AS322" s="758" t="str">
        <f>IFERROR(INDEX(база!E:E, MATCH(F322,база!B:B,0)),"")</f>
        <v/>
      </c>
    </row>
    <row r="323" spans="1:45" ht="15">
      <c r="A323" s="66" t="str">
        <f t="shared" si="4"/>
        <v>январь</v>
      </c>
      <c r="B323" s="231">
        <v>2024</v>
      </c>
      <c r="C323" s="299"/>
      <c r="D323" s="61"/>
      <c r="E323" s="211"/>
      <c r="F323" s="680"/>
      <c r="G323" s="47"/>
      <c r="H323" s="563"/>
      <c r="I323" s="563"/>
      <c r="J323" s="563"/>
      <c r="K323" s="563"/>
      <c r="L323" s="563"/>
      <c r="M323" s="563"/>
      <c r="N323" s="563"/>
      <c r="O323" s="563"/>
      <c r="P323" s="300"/>
      <c r="Q323" s="563"/>
      <c r="R323" s="563"/>
      <c r="S323" s="563"/>
      <c r="T323" s="563"/>
      <c r="U323" s="563"/>
      <c r="V323" s="563"/>
      <c r="W323" s="563"/>
      <c r="X323" s="563"/>
      <c r="Y323" s="563"/>
      <c r="Z323" s="563"/>
      <c r="AA323" s="563"/>
      <c r="AB323" s="563"/>
      <c r="AC323" s="563"/>
      <c r="AD323" s="48"/>
      <c r="AE323" s="48"/>
      <c r="AF323" s="48"/>
      <c r="AG323" s="48"/>
      <c r="AH323" s="48"/>
      <c r="AI323" s="48"/>
      <c r="AJ323" s="258"/>
      <c r="AK323" s="258"/>
      <c r="AL323" s="258"/>
      <c r="AM323" s="212">
        <f>IF(AQ323=1,SUM(Q323:T323,W323:Z323,AC323:AF323,AI323:AL323),
IF(AQ323=2,SUM(P323,S323:V323,Y323:AB323,AE323:AH323,AK323:AL323),
IF(AQ323=3,SUM(P323:R323,U323:X323,AA323:AD323,AG323:AJ323),SUM(Таблица1[[#This Row],[1]:[31]])-Таблица1[[#This Row],[Столбец1]])))</f>
        <v>0</v>
      </c>
      <c r="AN323" s="778">
        <f t="array" ref="AN323">IF(AQ323=1,SUM(P323,U323:V323,AA323:AB323,AG323:AH323),
IF(AQ323=2,SUM(Q323:R323,W323:X323,AC323:AD323,AI323:AJ323),
IF(AQ323=3,SUM(S323:T323,Y323:Z323,AE323:AF323,AK323:AL323),
SUM(IFERROR(WEEKDAY($H$2:$AL$2,2)&gt;5,)*H323:AL323))))+Таблица1[[#This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23" s="292" t="b">
        <f>IF(AR323&lt;=3,(IF((G323="5/24"),((база!$M$6*Таблица1[[#This Row],[сумма]]*Таблица1[[#This Row],[коэф]])),
IF((G323="4/24"),((база!$M$5*Таблица1[[#This Row],[сумма]]*Таблица1[[#This Row],[коэф]])),
IF((G323="3/24"),((база!$M$4*Таблица1[[#This Row],[сумма]]*Таблица1[[#This Row],[коэф]])),
IF((G323="5/16"),((база!$L$6*Таблица1[[#This Row],[сумма]]*Таблица1[[#This Row],[коэф]])),
IF((G323="4/16"),((база!$L$5*Таблица1[[#This Row],[сумма]]*Таблица1[[#This Row],[коэф]])),
IF((G323="3/16"),((база!$L$4*Таблица1[[#This Row],[сумма]]*Таблица1[[#This Row],[коэф]])),
IF((G323="4/4"),((база!$I$5*Таблица1[[#This Row],[сумма]]*Таблица1[[#This Row],[коэф]])),
IF(OR(G323="2/4",G323="3/4"),((база!$I$4*Таблица1[[#This Row],[сумма]]*Таблица1[[#This Row],[коэф]])),
IF((G323="5/8"),((база!$J$6*Таблица1[[#This Row],[сумма]]*Таблица1[[#This Row],[коэф]])),
IF((G323="4/8"),((база!$J$5*Таблица1[[#This Row],[сумма]]*Таблица1[[#This Row],[коэф]])),
IF(OR(G323="3/8",G323="2/8"),((база!$J$4*Таблица1[[#This Row],[сумма]]*Таблица1[[#This Row],[коэф]])))))))))))))),
(IF((G323="5/24"),((база!$M$6*Таблица1[[#This Row],[сумма]]*Таблица1[[#This Row],[коэф]])),
IF(OR(G323="4/24",G323="3/24"),((база!$M$5*Таблица1[[#This Row],[сумма]]*Таблица1[[#This Row],[коэф]])),
IF((G323="5/16"),((база!$L$6*Таблица1[[#This Row],[сумма]]*Таблица1[[#This Row],[коэф]])),
IF(OR(G323="4/16",G323="3/16"),((база!$L$5*Таблица1[[#This Row],[сумма]]*Таблица1[[#This Row],[коэф]])),
IF(OR(G323="2/4",G323="3/4",G323="4/4"),((база!$I$5*Таблица1[[#This Row],[сумма]]*Таблица1[[#This Row],[коэф]])),
IF((G323="5/8"),((база!$J$6*Таблица1[[#This Row],[сумма]]*Таблица1[[#This Row],[коэф]])),
IF(OR(G323="4/8",G323="3/8",G323="2/8"),((база!$J$5*Таблица1[[#This Row],[сумма]]*Таблица1[[#This Row],[коэф]])))))))))))</f>
        <v>0</v>
      </c>
      <c r="AP323" s="730" t="b">
        <f>IF(AR323&lt;=3,(IF((G323="5/24"),((база!$M$6*2*Таблица1[[#This Row],[Столбец1]]*Таблица1[[#This Row],[коэф]])),
IF((G323="4/24"),((база!$M$5*2*Таблица1[[#This Row],[Столбец1]]*Таблица1[[#This Row],[коэф]])),
IF((G323="3/24"),((база!$M$4*2*Таблица1[[#This Row],[Столбец1]]*Таблица1[[#This Row],[коэф]])),
IF((G323="5/16"),((база!$L$6*2*Таблица1[[#This Row],[Столбец1]]*Таблица1[[#This Row],[коэф]])),
IF((G323="4/16"),((база!$L$5*2*Таблица1[[#This Row],[Столбец1]]*Таблица1[[#This Row],[коэф]])),
IF((G323="3/16"),((база!$L$4*2*Таблица1[[#This Row],[Столбец1]]*Таблица1[[#This Row],[коэф]])),
IF((G323="4/4"),((база!$I$5*2*Таблица1[[#This Row],[Столбец1]]*Таблица1[[#This Row],[коэф]])),
IF(OR(G323="2/4",G323="3/4"),((база!$I$4*2*Таблица1[[#This Row],[Столбец1]]*Таблица1[[#This Row],[коэф]])),
IF((G323="5/8"),((база!$J$6*2*Таблица1[[#This Row],[Столбец1]]*Таблица1[[#This Row],[коэф]])),
IF((G323="4/8"),((база!$J$5*2*Таблица1[[#This Row],[Столбец1]]*Таблица1[[#This Row],[коэф]])),
IF(OR(G323="3/8",G323="2/8"),((база!$J$4*2*Таблица1[[#This Row],[Столбец1]]*Таблица1[[#This Row],[коэф]])))))))))))))),
(IF((G323="5/24"),((база!$M$6*2*Таблица1[[#This Row],[Столбец1]]*Таблица1[[#This Row],[коэф]])),
IF(OR(G323="4/24",G323="3/24"),((база!$M$5*2*Таблица1[[#This Row],[Столбец1]]*Таблица1[[#This Row],[коэф]])),
IF((G323="5/16"),((база!$L$6*2*Таблица1[[#This Row],[Столбец1]]*Таблица1[[#This Row],[коэф]])),
IF(OR(G323="4/16",G323="3/16"),((база!$L$5*2*Таблица1[[#This Row],[Столбец1]]*Таблица1[[#This Row],[коэф]])),
IF(OR(G323="2/4",G323="3/4",G323="4/4"),((база!$I$5*2*Таблица1[[#This Row],[Столбец1]]*Таблица1[[#This Row],[коэф]])),
IF((G323="5/8"),((база!$J$6*2*Таблица1[[#This Row],[Столбец1]]*Таблица1[[#This Row],[коэф]])),
IF(OR(G323="4/8",G323="3/8",G323="2/8"),((база!$J$5*2*Таблица1[[#This Row],[Столбец1]]*Таблица1[[#This Row],[коэф]])))))))))))</f>
        <v>0</v>
      </c>
      <c r="AQ323" s="712" t="str">
        <f>IFERROR(INDEX(база!T:T, MATCH(F323,база!Q:Q,0)),"")</f>
        <v/>
      </c>
      <c r="AR323" s="208" t="str">
        <f>IFERROR(INDEX(база!D:D, MATCH(F323,база!B:B,0)),"")</f>
        <v/>
      </c>
      <c r="AS323" s="758" t="str">
        <f>IFERROR(INDEX(база!E:E, MATCH(F323,база!B:B,0)),"")</f>
        <v/>
      </c>
    </row>
    <row r="324" spans="1:45" ht="15">
      <c r="A324" s="66" t="str">
        <f t="shared" si="4"/>
        <v>январь</v>
      </c>
      <c r="B324" s="231">
        <v>2024</v>
      </c>
      <c r="C324" s="299"/>
      <c r="D324" s="61"/>
      <c r="E324" s="211"/>
      <c r="F324" s="680"/>
      <c r="G324" s="47"/>
      <c r="H324" s="563"/>
      <c r="I324" s="563"/>
      <c r="J324" s="563"/>
      <c r="K324" s="563"/>
      <c r="L324" s="563"/>
      <c r="M324" s="563"/>
      <c r="N324" s="563"/>
      <c r="O324" s="563"/>
      <c r="P324" s="300"/>
      <c r="Q324" s="563"/>
      <c r="R324" s="563"/>
      <c r="S324" s="563"/>
      <c r="T324" s="563"/>
      <c r="U324" s="563"/>
      <c r="V324" s="563"/>
      <c r="W324" s="563"/>
      <c r="X324" s="563"/>
      <c r="Y324" s="563"/>
      <c r="Z324" s="563"/>
      <c r="AA324" s="563"/>
      <c r="AB324" s="563"/>
      <c r="AC324" s="563"/>
      <c r="AD324" s="48"/>
      <c r="AE324" s="48"/>
      <c r="AF324" s="258"/>
      <c r="AG324" s="48"/>
      <c r="AH324" s="48"/>
      <c r="AI324" s="48"/>
      <c r="AJ324" s="48"/>
      <c r="AK324" s="48"/>
      <c r="AL324" s="51"/>
      <c r="AM324" s="212">
        <f>IF(AQ324=1,SUM(Q324:T324,W324:Z324,AC324:AF324,AI324:AL324),
IF(AQ324=2,SUM(P324,S324:V324,Y324:AB324,AE324:AH324,AK324:AL324),
IF(AQ324=3,SUM(P324:R324,U324:X324,AA324:AD324,AG324:AJ324),SUM(Таблица1[[#This Row],[1]:[31]])-Таблица1[[#This Row],[Столбец1]])))</f>
        <v>0</v>
      </c>
      <c r="AN324" s="778">
        <f t="array" ref="AN324">IF(AQ324=1,SUM(P324,U324:V324,AA324:AB324,AG324:AH324),
IF(AQ324=2,SUM(Q324:R324,W324:X324,AC324:AD324,AI324:AJ324),
IF(AQ324=3,SUM(S324:T324,Y324:Z324,AE324:AF324,AK324:AL324),
SUM(IFERROR(WEEKDAY($H$2:$AL$2,2)&gt;5,)*H324:AL324))))+Таблица1[[#This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24" s="292" t="b">
        <f>IF(AR324&lt;=3,(IF((G324="5/24"),((база!$M$6*Таблица1[[#This Row],[сумма]]*Таблица1[[#This Row],[коэф]])),
IF((G324="4/24"),((база!$M$5*Таблица1[[#This Row],[сумма]]*Таблица1[[#This Row],[коэф]])),
IF((G324="3/24"),((база!$M$4*Таблица1[[#This Row],[сумма]]*Таблица1[[#This Row],[коэф]])),
IF((G324="5/16"),((база!$L$6*Таблица1[[#This Row],[сумма]]*Таблица1[[#This Row],[коэф]])),
IF((G324="4/16"),((база!$L$5*Таблица1[[#This Row],[сумма]]*Таблица1[[#This Row],[коэф]])),
IF((G324="3/16"),((база!$L$4*Таблица1[[#This Row],[сумма]]*Таблица1[[#This Row],[коэф]])),
IF((G324="4/4"),((база!$I$5*Таблица1[[#This Row],[сумма]]*Таблица1[[#This Row],[коэф]])),
IF(OR(G324="2/4",G324="3/4"),((база!$I$4*Таблица1[[#This Row],[сумма]]*Таблица1[[#This Row],[коэф]])),
IF((G324="5/8"),((база!$J$6*Таблица1[[#This Row],[сумма]]*Таблица1[[#This Row],[коэф]])),
IF((G324="4/8"),((база!$J$5*Таблица1[[#This Row],[сумма]]*Таблица1[[#This Row],[коэф]])),
IF(OR(G324="3/8",G324="2/8"),((база!$J$4*Таблица1[[#This Row],[сумма]]*Таблица1[[#This Row],[коэф]])))))))))))))),
(IF((G324="5/24"),((база!$M$6*Таблица1[[#This Row],[сумма]]*Таблица1[[#This Row],[коэф]])),
IF(OR(G324="4/24",G324="3/24"),((база!$M$5*Таблица1[[#This Row],[сумма]]*Таблица1[[#This Row],[коэф]])),
IF((G324="5/16"),((база!$L$6*Таблица1[[#This Row],[сумма]]*Таблица1[[#This Row],[коэф]])),
IF(OR(G324="4/16",G324="3/16"),((база!$L$5*Таблица1[[#This Row],[сумма]]*Таблица1[[#This Row],[коэф]])),
IF(OR(G324="2/4",G324="3/4",G324="4/4"),((база!$I$5*Таблица1[[#This Row],[сумма]]*Таблица1[[#This Row],[коэф]])),
IF((G324="5/8"),((база!$J$6*Таблица1[[#This Row],[сумма]]*Таблица1[[#This Row],[коэф]])),
IF(OR(G324="4/8",G324="3/8",G324="2/8"),((база!$J$5*Таблица1[[#This Row],[сумма]]*Таблица1[[#This Row],[коэф]])))))))))))</f>
        <v>0</v>
      </c>
      <c r="AP324" s="730" t="b">
        <f>IF(AR324&lt;=3,(IF((G324="5/24"),((база!$M$6*2*Таблица1[[#This Row],[Столбец1]]*Таблица1[[#This Row],[коэф]])),
IF((G324="4/24"),((база!$M$5*2*Таблица1[[#This Row],[Столбец1]]*Таблица1[[#This Row],[коэф]])),
IF((G324="3/24"),((база!$M$4*2*Таблица1[[#This Row],[Столбец1]]*Таблица1[[#This Row],[коэф]])),
IF((G324="5/16"),((база!$L$6*2*Таблица1[[#This Row],[Столбец1]]*Таблица1[[#This Row],[коэф]])),
IF((G324="4/16"),((база!$L$5*2*Таблица1[[#This Row],[Столбец1]]*Таблица1[[#This Row],[коэф]])),
IF((G324="3/16"),((база!$L$4*2*Таблица1[[#This Row],[Столбец1]]*Таблица1[[#This Row],[коэф]])),
IF((G324="4/4"),((база!$I$5*2*Таблица1[[#This Row],[Столбец1]]*Таблица1[[#This Row],[коэф]])),
IF(OR(G324="2/4",G324="3/4"),((база!$I$4*2*Таблица1[[#This Row],[Столбец1]]*Таблица1[[#This Row],[коэф]])),
IF((G324="5/8"),((база!$J$6*2*Таблица1[[#This Row],[Столбец1]]*Таблица1[[#This Row],[коэф]])),
IF((G324="4/8"),((база!$J$5*2*Таблица1[[#This Row],[Столбец1]]*Таблица1[[#This Row],[коэф]])),
IF(OR(G324="3/8",G324="2/8"),((база!$J$4*2*Таблица1[[#This Row],[Столбец1]]*Таблица1[[#This Row],[коэф]])))))))))))))),
(IF((G324="5/24"),((база!$M$6*2*Таблица1[[#This Row],[Столбец1]]*Таблица1[[#This Row],[коэф]])),
IF(OR(G324="4/24",G324="3/24"),((база!$M$5*2*Таблица1[[#This Row],[Столбец1]]*Таблица1[[#This Row],[коэф]])),
IF((G324="5/16"),((база!$L$6*2*Таблица1[[#This Row],[Столбец1]]*Таблица1[[#This Row],[коэф]])),
IF(OR(G324="4/16",G324="3/16"),((база!$L$5*2*Таблица1[[#This Row],[Столбец1]]*Таблица1[[#This Row],[коэф]])),
IF(OR(G324="2/4",G324="3/4",G324="4/4"),((база!$I$5*2*Таблица1[[#This Row],[Столбец1]]*Таблица1[[#This Row],[коэф]])),
IF((G324="5/8"),((база!$J$6*2*Таблица1[[#This Row],[Столбец1]]*Таблица1[[#This Row],[коэф]])),
IF(OR(G324="4/8",G324="3/8",G324="2/8"),((база!$J$5*2*Таблица1[[#This Row],[Столбец1]]*Таблица1[[#This Row],[коэф]])))))))))))</f>
        <v>0</v>
      </c>
      <c r="AQ324" s="712" t="str">
        <f>IFERROR(INDEX(база!T:T, MATCH(F324,база!Q:Q,0)),"")</f>
        <v/>
      </c>
      <c r="AR324" s="208" t="str">
        <f>IFERROR(INDEX(база!D:D, MATCH(F324,база!B:B,0)),"")</f>
        <v/>
      </c>
      <c r="AS324" s="758" t="str">
        <f>IFERROR(INDEX(база!E:E, MATCH(F324,база!B:B,0)),"")</f>
        <v/>
      </c>
    </row>
    <row r="325" spans="1:45" ht="15">
      <c r="A325" s="66" t="str">
        <f t="shared" si="4"/>
        <v>январь</v>
      </c>
      <c r="B325" s="231">
        <v>2024</v>
      </c>
      <c r="C325" s="60"/>
      <c r="D325" s="61"/>
      <c r="E325" s="211"/>
      <c r="F325" s="680"/>
      <c r="G325" s="47"/>
      <c r="H325" s="563"/>
      <c r="I325" s="563"/>
      <c r="J325" s="563"/>
      <c r="K325" s="563"/>
      <c r="L325" s="563"/>
      <c r="M325" s="563"/>
      <c r="N325" s="563"/>
      <c r="O325" s="563"/>
      <c r="P325" s="300"/>
      <c r="Q325" s="563"/>
      <c r="R325" s="563"/>
      <c r="S325" s="563"/>
      <c r="T325" s="563"/>
      <c r="U325" s="563"/>
      <c r="V325" s="563"/>
      <c r="W325" s="563"/>
      <c r="X325" s="563"/>
      <c r="Y325" s="563"/>
      <c r="Z325" s="563"/>
      <c r="AA325" s="563"/>
      <c r="AB325" s="563"/>
      <c r="AC325" s="563"/>
      <c r="AD325" s="48"/>
      <c r="AE325" s="48"/>
      <c r="AF325" s="48"/>
      <c r="AG325" s="48"/>
      <c r="AH325" s="48"/>
      <c r="AI325" s="258"/>
      <c r="AJ325" s="258"/>
      <c r="AK325" s="258"/>
      <c r="AL325" s="258"/>
      <c r="AM325" s="212">
        <f>IF(AQ325=1,SUM(Q325:T325,W325:Z325,AC325:AF325,AI325:AL325),
IF(AQ325=2,SUM(P325,S325:V325,Y325:AB325,AE325:AH325,AK325:AL325),
IF(AQ325=3,SUM(P325:R325,U325:X325,AA325:AD325,AG325:AJ325),SUM(Таблица1[[#This Row],[1]:[31]])-Таблица1[[#This Row],[Столбец1]])))</f>
        <v>0</v>
      </c>
      <c r="AN325" s="778">
        <f t="array" ref="AN325">IF(AQ325=1,SUM(P325,U325:V325,AA325:AB325,AG325:AH325),
IF(AQ325=2,SUM(Q325:R325,W325:X325,AC325:AD325,AI325:AJ325),
IF(AQ325=3,SUM(S325:T325,Y325:Z325,AE325:AF325,AK325:AL325),
SUM(IFERROR(WEEKDAY($H$2:$AL$2,2)&gt;5,)*H325:AL325))))+Таблица1[[#This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25" s="292" t="b">
        <f>IF(AR325&lt;=3,(IF((G325="5/24"),((база!$M$6*Таблица1[[#This Row],[сумма]]*Таблица1[[#This Row],[коэф]])),
IF((G325="4/24"),((база!$M$5*Таблица1[[#This Row],[сумма]]*Таблица1[[#This Row],[коэф]])),
IF((G325="3/24"),((база!$M$4*Таблица1[[#This Row],[сумма]]*Таблица1[[#This Row],[коэф]])),
IF((G325="5/16"),((база!$L$6*Таблица1[[#This Row],[сумма]]*Таблица1[[#This Row],[коэф]])),
IF((G325="4/16"),((база!$L$5*Таблица1[[#This Row],[сумма]]*Таблица1[[#This Row],[коэф]])),
IF((G325="3/16"),((база!$L$4*Таблица1[[#This Row],[сумма]]*Таблица1[[#This Row],[коэф]])),
IF((G325="4/4"),((база!$I$5*Таблица1[[#This Row],[сумма]]*Таблица1[[#This Row],[коэф]])),
IF(OR(G325="2/4",G325="3/4"),((база!$I$4*Таблица1[[#This Row],[сумма]]*Таблица1[[#This Row],[коэф]])),
IF((G325="5/8"),((база!$J$6*Таблица1[[#This Row],[сумма]]*Таблица1[[#This Row],[коэф]])),
IF((G325="4/8"),((база!$J$5*Таблица1[[#This Row],[сумма]]*Таблица1[[#This Row],[коэф]])),
IF(OR(G325="3/8",G325="2/8"),((база!$J$4*Таблица1[[#This Row],[сумма]]*Таблица1[[#This Row],[коэф]])))))))))))))),
(IF((G325="5/24"),((база!$M$6*Таблица1[[#This Row],[сумма]]*Таблица1[[#This Row],[коэф]])),
IF(OR(G325="4/24",G325="3/24"),((база!$M$5*Таблица1[[#This Row],[сумма]]*Таблица1[[#This Row],[коэф]])),
IF((G325="5/16"),((база!$L$6*Таблица1[[#This Row],[сумма]]*Таблица1[[#This Row],[коэф]])),
IF(OR(G325="4/16",G325="3/16"),((база!$L$5*Таблица1[[#This Row],[сумма]]*Таблица1[[#This Row],[коэф]])),
IF(OR(G325="2/4",G325="3/4",G325="4/4"),((база!$I$5*Таблица1[[#This Row],[сумма]]*Таблица1[[#This Row],[коэф]])),
IF((G325="5/8"),((база!$J$6*Таблица1[[#This Row],[сумма]]*Таблица1[[#This Row],[коэф]])),
IF(OR(G325="4/8",G325="3/8",G325="2/8"),((база!$J$5*Таблица1[[#This Row],[сумма]]*Таблица1[[#This Row],[коэф]])))))))))))</f>
        <v>0</v>
      </c>
      <c r="AP325" s="730" t="b">
        <f>IF(AR325&lt;=3,(IF((G325="5/24"),((база!$M$6*2*Таблица1[[#This Row],[Столбец1]]*Таблица1[[#This Row],[коэф]])),
IF((G325="4/24"),((база!$M$5*2*Таблица1[[#This Row],[Столбец1]]*Таблица1[[#This Row],[коэф]])),
IF((G325="3/24"),((база!$M$4*2*Таблица1[[#This Row],[Столбец1]]*Таблица1[[#This Row],[коэф]])),
IF((G325="5/16"),((база!$L$6*2*Таблица1[[#This Row],[Столбец1]]*Таблица1[[#This Row],[коэф]])),
IF((G325="4/16"),((база!$L$5*2*Таблица1[[#This Row],[Столбец1]]*Таблица1[[#This Row],[коэф]])),
IF((G325="3/16"),((база!$L$4*2*Таблица1[[#This Row],[Столбец1]]*Таблица1[[#This Row],[коэф]])),
IF((G325="4/4"),((база!$I$5*2*Таблица1[[#This Row],[Столбец1]]*Таблица1[[#This Row],[коэф]])),
IF(OR(G325="2/4",G325="3/4"),((база!$I$4*2*Таблица1[[#This Row],[Столбец1]]*Таблица1[[#This Row],[коэф]])),
IF((G325="5/8"),((база!$J$6*2*Таблица1[[#This Row],[Столбец1]]*Таблица1[[#This Row],[коэф]])),
IF((G325="4/8"),((база!$J$5*2*Таблица1[[#This Row],[Столбец1]]*Таблица1[[#This Row],[коэф]])),
IF(OR(G325="3/8",G325="2/8"),((база!$J$4*2*Таблица1[[#This Row],[Столбец1]]*Таблица1[[#This Row],[коэф]])))))))))))))),
(IF((G325="5/24"),((база!$M$6*2*Таблица1[[#This Row],[Столбец1]]*Таблица1[[#This Row],[коэф]])),
IF(OR(G325="4/24",G325="3/24"),((база!$M$5*2*Таблица1[[#This Row],[Столбец1]]*Таблица1[[#This Row],[коэф]])),
IF((G325="5/16"),((база!$L$6*2*Таблица1[[#This Row],[Столбец1]]*Таблица1[[#This Row],[коэф]])),
IF(OR(G325="4/16",G325="3/16"),((база!$L$5*2*Таблица1[[#This Row],[Столбец1]]*Таблица1[[#This Row],[коэф]])),
IF(OR(G325="2/4",G325="3/4",G325="4/4"),((база!$I$5*2*Таблица1[[#This Row],[Столбец1]]*Таблица1[[#This Row],[коэф]])),
IF((G325="5/8"),((база!$J$6*2*Таблица1[[#This Row],[Столбец1]]*Таблица1[[#This Row],[коэф]])),
IF(OR(G325="4/8",G325="3/8",G325="2/8"),((база!$J$5*2*Таблица1[[#This Row],[Столбец1]]*Таблица1[[#This Row],[коэф]])))))))))))</f>
        <v>0</v>
      </c>
      <c r="AQ325" s="712" t="str">
        <f>IFERROR(INDEX(база!T:T, MATCH(F325,база!Q:Q,0)),"")</f>
        <v/>
      </c>
      <c r="AR325" s="208" t="str">
        <f>IFERROR(INDEX(база!D:D, MATCH(F325,база!B:B,0)),"")</f>
        <v/>
      </c>
      <c r="AS325" s="758" t="str">
        <f>IFERROR(INDEX(база!E:E, MATCH(F325,база!B:B,0)),"")</f>
        <v/>
      </c>
    </row>
    <row r="326" spans="1:45" ht="15">
      <c r="A326" s="66" t="str">
        <f t="shared" si="4"/>
        <v>январь</v>
      </c>
      <c r="B326" s="231">
        <v>2024</v>
      </c>
      <c r="C326" s="60"/>
      <c r="D326" s="61"/>
      <c r="E326" s="211"/>
      <c r="F326" s="680"/>
      <c r="G326" s="47"/>
      <c r="H326" s="563"/>
      <c r="I326" s="563"/>
      <c r="J326" s="563"/>
      <c r="K326" s="563"/>
      <c r="L326" s="563"/>
      <c r="M326" s="563"/>
      <c r="N326" s="563"/>
      <c r="O326" s="563"/>
      <c r="P326" s="300"/>
      <c r="Q326" s="563"/>
      <c r="R326" s="563"/>
      <c r="S326" s="563"/>
      <c r="T326" s="563"/>
      <c r="U326" s="563"/>
      <c r="V326" s="563"/>
      <c r="W326" s="563"/>
      <c r="X326" s="563"/>
      <c r="Y326" s="563"/>
      <c r="Z326" s="563"/>
      <c r="AA326" s="563"/>
      <c r="AB326" s="563"/>
      <c r="AC326" s="563"/>
      <c r="AD326" s="48"/>
      <c r="AE326" s="48"/>
      <c r="AF326" s="258"/>
      <c r="AG326" s="48"/>
      <c r="AH326" s="48"/>
      <c r="AI326" s="48"/>
      <c r="AJ326" s="48"/>
      <c r="AK326" s="48"/>
      <c r="AL326" s="48"/>
      <c r="AM326" s="212">
        <f>IF(AQ326=1,SUM(Q326:T326,W326:Z326,AC326:AF326,AI326:AL326),
IF(AQ326=2,SUM(P326,S326:V326,Y326:AB326,AE326:AH326,AK326:AL326),
IF(AQ326=3,SUM(P326:R326,U326:X326,AA326:AD326,AG326:AJ326),SUM(Таблица1[[#This Row],[1]:[31]])-Таблица1[[#This Row],[Столбец1]])))</f>
        <v>0</v>
      </c>
      <c r="AN326" s="778">
        <f t="array" ref="AN326">IF(AQ326=1,SUM(P326,U326:V326,AA326:AB326,AG326:AH326),
IF(AQ326=2,SUM(Q326:R326,W326:X326,AC326:AD326,AI326:AJ326),
IF(AQ326=3,SUM(S326:T326,Y326:Z326,AE326:AF326,AK326:AL326),
SUM(IFERROR(WEEKDAY($H$2:$AL$2,2)&gt;5,)*H326:AL326))))+Таблица1[[#This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26" s="292" t="b">
        <f>IF(AR326&lt;=3,(IF((G326="5/24"),((база!$M$6*Таблица1[[#This Row],[сумма]]*Таблица1[[#This Row],[коэф]])),
IF((G326="4/24"),((база!$M$5*Таблица1[[#This Row],[сумма]]*Таблица1[[#This Row],[коэф]])),
IF((G326="3/24"),((база!$M$4*Таблица1[[#This Row],[сумма]]*Таблица1[[#This Row],[коэф]])),
IF((G326="5/16"),((база!$L$6*Таблица1[[#This Row],[сумма]]*Таблица1[[#This Row],[коэф]])),
IF((G326="4/16"),((база!$L$5*Таблица1[[#This Row],[сумма]]*Таблица1[[#This Row],[коэф]])),
IF((G326="3/16"),((база!$L$4*Таблица1[[#This Row],[сумма]]*Таблица1[[#This Row],[коэф]])),
IF((G326="4/4"),((база!$I$5*Таблица1[[#This Row],[сумма]]*Таблица1[[#This Row],[коэф]])),
IF(OR(G326="2/4",G326="3/4"),((база!$I$4*Таблица1[[#This Row],[сумма]]*Таблица1[[#This Row],[коэф]])),
IF((G326="5/8"),((база!$J$6*Таблица1[[#This Row],[сумма]]*Таблица1[[#This Row],[коэф]])),
IF((G326="4/8"),((база!$J$5*Таблица1[[#This Row],[сумма]]*Таблица1[[#This Row],[коэф]])),
IF(OR(G326="3/8",G326="2/8"),((база!$J$4*Таблица1[[#This Row],[сумма]]*Таблица1[[#This Row],[коэф]])))))))))))))),
(IF((G326="5/24"),((база!$M$6*Таблица1[[#This Row],[сумма]]*Таблица1[[#This Row],[коэф]])),
IF(OR(G326="4/24",G326="3/24"),((база!$M$5*Таблица1[[#This Row],[сумма]]*Таблица1[[#This Row],[коэф]])),
IF((G326="5/16"),((база!$L$6*Таблица1[[#This Row],[сумма]]*Таблица1[[#This Row],[коэф]])),
IF(OR(G326="4/16",G326="3/16"),((база!$L$5*Таблица1[[#This Row],[сумма]]*Таблица1[[#This Row],[коэф]])),
IF(OR(G326="2/4",G326="3/4",G326="4/4"),((база!$I$5*Таблица1[[#This Row],[сумма]]*Таблица1[[#This Row],[коэф]])),
IF((G326="5/8"),((база!$J$6*Таблица1[[#This Row],[сумма]]*Таблица1[[#This Row],[коэф]])),
IF(OR(G326="4/8",G326="3/8",G326="2/8"),((база!$J$5*Таблица1[[#This Row],[сумма]]*Таблица1[[#This Row],[коэф]])))))))))))</f>
        <v>0</v>
      </c>
      <c r="AP326" s="730" t="b">
        <f>IF(AR326&lt;=3,(IF((G326="5/24"),((база!$M$6*2*Таблица1[[#This Row],[Столбец1]]*Таблица1[[#This Row],[коэф]])),
IF((G326="4/24"),((база!$M$5*2*Таблица1[[#This Row],[Столбец1]]*Таблица1[[#This Row],[коэф]])),
IF((G326="3/24"),((база!$M$4*2*Таблица1[[#This Row],[Столбец1]]*Таблица1[[#This Row],[коэф]])),
IF((G326="5/16"),((база!$L$6*2*Таблица1[[#This Row],[Столбец1]]*Таблица1[[#This Row],[коэф]])),
IF((G326="4/16"),((база!$L$5*2*Таблица1[[#This Row],[Столбец1]]*Таблица1[[#This Row],[коэф]])),
IF((G326="3/16"),((база!$L$4*2*Таблица1[[#This Row],[Столбец1]]*Таблица1[[#This Row],[коэф]])),
IF((G326="4/4"),((база!$I$5*2*Таблица1[[#This Row],[Столбец1]]*Таблица1[[#This Row],[коэф]])),
IF(OR(G326="2/4",G326="3/4"),((база!$I$4*2*Таблица1[[#This Row],[Столбец1]]*Таблица1[[#This Row],[коэф]])),
IF((G326="5/8"),((база!$J$6*2*Таблица1[[#This Row],[Столбец1]]*Таблица1[[#This Row],[коэф]])),
IF((G326="4/8"),((база!$J$5*2*Таблица1[[#This Row],[Столбец1]]*Таблица1[[#This Row],[коэф]])),
IF(OR(G326="3/8",G326="2/8"),((база!$J$4*2*Таблица1[[#This Row],[Столбец1]]*Таблица1[[#This Row],[коэф]])))))))))))))),
(IF((G326="5/24"),((база!$M$6*2*Таблица1[[#This Row],[Столбец1]]*Таблица1[[#This Row],[коэф]])),
IF(OR(G326="4/24",G326="3/24"),((база!$M$5*2*Таблица1[[#This Row],[Столбец1]]*Таблица1[[#This Row],[коэф]])),
IF((G326="5/16"),((база!$L$6*2*Таблица1[[#This Row],[Столбец1]]*Таблица1[[#This Row],[коэф]])),
IF(OR(G326="4/16",G326="3/16"),((база!$L$5*2*Таблица1[[#This Row],[Столбец1]]*Таблица1[[#This Row],[коэф]])),
IF(OR(G326="2/4",G326="3/4",G326="4/4"),((база!$I$5*2*Таблица1[[#This Row],[Столбец1]]*Таблица1[[#This Row],[коэф]])),
IF((G326="5/8"),((база!$J$6*2*Таблица1[[#This Row],[Столбец1]]*Таблица1[[#This Row],[коэф]])),
IF(OR(G326="4/8",G326="3/8",G326="2/8"),((база!$J$5*2*Таблица1[[#This Row],[Столбец1]]*Таблица1[[#This Row],[коэф]])))))))))))</f>
        <v>0</v>
      </c>
      <c r="AQ326" s="712" t="str">
        <f>IFERROR(INDEX(база!T:T, MATCH(F326,база!Q:Q,0)),"")</f>
        <v/>
      </c>
      <c r="AR326" s="208" t="str">
        <f>IFERROR(INDEX(база!D:D, MATCH(F326,база!B:B,0)),"")</f>
        <v/>
      </c>
      <c r="AS326" s="758" t="str">
        <f>IFERROR(INDEX(база!E:E, MATCH(F326,база!B:B,0)),"")</f>
        <v/>
      </c>
    </row>
    <row r="327" spans="1:45" ht="15">
      <c r="A327" s="66" t="str">
        <f t="shared" si="4"/>
        <v>январь</v>
      </c>
      <c r="B327" s="231">
        <v>2024</v>
      </c>
      <c r="C327" s="299"/>
      <c r="D327" s="61"/>
      <c r="E327" s="211"/>
      <c r="F327" s="680"/>
      <c r="G327" s="47"/>
      <c r="H327" s="563"/>
      <c r="I327" s="563"/>
      <c r="J327" s="563"/>
      <c r="K327" s="563"/>
      <c r="L327" s="563"/>
      <c r="M327" s="563"/>
      <c r="N327" s="563"/>
      <c r="O327" s="563"/>
      <c r="P327" s="300"/>
      <c r="Q327" s="563"/>
      <c r="R327" s="563"/>
      <c r="S327" s="563"/>
      <c r="T327" s="563"/>
      <c r="U327" s="563"/>
      <c r="V327" s="563"/>
      <c r="W327" s="563"/>
      <c r="X327" s="563"/>
      <c r="Y327" s="563"/>
      <c r="Z327" s="563"/>
      <c r="AA327" s="563"/>
      <c r="AB327" s="563"/>
      <c r="AC327" s="563"/>
      <c r="AD327" s="48"/>
      <c r="AE327" s="48"/>
      <c r="AF327" s="258"/>
      <c r="AG327" s="48"/>
      <c r="AH327" s="48"/>
      <c r="AI327" s="258"/>
      <c r="AJ327" s="258"/>
      <c r="AK327" s="258"/>
      <c r="AL327" s="258"/>
      <c r="AM327" s="212">
        <f>IF(AQ327=1,SUM(Q327:T327,W327:Z327,AC327:AF327,AI327:AL327),
IF(AQ327=2,SUM(P327,S327:V327,Y327:AB327,AE327:AH327,AK327:AL327),
IF(AQ327=3,SUM(P327:R327,U327:X327,AA327:AD327,AG327:AJ327),SUM(Таблица1[[#This Row],[1]:[31]])-Таблица1[[#This Row],[Столбец1]])))</f>
        <v>0</v>
      </c>
      <c r="AN327" s="778">
        <f t="array" ref="AN327">IF(AQ327=1,SUM(P327,U327:V327,AA327:AB327,AG327:AH327),
IF(AQ327=2,SUM(Q327:R327,W327:X327,AC327:AD327,AI327:AJ327),
IF(AQ327=3,SUM(S327:T327,Y327:Z327,AE327:AF327,AK327:AL327),
SUM(IFERROR(WEEKDAY($H$2:$AL$2,2)&gt;5,)*H327:AL327))))+Таблица1[[#This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27" s="292" t="b">
        <f>IF(AR327&lt;=3,(IF((G327="5/24"),((база!$M$6*Таблица1[[#This Row],[сумма]]*Таблица1[[#This Row],[коэф]])),
IF((G327="4/24"),((база!$M$5*Таблица1[[#This Row],[сумма]]*Таблица1[[#This Row],[коэф]])),
IF((G327="3/24"),((база!$M$4*Таблица1[[#This Row],[сумма]]*Таблица1[[#This Row],[коэф]])),
IF((G327="5/16"),((база!$L$6*Таблица1[[#This Row],[сумма]]*Таблица1[[#This Row],[коэф]])),
IF((G327="4/16"),((база!$L$5*Таблица1[[#This Row],[сумма]]*Таблица1[[#This Row],[коэф]])),
IF((G327="3/16"),((база!$L$4*Таблица1[[#This Row],[сумма]]*Таблица1[[#This Row],[коэф]])),
IF((G327="4/4"),((база!$I$5*Таблица1[[#This Row],[сумма]]*Таблица1[[#This Row],[коэф]])),
IF(OR(G327="2/4",G327="3/4"),((база!$I$4*Таблица1[[#This Row],[сумма]]*Таблица1[[#This Row],[коэф]])),
IF((G327="5/8"),((база!$J$6*Таблица1[[#This Row],[сумма]]*Таблица1[[#This Row],[коэф]])),
IF((G327="4/8"),((база!$J$5*Таблица1[[#This Row],[сумма]]*Таблица1[[#This Row],[коэф]])),
IF(OR(G327="3/8",G327="2/8"),((база!$J$4*Таблица1[[#This Row],[сумма]]*Таблица1[[#This Row],[коэф]])))))))))))))),
(IF((G327="5/24"),((база!$M$6*Таблица1[[#This Row],[сумма]]*Таблица1[[#This Row],[коэф]])),
IF(OR(G327="4/24",G327="3/24"),((база!$M$5*Таблица1[[#This Row],[сумма]]*Таблица1[[#This Row],[коэф]])),
IF((G327="5/16"),((база!$L$6*Таблица1[[#This Row],[сумма]]*Таблица1[[#This Row],[коэф]])),
IF(OR(G327="4/16",G327="3/16"),((база!$L$5*Таблица1[[#This Row],[сумма]]*Таблица1[[#This Row],[коэф]])),
IF(OR(G327="2/4",G327="3/4",G327="4/4"),((база!$I$5*Таблица1[[#This Row],[сумма]]*Таблица1[[#This Row],[коэф]])),
IF((G327="5/8"),((база!$J$6*Таблица1[[#This Row],[сумма]]*Таблица1[[#This Row],[коэф]])),
IF(OR(G327="4/8",G327="3/8",G327="2/8"),((база!$J$5*Таблица1[[#This Row],[сумма]]*Таблица1[[#This Row],[коэф]])))))))))))</f>
        <v>0</v>
      </c>
      <c r="AP327" s="730" t="b">
        <f>IF(AR327&lt;=3,(IF((G327="5/24"),((база!$M$6*2*Таблица1[[#This Row],[Столбец1]]*Таблица1[[#This Row],[коэф]])),
IF((G327="4/24"),((база!$M$5*2*Таблица1[[#This Row],[Столбец1]]*Таблица1[[#This Row],[коэф]])),
IF((G327="3/24"),((база!$M$4*2*Таблица1[[#This Row],[Столбец1]]*Таблица1[[#This Row],[коэф]])),
IF((G327="5/16"),((база!$L$6*2*Таблица1[[#This Row],[Столбец1]]*Таблица1[[#This Row],[коэф]])),
IF((G327="4/16"),((база!$L$5*2*Таблица1[[#This Row],[Столбец1]]*Таблица1[[#This Row],[коэф]])),
IF((G327="3/16"),((база!$L$4*2*Таблица1[[#This Row],[Столбец1]]*Таблица1[[#This Row],[коэф]])),
IF((G327="4/4"),((база!$I$5*2*Таблица1[[#This Row],[Столбец1]]*Таблица1[[#This Row],[коэф]])),
IF(OR(G327="2/4",G327="3/4"),((база!$I$4*2*Таблица1[[#This Row],[Столбец1]]*Таблица1[[#This Row],[коэф]])),
IF((G327="5/8"),((база!$J$6*2*Таблица1[[#This Row],[Столбец1]]*Таблица1[[#This Row],[коэф]])),
IF((G327="4/8"),((база!$J$5*2*Таблица1[[#This Row],[Столбец1]]*Таблица1[[#This Row],[коэф]])),
IF(OR(G327="3/8",G327="2/8"),((база!$J$4*2*Таблица1[[#This Row],[Столбец1]]*Таблица1[[#This Row],[коэф]])))))))))))))),
(IF((G327="5/24"),((база!$M$6*2*Таблица1[[#This Row],[Столбец1]]*Таблица1[[#This Row],[коэф]])),
IF(OR(G327="4/24",G327="3/24"),((база!$M$5*2*Таблица1[[#This Row],[Столбец1]]*Таблица1[[#This Row],[коэф]])),
IF((G327="5/16"),((база!$L$6*2*Таблица1[[#This Row],[Столбец1]]*Таблица1[[#This Row],[коэф]])),
IF(OR(G327="4/16",G327="3/16"),((база!$L$5*2*Таблица1[[#This Row],[Столбец1]]*Таблица1[[#This Row],[коэф]])),
IF(OR(G327="2/4",G327="3/4",G327="4/4"),((база!$I$5*2*Таблица1[[#This Row],[Столбец1]]*Таблица1[[#This Row],[коэф]])),
IF((G327="5/8"),((база!$J$6*2*Таблица1[[#This Row],[Столбец1]]*Таблица1[[#This Row],[коэф]])),
IF(OR(G327="4/8",G327="3/8",G327="2/8"),((база!$J$5*2*Таблица1[[#This Row],[Столбец1]]*Таблица1[[#This Row],[коэф]])))))))))))</f>
        <v>0</v>
      </c>
      <c r="AQ327" s="712" t="str">
        <f>IFERROR(INDEX(база!T:T, MATCH(F327,база!Q:Q,0)),"")</f>
        <v/>
      </c>
      <c r="AR327" s="208" t="str">
        <f>IFERROR(INDEX(база!D:D, MATCH(F327,база!B:B,0)),"")</f>
        <v/>
      </c>
      <c r="AS327" s="758" t="str">
        <f>IFERROR(INDEX(база!E:E, MATCH(F327,база!B:B,0)),"")</f>
        <v/>
      </c>
    </row>
    <row r="328" spans="1:45" ht="15">
      <c r="A328" s="66" t="str">
        <f t="shared" si="4"/>
        <v>январь</v>
      </c>
      <c r="B328" s="231">
        <v>2024</v>
      </c>
      <c r="C328" s="299"/>
      <c r="D328" s="61"/>
      <c r="E328" s="211"/>
      <c r="F328" s="680"/>
      <c r="G328" s="47"/>
      <c r="H328" s="563"/>
      <c r="I328" s="563"/>
      <c r="J328" s="563"/>
      <c r="K328" s="563"/>
      <c r="L328" s="563"/>
      <c r="M328" s="563"/>
      <c r="N328" s="563"/>
      <c r="O328" s="563"/>
      <c r="P328" s="300"/>
      <c r="Q328" s="563"/>
      <c r="R328" s="563"/>
      <c r="S328" s="563"/>
      <c r="T328" s="563"/>
      <c r="U328" s="563"/>
      <c r="V328" s="563"/>
      <c r="W328" s="563"/>
      <c r="X328" s="563"/>
      <c r="Y328" s="563"/>
      <c r="Z328" s="563"/>
      <c r="AA328" s="563"/>
      <c r="AB328" s="563"/>
      <c r="AC328" s="563"/>
      <c r="AD328" s="48"/>
      <c r="AE328" s="48"/>
      <c r="AF328" s="258"/>
      <c r="AG328" s="48"/>
      <c r="AH328" s="48"/>
      <c r="AI328" s="48"/>
      <c r="AJ328" s="48"/>
      <c r="AK328" s="48"/>
      <c r="AL328" s="51"/>
      <c r="AM328" s="212">
        <f>IF(AQ328=1,SUM(Q328:T328,W328:Z328,AC328:AF328,AI328:AL328),
IF(AQ328=2,SUM(P328,S328:V328,Y328:AB328,AE328:AH328,AK328:AL328),
IF(AQ328=3,SUM(P328:R328,U328:X328,AA328:AD328,AG328:AJ328),SUM(Таблица1[[#This Row],[1]:[31]])-Таблица1[[#This Row],[Столбец1]])))</f>
        <v>0</v>
      </c>
      <c r="AN328" s="778">
        <f t="array" ref="AN328">IF(AQ328=1,SUM(P328,U328:V328,AA328:AB328,AG328:AH328),
IF(AQ328=2,SUM(Q328:R328,W328:X328,AC328:AD328,AI328:AJ328),
IF(AQ328=3,SUM(S328:T328,Y328:Z328,AE328:AF328,AK328:AL328),
SUM(IFERROR(WEEKDAY($H$2:$AL$2,2)&gt;5,)*H328:AL328))))+Таблица1[[#This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28" s="292" t="b">
        <f>IF(AR328&lt;=3,(IF((G328="5/24"),((база!$M$6*Таблица1[[#This Row],[сумма]]*Таблица1[[#This Row],[коэф]])),
IF((G328="4/24"),((база!$M$5*Таблица1[[#This Row],[сумма]]*Таблица1[[#This Row],[коэф]])),
IF((G328="3/24"),((база!$M$4*Таблица1[[#This Row],[сумма]]*Таблица1[[#This Row],[коэф]])),
IF((G328="5/16"),((база!$L$6*Таблица1[[#This Row],[сумма]]*Таблица1[[#This Row],[коэф]])),
IF((G328="4/16"),((база!$L$5*Таблица1[[#This Row],[сумма]]*Таблица1[[#This Row],[коэф]])),
IF((G328="3/16"),((база!$L$4*Таблица1[[#This Row],[сумма]]*Таблица1[[#This Row],[коэф]])),
IF((G328="4/4"),((база!$I$5*Таблица1[[#This Row],[сумма]]*Таблица1[[#This Row],[коэф]])),
IF(OR(G328="2/4",G328="3/4"),((база!$I$4*Таблица1[[#This Row],[сумма]]*Таблица1[[#This Row],[коэф]])),
IF((G328="5/8"),((база!$J$6*Таблица1[[#This Row],[сумма]]*Таблица1[[#This Row],[коэф]])),
IF((G328="4/8"),((база!$J$5*Таблица1[[#This Row],[сумма]]*Таблица1[[#This Row],[коэф]])),
IF(OR(G328="3/8",G328="2/8"),((база!$J$4*Таблица1[[#This Row],[сумма]]*Таблица1[[#This Row],[коэф]])))))))))))))),
(IF((G328="5/24"),((база!$M$6*Таблица1[[#This Row],[сумма]]*Таблица1[[#This Row],[коэф]])),
IF(OR(G328="4/24",G328="3/24"),((база!$M$5*Таблица1[[#This Row],[сумма]]*Таблица1[[#This Row],[коэф]])),
IF((G328="5/16"),((база!$L$6*Таблица1[[#This Row],[сумма]]*Таблица1[[#This Row],[коэф]])),
IF(OR(G328="4/16",G328="3/16"),((база!$L$5*Таблица1[[#This Row],[сумма]]*Таблица1[[#This Row],[коэф]])),
IF(OR(G328="2/4",G328="3/4",G328="4/4"),((база!$I$5*Таблица1[[#This Row],[сумма]]*Таблица1[[#This Row],[коэф]])),
IF((G328="5/8"),((база!$J$6*Таблица1[[#This Row],[сумма]]*Таблица1[[#This Row],[коэф]])),
IF(OR(G328="4/8",G328="3/8",G328="2/8"),((база!$J$5*Таблица1[[#This Row],[сумма]]*Таблица1[[#This Row],[коэф]])))))))))))</f>
        <v>0</v>
      </c>
      <c r="AP328" s="730" t="b">
        <f>IF(AR328&lt;=3,(IF((G328="5/24"),((база!$M$6*2*Таблица1[[#This Row],[Столбец1]]*Таблица1[[#This Row],[коэф]])),
IF((G328="4/24"),((база!$M$5*2*Таблица1[[#This Row],[Столбец1]]*Таблица1[[#This Row],[коэф]])),
IF((G328="3/24"),((база!$M$4*2*Таблица1[[#This Row],[Столбец1]]*Таблица1[[#This Row],[коэф]])),
IF((G328="5/16"),((база!$L$6*2*Таблица1[[#This Row],[Столбец1]]*Таблица1[[#This Row],[коэф]])),
IF((G328="4/16"),((база!$L$5*2*Таблица1[[#This Row],[Столбец1]]*Таблица1[[#This Row],[коэф]])),
IF((G328="3/16"),((база!$L$4*2*Таблица1[[#This Row],[Столбец1]]*Таблица1[[#This Row],[коэф]])),
IF((G328="4/4"),((база!$I$5*2*Таблица1[[#This Row],[Столбец1]]*Таблица1[[#This Row],[коэф]])),
IF(OR(G328="2/4",G328="3/4"),((база!$I$4*2*Таблица1[[#This Row],[Столбец1]]*Таблица1[[#This Row],[коэф]])),
IF((G328="5/8"),((база!$J$6*2*Таблица1[[#This Row],[Столбец1]]*Таблица1[[#This Row],[коэф]])),
IF((G328="4/8"),((база!$J$5*2*Таблица1[[#This Row],[Столбец1]]*Таблица1[[#This Row],[коэф]])),
IF(OR(G328="3/8",G328="2/8"),((база!$J$4*2*Таблица1[[#This Row],[Столбец1]]*Таблица1[[#This Row],[коэф]])))))))))))))),
(IF((G328="5/24"),((база!$M$6*2*Таблица1[[#This Row],[Столбец1]]*Таблица1[[#This Row],[коэф]])),
IF(OR(G328="4/24",G328="3/24"),((база!$M$5*2*Таблица1[[#This Row],[Столбец1]]*Таблица1[[#This Row],[коэф]])),
IF((G328="5/16"),((база!$L$6*2*Таблица1[[#This Row],[Столбец1]]*Таблица1[[#This Row],[коэф]])),
IF(OR(G328="4/16",G328="3/16"),((база!$L$5*2*Таблица1[[#This Row],[Столбец1]]*Таблица1[[#This Row],[коэф]])),
IF(OR(G328="2/4",G328="3/4",G328="4/4"),((база!$I$5*2*Таблица1[[#This Row],[Столбец1]]*Таблица1[[#This Row],[коэф]])),
IF((G328="5/8"),((база!$J$6*2*Таблица1[[#This Row],[Столбец1]]*Таблица1[[#This Row],[коэф]])),
IF(OR(G328="4/8",G328="3/8",G328="2/8"),((база!$J$5*2*Таблица1[[#This Row],[Столбец1]]*Таблица1[[#This Row],[коэф]])))))))))))</f>
        <v>0</v>
      </c>
      <c r="AQ328" s="712" t="str">
        <f>IFERROR(INDEX(база!T:T, MATCH(F328,база!Q:Q,0)),"")</f>
        <v/>
      </c>
      <c r="AR328" s="208" t="str">
        <f>IFERROR(INDEX(база!D:D, MATCH(F328,база!B:B,0)),"")</f>
        <v/>
      </c>
      <c r="AS328" s="758" t="str">
        <f>IFERROR(INDEX(база!E:E, MATCH(F328,база!B:B,0)),"")</f>
        <v/>
      </c>
    </row>
    <row r="329" spans="1:45" ht="15">
      <c r="A329" s="66" t="str">
        <f t="shared" si="4"/>
        <v>январь</v>
      </c>
      <c r="B329" s="231">
        <v>2024</v>
      </c>
      <c r="C329" s="299"/>
      <c r="D329" s="61"/>
      <c r="E329" s="211"/>
      <c r="F329" s="680"/>
      <c r="G329" s="47"/>
      <c r="H329" s="563"/>
      <c r="I329" s="563"/>
      <c r="J329" s="563"/>
      <c r="K329" s="563"/>
      <c r="L329" s="563"/>
      <c r="M329" s="563"/>
      <c r="N329" s="563"/>
      <c r="O329" s="563"/>
      <c r="P329" s="300"/>
      <c r="Q329" s="563"/>
      <c r="R329" s="563"/>
      <c r="S329" s="563"/>
      <c r="T329" s="563"/>
      <c r="U329" s="563"/>
      <c r="V329" s="563"/>
      <c r="W329" s="563"/>
      <c r="X329" s="563"/>
      <c r="Y329" s="563"/>
      <c r="Z329" s="563"/>
      <c r="AA329" s="563"/>
      <c r="AB329" s="563"/>
      <c r="AC329" s="563"/>
      <c r="AD329" s="48"/>
      <c r="AE329" s="48"/>
      <c r="AF329" s="258"/>
      <c r="AG329" s="48"/>
      <c r="AH329" s="48"/>
      <c r="AI329" s="258"/>
      <c r="AJ329" s="258"/>
      <c r="AK329" s="258"/>
      <c r="AL329" s="258"/>
      <c r="AM329" s="212">
        <f>IF(AQ329=1,SUM(Q329:T329,W329:Z329,AC329:AF329,AI329:AL329),
IF(AQ329=2,SUM(P329,S329:V329,Y329:AB329,AE329:AH329,AK329:AL329),
IF(AQ329=3,SUM(P329:R329,U329:X329,AA329:AD329,AG329:AJ329),SUM(Таблица1[[#This Row],[1]:[31]])-Таблица1[[#This Row],[Столбец1]])))</f>
        <v>0</v>
      </c>
      <c r="AN329" s="778">
        <f t="array" ref="AN329">IF(AQ329=1,SUM(P329,U329:V329,AA329:AB329,AG329:AH329),
IF(AQ329=2,SUM(Q329:R329,W329:X329,AC329:AD329,AI329:AJ329),
IF(AQ329=3,SUM(S329:T329,Y329:Z329,AE329:AF329,AK329:AL329),
SUM(IFERROR(WEEKDAY($H$2:$AL$2,2)&gt;5,)*H329:AL329))))+Таблица1[[#This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29" s="292" t="b">
        <f>IF(AR329&lt;=3,(IF((G329="5/24"),((база!$M$6*Таблица1[[#This Row],[сумма]]*Таблица1[[#This Row],[коэф]])),
IF((G329="4/24"),((база!$M$5*Таблица1[[#This Row],[сумма]]*Таблица1[[#This Row],[коэф]])),
IF((G329="3/24"),((база!$M$4*Таблица1[[#This Row],[сумма]]*Таблица1[[#This Row],[коэф]])),
IF((G329="5/16"),((база!$L$6*Таблица1[[#This Row],[сумма]]*Таблица1[[#This Row],[коэф]])),
IF((G329="4/16"),((база!$L$5*Таблица1[[#This Row],[сумма]]*Таблица1[[#This Row],[коэф]])),
IF((G329="3/16"),((база!$L$4*Таблица1[[#This Row],[сумма]]*Таблица1[[#This Row],[коэф]])),
IF((G329="4/4"),((база!$I$5*Таблица1[[#This Row],[сумма]]*Таблица1[[#This Row],[коэф]])),
IF(OR(G329="2/4",G329="3/4"),((база!$I$4*Таблица1[[#This Row],[сумма]]*Таблица1[[#This Row],[коэф]])),
IF((G329="5/8"),((база!$J$6*Таблица1[[#This Row],[сумма]]*Таблица1[[#This Row],[коэф]])),
IF((G329="4/8"),((база!$J$5*Таблица1[[#This Row],[сумма]]*Таблица1[[#This Row],[коэф]])),
IF(OR(G329="3/8",G329="2/8"),((база!$J$4*Таблица1[[#This Row],[сумма]]*Таблица1[[#This Row],[коэф]])))))))))))))),
(IF((G329="5/24"),((база!$M$6*Таблица1[[#This Row],[сумма]]*Таблица1[[#This Row],[коэф]])),
IF(OR(G329="4/24",G329="3/24"),((база!$M$5*Таблица1[[#This Row],[сумма]]*Таблица1[[#This Row],[коэф]])),
IF((G329="5/16"),((база!$L$6*Таблица1[[#This Row],[сумма]]*Таблица1[[#This Row],[коэф]])),
IF(OR(G329="4/16",G329="3/16"),((база!$L$5*Таблица1[[#This Row],[сумма]]*Таблица1[[#This Row],[коэф]])),
IF(OR(G329="2/4",G329="3/4",G329="4/4"),((база!$I$5*Таблица1[[#This Row],[сумма]]*Таблица1[[#This Row],[коэф]])),
IF((G329="5/8"),((база!$J$6*Таблица1[[#This Row],[сумма]]*Таблица1[[#This Row],[коэф]])),
IF(OR(G329="4/8",G329="3/8",G329="2/8"),((база!$J$5*Таблица1[[#This Row],[сумма]]*Таблица1[[#This Row],[коэф]])))))))))))</f>
        <v>0</v>
      </c>
      <c r="AP329" s="730" t="b">
        <f>IF(AR329&lt;=3,(IF((G329="5/24"),((база!$M$6*2*Таблица1[[#This Row],[Столбец1]]*Таблица1[[#This Row],[коэф]])),
IF((G329="4/24"),((база!$M$5*2*Таблица1[[#This Row],[Столбец1]]*Таблица1[[#This Row],[коэф]])),
IF((G329="3/24"),((база!$M$4*2*Таблица1[[#This Row],[Столбец1]]*Таблица1[[#This Row],[коэф]])),
IF((G329="5/16"),((база!$L$6*2*Таблица1[[#This Row],[Столбец1]]*Таблица1[[#This Row],[коэф]])),
IF((G329="4/16"),((база!$L$5*2*Таблица1[[#This Row],[Столбец1]]*Таблица1[[#This Row],[коэф]])),
IF((G329="3/16"),((база!$L$4*2*Таблица1[[#This Row],[Столбец1]]*Таблица1[[#This Row],[коэф]])),
IF((G329="4/4"),((база!$I$5*2*Таблица1[[#This Row],[Столбец1]]*Таблица1[[#This Row],[коэф]])),
IF(OR(G329="2/4",G329="3/4"),((база!$I$4*2*Таблица1[[#This Row],[Столбец1]]*Таблица1[[#This Row],[коэф]])),
IF((G329="5/8"),((база!$J$6*2*Таблица1[[#This Row],[Столбец1]]*Таблица1[[#This Row],[коэф]])),
IF((G329="4/8"),((база!$J$5*2*Таблица1[[#This Row],[Столбец1]]*Таблица1[[#This Row],[коэф]])),
IF(OR(G329="3/8",G329="2/8"),((база!$J$4*2*Таблица1[[#This Row],[Столбец1]]*Таблица1[[#This Row],[коэф]])))))))))))))),
(IF((G329="5/24"),((база!$M$6*2*Таблица1[[#This Row],[Столбец1]]*Таблица1[[#This Row],[коэф]])),
IF(OR(G329="4/24",G329="3/24"),((база!$M$5*2*Таблица1[[#This Row],[Столбец1]]*Таблица1[[#This Row],[коэф]])),
IF((G329="5/16"),((база!$L$6*2*Таблица1[[#This Row],[Столбец1]]*Таблица1[[#This Row],[коэф]])),
IF(OR(G329="4/16",G329="3/16"),((база!$L$5*2*Таблица1[[#This Row],[Столбец1]]*Таблица1[[#This Row],[коэф]])),
IF(OR(G329="2/4",G329="3/4",G329="4/4"),((база!$I$5*2*Таблица1[[#This Row],[Столбец1]]*Таблица1[[#This Row],[коэф]])),
IF((G329="5/8"),((база!$J$6*2*Таблица1[[#This Row],[Столбец1]]*Таблица1[[#This Row],[коэф]])),
IF(OR(G329="4/8",G329="3/8",G329="2/8"),((база!$J$5*2*Таблица1[[#This Row],[Столбец1]]*Таблица1[[#This Row],[коэф]])))))))))))</f>
        <v>0</v>
      </c>
      <c r="AQ329" s="712" t="str">
        <f>IFERROR(INDEX(база!T:T, MATCH(F329,база!Q:Q,0)),"")</f>
        <v/>
      </c>
      <c r="AR329" s="208" t="str">
        <f>IFERROR(INDEX(база!D:D, MATCH(F329,база!B:B,0)),"")</f>
        <v/>
      </c>
      <c r="AS329" s="758" t="str">
        <f>IFERROR(INDEX(база!E:E, MATCH(F329,база!B:B,0)),"")</f>
        <v/>
      </c>
    </row>
    <row r="330" spans="1:45" ht="15">
      <c r="A330" s="66" t="str">
        <f t="shared" si="4"/>
        <v>январь</v>
      </c>
      <c r="B330" s="231">
        <v>2024</v>
      </c>
      <c r="C330" s="60"/>
      <c r="D330" s="61"/>
      <c r="E330" s="211"/>
      <c r="F330" s="680"/>
      <c r="G330" s="47"/>
      <c r="H330" s="563"/>
      <c r="I330" s="563"/>
      <c r="J330" s="563"/>
      <c r="K330" s="563"/>
      <c r="L330" s="563"/>
      <c r="M330" s="563"/>
      <c r="N330" s="563"/>
      <c r="O330" s="563"/>
      <c r="P330" s="300"/>
      <c r="Q330" s="563"/>
      <c r="R330" s="563"/>
      <c r="S330" s="563"/>
      <c r="T330" s="563"/>
      <c r="U330" s="563"/>
      <c r="V330" s="563"/>
      <c r="W330" s="563"/>
      <c r="X330" s="563"/>
      <c r="Y330" s="563"/>
      <c r="Z330" s="563"/>
      <c r="AA330" s="563"/>
      <c r="AB330" s="563"/>
      <c r="AC330" s="563"/>
      <c r="AD330" s="48"/>
      <c r="AE330" s="48"/>
      <c r="AF330" s="258"/>
      <c r="AG330" s="48"/>
      <c r="AH330" s="48"/>
      <c r="AI330" s="48"/>
      <c r="AJ330" s="48"/>
      <c r="AK330" s="48"/>
      <c r="AL330" s="51"/>
      <c r="AM330" s="212">
        <f>IF(AQ330=1,SUM(Q330:T330,W330:Z330,AC330:AF330,AI330:AL330),
IF(AQ330=2,SUM(P330,S330:V330,Y330:AB330,AE330:AH330,AK330:AL330),
IF(AQ330=3,SUM(P330:R330,U330:X330,AA330:AD330,AG330:AJ330),SUM(Таблица1[[#This Row],[1]:[31]])-Таблица1[[#This Row],[Столбец1]])))</f>
        <v>0</v>
      </c>
      <c r="AN330" s="778">
        <f t="array" ref="AN330">IF(AQ330=1,SUM(P330,U330:V330,AA330:AB330,AG330:AH330),
IF(AQ330=2,SUM(Q330:R330,W330:X330,AC330:AD330,AI330:AJ330),
IF(AQ330=3,SUM(S330:T330,Y330:Z330,AE330:AF330,AK330:AL330),
SUM(IFERROR(WEEKDAY($H$2:$AL$2,2)&gt;5,)*H330:AL330))))+Таблица1[[#This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30" s="292" t="b">
        <f>IF(AR330&lt;=3,(IF((G330="5/24"),((база!$M$6*Таблица1[[#This Row],[сумма]]*Таблица1[[#This Row],[коэф]])),
IF((G330="4/24"),((база!$M$5*Таблица1[[#This Row],[сумма]]*Таблица1[[#This Row],[коэф]])),
IF((G330="3/24"),((база!$M$4*Таблица1[[#This Row],[сумма]]*Таблица1[[#This Row],[коэф]])),
IF((G330="5/16"),((база!$L$6*Таблица1[[#This Row],[сумма]]*Таблица1[[#This Row],[коэф]])),
IF((G330="4/16"),((база!$L$5*Таблица1[[#This Row],[сумма]]*Таблица1[[#This Row],[коэф]])),
IF((G330="3/16"),((база!$L$4*Таблица1[[#This Row],[сумма]]*Таблица1[[#This Row],[коэф]])),
IF((G330="4/4"),((база!$I$5*Таблица1[[#This Row],[сумма]]*Таблица1[[#This Row],[коэф]])),
IF(OR(G330="2/4",G330="3/4"),((база!$I$4*Таблица1[[#This Row],[сумма]]*Таблица1[[#This Row],[коэф]])),
IF((G330="5/8"),((база!$J$6*Таблица1[[#This Row],[сумма]]*Таблица1[[#This Row],[коэф]])),
IF((G330="4/8"),((база!$J$5*Таблица1[[#This Row],[сумма]]*Таблица1[[#This Row],[коэф]])),
IF(OR(G330="3/8",G330="2/8"),((база!$J$4*Таблица1[[#This Row],[сумма]]*Таблица1[[#This Row],[коэф]])))))))))))))),
(IF((G330="5/24"),((база!$M$6*Таблица1[[#This Row],[сумма]]*Таблица1[[#This Row],[коэф]])),
IF(OR(G330="4/24",G330="3/24"),((база!$M$5*Таблица1[[#This Row],[сумма]]*Таблица1[[#This Row],[коэф]])),
IF((G330="5/16"),((база!$L$6*Таблица1[[#This Row],[сумма]]*Таблица1[[#This Row],[коэф]])),
IF(OR(G330="4/16",G330="3/16"),((база!$L$5*Таблица1[[#This Row],[сумма]]*Таблица1[[#This Row],[коэф]])),
IF(OR(G330="2/4",G330="3/4",G330="4/4"),((база!$I$5*Таблица1[[#This Row],[сумма]]*Таблица1[[#This Row],[коэф]])),
IF((G330="5/8"),((база!$J$6*Таблица1[[#This Row],[сумма]]*Таблица1[[#This Row],[коэф]])),
IF(OR(G330="4/8",G330="3/8",G330="2/8"),((база!$J$5*Таблица1[[#This Row],[сумма]]*Таблица1[[#This Row],[коэф]])))))))))))</f>
        <v>0</v>
      </c>
      <c r="AP330" s="730" t="b">
        <f>IF(AR330&lt;=3,(IF((G330="5/24"),((база!$M$6*2*Таблица1[[#This Row],[Столбец1]]*Таблица1[[#This Row],[коэф]])),
IF((G330="4/24"),((база!$M$5*2*Таблица1[[#This Row],[Столбец1]]*Таблица1[[#This Row],[коэф]])),
IF((G330="3/24"),((база!$M$4*2*Таблица1[[#This Row],[Столбец1]]*Таблица1[[#This Row],[коэф]])),
IF((G330="5/16"),((база!$L$6*2*Таблица1[[#This Row],[Столбец1]]*Таблица1[[#This Row],[коэф]])),
IF((G330="4/16"),((база!$L$5*2*Таблица1[[#This Row],[Столбец1]]*Таблица1[[#This Row],[коэф]])),
IF((G330="3/16"),((база!$L$4*2*Таблица1[[#This Row],[Столбец1]]*Таблица1[[#This Row],[коэф]])),
IF((G330="4/4"),((база!$I$5*2*Таблица1[[#This Row],[Столбец1]]*Таблица1[[#This Row],[коэф]])),
IF(OR(G330="2/4",G330="3/4"),((база!$I$4*2*Таблица1[[#This Row],[Столбец1]]*Таблица1[[#This Row],[коэф]])),
IF((G330="5/8"),((база!$J$6*2*Таблица1[[#This Row],[Столбец1]]*Таблица1[[#This Row],[коэф]])),
IF((G330="4/8"),((база!$J$5*2*Таблица1[[#This Row],[Столбец1]]*Таблица1[[#This Row],[коэф]])),
IF(OR(G330="3/8",G330="2/8"),((база!$J$4*2*Таблица1[[#This Row],[Столбец1]]*Таблица1[[#This Row],[коэф]])))))))))))))),
(IF((G330="5/24"),((база!$M$6*2*Таблица1[[#This Row],[Столбец1]]*Таблица1[[#This Row],[коэф]])),
IF(OR(G330="4/24",G330="3/24"),((база!$M$5*2*Таблица1[[#This Row],[Столбец1]]*Таблица1[[#This Row],[коэф]])),
IF((G330="5/16"),((база!$L$6*2*Таблица1[[#This Row],[Столбец1]]*Таблица1[[#This Row],[коэф]])),
IF(OR(G330="4/16",G330="3/16"),((база!$L$5*2*Таблица1[[#This Row],[Столбец1]]*Таблица1[[#This Row],[коэф]])),
IF(OR(G330="2/4",G330="3/4",G330="4/4"),((база!$I$5*2*Таблица1[[#This Row],[Столбец1]]*Таблица1[[#This Row],[коэф]])),
IF((G330="5/8"),((база!$J$6*2*Таблица1[[#This Row],[Столбец1]]*Таблица1[[#This Row],[коэф]])),
IF(OR(G330="4/8",G330="3/8",G330="2/8"),((база!$J$5*2*Таблица1[[#This Row],[Столбец1]]*Таблица1[[#This Row],[коэф]])))))))))))</f>
        <v>0</v>
      </c>
      <c r="AQ330" s="712" t="str">
        <f>IFERROR(INDEX(база!T:T, MATCH(F330,база!Q:Q,0)),"")</f>
        <v/>
      </c>
      <c r="AR330" s="208" t="str">
        <f>IFERROR(INDEX(база!D:D, MATCH(F330,база!B:B,0)),"")</f>
        <v/>
      </c>
      <c r="AS330" s="758" t="str">
        <f>IFERROR(INDEX(база!E:E, MATCH(F330,база!B:B,0)),"")</f>
        <v/>
      </c>
    </row>
    <row r="331" spans="1:45" ht="15">
      <c r="A331" s="66" t="str">
        <f t="shared" si="4"/>
        <v>январь</v>
      </c>
      <c r="B331" s="231">
        <v>2024</v>
      </c>
      <c r="C331" s="60"/>
      <c r="D331" s="61"/>
      <c r="E331" s="211"/>
      <c r="F331" s="680"/>
      <c r="G331" s="47"/>
      <c r="H331" s="563"/>
      <c r="I331" s="563"/>
      <c r="J331" s="563"/>
      <c r="K331" s="563"/>
      <c r="L331" s="563"/>
      <c r="M331" s="563"/>
      <c r="N331" s="563"/>
      <c r="O331" s="563"/>
      <c r="P331" s="300"/>
      <c r="Q331" s="563"/>
      <c r="R331" s="563"/>
      <c r="S331" s="563"/>
      <c r="T331" s="563"/>
      <c r="U331" s="563"/>
      <c r="V331" s="563"/>
      <c r="W331" s="563"/>
      <c r="X331" s="563"/>
      <c r="Y331" s="563"/>
      <c r="Z331" s="563"/>
      <c r="AA331" s="563"/>
      <c r="AB331" s="563"/>
      <c r="AC331" s="563"/>
      <c r="AD331" s="48"/>
      <c r="AE331" s="48"/>
      <c r="AF331" s="258"/>
      <c r="AG331" s="48"/>
      <c r="AH331" s="48"/>
      <c r="AI331" s="258"/>
      <c r="AJ331" s="258"/>
      <c r="AK331" s="258"/>
      <c r="AL331" s="258"/>
      <c r="AM331" s="212">
        <f>IF(AQ331=1,SUM(Q331:T331,W331:Z331,AC331:AF331,AI331:AL331),
IF(AQ331=2,SUM(P331,S331:V331,Y331:AB331,AE331:AH331,AK331:AL331),
IF(AQ331=3,SUM(P331:R331,U331:X331,AA331:AD331,AG331:AJ331),SUM(Таблица1[[#This Row],[1]:[31]])-Таблица1[[#This Row],[Столбец1]])))</f>
        <v>0</v>
      </c>
      <c r="AN331" s="778">
        <f t="array" ref="AN331">IF(AQ331=1,SUM(P331,U331:V331,AA331:AB331,AG331:AH331),
IF(AQ331=2,SUM(Q331:R331,W331:X331,AC331:AD331,AI331:AJ331),
IF(AQ331=3,SUM(S331:T331,Y331:Z331,AE331:AF331,AK331:AL331),
SUM(IFERROR(WEEKDAY($H$2:$AL$2,2)&gt;5,)*H331:AL331))))+Таблица1[[#This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31" s="292" t="b">
        <f>IF(AR331&lt;=3,(IF((G331="5/24"),((база!$M$6*Таблица1[[#This Row],[сумма]]*Таблица1[[#This Row],[коэф]])),
IF((G331="4/24"),((база!$M$5*Таблица1[[#This Row],[сумма]]*Таблица1[[#This Row],[коэф]])),
IF((G331="3/24"),((база!$M$4*Таблица1[[#This Row],[сумма]]*Таблица1[[#This Row],[коэф]])),
IF((G331="5/16"),((база!$L$6*Таблица1[[#This Row],[сумма]]*Таблица1[[#This Row],[коэф]])),
IF((G331="4/16"),((база!$L$5*Таблица1[[#This Row],[сумма]]*Таблица1[[#This Row],[коэф]])),
IF((G331="3/16"),((база!$L$4*Таблица1[[#This Row],[сумма]]*Таблица1[[#This Row],[коэф]])),
IF((G331="4/4"),((база!$I$5*Таблица1[[#This Row],[сумма]]*Таблица1[[#This Row],[коэф]])),
IF(OR(G331="2/4",G331="3/4"),((база!$I$4*Таблица1[[#This Row],[сумма]]*Таблица1[[#This Row],[коэф]])),
IF((G331="5/8"),((база!$J$6*Таблица1[[#This Row],[сумма]]*Таблица1[[#This Row],[коэф]])),
IF((G331="4/8"),((база!$J$5*Таблица1[[#This Row],[сумма]]*Таблица1[[#This Row],[коэф]])),
IF(OR(G331="3/8",G331="2/8"),((база!$J$4*Таблица1[[#This Row],[сумма]]*Таблица1[[#This Row],[коэф]])))))))))))))),
(IF((G331="5/24"),((база!$M$6*Таблица1[[#This Row],[сумма]]*Таблица1[[#This Row],[коэф]])),
IF(OR(G331="4/24",G331="3/24"),((база!$M$5*Таблица1[[#This Row],[сумма]]*Таблица1[[#This Row],[коэф]])),
IF((G331="5/16"),((база!$L$6*Таблица1[[#This Row],[сумма]]*Таблица1[[#This Row],[коэф]])),
IF(OR(G331="4/16",G331="3/16"),((база!$L$5*Таблица1[[#This Row],[сумма]]*Таблица1[[#This Row],[коэф]])),
IF(OR(G331="2/4",G331="3/4",G331="4/4"),((база!$I$5*Таблица1[[#This Row],[сумма]]*Таблица1[[#This Row],[коэф]])),
IF((G331="5/8"),((база!$J$6*Таблица1[[#This Row],[сумма]]*Таблица1[[#This Row],[коэф]])),
IF(OR(G331="4/8",G331="3/8",G331="2/8"),((база!$J$5*Таблица1[[#This Row],[сумма]]*Таблица1[[#This Row],[коэф]])))))))))))</f>
        <v>0</v>
      </c>
      <c r="AP331" s="730" t="b">
        <f>IF(AR331&lt;=3,(IF((G331="5/24"),((база!$M$6*2*Таблица1[[#This Row],[Столбец1]]*Таблица1[[#This Row],[коэф]])),
IF((G331="4/24"),((база!$M$5*2*Таблица1[[#This Row],[Столбец1]]*Таблица1[[#This Row],[коэф]])),
IF((G331="3/24"),((база!$M$4*2*Таблица1[[#This Row],[Столбец1]]*Таблица1[[#This Row],[коэф]])),
IF((G331="5/16"),((база!$L$6*2*Таблица1[[#This Row],[Столбец1]]*Таблица1[[#This Row],[коэф]])),
IF((G331="4/16"),((база!$L$5*2*Таблица1[[#This Row],[Столбец1]]*Таблица1[[#This Row],[коэф]])),
IF((G331="3/16"),((база!$L$4*2*Таблица1[[#This Row],[Столбец1]]*Таблица1[[#This Row],[коэф]])),
IF((G331="4/4"),((база!$I$5*2*Таблица1[[#This Row],[Столбец1]]*Таблица1[[#This Row],[коэф]])),
IF(OR(G331="2/4",G331="3/4"),((база!$I$4*2*Таблица1[[#This Row],[Столбец1]]*Таблица1[[#This Row],[коэф]])),
IF((G331="5/8"),((база!$J$6*2*Таблица1[[#This Row],[Столбец1]]*Таблица1[[#This Row],[коэф]])),
IF((G331="4/8"),((база!$J$5*2*Таблица1[[#This Row],[Столбец1]]*Таблица1[[#This Row],[коэф]])),
IF(OR(G331="3/8",G331="2/8"),((база!$J$4*2*Таблица1[[#This Row],[Столбец1]]*Таблица1[[#This Row],[коэф]])))))))))))))),
(IF((G331="5/24"),((база!$M$6*2*Таблица1[[#This Row],[Столбец1]]*Таблица1[[#This Row],[коэф]])),
IF(OR(G331="4/24",G331="3/24"),((база!$M$5*2*Таблица1[[#This Row],[Столбец1]]*Таблица1[[#This Row],[коэф]])),
IF((G331="5/16"),((база!$L$6*2*Таблица1[[#This Row],[Столбец1]]*Таблица1[[#This Row],[коэф]])),
IF(OR(G331="4/16",G331="3/16"),((база!$L$5*2*Таблица1[[#This Row],[Столбец1]]*Таблица1[[#This Row],[коэф]])),
IF(OR(G331="2/4",G331="3/4",G331="4/4"),((база!$I$5*2*Таблица1[[#This Row],[Столбец1]]*Таблица1[[#This Row],[коэф]])),
IF((G331="5/8"),((база!$J$6*2*Таблица1[[#This Row],[Столбец1]]*Таблица1[[#This Row],[коэф]])),
IF(OR(G331="4/8",G331="3/8",G331="2/8"),((база!$J$5*2*Таблица1[[#This Row],[Столбец1]]*Таблица1[[#This Row],[коэф]])))))))))))</f>
        <v>0</v>
      </c>
      <c r="AQ331" s="712" t="str">
        <f>IFERROR(INDEX(база!T:T, MATCH(F331,база!Q:Q,0)),"")</f>
        <v/>
      </c>
      <c r="AR331" s="208" t="str">
        <f>IFERROR(INDEX(база!D:D, MATCH(F331,база!B:B,0)),"")</f>
        <v/>
      </c>
      <c r="AS331" s="758" t="str">
        <f>IFERROR(INDEX(база!E:E, MATCH(F331,база!B:B,0)),"")</f>
        <v/>
      </c>
    </row>
    <row r="332" spans="1:45" ht="15">
      <c r="A332" s="66" t="str">
        <f t="shared" si="4"/>
        <v>январь</v>
      </c>
      <c r="B332" s="231">
        <v>2024</v>
      </c>
      <c r="C332" s="299"/>
      <c r="D332" s="61"/>
      <c r="E332" s="211"/>
      <c r="F332" s="680"/>
      <c r="G332" s="47"/>
      <c r="H332" s="563"/>
      <c r="I332" s="563"/>
      <c r="J332" s="563"/>
      <c r="K332" s="563"/>
      <c r="L332" s="563"/>
      <c r="M332" s="563"/>
      <c r="N332" s="563"/>
      <c r="O332" s="563"/>
      <c r="P332" s="300"/>
      <c r="Q332" s="563"/>
      <c r="R332" s="563"/>
      <c r="S332" s="563"/>
      <c r="T332" s="563"/>
      <c r="U332" s="563"/>
      <c r="V332" s="563"/>
      <c r="W332" s="563"/>
      <c r="X332" s="563"/>
      <c r="Y332" s="563"/>
      <c r="Z332" s="563"/>
      <c r="AA332" s="563"/>
      <c r="AB332" s="563"/>
      <c r="AC332" s="563"/>
      <c r="AD332" s="48"/>
      <c r="AE332" s="48"/>
      <c r="AF332" s="258"/>
      <c r="AG332" s="48"/>
      <c r="AH332" s="48"/>
      <c r="AI332" s="48"/>
      <c r="AJ332" s="48"/>
      <c r="AK332" s="48"/>
      <c r="AL332" s="51"/>
      <c r="AM332" s="212">
        <f>IF(AQ332=1,SUM(Q332:T332,W332:Z332,AC332:AF332,AI332:AL332),
IF(AQ332=2,SUM(P332,S332:V332,Y332:AB332,AE332:AH332,AK332:AL332),
IF(AQ332=3,SUM(P332:R332,U332:X332,AA332:AD332,AG332:AJ332),SUM(Таблица1[[#This Row],[1]:[31]])-Таблица1[[#This Row],[Столбец1]])))</f>
        <v>0</v>
      </c>
      <c r="AN332" s="778">
        <f t="array" ref="AN332">IF(AQ332=1,SUM(P332,U332:V332,AA332:AB332,AG332:AH332),
IF(AQ332=2,SUM(Q332:R332,W332:X332,AC332:AD332,AI332:AJ332),
IF(AQ332=3,SUM(S332:T332,Y332:Z332,AE332:AF332,AK332:AL332),
SUM(IFERROR(WEEKDAY($H$2:$AL$2,2)&gt;5,)*H332:AL332))))+Таблица1[[#This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32" s="292" t="b">
        <f>IF(AR332&lt;=3,(IF((G332="5/24"),((база!$M$6*Таблица1[[#This Row],[сумма]]*Таблица1[[#This Row],[коэф]])),
IF((G332="4/24"),((база!$M$5*Таблица1[[#This Row],[сумма]]*Таблица1[[#This Row],[коэф]])),
IF((G332="3/24"),((база!$M$4*Таблица1[[#This Row],[сумма]]*Таблица1[[#This Row],[коэф]])),
IF((G332="5/16"),((база!$L$6*Таблица1[[#This Row],[сумма]]*Таблица1[[#This Row],[коэф]])),
IF((G332="4/16"),((база!$L$5*Таблица1[[#This Row],[сумма]]*Таблица1[[#This Row],[коэф]])),
IF((G332="3/16"),((база!$L$4*Таблица1[[#This Row],[сумма]]*Таблица1[[#This Row],[коэф]])),
IF((G332="4/4"),((база!$I$5*Таблица1[[#This Row],[сумма]]*Таблица1[[#This Row],[коэф]])),
IF(OR(G332="2/4",G332="3/4"),((база!$I$4*Таблица1[[#This Row],[сумма]]*Таблица1[[#This Row],[коэф]])),
IF((G332="5/8"),((база!$J$6*Таблица1[[#This Row],[сумма]]*Таблица1[[#This Row],[коэф]])),
IF((G332="4/8"),((база!$J$5*Таблица1[[#This Row],[сумма]]*Таблица1[[#This Row],[коэф]])),
IF(OR(G332="3/8",G332="2/8"),((база!$J$4*Таблица1[[#This Row],[сумма]]*Таблица1[[#This Row],[коэф]])))))))))))))),
(IF((G332="5/24"),((база!$M$6*Таблица1[[#This Row],[сумма]]*Таблица1[[#This Row],[коэф]])),
IF(OR(G332="4/24",G332="3/24"),((база!$M$5*Таблица1[[#This Row],[сумма]]*Таблица1[[#This Row],[коэф]])),
IF((G332="5/16"),((база!$L$6*Таблица1[[#This Row],[сумма]]*Таблица1[[#This Row],[коэф]])),
IF(OR(G332="4/16",G332="3/16"),((база!$L$5*Таблица1[[#This Row],[сумма]]*Таблица1[[#This Row],[коэф]])),
IF(OR(G332="2/4",G332="3/4",G332="4/4"),((база!$I$5*Таблица1[[#This Row],[сумма]]*Таблица1[[#This Row],[коэф]])),
IF((G332="5/8"),((база!$J$6*Таблица1[[#This Row],[сумма]]*Таблица1[[#This Row],[коэф]])),
IF(OR(G332="4/8",G332="3/8",G332="2/8"),((база!$J$5*Таблица1[[#This Row],[сумма]]*Таблица1[[#This Row],[коэф]])))))))))))</f>
        <v>0</v>
      </c>
      <c r="AP332" s="730" t="b">
        <f>IF(AR332&lt;=3,(IF((G332="5/24"),((база!$M$6*2*Таблица1[[#This Row],[Столбец1]]*Таблица1[[#This Row],[коэф]])),
IF((G332="4/24"),((база!$M$5*2*Таблица1[[#This Row],[Столбец1]]*Таблица1[[#This Row],[коэф]])),
IF((G332="3/24"),((база!$M$4*2*Таблица1[[#This Row],[Столбец1]]*Таблица1[[#This Row],[коэф]])),
IF((G332="5/16"),((база!$L$6*2*Таблица1[[#This Row],[Столбец1]]*Таблица1[[#This Row],[коэф]])),
IF((G332="4/16"),((база!$L$5*2*Таблица1[[#This Row],[Столбец1]]*Таблица1[[#This Row],[коэф]])),
IF((G332="3/16"),((база!$L$4*2*Таблица1[[#This Row],[Столбец1]]*Таблица1[[#This Row],[коэф]])),
IF((G332="4/4"),((база!$I$5*2*Таблица1[[#This Row],[Столбец1]]*Таблица1[[#This Row],[коэф]])),
IF(OR(G332="2/4",G332="3/4"),((база!$I$4*2*Таблица1[[#This Row],[Столбец1]]*Таблица1[[#This Row],[коэф]])),
IF((G332="5/8"),((база!$J$6*2*Таблица1[[#This Row],[Столбец1]]*Таблица1[[#This Row],[коэф]])),
IF((G332="4/8"),((база!$J$5*2*Таблица1[[#This Row],[Столбец1]]*Таблица1[[#This Row],[коэф]])),
IF(OR(G332="3/8",G332="2/8"),((база!$J$4*2*Таблица1[[#This Row],[Столбец1]]*Таблица1[[#This Row],[коэф]])))))))))))))),
(IF((G332="5/24"),((база!$M$6*2*Таблица1[[#This Row],[Столбец1]]*Таблица1[[#This Row],[коэф]])),
IF(OR(G332="4/24",G332="3/24"),((база!$M$5*2*Таблица1[[#This Row],[Столбец1]]*Таблица1[[#This Row],[коэф]])),
IF((G332="5/16"),((база!$L$6*2*Таблица1[[#This Row],[Столбец1]]*Таблица1[[#This Row],[коэф]])),
IF(OR(G332="4/16",G332="3/16"),((база!$L$5*2*Таблица1[[#This Row],[Столбец1]]*Таблица1[[#This Row],[коэф]])),
IF(OR(G332="2/4",G332="3/4",G332="4/4"),((база!$I$5*2*Таблица1[[#This Row],[Столбец1]]*Таблица1[[#This Row],[коэф]])),
IF((G332="5/8"),((база!$J$6*2*Таблица1[[#This Row],[Столбец1]]*Таблица1[[#This Row],[коэф]])),
IF(OR(G332="4/8",G332="3/8",G332="2/8"),((база!$J$5*2*Таблица1[[#This Row],[Столбец1]]*Таблица1[[#This Row],[коэф]])))))))))))</f>
        <v>0</v>
      </c>
      <c r="AQ332" s="712" t="str">
        <f>IFERROR(INDEX(база!T:T, MATCH(F332,база!Q:Q,0)),"")</f>
        <v/>
      </c>
      <c r="AR332" s="208" t="str">
        <f>IFERROR(INDEX(база!D:D, MATCH(F332,база!B:B,0)),"")</f>
        <v/>
      </c>
      <c r="AS332" s="758" t="str">
        <f>IFERROR(INDEX(база!E:E, MATCH(F332,база!B:B,0)),"")</f>
        <v/>
      </c>
    </row>
    <row r="333" spans="1:45" ht="15">
      <c r="A333" s="66" t="str">
        <f t="shared" si="4"/>
        <v>январь</v>
      </c>
      <c r="B333" s="231">
        <v>2024</v>
      </c>
      <c r="C333" s="60"/>
      <c r="D333" s="61"/>
      <c r="E333" s="211"/>
      <c r="F333" s="680"/>
      <c r="G333" s="47"/>
      <c r="H333" s="563"/>
      <c r="I333" s="563"/>
      <c r="J333" s="563"/>
      <c r="K333" s="563"/>
      <c r="L333" s="563"/>
      <c r="M333" s="563"/>
      <c r="N333" s="563"/>
      <c r="O333" s="563"/>
      <c r="P333" s="300"/>
      <c r="Q333" s="563"/>
      <c r="R333" s="563"/>
      <c r="S333" s="563"/>
      <c r="T333" s="563"/>
      <c r="U333" s="563"/>
      <c r="V333" s="563"/>
      <c r="W333" s="563"/>
      <c r="X333" s="563"/>
      <c r="Y333" s="563"/>
      <c r="Z333" s="563"/>
      <c r="AA333" s="563"/>
      <c r="AB333" s="563"/>
      <c r="AC333" s="563"/>
      <c r="AD333" s="48"/>
      <c r="AE333" s="48"/>
      <c r="AF333" s="258"/>
      <c r="AG333" s="48"/>
      <c r="AH333" s="48"/>
      <c r="AI333" s="258"/>
      <c r="AJ333" s="258"/>
      <c r="AK333" s="258"/>
      <c r="AL333" s="258"/>
      <c r="AM333" s="212">
        <f>IF(AQ333=1,SUM(Q333:T333,W333:Z333,AC333:AF333,AI333:AL333),
IF(AQ333=2,SUM(P333,S333:V333,Y333:AB333,AE333:AH333,AK333:AL333),
IF(AQ333=3,SUM(P333:R333,U333:X333,AA333:AD333,AG333:AJ333),SUM(Таблица1[[#This Row],[1]:[31]])-Таблица1[[#This Row],[Столбец1]])))</f>
        <v>0</v>
      </c>
      <c r="AN333" s="778">
        <f t="array" ref="AN333">IF(AQ333=1,SUM(P333,U333:V333,AA333:AB333,AG333:AH333),
IF(AQ333=2,SUM(Q333:R333,W333:X333,AC333:AD333,AI333:AJ333),
IF(AQ333=3,SUM(S333:T333,Y333:Z333,AE333:AF333,AK333:AL333),
SUM(IFERROR(WEEKDAY($H$2:$AL$2,2)&gt;5,)*H333:AL333))))+Таблица1[[#This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33" s="292" t="b">
        <f>IF(AR333&lt;=3,(IF((G333="5/24"),((база!$M$6*Таблица1[[#This Row],[сумма]]*Таблица1[[#This Row],[коэф]])),
IF((G333="4/24"),((база!$M$5*Таблица1[[#This Row],[сумма]]*Таблица1[[#This Row],[коэф]])),
IF((G333="3/24"),((база!$M$4*Таблица1[[#This Row],[сумма]]*Таблица1[[#This Row],[коэф]])),
IF((G333="5/16"),((база!$L$6*Таблица1[[#This Row],[сумма]]*Таблица1[[#This Row],[коэф]])),
IF((G333="4/16"),((база!$L$5*Таблица1[[#This Row],[сумма]]*Таблица1[[#This Row],[коэф]])),
IF((G333="3/16"),((база!$L$4*Таблица1[[#This Row],[сумма]]*Таблица1[[#This Row],[коэф]])),
IF((G333="4/4"),((база!$I$5*Таблица1[[#This Row],[сумма]]*Таблица1[[#This Row],[коэф]])),
IF(OR(G333="2/4",G333="3/4"),((база!$I$4*Таблица1[[#This Row],[сумма]]*Таблица1[[#This Row],[коэф]])),
IF((G333="5/8"),((база!$J$6*Таблица1[[#This Row],[сумма]]*Таблица1[[#This Row],[коэф]])),
IF((G333="4/8"),((база!$J$5*Таблица1[[#This Row],[сумма]]*Таблица1[[#This Row],[коэф]])),
IF(OR(G333="3/8",G333="2/8"),((база!$J$4*Таблица1[[#This Row],[сумма]]*Таблица1[[#This Row],[коэф]])))))))))))))),
(IF((G333="5/24"),((база!$M$6*Таблица1[[#This Row],[сумма]]*Таблица1[[#This Row],[коэф]])),
IF(OR(G333="4/24",G333="3/24"),((база!$M$5*Таблица1[[#This Row],[сумма]]*Таблица1[[#This Row],[коэф]])),
IF((G333="5/16"),((база!$L$6*Таблица1[[#This Row],[сумма]]*Таблица1[[#This Row],[коэф]])),
IF(OR(G333="4/16",G333="3/16"),((база!$L$5*Таблица1[[#This Row],[сумма]]*Таблица1[[#This Row],[коэф]])),
IF(OR(G333="2/4",G333="3/4",G333="4/4"),((база!$I$5*Таблица1[[#This Row],[сумма]]*Таблица1[[#This Row],[коэф]])),
IF((G333="5/8"),((база!$J$6*Таблица1[[#This Row],[сумма]]*Таблица1[[#This Row],[коэф]])),
IF(OR(G333="4/8",G333="3/8",G333="2/8"),((база!$J$5*Таблица1[[#This Row],[сумма]]*Таблица1[[#This Row],[коэф]])))))))))))</f>
        <v>0</v>
      </c>
      <c r="AP333" s="730" t="b">
        <f>IF(AR333&lt;=3,(IF((G333="5/24"),((база!$M$6*2*Таблица1[[#This Row],[Столбец1]]*Таблица1[[#This Row],[коэф]])),
IF((G333="4/24"),((база!$M$5*2*Таблица1[[#This Row],[Столбец1]]*Таблица1[[#This Row],[коэф]])),
IF((G333="3/24"),((база!$M$4*2*Таблица1[[#This Row],[Столбец1]]*Таблица1[[#This Row],[коэф]])),
IF((G333="5/16"),((база!$L$6*2*Таблица1[[#This Row],[Столбец1]]*Таблица1[[#This Row],[коэф]])),
IF((G333="4/16"),((база!$L$5*2*Таблица1[[#This Row],[Столбец1]]*Таблица1[[#This Row],[коэф]])),
IF((G333="3/16"),((база!$L$4*2*Таблица1[[#This Row],[Столбец1]]*Таблица1[[#This Row],[коэф]])),
IF((G333="4/4"),((база!$I$5*2*Таблица1[[#This Row],[Столбец1]]*Таблица1[[#This Row],[коэф]])),
IF(OR(G333="2/4",G333="3/4"),((база!$I$4*2*Таблица1[[#This Row],[Столбец1]]*Таблица1[[#This Row],[коэф]])),
IF((G333="5/8"),((база!$J$6*2*Таблица1[[#This Row],[Столбец1]]*Таблица1[[#This Row],[коэф]])),
IF((G333="4/8"),((база!$J$5*2*Таблица1[[#This Row],[Столбец1]]*Таблица1[[#This Row],[коэф]])),
IF(OR(G333="3/8",G333="2/8"),((база!$J$4*2*Таблица1[[#This Row],[Столбец1]]*Таблица1[[#This Row],[коэф]])))))))))))))),
(IF((G333="5/24"),((база!$M$6*2*Таблица1[[#This Row],[Столбец1]]*Таблица1[[#This Row],[коэф]])),
IF(OR(G333="4/24",G333="3/24"),((база!$M$5*2*Таблица1[[#This Row],[Столбец1]]*Таблица1[[#This Row],[коэф]])),
IF((G333="5/16"),((база!$L$6*2*Таблица1[[#This Row],[Столбец1]]*Таблица1[[#This Row],[коэф]])),
IF(OR(G333="4/16",G333="3/16"),((база!$L$5*2*Таблица1[[#This Row],[Столбец1]]*Таблица1[[#This Row],[коэф]])),
IF(OR(G333="2/4",G333="3/4",G333="4/4"),((база!$I$5*2*Таблица1[[#This Row],[Столбец1]]*Таблица1[[#This Row],[коэф]])),
IF((G333="5/8"),((база!$J$6*2*Таблица1[[#This Row],[Столбец1]]*Таблица1[[#This Row],[коэф]])),
IF(OR(G333="4/8",G333="3/8",G333="2/8"),((база!$J$5*2*Таблица1[[#This Row],[Столбец1]]*Таблица1[[#This Row],[коэф]])))))))))))</f>
        <v>0</v>
      </c>
      <c r="AQ333" s="712" t="str">
        <f>IFERROR(INDEX(база!T:T, MATCH(F333,база!Q:Q,0)),"")</f>
        <v/>
      </c>
      <c r="AR333" s="208" t="str">
        <f>IFERROR(INDEX(база!D:D, MATCH(F333,база!B:B,0)),"")</f>
        <v/>
      </c>
      <c r="AS333" s="758" t="str">
        <f>IFERROR(INDEX(база!E:E, MATCH(F333,база!B:B,0)),"")</f>
        <v/>
      </c>
    </row>
    <row r="334" spans="1:45" ht="15">
      <c r="A334" s="66" t="str">
        <f t="shared" si="4"/>
        <v>январь</v>
      </c>
      <c r="B334" s="231">
        <v>2024</v>
      </c>
      <c r="C334" s="299"/>
      <c r="D334" s="61"/>
      <c r="E334" s="211"/>
      <c r="F334" s="680"/>
      <c r="G334" s="47"/>
      <c r="H334" s="563"/>
      <c r="I334" s="563"/>
      <c r="J334" s="563"/>
      <c r="K334" s="563"/>
      <c r="L334" s="563"/>
      <c r="M334" s="563"/>
      <c r="N334" s="563"/>
      <c r="O334" s="563"/>
      <c r="P334" s="300"/>
      <c r="Q334" s="563"/>
      <c r="R334" s="563"/>
      <c r="S334" s="563"/>
      <c r="T334" s="563"/>
      <c r="U334" s="563"/>
      <c r="V334" s="563"/>
      <c r="W334" s="563"/>
      <c r="X334" s="563"/>
      <c r="Y334" s="563"/>
      <c r="Z334" s="563"/>
      <c r="AA334" s="563"/>
      <c r="AB334" s="563"/>
      <c r="AC334" s="563"/>
      <c r="AD334" s="48"/>
      <c r="AE334" s="48"/>
      <c r="AF334" s="258"/>
      <c r="AG334" s="48"/>
      <c r="AH334" s="48"/>
      <c r="AI334" s="48"/>
      <c r="AJ334" s="48"/>
      <c r="AK334" s="48"/>
      <c r="AL334" s="51"/>
      <c r="AM334" s="212">
        <f>IF(AQ334=1,SUM(Q334:T334,W334:Z334,AC334:AF334,AI334:AL334),
IF(AQ334=2,SUM(P334,S334:V334,Y334:AB334,AE334:AH334,AK334:AL334),
IF(AQ334=3,SUM(P334:R334,U334:X334,AA334:AD334,AG334:AJ334),SUM(Таблица1[[#This Row],[1]:[31]])-Таблица1[[#This Row],[Столбец1]])))</f>
        <v>0</v>
      </c>
      <c r="AN334" s="778">
        <f t="array" ref="AN334">IF(AQ334=1,SUM(P334,U334:V334,AA334:AB334,AG334:AH334),
IF(AQ334=2,SUM(Q334:R334,W334:X334,AC334:AD334,AI334:AJ334),
IF(AQ334=3,SUM(S334:T334,Y334:Z334,AE334:AF334,AK334:AL334),
SUM(IFERROR(WEEKDAY($H$2:$AL$2,2)&gt;5,)*H334:AL334))))+Таблица1[[#This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34" s="292" t="b">
        <f>IF(AR334&lt;=3,(IF((G334="5/24"),((база!$M$6*Таблица1[[#This Row],[сумма]]*Таблица1[[#This Row],[коэф]])),
IF((G334="4/24"),((база!$M$5*Таблица1[[#This Row],[сумма]]*Таблица1[[#This Row],[коэф]])),
IF((G334="3/24"),((база!$M$4*Таблица1[[#This Row],[сумма]]*Таблица1[[#This Row],[коэф]])),
IF((G334="5/16"),((база!$L$6*Таблица1[[#This Row],[сумма]]*Таблица1[[#This Row],[коэф]])),
IF((G334="4/16"),((база!$L$5*Таблица1[[#This Row],[сумма]]*Таблица1[[#This Row],[коэф]])),
IF((G334="3/16"),((база!$L$4*Таблица1[[#This Row],[сумма]]*Таблица1[[#This Row],[коэф]])),
IF((G334="4/4"),((база!$I$5*Таблица1[[#This Row],[сумма]]*Таблица1[[#This Row],[коэф]])),
IF(OR(G334="2/4",G334="3/4"),((база!$I$4*Таблица1[[#This Row],[сумма]]*Таблица1[[#This Row],[коэф]])),
IF((G334="5/8"),((база!$J$6*Таблица1[[#This Row],[сумма]]*Таблица1[[#This Row],[коэф]])),
IF((G334="4/8"),((база!$J$5*Таблица1[[#This Row],[сумма]]*Таблица1[[#This Row],[коэф]])),
IF(OR(G334="3/8",G334="2/8"),((база!$J$4*Таблица1[[#This Row],[сумма]]*Таблица1[[#This Row],[коэф]])))))))))))))),
(IF((G334="5/24"),((база!$M$6*Таблица1[[#This Row],[сумма]]*Таблица1[[#This Row],[коэф]])),
IF(OR(G334="4/24",G334="3/24"),((база!$M$5*Таблица1[[#This Row],[сумма]]*Таблица1[[#This Row],[коэф]])),
IF((G334="5/16"),((база!$L$6*Таблица1[[#This Row],[сумма]]*Таблица1[[#This Row],[коэф]])),
IF(OR(G334="4/16",G334="3/16"),((база!$L$5*Таблица1[[#This Row],[сумма]]*Таблица1[[#This Row],[коэф]])),
IF(OR(G334="2/4",G334="3/4",G334="4/4"),((база!$I$5*Таблица1[[#This Row],[сумма]]*Таблица1[[#This Row],[коэф]])),
IF((G334="5/8"),((база!$J$6*Таблица1[[#This Row],[сумма]]*Таблица1[[#This Row],[коэф]])),
IF(OR(G334="4/8",G334="3/8",G334="2/8"),((база!$J$5*Таблица1[[#This Row],[сумма]]*Таблица1[[#This Row],[коэф]])))))))))))</f>
        <v>0</v>
      </c>
      <c r="AP334" s="730" t="b">
        <f>IF(AR334&lt;=3,(IF((G334="5/24"),((база!$M$6*2*Таблица1[[#This Row],[Столбец1]]*Таблица1[[#This Row],[коэф]])),
IF((G334="4/24"),((база!$M$5*2*Таблица1[[#This Row],[Столбец1]]*Таблица1[[#This Row],[коэф]])),
IF((G334="3/24"),((база!$M$4*2*Таблица1[[#This Row],[Столбец1]]*Таблица1[[#This Row],[коэф]])),
IF((G334="5/16"),((база!$L$6*2*Таблица1[[#This Row],[Столбец1]]*Таблица1[[#This Row],[коэф]])),
IF((G334="4/16"),((база!$L$5*2*Таблица1[[#This Row],[Столбец1]]*Таблица1[[#This Row],[коэф]])),
IF((G334="3/16"),((база!$L$4*2*Таблица1[[#This Row],[Столбец1]]*Таблица1[[#This Row],[коэф]])),
IF((G334="4/4"),((база!$I$5*2*Таблица1[[#This Row],[Столбец1]]*Таблица1[[#This Row],[коэф]])),
IF(OR(G334="2/4",G334="3/4"),((база!$I$4*2*Таблица1[[#This Row],[Столбец1]]*Таблица1[[#This Row],[коэф]])),
IF((G334="5/8"),((база!$J$6*2*Таблица1[[#This Row],[Столбец1]]*Таблица1[[#This Row],[коэф]])),
IF((G334="4/8"),((база!$J$5*2*Таблица1[[#This Row],[Столбец1]]*Таблица1[[#This Row],[коэф]])),
IF(OR(G334="3/8",G334="2/8"),((база!$J$4*2*Таблица1[[#This Row],[Столбец1]]*Таблица1[[#This Row],[коэф]])))))))))))))),
(IF((G334="5/24"),((база!$M$6*2*Таблица1[[#This Row],[Столбец1]]*Таблица1[[#This Row],[коэф]])),
IF(OR(G334="4/24",G334="3/24"),((база!$M$5*2*Таблица1[[#This Row],[Столбец1]]*Таблица1[[#This Row],[коэф]])),
IF((G334="5/16"),((база!$L$6*2*Таблица1[[#This Row],[Столбец1]]*Таблица1[[#This Row],[коэф]])),
IF(OR(G334="4/16",G334="3/16"),((база!$L$5*2*Таблица1[[#This Row],[Столбец1]]*Таблица1[[#This Row],[коэф]])),
IF(OR(G334="2/4",G334="3/4",G334="4/4"),((база!$I$5*2*Таблица1[[#This Row],[Столбец1]]*Таблица1[[#This Row],[коэф]])),
IF((G334="5/8"),((база!$J$6*2*Таблица1[[#This Row],[Столбец1]]*Таблица1[[#This Row],[коэф]])),
IF(OR(G334="4/8",G334="3/8",G334="2/8"),((база!$J$5*2*Таблица1[[#This Row],[Столбец1]]*Таблица1[[#This Row],[коэф]])))))))))))</f>
        <v>0</v>
      </c>
      <c r="AQ334" s="712" t="str">
        <f>IFERROR(INDEX(база!T:T, MATCH(F334,база!Q:Q,0)),"")</f>
        <v/>
      </c>
      <c r="AR334" s="208" t="str">
        <f>IFERROR(INDEX(база!D:D, MATCH(F334,база!B:B,0)),"")</f>
        <v/>
      </c>
      <c r="AS334" s="758" t="str">
        <f>IFERROR(INDEX(база!E:E, MATCH(F334,база!B:B,0)),"")</f>
        <v/>
      </c>
    </row>
    <row r="335" spans="1:45" ht="15">
      <c r="A335" s="66" t="str">
        <f t="shared" si="4"/>
        <v>январь</v>
      </c>
      <c r="B335" s="231">
        <v>2024</v>
      </c>
      <c r="C335" s="299"/>
      <c r="D335" s="61"/>
      <c r="E335" s="211"/>
      <c r="F335" s="680"/>
      <c r="G335" s="47"/>
      <c r="H335" s="563"/>
      <c r="I335" s="563"/>
      <c r="J335" s="563"/>
      <c r="K335" s="563"/>
      <c r="L335" s="563"/>
      <c r="M335" s="563"/>
      <c r="N335" s="563"/>
      <c r="O335" s="563"/>
      <c r="P335" s="300"/>
      <c r="Q335" s="563"/>
      <c r="R335" s="563"/>
      <c r="S335" s="563"/>
      <c r="T335" s="563"/>
      <c r="U335" s="563"/>
      <c r="V335" s="563"/>
      <c r="W335" s="563"/>
      <c r="X335" s="563"/>
      <c r="Y335" s="563"/>
      <c r="Z335" s="563"/>
      <c r="AA335" s="563"/>
      <c r="AB335" s="563"/>
      <c r="AC335" s="563"/>
      <c r="AD335" s="48"/>
      <c r="AE335" s="48"/>
      <c r="AF335" s="258"/>
      <c r="AG335" s="48"/>
      <c r="AH335" s="48"/>
      <c r="AI335" s="258"/>
      <c r="AJ335" s="258"/>
      <c r="AK335" s="258"/>
      <c r="AL335" s="258"/>
      <c r="AM335" s="212">
        <f>IF(AQ335=1,SUM(Q335:T335,W335:Z335,AC335:AF335,AI335:AL335),
IF(AQ335=2,SUM(P335,S335:V335,Y335:AB335,AE335:AH335,AK335:AL335),
IF(AQ335=3,SUM(P335:R335,U335:X335,AA335:AD335,AG335:AJ335),SUM(Таблица1[[#This Row],[1]:[31]])-Таблица1[[#This Row],[Столбец1]])))</f>
        <v>0</v>
      </c>
      <c r="AN335" s="778">
        <f t="array" ref="AN335">IF(AQ335=1,SUM(P335,U335:V335,AA335:AB335,AG335:AH335),
IF(AQ335=2,SUM(Q335:R335,W335:X335,AC335:AD335,AI335:AJ335),
IF(AQ335=3,SUM(S335:T335,Y335:Z335,AE335:AF335,AK335:AL335),
SUM(IFERROR(WEEKDAY($H$2:$AL$2,2)&gt;5,)*H335:AL335))))+Таблица1[[#This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35" s="292" t="b">
        <f>IF(AR335&lt;=3,(IF((G335="5/24"),((база!$M$6*Таблица1[[#This Row],[сумма]]*Таблица1[[#This Row],[коэф]])),
IF((G335="4/24"),((база!$M$5*Таблица1[[#This Row],[сумма]]*Таблица1[[#This Row],[коэф]])),
IF((G335="3/24"),((база!$M$4*Таблица1[[#This Row],[сумма]]*Таблица1[[#This Row],[коэф]])),
IF((G335="5/16"),((база!$L$6*Таблица1[[#This Row],[сумма]]*Таблица1[[#This Row],[коэф]])),
IF((G335="4/16"),((база!$L$5*Таблица1[[#This Row],[сумма]]*Таблица1[[#This Row],[коэф]])),
IF((G335="3/16"),((база!$L$4*Таблица1[[#This Row],[сумма]]*Таблица1[[#This Row],[коэф]])),
IF((G335="4/4"),((база!$I$5*Таблица1[[#This Row],[сумма]]*Таблица1[[#This Row],[коэф]])),
IF(OR(G335="2/4",G335="3/4"),((база!$I$4*Таблица1[[#This Row],[сумма]]*Таблица1[[#This Row],[коэф]])),
IF((G335="5/8"),((база!$J$6*Таблица1[[#This Row],[сумма]]*Таблица1[[#This Row],[коэф]])),
IF((G335="4/8"),((база!$J$5*Таблица1[[#This Row],[сумма]]*Таблица1[[#This Row],[коэф]])),
IF(OR(G335="3/8",G335="2/8"),((база!$J$4*Таблица1[[#This Row],[сумма]]*Таблица1[[#This Row],[коэф]])))))))))))))),
(IF((G335="5/24"),((база!$M$6*Таблица1[[#This Row],[сумма]]*Таблица1[[#This Row],[коэф]])),
IF(OR(G335="4/24",G335="3/24"),((база!$M$5*Таблица1[[#This Row],[сумма]]*Таблица1[[#This Row],[коэф]])),
IF((G335="5/16"),((база!$L$6*Таблица1[[#This Row],[сумма]]*Таблица1[[#This Row],[коэф]])),
IF(OR(G335="4/16",G335="3/16"),((база!$L$5*Таблица1[[#This Row],[сумма]]*Таблица1[[#This Row],[коэф]])),
IF(OR(G335="2/4",G335="3/4",G335="4/4"),((база!$I$5*Таблица1[[#This Row],[сумма]]*Таблица1[[#This Row],[коэф]])),
IF((G335="5/8"),((база!$J$6*Таблица1[[#This Row],[сумма]]*Таблица1[[#This Row],[коэф]])),
IF(OR(G335="4/8",G335="3/8",G335="2/8"),((база!$J$5*Таблица1[[#This Row],[сумма]]*Таблица1[[#This Row],[коэф]])))))))))))</f>
        <v>0</v>
      </c>
      <c r="AP335" s="730" t="b">
        <f>IF(AR335&lt;=3,(IF((G335="5/24"),((база!$M$6*2*Таблица1[[#This Row],[Столбец1]]*Таблица1[[#This Row],[коэф]])),
IF((G335="4/24"),((база!$M$5*2*Таблица1[[#This Row],[Столбец1]]*Таблица1[[#This Row],[коэф]])),
IF((G335="3/24"),((база!$M$4*2*Таблица1[[#This Row],[Столбец1]]*Таблица1[[#This Row],[коэф]])),
IF((G335="5/16"),((база!$L$6*2*Таблица1[[#This Row],[Столбец1]]*Таблица1[[#This Row],[коэф]])),
IF((G335="4/16"),((база!$L$5*2*Таблица1[[#This Row],[Столбец1]]*Таблица1[[#This Row],[коэф]])),
IF((G335="3/16"),((база!$L$4*2*Таблица1[[#This Row],[Столбец1]]*Таблица1[[#This Row],[коэф]])),
IF((G335="4/4"),((база!$I$5*2*Таблица1[[#This Row],[Столбец1]]*Таблица1[[#This Row],[коэф]])),
IF(OR(G335="2/4",G335="3/4"),((база!$I$4*2*Таблица1[[#This Row],[Столбец1]]*Таблица1[[#This Row],[коэф]])),
IF((G335="5/8"),((база!$J$6*2*Таблица1[[#This Row],[Столбец1]]*Таблица1[[#This Row],[коэф]])),
IF((G335="4/8"),((база!$J$5*2*Таблица1[[#This Row],[Столбец1]]*Таблица1[[#This Row],[коэф]])),
IF(OR(G335="3/8",G335="2/8"),((база!$J$4*2*Таблица1[[#This Row],[Столбец1]]*Таблица1[[#This Row],[коэф]])))))))))))))),
(IF((G335="5/24"),((база!$M$6*2*Таблица1[[#This Row],[Столбец1]]*Таблица1[[#This Row],[коэф]])),
IF(OR(G335="4/24",G335="3/24"),((база!$M$5*2*Таблица1[[#This Row],[Столбец1]]*Таблица1[[#This Row],[коэф]])),
IF((G335="5/16"),((база!$L$6*2*Таблица1[[#This Row],[Столбец1]]*Таблица1[[#This Row],[коэф]])),
IF(OR(G335="4/16",G335="3/16"),((база!$L$5*2*Таблица1[[#This Row],[Столбец1]]*Таблица1[[#This Row],[коэф]])),
IF(OR(G335="2/4",G335="3/4",G335="4/4"),((база!$I$5*2*Таблица1[[#This Row],[Столбец1]]*Таблица1[[#This Row],[коэф]])),
IF((G335="5/8"),((база!$J$6*2*Таблица1[[#This Row],[Столбец1]]*Таблица1[[#This Row],[коэф]])),
IF(OR(G335="4/8",G335="3/8",G335="2/8"),((база!$J$5*2*Таблица1[[#This Row],[Столбец1]]*Таблица1[[#This Row],[коэф]])))))))))))</f>
        <v>0</v>
      </c>
      <c r="AQ335" s="712" t="str">
        <f>IFERROR(INDEX(база!T:T, MATCH(F335,база!Q:Q,0)),"")</f>
        <v/>
      </c>
      <c r="AR335" s="208" t="str">
        <f>IFERROR(INDEX(база!D:D, MATCH(F335,база!B:B,0)),"")</f>
        <v/>
      </c>
      <c r="AS335" s="758" t="str">
        <f>IFERROR(INDEX(база!E:E, MATCH(F335,база!B:B,0)),"")</f>
        <v/>
      </c>
    </row>
    <row r="336" spans="1:45" ht="15">
      <c r="A336" s="66" t="str">
        <f t="shared" si="4"/>
        <v>январь</v>
      </c>
      <c r="B336" s="231">
        <v>2024</v>
      </c>
      <c r="C336" s="299"/>
      <c r="D336" s="61"/>
      <c r="E336" s="211"/>
      <c r="F336" s="680"/>
      <c r="G336" s="47"/>
      <c r="H336" s="563"/>
      <c r="I336" s="563"/>
      <c r="J336" s="563"/>
      <c r="K336" s="563"/>
      <c r="L336" s="563"/>
      <c r="M336" s="563"/>
      <c r="N336" s="563"/>
      <c r="O336" s="563"/>
      <c r="P336" s="300"/>
      <c r="Q336" s="563"/>
      <c r="R336" s="563"/>
      <c r="S336" s="563"/>
      <c r="T336" s="563"/>
      <c r="U336" s="563"/>
      <c r="V336" s="563"/>
      <c r="W336" s="563"/>
      <c r="X336" s="563"/>
      <c r="Y336" s="563"/>
      <c r="Z336" s="563"/>
      <c r="AA336" s="563"/>
      <c r="AB336" s="563"/>
      <c r="AC336" s="563"/>
      <c r="AD336" s="48"/>
      <c r="AE336" s="48"/>
      <c r="AF336" s="258"/>
      <c r="AG336" s="48"/>
      <c r="AH336" s="48"/>
      <c r="AI336" s="48"/>
      <c r="AJ336" s="48"/>
      <c r="AK336" s="48"/>
      <c r="AL336" s="51"/>
      <c r="AM336" s="212">
        <f>IF(AQ336=1,SUM(Q336:T336,W336:Z336,AC336:AF336,AI336:AL336),
IF(AQ336=2,SUM(P336,S336:V336,Y336:AB336,AE336:AH336,AK336:AL336),
IF(AQ336=3,SUM(P336:R336,U336:X336,AA336:AD336,AG336:AJ336),SUM(Таблица1[[#This Row],[1]:[31]])-Таблица1[[#This Row],[Столбец1]])))</f>
        <v>0</v>
      </c>
      <c r="AN336" s="778">
        <f t="array" ref="AN336">IF(AQ336=1,SUM(P336,U336:V336,AA336:AB336,AG336:AH336),
IF(AQ336=2,SUM(Q336:R336,W336:X336,AC336:AD336,AI336:AJ336),
IF(AQ336=3,SUM(S336:T336,Y336:Z336,AE336:AF336,AK336:AL336),
SUM(IFERROR(WEEKDAY($H$2:$AL$2,2)&gt;5,)*H336:AL336))))+Таблица1[[#This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36" s="292" t="b">
        <f>IF(AR336&lt;=3,(IF((G336="5/24"),((база!$M$6*Таблица1[[#This Row],[сумма]]*Таблица1[[#This Row],[коэф]])),
IF((G336="4/24"),((база!$M$5*Таблица1[[#This Row],[сумма]]*Таблица1[[#This Row],[коэф]])),
IF((G336="3/24"),((база!$M$4*Таблица1[[#This Row],[сумма]]*Таблица1[[#This Row],[коэф]])),
IF((G336="5/16"),((база!$L$6*Таблица1[[#This Row],[сумма]]*Таблица1[[#This Row],[коэф]])),
IF((G336="4/16"),((база!$L$5*Таблица1[[#This Row],[сумма]]*Таблица1[[#This Row],[коэф]])),
IF((G336="3/16"),((база!$L$4*Таблица1[[#This Row],[сумма]]*Таблица1[[#This Row],[коэф]])),
IF((G336="4/4"),((база!$I$5*Таблица1[[#This Row],[сумма]]*Таблица1[[#This Row],[коэф]])),
IF(OR(G336="2/4",G336="3/4"),((база!$I$4*Таблица1[[#This Row],[сумма]]*Таблица1[[#This Row],[коэф]])),
IF((G336="5/8"),((база!$J$6*Таблица1[[#This Row],[сумма]]*Таблица1[[#This Row],[коэф]])),
IF((G336="4/8"),((база!$J$5*Таблица1[[#This Row],[сумма]]*Таблица1[[#This Row],[коэф]])),
IF(OR(G336="3/8",G336="2/8"),((база!$J$4*Таблица1[[#This Row],[сумма]]*Таблица1[[#This Row],[коэф]])))))))))))))),
(IF((G336="5/24"),((база!$M$6*Таблица1[[#This Row],[сумма]]*Таблица1[[#This Row],[коэф]])),
IF(OR(G336="4/24",G336="3/24"),((база!$M$5*Таблица1[[#This Row],[сумма]]*Таблица1[[#This Row],[коэф]])),
IF((G336="5/16"),((база!$L$6*Таблица1[[#This Row],[сумма]]*Таблица1[[#This Row],[коэф]])),
IF(OR(G336="4/16",G336="3/16"),((база!$L$5*Таблица1[[#This Row],[сумма]]*Таблица1[[#This Row],[коэф]])),
IF(OR(G336="2/4",G336="3/4",G336="4/4"),((база!$I$5*Таблица1[[#This Row],[сумма]]*Таблица1[[#This Row],[коэф]])),
IF((G336="5/8"),((база!$J$6*Таблица1[[#This Row],[сумма]]*Таблица1[[#This Row],[коэф]])),
IF(OR(G336="4/8",G336="3/8",G336="2/8"),((база!$J$5*Таблица1[[#This Row],[сумма]]*Таблица1[[#This Row],[коэф]])))))))))))</f>
        <v>0</v>
      </c>
      <c r="AP336" s="730" t="b">
        <f>IF(AR336&lt;=3,(IF((G336="5/24"),((база!$M$6*2*Таблица1[[#This Row],[Столбец1]]*Таблица1[[#This Row],[коэф]])),
IF((G336="4/24"),((база!$M$5*2*Таблица1[[#This Row],[Столбец1]]*Таблица1[[#This Row],[коэф]])),
IF((G336="3/24"),((база!$M$4*2*Таблица1[[#This Row],[Столбец1]]*Таблица1[[#This Row],[коэф]])),
IF((G336="5/16"),((база!$L$6*2*Таблица1[[#This Row],[Столбец1]]*Таблица1[[#This Row],[коэф]])),
IF((G336="4/16"),((база!$L$5*2*Таблица1[[#This Row],[Столбец1]]*Таблица1[[#This Row],[коэф]])),
IF((G336="3/16"),((база!$L$4*2*Таблица1[[#This Row],[Столбец1]]*Таблица1[[#This Row],[коэф]])),
IF((G336="4/4"),((база!$I$5*2*Таблица1[[#This Row],[Столбец1]]*Таблица1[[#This Row],[коэф]])),
IF(OR(G336="2/4",G336="3/4"),((база!$I$4*2*Таблица1[[#This Row],[Столбец1]]*Таблица1[[#This Row],[коэф]])),
IF((G336="5/8"),((база!$J$6*2*Таблица1[[#This Row],[Столбец1]]*Таблица1[[#This Row],[коэф]])),
IF((G336="4/8"),((база!$J$5*2*Таблица1[[#This Row],[Столбец1]]*Таблица1[[#This Row],[коэф]])),
IF(OR(G336="3/8",G336="2/8"),((база!$J$4*2*Таблица1[[#This Row],[Столбец1]]*Таблица1[[#This Row],[коэф]])))))))))))))),
(IF((G336="5/24"),((база!$M$6*2*Таблица1[[#This Row],[Столбец1]]*Таблица1[[#This Row],[коэф]])),
IF(OR(G336="4/24",G336="3/24"),((база!$M$5*2*Таблица1[[#This Row],[Столбец1]]*Таблица1[[#This Row],[коэф]])),
IF((G336="5/16"),((база!$L$6*2*Таблица1[[#This Row],[Столбец1]]*Таблица1[[#This Row],[коэф]])),
IF(OR(G336="4/16",G336="3/16"),((база!$L$5*2*Таблица1[[#This Row],[Столбец1]]*Таблица1[[#This Row],[коэф]])),
IF(OR(G336="2/4",G336="3/4",G336="4/4"),((база!$I$5*2*Таблица1[[#This Row],[Столбец1]]*Таблица1[[#This Row],[коэф]])),
IF((G336="5/8"),((база!$J$6*2*Таблица1[[#This Row],[Столбец1]]*Таблица1[[#This Row],[коэф]])),
IF(OR(G336="4/8",G336="3/8",G336="2/8"),((база!$J$5*2*Таблица1[[#This Row],[Столбец1]]*Таблица1[[#This Row],[коэф]])))))))))))</f>
        <v>0</v>
      </c>
      <c r="AQ336" s="712" t="str">
        <f>IFERROR(INDEX(база!T:T, MATCH(F336,база!Q:Q,0)),"")</f>
        <v/>
      </c>
      <c r="AR336" s="208" t="str">
        <f>IFERROR(INDEX(база!D:D, MATCH(F336,база!B:B,0)),"")</f>
        <v/>
      </c>
      <c r="AS336" s="758" t="str">
        <f>IFERROR(INDEX(база!E:E, MATCH(F336,база!B:B,0)),"")</f>
        <v/>
      </c>
    </row>
    <row r="337" spans="1:45" ht="15">
      <c r="A337" s="66" t="str">
        <f t="shared" si="4"/>
        <v>январь</v>
      </c>
      <c r="B337" s="231">
        <v>2024</v>
      </c>
      <c r="C337" s="299"/>
      <c r="D337" s="61"/>
      <c r="E337" s="211"/>
      <c r="F337" s="680"/>
      <c r="G337" s="47"/>
      <c r="H337" s="563"/>
      <c r="I337" s="563"/>
      <c r="J337" s="563"/>
      <c r="K337" s="563"/>
      <c r="L337" s="563"/>
      <c r="M337" s="563"/>
      <c r="N337" s="563"/>
      <c r="O337" s="563"/>
      <c r="P337" s="300"/>
      <c r="Q337" s="563"/>
      <c r="R337" s="563"/>
      <c r="S337" s="563"/>
      <c r="T337" s="563"/>
      <c r="U337" s="563"/>
      <c r="V337" s="563"/>
      <c r="W337" s="563"/>
      <c r="X337" s="563"/>
      <c r="Y337" s="563"/>
      <c r="Z337" s="563"/>
      <c r="AA337" s="563"/>
      <c r="AB337" s="563"/>
      <c r="AC337" s="563"/>
      <c r="AD337" s="48"/>
      <c r="AE337" s="48"/>
      <c r="AF337" s="258"/>
      <c r="AG337" s="48"/>
      <c r="AH337" s="48"/>
      <c r="AI337" s="258"/>
      <c r="AJ337" s="258"/>
      <c r="AK337" s="258"/>
      <c r="AL337" s="258"/>
      <c r="AM337" s="212">
        <f>IF(AQ337=1,SUM(Q337:T337,W337:Z337,AC337:AF337,AI337:AL337),
IF(AQ337=2,SUM(P337,S337:V337,Y337:AB337,AE337:AH337,AK337:AL337),
IF(AQ337=3,SUM(P337:R337,U337:X337,AA337:AD337,AG337:AJ337),SUM(Таблица1[[#This Row],[1]:[31]])-Таблица1[[#This Row],[Столбец1]])))</f>
        <v>0</v>
      </c>
      <c r="AN337" s="778">
        <f t="array" ref="AN337">IF(AQ337=1,SUM(P337,U337:V337,AA337:AB337,AG337:AH337),
IF(AQ337=2,SUM(Q337:R337,W337:X337,AC337:AD337,AI337:AJ337),
IF(AQ337=3,SUM(S337:T337,Y337:Z337,AE337:AF337,AK337:AL337),
SUM(IFERROR(WEEKDAY($H$2:$AL$2,2)&gt;5,)*H337:AL337))))+Таблица1[[#This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37" s="292" t="b">
        <f>IF(AR337&lt;=3,(IF((G337="5/24"),((база!$M$6*Таблица1[[#This Row],[сумма]]*Таблица1[[#This Row],[коэф]])),
IF((G337="4/24"),((база!$M$5*Таблица1[[#This Row],[сумма]]*Таблица1[[#This Row],[коэф]])),
IF((G337="3/24"),((база!$M$4*Таблица1[[#This Row],[сумма]]*Таблица1[[#This Row],[коэф]])),
IF((G337="5/16"),((база!$L$6*Таблица1[[#This Row],[сумма]]*Таблица1[[#This Row],[коэф]])),
IF((G337="4/16"),((база!$L$5*Таблица1[[#This Row],[сумма]]*Таблица1[[#This Row],[коэф]])),
IF((G337="3/16"),((база!$L$4*Таблица1[[#This Row],[сумма]]*Таблица1[[#This Row],[коэф]])),
IF((G337="4/4"),((база!$I$5*Таблица1[[#This Row],[сумма]]*Таблица1[[#This Row],[коэф]])),
IF(OR(G337="2/4",G337="3/4"),((база!$I$4*Таблица1[[#This Row],[сумма]]*Таблица1[[#This Row],[коэф]])),
IF((G337="5/8"),((база!$J$6*Таблица1[[#This Row],[сумма]]*Таблица1[[#This Row],[коэф]])),
IF((G337="4/8"),((база!$J$5*Таблица1[[#This Row],[сумма]]*Таблица1[[#This Row],[коэф]])),
IF(OR(G337="3/8",G337="2/8"),((база!$J$4*Таблица1[[#This Row],[сумма]]*Таблица1[[#This Row],[коэф]])))))))))))))),
(IF((G337="5/24"),((база!$M$6*Таблица1[[#This Row],[сумма]]*Таблица1[[#This Row],[коэф]])),
IF(OR(G337="4/24",G337="3/24"),((база!$M$5*Таблица1[[#This Row],[сумма]]*Таблица1[[#This Row],[коэф]])),
IF((G337="5/16"),((база!$L$6*Таблица1[[#This Row],[сумма]]*Таблица1[[#This Row],[коэф]])),
IF(OR(G337="4/16",G337="3/16"),((база!$L$5*Таблица1[[#This Row],[сумма]]*Таблица1[[#This Row],[коэф]])),
IF(OR(G337="2/4",G337="3/4",G337="4/4"),((база!$I$5*Таблица1[[#This Row],[сумма]]*Таблица1[[#This Row],[коэф]])),
IF((G337="5/8"),((база!$J$6*Таблица1[[#This Row],[сумма]]*Таблица1[[#This Row],[коэф]])),
IF(OR(G337="4/8",G337="3/8",G337="2/8"),((база!$J$5*Таблица1[[#This Row],[сумма]]*Таблица1[[#This Row],[коэф]])))))))))))</f>
        <v>0</v>
      </c>
      <c r="AP337" s="730" t="b">
        <f>IF(AR337&lt;=3,(IF((G337="5/24"),((база!$M$6*2*Таблица1[[#This Row],[Столбец1]]*Таблица1[[#This Row],[коэф]])),
IF((G337="4/24"),((база!$M$5*2*Таблица1[[#This Row],[Столбец1]]*Таблица1[[#This Row],[коэф]])),
IF((G337="3/24"),((база!$M$4*2*Таблица1[[#This Row],[Столбец1]]*Таблица1[[#This Row],[коэф]])),
IF((G337="5/16"),((база!$L$6*2*Таблица1[[#This Row],[Столбец1]]*Таблица1[[#This Row],[коэф]])),
IF((G337="4/16"),((база!$L$5*2*Таблица1[[#This Row],[Столбец1]]*Таблица1[[#This Row],[коэф]])),
IF((G337="3/16"),((база!$L$4*2*Таблица1[[#This Row],[Столбец1]]*Таблица1[[#This Row],[коэф]])),
IF((G337="4/4"),((база!$I$5*2*Таблица1[[#This Row],[Столбец1]]*Таблица1[[#This Row],[коэф]])),
IF(OR(G337="2/4",G337="3/4"),((база!$I$4*2*Таблица1[[#This Row],[Столбец1]]*Таблица1[[#This Row],[коэф]])),
IF((G337="5/8"),((база!$J$6*2*Таблица1[[#This Row],[Столбец1]]*Таблица1[[#This Row],[коэф]])),
IF((G337="4/8"),((база!$J$5*2*Таблица1[[#This Row],[Столбец1]]*Таблица1[[#This Row],[коэф]])),
IF(OR(G337="3/8",G337="2/8"),((база!$J$4*2*Таблица1[[#This Row],[Столбец1]]*Таблица1[[#This Row],[коэф]])))))))))))))),
(IF((G337="5/24"),((база!$M$6*2*Таблица1[[#This Row],[Столбец1]]*Таблица1[[#This Row],[коэф]])),
IF(OR(G337="4/24",G337="3/24"),((база!$M$5*2*Таблица1[[#This Row],[Столбец1]]*Таблица1[[#This Row],[коэф]])),
IF((G337="5/16"),((база!$L$6*2*Таблица1[[#This Row],[Столбец1]]*Таблица1[[#This Row],[коэф]])),
IF(OR(G337="4/16",G337="3/16"),((база!$L$5*2*Таблица1[[#This Row],[Столбец1]]*Таблица1[[#This Row],[коэф]])),
IF(OR(G337="2/4",G337="3/4",G337="4/4"),((база!$I$5*2*Таблица1[[#This Row],[Столбец1]]*Таблица1[[#This Row],[коэф]])),
IF((G337="5/8"),((база!$J$6*2*Таблица1[[#This Row],[Столбец1]]*Таблица1[[#This Row],[коэф]])),
IF(OR(G337="4/8",G337="3/8",G337="2/8"),((база!$J$5*2*Таблица1[[#This Row],[Столбец1]]*Таблица1[[#This Row],[коэф]])))))))))))</f>
        <v>0</v>
      </c>
      <c r="AQ337" s="712" t="str">
        <f>IFERROR(INDEX(база!T:T, MATCH(F337,база!Q:Q,0)),"")</f>
        <v/>
      </c>
      <c r="AR337" s="208" t="str">
        <f>IFERROR(INDEX(база!D:D, MATCH(F337,база!B:B,0)),"")</f>
        <v/>
      </c>
      <c r="AS337" s="758" t="str">
        <f>IFERROR(INDEX(база!E:E, MATCH(F337,база!B:B,0)),"")</f>
        <v/>
      </c>
    </row>
    <row r="338" spans="1:45" ht="15">
      <c r="A338" s="66" t="str">
        <f t="shared" si="4"/>
        <v>январь</v>
      </c>
      <c r="B338" s="231">
        <v>2024</v>
      </c>
      <c r="C338" s="299"/>
      <c r="D338" s="61"/>
      <c r="E338" s="211"/>
      <c r="F338" s="680"/>
      <c r="G338" s="47"/>
      <c r="H338" s="563"/>
      <c r="I338" s="563"/>
      <c r="J338" s="563"/>
      <c r="K338" s="563"/>
      <c r="L338" s="563"/>
      <c r="M338" s="563"/>
      <c r="N338" s="563"/>
      <c r="O338" s="563"/>
      <c r="P338" s="300"/>
      <c r="Q338" s="563"/>
      <c r="R338" s="563"/>
      <c r="S338" s="563"/>
      <c r="T338" s="563"/>
      <c r="U338" s="563"/>
      <c r="V338" s="563"/>
      <c r="W338" s="563"/>
      <c r="X338" s="563"/>
      <c r="Y338" s="563"/>
      <c r="Z338" s="563"/>
      <c r="AA338" s="563"/>
      <c r="AB338" s="563"/>
      <c r="AC338" s="563"/>
      <c r="AD338" s="48"/>
      <c r="AE338" s="48"/>
      <c r="AF338" s="258"/>
      <c r="AG338" s="48"/>
      <c r="AH338" s="48"/>
      <c r="AI338" s="48"/>
      <c r="AJ338" s="48"/>
      <c r="AK338" s="48"/>
      <c r="AL338" s="51"/>
      <c r="AM338" s="212">
        <f>IF(AQ338=1,SUM(Q338:T338,W338:Z338,AC338:AF338,AI338:AL338),
IF(AQ338=2,SUM(P338,S338:V338,Y338:AB338,AE338:AH338,AK338:AL338),
IF(AQ338=3,SUM(P338:R338,U338:X338,AA338:AD338,AG338:AJ338),SUM(Таблица1[[#This Row],[1]:[31]])-Таблица1[[#This Row],[Столбец1]])))</f>
        <v>0</v>
      </c>
      <c r="AN338" s="778">
        <f t="array" ref="AN338">IF(AQ338=1,SUM(P338,U338:V338,AA338:AB338,AG338:AH338),
IF(AQ338=2,SUM(Q338:R338,W338:X338,AC338:AD338,AI338:AJ338),
IF(AQ338=3,SUM(S338:T338,Y338:Z338,AE338:AF338,AK338:AL338),
SUM(IFERROR(WEEKDAY($H$2:$AL$2,2)&gt;5,)*H338:AL338))))+Таблица1[[#This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38" s="292" t="b">
        <f>IF(AR338&lt;=3,(IF((G338="5/24"),((база!$M$6*Таблица1[[#This Row],[сумма]]*Таблица1[[#This Row],[коэф]])),
IF((G338="4/24"),((база!$M$5*Таблица1[[#This Row],[сумма]]*Таблица1[[#This Row],[коэф]])),
IF((G338="3/24"),((база!$M$4*Таблица1[[#This Row],[сумма]]*Таблица1[[#This Row],[коэф]])),
IF((G338="5/16"),((база!$L$6*Таблица1[[#This Row],[сумма]]*Таблица1[[#This Row],[коэф]])),
IF((G338="4/16"),((база!$L$5*Таблица1[[#This Row],[сумма]]*Таблица1[[#This Row],[коэф]])),
IF((G338="3/16"),((база!$L$4*Таблица1[[#This Row],[сумма]]*Таблица1[[#This Row],[коэф]])),
IF((G338="4/4"),((база!$I$5*Таблица1[[#This Row],[сумма]]*Таблица1[[#This Row],[коэф]])),
IF(OR(G338="2/4",G338="3/4"),((база!$I$4*Таблица1[[#This Row],[сумма]]*Таблица1[[#This Row],[коэф]])),
IF((G338="5/8"),((база!$J$6*Таблица1[[#This Row],[сумма]]*Таблица1[[#This Row],[коэф]])),
IF((G338="4/8"),((база!$J$5*Таблица1[[#This Row],[сумма]]*Таблица1[[#This Row],[коэф]])),
IF(OR(G338="3/8",G338="2/8"),((база!$J$4*Таблица1[[#This Row],[сумма]]*Таблица1[[#This Row],[коэф]])))))))))))))),
(IF((G338="5/24"),((база!$M$6*Таблица1[[#This Row],[сумма]]*Таблица1[[#This Row],[коэф]])),
IF(OR(G338="4/24",G338="3/24"),((база!$M$5*Таблица1[[#This Row],[сумма]]*Таблица1[[#This Row],[коэф]])),
IF((G338="5/16"),((база!$L$6*Таблица1[[#This Row],[сумма]]*Таблица1[[#This Row],[коэф]])),
IF(OR(G338="4/16",G338="3/16"),((база!$L$5*Таблица1[[#This Row],[сумма]]*Таблица1[[#This Row],[коэф]])),
IF(OR(G338="2/4",G338="3/4",G338="4/4"),((база!$I$5*Таблица1[[#This Row],[сумма]]*Таблица1[[#This Row],[коэф]])),
IF((G338="5/8"),((база!$J$6*Таблица1[[#This Row],[сумма]]*Таблица1[[#This Row],[коэф]])),
IF(OR(G338="4/8",G338="3/8",G338="2/8"),((база!$J$5*Таблица1[[#This Row],[сумма]]*Таблица1[[#This Row],[коэф]])))))))))))</f>
        <v>0</v>
      </c>
      <c r="AP338" s="730" t="b">
        <f>IF(AR338&lt;=3,(IF((G338="5/24"),((база!$M$6*2*Таблица1[[#This Row],[Столбец1]]*Таблица1[[#This Row],[коэф]])),
IF((G338="4/24"),((база!$M$5*2*Таблица1[[#This Row],[Столбец1]]*Таблица1[[#This Row],[коэф]])),
IF((G338="3/24"),((база!$M$4*2*Таблица1[[#This Row],[Столбец1]]*Таблица1[[#This Row],[коэф]])),
IF((G338="5/16"),((база!$L$6*2*Таблица1[[#This Row],[Столбец1]]*Таблица1[[#This Row],[коэф]])),
IF((G338="4/16"),((база!$L$5*2*Таблица1[[#This Row],[Столбец1]]*Таблица1[[#This Row],[коэф]])),
IF((G338="3/16"),((база!$L$4*2*Таблица1[[#This Row],[Столбец1]]*Таблица1[[#This Row],[коэф]])),
IF((G338="4/4"),((база!$I$5*2*Таблица1[[#This Row],[Столбец1]]*Таблица1[[#This Row],[коэф]])),
IF(OR(G338="2/4",G338="3/4"),((база!$I$4*2*Таблица1[[#This Row],[Столбец1]]*Таблица1[[#This Row],[коэф]])),
IF((G338="5/8"),((база!$J$6*2*Таблица1[[#This Row],[Столбец1]]*Таблица1[[#This Row],[коэф]])),
IF((G338="4/8"),((база!$J$5*2*Таблица1[[#This Row],[Столбец1]]*Таблица1[[#This Row],[коэф]])),
IF(OR(G338="3/8",G338="2/8"),((база!$J$4*2*Таблица1[[#This Row],[Столбец1]]*Таблица1[[#This Row],[коэф]])))))))))))))),
(IF((G338="5/24"),((база!$M$6*2*Таблица1[[#This Row],[Столбец1]]*Таблица1[[#This Row],[коэф]])),
IF(OR(G338="4/24",G338="3/24"),((база!$M$5*2*Таблица1[[#This Row],[Столбец1]]*Таблица1[[#This Row],[коэф]])),
IF((G338="5/16"),((база!$L$6*2*Таблица1[[#This Row],[Столбец1]]*Таблица1[[#This Row],[коэф]])),
IF(OR(G338="4/16",G338="3/16"),((база!$L$5*2*Таблица1[[#This Row],[Столбец1]]*Таблица1[[#This Row],[коэф]])),
IF(OR(G338="2/4",G338="3/4",G338="4/4"),((база!$I$5*2*Таблица1[[#This Row],[Столбец1]]*Таблица1[[#This Row],[коэф]])),
IF((G338="5/8"),((база!$J$6*2*Таблица1[[#This Row],[Столбец1]]*Таблица1[[#This Row],[коэф]])),
IF(OR(G338="4/8",G338="3/8",G338="2/8"),((база!$J$5*2*Таблица1[[#This Row],[Столбец1]]*Таблица1[[#This Row],[коэф]])))))))))))</f>
        <v>0</v>
      </c>
      <c r="AQ338" s="712" t="str">
        <f>IFERROR(INDEX(база!T:T, MATCH(F338,база!Q:Q,0)),"")</f>
        <v/>
      </c>
      <c r="AR338" s="208" t="str">
        <f>IFERROR(INDEX(база!D:D, MATCH(F338,база!B:B,0)),"")</f>
        <v/>
      </c>
      <c r="AS338" s="758" t="str">
        <f>IFERROR(INDEX(база!E:E, MATCH(F338,база!B:B,0)),"")</f>
        <v/>
      </c>
    </row>
    <row r="339" spans="1:45" ht="15">
      <c r="A339" s="66" t="str">
        <f t="shared" si="4"/>
        <v>январь</v>
      </c>
      <c r="B339" s="231">
        <v>2024</v>
      </c>
      <c r="C339" s="299"/>
      <c r="D339" s="61"/>
      <c r="E339" s="211"/>
      <c r="F339" s="680"/>
      <c r="G339" s="47"/>
      <c r="H339" s="563"/>
      <c r="I339" s="563"/>
      <c r="J339" s="563"/>
      <c r="K339" s="563"/>
      <c r="L339" s="563"/>
      <c r="M339" s="563"/>
      <c r="N339" s="563"/>
      <c r="O339" s="563"/>
      <c r="P339" s="300"/>
      <c r="Q339" s="563"/>
      <c r="R339" s="563"/>
      <c r="S339" s="563"/>
      <c r="T339" s="563"/>
      <c r="U339" s="563"/>
      <c r="V339" s="563"/>
      <c r="W339" s="563"/>
      <c r="X339" s="563"/>
      <c r="Y339" s="563"/>
      <c r="Z339" s="563"/>
      <c r="AA339" s="563"/>
      <c r="AB339" s="563"/>
      <c r="AC339" s="563"/>
      <c r="AD339" s="48"/>
      <c r="AE339" s="48"/>
      <c r="AF339" s="258"/>
      <c r="AG339" s="48"/>
      <c r="AH339" s="48"/>
      <c r="AI339" s="258"/>
      <c r="AJ339" s="258"/>
      <c r="AK339" s="258"/>
      <c r="AL339" s="258"/>
      <c r="AM339" s="212">
        <f>IF(AQ339=1,SUM(Q339:T339,W339:Z339,AC339:AF339,AI339:AL339),
IF(AQ339=2,SUM(P339,S339:V339,Y339:AB339,AE339:AH339,AK339:AL339),
IF(AQ339=3,SUM(P339:R339,U339:X339,AA339:AD339,AG339:AJ339),SUM(Таблица1[[#This Row],[1]:[31]])-Таблица1[[#This Row],[Столбец1]])))</f>
        <v>0</v>
      </c>
      <c r="AN339" s="778">
        <f t="array" ref="AN339">IF(AQ339=1,SUM(P339,U339:V339,AA339:AB339,AG339:AH339),
IF(AQ339=2,SUM(Q339:R339,W339:X339,AC339:AD339,AI339:AJ339),
IF(AQ339=3,SUM(S339:T339,Y339:Z339,AE339:AF339,AK339:AL339),
SUM(IFERROR(WEEKDAY($H$2:$AL$2,2)&gt;5,)*H339:AL339))))+Таблица1[[#This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39" s="292" t="b">
        <f>IF(AR339&lt;=3,(IF((G339="5/24"),((база!$M$6*Таблица1[[#This Row],[сумма]]*Таблица1[[#This Row],[коэф]])),
IF((G339="4/24"),((база!$M$5*Таблица1[[#This Row],[сумма]]*Таблица1[[#This Row],[коэф]])),
IF((G339="3/24"),((база!$M$4*Таблица1[[#This Row],[сумма]]*Таблица1[[#This Row],[коэф]])),
IF((G339="5/16"),((база!$L$6*Таблица1[[#This Row],[сумма]]*Таблица1[[#This Row],[коэф]])),
IF((G339="4/16"),((база!$L$5*Таблица1[[#This Row],[сумма]]*Таблица1[[#This Row],[коэф]])),
IF((G339="3/16"),((база!$L$4*Таблица1[[#This Row],[сумма]]*Таблица1[[#This Row],[коэф]])),
IF((G339="4/4"),((база!$I$5*Таблица1[[#This Row],[сумма]]*Таблица1[[#This Row],[коэф]])),
IF(OR(G339="2/4",G339="3/4"),((база!$I$4*Таблица1[[#This Row],[сумма]]*Таблица1[[#This Row],[коэф]])),
IF((G339="5/8"),((база!$J$6*Таблица1[[#This Row],[сумма]]*Таблица1[[#This Row],[коэф]])),
IF((G339="4/8"),((база!$J$5*Таблица1[[#This Row],[сумма]]*Таблица1[[#This Row],[коэф]])),
IF(OR(G339="3/8",G339="2/8"),((база!$J$4*Таблица1[[#This Row],[сумма]]*Таблица1[[#This Row],[коэф]])))))))))))))),
(IF((G339="5/24"),((база!$M$6*Таблица1[[#This Row],[сумма]]*Таблица1[[#This Row],[коэф]])),
IF(OR(G339="4/24",G339="3/24"),((база!$M$5*Таблица1[[#This Row],[сумма]]*Таблица1[[#This Row],[коэф]])),
IF((G339="5/16"),((база!$L$6*Таблица1[[#This Row],[сумма]]*Таблица1[[#This Row],[коэф]])),
IF(OR(G339="4/16",G339="3/16"),((база!$L$5*Таблица1[[#This Row],[сумма]]*Таблица1[[#This Row],[коэф]])),
IF(OR(G339="2/4",G339="3/4",G339="4/4"),((база!$I$5*Таблица1[[#This Row],[сумма]]*Таблица1[[#This Row],[коэф]])),
IF((G339="5/8"),((база!$J$6*Таблица1[[#This Row],[сумма]]*Таблица1[[#This Row],[коэф]])),
IF(OR(G339="4/8",G339="3/8",G339="2/8"),((база!$J$5*Таблица1[[#This Row],[сумма]]*Таблица1[[#This Row],[коэф]])))))))))))</f>
        <v>0</v>
      </c>
      <c r="AP339" s="730" t="b">
        <f>IF(AR339&lt;=3,(IF((G339="5/24"),((база!$M$6*2*Таблица1[[#This Row],[Столбец1]]*Таблица1[[#This Row],[коэф]])),
IF((G339="4/24"),((база!$M$5*2*Таблица1[[#This Row],[Столбец1]]*Таблица1[[#This Row],[коэф]])),
IF((G339="3/24"),((база!$M$4*2*Таблица1[[#This Row],[Столбец1]]*Таблица1[[#This Row],[коэф]])),
IF((G339="5/16"),((база!$L$6*2*Таблица1[[#This Row],[Столбец1]]*Таблица1[[#This Row],[коэф]])),
IF((G339="4/16"),((база!$L$5*2*Таблица1[[#This Row],[Столбец1]]*Таблица1[[#This Row],[коэф]])),
IF((G339="3/16"),((база!$L$4*2*Таблица1[[#This Row],[Столбец1]]*Таблица1[[#This Row],[коэф]])),
IF((G339="4/4"),((база!$I$5*2*Таблица1[[#This Row],[Столбец1]]*Таблица1[[#This Row],[коэф]])),
IF(OR(G339="2/4",G339="3/4"),((база!$I$4*2*Таблица1[[#This Row],[Столбец1]]*Таблица1[[#This Row],[коэф]])),
IF((G339="5/8"),((база!$J$6*2*Таблица1[[#This Row],[Столбец1]]*Таблица1[[#This Row],[коэф]])),
IF((G339="4/8"),((база!$J$5*2*Таблица1[[#This Row],[Столбец1]]*Таблица1[[#This Row],[коэф]])),
IF(OR(G339="3/8",G339="2/8"),((база!$J$4*2*Таблица1[[#This Row],[Столбец1]]*Таблица1[[#This Row],[коэф]])))))))))))))),
(IF((G339="5/24"),((база!$M$6*2*Таблица1[[#This Row],[Столбец1]]*Таблица1[[#This Row],[коэф]])),
IF(OR(G339="4/24",G339="3/24"),((база!$M$5*2*Таблица1[[#This Row],[Столбец1]]*Таблица1[[#This Row],[коэф]])),
IF((G339="5/16"),((база!$L$6*2*Таблица1[[#This Row],[Столбец1]]*Таблица1[[#This Row],[коэф]])),
IF(OR(G339="4/16",G339="3/16"),((база!$L$5*2*Таблица1[[#This Row],[Столбец1]]*Таблица1[[#This Row],[коэф]])),
IF(OR(G339="2/4",G339="3/4",G339="4/4"),((база!$I$5*2*Таблица1[[#This Row],[Столбец1]]*Таблица1[[#This Row],[коэф]])),
IF((G339="5/8"),((база!$J$6*2*Таблица1[[#This Row],[Столбец1]]*Таблица1[[#This Row],[коэф]])),
IF(OR(G339="4/8",G339="3/8",G339="2/8"),((база!$J$5*2*Таблица1[[#This Row],[Столбец1]]*Таблица1[[#This Row],[коэф]])))))))))))</f>
        <v>0</v>
      </c>
      <c r="AQ339" s="712" t="str">
        <f>IFERROR(INDEX(база!T:T, MATCH(F339,база!Q:Q,0)),"")</f>
        <v/>
      </c>
      <c r="AR339" s="208" t="str">
        <f>IFERROR(INDEX(база!D:D, MATCH(F339,база!B:B,0)),"")</f>
        <v/>
      </c>
      <c r="AS339" s="758" t="str">
        <f>IFERROR(INDEX(база!E:E, MATCH(F339,база!B:B,0)),"")</f>
        <v/>
      </c>
    </row>
    <row r="340" spans="1:45" ht="15">
      <c r="A340" s="66" t="str">
        <f t="shared" si="4"/>
        <v>январь</v>
      </c>
      <c r="B340" s="231">
        <v>2024</v>
      </c>
      <c r="C340" s="299"/>
      <c r="D340" s="61"/>
      <c r="E340" s="211"/>
      <c r="F340" s="680"/>
      <c r="G340" s="47"/>
      <c r="H340" s="563"/>
      <c r="I340" s="563"/>
      <c r="J340" s="563"/>
      <c r="K340" s="563"/>
      <c r="L340" s="563"/>
      <c r="M340" s="563"/>
      <c r="N340" s="563"/>
      <c r="O340" s="563"/>
      <c r="P340" s="300"/>
      <c r="Q340" s="563"/>
      <c r="R340" s="563"/>
      <c r="S340" s="563"/>
      <c r="T340" s="563"/>
      <c r="U340" s="563"/>
      <c r="V340" s="563"/>
      <c r="W340" s="563"/>
      <c r="X340" s="563"/>
      <c r="Y340" s="563"/>
      <c r="Z340" s="563"/>
      <c r="AA340" s="563"/>
      <c r="AB340" s="563"/>
      <c r="AC340" s="563"/>
      <c r="AD340" s="48"/>
      <c r="AE340" s="48"/>
      <c r="AF340" s="258"/>
      <c r="AG340" s="48"/>
      <c r="AH340" s="48"/>
      <c r="AI340" s="48"/>
      <c r="AJ340" s="48"/>
      <c r="AK340" s="48"/>
      <c r="AL340" s="51"/>
      <c r="AM340" s="212">
        <f>IF(AQ340=1,SUM(Q340:T340,W340:Z340,AC340:AF340,AI340:AL340),
IF(AQ340=2,SUM(P340,S340:V340,Y340:AB340,AE340:AH340,AK340:AL340),
IF(AQ340=3,SUM(P340:R340,U340:X340,AA340:AD340,AG340:AJ340),SUM(Таблица1[[#This Row],[1]:[31]])-Таблица1[[#This Row],[Столбец1]])))</f>
        <v>0</v>
      </c>
      <c r="AN340" s="778">
        <f t="array" ref="AN340">IF(AQ340=1,SUM(P340,U340:V340,AA340:AB340,AG340:AH340),
IF(AQ340=2,SUM(Q340:R340,W340:X340,AC340:AD340,AI340:AJ340),
IF(AQ340=3,SUM(S340:T340,Y340:Z340,AE340:AF340,AK340:AL340),
SUM(IFERROR(WEEKDAY($H$2:$AL$2,2)&gt;5,)*H340:AL340))))+Таблица1[[#This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40" s="292" t="b">
        <f>IF(AR340&lt;=3,(IF((G340="5/24"),((база!$M$6*Таблица1[[#This Row],[сумма]]*Таблица1[[#This Row],[коэф]])),
IF((G340="4/24"),((база!$M$5*Таблица1[[#This Row],[сумма]]*Таблица1[[#This Row],[коэф]])),
IF((G340="3/24"),((база!$M$4*Таблица1[[#This Row],[сумма]]*Таблица1[[#This Row],[коэф]])),
IF((G340="5/16"),((база!$L$6*Таблица1[[#This Row],[сумма]]*Таблица1[[#This Row],[коэф]])),
IF((G340="4/16"),((база!$L$5*Таблица1[[#This Row],[сумма]]*Таблица1[[#This Row],[коэф]])),
IF((G340="3/16"),((база!$L$4*Таблица1[[#This Row],[сумма]]*Таблица1[[#This Row],[коэф]])),
IF((G340="4/4"),((база!$I$5*Таблица1[[#This Row],[сумма]]*Таблица1[[#This Row],[коэф]])),
IF(OR(G340="2/4",G340="3/4"),((база!$I$4*Таблица1[[#This Row],[сумма]]*Таблица1[[#This Row],[коэф]])),
IF((G340="5/8"),((база!$J$6*Таблица1[[#This Row],[сумма]]*Таблица1[[#This Row],[коэф]])),
IF((G340="4/8"),((база!$J$5*Таблица1[[#This Row],[сумма]]*Таблица1[[#This Row],[коэф]])),
IF(OR(G340="3/8",G340="2/8"),((база!$J$4*Таблица1[[#This Row],[сумма]]*Таблица1[[#This Row],[коэф]])))))))))))))),
(IF((G340="5/24"),((база!$M$6*Таблица1[[#This Row],[сумма]]*Таблица1[[#This Row],[коэф]])),
IF(OR(G340="4/24",G340="3/24"),((база!$M$5*Таблица1[[#This Row],[сумма]]*Таблица1[[#This Row],[коэф]])),
IF((G340="5/16"),((база!$L$6*Таблица1[[#This Row],[сумма]]*Таблица1[[#This Row],[коэф]])),
IF(OR(G340="4/16",G340="3/16"),((база!$L$5*Таблица1[[#This Row],[сумма]]*Таблица1[[#This Row],[коэф]])),
IF(OR(G340="2/4",G340="3/4",G340="4/4"),((база!$I$5*Таблица1[[#This Row],[сумма]]*Таблица1[[#This Row],[коэф]])),
IF((G340="5/8"),((база!$J$6*Таблица1[[#This Row],[сумма]]*Таблица1[[#This Row],[коэф]])),
IF(OR(G340="4/8",G340="3/8",G340="2/8"),((база!$J$5*Таблица1[[#This Row],[сумма]]*Таблица1[[#This Row],[коэф]])))))))))))</f>
        <v>0</v>
      </c>
      <c r="AP340" s="730" t="b">
        <f>IF(AR340&lt;=3,(IF((G340="5/24"),((база!$M$6*2*Таблица1[[#This Row],[Столбец1]]*Таблица1[[#This Row],[коэф]])),
IF((G340="4/24"),((база!$M$5*2*Таблица1[[#This Row],[Столбец1]]*Таблица1[[#This Row],[коэф]])),
IF((G340="3/24"),((база!$M$4*2*Таблица1[[#This Row],[Столбец1]]*Таблица1[[#This Row],[коэф]])),
IF((G340="5/16"),((база!$L$6*2*Таблица1[[#This Row],[Столбец1]]*Таблица1[[#This Row],[коэф]])),
IF((G340="4/16"),((база!$L$5*2*Таблица1[[#This Row],[Столбец1]]*Таблица1[[#This Row],[коэф]])),
IF((G340="3/16"),((база!$L$4*2*Таблица1[[#This Row],[Столбец1]]*Таблица1[[#This Row],[коэф]])),
IF((G340="4/4"),((база!$I$5*2*Таблица1[[#This Row],[Столбец1]]*Таблица1[[#This Row],[коэф]])),
IF(OR(G340="2/4",G340="3/4"),((база!$I$4*2*Таблица1[[#This Row],[Столбец1]]*Таблица1[[#This Row],[коэф]])),
IF((G340="5/8"),((база!$J$6*2*Таблица1[[#This Row],[Столбец1]]*Таблица1[[#This Row],[коэф]])),
IF((G340="4/8"),((база!$J$5*2*Таблица1[[#This Row],[Столбец1]]*Таблица1[[#This Row],[коэф]])),
IF(OR(G340="3/8",G340="2/8"),((база!$J$4*2*Таблица1[[#This Row],[Столбец1]]*Таблица1[[#This Row],[коэф]])))))))))))))),
(IF((G340="5/24"),((база!$M$6*2*Таблица1[[#This Row],[Столбец1]]*Таблица1[[#This Row],[коэф]])),
IF(OR(G340="4/24",G340="3/24"),((база!$M$5*2*Таблица1[[#This Row],[Столбец1]]*Таблица1[[#This Row],[коэф]])),
IF((G340="5/16"),((база!$L$6*2*Таблица1[[#This Row],[Столбец1]]*Таблица1[[#This Row],[коэф]])),
IF(OR(G340="4/16",G340="3/16"),((база!$L$5*2*Таблица1[[#This Row],[Столбец1]]*Таблица1[[#This Row],[коэф]])),
IF(OR(G340="2/4",G340="3/4",G340="4/4"),((база!$I$5*2*Таблица1[[#This Row],[Столбец1]]*Таблица1[[#This Row],[коэф]])),
IF((G340="5/8"),((база!$J$6*2*Таблица1[[#This Row],[Столбец1]]*Таблица1[[#This Row],[коэф]])),
IF(OR(G340="4/8",G340="3/8",G340="2/8"),((база!$J$5*2*Таблица1[[#This Row],[Столбец1]]*Таблица1[[#This Row],[коэф]])))))))))))</f>
        <v>0</v>
      </c>
      <c r="AQ340" s="712" t="str">
        <f>IFERROR(INDEX(база!T:T, MATCH(F340,база!Q:Q,0)),"")</f>
        <v/>
      </c>
      <c r="AR340" s="208" t="str">
        <f>IFERROR(INDEX(база!D:D, MATCH(F340,база!B:B,0)),"")</f>
        <v/>
      </c>
      <c r="AS340" s="758" t="str">
        <f>IFERROR(INDEX(база!E:E, MATCH(F340,база!B:B,0)),"")</f>
        <v/>
      </c>
    </row>
    <row r="341" spans="1:45" ht="15">
      <c r="A341" s="66" t="str">
        <f t="shared" si="4"/>
        <v>январь</v>
      </c>
      <c r="B341" s="231">
        <v>2024</v>
      </c>
      <c r="C341" s="299"/>
      <c r="D341" s="61"/>
      <c r="E341" s="211"/>
      <c r="F341" s="680"/>
      <c r="G341" s="47"/>
      <c r="H341" s="563"/>
      <c r="I341" s="563"/>
      <c r="J341" s="563"/>
      <c r="K341" s="563"/>
      <c r="L341" s="563"/>
      <c r="M341" s="563"/>
      <c r="N341" s="563"/>
      <c r="O341" s="563"/>
      <c r="P341" s="300"/>
      <c r="Q341" s="563"/>
      <c r="R341" s="563"/>
      <c r="S341" s="563"/>
      <c r="T341" s="563"/>
      <c r="U341" s="563"/>
      <c r="V341" s="563"/>
      <c r="W341" s="563"/>
      <c r="X341" s="563"/>
      <c r="Y341" s="563"/>
      <c r="Z341" s="563"/>
      <c r="AA341" s="563"/>
      <c r="AB341" s="563"/>
      <c r="AC341" s="563"/>
      <c r="AD341" s="48"/>
      <c r="AE341" s="48"/>
      <c r="AF341" s="258"/>
      <c r="AG341" s="48"/>
      <c r="AH341" s="48"/>
      <c r="AI341" s="258"/>
      <c r="AJ341" s="258"/>
      <c r="AK341" s="258"/>
      <c r="AL341" s="258"/>
      <c r="AM341" s="212">
        <f>IF(AQ341=1,SUM(Q341:T341,W341:Z341,AC341:AF341,AI341:AL341),
IF(AQ341=2,SUM(P341,S341:V341,Y341:AB341,AE341:AH341,AK341:AL341),
IF(AQ341=3,SUM(P341:R341,U341:X341,AA341:AD341,AG341:AJ341),SUM(Таблица1[[#This Row],[1]:[31]])-Таблица1[[#This Row],[Столбец1]])))</f>
        <v>0</v>
      </c>
      <c r="AN341" s="778">
        <f t="array" ref="AN341">IF(AQ341=1,SUM(P341,U341:V341,AA341:AB341,AG341:AH341),
IF(AQ341=2,SUM(Q341:R341,W341:X341,AC341:AD341,AI341:AJ341),
IF(AQ341=3,SUM(S341:T341,Y341:Z341,AE341:AF341,AK341:AL341),
SUM(IFERROR(WEEKDAY($H$2:$AL$2,2)&gt;5,)*H341:AL341))))+Таблица1[[#This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41" s="292" t="b">
        <f>IF(AR341&lt;=3,(IF((G341="5/24"),((база!$M$6*Таблица1[[#This Row],[сумма]]*Таблица1[[#This Row],[коэф]])),
IF((G341="4/24"),((база!$M$5*Таблица1[[#This Row],[сумма]]*Таблица1[[#This Row],[коэф]])),
IF((G341="3/24"),((база!$M$4*Таблица1[[#This Row],[сумма]]*Таблица1[[#This Row],[коэф]])),
IF((G341="5/16"),((база!$L$6*Таблица1[[#This Row],[сумма]]*Таблица1[[#This Row],[коэф]])),
IF((G341="4/16"),((база!$L$5*Таблица1[[#This Row],[сумма]]*Таблица1[[#This Row],[коэф]])),
IF((G341="3/16"),((база!$L$4*Таблица1[[#This Row],[сумма]]*Таблица1[[#This Row],[коэф]])),
IF((G341="4/4"),((база!$I$5*Таблица1[[#This Row],[сумма]]*Таблица1[[#This Row],[коэф]])),
IF(OR(G341="2/4",G341="3/4"),((база!$I$4*Таблица1[[#This Row],[сумма]]*Таблица1[[#This Row],[коэф]])),
IF((G341="5/8"),((база!$J$6*Таблица1[[#This Row],[сумма]]*Таблица1[[#This Row],[коэф]])),
IF((G341="4/8"),((база!$J$5*Таблица1[[#This Row],[сумма]]*Таблица1[[#This Row],[коэф]])),
IF(OR(G341="3/8",G341="2/8"),((база!$J$4*Таблица1[[#This Row],[сумма]]*Таблица1[[#This Row],[коэф]])))))))))))))),
(IF((G341="5/24"),((база!$M$6*Таблица1[[#This Row],[сумма]]*Таблица1[[#This Row],[коэф]])),
IF(OR(G341="4/24",G341="3/24"),((база!$M$5*Таблица1[[#This Row],[сумма]]*Таблица1[[#This Row],[коэф]])),
IF((G341="5/16"),((база!$L$6*Таблица1[[#This Row],[сумма]]*Таблица1[[#This Row],[коэф]])),
IF(OR(G341="4/16",G341="3/16"),((база!$L$5*Таблица1[[#This Row],[сумма]]*Таблица1[[#This Row],[коэф]])),
IF(OR(G341="2/4",G341="3/4",G341="4/4"),((база!$I$5*Таблица1[[#This Row],[сумма]]*Таблица1[[#This Row],[коэф]])),
IF((G341="5/8"),((база!$J$6*Таблица1[[#This Row],[сумма]]*Таблица1[[#This Row],[коэф]])),
IF(OR(G341="4/8",G341="3/8",G341="2/8"),((база!$J$5*Таблица1[[#This Row],[сумма]]*Таблица1[[#This Row],[коэф]])))))))))))</f>
        <v>0</v>
      </c>
      <c r="AP341" s="730" t="b">
        <f>IF(AR341&lt;=3,(IF((G341="5/24"),((база!$M$6*2*Таблица1[[#This Row],[Столбец1]]*Таблица1[[#This Row],[коэф]])),
IF((G341="4/24"),((база!$M$5*2*Таблица1[[#This Row],[Столбец1]]*Таблица1[[#This Row],[коэф]])),
IF((G341="3/24"),((база!$M$4*2*Таблица1[[#This Row],[Столбец1]]*Таблица1[[#This Row],[коэф]])),
IF((G341="5/16"),((база!$L$6*2*Таблица1[[#This Row],[Столбец1]]*Таблица1[[#This Row],[коэф]])),
IF((G341="4/16"),((база!$L$5*2*Таблица1[[#This Row],[Столбец1]]*Таблица1[[#This Row],[коэф]])),
IF((G341="3/16"),((база!$L$4*2*Таблица1[[#This Row],[Столбец1]]*Таблица1[[#This Row],[коэф]])),
IF((G341="4/4"),((база!$I$5*2*Таблица1[[#This Row],[Столбец1]]*Таблица1[[#This Row],[коэф]])),
IF(OR(G341="2/4",G341="3/4"),((база!$I$4*2*Таблица1[[#This Row],[Столбец1]]*Таблица1[[#This Row],[коэф]])),
IF((G341="5/8"),((база!$J$6*2*Таблица1[[#This Row],[Столбец1]]*Таблица1[[#This Row],[коэф]])),
IF((G341="4/8"),((база!$J$5*2*Таблица1[[#This Row],[Столбец1]]*Таблица1[[#This Row],[коэф]])),
IF(OR(G341="3/8",G341="2/8"),((база!$J$4*2*Таблица1[[#This Row],[Столбец1]]*Таблица1[[#This Row],[коэф]])))))))))))))),
(IF((G341="5/24"),((база!$M$6*2*Таблица1[[#This Row],[Столбец1]]*Таблица1[[#This Row],[коэф]])),
IF(OR(G341="4/24",G341="3/24"),((база!$M$5*2*Таблица1[[#This Row],[Столбец1]]*Таблица1[[#This Row],[коэф]])),
IF((G341="5/16"),((база!$L$6*2*Таблица1[[#This Row],[Столбец1]]*Таблица1[[#This Row],[коэф]])),
IF(OR(G341="4/16",G341="3/16"),((база!$L$5*2*Таблица1[[#This Row],[Столбец1]]*Таблица1[[#This Row],[коэф]])),
IF(OR(G341="2/4",G341="3/4",G341="4/4"),((база!$I$5*2*Таблица1[[#This Row],[Столбец1]]*Таблица1[[#This Row],[коэф]])),
IF((G341="5/8"),((база!$J$6*2*Таблица1[[#This Row],[Столбец1]]*Таблица1[[#This Row],[коэф]])),
IF(OR(G341="4/8",G341="3/8",G341="2/8"),((база!$J$5*2*Таблица1[[#This Row],[Столбец1]]*Таблица1[[#This Row],[коэф]])))))))))))</f>
        <v>0</v>
      </c>
      <c r="AQ341" s="712" t="str">
        <f>IFERROR(INDEX(база!T:T, MATCH(F341,база!Q:Q,0)),"")</f>
        <v/>
      </c>
      <c r="AR341" s="208" t="str">
        <f>IFERROR(INDEX(база!D:D, MATCH(F341,база!B:B,0)),"")</f>
        <v/>
      </c>
      <c r="AS341" s="758" t="str">
        <f>IFERROR(INDEX(база!E:E, MATCH(F341,база!B:B,0)),"")</f>
        <v/>
      </c>
    </row>
    <row r="342" spans="1:45" ht="15">
      <c r="A342" s="66" t="str">
        <f t="shared" si="4"/>
        <v>январь</v>
      </c>
      <c r="B342" s="231">
        <v>2024</v>
      </c>
      <c r="C342" s="299"/>
      <c r="D342" s="61"/>
      <c r="E342" s="211"/>
      <c r="F342" s="680"/>
      <c r="G342" s="47"/>
      <c r="H342" s="563"/>
      <c r="I342" s="563"/>
      <c r="J342" s="563"/>
      <c r="K342" s="563"/>
      <c r="L342" s="563"/>
      <c r="M342" s="563"/>
      <c r="N342" s="563"/>
      <c r="O342" s="563"/>
      <c r="P342" s="300"/>
      <c r="Q342" s="563"/>
      <c r="R342" s="563"/>
      <c r="S342" s="563"/>
      <c r="T342" s="563"/>
      <c r="U342" s="563"/>
      <c r="V342" s="563"/>
      <c r="W342" s="563"/>
      <c r="X342" s="563"/>
      <c r="Y342" s="563"/>
      <c r="Z342" s="563"/>
      <c r="AA342" s="563"/>
      <c r="AB342" s="563"/>
      <c r="AC342" s="563"/>
      <c r="AD342" s="48"/>
      <c r="AE342" s="48"/>
      <c r="AF342" s="258"/>
      <c r="AG342" s="48"/>
      <c r="AH342" s="48"/>
      <c r="AI342" s="48"/>
      <c r="AJ342" s="48"/>
      <c r="AK342" s="48"/>
      <c r="AL342" s="51"/>
      <c r="AM342" s="212">
        <f>IF(AQ342=1,SUM(Q342:T342,W342:Z342,AC342:AF342,AI342:AL342),
IF(AQ342=2,SUM(P342,S342:V342,Y342:AB342,AE342:AH342,AK342:AL342),
IF(AQ342=3,SUM(P342:R342,U342:X342,AA342:AD342,AG342:AJ342),SUM(Таблица1[[#This Row],[1]:[31]])-Таблица1[[#This Row],[Столбец1]])))</f>
        <v>0</v>
      </c>
      <c r="AN342" s="778">
        <f t="array" ref="AN342">IF(AQ342=1,SUM(P342,U342:V342,AA342:AB342,AG342:AH342),
IF(AQ342=2,SUM(Q342:R342,W342:X342,AC342:AD342,AI342:AJ342),
IF(AQ342=3,SUM(S342:T342,Y342:Z342,AE342:AF342,AK342:AL342),
SUM(IFERROR(WEEKDAY($H$2:$AL$2,2)&gt;5,)*H342:AL342))))+Таблица1[[#This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42" s="292" t="b">
        <f>IF(AR342&lt;=3,(IF((G342="5/24"),((база!$M$6*Таблица1[[#This Row],[сумма]]*Таблица1[[#This Row],[коэф]])),
IF((G342="4/24"),((база!$M$5*Таблица1[[#This Row],[сумма]]*Таблица1[[#This Row],[коэф]])),
IF((G342="3/24"),((база!$M$4*Таблица1[[#This Row],[сумма]]*Таблица1[[#This Row],[коэф]])),
IF((G342="5/16"),((база!$L$6*Таблица1[[#This Row],[сумма]]*Таблица1[[#This Row],[коэф]])),
IF((G342="4/16"),((база!$L$5*Таблица1[[#This Row],[сумма]]*Таблица1[[#This Row],[коэф]])),
IF((G342="3/16"),((база!$L$4*Таблица1[[#This Row],[сумма]]*Таблица1[[#This Row],[коэф]])),
IF((G342="4/4"),((база!$I$5*Таблица1[[#This Row],[сумма]]*Таблица1[[#This Row],[коэф]])),
IF(OR(G342="2/4",G342="3/4"),((база!$I$4*Таблица1[[#This Row],[сумма]]*Таблица1[[#This Row],[коэф]])),
IF((G342="5/8"),((база!$J$6*Таблица1[[#This Row],[сумма]]*Таблица1[[#This Row],[коэф]])),
IF((G342="4/8"),((база!$J$5*Таблица1[[#This Row],[сумма]]*Таблица1[[#This Row],[коэф]])),
IF(OR(G342="3/8",G342="2/8"),((база!$J$4*Таблица1[[#This Row],[сумма]]*Таблица1[[#This Row],[коэф]])))))))))))))),
(IF((G342="5/24"),((база!$M$6*Таблица1[[#This Row],[сумма]]*Таблица1[[#This Row],[коэф]])),
IF(OR(G342="4/24",G342="3/24"),((база!$M$5*Таблица1[[#This Row],[сумма]]*Таблица1[[#This Row],[коэф]])),
IF((G342="5/16"),((база!$L$6*Таблица1[[#This Row],[сумма]]*Таблица1[[#This Row],[коэф]])),
IF(OR(G342="4/16",G342="3/16"),((база!$L$5*Таблица1[[#This Row],[сумма]]*Таблица1[[#This Row],[коэф]])),
IF(OR(G342="2/4",G342="3/4",G342="4/4"),((база!$I$5*Таблица1[[#This Row],[сумма]]*Таблица1[[#This Row],[коэф]])),
IF((G342="5/8"),((база!$J$6*Таблица1[[#This Row],[сумма]]*Таблица1[[#This Row],[коэф]])),
IF(OR(G342="4/8",G342="3/8",G342="2/8"),((база!$J$5*Таблица1[[#This Row],[сумма]]*Таблица1[[#This Row],[коэф]])))))))))))</f>
        <v>0</v>
      </c>
      <c r="AP342" s="730" t="b">
        <f>IF(AR342&lt;=3,(IF((G342="5/24"),((база!$M$6*2*Таблица1[[#This Row],[Столбец1]]*Таблица1[[#This Row],[коэф]])),
IF((G342="4/24"),((база!$M$5*2*Таблица1[[#This Row],[Столбец1]]*Таблица1[[#This Row],[коэф]])),
IF((G342="3/24"),((база!$M$4*2*Таблица1[[#This Row],[Столбец1]]*Таблица1[[#This Row],[коэф]])),
IF((G342="5/16"),((база!$L$6*2*Таблица1[[#This Row],[Столбец1]]*Таблица1[[#This Row],[коэф]])),
IF((G342="4/16"),((база!$L$5*2*Таблица1[[#This Row],[Столбец1]]*Таблица1[[#This Row],[коэф]])),
IF((G342="3/16"),((база!$L$4*2*Таблица1[[#This Row],[Столбец1]]*Таблица1[[#This Row],[коэф]])),
IF((G342="4/4"),((база!$I$5*2*Таблица1[[#This Row],[Столбец1]]*Таблица1[[#This Row],[коэф]])),
IF(OR(G342="2/4",G342="3/4"),((база!$I$4*2*Таблица1[[#This Row],[Столбец1]]*Таблица1[[#This Row],[коэф]])),
IF((G342="5/8"),((база!$J$6*2*Таблица1[[#This Row],[Столбец1]]*Таблица1[[#This Row],[коэф]])),
IF((G342="4/8"),((база!$J$5*2*Таблица1[[#This Row],[Столбец1]]*Таблица1[[#This Row],[коэф]])),
IF(OR(G342="3/8",G342="2/8"),((база!$J$4*2*Таблица1[[#This Row],[Столбец1]]*Таблица1[[#This Row],[коэф]])))))))))))))),
(IF((G342="5/24"),((база!$M$6*2*Таблица1[[#This Row],[Столбец1]]*Таблица1[[#This Row],[коэф]])),
IF(OR(G342="4/24",G342="3/24"),((база!$M$5*2*Таблица1[[#This Row],[Столбец1]]*Таблица1[[#This Row],[коэф]])),
IF((G342="5/16"),((база!$L$6*2*Таблица1[[#This Row],[Столбец1]]*Таблица1[[#This Row],[коэф]])),
IF(OR(G342="4/16",G342="3/16"),((база!$L$5*2*Таблица1[[#This Row],[Столбец1]]*Таблица1[[#This Row],[коэф]])),
IF(OR(G342="2/4",G342="3/4",G342="4/4"),((база!$I$5*2*Таблица1[[#This Row],[Столбец1]]*Таблица1[[#This Row],[коэф]])),
IF((G342="5/8"),((база!$J$6*2*Таблица1[[#This Row],[Столбец1]]*Таблица1[[#This Row],[коэф]])),
IF(OR(G342="4/8",G342="3/8",G342="2/8"),((база!$J$5*2*Таблица1[[#This Row],[Столбец1]]*Таблица1[[#This Row],[коэф]])))))))))))</f>
        <v>0</v>
      </c>
      <c r="AQ342" s="712" t="str">
        <f>IFERROR(INDEX(база!T:T, MATCH(F342,база!Q:Q,0)),"")</f>
        <v/>
      </c>
      <c r="AR342" s="208" t="str">
        <f>IFERROR(INDEX(база!D:D, MATCH(F342,база!B:B,0)),"")</f>
        <v/>
      </c>
      <c r="AS342" s="758" t="str">
        <f>IFERROR(INDEX(база!E:E, MATCH(F342,база!B:B,0)),"")</f>
        <v/>
      </c>
    </row>
    <row r="343" spans="1:45" ht="15">
      <c r="A343" s="66" t="str">
        <f t="shared" si="4"/>
        <v>январь</v>
      </c>
      <c r="B343" s="231">
        <v>2024</v>
      </c>
      <c r="C343" s="299"/>
      <c r="D343" s="61"/>
      <c r="E343" s="211"/>
      <c r="F343" s="680"/>
      <c r="G343" s="47"/>
      <c r="H343" s="563"/>
      <c r="I343" s="563"/>
      <c r="J343" s="563"/>
      <c r="K343" s="563"/>
      <c r="L343" s="563"/>
      <c r="M343" s="563"/>
      <c r="N343" s="563"/>
      <c r="O343" s="563"/>
      <c r="P343" s="300"/>
      <c r="Q343" s="563"/>
      <c r="R343" s="563"/>
      <c r="S343" s="563"/>
      <c r="T343" s="563"/>
      <c r="U343" s="563"/>
      <c r="V343" s="563"/>
      <c r="W343" s="563"/>
      <c r="X343" s="563"/>
      <c r="Y343" s="563"/>
      <c r="Z343" s="563"/>
      <c r="AA343" s="563"/>
      <c r="AB343" s="563"/>
      <c r="AC343" s="563"/>
      <c r="AD343" s="48"/>
      <c r="AE343" s="48"/>
      <c r="AF343" s="258"/>
      <c r="AG343" s="48"/>
      <c r="AH343" s="48"/>
      <c r="AI343" s="258"/>
      <c r="AJ343" s="258"/>
      <c r="AK343" s="258"/>
      <c r="AL343" s="258"/>
      <c r="AM343" s="212">
        <f>IF(AQ343=1,SUM(Q343:T343,W343:Z343,AC343:AF343,AI343:AL343),
IF(AQ343=2,SUM(P343,S343:V343,Y343:AB343,AE343:AH343,AK343:AL343),
IF(AQ343=3,SUM(P343:R343,U343:X343,AA343:AD343,AG343:AJ343),SUM(Таблица1[[#This Row],[1]:[31]])-Таблица1[[#This Row],[Столбец1]])))</f>
        <v>0</v>
      </c>
      <c r="AN343" s="778">
        <f t="array" ref="AN343">IF(AQ343=1,SUM(P343,U343:V343,AA343:AB343,AG343:AH343),
IF(AQ343=2,SUM(Q343:R343,W343:X343,AC343:AD343,AI343:AJ343),
IF(AQ343=3,SUM(S343:T343,Y343:Z343,AE343:AF343,AK343:AL343),
SUM(IFERROR(WEEKDAY($H$2:$AL$2,2)&gt;5,)*H343:AL343))))+Таблица1[[#This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43" s="292" t="b">
        <f>IF(AR343&lt;=3,(IF((G343="5/24"),((база!$M$6*Таблица1[[#This Row],[сумма]]*Таблица1[[#This Row],[коэф]])),
IF((G343="4/24"),((база!$M$5*Таблица1[[#This Row],[сумма]]*Таблица1[[#This Row],[коэф]])),
IF((G343="3/24"),((база!$M$4*Таблица1[[#This Row],[сумма]]*Таблица1[[#This Row],[коэф]])),
IF((G343="5/16"),((база!$L$6*Таблица1[[#This Row],[сумма]]*Таблица1[[#This Row],[коэф]])),
IF((G343="4/16"),((база!$L$5*Таблица1[[#This Row],[сумма]]*Таблица1[[#This Row],[коэф]])),
IF((G343="3/16"),((база!$L$4*Таблица1[[#This Row],[сумма]]*Таблица1[[#This Row],[коэф]])),
IF((G343="4/4"),((база!$I$5*Таблица1[[#This Row],[сумма]]*Таблица1[[#This Row],[коэф]])),
IF(OR(G343="2/4",G343="3/4"),((база!$I$4*Таблица1[[#This Row],[сумма]]*Таблица1[[#This Row],[коэф]])),
IF((G343="5/8"),((база!$J$6*Таблица1[[#This Row],[сумма]]*Таблица1[[#This Row],[коэф]])),
IF((G343="4/8"),((база!$J$5*Таблица1[[#This Row],[сумма]]*Таблица1[[#This Row],[коэф]])),
IF(OR(G343="3/8",G343="2/8"),((база!$J$4*Таблица1[[#This Row],[сумма]]*Таблица1[[#This Row],[коэф]])))))))))))))),
(IF((G343="5/24"),((база!$M$6*Таблица1[[#This Row],[сумма]]*Таблица1[[#This Row],[коэф]])),
IF(OR(G343="4/24",G343="3/24"),((база!$M$5*Таблица1[[#This Row],[сумма]]*Таблица1[[#This Row],[коэф]])),
IF((G343="5/16"),((база!$L$6*Таблица1[[#This Row],[сумма]]*Таблица1[[#This Row],[коэф]])),
IF(OR(G343="4/16",G343="3/16"),((база!$L$5*Таблица1[[#This Row],[сумма]]*Таблица1[[#This Row],[коэф]])),
IF(OR(G343="2/4",G343="3/4",G343="4/4"),((база!$I$5*Таблица1[[#This Row],[сумма]]*Таблица1[[#This Row],[коэф]])),
IF((G343="5/8"),((база!$J$6*Таблица1[[#This Row],[сумма]]*Таблица1[[#This Row],[коэф]])),
IF(OR(G343="4/8",G343="3/8",G343="2/8"),((база!$J$5*Таблица1[[#This Row],[сумма]]*Таблица1[[#This Row],[коэф]])))))))))))</f>
        <v>0</v>
      </c>
      <c r="AP343" s="730" t="b">
        <f>IF(AR343&lt;=3,(IF((G343="5/24"),((база!$M$6*2*Таблица1[[#This Row],[Столбец1]]*Таблица1[[#This Row],[коэф]])),
IF((G343="4/24"),((база!$M$5*2*Таблица1[[#This Row],[Столбец1]]*Таблица1[[#This Row],[коэф]])),
IF((G343="3/24"),((база!$M$4*2*Таблица1[[#This Row],[Столбец1]]*Таблица1[[#This Row],[коэф]])),
IF((G343="5/16"),((база!$L$6*2*Таблица1[[#This Row],[Столбец1]]*Таблица1[[#This Row],[коэф]])),
IF((G343="4/16"),((база!$L$5*2*Таблица1[[#This Row],[Столбец1]]*Таблица1[[#This Row],[коэф]])),
IF((G343="3/16"),((база!$L$4*2*Таблица1[[#This Row],[Столбец1]]*Таблица1[[#This Row],[коэф]])),
IF((G343="4/4"),((база!$I$5*2*Таблица1[[#This Row],[Столбец1]]*Таблица1[[#This Row],[коэф]])),
IF(OR(G343="2/4",G343="3/4"),((база!$I$4*2*Таблица1[[#This Row],[Столбец1]]*Таблица1[[#This Row],[коэф]])),
IF((G343="5/8"),((база!$J$6*2*Таблица1[[#This Row],[Столбец1]]*Таблица1[[#This Row],[коэф]])),
IF((G343="4/8"),((база!$J$5*2*Таблица1[[#This Row],[Столбец1]]*Таблица1[[#This Row],[коэф]])),
IF(OR(G343="3/8",G343="2/8"),((база!$J$4*2*Таблица1[[#This Row],[Столбец1]]*Таблица1[[#This Row],[коэф]])))))))))))))),
(IF((G343="5/24"),((база!$M$6*2*Таблица1[[#This Row],[Столбец1]]*Таблица1[[#This Row],[коэф]])),
IF(OR(G343="4/24",G343="3/24"),((база!$M$5*2*Таблица1[[#This Row],[Столбец1]]*Таблица1[[#This Row],[коэф]])),
IF((G343="5/16"),((база!$L$6*2*Таблица1[[#This Row],[Столбец1]]*Таблица1[[#This Row],[коэф]])),
IF(OR(G343="4/16",G343="3/16"),((база!$L$5*2*Таблица1[[#This Row],[Столбец1]]*Таблица1[[#This Row],[коэф]])),
IF(OR(G343="2/4",G343="3/4",G343="4/4"),((база!$I$5*2*Таблица1[[#This Row],[Столбец1]]*Таблица1[[#This Row],[коэф]])),
IF((G343="5/8"),((база!$J$6*2*Таблица1[[#This Row],[Столбец1]]*Таблица1[[#This Row],[коэф]])),
IF(OR(G343="4/8",G343="3/8",G343="2/8"),((база!$J$5*2*Таблица1[[#This Row],[Столбец1]]*Таблица1[[#This Row],[коэф]])))))))))))</f>
        <v>0</v>
      </c>
      <c r="AQ343" s="712" t="str">
        <f>IFERROR(INDEX(база!T:T, MATCH(F343,база!Q:Q,0)),"")</f>
        <v/>
      </c>
      <c r="AR343" s="208" t="str">
        <f>IFERROR(INDEX(база!D:D, MATCH(F343,база!B:B,0)),"")</f>
        <v/>
      </c>
      <c r="AS343" s="758" t="str">
        <f>IFERROR(INDEX(база!E:E, MATCH(F343,база!B:B,0)),"")</f>
        <v/>
      </c>
    </row>
    <row r="344" spans="1:45" ht="15">
      <c r="A344" s="66" t="str">
        <f t="shared" si="4"/>
        <v>январь</v>
      </c>
      <c r="B344" s="231">
        <v>2024</v>
      </c>
      <c r="C344" s="299"/>
      <c r="D344" s="61"/>
      <c r="E344" s="211"/>
      <c r="F344" s="680"/>
      <c r="G344" s="47"/>
      <c r="H344" s="563"/>
      <c r="I344" s="563"/>
      <c r="J344" s="563"/>
      <c r="K344" s="563"/>
      <c r="L344" s="563"/>
      <c r="M344" s="563"/>
      <c r="N344" s="563"/>
      <c r="O344" s="563"/>
      <c r="P344" s="300"/>
      <c r="Q344" s="563"/>
      <c r="R344" s="563"/>
      <c r="S344" s="563"/>
      <c r="T344" s="563"/>
      <c r="U344" s="563"/>
      <c r="V344" s="563"/>
      <c r="W344" s="563"/>
      <c r="X344" s="563"/>
      <c r="Y344" s="563"/>
      <c r="Z344" s="563"/>
      <c r="AA344" s="563"/>
      <c r="AB344" s="563"/>
      <c r="AC344" s="563"/>
      <c r="AD344" s="48"/>
      <c r="AE344" s="48"/>
      <c r="AF344" s="258"/>
      <c r="AG344" s="48"/>
      <c r="AH344" s="48"/>
      <c r="AI344" s="48"/>
      <c r="AJ344" s="48"/>
      <c r="AK344" s="48"/>
      <c r="AL344" s="51"/>
      <c r="AM344" s="212">
        <f>IF(AQ344=1,SUM(Q344:T344,W344:Z344,AC344:AF344,AI344:AL344),
IF(AQ344=2,SUM(P344,S344:V344,Y344:AB344,AE344:AH344,AK344:AL344),
IF(AQ344=3,SUM(P344:R344,U344:X344,AA344:AD344,AG344:AJ344),SUM(Таблица1[[#This Row],[1]:[31]])-Таблица1[[#This Row],[Столбец1]])))</f>
        <v>0</v>
      </c>
      <c r="AN344" s="778">
        <f t="array" ref="AN344">IF(AQ344=1,SUM(P344,U344:V344,AA344:AB344,AG344:AH344),
IF(AQ344=2,SUM(Q344:R344,W344:X344,AC344:AD344,AI344:AJ344),
IF(AQ344=3,SUM(S344:T344,Y344:Z344,AE344:AF344,AK344:AL344),
SUM(IFERROR(WEEKDAY($H$2:$AL$2,2)&gt;5,)*H344:AL344))))+Таблица1[[#This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44" s="292" t="b">
        <f>IF(AR344&lt;=3,(IF((G344="5/24"),((база!$M$6*Таблица1[[#This Row],[сумма]]*Таблица1[[#This Row],[коэф]])),
IF((G344="4/24"),((база!$M$5*Таблица1[[#This Row],[сумма]]*Таблица1[[#This Row],[коэф]])),
IF((G344="3/24"),((база!$M$4*Таблица1[[#This Row],[сумма]]*Таблица1[[#This Row],[коэф]])),
IF((G344="5/16"),((база!$L$6*Таблица1[[#This Row],[сумма]]*Таблица1[[#This Row],[коэф]])),
IF((G344="4/16"),((база!$L$5*Таблица1[[#This Row],[сумма]]*Таблица1[[#This Row],[коэф]])),
IF((G344="3/16"),((база!$L$4*Таблица1[[#This Row],[сумма]]*Таблица1[[#This Row],[коэф]])),
IF((G344="4/4"),((база!$I$5*Таблица1[[#This Row],[сумма]]*Таблица1[[#This Row],[коэф]])),
IF(OR(G344="2/4",G344="3/4"),((база!$I$4*Таблица1[[#This Row],[сумма]]*Таблица1[[#This Row],[коэф]])),
IF((G344="5/8"),((база!$J$6*Таблица1[[#This Row],[сумма]]*Таблица1[[#This Row],[коэф]])),
IF((G344="4/8"),((база!$J$5*Таблица1[[#This Row],[сумма]]*Таблица1[[#This Row],[коэф]])),
IF(OR(G344="3/8",G344="2/8"),((база!$J$4*Таблица1[[#This Row],[сумма]]*Таблица1[[#This Row],[коэф]])))))))))))))),
(IF((G344="5/24"),((база!$M$6*Таблица1[[#This Row],[сумма]]*Таблица1[[#This Row],[коэф]])),
IF(OR(G344="4/24",G344="3/24"),((база!$M$5*Таблица1[[#This Row],[сумма]]*Таблица1[[#This Row],[коэф]])),
IF((G344="5/16"),((база!$L$6*Таблица1[[#This Row],[сумма]]*Таблица1[[#This Row],[коэф]])),
IF(OR(G344="4/16",G344="3/16"),((база!$L$5*Таблица1[[#This Row],[сумма]]*Таблица1[[#This Row],[коэф]])),
IF(OR(G344="2/4",G344="3/4",G344="4/4"),((база!$I$5*Таблица1[[#This Row],[сумма]]*Таблица1[[#This Row],[коэф]])),
IF((G344="5/8"),((база!$J$6*Таблица1[[#This Row],[сумма]]*Таблица1[[#This Row],[коэф]])),
IF(OR(G344="4/8",G344="3/8",G344="2/8"),((база!$J$5*Таблица1[[#This Row],[сумма]]*Таблица1[[#This Row],[коэф]])))))))))))</f>
        <v>0</v>
      </c>
      <c r="AP344" s="730" t="b">
        <f>IF(AR344&lt;=3,(IF((G344="5/24"),((база!$M$6*2*Таблица1[[#This Row],[Столбец1]]*Таблица1[[#This Row],[коэф]])),
IF((G344="4/24"),((база!$M$5*2*Таблица1[[#This Row],[Столбец1]]*Таблица1[[#This Row],[коэф]])),
IF((G344="3/24"),((база!$M$4*2*Таблица1[[#This Row],[Столбец1]]*Таблица1[[#This Row],[коэф]])),
IF((G344="5/16"),((база!$L$6*2*Таблица1[[#This Row],[Столбец1]]*Таблица1[[#This Row],[коэф]])),
IF((G344="4/16"),((база!$L$5*2*Таблица1[[#This Row],[Столбец1]]*Таблица1[[#This Row],[коэф]])),
IF((G344="3/16"),((база!$L$4*2*Таблица1[[#This Row],[Столбец1]]*Таблица1[[#This Row],[коэф]])),
IF((G344="4/4"),((база!$I$5*2*Таблица1[[#This Row],[Столбец1]]*Таблица1[[#This Row],[коэф]])),
IF(OR(G344="2/4",G344="3/4"),((база!$I$4*2*Таблица1[[#This Row],[Столбец1]]*Таблица1[[#This Row],[коэф]])),
IF((G344="5/8"),((база!$J$6*2*Таблица1[[#This Row],[Столбец1]]*Таблица1[[#This Row],[коэф]])),
IF((G344="4/8"),((база!$J$5*2*Таблица1[[#This Row],[Столбец1]]*Таблица1[[#This Row],[коэф]])),
IF(OR(G344="3/8",G344="2/8"),((база!$J$4*2*Таблица1[[#This Row],[Столбец1]]*Таблица1[[#This Row],[коэф]])))))))))))))),
(IF((G344="5/24"),((база!$M$6*2*Таблица1[[#This Row],[Столбец1]]*Таблица1[[#This Row],[коэф]])),
IF(OR(G344="4/24",G344="3/24"),((база!$M$5*2*Таблица1[[#This Row],[Столбец1]]*Таблица1[[#This Row],[коэф]])),
IF((G344="5/16"),((база!$L$6*2*Таблица1[[#This Row],[Столбец1]]*Таблица1[[#This Row],[коэф]])),
IF(OR(G344="4/16",G344="3/16"),((база!$L$5*2*Таблица1[[#This Row],[Столбец1]]*Таблица1[[#This Row],[коэф]])),
IF(OR(G344="2/4",G344="3/4",G344="4/4"),((база!$I$5*2*Таблица1[[#This Row],[Столбец1]]*Таблица1[[#This Row],[коэф]])),
IF((G344="5/8"),((база!$J$6*2*Таблица1[[#This Row],[Столбец1]]*Таблица1[[#This Row],[коэф]])),
IF(OR(G344="4/8",G344="3/8",G344="2/8"),((база!$J$5*2*Таблица1[[#This Row],[Столбец1]]*Таблица1[[#This Row],[коэф]])))))))))))</f>
        <v>0</v>
      </c>
      <c r="AQ344" s="712" t="str">
        <f>IFERROR(INDEX(база!T:T, MATCH(F344,база!Q:Q,0)),"")</f>
        <v/>
      </c>
      <c r="AR344" s="208" t="str">
        <f>IFERROR(INDEX(база!D:D, MATCH(F344,база!B:B,0)),"")</f>
        <v/>
      </c>
      <c r="AS344" s="758" t="str">
        <f>IFERROR(INDEX(база!E:E, MATCH(F344,база!B:B,0)),"")</f>
        <v/>
      </c>
    </row>
    <row r="345" spans="1:45" ht="15">
      <c r="A345" s="66" t="str">
        <f t="shared" si="4"/>
        <v>январь</v>
      </c>
      <c r="B345" s="231">
        <v>2024</v>
      </c>
      <c r="C345" s="60"/>
      <c r="D345" s="61"/>
      <c r="E345" s="211"/>
      <c r="F345" s="680"/>
      <c r="G345" s="47"/>
      <c r="H345" s="563"/>
      <c r="I345" s="563"/>
      <c r="J345" s="563"/>
      <c r="K345" s="563"/>
      <c r="L345" s="563"/>
      <c r="M345" s="563"/>
      <c r="N345" s="563"/>
      <c r="O345" s="563"/>
      <c r="P345" s="300"/>
      <c r="Q345" s="563"/>
      <c r="R345" s="563"/>
      <c r="S345" s="563"/>
      <c r="T345" s="563"/>
      <c r="U345" s="563"/>
      <c r="V345" s="563"/>
      <c r="W345" s="563"/>
      <c r="X345" s="563"/>
      <c r="Y345" s="563"/>
      <c r="Z345" s="563"/>
      <c r="AA345" s="563"/>
      <c r="AB345" s="563"/>
      <c r="AC345" s="563"/>
      <c r="AD345" s="563"/>
      <c r="AE345" s="563"/>
      <c r="AF345" s="563"/>
      <c r="AG345" s="48"/>
      <c r="AH345" s="48"/>
      <c r="AI345" s="258"/>
      <c r="AJ345" s="258"/>
      <c r="AK345" s="258"/>
      <c r="AL345" s="258"/>
      <c r="AM345" s="212">
        <f>IF(AQ345=1,SUM(Q345:T345,W345:Z345,AC345:AF345,AI345:AL345),
IF(AQ345=2,SUM(P345,S345:V345,Y345:AB345,AE345:AH345,AK345:AL345),
IF(AQ345=3,SUM(P345:R345,U345:X345,AA345:AD345,AG345:AJ345),SUM(Таблица1[[#This Row],[1]:[31]])-Таблица1[[#This Row],[Столбец1]])))</f>
        <v>0</v>
      </c>
      <c r="AN345" s="778">
        <f t="array" ref="AN345">IF(AQ345=1,SUM(P345,U345:V345,AA345:AB345,AG345:AH345),
IF(AQ345=2,SUM(Q345:R345,W345:X345,AC345:AD345,AI345:AJ345),
IF(AQ345=3,SUM(S345:T345,Y345:Z345,AE345:AF345,AK345:AL345),
SUM(IFERROR(WEEKDAY($H$2:$AL$2,2)&gt;5,)*H345:AL345))))+Таблица1[[#This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45" s="292" t="b">
        <f>IF(AR345&lt;=3,(IF((G345="5/24"),((база!$M$6*Таблица1[[#This Row],[сумма]]*Таблица1[[#This Row],[коэф]])),
IF((G345="4/24"),((база!$M$5*Таблица1[[#This Row],[сумма]]*Таблица1[[#This Row],[коэф]])),
IF((G345="3/24"),((база!$M$4*Таблица1[[#This Row],[сумма]]*Таблица1[[#This Row],[коэф]])),
IF((G345="5/16"),((база!$L$6*Таблица1[[#This Row],[сумма]]*Таблица1[[#This Row],[коэф]])),
IF((G345="4/16"),((база!$L$5*Таблица1[[#This Row],[сумма]]*Таблица1[[#This Row],[коэф]])),
IF((G345="3/16"),((база!$L$4*Таблица1[[#This Row],[сумма]]*Таблица1[[#This Row],[коэф]])),
IF((G345="4/4"),((база!$I$5*Таблица1[[#This Row],[сумма]]*Таблица1[[#This Row],[коэф]])),
IF(OR(G345="2/4",G345="3/4"),((база!$I$4*Таблица1[[#This Row],[сумма]]*Таблица1[[#This Row],[коэф]])),
IF((G345="5/8"),((база!$J$6*Таблица1[[#This Row],[сумма]]*Таблица1[[#This Row],[коэф]])),
IF((G345="4/8"),((база!$J$5*Таблица1[[#This Row],[сумма]]*Таблица1[[#This Row],[коэф]])),
IF(OR(G345="3/8",G345="2/8"),((база!$J$4*Таблица1[[#This Row],[сумма]]*Таблица1[[#This Row],[коэф]])))))))))))))),
(IF((G345="5/24"),((база!$M$6*Таблица1[[#This Row],[сумма]]*Таблица1[[#This Row],[коэф]])),
IF(OR(G345="4/24",G345="3/24"),((база!$M$5*Таблица1[[#This Row],[сумма]]*Таблица1[[#This Row],[коэф]])),
IF((G345="5/16"),((база!$L$6*Таблица1[[#This Row],[сумма]]*Таблица1[[#This Row],[коэф]])),
IF(OR(G345="4/16",G345="3/16"),((база!$L$5*Таблица1[[#This Row],[сумма]]*Таблица1[[#This Row],[коэф]])),
IF(OR(G345="2/4",G345="3/4",G345="4/4"),((база!$I$5*Таблица1[[#This Row],[сумма]]*Таблица1[[#This Row],[коэф]])),
IF((G345="5/8"),((база!$J$6*Таблица1[[#This Row],[сумма]]*Таблица1[[#This Row],[коэф]])),
IF(OR(G345="4/8",G345="3/8",G345="2/8"),((база!$J$5*Таблица1[[#This Row],[сумма]]*Таблица1[[#This Row],[коэф]])))))))))))</f>
        <v>0</v>
      </c>
      <c r="AP345" s="730" t="b">
        <f>IF(AR345&lt;=3,(IF((G345="5/24"),((база!$M$6*2*Таблица1[[#This Row],[Столбец1]]*Таблица1[[#This Row],[коэф]])),
IF((G345="4/24"),((база!$M$5*2*Таблица1[[#This Row],[Столбец1]]*Таблица1[[#This Row],[коэф]])),
IF((G345="3/24"),((база!$M$4*2*Таблица1[[#This Row],[Столбец1]]*Таблица1[[#This Row],[коэф]])),
IF((G345="5/16"),((база!$L$6*2*Таблица1[[#This Row],[Столбец1]]*Таблица1[[#This Row],[коэф]])),
IF((G345="4/16"),((база!$L$5*2*Таблица1[[#This Row],[Столбец1]]*Таблица1[[#This Row],[коэф]])),
IF((G345="3/16"),((база!$L$4*2*Таблица1[[#This Row],[Столбец1]]*Таблица1[[#This Row],[коэф]])),
IF((G345="4/4"),((база!$I$5*2*Таблица1[[#This Row],[Столбец1]]*Таблица1[[#This Row],[коэф]])),
IF(OR(G345="2/4",G345="3/4"),((база!$I$4*2*Таблица1[[#This Row],[Столбец1]]*Таблица1[[#This Row],[коэф]])),
IF((G345="5/8"),((база!$J$6*2*Таблица1[[#This Row],[Столбец1]]*Таблица1[[#This Row],[коэф]])),
IF((G345="4/8"),((база!$J$5*2*Таблица1[[#This Row],[Столбец1]]*Таблица1[[#This Row],[коэф]])),
IF(OR(G345="3/8",G345="2/8"),((база!$J$4*2*Таблица1[[#This Row],[Столбец1]]*Таблица1[[#This Row],[коэф]])))))))))))))),
(IF((G345="5/24"),((база!$M$6*2*Таблица1[[#This Row],[Столбец1]]*Таблица1[[#This Row],[коэф]])),
IF(OR(G345="4/24",G345="3/24"),((база!$M$5*2*Таблица1[[#This Row],[Столбец1]]*Таблица1[[#This Row],[коэф]])),
IF((G345="5/16"),((база!$L$6*2*Таблица1[[#This Row],[Столбец1]]*Таблица1[[#This Row],[коэф]])),
IF(OR(G345="4/16",G345="3/16"),((база!$L$5*2*Таблица1[[#This Row],[Столбец1]]*Таблица1[[#This Row],[коэф]])),
IF(OR(G345="2/4",G345="3/4",G345="4/4"),((база!$I$5*2*Таблица1[[#This Row],[Столбец1]]*Таблица1[[#This Row],[коэф]])),
IF((G345="5/8"),((база!$J$6*2*Таблица1[[#This Row],[Столбец1]]*Таблица1[[#This Row],[коэф]])),
IF(OR(G345="4/8",G345="3/8",G345="2/8"),((база!$J$5*2*Таблица1[[#This Row],[Столбец1]]*Таблица1[[#This Row],[коэф]])))))))))))</f>
        <v>0</v>
      </c>
      <c r="AQ345" s="712" t="str">
        <f>IFERROR(INDEX(база!T:T, MATCH(F345,база!Q:Q,0)),"")</f>
        <v/>
      </c>
      <c r="AR345" s="208" t="str">
        <f>IFERROR(INDEX(база!D:D, MATCH(F345,база!B:B,0)),"")</f>
        <v/>
      </c>
      <c r="AS345" s="758" t="str">
        <f>IFERROR(INDEX(база!E:E, MATCH(F345,база!B:B,0)),"")</f>
        <v/>
      </c>
    </row>
    <row r="346" spans="1:45" ht="15">
      <c r="A346" s="66" t="str">
        <f t="shared" si="4"/>
        <v>январь</v>
      </c>
      <c r="B346" s="231">
        <v>2024</v>
      </c>
      <c r="C346" s="299"/>
      <c r="D346" s="61"/>
      <c r="E346" s="211"/>
      <c r="F346" s="680"/>
      <c r="G346" s="47"/>
      <c r="H346" s="563"/>
      <c r="I346" s="563"/>
      <c r="J346" s="563"/>
      <c r="K346" s="563"/>
      <c r="L346" s="563"/>
      <c r="M346" s="563"/>
      <c r="N346" s="563"/>
      <c r="O346" s="563"/>
      <c r="P346" s="300"/>
      <c r="Q346" s="563"/>
      <c r="R346" s="563"/>
      <c r="S346" s="563"/>
      <c r="T346" s="563"/>
      <c r="U346" s="563"/>
      <c r="V346" s="563"/>
      <c r="W346" s="563"/>
      <c r="X346" s="563"/>
      <c r="Y346" s="563"/>
      <c r="Z346" s="563"/>
      <c r="AA346" s="563"/>
      <c r="AB346" s="563"/>
      <c r="AC346" s="563"/>
      <c r="AD346" s="48"/>
      <c r="AE346" s="48"/>
      <c r="AF346" s="258"/>
      <c r="AG346" s="48"/>
      <c r="AH346" s="48"/>
      <c r="AI346" s="48"/>
      <c r="AJ346" s="48"/>
      <c r="AK346" s="48"/>
      <c r="AL346" s="51"/>
      <c r="AM346" s="212">
        <f>IF(AQ346=1,SUM(Q346:T346,W346:Z346,AC346:AF346,AI346:AL346),
IF(AQ346=2,SUM(P346,S346:V346,Y346:AB346,AE346:AH346,AK346:AL346),
IF(AQ346=3,SUM(P346:R346,U346:X346,AA346:AD346,AG346:AJ346),SUM(Таблица1[[#This Row],[1]:[31]])-Таблица1[[#This Row],[Столбец1]])))</f>
        <v>0</v>
      </c>
      <c r="AN346" s="778">
        <f t="array" ref="AN346">IF(AQ346=1,SUM(P346,U346:V346,AA346:AB346,AG346:AH346),
IF(AQ346=2,SUM(Q346:R346,W346:X346,AC346:AD346,AI346:AJ346),
IF(AQ346=3,SUM(S346:T346,Y346:Z346,AE346:AF346,AK346:AL346),
SUM(IFERROR(WEEKDAY($H$2:$AL$2,2)&gt;5,)*H346:AL346))))+Таблица1[[#This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46" s="292" t="b">
        <f>IF(AR346&lt;=3,(IF((G346="5/24"),((база!$M$6*Таблица1[[#This Row],[сумма]]*Таблица1[[#This Row],[коэф]])),
IF((G346="4/24"),((база!$M$5*Таблица1[[#This Row],[сумма]]*Таблица1[[#This Row],[коэф]])),
IF((G346="3/24"),((база!$M$4*Таблица1[[#This Row],[сумма]]*Таблица1[[#This Row],[коэф]])),
IF((G346="5/16"),((база!$L$6*Таблица1[[#This Row],[сумма]]*Таблица1[[#This Row],[коэф]])),
IF((G346="4/16"),((база!$L$5*Таблица1[[#This Row],[сумма]]*Таблица1[[#This Row],[коэф]])),
IF((G346="3/16"),((база!$L$4*Таблица1[[#This Row],[сумма]]*Таблица1[[#This Row],[коэф]])),
IF((G346="4/4"),((база!$I$5*Таблица1[[#This Row],[сумма]]*Таблица1[[#This Row],[коэф]])),
IF(OR(G346="2/4",G346="3/4"),((база!$I$4*Таблица1[[#This Row],[сумма]]*Таблица1[[#This Row],[коэф]])),
IF((G346="5/8"),((база!$J$6*Таблица1[[#This Row],[сумма]]*Таблица1[[#This Row],[коэф]])),
IF((G346="4/8"),((база!$J$5*Таблица1[[#This Row],[сумма]]*Таблица1[[#This Row],[коэф]])),
IF(OR(G346="3/8",G346="2/8"),((база!$J$4*Таблица1[[#This Row],[сумма]]*Таблица1[[#This Row],[коэф]])))))))))))))),
(IF((G346="5/24"),((база!$M$6*Таблица1[[#This Row],[сумма]]*Таблица1[[#This Row],[коэф]])),
IF(OR(G346="4/24",G346="3/24"),((база!$M$5*Таблица1[[#This Row],[сумма]]*Таблица1[[#This Row],[коэф]])),
IF((G346="5/16"),((база!$L$6*Таблица1[[#This Row],[сумма]]*Таблица1[[#This Row],[коэф]])),
IF(OR(G346="4/16",G346="3/16"),((база!$L$5*Таблица1[[#This Row],[сумма]]*Таблица1[[#This Row],[коэф]])),
IF(OR(G346="2/4",G346="3/4",G346="4/4"),((база!$I$5*Таблица1[[#This Row],[сумма]]*Таблица1[[#This Row],[коэф]])),
IF((G346="5/8"),((база!$J$6*Таблица1[[#This Row],[сумма]]*Таблица1[[#This Row],[коэф]])),
IF(OR(G346="4/8",G346="3/8",G346="2/8"),((база!$J$5*Таблица1[[#This Row],[сумма]]*Таблица1[[#This Row],[коэф]])))))))))))</f>
        <v>0</v>
      </c>
      <c r="AP346" s="730" t="b">
        <f>IF(AR346&lt;=3,(IF((G346="5/24"),((база!$M$6*2*Таблица1[[#This Row],[Столбец1]]*Таблица1[[#This Row],[коэф]])),
IF((G346="4/24"),((база!$M$5*2*Таблица1[[#This Row],[Столбец1]]*Таблица1[[#This Row],[коэф]])),
IF((G346="3/24"),((база!$M$4*2*Таблица1[[#This Row],[Столбец1]]*Таблица1[[#This Row],[коэф]])),
IF((G346="5/16"),((база!$L$6*2*Таблица1[[#This Row],[Столбец1]]*Таблица1[[#This Row],[коэф]])),
IF((G346="4/16"),((база!$L$5*2*Таблица1[[#This Row],[Столбец1]]*Таблица1[[#This Row],[коэф]])),
IF((G346="3/16"),((база!$L$4*2*Таблица1[[#This Row],[Столбец1]]*Таблица1[[#This Row],[коэф]])),
IF((G346="4/4"),((база!$I$5*2*Таблица1[[#This Row],[Столбец1]]*Таблица1[[#This Row],[коэф]])),
IF(OR(G346="2/4",G346="3/4"),((база!$I$4*2*Таблица1[[#This Row],[Столбец1]]*Таблица1[[#This Row],[коэф]])),
IF((G346="5/8"),((база!$J$6*2*Таблица1[[#This Row],[Столбец1]]*Таблица1[[#This Row],[коэф]])),
IF((G346="4/8"),((база!$J$5*2*Таблица1[[#This Row],[Столбец1]]*Таблица1[[#This Row],[коэф]])),
IF(OR(G346="3/8",G346="2/8"),((база!$J$4*2*Таблица1[[#This Row],[Столбец1]]*Таблица1[[#This Row],[коэф]])))))))))))))),
(IF((G346="5/24"),((база!$M$6*2*Таблица1[[#This Row],[Столбец1]]*Таблица1[[#This Row],[коэф]])),
IF(OR(G346="4/24",G346="3/24"),((база!$M$5*2*Таблица1[[#This Row],[Столбец1]]*Таблица1[[#This Row],[коэф]])),
IF((G346="5/16"),((база!$L$6*2*Таблица1[[#This Row],[Столбец1]]*Таблица1[[#This Row],[коэф]])),
IF(OR(G346="4/16",G346="3/16"),((база!$L$5*2*Таблица1[[#This Row],[Столбец1]]*Таблица1[[#This Row],[коэф]])),
IF(OR(G346="2/4",G346="3/4",G346="4/4"),((база!$I$5*2*Таблица1[[#This Row],[Столбец1]]*Таблица1[[#This Row],[коэф]])),
IF((G346="5/8"),((база!$J$6*2*Таблица1[[#This Row],[Столбец1]]*Таблица1[[#This Row],[коэф]])),
IF(OR(G346="4/8",G346="3/8",G346="2/8"),((база!$J$5*2*Таблица1[[#This Row],[Столбец1]]*Таблица1[[#This Row],[коэф]])))))))))))</f>
        <v>0</v>
      </c>
      <c r="AQ346" s="712" t="str">
        <f>IFERROR(INDEX(база!T:T, MATCH(F346,база!Q:Q,0)),"")</f>
        <v/>
      </c>
      <c r="AR346" s="208" t="str">
        <f>IFERROR(INDEX(база!D:D, MATCH(F346,база!B:B,0)),"")</f>
        <v/>
      </c>
      <c r="AS346" s="758" t="str">
        <f>IFERROR(INDEX(база!E:E, MATCH(F346,база!B:B,0)),"")</f>
        <v/>
      </c>
    </row>
    <row r="347" spans="1:45" ht="15">
      <c r="A347" s="66" t="str">
        <f t="shared" si="4"/>
        <v>январь</v>
      </c>
      <c r="B347" s="231">
        <v>2024</v>
      </c>
      <c r="C347" s="299"/>
      <c r="D347" s="61"/>
      <c r="E347" s="211"/>
      <c r="F347" s="680"/>
      <c r="G347" s="47"/>
      <c r="H347" s="563"/>
      <c r="I347" s="563"/>
      <c r="J347" s="563"/>
      <c r="K347" s="563"/>
      <c r="L347" s="563"/>
      <c r="M347" s="563"/>
      <c r="N347" s="563"/>
      <c r="O347" s="563"/>
      <c r="P347" s="300"/>
      <c r="Q347" s="563"/>
      <c r="R347" s="563"/>
      <c r="S347" s="563"/>
      <c r="T347" s="563"/>
      <c r="U347" s="563"/>
      <c r="V347" s="563"/>
      <c r="W347" s="563"/>
      <c r="X347" s="563"/>
      <c r="Y347" s="563"/>
      <c r="Z347" s="563"/>
      <c r="AA347" s="563"/>
      <c r="AB347" s="563"/>
      <c r="AC347" s="563"/>
      <c r="AD347" s="48"/>
      <c r="AE347" s="48"/>
      <c r="AF347" s="258"/>
      <c r="AG347" s="48"/>
      <c r="AH347" s="48"/>
      <c r="AI347" s="258"/>
      <c r="AJ347" s="258"/>
      <c r="AK347" s="258"/>
      <c r="AL347" s="258"/>
      <c r="AM347" s="212">
        <f>IF(AQ347=1,SUM(Q347:T347,W347:Z347,AC347:AF347,AI347:AL347),
IF(AQ347=2,SUM(P347,S347:V347,Y347:AB347,AE347:AH347,AK347:AL347),
IF(AQ347=3,SUM(P347:R347,U347:X347,AA347:AD347,AG347:AJ347),SUM(Таблица1[[#This Row],[1]:[31]])-Таблица1[[#This Row],[Столбец1]])))</f>
        <v>0</v>
      </c>
      <c r="AN347" s="778">
        <f t="array" ref="AN347">IF(AQ347=1,SUM(P347,U347:V347,AA347:AB347,AG347:AH347),
IF(AQ347=2,SUM(Q347:R347,W347:X347,AC347:AD347,AI347:AJ347),
IF(AQ347=3,SUM(S347:T347,Y347:Z347,AE347:AF347,AK347:AL347),
SUM(IFERROR(WEEKDAY($H$2:$AL$2,2)&gt;5,)*H347:AL347))))+Таблица1[[#This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47" s="292" t="b">
        <f>IF(AR347&lt;=3,(IF((G347="5/24"),((база!$M$6*Таблица1[[#This Row],[сумма]]*Таблица1[[#This Row],[коэф]])),
IF((G347="4/24"),((база!$M$5*Таблица1[[#This Row],[сумма]]*Таблица1[[#This Row],[коэф]])),
IF((G347="3/24"),((база!$M$4*Таблица1[[#This Row],[сумма]]*Таблица1[[#This Row],[коэф]])),
IF((G347="5/16"),((база!$L$6*Таблица1[[#This Row],[сумма]]*Таблица1[[#This Row],[коэф]])),
IF((G347="4/16"),((база!$L$5*Таблица1[[#This Row],[сумма]]*Таблица1[[#This Row],[коэф]])),
IF((G347="3/16"),((база!$L$4*Таблица1[[#This Row],[сумма]]*Таблица1[[#This Row],[коэф]])),
IF((G347="4/4"),((база!$I$5*Таблица1[[#This Row],[сумма]]*Таблица1[[#This Row],[коэф]])),
IF(OR(G347="2/4",G347="3/4"),((база!$I$4*Таблица1[[#This Row],[сумма]]*Таблица1[[#This Row],[коэф]])),
IF((G347="5/8"),((база!$J$6*Таблица1[[#This Row],[сумма]]*Таблица1[[#This Row],[коэф]])),
IF((G347="4/8"),((база!$J$5*Таблица1[[#This Row],[сумма]]*Таблица1[[#This Row],[коэф]])),
IF(OR(G347="3/8",G347="2/8"),((база!$J$4*Таблица1[[#This Row],[сумма]]*Таблица1[[#This Row],[коэф]])))))))))))))),
(IF((G347="5/24"),((база!$M$6*Таблица1[[#This Row],[сумма]]*Таблица1[[#This Row],[коэф]])),
IF(OR(G347="4/24",G347="3/24"),((база!$M$5*Таблица1[[#This Row],[сумма]]*Таблица1[[#This Row],[коэф]])),
IF((G347="5/16"),((база!$L$6*Таблица1[[#This Row],[сумма]]*Таблица1[[#This Row],[коэф]])),
IF(OR(G347="4/16",G347="3/16"),((база!$L$5*Таблица1[[#This Row],[сумма]]*Таблица1[[#This Row],[коэф]])),
IF(OR(G347="2/4",G347="3/4",G347="4/4"),((база!$I$5*Таблица1[[#This Row],[сумма]]*Таблица1[[#This Row],[коэф]])),
IF((G347="5/8"),((база!$J$6*Таблица1[[#This Row],[сумма]]*Таблица1[[#This Row],[коэф]])),
IF(OR(G347="4/8",G347="3/8",G347="2/8"),((база!$J$5*Таблица1[[#This Row],[сумма]]*Таблица1[[#This Row],[коэф]])))))))))))</f>
        <v>0</v>
      </c>
      <c r="AP347" s="730" t="b">
        <f>IF(AR347&lt;=3,(IF((G347="5/24"),((база!$M$6*2*Таблица1[[#This Row],[Столбец1]]*Таблица1[[#This Row],[коэф]])),
IF((G347="4/24"),((база!$M$5*2*Таблица1[[#This Row],[Столбец1]]*Таблица1[[#This Row],[коэф]])),
IF((G347="3/24"),((база!$M$4*2*Таблица1[[#This Row],[Столбец1]]*Таблица1[[#This Row],[коэф]])),
IF((G347="5/16"),((база!$L$6*2*Таблица1[[#This Row],[Столбец1]]*Таблица1[[#This Row],[коэф]])),
IF((G347="4/16"),((база!$L$5*2*Таблица1[[#This Row],[Столбец1]]*Таблица1[[#This Row],[коэф]])),
IF((G347="3/16"),((база!$L$4*2*Таблица1[[#This Row],[Столбец1]]*Таблица1[[#This Row],[коэф]])),
IF((G347="4/4"),((база!$I$5*2*Таблица1[[#This Row],[Столбец1]]*Таблица1[[#This Row],[коэф]])),
IF(OR(G347="2/4",G347="3/4"),((база!$I$4*2*Таблица1[[#This Row],[Столбец1]]*Таблица1[[#This Row],[коэф]])),
IF((G347="5/8"),((база!$J$6*2*Таблица1[[#This Row],[Столбец1]]*Таблица1[[#This Row],[коэф]])),
IF((G347="4/8"),((база!$J$5*2*Таблица1[[#This Row],[Столбец1]]*Таблица1[[#This Row],[коэф]])),
IF(OR(G347="3/8",G347="2/8"),((база!$J$4*2*Таблица1[[#This Row],[Столбец1]]*Таблица1[[#This Row],[коэф]])))))))))))))),
(IF((G347="5/24"),((база!$M$6*2*Таблица1[[#This Row],[Столбец1]]*Таблица1[[#This Row],[коэф]])),
IF(OR(G347="4/24",G347="3/24"),((база!$M$5*2*Таблица1[[#This Row],[Столбец1]]*Таблица1[[#This Row],[коэф]])),
IF((G347="5/16"),((база!$L$6*2*Таблица1[[#This Row],[Столбец1]]*Таблица1[[#This Row],[коэф]])),
IF(OR(G347="4/16",G347="3/16"),((база!$L$5*2*Таблица1[[#This Row],[Столбец1]]*Таблица1[[#This Row],[коэф]])),
IF(OR(G347="2/4",G347="3/4",G347="4/4"),((база!$I$5*2*Таблица1[[#This Row],[Столбец1]]*Таблица1[[#This Row],[коэф]])),
IF((G347="5/8"),((база!$J$6*2*Таблица1[[#This Row],[Столбец1]]*Таблица1[[#This Row],[коэф]])),
IF(OR(G347="4/8",G347="3/8",G347="2/8"),((база!$J$5*2*Таблица1[[#This Row],[Столбец1]]*Таблица1[[#This Row],[коэф]])))))))))))</f>
        <v>0</v>
      </c>
      <c r="AQ347" s="712" t="str">
        <f>IFERROR(INDEX(база!T:T, MATCH(F347,база!Q:Q,0)),"")</f>
        <v/>
      </c>
      <c r="AR347" s="208" t="str">
        <f>IFERROR(INDEX(база!D:D, MATCH(F347,база!B:B,0)),"")</f>
        <v/>
      </c>
      <c r="AS347" s="758" t="str">
        <f>IFERROR(INDEX(база!E:E, MATCH(F347,база!B:B,0)),"")</f>
        <v/>
      </c>
    </row>
    <row r="348" spans="1:45" ht="15">
      <c r="A348" s="66" t="str">
        <f t="shared" si="4"/>
        <v>январь</v>
      </c>
      <c r="B348" s="231">
        <v>2024</v>
      </c>
      <c r="C348" s="299"/>
      <c r="D348" s="61"/>
      <c r="E348" s="211"/>
      <c r="F348" s="680"/>
      <c r="G348" s="47"/>
      <c r="H348" s="563"/>
      <c r="I348" s="563"/>
      <c r="J348" s="563"/>
      <c r="K348" s="563"/>
      <c r="L348" s="563"/>
      <c r="M348" s="563"/>
      <c r="N348" s="563"/>
      <c r="O348" s="563"/>
      <c r="P348" s="300"/>
      <c r="Q348" s="563"/>
      <c r="R348" s="563"/>
      <c r="S348" s="563"/>
      <c r="T348" s="563"/>
      <c r="U348" s="563"/>
      <c r="V348" s="563"/>
      <c r="W348" s="563"/>
      <c r="X348" s="563"/>
      <c r="Y348" s="563"/>
      <c r="Z348" s="563"/>
      <c r="AA348" s="563"/>
      <c r="AB348" s="563"/>
      <c r="AC348" s="563"/>
      <c r="AD348" s="48"/>
      <c r="AE348" s="48"/>
      <c r="AF348" s="258"/>
      <c r="AG348" s="48"/>
      <c r="AH348" s="48"/>
      <c r="AI348" s="48"/>
      <c r="AJ348" s="48"/>
      <c r="AK348" s="48"/>
      <c r="AL348" s="48"/>
      <c r="AM348" s="212">
        <f>IF(AQ348=1,SUM(Q348:T348,W348:Z348,AC348:AF348,AI348:AL348),
IF(AQ348=2,SUM(P348,S348:V348,Y348:AB348,AE348:AH348,AK348:AL348),
IF(AQ348=3,SUM(P348:R348,U348:X348,AA348:AD348,AG348:AJ348),SUM(Таблица1[[#This Row],[1]:[31]])-Таблица1[[#This Row],[Столбец1]])))</f>
        <v>0</v>
      </c>
      <c r="AN348" s="778">
        <f t="array" ref="AN348">IF(AQ348=1,SUM(P348,U348:V348,AA348:AB348,AG348:AH348),
IF(AQ348=2,SUM(Q348:R348,W348:X348,AC348:AD348,AI348:AJ348),
IF(AQ348=3,SUM(S348:T348,Y348:Z348,AE348:AF348,AK348:AL348),
SUM(IFERROR(WEEKDAY($H$2:$AL$2,2)&gt;5,)*H348:AL348))))+Таблица1[[#This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48" s="292" t="b">
        <f>IF(AR348&lt;=3,(IF((G348="5/24"),((база!$M$6*Таблица1[[#This Row],[сумма]]*Таблица1[[#This Row],[коэф]])),
IF((G348="4/24"),((база!$M$5*Таблица1[[#This Row],[сумма]]*Таблица1[[#This Row],[коэф]])),
IF((G348="3/24"),((база!$M$4*Таблица1[[#This Row],[сумма]]*Таблица1[[#This Row],[коэф]])),
IF((G348="5/16"),((база!$L$6*Таблица1[[#This Row],[сумма]]*Таблица1[[#This Row],[коэф]])),
IF((G348="4/16"),((база!$L$5*Таблица1[[#This Row],[сумма]]*Таблица1[[#This Row],[коэф]])),
IF((G348="3/16"),((база!$L$4*Таблица1[[#This Row],[сумма]]*Таблица1[[#This Row],[коэф]])),
IF((G348="4/4"),((база!$I$5*Таблица1[[#This Row],[сумма]]*Таблица1[[#This Row],[коэф]])),
IF(OR(G348="2/4",G348="3/4"),((база!$I$4*Таблица1[[#This Row],[сумма]]*Таблица1[[#This Row],[коэф]])),
IF((G348="5/8"),((база!$J$6*Таблица1[[#This Row],[сумма]]*Таблица1[[#This Row],[коэф]])),
IF((G348="4/8"),((база!$J$5*Таблица1[[#This Row],[сумма]]*Таблица1[[#This Row],[коэф]])),
IF(OR(G348="3/8",G348="2/8"),((база!$J$4*Таблица1[[#This Row],[сумма]]*Таблица1[[#This Row],[коэф]])))))))))))))),
(IF((G348="5/24"),((база!$M$6*Таблица1[[#This Row],[сумма]]*Таблица1[[#This Row],[коэф]])),
IF(OR(G348="4/24",G348="3/24"),((база!$M$5*Таблица1[[#This Row],[сумма]]*Таблица1[[#This Row],[коэф]])),
IF((G348="5/16"),((база!$L$6*Таблица1[[#This Row],[сумма]]*Таблица1[[#This Row],[коэф]])),
IF(OR(G348="4/16",G348="3/16"),((база!$L$5*Таблица1[[#This Row],[сумма]]*Таблица1[[#This Row],[коэф]])),
IF(OR(G348="2/4",G348="3/4",G348="4/4"),((база!$I$5*Таблица1[[#This Row],[сумма]]*Таблица1[[#This Row],[коэф]])),
IF((G348="5/8"),((база!$J$6*Таблица1[[#This Row],[сумма]]*Таблица1[[#This Row],[коэф]])),
IF(OR(G348="4/8",G348="3/8",G348="2/8"),((база!$J$5*Таблица1[[#This Row],[сумма]]*Таблица1[[#This Row],[коэф]])))))))))))</f>
        <v>0</v>
      </c>
      <c r="AP348" s="730" t="b">
        <f>IF(AR348&lt;=3,(IF((G348="5/24"),((база!$M$6*2*Таблица1[[#This Row],[Столбец1]]*Таблица1[[#This Row],[коэф]])),
IF((G348="4/24"),((база!$M$5*2*Таблица1[[#This Row],[Столбец1]]*Таблица1[[#This Row],[коэф]])),
IF((G348="3/24"),((база!$M$4*2*Таблица1[[#This Row],[Столбец1]]*Таблица1[[#This Row],[коэф]])),
IF((G348="5/16"),((база!$L$6*2*Таблица1[[#This Row],[Столбец1]]*Таблица1[[#This Row],[коэф]])),
IF((G348="4/16"),((база!$L$5*2*Таблица1[[#This Row],[Столбец1]]*Таблица1[[#This Row],[коэф]])),
IF((G348="3/16"),((база!$L$4*2*Таблица1[[#This Row],[Столбец1]]*Таблица1[[#This Row],[коэф]])),
IF((G348="4/4"),((база!$I$5*2*Таблица1[[#This Row],[Столбец1]]*Таблица1[[#This Row],[коэф]])),
IF(OR(G348="2/4",G348="3/4"),((база!$I$4*2*Таблица1[[#This Row],[Столбец1]]*Таблица1[[#This Row],[коэф]])),
IF((G348="5/8"),((база!$J$6*2*Таблица1[[#This Row],[Столбец1]]*Таблица1[[#This Row],[коэф]])),
IF((G348="4/8"),((база!$J$5*2*Таблица1[[#This Row],[Столбец1]]*Таблица1[[#This Row],[коэф]])),
IF(OR(G348="3/8",G348="2/8"),((база!$J$4*2*Таблица1[[#This Row],[Столбец1]]*Таблица1[[#This Row],[коэф]])))))))))))))),
(IF((G348="5/24"),((база!$M$6*2*Таблица1[[#This Row],[Столбец1]]*Таблица1[[#This Row],[коэф]])),
IF(OR(G348="4/24",G348="3/24"),((база!$M$5*2*Таблица1[[#This Row],[Столбец1]]*Таблица1[[#This Row],[коэф]])),
IF((G348="5/16"),((база!$L$6*2*Таблица1[[#This Row],[Столбец1]]*Таблица1[[#This Row],[коэф]])),
IF(OR(G348="4/16",G348="3/16"),((база!$L$5*2*Таблица1[[#This Row],[Столбец1]]*Таблица1[[#This Row],[коэф]])),
IF(OR(G348="2/4",G348="3/4",G348="4/4"),((база!$I$5*2*Таблица1[[#This Row],[Столбец1]]*Таблица1[[#This Row],[коэф]])),
IF((G348="5/8"),((база!$J$6*2*Таблица1[[#This Row],[Столбец1]]*Таблица1[[#This Row],[коэф]])),
IF(OR(G348="4/8",G348="3/8",G348="2/8"),((база!$J$5*2*Таблица1[[#This Row],[Столбец1]]*Таблица1[[#This Row],[коэф]])))))))))))</f>
        <v>0</v>
      </c>
      <c r="AQ348" s="712" t="str">
        <f>IFERROR(INDEX(база!T:T, MATCH(F348,база!Q:Q,0)),"")</f>
        <v/>
      </c>
      <c r="AR348" s="208" t="str">
        <f>IFERROR(INDEX(база!D:D, MATCH(F348,база!B:B,0)),"")</f>
        <v/>
      </c>
      <c r="AS348" s="758" t="str">
        <f>IFERROR(INDEX(база!E:E, MATCH(F348,база!B:B,0)),"")</f>
        <v/>
      </c>
    </row>
    <row r="349" spans="1:45" ht="15">
      <c r="A349" s="66" t="str">
        <f t="shared" si="4"/>
        <v>январь</v>
      </c>
      <c r="B349" s="231">
        <v>2024</v>
      </c>
      <c r="C349" s="299"/>
      <c r="D349" s="61"/>
      <c r="E349" s="211"/>
      <c r="F349" s="680"/>
      <c r="G349" s="47"/>
      <c r="H349" s="563"/>
      <c r="I349" s="563"/>
      <c r="J349" s="563"/>
      <c r="K349" s="563"/>
      <c r="L349" s="563"/>
      <c r="M349" s="563"/>
      <c r="N349" s="563"/>
      <c r="O349" s="563"/>
      <c r="P349" s="300"/>
      <c r="Q349" s="563"/>
      <c r="R349" s="563"/>
      <c r="S349" s="563"/>
      <c r="T349" s="563"/>
      <c r="U349" s="563"/>
      <c r="V349" s="563"/>
      <c r="W349" s="563"/>
      <c r="X349" s="563"/>
      <c r="Y349" s="563"/>
      <c r="Z349" s="563"/>
      <c r="AA349" s="563"/>
      <c r="AB349" s="563"/>
      <c r="AC349" s="563"/>
      <c r="AD349" s="48"/>
      <c r="AE349" s="48"/>
      <c r="AF349" s="258"/>
      <c r="AG349" s="48"/>
      <c r="AH349" s="48"/>
      <c r="AI349" s="258"/>
      <c r="AJ349" s="258"/>
      <c r="AK349" s="258"/>
      <c r="AL349" s="258"/>
      <c r="AM349" s="212">
        <f>IF(AQ349=1,SUM(Q349:T349,W349:Z349,AC349:AF349,AI349:AL349),
IF(AQ349=2,SUM(P349,S349:V349,Y349:AB349,AE349:AH349,AK349:AL349),
IF(AQ349=3,SUM(P349:R349,U349:X349,AA349:AD349,AG349:AJ349),SUM(Таблица1[[#This Row],[1]:[31]])-Таблица1[[#This Row],[Столбец1]])))</f>
        <v>0</v>
      </c>
      <c r="AN349" s="778">
        <f t="array" ref="AN349">IF(AQ349=1,SUM(P349,U349:V349,AA349:AB349,AG349:AH349),
IF(AQ349=2,SUM(Q349:R349,W349:X349,AC349:AD349,AI349:AJ349),
IF(AQ349=3,SUM(S349:T349,Y349:Z349,AE349:AF349,AK349:AL349),
SUM(IFERROR(WEEKDAY($H$2:$AL$2,2)&gt;5,)*H349:AL349))))+Таблица1[[#This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49" s="292" t="b">
        <f>IF(AR349&lt;=3,(IF((G349="5/24"),((база!$M$6*Таблица1[[#This Row],[сумма]]*Таблица1[[#This Row],[коэф]])),
IF((G349="4/24"),((база!$M$5*Таблица1[[#This Row],[сумма]]*Таблица1[[#This Row],[коэф]])),
IF((G349="3/24"),((база!$M$4*Таблица1[[#This Row],[сумма]]*Таблица1[[#This Row],[коэф]])),
IF((G349="5/16"),((база!$L$6*Таблица1[[#This Row],[сумма]]*Таблица1[[#This Row],[коэф]])),
IF((G349="4/16"),((база!$L$5*Таблица1[[#This Row],[сумма]]*Таблица1[[#This Row],[коэф]])),
IF((G349="3/16"),((база!$L$4*Таблица1[[#This Row],[сумма]]*Таблица1[[#This Row],[коэф]])),
IF((G349="4/4"),((база!$I$5*Таблица1[[#This Row],[сумма]]*Таблица1[[#This Row],[коэф]])),
IF(OR(G349="2/4",G349="3/4"),((база!$I$4*Таблица1[[#This Row],[сумма]]*Таблица1[[#This Row],[коэф]])),
IF((G349="5/8"),((база!$J$6*Таблица1[[#This Row],[сумма]]*Таблица1[[#This Row],[коэф]])),
IF((G349="4/8"),((база!$J$5*Таблица1[[#This Row],[сумма]]*Таблица1[[#This Row],[коэф]])),
IF(OR(G349="3/8",G349="2/8"),((база!$J$4*Таблица1[[#This Row],[сумма]]*Таблица1[[#This Row],[коэф]])))))))))))))),
(IF((G349="5/24"),((база!$M$6*Таблица1[[#This Row],[сумма]]*Таблица1[[#This Row],[коэф]])),
IF(OR(G349="4/24",G349="3/24"),((база!$M$5*Таблица1[[#This Row],[сумма]]*Таблица1[[#This Row],[коэф]])),
IF((G349="5/16"),((база!$L$6*Таблица1[[#This Row],[сумма]]*Таблица1[[#This Row],[коэф]])),
IF(OR(G349="4/16",G349="3/16"),((база!$L$5*Таблица1[[#This Row],[сумма]]*Таблица1[[#This Row],[коэф]])),
IF(OR(G349="2/4",G349="3/4",G349="4/4"),((база!$I$5*Таблица1[[#This Row],[сумма]]*Таблица1[[#This Row],[коэф]])),
IF((G349="5/8"),((база!$J$6*Таблица1[[#This Row],[сумма]]*Таблица1[[#This Row],[коэф]])),
IF(OR(G349="4/8",G349="3/8",G349="2/8"),((база!$J$5*Таблица1[[#This Row],[сумма]]*Таблица1[[#This Row],[коэф]])))))))))))</f>
        <v>0</v>
      </c>
      <c r="AP349" s="730" t="b">
        <f>IF(AR349&lt;=3,(IF((G349="5/24"),((база!$M$6*2*Таблица1[[#This Row],[Столбец1]]*Таблица1[[#This Row],[коэф]])),
IF((G349="4/24"),((база!$M$5*2*Таблица1[[#This Row],[Столбец1]]*Таблица1[[#This Row],[коэф]])),
IF((G349="3/24"),((база!$M$4*2*Таблица1[[#This Row],[Столбец1]]*Таблица1[[#This Row],[коэф]])),
IF((G349="5/16"),((база!$L$6*2*Таблица1[[#This Row],[Столбец1]]*Таблица1[[#This Row],[коэф]])),
IF((G349="4/16"),((база!$L$5*2*Таблица1[[#This Row],[Столбец1]]*Таблица1[[#This Row],[коэф]])),
IF((G349="3/16"),((база!$L$4*2*Таблица1[[#This Row],[Столбец1]]*Таблица1[[#This Row],[коэф]])),
IF((G349="4/4"),((база!$I$5*2*Таблица1[[#This Row],[Столбец1]]*Таблица1[[#This Row],[коэф]])),
IF(OR(G349="2/4",G349="3/4"),((база!$I$4*2*Таблица1[[#This Row],[Столбец1]]*Таблица1[[#This Row],[коэф]])),
IF((G349="5/8"),((база!$J$6*2*Таблица1[[#This Row],[Столбец1]]*Таблица1[[#This Row],[коэф]])),
IF((G349="4/8"),((база!$J$5*2*Таблица1[[#This Row],[Столбец1]]*Таблица1[[#This Row],[коэф]])),
IF(OR(G349="3/8",G349="2/8"),((база!$J$4*2*Таблица1[[#This Row],[Столбец1]]*Таблица1[[#This Row],[коэф]])))))))))))))),
(IF((G349="5/24"),((база!$M$6*2*Таблица1[[#This Row],[Столбец1]]*Таблица1[[#This Row],[коэф]])),
IF(OR(G349="4/24",G349="3/24"),((база!$M$5*2*Таблица1[[#This Row],[Столбец1]]*Таблица1[[#This Row],[коэф]])),
IF((G349="5/16"),((база!$L$6*2*Таблица1[[#This Row],[Столбец1]]*Таблица1[[#This Row],[коэф]])),
IF(OR(G349="4/16",G349="3/16"),((база!$L$5*2*Таблица1[[#This Row],[Столбец1]]*Таблица1[[#This Row],[коэф]])),
IF(OR(G349="2/4",G349="3/4",G349="4/4"),((база!$I$5*2*Таблица1[[#This Row],[Столбец1]]*Таблица1[[#This Row],[коэф]])),
IF((G349="5/8"),((база!$J$6*2*Таблица1[[#This Row],[Столбец1]]*Таблица1[[#This Row],[коэф]])),
IF(OR(G349="4/8",G349="3/8",G349="2/8"),((база!$J$5*2*Таблица1[[#This Row],[Столбец1]]*Таблица1[[#This Row],[коэф]])))))))))))</f>
        <v>0</v>
      </c>
      <c r="AQ349" s="712" t="str">
        <f>IFERROR(INDEX(база!T:T, MATCH(F349,база!Q:Q,0)),"")</f>
        <v/>
      </c>
      <c r="AR349" s="208" t="str">
        <f>IFERROR(INDEX(база!D:D, MATCH(F349,база!B:B,0)),"")</f>
        <v/>
      </c>
      <c r="AS349" s="758" t="str">
        <f>IFERROR(INDEX(база!E:E, MATCH(F349,база!B:B,0)),"")</f>
        <v/>
      </c>
    </row>
    <row r="350" spans="1:45" ht="15">
      <c r="A350" s="66" t="str">
        <f t="shared" si="4"/>
        <v>январь</v>
      </c>
      <c r="B350" s="231">
        <v>2024</v>
      </c>
      <c r="C350" s="60"/>
      <c r="D350" s="61"/>
      <c r="E350" s="211"/>
      <c r="F350" s="680"/>
      <c r="G350" s="47"/>
      <c r="H350" s="563"/>
      <c r="I350" s="563"/>
      <c r="J350" s="563"/>
      <c r="K350" s="563"/>
      <c r="L350" s="563"/>
      <c r="M350" s="563"/>
      <c r="N350" s="563"/>
      <c r="O350" s="563"/>
      <c r="P350" s="300"/>
      <c r="Q350" s="563"/>
      <c r="R350" s="563"/>
      <c r="S350" s="563"/>
      <c r="T350" s="563"/>
      <c r="U350" s="563"/>
      <c r="V350" s="563"/>
      <c r="W350" s="563"/>
      <c r="X350" s="563"/>
      <c r="Y350" s="563"/>
      <c r="Z350" s="563"/>
      <c r="AA350" s="563"/>
      <c r="AB350" s="563"/>
      <c r="AC350" s="563"/>
      <c r="AD350" s="48"/>
      <c r="AE350" s="48"/>
      <c r="AF350" s="258"/>
      <c r="AG350" s="48"/>
      <c r="AH350" s="48"/>
      <c r="AI350" s="48"/>
      <c r="AJ350" s="48"/>
      <c r="AK350" s="48"/>
      <c r="AL350" s="51"/>
      <c r="AM350" s="212">
        <f>IF(AQ350=1,SUM(Q350:T350,W350:Z350,AC350:AF350,AI350:AL350),
IF(AQ350=2,SUM(P350,S350:V350,Y350:AB350,AE350:AH350,AK350:AL350),
IF(AQ350=3,SUM(P350:R350,U350:X350,AA350:AD350,AG350:AJ350),SUM(Таблица1[[#This Row],[1]:[31]])-Таблица1[[#This Row],[Столбец1]])))</f>
        <v>0</v>
      </c>
      <c r="AN350" s="778">
        <f t="array" ref="AN350">IF(AQ350=1,SUM(P350,U350:V350,AA350:AB350,AG350:AH350),
IF(AQ350=2,SUM(Q350:R350,W350:X350,AC350:AD350,AI350:AJ350),
IF(AQ350=3,SUM(S350:T350,Y350:Z350,AE350:AF350,AK350:AL350),
SUM(IFERROR(WEEKDAY($H$2:$AL$2,2)&gt;5,)*H350:AL350))))+Таблица1[[#This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50" s="292" t="b">
        <f>IF(AR350&lt;=3,(IF((G350="5/24"),((база!$M$6*Таблица1[[#This Row],[сумма]]*Таблица1[[#This Row],[коэф]])),
IF((G350="4/24"),((база!$M$5*Таблица1[[#This Row],[сумма]]*Таблица1[[#This Row],[коэф]])),
IF((G350="3/24"),((база!$M$4*Таблица1[[#This Row],[сумма]]*Таблица1[[#This Row],[коэф]])),
IF((G350="5/16"),((база!$L$6*Таблица1[[#This Row],[сумма]]*Таблица1[[#This Row],[коэф]])),
IF((G350="4/16"),((база!$L$5*Таблица1[[#This Row],[сумма]]*Таблица1[[#This Row],[коэф]])),
IF((G350="3/16"),((база!$L$4*Таблица1[[#This Row],[сумма]]*Таблица1[[#This Row],[коэф]])),
IF((G350="4/4"),((база!$I$5*Таблица1[[#This Row],[сумма]]*Таблица1[[#This Row],[коэф]])),
IF(OR(G350="2/4",G350="3/4"),((база!$I$4*Таблица1[[#This Row],[сумма]]*Таблица1[[#This Row],[коэф]])),
IF((G350="5/8"),((база!$J$6*Таблица1[[#This Row],[сумма]]*Таблица1[[#This Row],[коэф]])),
IF((G350="4/8"),((база!$J$5*Таблица1[[#This Row],[сумма]]*Таблица1[[#This Row],[коэф]])),
IF(OR(G350="3/8",G350="2/8"),((база!$J$4*Таблица1[[#This Row],[сумма]]*Таблица1[[#This Row],[коэф]])))))))))))))),
(IF((G350="5/24"),((база!$M$6*Таблица1[[#This Row],[сумма]]*Таблица1[[#This Row],[коэф]])),
IF(OR(G350="4/24",G350="3/24"),((база!$M$5*Таблица1[[#This Row],[сумма]]*Таблица1[[#This Row],[коэф]])),
IF((G350="5/16"),((база!$L$6*Таблица1[[#This Row],[сумма]]*Таблица1[[#This Row],[коэф]])),
IF(OR(G350="4/16",G350="3/16"),((база!$L$5*Таблица1[[#This Row],[сумма]]*Таблица1[[#This Row],[коэф]])),
IF(OR(G350="2/4",G350="3/4",G350="4/4"),((база!$I$5*Таблица1[[#This Row],[сумма]]*Таблица1[[#This Row],[коэф]])),
IF((G350="5/8"),((база!$J$6*Таблица1[[#This Row],[сумма]]*Таблица1[[#This Row],[коэф]])),
IF(OR(G350="4/8",G350="3/8",G350="2/8"),((база!$J$5*Таблица1[[#This Row],[сумма]]*Таблица1[[#This Row],[коэф]])))))))))))</f>
        <v>0</v>
      </c>
      <c r="AP350" s="730" t="b">
        <f>IF(AR350&lt;=3,(IF((G350="5/24"),((база!$M$6*2*Таблица1[[#This Row],[Столбец1]]*Таблица1[[#This Row],[коэф]])),
IF((G350="4/24"),((база!$M$5*2*Таблица1[[#This Row],[Столбец1]]*Таблица1[[#This Row],[коэф]])),
IF((G350="3/24"),((база!$M$4*2*Таблица1[[#This Row],[Столбец1]]*Таблица1[[#This Row],[коэф]])),
IF((G350="5/16"),((база!$L$6*2*Таблица1[[#This Row],[Столбец1]]*Таблица1[[#This Row],[коэф]])),
IF((G350="4/16"),((база!$L$5*2*Таблица1[[#This Row],[Столбец1]]*Таблица1[[#This Row],[коэф]])),
IF((G350="3/16"),((база!$L$4*2*Таблица1[[#This Row],[Столбец1]]*Таблица1[[#This Row],[коэф]])),
IF((G350="4/4"),((база!$I$5*2*Таблица1[[#This Row],[Столбец1]]*Таблица1[[#This Row],[коэф]])),
IF(OR(G350="2/4",G350="3/4"),((база!$I$4*2*Таблица1[[#This Row],[Столбец1]]*Таблица1[[#This Row],[коэф]])),
IF((G350="5/8"),((база!$J$6*2*Таблица1[[#This Row],[Столбец1]]*Таблица1[[#This Row],[коэф]])),
IF((G350="4/8"),((база!$J$5*2*Таблица1[[#This Row],[Столбец1]]*Таблица1[[#This Row],[коэф]])),
IF(OR(G350="3/8",G350="2/8"),((база!$J$4*2*Таблица1[[#This Row],[Столбец1]]*Таблица1[[#This Row],[коэф]])))))))))))))),
(IF((G350="5/24"),((база!$M$6*2*Таблица1[[#This Row],[Столбец1]]*Таблица1[[#This Row],[коэф]])),
IF(OR(G350="4/24",G350="3/24"),((база!$M$5*2*Таблица1[[#This Row],[Столбец1]]*Таблица1[[#This Row],[коэф]])),
IF((G350="5/16"),((база!$L$6*2*Таблица1[[#This Row],[Столбец1]]*Таблица1[[#This Row],[коэф]])),
IF(OR(G350="4/16",G350="3/16"),((база!$L$5*2*Таблица1[[#This Row],[Столбец1]]*Таблица1[[#This Row],[коэф]])),
IF(OR(G350="2/4",G350="3/4",G350="4/4"),((база!$I$5*2*Таблица1[[#This Row],[Столбец1]]*Таблица1[[#This Row],[коэф]])),
IF((G350="5/8"),((база!$J$6*2*Таблица1[[#This Row],[Столбец1]]*Таблица1[[#This Row],[коэф]])),
IF(OR(G350="4/8",G350="3/8",G350="2/8"),((база!$J$5*2*Таблица1[[#This Row],[Столбец1]]*Таблица1[[#This Row],[коэф]])))))))))))</f>
        <v>0</v>
      </c>
      <c r="AQ350" s="712" t="str">
        <f>IFERROR(INDEX(база!T:T, MATCH(F350,база!Q:Q,0)),"")</f>
        <v/>
      </c>
      <c r="AR350" s="208" t="str">
        <f>IFERROR(INDEX(база!D:D, MATCH(F350,база!B:B,0)),"")</f>
        <v/>
      </c>
      <c r="AS350" s="758" t="str">
        <f>IFERROR(INDEX(база!E:E, MATCH(F350,база!B:B,0)),"")</f>
        <v/>
      </c>
    </row>
    <row r="351" spans="1:45" ht="15">
      <c r="A351" s="66" t="str">
        <f t="shared" si="4"/>
        <v>январь</v>
      </c>
      <c r="B351" s="231">
        <v>2024</v>
      </c>
      <c r="C351" s="299"/>
      <c r="D351" s="61"/>
      <c r="E351" s="211"/>
      <c r="F351" s="680"/>
      <c r="G351" s="47"/>
      <c r="H351" s="563"/>
      <c r="I351" s="563"/>
      <c r="J351" s="563"/>
      <c r="K351" s="563"/>
      <c r="L351" s="563"/>
      <c r="M351" s="563"/>
      <c r="N351" s="563"/>
      <c r="O351" s="563"/>
      <c r="P351" s="300"/>
      <c r="Q351" s="563"/>
      <c r="R351" s="563"/>
      <c r="S351" s="563"/>
      <c r="T351" s="563"/>
      <c r="U351" s="563"/>
      <c r="V351" s="563"/>
      <c r="W351" s="563"/>
      <c r="X351" s="563"/>
      <c r="Y351" s="563"/>
      <c r="Z351" s="563"/>
      <c r="AA351" s="563"/>
      <c r="AB351" s="563"/>
      <c r="AC351" s="563"/>
      <c r="AD351" s="48"/>
      <c r="AE351" s="48"/>
      <c r="AF351" s="258"/>
      <c r="AG351" s="48"/>
      <c r="AH351" s="48"/>
      <c r="AI351" s="258"/>
      <c r="AJ351" s="258"/>
      <c r="AK351" s="258"/>
      <c r="AL351" s="258"/>
      <c r="AM351" s="212">
        <f>IF(AQ351=1,SUM(Q351:T351,W351:Z351,AC351:AF351,AI351:AL351),
IF(AQ351=2,SUM(P351,S351:V351,Y351:AB351,AE351:AH351,AK351:AL351),
IF(AQ351=3,SUM(P351:R351,U351:X351,AA351:AD351,AG351:AJ351),SUM(Таблица1[[#This Row],[1]:[31]])-Таблица1[[#This Row],[Столбец1]])))</f>
        <v>0</v>
      </c>
      <c r="AN351" s="778">
        <f t="array" ref="AN351">IF(AQ351=1,SUM(P351,U351:V351,AA351:AB351,AG351:AH351),
IF(AQ351=2,SUM(Q351:R351,W351:X351,AC351:AD351,AI351:AJ351),
IF(AQ351=3,SUM(S351:T351,Y351:Z351,AE351:AF351,AK351:AL351),
SUM(IFERROR(WEEKDAY($H$2:$AL$2,2)&gt;5,)*H351:AL351))))+Таблица1[[#This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51" s="292" t="b">
        <f>IF(AR351&lt;=3,(IF((G351="5/24"),((база!$M$6*Таблица1[[#This Row],[сумма]]*Таблица1[[#This Row],[коэф]])),
IF((G351="4/24"),((база!$M$5*Таблица1[[#This Row],[сумма]]*Таблица1[[#This Row],[коэф]])),
IF((G351="3/24"),((база!$M$4*Таблица1[[#This Row],[сумма]]*Таблица1[[#This Row],[коэф]])),
IF((G351="5/16"),((база!$L$6*Таблица1[[#This Row],[сумма]]*Таблица1[[#This Row],[коэф]])),
IF((G351="4/16"),((база!$L$5*Таблица1[[#This Row],[сумма]]*Таблица1[[#This Row],[коэф]])),
IF((G351="3/16"),((база!$L$4*Таблица1[[#This Row],[сумма]]*Таблица1[[#This Row],[коэф]])),
IF((G351="4/4"),((база!$I$5*Таблица1[[#This Row],[сумма]]*Таблица1[[#This Row],[коэф]])),
IF(OR(G351="2/4",G351="3/4"),((база!$I$4*Таблица1[[#This Row],[сумма]]*Таблица1[[#This Row],[коэф]])),
IF((G351="5/8"),((база!$J$6*Таблица1[[#This Row],[сумма]]*Таблица1[[#This Row],[коэф]])),
IF((G351="4/8"),((база!$J$5*Таблица1[[#This Row],[сумма]]*Таблица1[[#This Row],[коэф]])),
IF(OR(G351="3/8",G351="2/8"),((база!$J$4*Таблица1[[#This Row],[сумма]]*Таблица1[[#This Row],[коэф]])))))))))))))),
(IF((G351="5/24"),((база!$M$6*Таблица1[[#This Row],[сумма]]*Таблица1[[#This Row],[коэф]])),
IF(OR(G351="4/24",G351="3/24"),((база!$M$5*Таблица1[[#This Row],[сумма]]*Таблица1[[#This Row],[коэф]])),
IF((G351="5/16"),((база!$L$6*Таблица1[[#This Row],[сумма]]*Таблица1[[#This Row],[коэф]])),
IF(OR(G351="4/16",G351="3/16"),((база!$L$5*Таблица1[[#This Row],[сумма]]*Таблица1[[#This Row],[коэф]])),
IF(OR(G351="2/4",G351="3/4",G351="4/4"),((база!$I$5*Таблица1[[#This Row],[сумма]]*Таблица1[[#This Row],[коэф]])),
IF((G351="5/8"),((база!$J$6*Таблица1[[#This Row],[сумма]]*Таблица1[[#This Row],[коэф]])),
IF(OR(G351="4/8",G351="3/8",G351="2/8"),((база!$J$5*Таблица1[[#This Row],[сумма]]*Таблица1[[#This Row],[коэф]])))))))))))</f>
        <v>0</v>
      </c>
      <c r="AP351" s="730" t="b">
        <f>IF(AR351&lt;=3,(IF((G351="5/24"),((база!$M$6*2*Таблица1[[#This Row],[Столбец1]]*Таблица1[[#This Row],[коэф]])),
IF((G351="4/24"),((база!$M$5*2*Таблица1[[#This Row],[Столбец1]]*Таблица1[[#This Row],[коэф]])),
IF((G351="3/24"),((база!$M$4*2*Таблица1[[#This Row],[Столбец1]]*Таблица1[[#This Row],[коэф]])),
IF((G351="5/16"),((база!$L$6*2*Таблица1[[#This Row],[Столбец1]]*Таблица1[[#This Row],[коэф]])),
IF((G351="4/16"),((база!$L$5*2*Таблица1[[#This Row],[Столбец1]]*Таблица1[[#This Row],[коэф]])),
IF((G351="3/16"),((база!$L$4*2*Таблица1[[#This Row],[Столбец1]]*Таблица1[[#This Row],[коэф]])),
IF((G351="4/4"),((база!$I$5*2*Таблица1[[#This Row],[Столбец1]]*Таблица1[[#This Row],[коэф]])),
IF(OR(G351="2/4",G351="3/4"),((база!$I$4*2*Таблица1[[#This Row],[Столбец1]]*Таблица1[[#This Row],[коэф]])),
IF((G351="5/8"),((база!$J$6*2*Таблица1[[#This Row],[Столбец1]]*Таблица1[[#This Row],[коэф]])),
IF((G351="4/8"),((база!$J$5*2*Таблица1[[#This Row],[Столбец1]]*Таблица1[[#This Row],[коэф]])),
IF(OR(G351="3/8",G351="2/8"),((база!$J$4*2*Таблица1[[#This Row],[Столбец1]]*Таблица1[[#This Row],[коэф]])))))))))))))),
(IF((G351="5/24"),((база!$M$6*2*Таблица1[[#This Row],[Столбец1]]*Таблица1[[#This Row],[коэф]])),
IF(OR(G351="4/24",G351="3/24"),((база!$M$5*2*Таблица1[[#This Row],[Столбец1]]*Таблица1[[#This Row],[коэф]])),
IF((G351="5/16"),((база!$L$6*2*Таблица1[[#This Row],[Столбец1]]*Таблица1[[#This Row],[коэф]])),
IF(OR(G351="4/16",G351="3/16"),((база!$L$5*2*Таблица1[[#This Row],[Столбец1]]*Таблица1[[#This Row],[коэф]])),
IF(OR(G351="2/4",G351="3/4",G351="4/4"),((база!$I$5*2*Таблица1[[#This Row],[Столбец1]]*Таблица1[[#This Row],[коэф]])),
IF((G351="5/8"),((база!$J$6*2*Таблица1[[#This Row],[Столбец1]]*Таблица1[[#This Row],[коэф]])),
IF(OR(G351="4/8",G351="3/8",G351="2/8"),((база!$J$5*2*Таблица1[[#This Row],[Столбец1]]*Таблица1[[#This Row],[коэф]])))))))))))</f>
        <v>0</v>
      </c>
      <c r="AQ351" s="712" t="str">
        <f>IFERROR(INDEX(база!T:T, MATCH(F351,база!Q:Q,0)),"")</f>
        <v/>
      </c>
      <c r="AR351" s="208" t="str">
        <f>IFERROR(INDEX(база!D:D, MATCH(F351,база!B:B,0)),"")</f>
        <v/>
      </c>
      <c r="AS351" s="758" t="str">
        <f>IFERROR(INDEX(база!E:E, MATCH(F351,база!B:B,0)),"")</f>
        <v/>
      </c>
    </row>
    <row r="352" spans="1:45" ht="15">
      <c r="A352" s="66" t="str">
        <f t="shared" si="4"/>
        <v>январь</v>
      </c>
      <c r="B352" s="231">
        <v>2024</v>
      </c>
      <c r="C352" s="299"/>
      <c r="D352" s="61"/>
      <c r="E352" s="211"/>
      <c r="F352" s="680"/>
      <c r="G352" s="47"/>
      <c r="H352" s="563"/>
      <c r="I352" s="563"/>
      <c r="J352" s="563"/>
      <c r="K352" s="563"/>
      <c r="L352" s="563"/>
      <c r="M352" s="563"/>
      <c r="N352" s="563"/>
      <c r="O352" s="563"/>
      <c r="P352" s="300"/>
      <c r="Q352" s="563"/>
      <c r="R352" s="563"/>
      <c r="S352" s="563"/>
      <c r="T352" s="563"/>
      <c r="U352" s="563"/>
      <c r="V352" s="563"/>
      <c r="W352" s="563"/>
      <c r="X352" s="563"/>
      <c r="Y352" s="563"/>
      <c r="Z352" s="563"/>
      <c r="AA352" s="563"/>
      <c r="AB352" s="563"/>
      <c r="AC352" s="563"/>
      <c r="AD352" s="48"/>
      <c r="AE352" s="48"/>
      <c r="AF352" s="258"/>
      <c r="AG352" s="48"/>
      <c r="AH352" s="48"/>
      <c r="AI352" s="48"/>
      <c r="AJ352" s="48"/>
      <c r="AK352" s="48"/>
      <c r="AL352" s="51"/>
      <c r="AM352" s="212">
        <f>IF(AQ352=1,SUM(Q352:T352,W352:Z352,AC352:AF352,AI352:AL352),
IF(AQ352=2,SUM(P352,S352:V352,Y352:AB352,AE352:AH352,AK352:AL352),
IF(AQ352=3,SUM(P352:R352,U352:X352,AA352:AD352,AG352:AJ352),SUM(Таблица1[[#This Row],[1]:[31]])-Таблица1[[#This Row],[Столбец1]])))</f>
        <v>0</v>
      </c>
      <c r="AN352" s="778">
        <f t="array" ref="AN352">IF(AQ352=1,SUM(P352,U352:V352,AA352:AB352,AG352:AH352),
IF(AQ352=2,SUM(Q352:R352,W352:X352,AC352:AD352,AI352:AJ352),
IF(AQ352=3,SUM(S352:T352,Y352:Z352,AE352:AF352,AK352:AL352),
SUM(IFERROR(WEEKDAY($H$2:$AL$2,2)&gt;5,)*H352:AL352))))+Таблица1[[#This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52" s="292" t="b">
        <f>IF(AR352&lt;=3,(IF((G352="5/24"),((база!$M$6*Таблица1[[#This Row],[сумма]]*Таблица1[[#This Row],[коэф]])),
IF((G352="4/24"),((база!$M$5*Таблица1[[#This Row],[сумма]]*Таблица1[[#This Row],[коэф]])),
IF((G352="3/24"),((база!$M$4*Таблица1[[#This Row],[сумма]]*Таблица1[[#This Row],[коэф]])),
IF((G352="5/16"),((база!$L$6*Таблица1[[#This Row],[сумма]]*Таблица1[[#This Row],[коэф]])),
IF((G352="4/16"),((база!$L$5*Таблица1[[#This Row],[сумма]]*Таблица1[[#This Row],[коэф]])),
IF((G352="3/16"),((база!$L$4*Таблица1[[#This Row],[сумма]]*Таблица1[[#This Row],[коэф]])),
IF((G352="4/4"),((база!$I$5*Таблица1[[#This Row],[сумма]]*Таблица1[[#This Row],[коэф]])),
IF(OR(G352="2/4",G352="3/4"),((база!$I$4*Таблица1[[#This Row],[сумма]]*Таблица1[[#This Row],[коэф]])),
IF((G352="5/8"),((база!$J$6*Таблица1[[#This Row],[сумма]]*Таблица1[[#This Row],[коэф]])),
IF((G352="4/8"),((база!$J$5*Таблица1[[#This Row],[сумма]]*Таблица1[[#This Row],[коэф]])),
IF(OR(G352="3/8",G352="2/8"),((база!$J$4*Таблица1[[#This Row],[сумма]]*Таблица1[[#This Row],[коэф]])))))))))))))),
(IF((G352="5/24"),((база!$M$6*Таблица1[[#This Row],[сумма]]*Таблица1[[#This Row],[коэф]])),
IF(OR(G352="4/24",G352="3/24"),((база!$M$5*Таблица1[[#This Row],[сумма]]*Таблица1[[#This Row],[коэф]])),
IF((G352="5/16"),((база!$L$6*Таблица1[[#This Row],[сумма]]*Таблица1[[#This Row],[коэф]])),
IF(OR(G352="4/16",G352="3/16"),((база!$L$5*Таблица1[[#This Row],[сумма]]*Таблица1[[#This Row],[коэф]])),
IF(OR(G352="2/4",G352="3/4",G352="4/4"),((база!$I$5*Таблица1[[#This Row],[сумма]]*Таблица1[[#This Row],[коэф]])),
IF((G352="5/8"),((база!$J$6*Таблица1[[#This Row],[сумма]]*Таблица1[[#This Row],[коэф]])),
IF(OR(G352="4/8",G352="3/8",G352="2/8"),((база!$J$5*Таблица1[[#This Row],[сумма]]*Таблица1[[#This Row],[коэф]])))))))))))</f>
        <v>0</v>
      </c>
      <c r="AP352" s="730" t="b">
        <f>IF(AR352&lt;=3,(IF((G352="5/24"),((база!$M$6*2*Таблица1[[#This Row],[Столбец1]]*Таблица1[[#This Row],[коэф]])),
IF((G352="4/24"),((база!$M$5*2*Таблица1[[#This Row],[Столбец1]]*Таблица1[[#This Row],[коэф]])),
IF((G352="3/24"),((база!$M$4*2*Таблица1[[#This Row],[Столбец1]]*Таблица1[[#This Row],[коэф]])),
IF((G352="5/16"),((база!$L$6*2*Таблица1[[#This Row],[Столбец1]]*Таблица1[[#This Row],[коэф]])),
IF((G352="4/16"),((база!$L$5*2*Таблица1[[#This Row],[Столбец1]]*Таблица1[[#This Row],[коэф]])),
IF((G352="3/16"),((база!$L$4*2*Таблица1[[#This Row],[Столбец1]]*Таблица1[[#This Row],[коэф]])),
IF((G352="4/4"),((база!$I$5*2*Таблица1[[#This Row],[Столбец1]]*Таблица1[[#This Row],[коэф]])),
IF(OR(G352="2/4",G352="3/4"),((база!$I$4*2*Таблица1[[#This Row],[Столбец1]]*Таблица1[[#This Row],[коэф]])),
IF((G352="5/8"),((база!$J$6*2*Таблица1[[#This Row],[Столбец1]]*Таблица1[[#This Row],[коэф]])),
IF((G352="4/8"),((база!$J$5*2*Таблица1[[#This Row],[Столбец1]]*Таблица1[[#This Row],[коэф]])),
IF(OR(G352="3/8",G352="2/8"),((база!$J$4*2*Таблица1[[#This Row],[Столбец1]]*Таблица1[[#This Row],[коэф]])))))))))))))),
(IF((G352="5/24"),((база!$M$6*2*Таблица1[[#This Row],[Столбец1]]*Таблица1[[#This Row],[коэф]])),
IF(OR(G352="4/24",G352="3/24"),((база!$M$5*2*Таблица1[[#This Row],[Столбец1]]*Таблица1[[#This Row],[коэф]])),
IF((G352="5/16"),((база!$L$6*2*Таблица1[[#This Row],[Столбец1]]*Таблица1[[#This Row],[коэф]])),
IF(OR(G352="4/16",G352="3/16"),((база!$L$5*2*Таблица1[[#This Row],[Столбец1]]*Таблица1[[#This Row],[коэф]])),
IF(OR(G352="2/4",G352="3/4",G352="4/4"),((база!$I$5*2*Таблица1[[#This Row],[Столбец1]]*Таблица1[[#This Row],[коэф]])),
IF((G352="5/8"),((база!$J$6*2*Таблица1[[#This Row],[Столбец1]]*Таблица1[[#This Row],[коэф]])),
IF(OR(G352="4/8",G352="3/8",G352="2/8"),((база!$J$5*2*Таблица1[[#This Row],[Столбец1]]*Таблица1[[#This Row],[коэф]])))))))))))</f>
        <v>0</v>
      </c>
      <c r="AQ352" s="712" t="str">
        <f>IFERROR(INDEX(база!T:T, MATCH(F352,база!Q:Q,0)),"")</f>
        <v/>
      </c>
      <c r="AR352" s="208" t="str">
        <f>IFERROR(INDEX(база!D:D, MATCH(F352,база!B:B,0)),"")</f>
        <v/>
      </c>
      <c r="AS352" s="758" t="str">
        <f>IFERROR(INDEX(база!E:E, MATCH(F352,база!B:B,0)),"")</f>
        <v/>
      </c>
    </row>
    <row r="353" spans="1:45" ht="15">
      <c r="A353" s="66" t="str">
        <f t="shared" si="4"/>
        <v>январь</v>
      </c>
      <c r="B353" s="231">
        <v>2024</v>
      </c>
      <c r="C353" s="299"/>
      <c r="D353" s="61"/>
      <c r="E353" s="211"/>
      <c r="F353" s="680"/>
      <c r="G353" s="47"/>
      <c r="H353" s="563"/>
      <c r="I353" s="563"/>
      <c r="J353" s="563"/>
      <c r="K353" s="563"/>
      <c r="L353" s="563"/>
      <c r="M353" s="563"/>
      <c r="N353" s="563"/>
      <c r="O353" s="563"/>
      <c r="P353" s="300"/>
      <c r="Q353" s="563"/>
      <c r="R353" s="563"/>
      <c r="S353" s="563"/>
      <c r="T353" s="563"/>
      <c r="U353" s="563"/>
      <c r="V353" s="563"/>
      <c r="W353" s="563"/>
      <c r="X353" s="563"/>
      <c r="Y353" s="563"/>
      <c r="Z353" s="563"/>
      <c r="AA353" s="563"/>
      <c r="AB353" s="563"/>
      <c r="AC353" s="563"/>
      <c r="AD353" s="48"/>
      <c r="AE353" s="48"/>
      <c r="AF353" s="258"/>
      <c r="AG353" s="48"/>
      <c r="AH353" s="48"/>
      <c r="AI353" s="258"/>
      <c r="AJ353" s="258"/>
      <c r="AK353" s="258"/>
      <c r="AL353" s="258"/>
      <c r="AM353" s="212">
        <f>IF(AQ353=1,SUM(Q353:T353,W353:Z353,AC353:AF353,AI353:AL353),
IF(AQ353=2,SUM(P353,S353:V353,Y353:AB353,AE353:AH353,AK353:AL353),
IF(AQ353=3,SUM(P353:R353,U353:X353,AA353:AD353,AG353:AJ353),SUM(Таблица1[[#This Row],[1]:[31]])-Таблица1[[#This Row],[Столбец1]])))</f>
        <v>0</v>
      </c>
      <c r="AN353" s="778">
        <f t="array" ref="AN353">IF(AQ353=1,SUM(P353,U353:V353,AA353:AB353,AG353:AH353),
IF(AQ353=2,SUM(Q353:R353,W353:X353,AC353:AD353,AI353:AJ353),
IF(AQ353=3,SUM(S353:T353,Y353:Z353,AE353:AF353,AK353:AL353),
SUM(IFERROR(WEEKDAY($H$2:$AL$2,2)&gt;5,)*H353:AL353))))+Таблица1[[#This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53" s="292" t="b">
        <f>IF(AR353&lt;=3,(IF((G353="5/24"),((база!$M$6*Таблица1[[#This Row],[сумма]]*Таблица1[[#This Row],[коэф]])),
IF((G353="4/24"),((база!$M$5*Таблица1[[#This Row],[сумма]]*Таблица1[[#This Row],[коэф]])),
IF((G353="3/24"),((база!$M$4*Таблица1[[#This Row],[сумма]]*Таблица1[[#This Row],[коэф]])),
IF((G353="5/16"),((база!$L$6*Таблица1[[#This Row],[сумма]]*Таблица1[[#This Row],[коэф]])),
IF((G353="4/16"),((база!$L$5*Таблица1[[#This Row],[сумма]]*Таблица1[[#This Row],[коэф]])),
IF((G353="3/16"),((база!$L$4*Таблица1[[#This Row],[сумма]]*Таблица1[[#This Row],[коэф]])),
IF((G353="4/4"),((база!$I$5*Таблица1[[#This Row],[сумма]]*Таблица1[[#This Row],[коэф]])),
IF(OR(G353="2/4",G353="3/4"),((база!$I$4*Таблица1[[#This Row],[сумма]]*Таблица1[[#This Row],[коэф]])),
IF((G353="5/8"),((база!$J$6*Таблица1[[#This Row],[сумма]]*Таблица1[[#This Row],[коэф]])),
IF((G353="4/8"),((база!$J$5*Таблица1[[#This Row],[сумма]]*Таблица1[[#This Row],[коэф]])),
IF(OR(G353="3/8",G353="2/8"),((база!$J$4*Таблица1[[#This Row],[сумма]]*Таблица1[[#This Row],[коэф]])))))))))))))),
(IF((G353="5/24"),((база!$M$6*Таблица1[[#This Row],[сумма]]*Таблица1[[#This Row],[коэф]])),
IF(OR(G353="4/24",G353="3/24"),((база!$M$5*Таблица1[[#This Row],[сумма]]*Таблица1[[#This Row],[коэф]])),
IF((G353="5/16"),((база!$L$6*Таблица1[[#This Row],[сумма]]*Таблица1[[#This Row],[коэф]])),
IF(OR(G353="4/16",G353="3/16"),((база!$L$5*Таблица1[[#This Row],[сумма]]*Таблица1[[#This Row],[коэф]])),
IF(OR(G353="2/4",G353="3/4",G353="4/4"),((база!$I$5*Таблица1[[#This Row],[сумма]]*Таблица1[[#This Row],[коэф]])),
IF((G353="5/8"),((база!$J$6*Таблица1[[#This Row],[сумма]]*Таблица1[[#This Row],[коэф]])),
IF(OR(G353="4/8",G353="3/8",G353="2/8"),((база!$J$5*Таблица1[[#This Row],[сумма]]*Таблица1[[#This Row],[коэф]])))))))))))</f>
        <v>0</v>
      </c>
      <c r="AP353" s="730" t="b">
        <f>IF(AR353&lt;=3,(IF((G353="5/24"),((база!$M$6*2*Таблица1[[#This Row],[Столбец1]]*Таблица1[[#This Row],[коэф]])),
IF((G353="4/24"),((база!$M$5*2*Таблица1[[#This Row],[Столбец1]]*Таблица1[[#This Row],[коэф]])),
IF((G353="3/24"),((база!$M$4*2*Таблица1[[#This Row],[Столбец1]]*Таблица1[[#This Row],[коэф]])),
IF((G353="5/16"),((база!$L$6*2*Таблица1[[#This Row],[Столбец1]]*Таблица1[[#This Row],[коэф]])),
IF((G353="4/16"),((база!$L$5*2*Таблица1[[#This Row],[Столбец1]]*Таблица1[[#This Row],[коэф]])),
IF((G353="3/16"),((база!$L$4*2*Таблица1[[#This Row],[Столбец1]]*Таблица1[[#This Row],[коэф]])),
IF((G353="4/4"),((база!$I$5*2*Таблица1[[#This Row],[Столбец1]]*Таблица1[[#This Row],[коэф]])),
IF(OR(G353="2/4",G353="3/4"),((база!$I$4*2*Таблица1[[#This Row],[Столбец1]]*Таблица1[[#This Row],[коэф]])),
IF((G353="5/8"),((база!$J$6*2*Таблица1[[#This Row],[Столбец1]]*Таблица1[[#This Row],[коэф]])),
IF((G353="4/8"),((база!$J$5*2*Таблица1[[#This Row],[Столбец1]]*Таблица1[[#This Row],[коэф]])),
IF(OR(G353="3/8",G353="2/8"),((база!$J$4*2*Таблица1[[#This Row],[Столбец1]]*Таблица1[[#This Row],[коэф]])))))))))))))),
(IF((G353="5/24"),((база!$M$6*2*Таблица1[[#This Row],[Столбец1]]*Таблица1[[#This Row],[коэф]])),
IF(OR(G353="4/24",G353="3/24"),((база!$M$5*2*Таблица1[[#This Row],[Столбец1]]*Таблица1[[#This Row],[коэф]])),
IF((G353="5/16"),((база!$L$6*2*Таблица1[[#This Row],[Столбец1]]*Таблица1[[#This Row],[коэф]])),
IF(OR(G353="4/16",G353="3/16"),((база!$L$5*2*Таблица1[[#This Row],[Столбец1]]*Таблица1[[#This Row],[коэф]])),
IF(OR(G353="2/4",G353="3/4",G353="4/4"),((база!$I$5*2*Таблица1[[#This Row],[Столбец1]]*Таблица1[[#This Row],[коэф]])),
IF((G353="5/8"),((база!$J$6*2*Таблица1[[#This Row],[Столбец1]]*Таблица1[[#This Row],[коэф]])),
IF(OR(G353="4/8",G353="3/8",G353="2/8"),((база!$J$5*2*Таблица1[[#This Row],[Столбец1]]*Таблица1[[#This Row],[коэф]])))))))))))</f>
        <v>0</v>
      </c>
      <c r="AQ353" s="712" t="str">
        <f>IFERROR(INDEX(база!T:T, MATCH(F353,база!Q:Q,0)),"")</f>
        <v/>
      </c>
      <c r="AR353" s="208" t="str">
        <f>IFERROR(INDEX(база!D:D, MATCH(F353,база!B:B,0)),"")</f>
        <v/>
      </c>
      <c r="AS353" s="758" t="str">
        <f>IFERROR(INDEX(база!E:E, MATCH(F353,база!B:B,0)),"")</f>
        <v/>
      </c>
    </row>
    <row r="354" spans="1:45" ht="15">
      <c r="A354" s="66" t="str">
        <f t="shared" si="4"/>
        <v>январь</v>
      </c>
      <c r="B354" s="231">
        <v>2024</v>
      </c>
      <c r="C354" s="299"/>
      <c r="D354" s="61"/>
      <c r="E354" s="211"/>
      <c r="F354" s="680"/>
      <c r="G354" s="47"/>
      <c r="H354" s="563"/>
      <c r="I354" s="563"/>
      <c r="J354" s="563"/>
      <c r="K354" s="563"/>
      <c r="L354" s="563"/>
      <c r="M354" s="563"/>
      <c r="N354" s="563"/>
      <c r="O354" s="563"/>
      <c r="P354" s="300"/>
      <c r="Q354" s="563"/>
      <c r="R354" s="563"/>
      <c r="S354" s="563"/>
      <c r="T354" s="563"/>
      <c r="U354" s="563"/>
      <c r="V354" s="563"/>
      <c r="W354" s="563"/>
      <c r="X354" s="563"/>
      <c r="Y354" s="563"/>
      <c r="Z354" s="563"/>
      <c r="AA354" s="563"/>
      <c r="AB354" s="563"/>
      <c r="AC354" s="563"/>
      <c r="AD354" s="48"/>
      <c r="AE354" s="48"/>
      <c r="AF354" s="258"/>
      <c r="AG354" s="48"/>
      <c r="AH354" s="48"/>
      <c r="AI354" s="48"/>
      <c r="AJ354" s="48"/>
      <c r="AK354" s="48"/>
      <c r="AL354" s="51"/>
      <c r="AM354" s="212">
        <f>IF(AQ354=1,SUM(Q354:T354,W354:Z354,AC354:AF354,AI354:AL354),
IF(AQ354=2,SUM(P354,S354:V354,Y354:AB354,AE354:AH354,AK354:AL354),
IF(AQ354=3,SUM(P354:R354,U354:X354,AA354:AD354,AG354:AJ354),SUM(Таблица1[[#This Row],[1]:[31]])-Таблица1[[#This Row],[Столбец1]])))</f>
        <v>0</v>
      </c>
      <c r="AN354" s="778">
        <f t="array" ref="AN354">IF(AQ354=1,SUM(P354,U354:V354,AA354:AB354,AG354:AH354),
IF(AQ354=2,SUM(Q354:R354,W354:X354,AC354:AD354,AI354:AJ354),
IF(AQ354=3,SUM(S354:T354,Y354:Z354,AE354:AF354,AK354:AL354),
SUM(IFERROR(WEEKDAY($H$2:$AL$2,2)&gt;5,)*H354:AL354))))+Таблица1[[#This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54" s="292" t="b">
        <f>IF(AR354&lt;=3,(IF((G354="5/24"),((база!$M$6*Таблица1[[#This Row],[сумма]]*Таблица1[[#This Row],[коэф]])),
IF((G354="4/24"),((база!$M$5*Таблица1[[#This Row],[сумма]]*Таблица1[[#This Row],[коэф]])),
IF((G354="3/24"),((база!$M$4*Таблица1[[#This Row],[сумма]]*Таблица1[[#This Row],[коэф]])),
IF((G354="5/16"),((база!$L$6*Таблица1[[#This Row],[сумма]]*Таблица1[[#This Row],[коэф]])),
IF((G354="4/16"),((база!$L$5*Таблица1[[#This Row],[сумма]]*Таблица1[[#This Row],[коэф]])),
IF((G354="3/16"),((база!$L$4*Таблица1[[#This Row],[сумма]]*Таблица1[[#This Row],[коэф]])),
IF((G354="4/4"),((база!$I$5*Таблица1[[#This Row],[сумма]]*Таблица1[[#This Row],[коэф]])),
IF(OR(G354="2/4",G354="3/4"),((база!$I$4*Таблица1[[#This Row],[сумма]]*Таблица1[[#This Row],[коэф]])),
IF((G354="5/8"),((база!$J$6*Таблица1[[#This Row],[сумма]]*Таблица1[[#This Row],[коэф]])),
IF((G354="4/8"),((база!$J$5*Таблица1[[#This Row],[сумма]]*Таблица1[[#This Row],[коэф]])),
IF(OR(G354="3/8",G354="2/8"),((база!$J$4*Таблица1[[#This Row],[сумма]]*Таблица1[[#This Row],[коэф]])))))))))))))),
(IF((G354="5/24"),((база!$M$6*Таблица1[[#This Row],[сумма]]*Таблица1[[#This Row],[коэф]])),
IF(OR(G354="4/24",G354="3/24"),((база!$M$5*Таблица1[[#This Row],[сумма]]*Таблица1[[#This Row],[коэф]])),
IF((G354="5/16"),((база!$L$6*Таблица1[[#This Row],[сумма]]*Таблица1[[#This Row],[коэф]])),
IF(OR(G354="4/16",G354="3/16"),((база!$L$5*Таблица1[[#This Row],[сумма]]*Таблица1[[#This Row],[коэф]])),
IF(OR(G354="2/4",G354="3/4",G354="4/4"),((база!$I$5*Таблица1[[#This Row],[сумма]]*Таблица1[[#This Row],[коэф]])),
IF((G354="5/8"),((база!$J$6*Таблица1[[#This Row],[сумма]]*Таблица1[[#This Row],[коэф]])),
IF(OR(G354="4/8",G354="3/8",G354="2/8"),((база!$J$5*Таблица1[[#This Row],[сумма]]*Таблица1[[#This Row],[коэф]])))))))))))</f>
        <v>0</v>
      </c>
      <c r="AP354" s="730" t="b">
        <f>IF(AR354&lt;=3,(IF((G354="5/24"),((база!$M$6*2*Таблица1[[#This Row],[Столбец1]]*Таблица1[[#This Row],[коэф]])),
IF((G354="4/24"),((база!$M$5*2*Таблица1[[#This Row],[Столбец1]]*Таблица1[[#This Row],[коэф]])),
IF((G354="3/24"),((база!$M$4*2*Таблица1[[#This Row],[Столбец1]]*Таблица1[[#This Row],[коэф]])),
IF((G354="5/16"),((база!$L$6*2*Таблица1[[#This Row],[Столбец1]]*Таблица1[[#This Row],[коэф]])),
IF((G354="4/16"),((база!$L$5*2*Таблица1[[#This Row],[Столбец1]]*Таблица1[[#This Row],[коэф]])),
IF((G354="3/16"),((база!$L$4*2*Таблица1[[#This Row],[Столбец1]]*Таблица1[[#This Row],[коэф]])),
IF((G354="4/4"),((база!$I$5*2*Таблица1[[#This Row],[Столбец1]]*Таблица1[[#This Row],[коэф]])),
IF(OR(G354="2/4",G354="3/4"),((база!$I$4*2*Таблица1[[#This Row],[Столбец1]]*Таблица1[[#This Row],[коэф]])),
IF((G354="5/8"),((база!$J$6*2*Таблица1[[#This Row],[Столбец1]]*Таблица1[[#This Row],[коэф]])),
IF((G354="4/8"),((база!$J$5*2*Таблица1[[#This Row],[Столбец1]]*Таблица1[[#This Row],[коэф]])),
IF(OR(G354="3/8",G354="2/8"),((база!$J$4*2*Таблица1[[#This Row],[Столбец1]]*Таблица1[[#This Row],[коэф]])))))))))))))),
(IF((G354="5/24"),((база!$M$6*2*Таблица1[[#This Row],[Столбец1]]*Таблица1[[#This Row],[коэф]])),
IF(OR(G354="4/24",G354="3/24"),((база!$M$5*2*Таблица1[[#This Row],[Столбец1]]*Таблица1[[#This Row],[коэф]])),
IF((G354="5/16"),((база!$L$6*2*Таблица1[[#This Row],[Столбец1]]*Таблица1[[#This Row],[коэф]])),
IF(OR(G354="4/16",G354="3/16"),((база!$L$5*2*Таблица1[[#This Row],[Столбец1]]*Таблица1[[#This Row],[коэф]])),
IF(OR(G354="2/4",G354="3/4",G354="4/4"),((база!$I$5*2*Таблица1[[#This Row],[Столбец1]]*Таблица1[[#This Row],[коэф]])),
IF((G354="5/8"),((база!$J$6*2*Таблица1[[#This Row],[Столбец1]]*Таблица1[[#This Row],[коэф]])),
IF(OR(G354="4/8",G354="3/8",G354="2/8"),((база!$J$5*2*Таблица1[[#This Row],[Столбец1]]*Таблица1[[#This Row],[коэф]])))))))))))</f>
        <v>0</v>
      </c>
      <c r="AQ354" s="712" t="str">
        <f>IFERROR(INDEX(база!T:T, MATCH(F354,база!Q:Q,0)),"")</f>
        <v/>
      </c>
      <c r="AR354" s="208" t="str">
        <f>IFERROR(INDEX(база!D:D, MATCH(F354,база!B:B,0)),"")</f>
        <v/>
      </c>
      <c r="AS354" s="758" t="str">
        <f>IFERROR(INDEX(база!E:E, MATCH(F354,база!B:B,0)),"")</f>
        <v/>
      </c>
    </row>
    <row r="355" spans="1:45" ht="15">
      <c r="A355" s="66" t="str">
        <f t="shared" si="4"/>
        <v>январь</v>
      </c>
      <c r="B355" s="231">
        <v>2024</v>
      </c>
      <c r="C355" s="299"/>
      <c r="D355" s="61"/>
      <c r="E355" s="211"/>
      <c r="F355" s="680"/>
      <c r="G355" s="47"/>
      <c r="H355" s="563"/>
      <c r="I355" s="563"/>
      <c r="J355" s="563"/>
      <c r="K355" s="563"/>
      <c r="L355" s="563"/>
      <c r="M355" s="563"/>
      <c r="N355" s="563"/>
      <c r="O355" s="563"/>
      <c r="P355" s="300"/>
      <c r="Q355" s="563"/>
      <c r="R355" s="563"/>
      <c r="S355" s="563"/>
      <c r="T355" s="563"/>
      <c r="U355" s="563"/>
      <c r="V355" s="563"/>
      <c r="W355" s="563"/>
      <c r="X355" s="563"/>
      <c r="Y355" s="563"/>
      <c r="Z355" s="563"/>
      <c r="AA355" s="563"/>
      <c r="AB355" s="563"/>
      <c r="AC355" s="563"/>
      <c r="AD355" s="48"/>
      <c r="AE355" s="48"/>
      <c r="AF355" s="258"/>
      <c r="AG355" s="48"/>
      <c r="AH355" s="48"/>
      <c r="AI355" s="258"/>
      <c r="AJ355" s="258"/>
      <c r="AK355" s="258"/>
      <c r="AL355" s="258"/>
      <c r="AM355" s="212">
        <f>IF(AQ355=1,SUM(Q355:T355,W355:Z355,AC355:AF355,AI355:AL355),
IF(AQ355=2,SUM(P355,S355:V355,Y355:AB355,AE355:AH355,AK355:AL355),
IF(AQ355=3,SUM(P355:R355,U355:X355,AA355:AD355,AG355:AJ355),SUM(Таблица1[[#This Row],[1]:[31]])-Таблица1[[#This Row],[Столбец1]])))</f>
        <v>0</v>
      </c>
      <c r="AN355" s="778">
        <f t="array" ref="AN355">IF(AQ355=1,SUM(P355,U355:V355,AA355:AB355,AG355:AH355),
IF(AQ355=2,SUM(Q355:R355,W355:X355,AC355:AD355,AI355:AJ355),
IF(AQ355=3,SUM(S355:T355,Y355:Z355,AE355:AF355,AK355:AL355),
SUM(IFERROR(WEEKDAY($H$2:$AL$2,2)&gt;5,)*H355:AL355))))+Таблица1[[#This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55" s="292" t="b">
        <f>IF(AR355&lt;=3,(IF((G355="5/24"),((база!$M$6*Таблица1[[#This Row],[сумма]]*Таблица1[[#This Row],[коэф]])),
IF((G355="4/24"),((база!$M$5*Таблица1[[#This Row],[сумма]]*Таблица1[[#This Row],[коэф]])),
IF((G355="3/24"),((база!$M$4*Таблица1[[#This Row],[сумма]]*Таблица1[[#This Row],[коэф]])),
IF((G355="5/16"),((база!$L$6*Таблица1[[#This Row],[сумма]]*Таблица1[[#This Row],[коэф]])),
IF((G355="4/16"),((база!$L$5*Таблица1[[#This Row],[сумма]]*Таблица1[[#This Row],[коэф]])),
IF((G355="3/16"),((база!$L$4*Таблица1[[#This Row],[сумма]]*Таблица1[[#This Row],[коэф]])),
IF((G355="4/4"),((база!$I$5*Таблица1[[#This Row],[сумма]]*Таблица1[[#This Row],[коэф]])),
IF(OR(G355="2/4",G355="3/4"),((база!$I$4*Таблица1[[#This Row],[сумма]]*Таблица1[[#This Row],[коэф]])),
IF((G355="5/8"),((база!$J$6*Таблица1[[#This Row],[сумма]]*Таблица1[[#This Row],[коэф]])),
IF((G355="4/8"),((база!$J$5*Таблица1[[#This Row],[сумма]]*Таблица1[[#This Row],[коэф]])),
IF(OR(G355="3/8",G355="2/8"),((база!$J$4*Таблица1[[#This Row],[сумма]]*Таблица1[[#This Row],[коэф]])))))))))))))),
(IF((G355="5/24"),((база!$M$6*Таблица1[[#This Row],[сумма]]*Таблица1[[#This Row],[коэф]])),
IF(OR(G355="4/24",G355="3/24"),((база!$M$5*Таблица1[[#This Row],[сумма]]*Таблица1[[#This Row],[коэф]])),
IF((G355="5/16"),((база!$L$6*Таблица1[[#This Row],[сумма]]*Таблица1[[#This Row],[коэф]])),
IF(OR(G355="4/16",G355="3/16"),((база!$L$5*Таблица1[[#This Row],[сумма]]*Таблица1[[#This Row],[коэф]])),
IF(OR(G355="2/4",G355="3/4",G355="4/4"),((база!$I$5*Таблица1[[#This Row],[сумма]]*Таблица1[[#This Row],[коэф]])),
IF((G355="5/8"),((база!$J$6*Таблица1[[#This Row],[сумма]]*Таблица1[[#This Row],[коэф]])),
IF(OR(G355="4/8",G355="3/8",G355="2/8"),((база!$J$5*Таблица1[[#This Row],[сумма]]*Таблица1[[#This Row],[коэф]])))))))))))</f>
        <v>0</v>
      </c>
      <c r="AP355" s="730" t="b">
        <f>IF(AR355&lt;=3,(IF((G355="5/24"),((база!$M$6*2*Таблица1[[#This Row],[Столбец1]]*Таблица1[[#This Row],[коэф]])),
IF((G355="4/24"),((база!$M$5*2*Таблица1[[#This Row],[Столбец1]]*Таблица1[[#This Row],[коэф]])),
IF((G355="3/24"),((база!$M$4*2*Таблица1[[#This Row],[Столбец1]]*Таблица1[[#This Row],[коэф]])),
IF((G355="5/16"),((база!$L$6*2*Таблица1[[#This Row],[Столбец1]]*Таблица1[[#This Row],[коэф]])),
IF((G355="4/16"),((база!$L$5*2*Таблица1[[#This Row],[Столбец1]]*Таблица1[[#This Row],[коэф]])),
IF((G355="3/16"),((база!$L$4*2*Таблица1[[#This Row],[Столбец1]]*Таблица1[[#This Row],[коэф]])),
IF((G355="4/4"),((база!$I$5*2*Таблица1[[#This Row],[Столбец1]]*Таблица1[[#This Row],[коэф]])),
IF(OR(G355="2/4",G355="3/4"),((база!$I$4*2*Таблица1[[#This Row],[Столбец1]]*Таблица1[[#This Row],[коэф]])),
IF((G355="5/8"),((база!$J$6*2*Таблица1[[#This Row],[Столбец1]]*Таблица1[[#This Row],[коэф]])),
IF((G355="4/8"),((база!$J$5*2*Таблица1[[#This Row],[Столбец1]]*Таблица1[[#This Row],[коэф]])),
IF(OR(G355="3/8",G355="2/8"),((база!$J$4*2*Таблица1[[#This Row],[Столбец1]]*Таблица1[[#This Row],[коэф]])))))))))))))),
(IF((G355="5/24"),((база!$M$6*2*Таблица1[[#This Row],[Столбец1]]*Таблица1[[#This Row],[коэф]])),
IF(OR(G355="4/24",G355="3/24"),((база!$M$5*2*Таблица1[[#This Row],[Столбец1]]*Таблица1[[#This Row],[коэф]])),
IF((G355="5/16"),((база!$L$6*2*Таблица1[[#This Row],[Столбец1]]*Таблица1[[#This Row],[коэф]])),
IF(OR(G355="4/16",G355="3/16"),((база!$L$5*2*Таблица1[[#This Row],[Столбец1]]*Таблица1[[#This Row],[коэф]])),
IF(OR(G355="2/4",G355="3/4",G355="4/4"),((база!$I$5*2*Таблица1[[#This Row],[Столбец1]]*Таблица1[[#This Row],[коэф]])),
IF((G355="5/8"),((база!$J$6*2*Таблица1[[#This Row],[Столбец1]]*Таблица1[[#This Row],[коэф]])),
IF(OR(G355="4/8",G355="3/8",G355="2/8"),((база!$J$5*2*Таблица1[[#This Row],[Столбец1]]*Таблица1[[#This Row],[коэф]])))))))))))</f>
        <v>0</v>
      </c>
      <c r="AQ355" s="712" t="str">
        <f>IFERROR(INDEX(база!T:T, MATCH(F355,база!Q:Q,0)),"")</f>
        <v/>
      </c>
      <c r="AR355" s="208" t="str">
        <f>IFERROR(INDEX(база!D:D, MATCH(F355,база!B:B,0)),"")</f>
        <v/>
      </c>
      <c r="AS355" s="758" t="str">
        <f>IFERROR(INDEX(база!E:E, MATCH(F355,база!B:B,0)),"")</f>
        <v/>
      </c>
    </row>
    <row r="356" spans="1:45" ht="15">
      <c r="A356" s="66" t="str">
        <f t="shared" si="4"/>
        <v>январь</v>
      </c>
      <c r="B356" s="231">
        <v>2024</v>
      </c>
      <c r="C356" s="299"/>
      <c r="D356" s="61"/>
      <c r="E356" s="211"/>
      <c r="F356" s="680"/>
      <c r="G356" s="47"/>
      <c r="H356" s="563"/>
      <c r="I356" s="563"/>
      <c r="J356" s="563"/>
      <c r="K356" s="563"/>
      <c r="L356" s="563"/>
      <c r="M356" s="563"/>
      <c r="N356" s="563"/>
      <c r="O356" s="563"/>
      <c r="P356" s="300"/>
      <c r="Q356" s="563"/>
      <c r="R356" s="563"/>
      <c r="S356" s="563"/>
      <c r="T356" s="563"/>
      <c r="U356" s="563"/>
      <c r="V356" s="563"/>
      <c r="W356" s="563"/>
      <c r="X356" s="563"/>
      <c r="Y356" s="563"/>
      <c r="Z356" s="563"/>
      <c r="AA356" s="563"/>
      <c r="AB356" s="563"/>
      <c r="AC356" s="563"/>
      <c r="AD356" s="48"/>
      <c r="AE356" s="48"/>
      <c r="AF356" s="258"/>
      <c r="AG356" s="48"/>
      <c r="AH356" s="48"/>
      <c r="AI356" s="48"/>
      <c r="AJ356" s="48"/>
      <c r="AK356" s="48"/>
      <c r="AL356" s="51"/>
      <c r="AM356" s="212">
        <f>IF(AQ356=1,SUM(Q356:T356,W356:Z356,AC356:AF356,AI356:AL356),
IF(AQ356=2,SUM(P356,S356:V356,Y356:AB356,AE356:AH356,AK356:AL356),
IF(AQ356=3,SUM(P356:R356,U356:X356,AA356:AD356,AG356:AJ356),SUM(Таблица1[[#This Row],[1]:[31]])-Таблица1[[#This Row],[Столбец1]])))</f>
        <v>0</v>
      </c>
      <c r="AN356" s="778">
        <f t="array" ref="AN356">IF(AQ356=1,SUM(P356,U356:V356,AA356:AB356,AG356:AH356),
IF(AQ356=2,SUM(Q356:R356,W356:X356,AC356:AD356,AI356:AJ356),
IF(AQ356=3,SUM(S356:T356,Y356:Z356,AE356:AF356,AK356:AL356),
SUM(IFERROR(WEEKDAY($H$2:$AL$2,2)&gt;5,)*H356:AL356))))+Таблица1[[#This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56" s="292" t="b">
        <f>IF(AR356&lt;=3,(IF((G356="5/24"),((база!$M$6*Таблица1[[#This Row],[сумма]]*Таблица1[[#This Row],[коэф]])),
IF((G356="4/24"),((база!$M$5*Таблица1[[#This Row],[сумма]]*Таблица1[[#This Row],[коэф]])),
IF((G356="3/24"),((база!$M$4*Таблица1[[#This Row],[сумма]]*Таблица1[[#This Row],[коэф]])),
IF((G356="5/16"),((база!$L$6*Таблица1[[#This Row],[сумма]]*Таблица1[[#This Row],[коэф]])),
IF((G356="4/16"),((база!$L$5*Таблица1[[#This Row],[сумма]]*Таблица1[[#This Row],[коэф]])),
IF((G356="3/16"),((база!$L$4*Таблица1[[#This Row],[сумма]]*Таблица1[[#This Row],[коэф]])),
IF((G356="4/4"),((база!$I$5*Таблица1[[#This Row],[сумма]]*Таблица1[[#This Row],[коэф]])),
IF(OR(G356="2/4",G356="3/4"),((база!$I$4*Таблица1[[#This Row],[сумма]]*Таблица1[[#This Row],[коэф]])),
IF((G356="5/8"),((база!$J$6*Таблица1[[#This Row],[сумма]]*Таблица1[[#This Row],[коэф]])),
IF((G356="4/8"),((база!$J$5*Таблица1[[#This Row],[сумма]]*Таблица1[[#This Row],[коэф]])),
IF(OR(G356="3/8",G356="2/8"),((база!$J$4*Таблица1[[#This Row],[сумма]]*Таблица1[[#This Row],[коэф]])))))))))))))),
(IF((G356="5/24"),((база!$M$6*Таблица1[[#This Row],[сумма]]*Таблица1[[#This Row],[коэф]])),
IF(OR(G356="4/24",G356="3/24"),((база!$M$5*Таблица1[[#This Row],[сумма]]*Таблица1[[#This Row],[коэф]])),
IF((G356="5/16"),((база!$L$6*Таблица1[[#This Row],[сумма]]*Таблица1[[#This Row],[коэф]])),
IF(OR(G356="4/16",G356="3/16"),((база!$L$5*Таблица1[[#This Row],[сумма]]*Таблица1[[#This Row],[коэф]])),
IF(OR(G356="2/4",G356="3/4",G356="4/4"),((база!$I$5*Таблица1[[#This Row],[сумма]]*Таблица1[[#This Row],[коэф]])),
IF((G356="5/8"),((база!$J$6*Таблица1[[#This Row],[сумма]]*Таблица1[[#This Row],[коэф]])),
IF(OR(G356="4/8",G356="3/8",G356="2/8"),((база!$J$5*Таблица1[[#This Row],[сумма]]*Таблица1[[#This Row],[коэф]])))))))))))</f>
        <v>0</v>
      </c>
      <c r="AP356" s="730" t="b">
        <f>IF(AR356&lt;=3,(IF((G356="5/24"),((база!$M$6*2*Таблица1[[#This Row],[Столбец1]]*Таблица1[[#This Row],[коэф]])),
IF((G356="4/24"),((база!$M$5*2*Таблица1[[#This Row],[Столбец1]]*Таблица1[[#This Row],[коэф]])),
IF((G356="3/24"),((база!$M$4*2*Таблица1[[#This Row],[Столбец1]]*Таблица1[[#This Row],[коэф]])),
IF((G356="5/16"),((база!$L$6*2*Таблица1[[#This Row],[Столбец1]]*Таблица1[[#This Row],[коэф]])),
IF((G356="4/16"),((база!$L$5*2*Таблица1[[#This Row],[Столбец1]]*Таблица1[[#This Row],[коэф]])),
IF((G356="3/16"),((база!$L$4*2*Таблица1[[#This Row],[Столбец1]]*Таблица1[[#This Row],[коэф]])),
IF((G356="4/4"),((база!$I$5*2*Таблица1[[#This Row],[Столбец1]]*Таблица1[[#This Row],[коэф]])),
IF(OR(G356="2/4",G356="3/4"),((база!$I$4*2*Таблица1[[#This Row],[Столбец1]]*Таблица1[[#This Row],[коэф]])),
IF((G356="5/8"),((база!$J$6*2*Таблица1[[#This Row],[Столбец1]]*Таблица1[[#This Row],[коэф]])),
IF((G356="4/8"),((база!$J$5*2*Таблица1[[#This Row],[Столбец1]]*Таблица1[[#This Row],[коэф]])),
IF(OR(G356="3/8",G356="2/8"),((база!$J$4*2*Таблица1[[#This Row],[Столбец1]]*Таблица1[[#This Row],[коэф]])))))))))))))),
(IF((G356="5/24"),((база!$M$6*2*Таблица1[[#This Row],[Столбец1]]*Таблица1[[#This Row],[коэф]])),
IF(OR(G356="4/24",G356="3/24"),((база!$M$5*2*Таблица1[[#This Row],[Столбец1]]*Таблица1[[#This Row],[коэф]])),
IF((G356="5/16"),((база!$L$6*2*Таблица1[[#This Row],[Столбец1]]*Таблица1[[#This Row],[коэф]])),
IF(OR(G356="4/16",G356="3/16"),((база!$L$5*2*Таблица1[[#This Row],[Столбец1]]*Таблица1[[#This Row],[коэф]])),
IF(OR(G356="2/4",G356="3/4",G356="4/4"),((база!$I$5*2*Таблица1[[#This Row],[Столбец1]]*Таблица1[[#This Row],[коэф]])),
IF((G356="5/8"),((база!$J$6*2*Таблица1[[#This Row],[Столбец1]]*Таблица1[[#This Row],[коэф]])),
IF(OR(G356="4/8",G356="3/8",G356="2/8"),((база!$J$5*2*Таблица1[[#This Row],[Столбец1]]*Таблица1[[#This Row],[коэф]])))))))))))</f>
        <v>0</v>
      </c>
      <c r="AQ356" s="712" t="str">
        <f>IFERROR(INDEX(база!T:T, MATCH(F356,база!Q:Q,0)),"")</f>
        <v/>
      </c>
      <c r="AR356" s="208" t="str">
        <f>IFERROR(INDEX(база!D:D, MATCH(F356,база!B:B,0)),"")</f>
        <v/>
      </c>
      <c r="AS356" s="758" t="str">
        <f>IFERROR(INDEX(база!E:E, MATCH(F356,база!B:B,0)),"")</f>
        <v/>
      </c>
    </row>
    <row r="357" spans="1:45" ht="15">
      <c r="A357" s="66" t="str">
        <f t="shared" si="4"/>
        <v>январь</v>
      </c>
      <c r="B357" s="231">
        <v>2024</v>
      </c>
      <c r="C357" s="299"/>
      <c r="D357" s="61"/>
      <c r="E357" s="211"/>
      <c r="F357" s="680"/>
      <c r="G357" s="47"/>
      <c r="H357" s="563"/>
      <c r="I357" s="563"/>
      <c r="J357" s="563"/>
      <c r="K357" s="563"/>
      <c r="L357" s="563"/>
      <c r="M357" s="563"/>
      <c r="N357" s="563"/>
      <c r="O357" s="563"/>
      <c r="P357" s="300"/>
      <c r="Q357" s="563"/>
      <c r="R357" s="563"/>
      <c r="S357" s="563"/>
      <c r="T357" s="563"/>
      <c r="U357" s="563"/>
      <c r="V357" s="563"/>
      <c r="W357" s="563"/>
      <c r="X357" s="563"/>
      <c r="Y357" s="563"/>
      <c r="Z357" s="563"/>
      <c r="AA357" s="563"/>
      <c r="AB357" s="563"/>
      <c r="AC357" s="563"/>
      <c r="AD357" s="48"/>
      <c r="AE357" s="48"/>
      <c r="AF357" s="258"/>
      <c r="AG357" s="48"/>
      <c r="AH357" s="48"/>
      <c r="AI357" s="258"/>
      <c r="AJ357" s="258"/>
      <c r="AK357" s="258"/>
      <c r="AL357" s="258"/>
      <c r="AM357" s="212">
        <f>IF(AQ357=1,SUM(Q357:T357,W357:Z357,AC357:AF357,AI357:AL357),
IF(AQ357=2,SUM(P357,S357:V357,Y357:AB357,AE357:AH357,AK357:AL357),
IF(AQ357=3,SUM(P357:R357,U357:X357,AA357:AD357,AG357:AJ357),SUM(Таблица1[[#This Row],[1]:[31]])-Таблица1[[#This Row],[Столбец1]])))</f>
        <v>0</v>
      </c>
      <c r="AN357" s="778">
        <f t="array" ref="AN357">IF(AQ357=1,SUM(P357,U357:V357,AA357:AB357,AG357:AH357),
IF(AQ357=2,SUM(Q357:R357,W357:X357,AC357:AD357,AI357:AJ357),
IF(AQ357=3,SUM(S357:T357,Y357:Z357,AE357:AF357,AK357:AL357),
SUM(IFERROR(WEEKDAY($H$2:$AL$2,2)&gt;5,)*H357:AL357))))+Таблица1[[#This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57" s="292" t="b">
        <f>IF(AR357&lt;=3,(IF((G357="5/24"),((база!$M$6*Таблица1[[#This Row],[сумма]]*Таблица1[[#This Row],[коэф]])),
IF((G357="4/24"),((база!$M$5*Таблица1[[#This Row],[сумма]]*Таблица1[[#This Row],[коэф]])),
IF((G357="3/24"),((база!$M$4*Таблица1[[#This Row],[сумма]]*Таблица1[[#This Row],[коэф]])),
IF((G357="5/16"),((база!$L$6*Таблица1[[#This Row],[сумма]]*Таблица1[[#This Row],[коэф]])),
IF((G357="4/16"),((база!$L$5*Таблица1[[#This Row],[сумма]]*Таблица1[[#This Row],[коэф]])),
IF((G357="3/16"),((база!$L$4*Таблица1[[#This Row],[сумма]]*Таблица1[[#This Row],[коэф]])),
IF((G357="4/4"),((база!$I$5*Таблица1[[#This Row],[сумма]]*Таблица1[[#This Row],[коэф]])),
IF(OR(G357="2/4",G357="3/4"),((база!$I$4*Таблица1[[#This Row],[сумма]]*Таблица1[[#This Row],[коэф]])),
IF((G357="5/8"),((база!$J$6*Таблица1[[#This Row],[сумма]]*Таблица1[[#This Row],[коэф]])),
IF((G357="4/8"),((база!$J$5*Таблица1[[#This Row],[сумма]]*Таблица1[[#This Row],[коэф]])),
IF(OR(G357="3/8",G357="2/8"),((база!$J$4*Таблица1[[#This Row],[сумма]]*Таблица1[[#This Row],[коэф]])))))))))))))),
(IF((G357="5/24"),((база!$M$6*Таблица1[[#This Row],[сумма]]*Таблица1[[#This Row],[коэф]])),
IF(OR(G357="4/24",G357="3/24"),((база!$M$5*Таблица1[[#This Row],[сумма]]*Таблица1[[#This Row],[коэф]])),
IF((G357="5/16"),((база!$L$6*Таблица1[[#This Row],[сумма]]*Таблица1[[#This Row],[коэф]])),
IF(OR(G357="4/16",G357="3/16"),((база!$L$5*Таблица1[[#This Row],[сумма]]*Таблица1[[#This Row],[коэф]])),
IF(OR(G357="2/4",G357="3/4",G357="4/4"),((база!$I$5*Таблица1[[#This Row],[сумма]]*Таблица1[[#This Row],[коэф]])),
IF((G357="5/8"),((база!$J$6*Таблица1[[#This Row],[сумма]]*Таблица1[[#This Row],[коэф]])),
IF(OR(G357="4/8",G357="3/8",G357="2/8"),((база!$J$5*Таблица1[[#This Row],[сумма]]*Таблица1[[#This Row],[коэф]])))))))))))</f>
        <v>0</v>
      </c>
      <c r="AP357" s="730" t="b">
        <f>IF(AR357&lt;=3,(IF((G357="5/24"),((база!$M$6*2*Таблица1[[#This Row],[Столбец1]]*Таблица1[[#This Row],[коэф]])),
IF((G357="4/24"),((база!$M$5*2*Таблица1[[#This Row],[Столбец1]]*Таблица1[[#This Row],[коэф]])),
IF((G357="3/24"),((база!$M$4*2*Таблица1[[#This Row],[Столбец1]]*Таблица1[[#This Row],[коэф]])),
IF((G357="5/16"),((база!$L$6*2*Таблица1[[#This Row],[Столбец1]]*Таблица1[[#This Row],[коэф]])),
IF((G357="4/16"),((база!$L$5*2*Таблица1[[#This Row],[Столбец1]]*Таблица1[[#This Row],[коэф]])),
IF((G357="3/16"),((база!$L$4*2*Таблица1[[#This Row],[Столбец1]]*Таблица1[[#This Row],[коэф]])),
IF((G357="4/4"),((база!$I$5*2*Таблица1[[#This Row],[Столбец1]]*Таблица1[[#This Row],[коэф]])),
IF(OR(G357="2/4",G357="3/4"),((база!$I$4*2*Таблица1[[#This Row],[Столбец1]]*Таблица1[[#This Row],[коэф]])),
IF((G357="5/8"),((база!$J$6*2*Таблица1[[#This Row],[Столбец1]]*Таблица1[[#This Row],[коэф]])),
IF((G357="4/8"),((база!$J$5*2*Таблица1[[#This Row],[Столбец1]]*Таблица1[[#This Row],[коэф]])),
IF(OR(G357="3/8",G357="2/8"),((база!$J$4*2*Таблица1[[#This Row],[Столбец1]]*Таблица1[[#This Row],[коэф]])))))))))))))),
(IF((G357="5/24"),((база!$M$6*2*Таблица1[[#This Row],[Столбец1]]*Таблица1[[#This Row],[коэф]])),
IF(OR(G357="4/24",G357="3/24"),((база!$M$5*2*Таблица1[[#This Row],[Столбец1]]*Таблица1[[#This Row],[коэф]])),
IF((G357="5/16"),((база!$L$6*2*Таблица1[[#This Row],[Столбец1]]*Таблица1[[#This Row],[коэф]])),
IF(OR(G357="4/16",G357="3/16"),((база!$L$5*2*Таблица1[[#This Row],[Столбец1]]*Таблица1[[#This Row],[коэф]])),
IF(OR(G357="2/4",G357="3/4",G357="4/4"),((база!$I$5*2*Таблица1[[#This Row],[Столбец1]]*Таблица1[[#This Row],[коэф]])),
IF((G357="5/8"),((база!$J$6*2*Таблица1[[#This Row],[Столбец1]]*Таблица1[[#This Row],[коэф]])),
IF(OR(G357="4/8",G357="3/8",G357="2/8"),((база!$J$5*2*Таблица1[[#This Row],[Столбец1]]*Таблица1[[#This Row],[коэф]])))))))))))</f>
        <v>0</v>
      </c>
      <c r="AQ357" s="712" t="str">
        <f>IFERROR(INDEX(база!T:T, MATCH(F357,база!Q:Q,0)),"")</f>
        <v/>
      </c>
      <c r="AR357" s="208" t="str">
        <f>IFERROR(INDEX(база!D:D, MATCH(F357,база!B:B,0)),"")</f>
        <v/>
      </c>
      <c r="AS357" s="758" t="str">
        <f>IFERROR(INDEX(база!E:E, MATCH(F357,база!B:B,0)),"")</f>
        <v/>
      </c>
    </row>
    <row r="358" spans="1:45" ht="15">
      <c r="A358" s="66" t="str">
        <f t="shared" si="4"/>
        <v>январь</v>
      </c>
      <c r="B358" s="231">
        <v>2024</v>
      </c>
      <c r="C358" s="299"/>
      <c r="D358" s="61"/>
      <c r="E358" s="211"/>
      <c r="F358" s="680"/>
      <c r="G358" s="47"/>
      <c r="H358" s="563"/>
      <c r="I358" s="563"/>
      <c r="J358" s="563"/>
      <c r="K358" s="563"/>
      <c r="L358" s="563"/>
      <c r="M358" s="563"/>
      <c r="N358" s="563"/>
      <c r="O358" s="563"/>
      <c r="P358" s="300"/>
      <c r="Q358" s="563"/>
      <c r="R358" s="563"/>
      <c r="S358" s="563"/>
      <c r="T358" s="563"/>
      <c r="U358" s="563"/>
      <c r="V358" s="563"/>
      <c r="W358" s="563"/>
      <c r="X358" s="563"/>
      <c r="Y358" s="563"/>
      <c r="Z358" s="563"/>
      <c r="AA358" s="563"/>
      <c r="AB358" s="563"/>
      <c r="AC358" s="563"/>
      <c r="AD358" s="48"/>
      <c r="AE358" s="48"/>
      <c r="AF358" s="258"/>
      <c r="AG358" s="48"/>
      <c r="AH358" s="48"/>
      <c r="AI358" s="48"/>
      <c r="AJ358" s="48"/>
      <c r="AK358" s="48"/>
      <c r="AL358" s="51"/>
      <c r="AM358" s="212">
        <f>IF(AQ358=1,SUM(Q358:T358,W358:Z358,AC358:AF358,AI358:AL358),
IF(AQ358=2,SUM(P358,S358:V358,Y358:AB358,AE358:AH358,AK358:AL358),
IF(AQ358=3,SUM(P358:R358,U358:X358,AA358:AD358,AG358:AJ358),SUM(Таблица1[[#This Row],[1]:[31]])-Таблица1[[#This Row],[Столбец1]])))</f>
        <v>0</v>
      </c>
      <c r="AN358" s="778">
        <f t="array" ref="AN358">IF(AQ358=1,SUM(P358,U358:V358,AA358:AB358,AG358:AH358),
IF(AQ358=2,SUM(Q358:R358,W358:X358,AC358:AD358,AI358:AJ358),
IF(AQ358=3,SUM(S358:T358,Y358:Z358,AE358:AF358,AK358:AL358),
SUM(IFERROR(WEEKDAY($H$2:$AL$2,2)&gt;5,)*H358:AL358))))+Таблица1[[#This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58" s="292" t="b">
        <f>IF(AR358&lt;=3,(IF((G358="5/24"),((база!$M$6*Таблица1[[#This Row],[сумма]]*Таблица1[[#This Row],[коэф]])),
IF((G358="4/24"),((база!$M$5*Таблица1[[#This Row],[сумма]]*Таблица1[[#This Row],[коэф]])),
IF((G358="3/24"),((база!$M$4*Таблица1[[#This Row],[сумма]]*Таблица1[[#This Row],[коэф]])),
IF((G358="5/16"),((база!$L$6*Таблица1[[#This Row],[сумма]]*Таблица1[[#This Row],[коэф]])),
IF((G358="4/16"),((база!$L$5*Таблица1[[#This Row],[сумма]]*Таблица1[[#This Row],[коэф]])),
IF((G358="3/16"),((база!$L$4*Таблица1[[#This Row],[сумма]]*Таблица1[[#This Row],[коэф]])),
IF((G358="4/4"),((база!$I$5*Таблица1[[#This Row],[сумма]]*Таблица1[[#This Row],[коэф]])),
IF(OR(G358="2/4",G358="3/4"),((база!$I$4*Таблица1[[#This Row],[сумма]]*Таблица1[[#This Row],[коэф]])),
IF((G358="5/8"),((база!$J$6*Таблица1[[#This Row],[сумма]]*Таблица1[[#This Row],[коэф]])),
IF((G358="4/8"),((база!$J$5*Таблица1[[#This Row],[сумма]]*Таблица1[[#This Row],[коэф]])),
IF(OR(G358="3/8",G358="2/8"),((база!$J$4*Таблица1[[#This Row],[сумма]]*Таблица1[[#This Row],[коэф]])))))))))))))),
(IF((G358="5/24"),((база!$M$6*Таблица1[[#This Row],[сумма]]*Таблица1[[#This Row],[коэф]])),
IF(OR(G358="4/24",G358="3/24"),((база!$M$5*Таблица1[[#This Row],[сумма]]*Таблица1[[#This Row],[коэф]])),
IF((G358="5/16"),((база!$L$6*Таблица1[[#This Row],[сумма]]*Таблица1[[#This Row],[коэф]])),
IF(OR(G358="4/16",G358="3/16"),((база!$L$5*Таблица1[[#This Row],[сумма]]*Таблица1[[#This Row],[коэф]])),
IF(OR(G358="2/4",G358="3/4",G358="4/4"),((база!$I$5*Таблица1[[#This Row],[сумма]]*Таблица1[[#This Row],[коэф]])),
IF((G358="5/8"),((база!$J$6*Таблица1[[#This Row],[сумма]]*Таблица1[[#This Row],[коэф]])),
IF(OR(G358="4/8",G358="3/8",G358="2/8"),((база!$J$5*Таблица1[[#This Row],[сумма]]*Таблица1[[#This Row],[коэф]])))))))))))</f>
        <v>0</v>
      </c>
      <c r="AP358" s="730" t="b">
        <f>IF(AR358&lt;=3,(IF((G358="5/24"),((база!$M$6*2*Таблица1[[#This Row],[Столбец1]]*Таблица1[[#This Row],[коэф]])),
IF((G358="4/24"),((база!$M$5*2*Таблица1[[#This Row],[Столбец1]]*Таблица1[[#This Row],[коэф]])),
IF((G358="3/24"),((база!$M$4*2*Таблица1[[#This Row],[Столбец1]]*Таблица1[[#This Row],[коэф]])),
IF((G358="5/16"),((база!$L$6*2*Таблица1[[#This Row],[Столбец1]]*Таблица1[[#This Row],[коэф]])),
IF((G358="4/16"),((база!$L$5*2*Таблица1[[#This Row],[Столбец1]]*Таблица1[[#This Row],[коэф]])),
IF((G358="3/16"),((база!$L$4*2*Таблица1[[#This Row],[Столбец1]]*Таблица1[[#This Row],[коэф]])),
IF((G358="4/4"),((база!$I$5*2*Таблица1[[#This Row],[Столбец1]]*Таблица1[[#This Row],[коэф]])),
IF(OR(G358="2/4",G358="3/4"),((база!$I$4*2*Таблица1[[#This Row],[Столбец1]]*Таблица1[[#This Row],[коэф]])),
IF((G358="5/8"),((база!$J$6*2*Таблица1[[#This Row],[Столбец1]]*Таблица1[[#This Row],[коэф]])),
IF((G358="4/8"),((база!$J$5*2*Таблица1[[#This Row],[Столбец1]]*Таблица1[[#This Row],[коэф]])),
IF(OR(G358="3/8",G358="2/8"),((база!$J$4*2*Таблица1[[#This Row],[Столбец1]]*Таблица1[[#This Row],[коэф]])))))))))))))),
(IF((G358="5/24"),((база!$M$6*2*Таблица1[[#This Row],[Столбец1]]*Таблица1[[#This Row],[коэф]])),
IF(OR(G358="4/24",G358="3/24"),((база!$M$5*2*Таблица1[[#This Row],[Столбец1]]*Таблица1[[#This Row],[коэф]])),
IF((G358="5/16"),((база!$L$6*2*Таблица1[[#This Row],[Столбец1]]*Таблица1[[#This Row],[коэф]])),
IF(OR(G358="4/16",G358="3/16"),((база!$L$5*2*Таблица1[[#This Row],[Столбец1]]*Таблица1[[#This Row],[коэф]])),
IF(OR(G358="2/4",G358="3/4",G358="4/4"),((база!$I$5*2*Таблица1[[#This Row],[Столбец1]]*Таблица1[[#This Row],[коэф]])),
IF((G358="5/8"),((база!$J$6*2*Таблица1[[#This Row],[Столбец1]]*Таблица1[[#This Row],[коэф]])),
IF(OR(G358="4/8",G358="3/8",G358="2/8"),((база!$J$5*2*Таблица1[[#This Row],[Столбец1]]*Таблица1[[#This Row],[коэф]])))))))))))</f>
        <v>0</v>
      </c>
      <c r="AQ358" s="712" t="str">
        <f>IFERROR(INDEX(база!T:T, MATCH(F358,база!Q:Q,0)),"")</f>
        <v/>
      </c>
      <c r="AR358" s="208" t="str">
        <f>IFERROR(INDEX(база!D:D, MATCH(F358,база!B:B,0)),"")</f>
        <v/>
      </c>
      <c r="AS358" s="758" t="str">
        <f>IFERROR(INDEX(база!E:E, MATCH(F358,база!B:B,0)),"")</f>
        <v/>
      </c>
    </row>
    <row r="359" spans="1:45" ht="15">
      <c r="A359" s="66" t="str">
        <f t="shared" si="4"/>
        <v>январь</v>
      </c>
      <c r="B359" s="231">
        <v>2024</v>
      </c>
      <c r="C359" s="60"/>
      <c r="D359" s="61"/>
      <c r="E359" s="211"/>
      <c r="F359" s="680"/>
      <c r="G359" s="47"/>
      <c r="H359" s="563"/>
      <c r="I359" s="563"/>
      <c r="J359" s="563"/>
      <c r="K359" s="563"/>
      <c r="L359" s="563"/>
      <c r="M359" s="563"/>
      <c r="N359" s="563"/>
      <c r="O359" s="563"/>
      <c r="P359" s="300"/>
      <c r="Q359" s="563"/>
      <c r="R359" s="563"/>
      <c r="S359" s="563"/>
      <c r="T359" s="563"/>
      <c r="U359" s="563"/>
      <c r="V359" s="563"/>
      <c r="W359" s="563"/>
      <c r="X359" s="563"/>
      <c r="Y359" s="563"/>
      <c r="Z359" s="563"/>
      <c r="AA359" s="563"/>
      <c r="AB359" s="563"/>
      <c r="AC359" s="563"/>
      <c r="AD359" s="48"/>
      <c r="AE359" s="48"/>
      <c r="AF359" s="258"/>
      <c r="AG359" s="48"/>
      <c r="AH359" s="48"/>
      <c r="AI359" s="258"/>
      <c r="AJ359" s="258"/>
      <c r="AK359" s="258"/>
      <c r="AL359" s="258"/>
      <c r="AM359" s="212">
        <f>IF(AQ359=1,SUM(Q359:T359,W359:Z359,AC359:AF359,AI359:AL359),
IF(AQ359=2,SUM(P359,S359:V359,Y359:AB359,AE359:AH359,AK359:AL359),
IF(AQ359=3,SUM(P359:R359,U359:X359,AA359:AD359,AG359:AJ359),SUM(Таблица1[[#This Row],[1]:[31]])-Таблица1[[#This Row],[Столбец1]])))</f>
        <v>0</v>
      </c>
      <c r="AN359" s="778">
        <f t="array" ref="AN359">IF(AQ359=1,SUM(P359,U359:V359,AA359:AB359,AG359:AH359),
IF(AQ359=2,SUM(Q359:R359,W359:X359,AC359:AD359,AI359:AJ359),
IF(AQ359=3,SUM(S359:T359,Y359:Z359,AE359:AF359,AK359:AL359),
SUM(IFERROR(WEEKDAY($H$2:$AL$2,2)&gt;5,)*H359:AL359))))+Таблица1[[#This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59" s="292" t="b">
        <f>IF(AR359&lt;=3,(IF((G359="5/24"),((база!$M$6*Таблица1[[#This Row],[сумма]]*Таблица1[[#This Row],[коэф]])),
IF((G359="4/24"),((база!$M$5*Таблица1[[#This Row],[сумма]]*Таблица1[[#This Row],[коэф]])),
IF((G359="3/24"),((база!$M$4*Таблица1[[#This Row],[сумма]]*Таблица1[[#This Row],[коэф]])),
IF((G359="5/16"),((база!$L$6*Таблица1[[#This Row],[сумма]]*Таблица1[[#This Row],[коэф]])),
IF((G359="4/16"),((база!$L$5*Таблица1[[#This Row],[сумма]]*Таблица1[[#This Row],[коэф]])),
IF((G359="3/16"),((база!$L$4*Таблица1[[#This Row],[сумма]]*Таблица1[[#This Row],[коэф]])),
IF((G359="4/4"),((база!$I$5*Таблица1[[#This Row],[сумма]]*Таблица1[[#This Row],[коэф]])),
IF(OR(G359="2/4",G359="3/4"),((база!$I$4*Таблица1[[#This Row],[сумма]]*Таблица1[[#This Row],[коэф]])),
IF((G359="5/8"),((база!$J$6*Таблица1[[#This Row],[сумма]]*Таблица1[[#This Row],[коэф]])),
IF((G359="4/8"),((база!$J$5*Таблица1[[#This Row],[сумма]]*Таблица1[[#This Row],[коэф]])),
IF(OR(G359="3/8",G359="2/8"),((база!$J$4*Таблица1[[#This Row],[сумма]]*Таблица1[[#This Row],[коэф]])))))))))))))),
(IF((G359="5/24"),((база!$M$6*Таблица1[[#This Row],[сумма]]*Таблица1[[#This Row],[коэф]])),
IF(OR(G359="4/24",G359="3/24"),((база!$M$5*Таблица1[[#This Row],[сумма]]*Таблица1[[#This Row],[коэф]])),
IF((G359="5/16"),((база!$L$6*Таблица1[[#This Row],[сумма]]*Таблица1[[#This Row],[коэф]])),
IF(OR(G359="4/16",G359="3/16"),((база!$L$5*Таблица1[[#This Row],[сумма]]*Таблица1[[#This Row],[коэф]])),
IF(OR(G359="2/4",G359="3/4",G359="4/4"),((база!$I$5*Таблица1[[#This Row],[сумма]]*Таблица1[[#This Row],[коэф]])),
IF((G359="5/8"),((база!$J$6*Таблица1[[#This Row],[сумма]]*Таблица1[[#This Row],[коэф]])),
IF(OR(G359="4/8",G359="3/8",G359="2/8"),((база!$J$5*Таблица1[[#This Row],[сумма]]*Таблица1[[#This Row],[коэф]])))))))))))</f>
        <v>0</v>
      </c>
      <c r="AP359" s="730" t="b">
        <f>IF(AR359&lt;=3,(IF((G359="5/24"),((база!$M$6*2*Таблица1[[#This Row],[Столбец1]]*Таблица1[[#This Row],[коэф]])),
IF((G359="4/24"),((база!$M$5*2*Таблица1[[#This Row],[Столбец1]]*Таблица1[[#This Row],[коэф]])),
IF((G359="3/24"),((база!$M$4*2*Таблица1[[#This Row],[Столбец1]]*Таблица1[[#This Row],[коэф]])),
IF((G359="5/16"),((база!$L$6*2*Таблица1[[#This Row],[Столбец1]]*Таблица1[[#This Row],[коэф]])),
IF((G359="4/16"),((база!$L$5*2*Таблица1[[#This Row],[Столбец1]]*Таблица1[[#This Row],[коэф]])),
IF((G359="3/16"),((база!$L$4*2*Таблица1[[#This Row],[Столбец1]]*Таблица1[[#This Row],[коэф]])),
IF((G359="4/4"),((база!$I$5*2*Таблица1[[#This Row],[Столбец1]]*Таблица1[[#This Row],[коэф]])),
IF(OR(G359="2/4",G359="3/4"),((база!$I$4*2*Таблица1[[#This Row],[Столбец1]]*Таблица1[[#This Row],[коэф]])),
IF((G359="5/8"),((база!$J$6*2*Таблица1[[#This Row],[Столбец1]]*Таблица1[[#This Row],[коэф]])),
IF((G359="4/8"),((база!$J$5*2*Таблица1[[#This Row],[Столбец1]]*Таблица1[[#This Row],[коэф]])),
IF(OR(G359="3/8",G359="2/8"),((база!$J$4*2*Таблица1[[#This Row],[Столбец1]]*Таблица1[[#This Row],[коэф]])))))))))))))),
(IF((G359="5/24"),((база!$M$6*2*Таблица1[[#This Row],[Столбец1]]*Таблица1[[#This Row],[коэф]])),
IF(OR(G359="4/24",G359="3/24"),((база!$M$5*2*Таблица1[[#This Row],[Столбец1]]*Таблица1[[#This Row],[коэф]])),
IF((G359="5/16"),((база!$L$6*2*Таблица1[[#This Row],[Столбец1]]*Таблица1[[#This Row],[коэф]])),
IF(OR(G359="4/16",G359="3/16"),((база!$L$5*2*Таблица1[[#This Row],[Столбец1]]*Таблица1[[#This Row],[коэф]])),
IF(OR(G359="2/4",G359="3/4",G359="4/4"),((база!$I$5*2*Таблица1[[#This Row],[Столбец1]]*Таблица1[[#This Row],[коэф]])),
IF((G359="5/8"),((база!$J$6*2*Таблица1[[#This Row],[Столбец1]]*Таблица1[[#This Row],[коэф]])),
IF(OR(G359="4/8",G359="3/8",G359="2/8"),((база!$J$5*2*Таблица1[[#This Row],[Столбец1]]*Таблица1[[#This Row],[коэф]])))))))))))</f>
        <v>0</v>
      </c>
      <c r="AQ359" s="712" t="str">
        <f>IFERROR(INDEX(база!T:T, MATCH(F359,база!Q:Q,0)),"")</f>
        <v/>
      </c>
      <c r="AR359" s="208" t="str">
        <f>IFERROR(INDEX(база!D:D, MATCH(F359,база!B:B,0)),"")</f>
        <v/>
      </c>
      <c r="AS359" s="758" t="str">
        <f>IFERROR(INDEX(база!E:E, MATCH(F359,база!B:B,0)),"")</f>
        <v/>
      </c>
    </row>
    <row r="360" spans="1:45" ht="15">
      <c r="A360" s="66" t="str">
        <f t="shared" si="4"/>
        <v>январь</v>
      </c>
      <c r="B360" s="231">
        <v>2024</v>
      </c>
      <c r="C360" s="299"/>
      <c r="D360" s="61"/>
      <c r="E360" s="211"/>
      <c r="F360" s="680"/>
      <c r="G360" s="47"/>
      <c r="H360" s="563"/>
      <c r="I360" s="563"/>
      <c r="J360" s="563"/>
      <c r="K360" s="563"/>
      <c r="L360" s="563"/>
      <c r="M360" s="563"/>
      <c r="N360" s="563"/>
      <c r="O360" s="563"/>
      <c r="P360" s="300"/>
      <c r="Q360" s="563"/>
      <c r="R360" s="563"/>
      <c r="S360" s="563"/>
      <c r="T360" s="563"/>
      <c r="U360" s="563"/>
      <c r="V360" s="563"/>
      <c r="W360" s="563"/>
      <c r="X360" s="563"/>
      <c r="Y360" s="563"/>
      <c r="Z360" s="563"/>
      <c r="AA360" s="563"/>
      <c r="AB360" s="563"/>
      <c r="AC360" s="563"/>
      <c r="AD360" s="48"/>
      <c r="AE360" s="48"/>
      <c r="AF360" s="258"/>
      <c r="AG360" s="48"/>
      <c r="AH360" s="48"/>
      <c r="AI360" s="48"/>
      <c r="AJ360" s="48"/>
      <c r="AK360" s="48"/>
      <c r="AL360" s="51"/>
      <c r="AM360" s="212">
        <f>IF(AQ360=1,SUM(Q360:T360,W360:Z360,AC360:AF360,AI360:AL360),
IF(AQ360=2,SUM(P360,S360:V360,Y360:AB360,AE360:AH360,AK360:AL360),
IF(AQ360=3,SUM(P360:R360,U360:X360,AA360:AD360,AG360:AJ360),SUM(Таблица1[[#This Row],[1]:[31]])-Таблица1[[#This Row],[Столбец1]])))</f>
        <v>0</v>
      </c>
      <c r="AN360" s="778">
        <f t="array" ref="AN360">IF(AQ360=1,SUM(P360,U360:V360,AA360:AB360,AG360:AH360),
IF(AQ360=2,SUM(Q360:R360,W360:X360,AC360:AD360,AI360:AJ360),
IF(AQ360=3,SUM(S360:T360,Y360:Z360,AE360:AF360,AK360:AL360),
SUM(IFERROR(WEEKDAY($H$2:$AL$2,2)&gt;5,)*H360:AL360))))+Таблица1[[#This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60" s="292" t="b">
        <f>IF(AR360&lt;=3,(IF((G360="5/24"),((база!$M$6*Таблица1[[#This Row],[сумма]]*Таблица1[[#This Row],[коэф]])),
IF((G360="4/24"),((база!$M$5*Таблица1[[#This Row],[сумма]]*Таблица1[[#This Row],[коэф]])),
IF((G360="3/24"),((база!$M$4*Таблица1[[#This Row],[сумма]]*Таблица1[[#This Row],[коэф]])),
IF((G360="5/16"),((база!$L$6*Таблица1[[#This Row],[сумма]]*Таблица1[[#This Row],[коэф]])),
IF((G360="4/16"),((база!$L$5*Таблица1[[#This Row],[сумма]]*Таблица1[[#This Row],[коэф]])),
IF((G360="3/16"),((база!$L$4*Таблица1[[#This Row],[сумма]]*Таблица1[[#This Row],[коэф]])),
IF((G360="4/4"),((база!$I$5*Таблица1[[#This Row],[сумма]]*Таблица1[[#This Row],[коэф]])),
IF(OR(G360="2/4",G360="3/4"),((база!$I$4*Таблица1[[#This Row],[сумма]]*Таблица1[[#This Row],[коэф]])),
IF((G360="5/8"),((база!$J$6*Таблица1[[#This Row],[сумма]]*Таблица1[[#This Row],[коэф]])),
IF((G360="4/8"),((база!$J$5*Таблица1[[#This Row],[сумма]]*Таблица1[[#This Row],[коэф]])),
IF(OR(G360="3/8",G360="2/8"),((база!$J$4*Таблица1[[#This Row],[сумма]]*Таблица1[[#This Row],[коэф]])))))))))))))),
(IF((G360="5/24"),((база!$M$6*Таблица1[[#This Row],[сумма]]*Таблица1[[#This Row],[коэф]])),
IF(OR(G360="4/24",G360="3/24"),((база!$M$5*Таблица1[[#This Row],[сумма]]*Таблица1[[#This Row],[коэф]])),
IF((G360="5/16"),((база!$L$6*Таблица1[[#This Row],[сумма]]*Таблица1[[#This Row],[коэф]])),
IF(OR(G360="4/16",G360="3/16"),((база!$L$5*Таблица1[[#This Row],[сумма]]*Таблица1[[#This Row],[коэф]])),
IF(OR(G360="2/4",G360="3/4",G360="4/4"),((база!$I$5*Таблица1[[#This Row],[сумма]]*Таблица1[[#This Row],[коэф]])),
IF((G360="5/8"),((база!$J$6*Таблица1[[#This Row],[сумма]]*Таблица1[[#This Row],[коэф]])),
IF(OR(G360="4/8",G360="3/8",G360="2/8"),((база!$J$5*Таблица1[[#This Row],[сумма]]*Таблица1[[#This Row],[коэф]])))))))))))</f>
        <v>0</v>
      </c>
      <c r="AP360" s="730" t="b">
        <f>IF(AR360&lt;=3,(IF((G360="5/24"),((база!$M$6*2*Таблица1[[#This Row],[Столбец1]]*Таблица1[[#This Row],[коэф]])),
IF((G360="4/24"),((база!$M$5*2*Таблица1[[#This Row],[Столбец1]]*Таблица1[[#This Row],[коэф]])),
IF((G360="3/24"),((база!$M$4*2*Таблица1[[#This Row],[Столбец1]]*Таблица1[[#This Row],[коэф]])),
IF((G360="5/16"),((база!$L$6*2*Таблица1[[#This Row],[Столбец1]]*Таблица1[[#This Row],[коэф]])),
IF((G360="4/16"),((база!$L$5*2*Таблица1[[#This Row],[Столбец1]]*Таблица1[[#This Row],[коэф]])),
IF((G360="3/16"),((база!$L$4*2*Таблица1[[#This Row],[Столбец1]]*Таблица1[[#This Row],[коэф]])),
IF((G360="4/4"),((база!$I$5*2*Таблица1[[#This Row],[Столбец1]]*Таблица1[[#This Row],[коэф]])),
IF(OR(G360="2/4",G360="3/4"),((база!$I$4*2*Таблица1[[#This Row],[Столбец1]]*Таблица1[[#This Row],[коэф]])),
IF((G360="5/8"),((база!$J$6*2*Таблица1[[#This Row],[Столбец1]]*Таблица1[[#This Row],[коэф]])),
IF((G360="4/8"),((база!$J$5*2*Таблица1[[#This Row],[Столбец1]]*Таблица1[[#This Row],[коэф]])),
IF(OR(G360="3/8",G360="2/8"),((база!$J$4*2*Таблица1[[#This Row],[Столбец1]]*Таблица1[[#This Row],[коэф]])))))))))))))),
(IF((G360="5/24"),((база!$M$6*2*Таблица1[[#This Row],[Столбец1]]*Таблица1[[#This Row],[коэф]])),
IF(OR(G360="4/24",G360="3/24"),((база!$M$5*2*Таблица1[[#This Row],[Столбец1]]*Таблица1[[#This Row],[коэф]])),
IF((G360="5/16"),((база!$L$6*2*Таблица1[[#This Row],[Столбец1]]*Таблица1[[#This Row],[коэф]])),
IF(OR(G360="4/16",G360="3/16"),((база!$L$5*2*Таблица1[[#This Row],[Столбец1]]*Таблица1[[#This Row],[коэф]])),
IF(OR(G360="2/4",G360="3/4",G360="4/4"),((база!$I$5*2*Таблица1[[#This Row],[Столбец1]]*Таблица1[[#This Row],[коэф]])),
IF((G360="5/8"),((база!$J$6*2*Таблица1[[#This Row],[Столбец1]]*Таблица1[[#This Row],[коэф]])),
IF(OR(G360="4/8",G360="3/8",G360="2/8"),((база!$J$5*2*Таблица1[[#This Row],[Столбец1]]*Таблица1[[#This Row],[коэф]])))))))))))</f>
        <v>0</v>
      </c>
      <c r="AQ360" s="712" t="str">
        <f>IFERROR(INDEX(база!T:T, MATCH(F360,база!Q:Q,0)),"")</f>
        <v/>
      </c>
      <c r="AR360" s="208" t="str">
        <f>IFERROR(INDEX(база!D:D, MATCH(F360,база!B:B,0)),"")</f>
        <v/>
      </c>
      <c r="AS360" s="758" t="str">
        <f>IFERROR(INDEX(база!E:E, MATCH(F360,база!B:B,0)),"")</f>
        <v/>
      </c>
    </row>
    <row r="361" spans="1:45" ht="15">
      <c r="A361" s="66" t="str">
        <f t="shared" si="4"/>
        <v>январь</v>
      </c>
      <c r="B361" s="231">
        <v>2024</v>
      </c>
      <c r="C361" s="299"/>
      <c r="D361" s="61"/>
      <c r="E361" s="211"/>
      <c r="F361" s="680"/>
      <c r="G361" s="47"/>
      <c r="H361" s="563"/>
      <c r="I361" s="563"/>
      <c r="J361" s="563"/>
      <c r="K361" s="563"/>
      <c r="L361" s="563"/>
      <c r="M361" s="563"/>
      <c r="N361" s="563"/>
      <c r="O361" s="563"/>
      <c r="P361" s="300"/>
      <c r="Q361" s="563"/>
      <c r="R361" s="563"/>
      <c r="S361" s="563"/>
      <c r="T361" s="563"/>
      <c r="U361" s="563"/>
      <c r="V361" s="563"/>
      <c r="W361" s="563"/>
      <c r="X361" s="563"/>
      <c r="Y361" s="563"/>
      <c r="Z361" s="563"/>
      <c r="AA361" s="563"/>
      <c r="AB361" s="563"/>
      <c r="AC361" s="563"/>
      <c r="AD361" s="48"/>
      <c r="AE361" s="48"/>
      <c r="AF361" s="258"/>
      <c r="AG361" s="48"/>
      <c r="AH361" s="48"/>
      <c r="AI361" s="48"/>
      <c r="AJ361" s="258"/>
      <c r="AK361" s="258"/>
      <c r="AL361" s="258"/>
      <c r="AM361" s="212">
        <f>IF(AQ361=1,SUM(Q361:T361,W361:Z361,AC361:AF361,AI361:AL361),
IF(AQ361=2,SUM(P361,S361:V361,Y361:AB361,AE361:AH361,AK361:AL361),
IF(AQ361=3,SUM(P361:R361,U361:X361,AA361:AD361,AG361:AJ361),SUM(Таблица1[[#This Row],[1]:[31]])-Таблица1[[#This Row],[Столбец1]])))</f>
        <v>0</v>
      </c>
      <c r="AN361" s="778">
        <f t="array" ref="AN361">IF(AQ361=1,SUM(P361,U361:V361,AA361:AB361,AG361:AH361),
IF(AQ361=2,SUM(Q361:R361,W361:X361,AC361:AD361,AI361:AJ361),
IF(AQ361=3,SUM(S361:T361,Y361:Z361,AE361:AF361,AK361:AL361),
SUM(IFERROR(WEEKDAY($H$2:$AL$2,2)&gt;5,)*H361:AL361))))+Таблица1[[#This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61" s="292" t="b">
        <f>IF(AR361&lt;=3,(IF((G361="5/24"),((база!$M$6*Таблица1[[#This Row],[сумма]]*Таблица1[[#This Row],[коэф]])),
IF((G361="4/24"),((база!$M$5*Таблица1[[#This Row],[сумма]]*Таблица1[[#This Row],[коэф]])),
IF((G361="3/24"),((база!$M$4*Таблица1[[#This Row],[сумма]]*Таблица1[[#This Row],[коэф]])),
IF((G361="5/16"),((база!$L$6*Таблица1[[#This Row],[сумма]]*Таблица1[[#This Row],[коэф]])),
IF((G361="4/16"),((база!$L$5*Таблица1[[#This Row],[сумма]]*Таблица1[[#This Row],[коэф]])),
IF((G361="3/16"),((база!$L$4*Таблица1[[#This Row],[сумма]]*Таблица1[[#This Row],[коэф]])),
IF((G361="4/4"),((база!$I$5*Таблица1[[#This Row],[сумма]]*Таблица1[[#This Row],[коэф]])),
IF(OR(G361="2/4",G361="3/4"),((база!$I$4*Таблица1[[#This Row],[сумма]]*Таблица1[[#This Row],[коэф]])),
IF((G361="5/8"),((база!$J$6*Таблица1[[#This Row],[сумма]]*Таблица1[[#This Row],[коэф]])),
IF((G361="4/8"),((база!$J$5*Таблица1[[#This Row],[сумма]]*Таблица1[[#This Row],[коэф]])),
IF(OR(G361="3/8",G361="2/8"),((база!$J$4*Таблица1[[#This Row],[сумма]]*Таблица1[[#This Row],[коэф]])))))))))))))),
(IF((G361="5/24"),((база!$M$6*Таблица1[[#This Row],[сумма]]*Таблица1[[#This Row],[коэф]])),
IF(OR(G361="4/24",G361="3/24"),((база!$M$5*Таблица1[[#This Row],[сумма]]*Таблица1[[#This Row],[коэф]])),
IF((G361="5/16"),((база!$L$6*Таблица1[[#This Row],[сумма]]*Таблица1[[#This Row],[коэф]])),
IF(OR(G361="4/16",G361="3/16"),((база!$L$5*Таблица1[[#This Row],[сумма]]*Таблица1[[#This Row],[коэф]])),
IF(OR(G361="2/4",G361="3/4",G361="4/4"),((база!$I$5*Таблица1[[#This Row],[сумма]]*Таблица1[[#This Row],[коэф]])),
IF((G361="5/8"),((база!$J$6*Таблица1[[#This Row],[сумма]]*Таблица1[[#This Row],[коэф]])),
IF(OR(G361="4/8",G361="3/8",G361="2/8"),((база!$J$5*Таблица1[[#This Row],[сумма]]*Таблица1[[#This Row],[коэф]])))))))))))</f>
        <v>0</v>
      </c>
      <c r="AP361" s="730" t="b">
        <f>IF(AR361&lt;=3,(IF((G361="5/24"),((база!$M$6*2*Таблица1[[#This Row],[Столбец1]]*Таблица1[[#This Row],[коэф]])),
IF((G361="4/24"),((база!$M$5*2*Таблица1[[#This Row],[Столбец1]]*Таблица1[[#This Row],[коэф]])),
IF((G361="3/24"),((база!$M$4*2*Таблица1[[#This Row],[Столбец1]]*Таблица1[[#This Row],[коэф]])),
IF((G361="5/16"),((база!$L$6*2*Таблица1[[#This Row],[Столбец1]]*Таблица1[[#This Row],[коэф]])),
IF((G361="4/16"),((база!$L$5*2*Таблица1[[#This Row],[Столбец1]]*Таблица1[[#This Row],[коэф]])),
IF((G361="3/16"),((база!$L$4*2*Таблица1[[#This Row],[Столбец1]]*Таблица1[[#This Row],[коэф]])),
IF((G361="4/4"),((база!$I$5*2*Таблица1[[#This Row],[Столбец1]]*Таблица1[[#This Row],[коэф]])),
IF(OR(G361="2/4",G361="3/4"),((база!$I$4*2*Таблица1[[#This Row],[Столбец1]]*Таблица1[[#This Row],[коэф]])),
IF((G361="5/8"),((база!$J$6*2*Таблица1[[#This Row],[Столбец1]]*Таблица1[[#This Row],[коэф]])),
IF((G361="4/8"),((база!$J$5*2*Таблица1[[#This Row],[Столбец1]]*Таблица1[[#This Row],[коэф]])),
IF(OR(G361="3/8",G361="2/8"),((база!$J$4*2*Таблица1[[#This Row],[Столбец1]]*Таблица1[[#This Row],[коэф]])))))))))))))),
(IF((G361="5/24"),((база!$M$6*2*Таблица1[[#This Row],[Столбец1]]*Таблица1[[#This Row],[коэф]])),
IF(OR(G361="4/24",G361="3/24"),((база!$M$5*2*Таблица1[[#This Row],[Столбец1]]*Таблица1[[#This Row],[коэф]])),
IF((G361="5/16"),((база!$L$6*2*Таблица1[[#This Row],[Столбец1]]*Таблица1[[#This Row],[коэф]])),
IF(OR(G361="4/16",G361="3/16"),((база!$L$5*2*Таблица1[[#This Row],[Столбец1]]*Таблица1[[#This Row],[коэф]])),
IF(OR(G361="2/4",G361="3/4",G361="4/4"),((база!$I$5*2*Таблица1[[#This Row],[Столбец1]]*Таблица1[[#This Row],[коэф]])),
IF((G361="5/8"),((база!$J$6*2*Таблица1[[#This Row],[Столбец1]]*Таблица1[[#This Row],[коэф]])),
IF(OR(G361="4/8",G361="3/8",G361="2/8"),((база!$J$5*2*Таблица1[[#This Row],[Столбец1]]*Таблица1[[#This Row],[коэф]])))))))))))</f>
        <v>0</v>
      </c>
      <c r="AQ361" s="712" t="str">
        <f>IFERROR(INDEX(база!T:T, MATCH(F361,база!Q:Q,0)),"")</f>
        <v/>
      </c>
      <c r="AR361" s="208" t="str">
        <f>IFERROR(INDEX(база!D:D, MATCH(F361,база!B:B,0)),"")</f>
        <v/>
      </c>
      <c r="AS361" s="758" t="str">
        <f>IFERROR(INDEX(база!E:E, MATCH(F361,база!B:B,0)),"")</f>
        <v/>
      </c>
    </row>
    <row r="362" spans="1:45" ht="15">
      <c r="A362" s="66" t="str">
        <f t="shared" si="4"/>
        <v>январь</v>
      </c>
      <c r="B362" s="231">
        <v>2024</v>
      </c>
      <c r="C362" s="60"/>
      <c r="D362" s="61"/>
      <c r="E362" s="211"/>
      <c r="F362" s="680"/>
      <c r="G362" s="47"/>
      <c r="H362" s="563"/>
      <c r="I362" s="563"/>
      <c r="J362" s="563"/>
      <c r="K362" s="563"/>
      <c r="L362" s="563"/>
      <c r="M362" s="563"/>
      <c r="N362" s="563"/>
      <c r="O362" s="563"/>
      <c r="P362" s="300"/>
      <c r="Q362" s="563"/>
      <c r="R362" s="563"/>
      <c r="S362" s="563"/>
      <c r="T362" s="563"/>
      <c r="U362" s="563"/>
      <c r="V362" s="563"/>
      <c r="W362" s="563"/>
      <c r="X362" s="563"/>
      <c r="Y362" s="563"/>
      <c r="Z362" s="563"/>
      <c r="AA362" s="563"/>
      <c r="AB362" s="563"/>
      <c r="AC362" s="563"/>
      <c r="AD362" s="48"/>
      <c r="AE362" s="48"/>
      <c r="AF362" s="258"/>
      <c r="AG362" s="48"/>
      <c r="AH362" s="48"/>
      <c r="AI362" s="48"/>
      <c r="AJ362" s="48"/>
      <c r="AK362" s="48"/>
      <c r="AL362" s="51"/>
      <c r="AM362" s="212">
        <f>IF(AQ362=1,SUM(Q362:T362,W362:Z362,AC362:AF362,AI362:AL362),
IF(AQ362=2,SUM(P362,S362:V362,Y362:AB362,AE362:AH362,AK362:AL362),
IF(AQ362=3,SUM(P362:R362,U362:X362,AA362:AD362,AG362:AJ362),SUM(Таблица1[[#This Row],[1]:[31]])-Таблица1[[#This Row],[Столбец1]])))</f>
        <v>0</v>
      </c>
      <c r="AN362" s="778">
        <f t="array" ref="AN362">IF(AQ362=1,SUM(P362,U362:V362,AA362:AB362,AG362:AH362),
IF(AQ362=2,SUM(Q362:R362,W362:X362,AC362:AD362,AI362:AJ362),
IF(AQ362=3,SUM(S362:T362,Y362:Z362,AE362:AF362,AK362:AL362),
SUM(IFERROR(WEEKDAY($H$2:$AL$2,2)&gt;5,)*H362:AL362))))+Таблица1[[#This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62" s="292" t="b">
        <f>IF(AR362&lt;=3,(IF((G362="5/24"),((база!$M$6*Таблица1[[#This Row],[сумма]]*Таблица1[[#This Row],[коэф]])),
IF((G362="4/24"),((база!$M$5*Таблица1[[#This Row],[сумма]]*Таблица1[[#This Row],[коэф]])),
IF((G362="3/24"),((база!$M$4*Таблица1[[#This Row],[сумма]]*Таблица1[[#This Row],[коэф]])),
IF((G362="5/16"),((база!$L$6*Таблица1[[#This Row],[сумма]]*Таблица1[[#This Row],[коэф]])),
IF((G362="4/16"),((база!$L$5*Таблица1[[#This Row],[сумма]]*Таблица1[[#This Row],[коэф]])),
IF((G362="3/16"),((база!$L$4*Таблица1[[#This Row],[сумма]]*Таблица1[[#This Row],[коэф]])),
IF((G362="4/4"),((база!$I$5*Таблица1[[#This Row],[сумма]]*Таблица1[[#This Row],[коэф]])),
IF(OR(G362="2/4",G362="3/4"),((база!$I$4*Таблица1[[#This Row],[сумма]]*Таблица1[[#This Row],[коэф]])),
IF((G362="5/8"),((база!$J$6*Таблица1[[#This Row],[сумма]]*Таблица1[[#This Row],[коэф]])),
IF((G362="4/8"),((база!$J$5*Таблица1[[#This Row],[сумма]]*Таблица1[[#This Row],[коэф]])),
IF(OR(G362="3/8",G362="2/8"),((база!$J$4*Таблица1[[#This Row],[сумма]]*Таблица1[[#This Row],[коэф]])))))))))))))),
(IF((G362="5/24"),((база!$M$6*Таблица1[[#This Row],[сумма]]*Таблица1[[#This Row],[коэф]])),
IF(OR(G362="4/24",G362="3/24"),((база!$M$5*Таблица1[[#This Row],[сумма]]*Таблица1[[#This Row],[коэф]])),
IF((G362="5/16"),((база!$L$6*Таблица1[[#This Row],[сумма]]*Таблица1[[#This Row],[коэф]])),
IF(OR(G362="4/16",G362="3/16"),((база!$L$5*Таблица1[[#This Row],[сумма]]*Таблица1[[#This Row],[коэф]])),
IF(OR(G362="2/4",G362="3/4",G362="4/4"),((база!$I$5*Таблица1[[#This Row],[сумма]]*Таблица1[[#This Row],[коэф]])),
IF((G362="5/8"),((база!$J$6*Таблица1[[#This Row],[сумма]]*Таблица1[[#This Row],[коэф]])),
IF(OR(G362="4/8",G362="3/8",G362="2/8"),((база!$J$5*Таблица1[[#This Row],[сумма]]*Таблица1[[#This Row],[коэф]])))))))))))</f>
        <v>0</v>
      </c>
      <c r="AP362" s="730" t="b">
        <f>IF(AR362&lt;=3,(IF((G362="5/24"),((база!$M$6*2*Таблица1[[#This Row],[Столбец1]]*Таблица1[[#This Row],[коэф]])),
IF((G362="4/24"),((база!$M$5*2*Таблица1[[#This Row],[Столбец1]]*Таблица1[[#This Row],[коэф]])),
IF((G362="3/24"),((база!$M$4*2*Таблица1[[#This Row],[Столбец1]]*Таблица1[[#This Row],[коэф]])),
IF((G362="5/16"),((база!$L$6*2*Таблица1[[#This Row],[Столбец1]]*Таблица1[[#This Row],[коэф]])),
IF((G362="4/16"),((база!$L$5*2*Таблица1[[#This Row],[Столбец1]]*Таблица1[[#This Row],[коэф]])),
IF((G362="3/16"),((база!$L$4*2*Таблица1[[#This Row],[Столбец1]]*Таблица1[[#This Row],[коэф]])),
IF((G362="4/4"),((база!$I$5*2*Таблица1[[#This Row],[Столбец1]]*Таблица1[[#This Row],[коэф]])),
IF(OR(G362="2/4",G362="3/4"),((база!$I$4*2*Таблица1[[#This Row],[Столбец1]]*Таблица1[[#This Row],[коэф]])),
IF((G362="5/8"),((база!$J$6*2*Таблица1[[#This Row],[Столбец1]]*Таблица1[[#This Row],[коэф]])),
IF((G362="4/8"),((база!$J$5*2*Таблица1[[#This Row],[Столбец1]]*Таблица1[[#This Row],[коэф]])),
IF(OR(G362="3/8",G362="2/8"),((база!$J$4*2*Таблица1[[#This Row],[Столбец1]]*Таблица1[[#This Row],[коэф]])))))))))))))),
(IF((G362="5/24"),((база!$M$6*2*Таблица1[[#This Row],[Столбец1]]*Таблица1[[#This Row],[коэф]])),
IF(OR(G362="4/24",G362="3/24"),((база!$M$5*2*Таблица1[[#This Row],[Столбец1]]*Таблица1[[#This Row],[коэф]])),
IF((G362="5/16"),((база!$L$6*2*Таблица1[[#This Row],[Столбец1]]*Таблица1[[#This Row],[коэф]])),
IF(OR(G362="4/16",G362="3/16"),((база!$L$5*2*Таблица1[[#This Row],[Столбец1]]*Таблица1[[#This Row],[коэф]])),
IF(OR(G362="2/4",G362="3/4",G362="4/4"),((база!$I$5*2*Таблица1[[#This Row],[Столбец1]]*Таблица1[[#This Row],[коэф]])),
IF((G362="5/8"),((база!$J$6*2*Таблица1[[#This Row],[Столбец1]]*Таблица1[[#This Row],[коэф]])),
IF(OR(G362="4/8",G362="3/8",G362="2/8"),((база!$J$5*2*Таблица1[[#This Row],[Столбец1]]*Таблица1[[#This Row],[коэф]])))))))))))</f>
        <v>0</v>
      </c>
      <c r="AQ362" s="712" t="str">
        <f>IFERROR(INDEX(база!T:T, MATCH(F362,база!Q:Q,0)),"")</f>
        <v/>
      </c>
      <c r="AR362" s="208" t="str">
        <f>IFERROR(INDEX(база!D:D, MATCH(F362,база!B:B,0)),"")</f>
        <v/>
      </c>
      <c r="AS362" s="758" t="str">
        <f>IFERROR(INDEX(база!E:E, MATCH(F362,база!B:B,0)),"")</f>
        <v/>
      </c>
    </row>
    <row r="363" spans="1:45" ht="15">
      <c r="A363" s="66" t="str">
        <f t="shared" si="4"/>
        <v>январь</v>
      </c>
      <c r="B363" s="231">
        <v>2024</v>
      </c>
      <c r="C363" s="60"/>
      <c r="D363" s="61"/>
      <c r="E363" s="211"/>
      <c r="F363" s="680"/>
      <c r="G363" s="47"/>
      <c r="H363" s="563"/>
      <c r="I363" s="563"/>
      <c r="J363" s="563"/>
      <c r="K363" s="563"/>
      <c r="L363" s="563"/>
      <c r="M363" s="563"/>
      <c r="N363" s="563"/>
      <c r="O363" s="563"/>
      <c r="P363" s="300"/>
      <c r="Q363" s="563"/>
      <c r="R363" s="563"/>
      <c r="S363" s="563"/>
      <c r="T363" s="563"/>
      <c r="U363" s="563"/>
      <c r="V363" s="563"/>
      <c r="W363" s="563"/>
      <c r="X363" s="563"/>
      <c r="Y363" s="563"/>
      <c r="Z363" s="563"/>
      <c r="AA363" s="563"/>
      <c r="AB363" s="563"/>
      <c r="AC363" s="563"/>
      <c r="AD363" s="48"/>
      <c r="AE363" s="48"/>
      <c r="AF363" s="258"/>
      <c r="AG363" s="48"/>
      <c r="AH363" s="48"/>
      <c r="AI363" s="258"/>
      <c r="AJ363" s="258"/>
      <c r="AK363" s="258"/>
      <c r="AL363" s="258"/>
      <c r="AM363" s="212">
        <f>IF(AQ363=1,SUM(Q363:T363,W363:Z363,AC363:AF363,AI363:AL363),
IF(AQ363=2,SUM(P363,S363:V363,Y363:AB363,AE363:AH363,AK363:AL363),
IF(AQ363=3,SUM(P363:R363,U363:X363,AA363:AD363,AG363:AJ363),SUM(Таблица1[[#This Row],[1]:[31]])-Таблица1[[#This Row],[Столбец1]])))</f>
        <v>0</v>
      </c>
      <c r="AN363" s="778">
        <f t="array" ref="AN363">IF(AQ363=1,SUM(P363,U363:V363,AA363:AB363,AG363:AH363),
IF(AQ363=2,SUM(Q363:R363,W363:X363,AC363:AD363,AI363:AJ363),
IF(AQ363=3,SUM(S363:T363,Y363:Z363,AE363:AF363,AK363:AL363),
SUM(IFERROR(WEEKDAY($H$2:$AL$2,2)&gt;5,)*H363:AL363))))+Таблица1[[#This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63" s="292" t="b">
        <f>IF(AR363&lt;=3,(IF((G363="5/24"),((база!$M$6*Таблица1[[#This Row],[сумма]]*Таблица1[[#This Row],[коэф]])),
IF((G363="4/24"),((база!$M$5*Таблица1[[#This Row],[сумма]]*Таблица1[[#This Row],[коэф]])),
IF((G363="3/24"),((база!$M$4*Таблица1[[#This Row],[сумма]]*Таблица1[[#This Row],[коэф]])),
IF((G363="5/16"),((база!$L$6*Таблица1[[#This Row],[сумма]]*Таблица1[[#This Row],[коэф]])),
IF((G363="4/16"),((база!$L$5*Таблица1[[#This Row],[сумма]]*Таблица1[[#This Row],[коэф]])),
IF((G363="3/16"),((база!$L$4*Таблица1[[#This Row],[сумма]]*Таблица1[[#This Row],[коэф]])),
IF((G363="4/4"),((база!$I$5*Таблица1[[#This Row],[сумма]]*Таблица1[[#This Row],[коэф]])),
IF(OR(G363="2/4",G363="3/4"),((база!$I$4*Таблица1[[#This Row],[сумма]]*Таблица1[[#This Row],[коэф]])),
IF((G363="5/8"),((база!$J$6*Таблица1[[#This Row],[сумма]]*Таблица1[[#This Row],[коэф]])),
IF((G363="4/8"),((база!$J$5*Таблица1[[#This Row],[сумма]]*Таблица1[[#This Row],[коэф]])),
IF(OR(G363="3/8",G363="2/8"),((база!$J$4*Таблица1[[#This Row],[сумма]]*Таблица1[[#This Row],[коэф]])))))))))))))),
(IF((G363="5/24"),((база!$M$6*Таблица1[[#This Row],[сумма]]*Таблица1[[#This Row],[коэф]])),
IF(OR(G363="4/24",G363="3/24"),((база!$M$5*Таблица1[[#This Row],[сумма]]*Таблица1[[#This Row],[коэф]])),
IF((G363="5/16"),((база!$L$6*Таблица1[[#This Row],[сумма]]*Таблица1[[#This Row],[коэф]])),
IF(OR(G363="4/16",G363="3/16"),((база!$L$5*Таблица1[[#This Row],[сумма]]*Таблица1[[#This Row],[коэф]])),
IF(OR(G363="2/4",G363="3/4",G363="4/4"),((база!$I$5*Таблица1[[#This Row],[сумма]]*Таблица1[[#This Row],[коэф]])),
IF((G363="5/8"),((база!$J$6*Таблица1[[#This Row],[сумма]]*Таблица1[[#This Row],[коэф]])),
IF(OR(G363="4/8",G363="3/8",G363="2/8"),((база!$J$5*Таблица1[[#This Row],[сумма]]*Таблица1[[#This Row],[коэф]])))))))))))</f>
        <v>0</v>
      </c>
      <c r="AP363" s="730" t="b">
        <f>IF(AR363&lt;=3,(IF((G363="5/24"),((база!$M$6*2*Таблица1[[#This Row],[Столбец1]]*Таблица1[[#This Row],[коэф]])),
IF((G363="4/24"),((база!$M$5*2*Таблица1[[#This Row],[Столбец1]]*Таблица1[[#This Row],[коэф]])),
IF((G363="3/24"),((база!$M$4*2*Таблица1[[#This Row],[Столбец1]]*Таблица1[[#This Row],[коэф]])),
IF((G363="5/16"),((база!$L$6*2*Таблица1[[#This Row],[Столбец1]]*Таблица1[[#This Row],[коэф]])),
IF((G363="4/16"),((база!$L$5*2*Таблица1[[#This Row],[Столбец1]]*Таблица1[[#This Row],[коэф]])),
IF((G363="3/16"),((база!$L$4*2*Таблица1[[#This Row],[Столбец1]]*Таблица1[[#This Row],[коэф]])),
IF((G363="4/4"),((база!$I$5*2*Таблица1[[#This Row],[Столбец1]]*Таблица1[[#This Row],[коэф]])),
IF(OR(G363="2/4",G363="3/4"),((база!$I$4*2*Таблица1[[#This Row],[Столбец1]]*Таблица1[[#This Row],[коэф]])),
IF((G363="5/8"),((база!$J$6*2*Таблица1[[#This Row],[Столбец1]]*Таблица1[[#This Row],[коэф]])),
IF((G363="4/8"),((база!$J$5*2*Таблица1[[#This Row],[Столбец1]]*Таблица1[[#This Row],[коэф]])),
IF(OR(G363="3/8",G363="2/8"),((база!$J$4*2*Таблица1[[#This Row],[Столбец1]]*Таблица1[[#This Row],[коэф]])))))))))))))),
(IF((G363="5/24"),((база!$M$6*2*Таблица1[[#This Row],[Столбец1]]*Таблица1[[#This Row],[коэф]])),
IF(OR(G363="4/24",G363="3/24"),((база!$M$5*2*Таблица1[[#This Row],[Столбец1]]*Таблица1[[#This Row],[коэф]])),
IF((G363="5/16"),((база!$L$6*2*Таблица1[[#This Row],[Столбец1]]*Таблица1[[#This Row],[коэф]])),
IF(OR(G363="4/16",G363="3/16"),((база!$L$5*2*Таблица1[[#This Row],[Столбец1]]*Таблица1[[#This Row],[коэф]])),
IF(OR(G363="2/4",G363="3/4",G363="4/4"),((база!$I$5*2*Таблица1[[#This Row],[Столбец1]]*Таблица1[[#This Row],[коэф]])),
IF((G363="5/8"),((база!$J$6*2*Таблица1[[#This Row],[Столбец1]]*Таблица1[[#This Row],[коэф]])),
IF(OR(G363="4/8",G363="3/8",G363="2/8"),((база!$J$5*2*Таблица1[[#This Row],[Столбец1]]*Таблица1[[#This Row],[коэф]])))))))))))</f>
        <v>0</v>
      </c>
      <c r="AQ363" s="712" t="str">
        <f>IFERROR(INDEX(база!T:T, MATCH(F363,база!Q:Q,0)),"")</f>
        <v/>
      </c>
      <c r="AR363" s="208" t="str">
        <f>IFERROR(INDEX(база!D:D, MATCH(F363,база!B:B,0)),"")</f>
        <v/>
      </c>
      <c r="AS363" s="758" t="str">
        <f>IFERROR(INDEX(база!E:E, MATCH(F363,база!B:B,0)),"")</f>
        <v/>
      </c>
    </row>
    <row r="364" spans="1:45" ht="15">
      <c r="A364" s="66" t="str">
        <f t="shared" si="4"/>
        <v>январь</v>
      </c>
      <c r="B364" s="231">
        <v>2024</v>
      </c>
      <c r="C364" s="299"/>
      <c r="D364" s="61"/>
      <c r="E364" s="211"/>
      <c r="F364" s="680"/>
      <c r="G364" s="47"/>
      <c r="H364" s="563"/>
      <c r="I364" s="563"/>
      <c r="J364" s="563"/>
      <c r="K364" s="563"/>
      <c r="L364" s="563"/>
      <c r="M364" s="563"/>
      <c r="N364" s="563"/>
      <c r="O364" s="563"/>
      <c r="P364" s="300"/>
      <c r="Q364" s="563"/>
      <c r="R364" s="563"/>
      <c r="S364" s="563"/>
      <c r="T364" s="563"/>
      <c r="U364" s="563"/>
      <c r="V364" s="563"/>
      <c r="W364" s="563"/>
      <c r="X364" s="563"/>
      <c r="Y364" s="563"/>
      <c r="Z364" s="563"/>
      <c r="AA364" s="563"/>
      <c r="AB364" s="563"/>
      <c r="AC364" s="563"/>
      <c r="AD364" s="48"/>
      <c r="AE364" s="48"/>
      <c r="AF364" s="258"/>
      <c r="AG364" s="48"/>
      <c r="AH364" s="48"/>
      <c r="AI364" s="48"/>
      <c r="AJ364" s="48"/>
      <c r="AK364" s="48"/>
      <c r="AL364" s="51"/>
      <c r="AM364" s="212">
        <f>IF(AQ364=1,SUM(Q364:T364,W364:Z364,AC364:AF364,AI364:AL364),
IF(AQ364=2,SUM(P364,S364:V364,Y364:AB364,AE364:AH364,AK364:AL364),
IF(AQ364=3,SUM(P364:R364,U364:X364,AA364:AD364,AG364:AJ364),SUM(Таблица1[[#This Row],[1]:[31]])-Таблица1[[#This Row],[Столбец1]])))</f>
        <v>0</v>
      </c>
      <c r="AN364" s="778">
        <f t="array" ref="AN364">IF(AQ364=1,SUM(P364,U364:V364,AA364:AB364,AG364:AH364),
IF(AQ364=2,SUM(Q364:R364,W364:X364,AC364:AD364,AI364:AJ364),
IF(AQ364=3,SUM(S364:T364,Y364:Z364,AE364:AF364,AK364:AL364),
SUM(IFERROR(WEEKDAY($H$2:$AL$2,2)&gt;5,)*H364:AL364))))+Таблица1[[#This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64" s="292" t="b">
        <f>IF(AR364&lt;=3,(IF((G364="5/24"),((база!$M$6*Таблица1[[#This Row],[сумма]]*Таблица1[[#This Row],[коэф]])),
IF((G364="4/24"),((база!$M$5*Таблица1[[#This Row],[сумма]]*Таблица1[[#This Row],[коэф]])),
IF((G364="3/24"),((база!$M$4*Таблица1[[#This Row],[сумма]]*Таблица1[[#This Row],[коэф]])),
IF((G364="5/16"),((база!$L$6*Таблица1[[#This Row],[сумма]]*Таблица1[[#This Row],[коэф]])),
IF((G364="4/16"),((база!$L$5*Таблица1[[#This Row],[сумма]]*Таблица1[[#This Row],[коэф]])),
IF((G364="3/16"),((база!$L$4*Таблица1[[#This Row],[сумма]]*Таблица1[[#This Row],[коэф]])),
IF((G364="4/4"),((база!$I$5*Таблица1[[#This Row],[сумма]]*Таблица1[[#This Row],[коэф]])),
IF(OR(G364="2/4",G364="3/4"),((база!$I$4*Таблица1[[#This Row],[сумма]]*Таблица1[[#This Row],[коэф]])),
IF((G364="5/8"),((база!$J$6*Таблица1[[#This Row],[сумма]]*Таблица1[[#This Row],[коэф]])),
IF((G364="4/8"),((база!$J$5*Таблица1[[#This Row],[сумма]]*Таблица1[[#This Row],[коэф]])),
IF(OR(G364="3/8",G364="2/8"),((база!$J$4*Таблица1[[#This Row],[сумма]]*Таблица1[[#This Row],[коэф]])))))))))))))),
(IF((G364="5/24"),((база!$M$6*Таблица1[[#This Row],[сумма]]*Таблица1[[#This Row],[коэф]])),
IF(OR(G364="4/24",G364="3/24"),((база!$M$5*Таблица1[[#This Row],[сумма]]*Таблица1[[#This Row],[коэф]])),
IF((G364="5/16"),((база!$L$6*Таблица1[[#This Row],[сумма]]*Таблица1[[#This Row],[коэф]])),
IF(OR(G364="4/16",G364="3/16"),((база!$L$5*Таблица1[[#This Row],[сумма]]*Таблица1[[#This Row],[коэф]])),
IF(OR(G364="2/4",G364="3/4",G364="4/4"),((база!$I$5*Таблица1[[#This Row],[сумма]]*Таблица1[[#This Row],[коэф]])),
IF((G364="5/8"),((база!$J$6*Таблица1[[#This Row],[сумма]]*Таблица1[[#This Row],[коэф]])),
IF(OR(G364="4/8",G364="3/8",G364="2/8"),((база!$J$5*Таблица1[[#This Row],[сумма]]*Таблица1[[#This Row],[коэф]])))))))))))</f>
        <v>0</v>
      </c>
      <c r="AP364" s="730" t="b">
        <f>IF(AR364&lt;=3,(IF((G364="5/24"),((база!$M$6*2*Таблица1[[#This Row],[Столбец1]]*Таблица1[[#This Row],[коэф]])),
IF((G364="4/24"),((база!$M$5*2*Таблица1[[#This Row],[Столбец1]]*Таблица1[[#This Row],[коэф]])),
IF((G364="3/24"),((база!$M$4*2*Таблица1[[#This Row],[Столбец1]]*Таблица1[[#This Row],[коэф]])),
IF((G364="5/16"),((база!$L$6*2*Таблица1[[#This Row],[Столбец1]]*Таблица1[[#This Row],[коэф]])),
IF((G364="4/16"),((база!$L$5*2*Таблица1[[#This Row],[Столбец1]]*Таблица1[[#This Row],[коэф]])),
IF((G364="3/16"),((база!$L$4*2*Таблица1[[#This Row],[Столбец1]]*Таблица1[[#This Row],[коэф]])),
IF((G364="4/4"),((база!$I$5*2*Таблица1[[#This Row],[Столбец1]]*Таблица1[[#This Row],[коэф]])),
IF(OR(G364="2/4",G364="3/4"),((база!$I$4*2*Таблица1[[#This Row],[Столбец1]]*Таблица1[[#This Row],[коэф]])),
IF((G364="5/8"),((база!$J$6*2*Таблица1[[#This Row],[Столбец1]]*Таблица1[[#This Row],[коэф]])),
IF((G364="4/8"),((база!$J$5*2*Таблица1[[#This Row],[Столбец1]]*Таблица1[[#This Row],[коэф]])),
IF(OR(G364="3/8",G364="2/8"),((база!$J$4*2*Таблица1[[#This Row],[Столбец1]]*Таблица1[[#This Row],[коэф]])))))))))))))),
(IF((G364="5/24"),((база!$M$6*2*Таблица1[[#This Row],[Столбец1]]*Таблица1[[#This Row],[коэф]])),
IF(OR(G364="4/24",G364="3/24"),((база!$M$5*2*Таблица1[[#This Row],[Столбец1]]*Таблица1[[#This Row],[коэф]])),
IF((G364="5/16"),((база!$L$6*2*Таблица1[[#This Row],[Столбец1]]*Таблица1[[#This Row],[коэф]])),
IF(OR(G364="4/16",G364="3/16"),((база!$L$5*2*Таблица1[[#This Row],[Столбец1]]*Таблица1[[#This Row],[коэф]])),
IF(OR(G364="2/4",G364="3/4",G364="4/4"),((база!$I$5*2*Таблица1[[#This Row],[Столбец1]]*Таблица1[[#This Row],[коэф]])),
IF((G364="5/8"),((база!$J$6*2*Таблица1[[#This Row],[Столбец1]]*Таблица1[[#This Row],[коэф]])),
IF(OR(G364="4/8",G364="3/8",G364="2/8"),((база!$J$5*2*Таблица1[[#This Row],[Столбец1]]*Таблица1[[#This Row],[коэф]])))))))))))</f>
        <v>0</v>
      </c>
      <c r="AQ364" s="712" t="str">
        <f>IFERROR(INDEX(база!T:T, MATCH(F364,база!Q:Q,0)),"")</f>
        <v/>
      </c>
      <c r="AR364" s="208" t="str">
        <f>IFERROR(INDEX(база!D:D, MATCH(F364,база!B:B,0)),"")</f>
        <v/>
      </c>
      <c r="AS364" s="758" t="str">
        <f>IFERROR(INDEX(база!E:E, MATCH(F364,база!B:B,0)),"")</f>
        <v/>
      </c>
    </row>
    <row r="365" spans="1:45" ht="15">
      <c r="A365" s="66" t="str">
        <f t="shared" si="4"/>
        <v>январь</v>
      </c>
      <c r="B365" s="231">
        <v>2024</v>
      </c>
      <c r="C365" s="299"/>
      <c r="D365" s="61"/>
      <c r="E365" s="211"/>
      <c r="F365" s="680"/>
      <c r="G365" s="47"/>
      <c r="H365" s="563"/>
      <c r="I365" s="563"/>
      <c r="J365" s="563"/>
      <c r="K365" s="563"/>
      <c r="L365" s="563"/>
      <c r="M365" s="563"/>
      <c r="N365" s="563"/>
      <c r="O365" s="563"/>
      <c r="P365" s="300"/>
      <c r="Q365" s="563"/>
      <c r="R365" s="563"/>
      <c r="S365" s="563"/>
      <c r="T365" s="563"/>
      <c r="U365" s="563"/>
      <c r="V365" s="563"/>
      <c r="W365" s="563"/>
      <c r="X365" s="563"/>
      <c r="Y365" s="563"/>
      <c r="Z365" s="563"/>
      <c r="AA365" s="563"/>
      <c r="AB365" s="563"/>
      <c r="AC365" s="563"/>
      <c r="AD365" s="48"/>
      <c r="AE365" s="48"/>
      <c r="AF365" s="258"/>
      <c r="AG365" s="48"/>
      <c r="AH365" s="48"/>
      <c r="AI365" s="258"/>
      <c r="AJ365" s="258"/>
      <c r="AK365" s="258"/>
      <c r="AL365" s="258"/>
      <c r="AM365" s="212">
        <f>IF(AQ365=1,SUM(Q365:T365,W365:Z365,AC365:AF365,AI365:AL365),
IF(AQ365=2,SUM(P365,S365:V365,Y365:AB365,AE365:AH365,AK365:AL365),
IF(AQ365=3,SUM(P365:R365,U365:X365,AA365:AD365,AG365:AJ365),SUM(Таблица1[[#This Row],[1]:[31]])-Таблица1[[#This Row],[Столбец1]])))</f>
        <v>0</v>
      </c>
      <c r="AN365" s="778">
        <f t="array" ref="AN365">IF(AQ365=1,SUM(P365,U365:V365,AA365:AB365,AG365:AH365),
IF(AQ365=2,SUM(Q365:R365,W365:X365,AC365:AD365,AI365:AJ365),
IF(AQ365=3,SUM(S365:T365,Y365:Z365,AE365:AF365,AK365:AL365),
SUM(IFERROR(WEEKDAY($H$2:$AL$2,2)&gt;5,)*H365:AL365))))+Таблица1[[#This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65" s="292" t="b">
        <f>IF(AR365&lt;=3,(IF((G365="5/24"),((база!$M$6*Таблица1[[#This Row],[сумма]]*Таблица1[[#This Row],[коэф]])),
IF((G365="4/24"),((база!$M$5*Таблица1[[#This Row],[сумма]]*Таблица1[[#This Row],[коэф]])),
IF((G365="3/24"),((база!$M$4*Таблица1[[#This Row],[сумма]]*Таблица1[[#This Row],[коэф]])),
IF((G365="5/16"),((база!$L$6*Таблица1[[#This Row],[сумма]]*Таблица1[[#This Row],[коэф]])),
IF((G365="4/16"),((база!$L$5*Таблица1[[#This Row],[сумма]]*Таблица1[[#This Row],[коэф]])),
IF((G365="3/16"),((база!$L$4*Таблица1[[#This Row],[сумма]]*Таблица1[[#This Row],[коэф]])),
IF((G365="4/4"),((база!$I$5*Таблица1[[#This Row],[сумма]]*Таблица1[[#This Row],[коэф]])),
IF(OR(G365="2/4",G365="3/4"),((база!$I$4*Таблица1[[#This Row],[сумма]]*Таблица1[[#This Row],[коэф]])),
IF((G365="5/8"),((база!$J$6*Таблица1[[#This Row],[сумма]]*Таблица1[[#This Row],[коэф]])),
IF((G365="4/8"),((база!$J$5*Таблица1[[#This Row],[сумма]]*Таблица1[[#This Row],[коэф]])),
IF(OR(G365="3/8",G365="2/8"),((база!$J$4*Таблица1[[#This Row],[сумма]]*Таблица1[[#This Row],[коэф]])))))))))))))),
(IF((G365="5/24"),((база!$M$6*Таблица1[[#This Row],[сумма]]*Таблица1[[#This Row],[коэф]])),
IF(OR(G365="4/24",G365="3/24"),((база!$M$5*Таблица1[[#This Row],[сумма]]*Таблица1[[#This Row],[коэф]])),
IF((G365="5/16"),((база!$L$6*Таблица1[[#This Row],[сумма]]*Таблица1[[#This Row],[коэф]])),
IF(OR(G365="4/16",G365="3/16"),((база!$L$5*Таблица1[[#This Row],[сумма]]*Таблица1[[#This Row],[коэф]])),
IF(OR(G365="2/4",G365="3/4",G365="4/4"),((база!$I$5*Таблица1[[#This Row],[сумма]]*Таблица1[[#This Row],[коэф]])),
IF((G365="5/8"),((база!$J$6*Таблица1[[#This Row],[сумма]]*Таблица1[[#This Row],[коэф]])),
IF(OR(G365="4/8",G365="3/8",G365="2/8"),((база!$J$5*Таблица1[[#This Row],[сумма]]*Таблица1[[#This Row],[коэф]])))))))))))</f>
        <v>0</v>
      </c>
      <c r="AP365" s="730" t="b">
        <f>IF(AR365&lt;=3,(IF((G365="5/24"),((база!$M$6*2*Таблица1[[#This Row],[Столбец1]]*Таблица1[[#This Row],[коэф]])),
IF((G365="4/24"),((база!$M$5*2*Таблица1[[#This Row],[Столбец1]]*Таблица1[[#This Row],[коэф]])),
IF((G365="3/24"),((база!$M$4*2*Таблица1[[#This Row],[Столбец1]]*Таблица1[[#This Row],[коэф]])),
IF((G365="5/16"),((база!$L$6*2*Таблица1[[#This Row],[Столбец1]]*Таблица1[[#This Row],[коэф]])),
IF((G365="4/16"),((база!$L$5*2*Таблица1[[#This Row],[Столбец1]]*Таблица1[[#This Row],[коэф]])),
IF((G365="3/16"),((база!$L$4*2*Таблица1[[#This Row],[Столбец1]]*Таблица1[[#This Row],[коэф]])),
IF((G365="4/4"),((база!$I$5*2*Таблица1[[#This Row],[Столбец1]]*Таблица1[[#This Row],[коэф]])),
IF(OR(G365="2/4",G365="3/4"),((база!$I$4*2*Таблица1[[#This Row],[Столбец1]]*Таблица1[[#This Row],[коэф]])),
IF((G365="5/8"),((база!$J$6*2*Таблица1[[#This Row],[Столбец1]]*Таблица1[[#This Row],[коэф]])),
IF((G365="4/8"),((база!$J$5*2*Таблица1[[#This Row],[Столбец1]]*Таблица1[[#This Row],[коэф]])),
IF(OR(G365="3/8",G365="2/8"),((база!$J$4*2*Таблица1[[#This Row],[Столбец1]]*Таблица1[[#This Row],[коэф]])))))))))))))),
(IF((G365="5/24"),((база!$M$6*2*Таблица1[[#This Row],[Столбец1]]*Таблица1[[#This Row],[коэф]])),
IF(OR(G365="4/24",G365="3/24"),((база!$M$5*2*Таблица1[[#This Row],[Столбец1]]*Таблица1[[#This Row],[коэф]])),
IF((G365="5/16"),((база!$L$6*2*Таблица1[[#This Row],[Столбец1]]*Таблица1[[#This Row],[коэф]])),
IF(OR(G365="4/16",G365="3/16"),((база!$L$5*2*Таблица1[[#This Row],[Столбец1]]*Таблица1[[#This Row],[коэф]])),
IF(OR(G365="2/4",G365="3/4",G365="4/4"),((база!$I$5*2*Таблица1[[#This Row],[Столбец1]]*Таблица1[[#This Row],[коэф]])),
IF((G365="5/8"),((база!$J$6*2*Таблица1[[#This Row],[Столбец1]]*Таблица1[[#This Row],[коэф]])),
IF(OR(G365="4/8",G365="3/8",G365="2/8"),((база!$J$5*2*Таблица1[[#This Row],[Столбец1]]*Таблица1[[#This Row],[коэф]])))))))))))</f>
        <v>0</v>
      </c>
      <c r="AQ365" s="712" t="str">
        <f>IFERROR(INDEX(база!T:T, MATCH(F365,база!Q:Q,0)),"")</f>
        <v/>
      </c>
      <c r="AR365" s="208" t="str">
        <f>IFERROR(INDEX(база!D:D, MATCH(F365,база!B:B,0)),"")</f>
        <v/>
      </c>
      <c r="AS365" s="758" t="str">
        <f>IFERROR(INDEX(база!E:E, MATCH(F365,база!B:B,0)),"")</f>
        <v/>
      </c>
    </row>
    <row r="366" spans="1:45" ht="15">
      <c r="A366" s="66" t="str">
        <f t="shared" si="4"/>
        <v>январь</v>
      </c>
      <c r="B366" s="231">
        <v>2024</v>
      </c>
      <c r="C366" s="60"/>
      <c r="D366" s="61"/>
      <c r="E366" s="211"/>
      <c r="F366" s="680"/>
      <c r="G366" s="47"/>
      <c r="H366" s="563"/>
      <c r="I366" s="563"/>
      <c r="J366" s="563"/>
      <c r="K366" s="563"/>
      <c r="L366" s="563"/>
      <c r="M366" s="563"/>
      <c r="N366" s="563"/>
      <c r="O366" s="563"/>
      <c r="P366" s="300"/>
      <c r="Q366" s="563"/>
      <c r="R366" s="563"/>
      <c r="S366" s="563"/>
      <c r="T366" s="563"/>
      <c r="U366" s="563"/>
      <c r="V366" s="563"/>
      <c r="W366" s="563"/>
      <c r="X366" s="563"/>
      <c r="Y366" s="563"/>
      <c r="Z366" s="563"/>
      <c r="AA366" s="563"/>
      <c r="AB366" s="563"/>
      <c r="AC366" s="563"/>
      <c r="AD366" s="48"/>
      <c r="AE366" s="48"/>
      <c r="AF366" s="258"/>
      <c r="AG366" s="48"/>
      <c r="AH366" s="48"/>
      <c r="AI366" s="48"/>
      <c r="AJ366" s="48"/>
      <c r="AK366" s="48"/>
      <c r="AL366" s="51"/>
      <c r="AM366" s="212">
        <f>IF(AQ366=1,SUM(Q366:T366,W366:Z366,AC366:AF366,AI366:AL366),
IF(AQ366=2,SUM(P366,S366:V366,Y366:AB366,AE366:AH366,AK366:AL366),
IF(AQ366=3,SUM(P366:R366,U366:X366,AA366:AD366,AG366:AJ366),SUM(Таблица1[[#This Row],[1]:[31]])-Таблица1[[#This Row],[Столбец1]])))</f>
        <v>0</v>
      </c>
      <c r="AN366" s="778">
        <f t="array" ref="AN366">IF(AQ366=1,SUM(P366,U366:V366,AA366:AB366,AG366:AH366),
IF(AQ366=2,SUM(Q366:R366,W366:X366,AC366:AD366,AI366:AJ366),
IF(AQ366=3,SUM(S366:T366,Y366:Z366,AE366:AF366,AK366:AL366),
SUM(IFERROR(WEEKDAY($H$2:$AL$2,2)&gt;5,)*H366:AL366))))+Таблица1[[#This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66" s="292" t="b">
        <f>IF(AR366&lt;=3,(IF((G366="5/24"),((база!$M$6*Таблица1[[#This Row],[сумма]]*Таблица1[[#This Row],[коэф]])),
IF((G366="4/24"),((база!$M$5*Таблица1[[#This Row],[сумма]]*Таблица1[[#This Row],[коэф]])),
IF((G366="3/24"),((база!$M$4*Таблица1[[#This Row],[сумма]]*Таблица1[[#This Row],[коэф]])),
IF((G366="5/16"),((база!$L$6*Таблица1[[#This Row],[сумма]]*Таблица1[[#This Row],[коэф]])),
IF((G366="4/16"),((база!$L$5*Таблица1[[#This Row],[сумма]]*Таблица1[[#This Row],[коэф]])),
IF((G366="3/16"),((база!$L$4*Таблица1[[#This Row],[сумма]]*Таблица1[[#This Row],[коэф]])),
IF((G366="4/4"),((база!$I$5*Таблица1[[#This Row],[сумма]]*Таблица1[[#This Row],[коэф]])),
IF(OR(G366="2/4",G366="3/4"),((база!$I$4*Таблица1[[#This Row],[сумма]]*Таблица1[[#This Row],[коэф]])),
IF((G366="5/8"),((база!$J$6*Таблица1[[#This Row],[сумма]]*Таблица1[[#This Row],[коэф]])),
IF((G366="4/8"),((база!$J$5*Таблица1[[#This Row],[сумма]]*Таблица1[[#This Row],[коэф]])),
IF(OR(G366="3/8",G366="2/8"),((база!$J$4*Таблица1[[#This Row],[сумма]]*Таблица1[[#This Row],[коэф]])))))))))))))),
(IF((G366="5/24"),((база!$M$6*Таблица1[[#This Row],[сумма]]*Таблица1[[#This Row],[коэф]])),
IF(OR(G366="4/24",G366="3/24"),((база!$M$5*Таблица1[[#This Row],[сумма]]*Таблица1[[#This Row],[коэф]])),
IF((G366="5/16"),((база!$L$6*Таблица1[[#This Row],[сумма]]*Таблица1[[#This Row],[коэф]])),
IF(OR(G366="4/16",G366="3/16"),((база!$L$5*Таблица1[[#This Row],[сумма]]*Таблица1[[#This Row],[коэф]])),
IF(OR(G366="2/4",G366="3/4",G366="4/4"),((база!$I$5*Таблица1[[#This Row],[сумма]]*Таблица1[[#This Row],[коэф]])),
IF((G366="5/8"),((база!$J$6*Таблица1[[#This Row],[сумма]]*Таблица1[[#This Row],[коэф]])),
IF(OR(G366="4/8",G366="3/8",G366="2/8"),((база!$J$5*Таблица1[[#This Row],[сумма]]*Таблица1[[#This Row],[коэф]])))))))))))</f>
        <v>0</v>
      </c>
      <c r="AP366" s="730" t="b">
        <f>IF(AR366&lt;=3,(IF((G366="5/24"),((база!$M$6*2*Таблица1[[#This Row],[Столбец1]]*Таблица1[[#This Row],[коэф]])),
IF((G366="4/24"),((база!$M$5*2*Таблица1[[#This Row],[Столбец1]]*Таблица1[[#This Row],[коэф]])),
IF((G366="3/24"),((база!$M$4*2*Таблица1[[#This Row],[Столбец1]]*Таблица1[[#This Row],[коэф]])),
IF((G366="5/16"),((база!$L$6*2*Таблица1[[#This Row],[Столбец1]]*Таблица1[[#This Row],[коэф]])),
IF((G366="4/16"),((база!$L$5*2*Таблица1[[#This Row],[Столбец1]]*Таблица1[[#This Row],[коэф]])),
IF((G366="3/16"),((база!$L$4*2*Таблица1[[#This Row],[Столбец1]]*Таблица1[[#This Row],[коэф]])),
IF((G366="4/4"),((база!$I$5*2*Таблица1[[#This Row],[Столбец1]]*Таблица1[[#This Row],[коэф]])),
IF(OR(G366="2/4",G366="3/4"),((база!$I$4*2*Таблица1[[#This Row],[Столбец1]]*Таблица1[[#This Row],[коэф]])),
IF((G366="5/8"),((база!$J$6*2*Таблица1[[#This Row],[Столбец1]]*Таблица1[[#This Row],[коэф]])),
IF((G366="4/8"),((база!$J$5*2*Таблица1[[#This Row],[Столбец1]]*Таблица1[[#This Row],[коэф]])),
IF(OR(G366="3/8",G366="2/8"),((база!$J$4*2*Таблица1[[#This Row],[Столбец1]]*Таблица1[[#This Row],[коэф]])))))))))))))),
(IF((G366="5/24"),((база!$M$6*2*Таблица1[[#This Row],[Столбец1]]*Таблица1[[#This Row],[коэф]])),
IF(OR(G366="4/24",G366="3/24"),((база!$M$5*2*Таблица1[[#This Row],[Столбец1]]*Таблица1[[#This Row],[коэф]])),
IF((G366="5/16"),((база!$L$6*2*Таблица1[[#This Row],[Столбец1]]*Таблица1[[#This Row],[коэф]])),
IF(OR(G366="4/16",G366="3/16"),((база!$L$5*2*Таблица1[[#This Row],[Столбец1]]*Таблица1[[#This Row],[коэф]])),
IF(OR(G366="2/4",G366="3/4",G366="4/4"),((база!$I$5*2*Таблица1[[#This Row],[Столбец1]]*Таблица1[[#This Row],[коэф]])),
IF((G366="5/8"),((база!$J$6*2*Таблица1[[#This Row],[Столбец1]]*Таблица1[[#This Row],[коэф]])),
IF(OR(G366="4/8",G366="3/8",G366="2/8"),((база!$J$5*2*Таблица1[[#This Row],[Столбец1]]*Таблица1[[#This Row],[коэф]])))))))))))</f>
        <v>0</v>
      </c>
      <c r="AQ366" s="712" t="str">
        <f>IFERROR(INDEX(база!T:T, MATCH(F366,база!Q:Q,0)),"")</f>
        <v/>
      </c>
      <c r="AR366" s="208" t="str">
        <f>IFERROR(INDEX(база!D:D, MATCH(F366,база!B:B,0)),"")</f>
        <v/>
      </c>
      <c r="AS366" s="758" t="str">
        <f>IFERROR(INDEX(база!E:E, MATCH(F366,база!B:B,0)),"")</f>
        <v/>
      </c>
    </row>
    <row r="367" spans="1:45" ht="15">
      <c r="A367" s="66" t="str">
        <f t="shared" si="4"/>
        <v>январь</v>
      </c>
      <c r="B367" s="231">
        <v>2024</v>
      </c>
      <c r="C367" s="299"/>
      <c r="D367" s="61"/>
      <c r="E367" s="211"/>
      <c r="F367" s="680"/>
      <c r="G367" s="47"/>
      <c r="H367" s="563"/>
      <c r="I367" s="563"/>
      <c r="J367" s="563"/>
      <c r="K367" s="563"/>
      <c r="L367" s="563"/>
      <c r="M367" s="563"/>
      <c r="N367" s="563"/>
      <c r="O367" s="563"/>
      <c r="P367" s="300"/>
      <c r="Q367" s="563"/>
      <c r="R367" s="563"/>
      <c r="S367" s="563"/>
      <c r="T367" s="563"/>
      <c r="U367" s="563"/>
      <c r="V367" s="563"/>
      <c r="W367" s="563"/>
      <c r="X367" s="563"/>
      <c r="Y367" s="563"/>
      <c r="Z367" s="563"/>
      <c r="AA367" s="563"/>
      <c r="AB367" s="563"/>
      <c r="AC367" s="563"/>
      <c r="AD367" s="48"/>
      <c r="AE367" s="48"/>
      <c r="AF367" s="258"/>
      <c r="AG367" s="48"/>
      <c r="AH367" s="48"/>
      <c r="AI367" s="258"/>
      <c r="AJ367" s="258"/>
      <c r="AK367" s="258"/>
      <c r="AL367" s="258"/>
      <c r="AM367" s="212">
        <f>IF(AQ367=1,SUM(Q367:T367,W367:Z367,AC367:AF367,AI367:AL367),
IF(AQ367=2,SUM(P367,S367:V367,Y367:AB367,AE367:AH367,AK367:AL367),
IF(AQ367=3,SUM(P367:R367,U367:X367,AA367:AD367,AG367:AJ367),SUM(Таблица1[[#This Row],[1]:[31]])-Таблица1[[#This Row],[Столбец1]])))</f>
        <v>0</v>
      </c>
      <c r="AN367" s="778">
        <f t="array" ref="AN367">IF(AQ367=1,SUM(P367,U367:V367,AA367:AB367,AG367:AH367),
IF(AQ367=2,SUM(Q367:R367,W367:X367,AC367:AD367,AI367:AJ367),
IF(AQ367=3,SUM(S367:T367,Y367:Z367,AE367:AF367,AK367:AL367),
SUM(IFERROR(WEEKDAY($H$2:$AL$2,2)&gt;5,)*H367:AL367))))+Таблица1[[#This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67" s="292" t="b">
        <f>IF(AR367&lt;=3,(IF((G367="5/24"),((база!$M$6*Таблица1[[#This Row],[сумма]]*Таблица1[[#This Row],[коэф]])),
IF((G367="4/24"),((база!$M$5*Таблица1[[#This Row],[сумма]]*Таблица1[[#This Row],[коэф]])),
IF((G367="3/24"),((база!$M$4*Таблица1[[#This Row],[сумма]]*Таблица1[[#This Row],[коэф]])),
IF((G367="5/16"),((база!$L$6*Таблица1[[#This Row],[сумма]]*Таблица1[[#This Row],[коэф]])),
IF((G367="4/16"),((база!$L$5*Таблица1[[#This Row],[сумма]]*Таблица1[[#This Row],[коэф]])),
IF((G367="3/16"),((база!$L$4*Таблица1[[#This Row],[сумма]]*Таблица1[[#This Row],[коэф]])),
IF((G367="4/4"),((база!$I$5*Таблица1[[#This Row],[сумма]]*Таблица1[[#This Row],[коэф]])),
IF(OR(G367="2/4",G367="3/4"),((база!$I$4*Таблица1[[#This Row],[сумма]]*Таблица1[[#This Row],[коэф]])),
IF((G367="5/8"),((база!$J$6*Таблица1[[#This Row],[сумма]]*Таблица1[[#This Row],[коэф]])),
IF((G367="4/8"),((база!$J$5*Таблица1[[#This Row],[сумма]]*Таблица1[[#This Row],[коэф]])),
IF(OR(G367="3/8",G367="2/8"),((база!$J$4*Таблица1[[#This Row],[сумма]]*Таблица1[[#This Row],[коэф]])))))))))))))),
(IF((G367="5/24"),((база!$M$6*Таблица1[[#This Row],[сумма]]*Таблица1[[#This Row],[коэф]])),
IF(OR(G367="4/24",G367="3/24"),((база!$M$5*Таблица1[[#This Row],[сумма]]*Таблица1[[#This Row],[коэф]])),
IF((G367="5/16"),((база!$L$6*Таблица1[[#This Row],[сумма]]*Таблица1[[#This Row],[коэф]])),
IF(OR(G367="4/16",G367="3/16"),((база!$L$5*Таблица1[[#This Row],[сумма]]*Таблица1[[#This Row],[коэф]])),
IF(OR(G367="2/4",G367="3/4",G367="4/4"),((база!$I$5*Таблица1[[#This Row],[сумма]]*Таблица1[[#This Row],[коэф]])),
IF((G367="5/8"),((база!$J$6*Таблица1[[#This Row],[сумма]]*Таблица1[[#This Row],[коэф]])),
IF(OR(G367="4/8",G367="3/8",G367="2/8"),((база!$J$5*Таблица1[[#This Row],[сумма]]*Таблица1[[#This Row],[коэф]])))))))))))</f>
        <v>0</v>
      </c>
      <c r="AP367" s="730" t="b">
        <f>IF(AR367&lt;=3,(IF((G367="5/24"),((база!$M$6*2*Таблица1[[#This Row],[Столбец1]]*Таблица1[[#This Row],[коэф]])),
IF((G367="4/24"),((база!$M$5*2*Таблица1[[#This Row],[Столбец1]]*Таблица1[[#This Row],[коэф]])),
IF((G367="3/24"),((база!$M$4*2*Таблица1[[#This Row],[Столбец1]]*Таблица1[[#This Row],[коэф]])),
IF((G367="5/16"),((база!$L$6*2*Таблица1[[#This Row],[Столбец1]]*Таблица1[[#This Row],[коэф]])),
IF((G367="4/16"),((база!$L$5*2*Таблица1[[#This Row],[Столбец1]]*Таблица1[[#This Row],[коэф]])),
IF((G367="3/16"),((база!$L$4*2*Таблица1[[#This Row],[Столбец1]]*Таблица1[[#This Row],[коэф]])),
IF((G367="4/4"),((база!$I$5*2*Таблица1[[#This Row],[Столбец1]]*Таблица1[[#This Row],[коэф]])),
IF(OR(G367="2/4",G367="3/4"),((база!$I$4*2*Таблица1[[#This Row],[Столбец1]]*Таблица1[[#This Row],[коэф]])),
IF((G367="5/8"),((база!$J$6*2*Таблица1[[#This Row],[Столбец1]]*Таблица1[[#This Row],[коэф]])),
IF((G367="4/8"),((база!$J$5*2*Таблица1[[#This Row],[Столбец1]]*Таблица1[[#This Row],[коэф]])),
IF(OR(G367="3/8",G367="2/8"),((база!$J$4*2*Таблица1[[#This Row],[Столбец1]]*Таблица1[[#This Row],[коэф]])))))))))))))),
(IF((G367="5/24"),((база!$M$6*2*Таблица1[[#This Row],[Столбец1]]*Таблица1[[#This Row],[коэф]])),
IF(OR(G367="4/24",G367="3/24"),((база!$M$5*2*Таблица1[[#This Row],[Столбец1]]*Таблица1[[#This Row],[коэф]])),
IF((G367="5/16"),((база!$L$6*2*Таблица1[[#This Row],[Столбец1]]*Таблица1[[#This Row],[коэф]])),
IF(OR(G367="4/16",G367="3/16"),((база!$L$5*2*Таблица1[[#This Row],[Столбец1]]*Таблица1[[#This Row],[коэф]])),
IF(OR(G367="2/4",G367="3/4",G367="4/4"),((база!$I$5*2*Таблица1[[#This Row],[Столбец1]]*Таблица1[[#This Row],[коэф]])),
IF((G367="5/8"),((база!$J$6*2*Таблица1[[#This Row],[Столбец1]]*Таблица1[[#This Row],[коэф]])),
IF(OR(G367="4/8",G367="3/8",G367="2/8"),((база!$J$5*2*Таблица1[[#This Row],[Столбец1]]*Таблица1[[#This Row],[коэф]])))))))))))</f>
        <v>0</v>
      </c>
      <c r="AQ367" s="712" t="str">
        <f>IFERROR(INDEX(база!T:T, MATCH(F367,база!Q:Q,0)),"")</f>
        <v/>
      </c>
      <c r="AR367" s="208" t="str">
        <f>IFERROR(INDEX(база!D:D, MATCH(F367,база!B:B,0)),"")</f>
        <v/>
      </c>
      <c r="AS367" s="758" t="str">
        <f>IFERROR(INDEX(база!E:E, MATCH(F367,база!B:B,0)),"")</f>
        <v/>
      </c>
    </row>
    <row r="368" spans="1:45" ht="15">
      <c r="A368" s="66" t="str">
        <f t="shared" si="4"/>
        <v>январь</v>
      </c>
      <c r="B368" s="231">
        <v>2024</v>
      </c>
      <c r="C368" s="299"/>
      <c r="D368" s="61"/>
      <c r="E368" s="211"/>
      <c r="F368" s="680"/>
      <c r="G368" s="47"/>
      <c r="H368" s="563"/>
      <c r="I368" s="563"/>
      <c r="J368" s="563"/>
      <c r="K368" s="563"/>
      <c r="L368" s="563"/>
      <c r="M368" s="563"/>
      <c r="N368" s="563"/>
      <c r="O368" s="563"/>
      <c r="P368" s="300"/>
      <c r="Q368" s="563"/>
      <c r="R368" s="563"/>
      <c r="S368" s="563"/>
      <c r="T368" s="563"/>
      <c r="U368" s="563"/>
      <c r="V368" s="563"/>
      <c r="W368" s="563"/>
      <c r="X368" s="563"/>
      <c r="Y368" s="563"/>
      <c r="Z368" s="563"/>
      <c r="AA368" s="563"/>
      <c r="AB368" s="563"/>
      <c r="AC368" s="563"/>
      <c r="AD368" s="48"/>
      <c r="AE368" s="48"/>
      <c r="AF368" s="258"/>
      <c r="AG368" s="48"/>
      <c r="AH368" s="48"/>
      <c r="AI368" s="48"/>
      <c r="AJ368" s="48"/>
      <c r="AK368" s="48"/>
      <c r="AL368" s="51"/>
      <c r="AM368" s="212">
        <f>IF(AQ368=1,SUM(Q368:T368,W368:Z368,AC368:AF368,AI368:AL368),
IF(AQ368=2,SUM(P368,S368:V368,Y368:AB368,AE368:AH368,AK368:AL368),
IF(AQ368=3,SUM(P368:R368,U368:X368,AA368:AD368,AG368:AJ368),SUM(Таблица1[[#This Row],[1]:[31]])-Таблица1[[#This Row],[Столбец1]])))</f>
        <v>0</v>
      </c>
      <c r="AN368" s="778">
        <f t="array" ref="AN368">IF(AQ368=1,SUM(P368,U368:V368,AA368:AB368,AG368:AH368),
IF(AQ368=2,SUM(Q368:R368,W368:X368,AC368:AD368,AI368:AJ368),
IF(AQ368=3,SUM(S368:T368,Y368:Z368,AE368:AF368,AK368:AL368),
SUM(IFERROR(WEEKDAY($H$2:$AL$2,2)&gt;5,)*H368:AL368))))+Таблица1[[#This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68" s="292" t="b">
        <f>IF(AR368&lt;=3,(IF((G368="5/24"),((база!$M$6*Таблица1[[#This Row],[сумма]]*Таблица1[[#This Row],[коэф]])),
IF((G368="4/24"),((база!$M$5*Таблица1[[#This Row],[сумма]]*Таблица1[[#This Row],[коэф]])),
IF((G368="3/24"),((база!$M$4*Таблица1[[#This Row],[сумма]]*Таблица1[[#This Row],[коэф]])),
IF((G368="5/16"),((база!$L$6*Таблица1[[#This Row],[сумма]]*Таблица1[[#This Row],[коэф]])),
IF((G368="4/16"),((база!$L$5*Таблица1[[#This Row],[сумма]]*Таблица1[[#This Row],[коэф]])),
IF((G368="3/16"),((база!$L$4*Таблица1[[#This Row],[сумма]]*Таблица1[[#This Row],[коэф]])),
IF((G368="4/4"),((база!$I$5*Таблица1[[#This Row],[сумма]]*Таблица1[[#This Row],[коэф]])),
IF(OR(G368="2/4",G368="3/4"),((база!$I$4*Таблица1[[#This Row],[сумма]]*Таблица1[[#This Row],[коэф]])),
IF((G368="5/8"),((база!$J$6*Таблица1[[#This Row],[сумма]]*Таблица1[[#This Row],[коэф]])),
IF((G368="4/8"),((база!$J$5*Таблица1[[#This Row],[сумма]]*Таблица1[[#This Row],[коэф]])),
IF(OR(G368="3/8",G368="2/8"),((база!$J$4*Таблица1[[#This Row],[сумма]]*Таблица1[[#This Row],[коэф]])))))))))))))),
(IF((G368="5/24"),((база!$M$6*Таблица1[[#This Row],[сумма]]*Таблица1[[#This Row],[коэф]])),
IF(OR(G368="4/24",G368="3/24"),((база!$M$5*Таблица1[[#This Row],[сумма]]*Таблица1[[#This Row],[коэф]])),
IF((G368="5/16"),((база!$L$6*Таблица1[[#This Row],[сумма]]*Таблица1[[#This Row],[коэф]])),
IF(OR(G368="4/16",G368="3/16"),((база!$L$5*Таблица1[[#This Row],[сумма]]*Таблица1[[#This Row],[коэф]])),
IF(OR(G368="2/4",G368="3/4",G368="4/4"),((база!$I$5*Таблица1[[#This Row],[сумма]]*Таблица1[[#This Row],[коэф]])),
IF((G368="5/8"),((база!$J$6*Таблица1[[#This Row],[сумма]]*Таблица1[[#This Row],[коэф]])),
IF(OR(G368="4/8",G368="3/8",G368="2/8"),((база!$J$5*Таблица1[[#This Row],[сумма]]*Таблица1[[#This Row],[коэф]])))))))))))</f>
        <v>0</v>
      </c>
      <c r="AP368" s="730" t="b">
        <f>IF(AR368&lt;=3,(IF((G368="5/24"),((база!$M$6*2*Таблица1[[#This Row],[Столбец1]]*Таблица1[[#This Row],[коэф]])),
IF((G368="4/24"),((база!$M$5*2*Таблица1[[#This Row],[Столбец1]]*Таблица1[[#This Row],[коэф]])),
IF((G368="3/24"),((база!$M$4*2*Таблица1[[#This Row],[Столбец1]]*Таблица1[[#This Row],[коэф]])),
IF((G368="5/16"),((база!$L$6*2*Таблица1[[#This Row],[Столбец1]]*Таблица1[[#This Row],[коэф]])),
IF((G368="4/16"),((база!$L$5*2*Таблица1[[#This Row],[Столбец1]]*Таблица1[[#This Row],[коэф]])),
IF((G368="3/16"),((база!$L$4*2*Таблица1[[#This Row],[Столбец1]]*Таблица1[[#This Row],[коэф]])),
IF((G368="4/4"),((база!$I$5*2*Таблица1[[#This Row],[Столбец1]]*Таблица1[[#This Row],[коэф]])),
IF(OR(G368="2/4",G368="3/4"),((база!$I$4*2*Таблица1[[#This Row],[Столбец1]]*Таблица1[[#This Row],[коэф]])),
IF((G368="5/8"),((база!$J$6*2*Таблица1[[#This Row],[Столбец1]]*Таблица1[[#This Row],[коэф]])),
IF((G368="4/8"),((база!$J$5*2*Таблица1[[#This Row],[Столбец1]]*Таблица1[[#This Row],[коэф]])),
IF(OR(G368="3/8",G368="2/8"),((база!$J$4*2*Таблица1[[#This Row],[Столбец1]]*Таблица1[[#This Row],[коэф]])))))))))))))),
(IF((G368="5/24"),((база!$M$6*2*Таблица1[[#This Row],[Столбец1]]*Таблица1[[#This Row],[коэф]])),
IF(OR(G368="4/24",G368="3/24"),((база!$M$5*2*Таблица1[[#This Row],[Столбец1]]*Таблица1[[#This Row],[коэф]])),
IF((G368="5/16"),((база!$L$6*2*Таблица1[[#This Row],[Столбец1]]*Таблица1[[#This Row],[коэф]])),
IF(OR(G368="4/16",G368="3/16"),((база!$L$5*2*Таблица1[[#This Row],[Столбец1]]*Таблица1[[#This Row],[коэф]])),
IF(OR(G368="2/4",G368="3/4",G368="4/4"),((база!$I$5*2*Таблица1[[#This Row],[Столбец1]]*Таблица1[[#This Row],[коэф]])),
IF((G368="5/8"),((база!$J$6*2*Таблица1[[#This Row],[Столбец1]]*Таблица1[[#This Row],[коэф]])),
IF(OR(G368="4/8",G368="3/8",G368="2/8"),((база!$J$5*2*Таблица1[[#This Row],[Столбец1]]*Таблица1[[#This Row],[коэф]])))))))))))</f>
        <v>0</v>
      </c>
      <c r="AQ368" s="712" t="str">
        <f>IFERROR(INDEX(база!T:T, MATCH(F368,база!Q:Q,0)),"")</f>
        <v/>
      </c>
      <c r="AR368" s="208" t="str">
        <f>IFERROR(INDEX(база!D:D, MATCH(F368,база!B:B,0)),"")</f>
        <v/>
      </c>
      <c r="AS368" s="758" t="str">
        <f>IFERROR(INDEX(база!E:E, MATCH(F368,база!B:B,0)),"")</f>
        <v/>
      </c>
    </row>
    <row r="369" spans="1:45" ht="15">
      <c r="A369" s="66" t="str">
        <f t="shared" ref="A369:A432" si="7">A368</f>
        <v>январь</v>
      </c>
      <c r="B369" s="231">
        <v>2024</v>
      </c>
      <c r="C369" s="299"/>
      <c r="D369" s="61"/>
      <c r="E369" s="211"/>
      <c r="F369" s="680"/>
      <c r="G369" s="47"/>
      <c r="H369" s="563"/>
      <c r="I369" s="563"/>
      <c r="J369" s="563"/>
      <c r="K369" s="563"/>
      <c r="L369" s="563"/>
      <c r="M369" s="563"/>
      <c r="N369" s="563"/>
      <c r="O369" s="563"/>
      <c r="P369" s="300"/>
      <c r="Q369" s="563"/>
      <c r="R369" s="563"/>
      <c r="S369" s="563"/>
      <c r="T369" s="563"/>
      <c r="U369" s="563"/>
      <c r="V369" s="563"/>
      <c r="W369" s="563"/>
      <c r="X369" s="563"/>
      <c r="Y369" s="563"/>
      <c r="Z369" s="563"/>
      <c r="AA369" s="563"/>
      <c r="AB369" s="563"/>
      <c r="AC369" s="563"/>
      <c r="AD369" s="48"/>
      <c r="AE369" s="48"/>
      <c r="AF369" s="258"/>
      <c r="AG369" s="48"/>
      <c r="AH369" s="48"/>
      <c r="AI369" s="258"/>
      <c r="AJ369" s="258"/>
      <c r="AK369" s="258"/>
      <c r="AL369" s="258"/>
      <c r="AM369" s="212">
        <f>IF(AQ369=1,SUM(Q369:T369,W369:Z369,AC369:AF369,AI369:AL369),
IF(AQ369=2,SUM(P369,S369:V369,Y369:AB369,AE369:AH369,AK369:AL369),
IF(AQ369=3,SUM(P369:R369,U369:X369,AA369:AD369,AG369:AJ369),SUM(Таблица1[[#This Row],[1]:[31]])-Таблица1[[#This Row],[Столбец1]])))</f>
        <v>0</v>
      </c>
      <c r="AN369" s="778">
        <f t="array" ref="AN369">IF(AQ369=1,SUM(P369,U369:V369,AA369:AB369,AG369:AH369),
IF(AQ369=2,SUM(Q369:R369,W369:X369,AC369:AD369,AI369:AJ369),
IF(AQ369=3,SUM(S369:T369,Y369:Z369,AE369:AF369,AK369:AL369),
SUM(IFERROR(WEEKDAY($H$2:$AL$2,2)&gt;5,)*H369:AL369))))+Таблица1[[#This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69" s="292" t="b">
        <f>IF(AR369&lt;=3,(IF((G369="5/24"),((база!$M$6*Таблица1[[#This Row],[сумма]]*Таблица1[[#This Row],[коэф]])),
IF((G369="4/24"),((база!$M$5*Таблица1[[#This Row],[сумма]]*Таблица1[[#This Row],[коэф]])),
IF((G369="3/24"),((база!$M$4*Таблица1[[#This Row],[сумма]]*Таблица1[[#This Row],[коэф]])),
IF((G369="5/16"),((база!$L$6*Таблица1[[#This Row],[сумма]]*Таблица1[[#This Row],[коэф]])),
IF((G369="4/16"),((база!$L$5*Таблица1[[#This Row],[сумма]]*Таблица1[[#This Row],[коэф]])),
IF((G369="3/16"),((база!$L$4*Таблица1[[#This Row],[сумма]]*Таблица1[[#This Row],[коэф]])),
IF((G369="4/4"),((база!$I$5*Таблица1[[#This Row],[сумма]]*Таблица1[[#This Row],[коэф]])),
IF(OR(G369="2/4",G369="3/4"),((база!$I$4*Таблица1[[#This Row],[сумма]]*Таблица1[[#This Row],[коэф]])),
IF((G369="5/8"),((база!$J$6*Таблица1[[#This Row],[сумма]]*Таблица1[[#This Row],[коэф]])),
IF((G369="4/8"),((база!$J$5*Таблица1[[#This Row],[сумма]]*Таблица1[[#This Row],[коэф]])),
IF(OR(G369="3/8",G369="2/8"),((база!$J$4*Таблица1[[#This Row],[сумма]]*Таблица1[[#This Row],[коэф]])))))))))))))),
(IF((G369="5/24"),((база!$M$6*Таблица1[[#This Row],[сумма]]*Таблица1[[#This Row],[коэф]])),
IF(OR(G369="4/24",G369="3/24"),((база!$M$5*Таблица1[[#This Row],[сумма]]*Таблица1[[#This Row],[коэф]])),
IF((G369="5/16"),((база!$L$6*Таблица1[[#This Row],[сумма]]*Таблица1[[#This Row],[коэф]])),
IF(OR(G369="4/16",G369="3/16"),((база!$L$5*Таблица1[[#This Row],[сумма]]*Таблица1[[#This Row],[коэф]])),
IF(OR(G369="2/4",G369="3/4",G369="4/4"),((база!$I$5*Таблица1[[#This Row],[сумма]]*Таблица1[[#This Row],[коэф]])),
IF((G369="5/8"),((база!$J$6*Таблица1[[#This Row],[сумма]]*Таблица1[[#This Row],[коэф]])),
IF(OR(G369="4/8",G369="3/8",G369="2/8"),((база!$J$5*Таблица1[[#This Row],[сумма]]*Таблица1[[#This Row],[коэф]])))))))))))</f>
        <v>0</v>
      </c>
      <c r="AP369" s="730" t="b">
        <f>IF(AR369&lt;=3,(IF((G369="5/24"),((база!$M$6*2*Таблица1[[#This Row],[Столбец1]]*Таблица1[[#This Row],[коэф]])),
IF((G369="4/24"),((база!$M$5*2*Таблица1[[#This Row],[Столбец1]]*Таблица1[[#This Row],[коэф]])),
IF((G369="3/24"),((база!$M$4*2*Таблица1[[#This Row],[Столбец1]]*Таблица1[[#This Row],[коэф]])),
IF((G369="5/16"),((база!$L$6*2*Таблица1[[#This Row],[Столбец1]]*Таблица1[[#This Row],[коэф]])),
IF((G369="4/16"),((база!$L$5*2*Таблица1[[#This Row],[Столбец1]]*Таблица1[[#This Row],[коэф]])),
IF((G369="3/16"),((база!$L$4*2*Таблица1[[#This Row],[Столбец1]]*Таблица1[[#This Row],[коэф]])),
IF((G369="4/4"),((база!$I$5*2*Таблица1[[#This Row],[Столбец1]]*Таблица1[[#This Row],[коэф]])),
IF(OR(G369="2/4",G369="3/4"),((база!$I$4*2*Таблица1[[#This Row],[Столбец1]]*Таблица1[[#This Row],[коэф]])),
IF((G369="5/8"),((база!$J$6*2*Таблица1[[#This Row],[Столбец1]]*Таблица1[[#This Row],[коэф]])),
IF((G369="4/8"),((база!$J$5*2*Таблица1[[#This Row],[Столбец1]]*Таблица1[[#This Row],[коэф]])),
IF(OR(G369="3/8",G369="2/8"),((база!$J$4*2*Таблица1[[#This Row],[Столбец1]]*Таблица1[[#This Row],[коэф]])))))))))))))),
(IF((G369="5/24"),((база!$M$6*2*Таблица1[[#This Row],[Столбец1]]*Таблица1[[#This Row],[коэф]])),
IF(OR(G369="4/24",G369="3/24"),((база!$M$5*2*Таблица1[[#This Row],[Столбец1]]*Таблица1[[#This Row],[коэф]])),
IF((G369="5/16"),((база!$L$6*2*Таблица1[[#This Row],[Столбец1]]*Таблица1[[#This Row],[коэф]])),
IF(OR(G369="4/16",G369="3/16"),((база!$L$5*2*Таблица1[[#This Row],[Столбец1]]*Таблица1[[#This Row],[коэф]])),
IF(OR(G369="2/4",G369="3/4",G369="4/4"),((база!$I$5*2*Таблица1[[#This Row],[Столбец1]]*Таблица1[[#This Row],[коэф]])),
IF((G369="5/8"),((база!$J$6*2*Таблица1[[#This Row],[Столбец1]]*Таблица1[[#This Row],[коэф]])),
IF(OR(G369="4/8",G369="3/8",G369="2/8"),((база!$J$5*2*Таблица1[[#This Row],[Столбец1]]*Таблица1[[#This Row],[коэф]])))))))))))</f>
        <v>0</v>
      </c>
      <c r="AQ369" s="712" t="str">
        <f>IFERROR(INDEX(база!T:T, MATCH(F369,база!Q:Q,0)),"")</f>
        <v/>
      </c>
      <c r="AR369" s="208" t="str">
        <f>IFERROR(INDEX(база!D:D, MATCH(F369,база!B:B,0)),"")</f>
        <v/>
      </c>
      <c r="AS369" s="758" t="str">
        <f>IFERROR(INDEX(база!E:E, MATCH(F369,база!B:B,0)),"")</f>
        <v/>
      </c>
    </row>
    <row r="370" spans="1:45" ht="15">
      <c r="A370" s="66" t="str">
        <f t="shared" si="7"/>
        <v>январь</v>
      </c>
      <c r="B370" s="231">
        <v>2024</v>
      </c>
      <c r="C370" s="299"/>
      <c r="D370" s="61"/>
      <c r="E370" s="211"/>
      <c r="F370" s="680"/>
      <c r="G370" s="47"/>
      <c r="H370" s="563"/>
      <c r="I370" s="563"/>
      <c r="J370" s="563"/>
      <c r="K370" s="563"/>
      <c r="L370" s="563"/>
      <c r="M370" s="563"/>
      <c r="N370" s="563"/>
      <c r="O370" s="563"/>
      <c r="P370" s="300"/>
      <c r="Q370" s="563"/>
      <c r="R370" s="563"/>
      <c r="S370" s="563"/>
      <c r="T370" s="563"/>
      <c r="U370" s="563"/>
      <c r="V370" s="563"/>
      <c r="W370" s="563"/>
      <c r="X370" s="563"/>
      <c r="Y370" s="563"/>
      <c r="Z370" s="563"/>
      <c r="AA370" s="563"/>
      <c r="AB370" s="563"/>
      <c r="AC370" s="563"/>
      <c r="AD370" s="48"/>
      <c r="AE370" s="48"/>
      <c r="AF370" s="258"/>
      <c r="AG370" s="48"/>
      <c r="AH370" s="48"/>
      <c r="AI370" s="48"/>
      <c r="AJ370" s="48"/>
      <c r="AK370" s="48"/>
      <c r="AL370" s="51"/>
      <c r="AM370" s="212">
        <f>IF(AQ370=1,SUM(Q370:T370,W370:Z370,AC370:AF370,AI370:AL370),
IF(AQ370=2,SUM(P370,S370:V370,Y370:AB370,AE370:AH370,AK370:AL370),
IF(AQ370=3,SUM(P370:R370,U370:X370,AA370:AD370,AG370:AJ370),SUM(Таблица1[[#This Row],[1]:[31]])-Таблица1[[#This Row],[Столбец1]])))</f>
        <v>0</v>
      </c>
      <c r="AN370" s="778">
        <f t="array" ref="AN370">IF(AQ370=1,SUM(P370,U370:V370,AA370:AB370,AG370:AH370),
IF(AQ370=2,SUM(Q370:R370,W370:X370,AC370:AD370,AI370:AJ370),
IF(AQ370=3,SUM(S370:T370,Y370:Z370,AE370:AF370,AK370:AL370),
SUM(IFERROR(WEEKDAY($H$2:$AL$2,2)&gt;5,)*H370:AL370))))+Таблица1[[#This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70" s="292" t="b">
        <f>IF(AR370&lt;=3,(IF((G370="5/24"),((база!$M$6*Таблица1[[#This Row],[сумма]]*Таблица1[[#This Row],[коэф]])),
IF((G370="4/24"),((база!$M$5*Таблица1[[#This Row],[сумма]]*Таблица1[[#This Row],[коэф]])),
IF((G370="3/24"),((база!$M$4*Таблица1[[#This Row],[сумма]]*Таблица1[[#This Row],[коэф]])),
IF((G370="5/16"),((база!$L$6*Таблица1[[#This Row],[сумма]]*Таблица1[[#This Row],[коэф]])),
IF((G370="4/16"),((база!$L$5*Таблица1[[#This Row],[сумма]]*Таблица1[[#This Row],[коэф]])),
IF((G370="3/16"),((база!$L$4*Таблица1[[#This Row],[сумма]]*Таблица1[[#This Row],[коэф]])),
IF((G370="4/4"),((база!$I$5*Таблица1[[#This Row],[сумма]]*Таблица1[[#This Row],[коэф]])),
IF(OR(G370="2/4",G370="3/4"),((база!$I$4*Таблица1[[#This Row],[сумма]]*Таблица1[[#This Row],[коэф]])),
IF((G370="5/8"),((база!$J$6*Таблица1[[#This Row],[сумма]]*Таблица1[[#This Row],[коэф]])),
IF((G370="4/8"),((база!$J$5*Таблица1[[#This Row],[сумма]]*Таблица1[[#This Row],[коэф]])),
IF(OR(G370="3/8",G370="2/8"),((база!$J$4*Таблица1[[#This Row],[сумма]]*Таблица1[[#This Row],[коэф]])))))))))))))),
(IF((G370="5/24"),((база!$M$6*Таблица1[[#This Row],[сумма]]*Таблица1[[#This Row],[коэф]])),
IF(OR(G370="4/24",G370="3/24"),((база!$M$5*Таблица1[[#This Row],[сумма]]*Таблица1[[#This Row],[коэф]])),
IF((G370="5/16"),((база!$L$6*Таблица1[[#This Row],[сумма]]*Таблица1[[#This Row],[коэф]])),
IF(OR(G370="4/16",G370="3/16"),((база!$L$5*Таблица1[[#This Row],[сумма]]*Таблица1[[#This Row],[коэф]])),
IF(OR(G370="2/4",G370="3/4",G370="4/4"),((база!$I$5*Таблица1[[#This Row],[сумма]]*Таблица1[[#This Row],[коэф]])),
IF((G370="5/8"),((база!$J$6*Таблица1[[#This Row],[сумма]]*Таблица1[[#This Row],[коэф]])),
IF(OR(G370="4/8",G370="3/8",G370="2/8"),((база!$J$5*Таблица1[[#This Row],[сумма]]*Таблица1[[#This Row],[коэф]])))))))))))</f>
        <v>0</v>
      </c>
      <c r="AP370" s="730" t="b">
        <f>IF(AR370&lt;=3,(IF((G370="5/24"),((база!$M$6*2*Таблица1[[#This Row],[Столбец1]]*Таблица1[[#This Row],[коэф]])),
IF((G370="4/24"),((база!$M$5*2*Таблица1[[#This Row],[Столбец1]]*Таблица1[[#This Row],[коэф]])),
IF((G370="3/24"),((база!$M$4*2*Таблица1[[#This Row],[Столбец1]]*Таблица1[[#This Row],[коэф]])),
IF((G370="5/16"),((база!$L$6*2*Таблица1[[#This Row],[Столбец1]]*Таблица1[[#This Row],[коэф]])),
IF((G370="4/16"),((база!$L$5*2*Таблица1[[#This Row],[Столбец1]]*Таблица1[[#This Row],[коэф]])),
IF((G370="3/16"),((база!$L$4*2*Таблица1[[#This Row],[Столбец1]]*Таблица1[[#This Row],[коэф]])),
IF((G370="4/4"),((база!$I$5*2*Таблица1[[#This Row],[Столбец1]]*Таблица1[[#This Row],[коэф]])),
IF(OR(G370="2/4",G370="3/4"),((база!$I$4*2*Таблица1[[#This Row],[Столбец1]]*Таблица1[[#This Row],[коэф]])),
IF((G370="5/8"),((база!$J$6*2*Таблица1[[#This Row],[Столбец1]]*Таблица1[[#This Row],[коэф]])),
IF((G370="4/8"),((база!$J$5*2*Таблица1[[#This Row],[Столбец1]]*Таблица1[[#This Row],[коэф]])),
IF(OR(G370="3/8",G370="2/8"),((база!$J$4*2*Таблица1[[#This Row],[Столбец1]]*Таблица1[[#This Row],[коэф]])))))))))))))),
(IF((G370="5/24"),((база!$M$6*2*Таблица1[[#This Row],[Столбец1]]*Таблица1[[#This Row],[коэф]])),
IF(OR(G370="4/24",G370="3/24"),((база!$M$5*2*Таблица1[[#This Row],[Столбец1]]*Таблица1[[#This Row],[коэф]])),
IF((G370="5/16"),((база!$L$6*2*Таблица1[[#This Row],[Столбец1]]*Таблица1[[#This Row],[коэф]])),
IF(OR(G370="4/16",G370="3/16"),((база!$L$5*2*Таблица1[[#This Row],[Столбец1]]*Таблица1[[#This Row],[коэф]])),
IF(OR(G370="2/4",G370="3/4",G370="4/4"),((база!$I$5*2*Таблица1[[#This Row],[Столбец1]]*Таблица1[[#This Row],[коэф]])),
IF((G370="5/8"),((база!$J$6*2*Таблица1[[#This Row],[Столбец1]]*Таблица1[[#This Row],[коэф]])),
IF(OR(G370="4/8",G370="3/8",G370="2/8"),((база!$J$5*2*Таблица1[[#This Row],[Столбец1]]*Таблица1[[#This Row],[коэф]])))))))))))</f>
        <v>0</v>
      </c>
      <c r="AQ370" s="712" t="str">
        <f>IFERROR(INDEX(база!T:T, MATCH(F370,база!Q:Q,0)),"")</f>
        <v/>
      </c>
      <c r="AR370" s="208" t="str">
        <f>IFERROR(INDEX(база!D:D, MATCH(F370,база!B:B,0)),"")</f>
        <v/>
      </c>
      <c r="AS370" s="758" t="str">
        <f>IFERROR(INDEX(база!E:E, MATCH(F370,база!B:B,0)),"")</f>
        <v/>
      </c>
    </row>
    <row r="371" spans="1:45" ht="15">
      <c r="A371" s="66" t="str">
        <f t="shared" si="7"/>
        <v>январь</v>
      </c>
      <c r="B371" s="231">
        <v>2024</v>
      </c>
      <c r="C371" s="299"/>
      <c r="D371" s="61"/>
      <c r="E371" s="211"/>
      <c r="F371" s="680"/>
      <c r="G371" s="47"/>
      <c r="H371" s="563"/>
      <c r="I371" s="563"/>
      <c r="J371" s="563"/>
      <c r="K371" s="563"/>
      <c r="L371" s="563"/>
      <c r="M371" s="563"/>
      <c r="N371" s="563"/>
      <c r="O371" s="563"/>
      <c r="P371" s="300"/>
      <c r="Q371" s="563"/>
      <c r="R371" s="563"/>
      <c r="S371" s="563"/>
      <c r="T371" s="563"/>
      <c r="U371" s="563"/>
      <c r="V371" s="563"/>
      <c r="W371" s="563"/>
      <c r="X371" s="563"/>
      <c r="Y371" s="563"/>
      <c r="Z371" s="563"/>
      <c r="AA371" s="563"/>
      <c r="AB371" s="563"/>
      <c r="AC371" s="563"/>
      <c r="AD371" s="48"/>
      <c r="AE371" s="48"/>
      <c r="AF371" s="258"/>
      <c r="AG371" s="48"/>
      <c r="AH371" s="48"/>
      <c r="AI371" s="258"/>
      <c r="AJ371" s="258"/>
      <c r="AK371" s="258"/>
      <c r="AL371" s="258"/>
      <c r="AM371" s="212">
        <f>IF(AQ371=1,SUM(Q371:T371,W371:Z371,AC371:AF371,AI371:AL371),
IF(AQ371=2,SUM(P371,S371:V371,Y371:AB371,AE371:AH371,AK371:AL371),
IF(AQ371=3,SUM(P371:R371,U371:X371,AA371:AD371,AG371:AJ371),SUM(Таблица1[[#This Row],[1]:[31]])-Таблица1[[#This Row],[Столбец1]])))</f>
        <v>0</v>
      </c>
      <c r="AN371" s="778">
        <f t="array" ref="AN371">IF(AQ371=1,SUM(P371,U371:V371,AA371:AB371,AG371:AH371),
IF(AQ371=2,SUM(Q371:R371,W371:X371,AC371:AD371,AI371:AJ371),
IF(AQ371=3,SUM(S371:T371,Y371:Z371,AE371:AF371,AK371:AL371),
SUM(IFERROR(WEEKDAY($H$2:$AL$2,2)&gt;5,)*H371:AL371))))+Таблица1[[#This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71" s="292" t="b">
        <f>IF(AR371&lt;=3,(IF((G371="5/24"),((база!$M$6*Таблица1[[#This Row],[сумма]]*Таблица1[[#This Row],[коэф]])),
IF((G371="4/24"),((база!$M$5*Таблица1[[#This Row],[сумма]]*Таблица1[[#This Row],[коэф]])),
IF((G371="3/24"),((база!$M$4*Таблица1[[#This Row],[сумма]]*Таблица1[[#This Row],[коэф]])),
IF((G371="5/16"),((база!$L$6*Таблица1[[#This Row],[сумма]]*Таблица1[[#This Row],[коэф]])),
IF((G371="4/16"),((база!$L$5*Таблица1[[#This Row],[сумма]]*Таблица1[[#This Row],[коэф]])),
IF((G371="3/16"),((база!$L$4*Таблица1[[#This Row],[сумма]]*Таблица1[[#This Row],[коэф]])),
IF((G371="4/4"),((база!$I$5*Таблица1[[#This Row],[сумма]]*Таблица1[[#This Row],[коэф]])),
IF(OR(G371="2/4",G371="3/4"),((база!$I$4*Таблица1[[#This Row],[сумма]]*Таблица1[[#This Row],[коэф]])),
IF((G371="5/8"),((база!$J$6*Таблица1[[#This Row],[сумма]]*Таблица1[[#This Row],[коэф]])),
IF((G371="4/8"),((база!$J$5*Таблица1[[#This Row],[сумма]]*Таблица1[[#This Row],[коэф]])),
IF(OR(G371="3/8",G371="2/8"),((база!$J$4*Таблица1[[#This Row],[сумма]]*Таблица1[[#This Row],[коэф]])))))))))))))),
(IF((G371="5/24"),((база!$M$6*Таблица1[[#This Row],[сумма]]*Таблица1[[#This Row],[коэф]])),
IF(OR(G371="4/24",G371="3/24"),((база!$M$5*Таблица1[[#This Row],[сумма]]*Таблица1[[#This Row],[коэф]])),
IF((G371="5/16"),((база!$L$6*Таблица1[[#This Row],[сумма]]*Таблица1[[#This Row],[коэф]])),
IF(OR(G371="4/16",G371="3/16"),((база!$L$5*Таблица1[[#This Row],[сумма]]*Таблица1[[#This Row],[коэф]])),
IF(OR(G371="2/4",G371="3/4",G371="4/4"),((база!$I$5*Таблица1[[#This Row],[сумма]]*Таблица1[[#This Row],[коэф]])),
IF((G371="5/8"),((база!$J$6*Таблица1[[#This Row],[сумма]]*Таблица1[[#This Row],[коэф]])),
IF(OR(G371="4/8",G371="3/8",G371="2/8"),((база!$J$5*Таблица1[[#This Row],[сумма]]*Таблица1[[#This Row],[коэф]])))))))))))</f>
        <v>0</v>
      </c>
      <c r="AP371" s="730" t="b">
        <f>IF(AR371&lt;=3,(IF((G371="5/24"),((база!$M$6*2*Таблица1[[#This Row],[Столбец1]]*Таблица1[[#This Row],[коэф]])),
IF((G371="4/24"),((база!$M$5*2*Таблица1[[#This Row],[Столбец1]]*Таблица1[[#This Row],[коэф]])),
IF((G371="3/24"),((база!$M$4*2*Таблица1[[#This Row],[Столбец1]]*Таблица1[[#This Row],[коэф]])),
IF((G371="5/16"),((база!$L$6*2*Таблица1[[#This Row],[Столбец1]]*Таблица1[[#This Row],[коэф]])),
IF((G371="4/16"),((база!$L$5*2*Таблица1[[#This Row],[Столбец1]]*Таблица1[[#This Row],[коэф]])),
IF((G371="3/16"),((база!$L$4*2*Таблица1[[#This Row],[Столбец1]]*Таблица1[[#This Row],[коэф]])),
IF((G371="4/4"),((база!$I$5*2*Таблица1[[#This Row],[Столбец1]]*Таблица1[[#This Row],[коэф]])),
IF(OR(G371="2/4",G371="3/4"),((база!$I$4*2*Таблица1[[#This Row],[Столбец1]]*Таблица1[[#This Row],[коэф]])),
IF((G371="5/8"),((база!$J$6*2*Таблица1[[#This Row],[Столбец1]]*Таблица1[[#This Row],[коэф]])),
IF((G371="4/8"),((база!$J$5*2*Таблица1[[#This Row],[Столбец1]]*Таблица1[[#This Row],[коэф]])),
IF(OR(G371="3/8",G371="2/8"),((база!$J$4*2*Таблица1[[#This Row],[Столбец1]]*Таблица1[[#This Row],[коэф]])))))))))))))),
(IF((G371="5/24"),((база!$M$6*2*Таблица1[[#This Row],[Столбец1]]*Таблица1[[#This Row],[коэф]])),
IF(OR(G371="4/24",G371="3/24"),((база!$M$5*2*Таблица1[[#This Row],[Столбец1]]*Таблица1[[#This Row],[коэф]])),
IF((G371="5/16"),((база!$L$6*2*Таблица1[[#This Row],[Столбец1]]*Таблица1[[#This Row],[коэф]])),
IF(OR(G371="4/16",G371="3/16"),((база!$L$5*2*Таблица1[[#This Row],[Столбец1]]*Таблица1[[#This Row],[коэф]])),
IF(OR(G371="2/4",G371="3/4",G371="4/4"),((база!$I$5*2*Таблица1[[#This Row],[Столбец1]]*Таблица1[[#This Row],[коэф]])),
IF((G371="5/8"),((база!$J$6*2*Таблица1[[#This Row],[Столбец1]]*Таблица1[[#This Row],[коэф]])),
IF(OR(G371="4/8",G371="3/8",G371="2/8"),((база!$J$5*2*Таблица1[[#This Row],[Столбец1]]*Таблица1[[#This Row],[коэф]])))))))))))</f>
        <v>0</v>
      </c>
      <c r="AQ371" s="712" t="str">
        <f>IFERROR(INDEX(база!T:T, MATCH(F371,база!Q:Q,0)),"")</f>
        <v/>
      </c>
      <c r="AR371" s="208" t="str">
        <f>IFERROR(INDEX(база!D:D, MATCH(F371,база!B:B,0)),"")</f>
        <v/>
      </c>
      <c r="AS371" s="758" t="str">
        <f>IFERROR(INDEX(база!E:E, MATCH(F371,база!B:B,0)),"")</f>
        <v/>
      </c>
    </row>
    <row r="372" spans="1:45" ht="15">
      <c r="A372" s="66" t="str">
        <f t="shared" si="7"/>
        <v>январь</v>
      </c>
      <c r="B372" s="231">
        <v>2024</v>
      </c>
      <c r="C372" s="60"/>
      <c r="D372" s="61"/>
      <c r="E372" s="211"/>
      <c r="F372" s="680"/>
      <c r="G372" s="47"/>
      <c r="H372" s="563"/>
      <c r="I372" s="563"/>
      <c r="J372" s="563"/>
      <c r="K372" s="563"/>
      <c r="L372" s="563"/>
      <c r="M372" s="563"/>
      <c r="N372" s="563"/>
      <c r="O372" s="563"/>
      <c r="P372" s="300"/>
      <c r="Q372" s="563"/>
      <c r="R372" s="563"/>
      <c r="S372" s="563"/>
      <c r="T372" s="563"/>
      <c r="U372" s="563"/>
      <c r="V372" s="563"/>
      <c r="W372" s="563"/>
      <c r="X372" s="563"/>
      <c r="Y372" s="563"/>
      <c r="Z372" s="563"/>
      <c r="AA372" s="563"/>
      <c r="AB372" s="563"/>
      <c r="AC372" s="563"/>
      <c r="AD372" s="48"/>
      <c r="AE372" s="48"/>
      <c r="AF372" s="258"/>
      <c r="AG372" s="48"/>
      <c r="AH372" s="48"/>
      <c r="AI372" s="48"/>
      <c r="AJ372" s="48"/>
      <c r="AK372" s="48"/>
      <c r="AL372" s="51"/>
      <c r="AM372" s="212">
        <f>IF(AQ372=1,SUM(Q372:T372,W372:Z372,AC372:AF372,AI372:AL372),
IF(AQ372=2,SUM(P372,S372:V372,Y372:AB372,AE372:AH372,AK372:AL372),
IF(AQ372=3,SUM(P372:R372,U372:X372,AA372:AD372,AG372:AJ372),SUM(Таблица1[[#This Row],[1]:[31]])-Таблица1[[#This Row],[Столбец1]])))</f>
        <v>0</v>
      </c>
      <c r="AN372" s="778">
        <f t="array" ref="AN372">IF(AQ372=1,SUM(P372,U372:V372,AA372:AB372,AG372:AH372),
IF(AQ372=2,SUM(Q372:R372,W372:X372,AC372:AD372,AI372:AJ372),
IF(AQ372=3,SUM(S372:T372,Y372:Z372,AE372:AF372,AK372:AL372),
SUM(IFERROR(WEEKDAY($H$2:$AL$2,2)&gt;5,)*H372:AL372))))+Таблица1[[#This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72" s="292" t="b">
        <f>IF(AR372&lt;=3,(IF((G372="5/24"),((база!$M$6*Таблица1[[#This Row],[сумма]]*Таблица1[[#This Row],[коэф]])),
IF((G372="4/24"),((база!$M$5*Таблица1[[#This Row],[сумма]]*Таблица1[[#This Row],[коэф]])),
IF((G372="3/24"),((база!$M$4*Таблица1[[#This Row],[сумма]]*Таблица1[[#This Row],[коэф]])),
IF((G372="5/16"),((база!$L$6*Таблица1[[#This Row],[сумма]]*Таблица1[[#This Row],[коэф]])),
IF((G372="4/16"),((база!$L$5*Таблица1[[#This Row],[сумма]]*Таблица1[[#This Row],[коэф]])),
IF((G372="3/16"),((база!$L$4*Таблица1[[#This Row],[сумма]]*Таблица1[[#This Row],[коэф]])),
IF((G372="4/4"),((база!$I$5*Таблица1[[#This Row],[сумма]]*Таблица1[[#This Row],[коэф]])),
IF(OR(G372="2/4",G372="3/4"),((база!$I$4*Таблица1[[#This Row],[сумма]]*Таблица1[[#This Row],[коэф]])),
IF((G372="5/8"),((база!$J$6*Таблица1[[#This Row],[сумма]]*Таблица1[[#This Row],[коэф]])),
IF((G372="4/8"),((база!$J$5*Таблица1[[#This Row],[сумма]]*Таблица1[[#This Row],[коэф]])),
IF(OR(G372="3/8",G372="2/8"),((база!$J$4*Таблица1[[#This Row],[сумма]]*Таблица1[[#This Row],[коэф]])))))))))))))),
(IF((G372="5/24"),((база!$M$6*Таблица1[[#This Row],[сумма]]*Таблица1[[#This Row],[коэф]])),
IF(OR(G372="4/24",G372="3/24"),((база!$M$5*Таблица1[[#This Row],[сумма]]*Таблица1[[#This Row],[коэф]])),
IF((G372="5/16"),((база!$L$6*Таблица1[[#This Row],[сумма]]*Таблица1[[#This Row],[коэф]])),
IF(OR(G372="4/16",G372="3/16"),((база!$L$5*Таблица1[[#This Row],[сумма]]*Таблица1[[#This Row],[коэф]])),
IF(OR(G372="2/4",G372="3/4",G372="4/4"),((база!$I$5*Таблица1[[#This Row],[сумма]]*Таблица1[[#This Row],[коэф]])),
IF((G372="5/8"),((база!$J$6*Таблица1[[#This Row],[сумма]]*Таблица1[[#This Row],[коэф]])),
IF(OR(G372="4/8",G372="3/8",G372="2/8"),((база!$J$5*Таблица1[[#This Row],[сумма]]*Таблица1[[#This Row],[коэф]])))))))))))</f>
        <v>0</v>
      </c>
      <c r="AP372" s="730" t="b">
        <f>IF(AR372&lt;=3,(IF((G372="5/24"),((база!$M$6*2*Таблица1[[#This Row],[Столбец1]]*Таблица1[[#This Row],[коэф]])),
IF((G372="4/24"),((база!$M$5*2*Таблица1[[#This Row],[Столбец1]]*Таблица1[[#This Row],[коэф]])),
IF((G372="3/24"),((база!$M$4*2*Таблица1[[#This Row],[Столбец1]]*Таблица1[[#This Row],[коэф]])),
IF((G372="5/16"),((база!$L$6*2*Таблица1[[#This Row],[Столбец1]]*Таблица1[[#This Row],[коэф]])),
IF((G372="4/16"),((база!$L$5*2*Таблица1[[#This Row],[Столбец1]]*Таблица1[[#This Row],[коэф]])),
IF((G372="3/16"),((база!$L$4*2*Таблица1[[#This Row],[Столбец1]]*Таблица1[[#This Row],[коэф]])),
IF((G372="4/4"),((база!$I$5*2*Таблица1[[#This Row],[Столбец1]]*Таблица1[[#This Row],[коэф]])),
IF(OR(G372="2/4",G372="3/4"),((база!$I$4*2*Таблица1[[#This Row],[Столбец1]]*Таблица1[[#This Row],[коэф]])),
IF((G372="5/8"),((база!$J$6*2*Таблица1[[#This Row],[Столбец1]]*Таблица1[[#This Row],[коэф]])),
IF((G372="4/8"),((база!$J$5*2*Таблица1[[#This Row],[Столбец1]]*Таблица1[[#This Row],[коэф]])),
IF(OR(G372="3/8",G372="2/8"),((база!$J$4*2*Таблица1[[#This Row],[Столбец1]]*Таблица1[[#This Row],[коэф]])))))))))))))),
(IF((G372="5/24"),((база!$M$6*2*Таблица1[[#This Row],[Столбец1]]*Таблица1[[#This Row],[коэф]])),
IF(OR(G372="4/24",G372="3/24"),((база!$M$5*2*Таблица1[[#This Row],[Столбец1]]*Таблица1[[#This Row],[коэф]])),
IF((G372="5/16"),((база!$L$6*2*Таблица1[[#This Row],[Столбец1]]*Таблица1[[#This Row],[коэф]])),
IF(OR(G372="4/16",G372="3/16"),((база!$L$5*2*Таблица1[[#This Row],[Столбец1]]*Таблица1[[#This Row],[коэф]])),
IF(OR(G372="2/4",G372="3/4",G372="4/4"),((база!$I$5*2*Таблица1[[#This Row],[Столбец1]]*Таблица1[[#This Row],[коэф]])),
IF((G372="5/8"),((база!$J$6*2*Таблица1[[#This Row],[Столбец1]]*Таблица1[[#This Row],[коэф]])),
IF(OR(G372="4/8",G372="3/8",G372="2/8"),((база!$J$5*2*Таблица1[[#This Row],[Столбец1]]*Таблица1[[#This Row],[коэф]])))))))))))</f>
        <v>0</v>
      </c>
      <c r="AQ372" s="712" t="str">
        <f>IFERROR(INDEX(база!T:T, MATCH(F372,база!Q:Q,0)),"")</f>
        <v/>
      </c>
      <c r="AR372" s="208" t="str">
        <f>IFERROR(INDEX(база!D:D, MATCH(F372,база!B:B,0)),"")</f>
        <v/>
      </c>
      <c r="AS372" s="758" t="str">
        <f>IFERROR(INDEX(база!E:E, MATCH(F372,база!B:B,0)),"")</f>
        <v/>
      </c>
    </row>
    <row r="373" spans="1:45" ht="15">
      <c r="A373" s="66" t="str">
        <f t="shared" si="7"/>
        <v>январь</v>
      </c>
      <c r="B373" s="231">
        <v>2024</v>
      </c>
      <c r="C373" s="299"/>
      <c r="D373" s="61"/>
      <c r="E373" s="211"/>
      <c r="F373" s="680"/>
      <c r="G373" s="47"/>
      <c r="H373" s="563"/>
      <c r="I373" s="563"/>
      <c r="J373" s="563"/>
      <c r="K373" s="563"/>
      <c r="L373" s="563"/>
      <c r="M373" s="563"/>
      <c r="N373" s="563"/>
      <c r="O373" s="563"/>
      <c r="P373" s="300"/>
      <c r="Q373" s="563"/>
      <c r="R373" s="563"/>
      <c r="S373" s="563"/>
      <c r="T373" s="563"/>
      <c r="U373" s="563"/>
      <c r="V373" s="563"/>
      <c r="W373" s="563"/>
      <c r="X373" s="563"/>
      <c r="Y373" s="563"/>
      <c r="Z373" s="563"/>
      <c r="AA373" s="563"/>
      <c r="AB373" s="563"/>
      <c r="AC373" s="563"/>
      <c r="AD373" s="48"/>
      <c r="AE373" s="48"/>
      <c r="AF373" s="258"/>
      <c r="AG373" s="48"/>
      <c r="AH373" s="48"/>
      <c r="AI373" s="258"/>
      <c r="AJ373" s="258"/>
      <c r="AK373" s="258"/>
      <c r="AL373" s="258"/>
      <c r="AM373" s="212">
        <f>IF(AQ373=1,SUM(Q373:T373,W373:Z373,AC373:AF373,AI373:AL373),
IF(AQ373=2,SUM(P373,S373:V373,Y373:AB373,AE373:AH373,AK373:AL373),
IF(AQ373=3,SUM(P373:R373,U373:X373,AA373:AD373,AG373:AJ373),SUM(Таблица1[[#This Row],[1]:[31]])-Таблица1[[#This Row],[Столбец1]])))</f>
        <v>0</v>
      </c>
      <c r="AN373" s="778">
        <f t="array" ref="AN373">IF(AQ373=1,SUM(P373,U373:V373,AA373:AB373,AG373:AH373),
IF(AQ373=2,SUM(Q373:R373,W373:X373,AC373:AD373,AI373:AJ373),
IF(AQ373=3,SUM(S373:T373,Y373:Z373,AE373:AF373,AK373:AL373),
SUM(IFERROR(WEEKDAY($H$2:$AL$2,2)&gt;5,)*H373:AL373))))+Таблица1[[#This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73" s="292" t="b">
        <f>IF(AR373&lt;=3,(IF((G373="5/24"),((база!$M$6*Таблица1[[#This Row],[сумма]]*Таблица1[[#This Row],[коэф]])),
IF((G373="4/24"),((база!$M$5*Таблица1[[#This Row],[сумма]]*Таблица1[[#This Row],[коэф]])),
IF((G373="3/24"),((база!$M$4*Таблица1[[#This Row],[сумма]]*Таблица1[[#This Row],[коэф]])),
IF((G373="5/16"),((база!$L$6*Таблица1[[#This Row],[сумма]]*Таблица1[[#This Row],[коэф]])),
IF((G373="4/16"),((база!$L$5*Таблица1[[#This Row],[сумма]]*Таблица1[[#This Row],[коэф]])),
IF((G373="3/16"),((база!$L$4*Таблица1[[#This Row],[сумма]]*Таблица1[[#This Row],[коэф]])),
IF((G373="4/4"),((база!$I$5*Таблица1[[#This Row],[сумма]]*Таблица1[[#This Row],[коэф]])),
IF(OR(G373="2/4",G373="3/4"),((база!$I$4*Таблица1[[#This Row],[сумма]]*Таблица1[[#This Row],[коэф]])),
IF((G373="5/8"),((база!$J$6*Таблица1[[#This Row],[сумма]]*Таблица1[[#This Row],[коэф]])),
IF((G373="4/8"),((база!$J$5*Таблица1[[#This Row],[сумма]]*Таблица1[[#This Row],[коэф]])),
IF(OR(G373="3/8",G373="2/8"),((база!$J$4*Таблица1[[#This Row],[сумма]]*Таблица1[[#This Row],[коэф]])))))))))))))),
(IF((G373="5/24"),((база!$M$6*Таблица1[[#This Row],[сумма]]*Таблица1[[#This Row],[коэф]])),
IF(OR(G373="4/24",G373="3/24"),((база!$M$5*Таблица1[[#This Row],[сумма]]*Таблица1[[#This Row],[коэф]])),
IF((G373="5/16"),((база!$L$6*Таблица1[[#This Row],[сумма]]*Таблица1[[#This Row],[коэф]])),
IF(OR(G373="4/16",G373="3/16"),((база!$L$5*Таблица1[[#This Row],[сумма]]*Таблица1[[#This Row],[коэф]])),
IF(OR(G373="2/4",G373="3/4",G373="4/4"),((база!$I$5*Таблица1[[#This Row],[сумма]]*Таблица1[[#This Row],[коэф]])),
IF((G373="5/8"),((база!$J$6*Таблица1[[#This Row],[сумма]]*Таблица1[[#This Row],[коэф]])),
IF(OR(G373="4/8",G373="3/8",G373="2/8"),((база!$J$5*Таблица1[[#This Row],[сумма]]*Таблица1[[#This Row],[коэф]])))))))))))</f>
        <v>0</v>
      </c>
      <c r="AP373" s="730" t="b">
        <f>IF(AR373&lt;=3,(IF((G373="5/24"),((база!$M$6*2*Таблица1[[#This Row],[Столбец1]]*Таблица1[[#This Row],[коэф]])),
IF((G373="4/24"),((база!$M$5*2*Таблица1[[#This Row],[Столбец1]]*Таблица1[[#This Row],[коэф]])),
IF((G373="3/24"),((база!$M$4*2*Таблица1[[#This Row],[Столбец1]]*Таблица1[[#This Row],[коэф]])),
IF((G373="5/16"),((база!$L$6*2*Таблица1[[#This Row],[Столбец1]]*Таблица1[[#This Row],[коэф]])),
IF((G373="4/16"),((база!$L$5*2*Таблица1[[#This Row],[Столбец1]]*Таблица1[[#This Row],[коэф]])),
IF((G373="3/16"),((база!$L$4*2*Таблица1[[#This Row],[Столбец1]]*Таблица1[[#This Row],[коэф]])),
IF((G373="4/4"),((база!$I$5*2*Таблица1[[#This Row],[Столбец1]]*Таблица1[[#This Row],[коэф]])),
IF(OR(G373="2/4",G373="3/4"),((база!$I$4*2*Таблица1[[#This Row],[Столбец1]]*Таблица1[[#This Row],[коэф]])),
IF((G373="5/8"),((база!$J$6*2*Таблица1[[#This Row],[Столбец1]]*Таблица1[[#This Row],[коэф]])),
IF((G373="4/8"),((база!$J$5*2*Таблица1[[#This Row],[Столбец1]]*Таблица1[[#This Row],[коэф]])),
IF(OR(G373="3/8",G373="2/8"),((база!$J$4*2*Таблица1[[#This Row],[Столбец1]]*Таблица1[[#This Row],[коэф]])))))))))))))),
(IF((G373="5/24"),((база!$M$6*2*Таблица1[[#This Row],[Столбец1]]*Таблица1[[#This Row],[коэф]])),
IF(OR(G373="4/24",G373="3/24"),((база!$M$5*2*Таблица1[[#This Row],[Столбец1]]*Таблица1[[#This Row],[коэф]])),
IF((G373="5/16"),((база!$L$6*2*Таблица1[[#This Row],[Столбец1]]*Таблица1[[#This Row],[коэф]])),
IF(OR(G373="4/16",G373="3/16"),((база!$L$5*2*Таблица1[[#This Row],[Столбец1]]*Таблица1[[#This Row],[коэф]])),
IF(OR(G373="2/4",G373="3/4",G373="4/4"),((база!$I$5*2*Таблица1[[#This Row],[Столбец1]]*Таблица1[[#This Row],[коэф]])),
IF((G373="5/8"),((база!$J$6*2*Таблица1[[#This Row],[Столбец1]]*Таблица1[[#This Row],[коэф]])),
IF(OR(G373="4/8",G373="3/8",G373="2/8"),((база!$J$5*2*Таблица1[[#This Row],[Столбец1]]*Таблица1[[#This Row],[коэф]])))))))))))</f>
        <v>0</v>
      </c>
      <c r="AQ373" s="712" t="str">
        <f>IFERROR(INDEX(база!T:T, MATCH(F373,база!Q:Q,0)),"")</f>
        <v/>
      </c>
      <c r="AR373" s="208" t="str">
        <f>IFERROR(INDEX(база!D:D, MATCH(F373,база!B:B,0)),"")</f>
        <v/>
      </c>
      <c r="AS373" s="758" t="str">
        <f>IFERROR(INDEX(база!E:E, MATCH(F373,база!B:B,0)),"")</f>
        <v/>
      </c>
    </row>
    <row r="374" spans="1:45" ht="15">
      <c r="A374" s="66" t="str">
        <f t="shared" si="7"/>
        <v>январь</v>
      </c>
      <c r="B374" s="231">
        <v>2024</v>
      </c>
      <c r="C374" s="299"/>
      <c r="D374" s="61"/>
      <c r="E374" s="211"/>
      <c r="F374" s="680"/>
      <c r="G374" s="47"/>
      <c r="H374" s="563"/>
      <c r="I374" s="563"/>
      <c r="J374" s="563"/>
      <c r="K374" s="563"/>
      <c r="L374" s="563"/>
      <c r="M374" s="563"/>
      <c r="N374" s="563"/>
      <c r="O374" s="563"/>
      <c r="P374" s="300"/>
      <c r="Q374" s="563"/>
      <c r="R374" s="563"/>
      <c r="S374" s="563"/>
      <c r="T374" s="563"/>
      <c r="U374" s="563"/>
      <c r="V374" s="563"/>
      <c r="W374" s="563"/>
      <c r="X374" s="563"/>
      <c r="Y374" s="563"/>
      <c r="Z374" s="563"/>
      <c r="AA374" s="563"/>
      <c r="AB374" s="563"/>
      <c r="AC374" s="563"/>
      <c r="AD374" s="48"/>
      <c r="AE374" s="48"/>
      <c r="AF374" s="258"/>
      <c r="AG374" s="48"/>
      <c r="AH374" s="48"/>
      <c r="AI374" s="48"/>
      <c r="AJ374" s="48"/>
      <c r="AK374" s="48"/>
      <c r="AL374" s="51"/>
      <c r="AM374" s="212">
        <f>IF(AQ374=1,SUM(Q374:T374,W374:Z374,AC374:AF374,AI374:AL374),
IF(AQ374=2,SUM(P374,S374:V374,Y374:AB374,AE374:AH374,AK374:AL374),
IF(AQ374=3,SUM(P374:R374,U374:X374,AA374:AD374,AG374:AJ374),SUM(Таблица1[[#This Row],[1]:[31]])-Таблица1[[#This Row],[Столбец1]])))</f>
        <v>0</v>
      </c>
      <c r="AN374" s="778">
        <f t="array" ref="AN374">IF(AQ374=1,SUM(P374,U374:V374,AA374:AB374,AG374:AH374),
IF(AQ374=2,SUM(Q374:R374,W374:X374,AC374:AD374,AI374:AJ374),
IF(AQ374=3,SUM(S374:T374,Y374:Z374,AE374:AF374,AK374:AL374),
SUM(IFERROR(WEEKDAY($H$2:$AL$2,2)&gt;5,)*H374:AL374))))+Таблица1[[#This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74" s="292" t="b">
        <f>IF(AR374&lt;=3,(IF((G374="5/24"),((база!$M$6*Таблица1[[#This Row],[сумма]]*Таблица1[[#This Row],[коэф]])),
IF((G374="4/24"),((база!$M$5*Таблица1[[#This Row],[сумма]]*Таблица1[[#This Row],[коэф]])),
IF((G374="3/24"),((база!$M$4*Таблица1[[#This Row],[сумма]]*Таблица1[[#This Row],[коэф]])),
IF((G374="5/16"),((база!$L$6*Таблица1[[#This Row],[сумма]]*Таблица1[[#This Row],[коэф]])),
IF((G374="4/16"),((база!$L$5*Таблица1[[#This Row],[сумма]]*Таблица1[[#This Row],[коэф]])),
IF((G374="3/16"),((база!$L$4*Таблица1[[#This Row],[сумма]]*Таблица1[[#This Row],[коэф]])),
IF((G374="4/4"),((база!$I$5*Таблица1[[#This Row],[сумма]]*Таблица1[[#This Row],[коэф]])),
IF(OR(G374="2/4",G374="3/4"),((база!$I$4*Таблица1[[#This Row],[сумма]]*Таблица1[[#This Row],[коэф]])),
IF((G374="5/8"),((база!$J$6*Таблица1[[#This Row],[сумма]]*Таблица1[[#This Row],[коэф]])),
IF((G374="4/8"),((база!$J$5*Таблица1[[#This Row],[сумма]]*Таблица1[[#This Row],[коэф]])),
IF(OR(G374="3/8",G374="2/8"),((база!$J$4*Таблица1[[#This Row],[сумма]]*Таблица1[[#This Row],[коэф]])))))))))))))),
(IF((G374="5/24"),((база!$M$6*Таблица1[[#This Row],[сумма]]*Таблица1[[#This Row],[коэф]])),
IF(OR(G374="4/24",G374="3/24"),((база!$M$5*Таблица1[[#This Row],[сумма]]*Таблица1[[#This Row],[коэф]])),
IF((G374="5/16"),((база!$L$6*Таблица1[[#This Row],[сумма]]*Таблица1[[#This Row],[коэф]])),
IF(OR(G374="4/16",G374="3/16"),((база!$L$5*Таблица1[[#This Row],[сумма]]*Таблица1[[#This Row],[коэф]])),
IF(OR(G374="2/4",G374="3/4",G374="4/4"),((база!$I$5*Таблица1[[#This Row],[сумма]]*Таблица1[[#This Row],[коэф]])),
IF((G374="5/8"),((база!$J$6*Таблица1[[#This Row],[сумма]]*Таблица1[[#This Row],[коэф]])),
IF(OR(G374="4/8",G374="3/8",G374="2/8"),((база!$J$5*Таблица1[[#This Row],[сумма]]*Таблица1[[#This Row],[коэф]])))))))))))</f>
        <v>0</v>
      </c>
      <c r="AP374" s="730" t="b">
        <f>IF(AR374&lt;=3,(IF((G374="5/24"),((база!$M$6*2*Таблица1[[#This Row],[Столбец1]]*Таблица1[[#This Row],[коэф]])),
IF((G374="4/24"),((база!$M$5*2*Таблица1[[#This Row],[Столбец1]]*Таблица1[[#This Row],[коэф]])),
IF((G374="3/24"),((база!$M$4*2*Таблица1[[#This Row],[Столбец1]]*Таблица1[[#This Row],[коэф]])),
IF((G374="5/16"),((база!$L$6*2*Таблица1[[#This Row],[Столбец1]]*Таблица1[[#This Row],[коэф]])),
IF((G374="4/16"),((база!$L$5*2*Таблица1[[#This Row],[Столбец1]]*Таблица1[[#This Row],[коэф]])),
IF((G374="3/16"),((база!$L$4*2*Таблица1[[#This Row],[Столбец1]]*Таблица1[[#This Row],[коэф]])),
IF((G374="4/4"),((база!$I$5*2*Таблица1[[#This Row],[Столбец1]]*Таблица1[[#This Row],[коэф]])),
IF(OR(G374="2/4",G374="3/4"),((база!$I$4*2*Таблица1[[#This Row],[Столбец1]]*Таблица1[[#This Row],[коэф]])),
IF((G374="5/8"),((база!$J$6*2*Таблица1[[#This Row],[Столбец1]]*Таблица1[[#This Row],[коэф]])),
IF((G374="4/8"),((база!$J$5*2*Таблица1[[#This Row],[Столбец1]]*Таблица1[[#This Row],[коэф]])),
IF(OR(G374="3/8",G374="2/8"),((база!$J$4*2*Таблица1[[#This Row],[Столбец1]]*Таблица1[[#This Row],[коэф]])))))))))))))),
(IF((G374="5/24"),((база!$M$6*2*Таблица1[[#This Row],[Столбец1]]*Таблица1[[#This Row],[коэф]])),
IF(OR(G374="4/24",G374="3/24"),((база!$M$5*2*Таблица1[[#This Row],[Столбец1]]*Таблица1[[#This Row],[коэф]])),
IF((G374="5/16"),((база!$L$6*2*Таблица1[[#This Row],[Столбец1]]*Таблица1[[#This Row],[коэф]])),
IF(OR(G374="4/16",G374="3/16"),((база!$L$5*2*Таблица1[[#This Row],[Столбец1]]*Таблица1[[#This Row],[коэф]])),
IF(OR(G374="2/4",G374="3/4",G374="4/4"),((база!$I$5*2*Таблица1[[#This Row],[Столбец1]]*Таблица1[[#This Row],[коэф]])),
IF((G374="5/8"),((база!$J$6*2*Таблица1[[#This Row],[Столбец1]]*Таблица1[[#This Row],[коэф]])),
IF(OR(G374="4/8",G374="3/8",G374="2/8"),((база!$J$5*2*Таблица1[[#This Row],[Столбец1]]*Таблица1[[#This Row],[коэф]])))))))))))</f>
        <v>0</v>
      </c>
      <c r="AQ374" s="712" t="str">
        <f>IFERROR(INDEX(база!T:T, MATCH(F374,база!Q:Q,0)),"")</f>
        <v/>
      </c>
      <c r="AR374" s="208" t="str">
        <f>IFERROR(INDEX(база!D:D, MATCH(F374,база!B:B,0)),"")</f>
        <v/>
      </c>
      <c r="AS374" s="758" t="str">
        <f>IFERROR(INDEX(база!E:E, MATCH(F374,база!B:B,0)),"")</f>
        <v/>
      </c>
    </row>
    <row r="375" spans="1:45" ht="15">
      <c r="A375" s="66" t="str">
        <f t="shared" si="7"/>
        <v>январь</v>
      </c>
      <c r="B375" s="231">
        <v>2024</v>
      </c>
      <c r="C375" s="299"/>
      <c r="D375" s="61"/>
      <c r="E375" s="211"/>
      <c r="F375" s="680"/>
      <c r="G375" s="47"/>
      <c r="H375" s="563"/>
      <c r="I375" s="563"/>
      <c r="J375" s="563"/>
      <c r="K375" s="563"/>
      <c r="L375" s="563"/>
      <c r="M375" s="563"/>
      <c r="N375" s="563"/>
      <c r="O375" s="563"/>
      <c r="P375" s="300"/>
      <c r="Q375" s="563"/>
      <c r="R375" s="563"/>
      <c r="S375" s="563"/>
      <c r="T375" s="563"/>
      <c r="U375" s="563"/>
      <c r="V375" s="563"/>
      <c r="W375" s="563"/>
      <c r="X375" s="563"/>
      <c r="Y375" s="563"/>
      <c r="Z375" s="563"/>
      <c r="AA375" s="563"/>
      <c r="AB375" s="563"/>
      <c r="AC375" s="563"/>
      <c r="AD375" s="48"/>
      <c r="AE375" s="48"/>
      <c r="AF375" s="258"/>
      <c r="AG375" s="48"/>
      <c r="AH375" s="48"/>
      <c r="AI375" s="258"/>
      <c r="AJ375" s="258"/>
      <c r="AK375" s="258"/>
      <c r="AL375" s="258"/>
      <c r="AM375" s="212">
        <f>IF(AQ375=1,SUM(Q375:T375,W375:Z375,AC375:AF375,AI375:AL375),
IF(AQ375=2,SUM(P375,S375:V375,Y375:AB375,AE375:AH375,AK375:AL375),
IF(AQ375=3,SUM(P375:R375,U375:X375,AA375:AD375,AG375:AJ375),SUM(Таблица1[[#This Row],[1]:[31]])-Таблица1[[#This Row],[Столбец1]])))</f>
        <v>0</v>
      </c>
      <c r="AN375" s="778">
        <f t="array" ref="AN375">IF(AQ375=1,SUM(P375,U375:V375,AA375:AB375,AG375:AH375),
IF(AQ375=2,SUM(Q375:R375,W375:X375,AC375:AD375,AI375:AJ375),
IF(AQ375=3,SUM(S375:T375,Y375:Z375,AE375:AF375,AK375:AL375),
SUM(IFERROR(WEEKDAY($H$2:$AL$2,2)&gt;5,)*H375:AL375))))+Таблица1[[#This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75" s="292" t="b">
        <f>IF(AR375&lt;=3,(IF((G375="5/24"),((база!$M$6*Таблица1[[#This Row],[сумма]]*Таблица1[[#This Row],[коэф]])),
IF((G375="4/24"),((база!$M$5*Таблица1[[#This Row],[сумма]]*Таблица1[[#This Row],[коэф]])),
IF((G375="3/24"),((база!$M$4*Таблица1[[#This Row],[сумма]]*Таблица1[[#This Row],[коэф]])),
IF((G375="5/16"),((база!$L$6*Таблица1[[#This Row],[сумма]]*Таблица1[[#This Row],[коэф]])),
IF((G375="4/16"),((база!$L$5*Таблица1[[#This Row],[сумма]]*Таблица1[[#This Row],[коэф]])),
IF((G375="3/16"),((база!$L$4*Таблица1[[#This Row],[сумма]]*Таблица1[[#This Row],[коэф]])),
IF((G375="4/4"),((база!$I$5*Таблица1[[#This Row],[сумма]]*Таблица1[[#This Row],[коэф]])),
IF(OR(G375="2/4",G375="3/4"),((база!$I$4*Таблица1[[#This Row],[сумма]]*Таблица1[[#This Row],[коэф]])),
IF((G375="5/8"),((база!$J$6*Таблица1[[#This Row],[сумма]]*Таблица1[[#This Row],[коэф]])),
IF((G375="4/8"),((база!$J$5*Таблица1[[#This Row],[сумма]]*Таблица1[[#This Row],[коэф]])),
IF(OR(G375="3/8",G375="2/8"),((база!$J$4*Таблица1[[#This Row],[сумма]]*Таблица1[[#This Row],[коэф]])))))))))))))),
(IF((G375="5/24"),((база!$M$6*Таблица1[[#This Row],[сумма]]*Таблица1[[#This Row],[коэф]])),
IF(OR(G375="4/24",G375="3/24"),((база!$M$5*Таблица1[[#This Row],[сумма]]*Таблица1[[#This Row],[коэф]])),
IF((G375="5/16"),((база!$L$6*Таблица1[[#This Row],[сумма]]*Таблица1[[#This Row],[коэф]])),
IF(OR(G375="4/16",G375="3/16"),((база!$L$5*Таблица1[[#This Row],[сумма]]*Таблица1[[#This Row],[коэф]])),
IF(OR(G375="2/4",G375="3/4",G375="4/4"),((база!$I$5*Таблица1[[#This Row],[сумма]]*Таблица1[[#This Row],[коэф]])),
IF((G375="5/8"),((база!$J$6*Таблица1[[#This Row],[сумма]]*Таблица1[[#This Row],[коэф]])),
IF(OR(G375="4/8",G375="3/8",G375="2/8"),((база!$J$5*Таблица1[[#This Row],[сумма]]*Таблица1[[#This Row],[коэф]])))))))))))</f>
        <v>0</v>
      </c>
      <c r="AP375" s="730" t="b">
        <f>IF(AR375&lt;=3,(IF((G375="5/24"),((база!$M$6*2*Таблица1[[#This Row],[Столбец1]]*Таблица1[[#This Row],[коэф]])),
IF((G375="4/24"),((база!$M$5*2*Таблица1[[#This Row],[Столбец1]]*Таблица1[[#This Row],[коэф]])),
IF((G375="3/24"),((база!$M$4*2*Таблица1[[#This Row],[Столбец1]]*Таблица1[[#This Row],[коэф]])),
IF((G375="5/16"),((база!$L$6*2*Таблица1[[#This Row],[Столбец1]]*Таблица1[[#This Row],[коэф]])),
IF((G375="4/16"),((база!$L$5*2*Таблица1[[#This Row],[Столбец1]]*Таблица1[[#This Row],[коэф]])),
IF((G375="3/16"),((база!$L$4*2*Таблица1[[#This Row],[Столбец1]]*Таблица1[[#This Row],[коэф]])),
IF((G375="4/4"),((база!$I$5*2*Таблица1[[#This Row],[Столбец1]]*Таблица1[[#This Row],[коэф]])),
IF(OR(G375="2/4",G375="3/4"),((база!$I$4*2*Таблица1[[#This Row],[Столбец1]]*Таблица1[[#This Row],[коэф]])),
IF((G375="5/8"),((база!$J$6*2*Таблица1[[#This Row],[Столбец1]]*Таблица1[[#This Row],[коэф]])),
IF((G375="4/8"),((база!$J$5*2*Таблица1[[#This Row],[Столбец1]]*Таблица1[[#This Row],[коэф]])),
IF(OR(G375="3/8",G375="2/8"),((база!$J$4*2*Таблица1[[#This Row],[Столбец1]]*Таблица1[[#This Row],[коэф]])))))))))))))),
(IF((G375="5/24"),((база!$M$6*2*Таблица1[[#This Row],[Столбец1]]*Таблица1[[#This Row],[коэф]])),
IF(OR(G375="4/24",G375="3/24"),((база!$M$5*2*Таблица1[[#This Row],[Столбец1]]*Таблица1[[#This Row],[коэф]])),
IF((G375="5/16"),((база!$L$6*2*Таблица1[[#This Row],[Столбец1]]*Таблица1[[#This Row],[коэф]])),
IF(OR(G375="4/16",G375="3/16"),((база!$L$5*2*Таблица1[[#This Row],[Столбец1]]*Таблица1[[#This Row],[коэф]])),
IF(OR(G375="2/4",G375="3/4",G375="4/4"),((база!$I$5*2*Таблица1[[#This Row],[Столбец1]]*Таблица1[[#This Row],[коэф]])),
IF((G375="5/8"),((база!$J$6*2*Таблица1[[#This Row],[Столбец1]]*Таблица1[[#This Row],[коэф]])),
IF(OR(G375="4/8",G375="3/8",G375="2/8"),((база!$J$5*2*Таблица1[[#This Row],[Столбец1]]*Таблица1[[#This Row],[коэф]])))))))))))</f>
        <v>0</v>
      </c>
      <c r="AQ375" s="712" t="str">
        <f>IFERROR(INDEX(база!T:T, MATCH(F375,база!Q:Q,0)),"")</f>
        <v/>
      </c>
      <c r="AR375" s="208" t="str">
        <f>IFERROR(INDEX(база!D:D, MATCH(F375,база!B:B,0)),"")</f>
        <v/>
      </c>
      <c r="AS375" s="758" t="str">
        <f>IFERROR(INDEX(база!E:E, MATCH(F375,база!B:B,0)),"")</f>
        <v/>
      </c>
    </row>
    <row r="376" spans="1:45" ht="15">
      <c r="A376" s="66" t="str">
        <f t="shared" si="7"/>
        <v>январь</v>
      </c>
      <c r="B376" s="231">
        <v>2024</v>
      </c>
      <c r="C376" s="299"/>
      <c r="D376" s="61"/>
      <c r="E376" s="211"/>
      <c r="F376" s="680"/>
      <c r="G376" s="47"/>
      <c r="H376" s="563"/>
      <c r="I376" s="563"/>
      <c r="J376" s="563"/>
      <c r="K376" s="563"/>
      <c r="L376" s="563"/>
      <c r="M376" s="563"/>
      <c r="N376" s="563"/>
      <c r="O376" s="563"/>
      <c r="P376" s="300"/>
      <c r="Q376" s="563"/>
      <c r="R376" s="563"/>
      <c r="S376" s="563"/>
      <c r="T376" s="563"/>
      <c r="U376" s="563"/>
      <c r="V376" s="563"/>
      <c r="W376" s="563"/>
      <c r="X376" s="563"/>
      <c r="Y376" s="563"/>
      <c r="Z376" s="563"/>
      <c r="AA376" s="563"/>
      <c r="AB376" s="563"/>
      <c r="AC376" s="563"/>
      <c r="AD376" s="563"/>
      <c r="AE376" s="563"/>
      <c r="AF376" s="258"/>
      <c r="AG376" s="48"/>
      <c r="AH376" s="48"/>
      <c r="AI376" s="48"/>
      <c r="AJ376" s="48"/>
      <c r="AK376" s="48"/>
      <c r="AL376" s="51"/>
      <c r="AM376" s="212">
        <f>IF(AQ376=1,SUM(Q376:T376,W376:Z376,AC376:AF376,AI376:AL376),
IF(AQ376=2,SUM(P376,S376:V376,Y376:AB376,AE376:AH376,AK376:AL376),
IF(AQ376=3,SUM(P376:R376,U376:X376,AA376:AD376,AG376:AJ376),SUM(Таблица1[[#This Row],[1]:[31]])-Таблица1[[#This Row],[Столбец1]])))</f>
        <v>0</v>
      </c>
      <c r="AN376" s="778">
        <f t="array" ref="AN376">IF(AQ376=1,SUM(P376,U376:V376,AA376:AB376,AG376:AH376),
IF(AQ376=2,SUM(Q376:R376,W376:X376,AC376:AD376,AI376:AJ376),
IF(AQ376=3,SUM(S376:T376,Y376:Z376,AE376:AF376,AK376:AL376),
SUM(IFERROR(WEEKDAY($H$2:$AL$2,2)&gt;5,)*H376:AL376))))+Таблица1[[#This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76" s="292" t="b">
        <f>IF(AR376&lt;=3,(IF((G376="5/24"),((база!$M$6*Таблица1[[#This Row],[сумма]]*Таблица1[[#This Row],[коэф]])),
IF((G376="4/24"),((база!$M$5*Таблица1[[#This Row],[сумма]]*Таблица1[[#This Row],[коэф]])),
IF((G376="3/24"),((база!$M$4*Таблица1[[#This Row],[сумма]]*Таблица1[[#This Row],[коэф]])),
IF((G376="5/16"),((база!$L$6*Таблица1[[#This Row],[сумма]]*Таблица1[[#This Row],[коэф]])),
IF((G376="4/16"),((база!$L$5*Таблица1[[#This Row],[сумма]]*Таблица1[[#This Row],[коэф]])),
IF((G376="3/16"),((база!$L$4*Таблица1[[#This Row],[сумма]]*Таблица1[[#This Row],[коэф]])),
IF((G376="4/4"),((база!$I$5*Таблица1[[#This Row],[сумма]]*Таблица1[[#This Row],[коэф]])),
IF(OR(G376="2/4",G376="3/4"),((база!$I$4*Таблица1[[#This Row],[сумма]]*Таблица1[[#This Row],[коэф]])),
IF((G376="5/8"),((база!$J$6*Таблица1[[#This Row],[сумма]]*Таблица1[[#This Row],[коэф]])),
IF((G376="4/8"),((база!$J$5*Таблица1[[#This Row],[сумма]]*Таблица1[[#This Row],[коэф]])),
IF(OR(G376="3/8",G376="2/8"),((база!$J$4*Таблица1[[#This Row],[сумма]]*Таблица1[[#This Row],[коэф]])))))))))))))),
(IF((G376="5/24"),((база!$M$6*Таблица1[[#This Row],[сумма]]*Таблица1[[#This Row],[коэф]])),
IF(OR(G376="4/24",G376="3/24"),((база!$M$5*Таблица1[[#This Row],[сумма]]*Таблица1[[#This Row],[коэф]])),
IF((G376="5/16"),((база!$L$6*Таблица1[[#This Row],[сумма]]*Таблица1[[#This Row],[коэф]])),
IF(OR(G376="4/16",G376="3/16"),((база!$L$5*Таблица1[[#This Row],[сумма]]*Таблица1[[#This Row],[коэф]])),
IF(OR(G376="2/4",G376="3/4",G376="4/4"),((база!$I$5*Таблица1[[#This Row],[сумма]]*Таблица1[[#This Row],[коэф]])),
IF((G376="5/8"),((база!$J$6*Таблица1[[#This Row],[сумма]]*Таблица1[[#This Row],[коэф]])),
IF(OR(G376="4/8",G376="3/8",G376="2/8"),((база!$J$5*Таблица1[[#This Row],[сумма]]*Таблица1[[#This Row],[коэф]])))))))))))</f>
        <v>0</v>
      </c>
      <c r="AP376" s="730" t="b">
        <f>IF(AR376&lt;=3,(IF((G376="5/24"),((база!$M$6*2*Таблица1[[#This Row],[Столбец1]]*Таблица1[[#This Row],[коэф]])),
IF((G376="4/24"),((база!$M$5*2*Таблица1[[#This Row],[Столбец1]]*Таблица1[[#This Row],[коэф]])),
IF((G376="3/24"),((база!$M$4*2*Таблица1[[#This Row],[Столбец1]]*Таблица1[[#This Row],[коэф]])),
IF((G376="5/16"),((база!$L$6*2*Таблица1[[#This Row],[Столбец1]]*Таблица1[[#This Row],[коэф]])),
IF((G376="4/16"),((база!$L$5*2*Таблица1[[#This Row],[Столбец1]]*Таблица1[[#This Row],[коэф]])),
IF((G376="3/16"),((база!$L$4*2*Таблица1[[#This Row],[Столбец1]]*Таблица1[[#This Row],[коэф]])),
IF((G376="4/4"),((база!$I$5*2*Таблица1[[#This Row],[Столбец1]]*Таблица1[[#This Row],[коэф]])),
IF(OR(G376="2/4",G376="3/4"),((база!$I$4*2*Таблица1[[#This Row],[Столбец1]]*Таблица1[[#This Row],[коэф]])),
IF((G376="5/8"),((база!$J$6*2*Таблица1[[#This Row],[Столбец1]]*Таблица1[[#This Row],[коэф]])),
IF((G376="4/8"),((база!$J$5*2*Таблица1[[#This Row],[Столбец1]]*Таблица1[[#This Row],[коэф]])),
IF(OR(G376="3/8",G376="2/8"),((база!$J$4*2*Таблица1[[#This Row],[Столбец1]]*Таблица1[[#This Row],[коэф]])))))))))))))),
(IF((G376="5/24"),((база!$M$6*2*Таблица1[[#This Row],[Столбец1]]*Таблица1[[#This Row],[коэф]])),
IF(OR(G376="4/24",G376="3/24"),((база!$M$5*2*Таблица1[[#This Row],[Столбец1]]*Таблица1[[#This Row],[коэф]])),
IF((G376="5/16"),((база!$L$6*2*Таблица1[[#This Row],[Столбец1]]*Таблица1[[#This Row],[коэф]])),
IF(OR(G376="4/16",G376="3/16"),((база!$L$5*2*Таблица1[[#This Row],[Столбец1]]*Таблица1[[#This Row],[коэф]])),
IF(OR(G376="2/4",G376="3/4",G376="4/4"),((база!$I$5*2*Таблица1[[#This Row],[Столбец1]]*Таблица1[[#This Row],[коэф]])),
IF((G376="5/8"),((база!$J$6*2*Таблица1[[#This Row],[Столбец1]]*Таблица1[[#This Row],[коэф]])),
IF(OR(G376="4/8",G376="3/8",G376="2/8"),((база!$J$5*2*Таблица1[[#This Row],[Столбец1]]*Таблица1[[#This Row],[коэф]])))))))))))</f>
        <v>0</v>
      </c>
      <c r="AQ376" s="712" t="str">
        <f>IFERROR(INDEX(база!T:T, MATCH(F376,база!Q:Q,0)),"")</f>
        <v/>
      </c>
      <c r="AR376" s="208" t="str">
        <f>IFERROR(INDEX(база!D:D, MATCH(F376,база!B:B,0)),"")</f>
        <v/>
      </c>
      <c r="AS376" s="758" t="str">
        <f>IFERROR(INDEX(база!E:E, MATCH(F376,база!B:B,0)),"")</f>
        <v/>
      </c>
    </row>
    <row r="377" spans="1:45" ht="15">
      <c r="A377" s="66" t="str">
        <f t="shared" si="7"/>
        <v>январь</v>
      </c>
      <c r="B377" s="231">
        <v>2024</v>
      </c>
      <c r="C377" s="299"/>
      <c r="D377" s="61"/>
      <c r="E377" s="211"/>
      <c r="F377" s="680"/>
      <c r="G377" s="47"/>
      <c r="H377" s="563"/>
      <c r="I377" s="563"/>
      <c r="J377" s="563"/>
      <c r="K377" s="563"/>
      <c r="L377" s="563"/>
      <c r="M377" s="563"/>
      <c r="N377" s="563"/>
      <c r="O377" s="563"/>
      <c r="P377" s="300"/>
      <c r="Q377" s="563"/>
      <c r="R377" s="563"/>
      <c r="S377" s="563"/>
      <c r="T377" s="563"/>
      <c r="U377" s="563"/>
      <c r="V377" s="563"/>
      <c r="W377" s="563"/>
      <c r="X377" s="563"/>
      <c r="Y377" s="563"/>
      <c r="Z377" s="563"/>
      <c r="AA377" s="563"/>
      <c r="AB377" s="563"/>
      <c r="AC377" s="563"/>
      <c r="AD377" s="48"/>
      <c r="AE377" s="48"/>
      <c r="AF377" s="258"/>
      <c r="AG377" s="48"/>
      <c r="AH377" s="48"/>
      <c r="AI377" s="258"/>
      <c r="AJ377" s="258"/>
      <c r="AK377" s="258"/>
      <c r="AL377" s="258"/>
      <c r="AM377" s="212">
        <f>IF(AQ377=1,SUM(Q377:T377,W377:Z377,AC377:AF377,AI377:AL377),
IF(AQ377=2,SUM(P377,S377:V377,Y377:AB377,AE377:AH377,AK377:AL377),
IF(AQ377=3,SUM(P377:R377,U377:X377,AA377:AD377,AG377:AJ377),SUM(Таблица1[[#This Row],[1]:[31]])-Таблица1[[#This Row],[Столбец1]])))</f>
        <v>0</v>
      </c>
      <c r="AN377" s="778">
        <f t="array" ref="AN377">IF(AQ377=1,SUM(P377,U377:V377,AA377:AB377,AG377:AH377),
IF(AQ377=2,SUM(Q377:R377,W377:X377,AC377:AD377,AI377:AJ377),
IF(AQ377=3,SUM(S377:T377,Y377:Z377,AE377:AF377,AK377:AL377),
SUM(IFERROR(WEEKDAY($H$2:$AL$2,2)&gt;5,)*H377:AL377))))+Таблица1[[#This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77" s="292" t="b">
        <f>IF(AR377&lt;=3,(IF((G377="5/24"),((база!$M$6*Таблица1[[#This Row],[сумма]]*Таблица1[[#This Row],[коэф]])),
IF((G377="4/24"),((база!$M$5*Таблица1[[#This Row],[сумма]]*Таблица1[[#This Row],[коэф]])),
IF((G377="3/24"),((база!$M$4*Таблица1[[#This Row],[сумма]]*Таблица1[[#This Row],[коэф]])),
IF((G377="5/16"),((база!$L$6*Таблица1[[#This Row],[сумма]]*Таблица1[[#This Row],[коэф]])),
IF((G377="4/16"),((база!$L$5*Таблица1[[#This Row],[сумма]]*Таблица1[[#This Row],[коэф]])),
IF((G377="3/16"),((база!$L$4*Таблица1[[#This Row],[сумма]]*Таблица1[[#This Row],[коэф]])),
IF((G377="4/4"),((база!$I$5*Таблица1[[#This Row],[сумма]]*Таблица1[[#This Row],[коэф]])),
IF(OR(G377="2/4",G377="3/4"),((база!$I$4*Таблица1[[#This Row],[сумма]]*Таблица1[[#This Row],[коэф]])),
IF((G377="5/8"),((база!$J$6*Таблица1[[#This Row],[сумма]]*Таблица1[[#This Row],[коэф]])),
IF((G377="4/8"),((база!$J$5*Таблица1[[#This Row],[сумма]]*Таблица1[[#This Row],[коэф]])),
IF(OR(G377="3/8",G377="2/8"),((база!$J$4*Таблица1[[#This Row],[сумма]]*Таблица1[[#This Row],[коэф]])))))))))))))),
(IF((G377="5/24"),((база!$M$6*Таблица1[[#This Row],[сумма]]*Таблица1[[#This Row],[коэф]])),
IF(OR(G377="4/24",G377="3/24"),((база!$M$5*Таблица1[[#This Row],[сумма]]*Таблица1[[#This Row],[коэф]])),
IF((G377="5/16"),((база!$L$6*Таблица1[[#This Row],[сумма]]*Таблица1[[#This Row],[коэф]])),
IF(OR(G377="4/16",G377="3/16"),((база!$L$5*Таблица1[[#This Row],[сумма]]*Таблица1[[#This Row],[коэф]])),
IF(OR(G377="2/4",G377="3/4",G377="4/4"),((база!$I$5*Таблица1[[#This Row],[сумма]]*Таблица1[[#This Row],[коэф]])),
IF((G377="5/8"),((база!$J$6*Таблица1[[#This Row],[сумма]]*Таблица1[[#This Row],[коэф]])),
IF(OR(G377="4/8",G377="3/8",G377="2/8"),((база!$J$5*Таблица1[[#This Row],[сумма]]*Таблица1[[#This Row],[коэф]])))))))))))</f>
        <v>0</v>
      </c>
      <c r="AP377" s="730" t="b">
        <f>IF(AR377&lt;=3,(IF((G377="5/24"),((база!$M$6*2*Таблица1[[#This Row],[Столбец1]]*Таблица1[[#This Row],[коэф]])),
IF((G377="4/24"),((база!$M$5*2*Таблица1[[#This Row],[Столбец1]]*Таблица1[[#This Row],[коэф]])),
IF((G377="3/24"),((база!$M$4*2*Таблица1[[#This Row],[Столбец1]]*Таблица1[[#This Row],[коэф]])),
IF((G377="5/16"),((база!$L$6*2*Таблица1[[#This Row],[Столбец1]]*Таблица1[[#This Row],[коэф]])),
IF((G377="4/16"),((база!$L$5*2*Таблица1[[#This Row],[Столбец1]]*Таблица1[[#This Row],[коэф]])),
IF((G377="3/16"),((база!$L$4*2*Таблица1[[#This Row],[Столбец1]]*Таблица1[[#This Row],[коэф]])),
IF((G377="4/4"),((база!$I$5*2*Таблица1[[#This Row],[Столбец1]]*Таблица1[[#This Row],[коэф]])),
IF(OR(G377="2/4",G377="3/4"),((база!$I$4*2*Таблица1[[#This Row],[Столбец1]]*Таблица1[[#This Row],[коэф]])),
IF((G377="5/8"),((база!$J$6*2*Таблица1[[#This Row],[Столбец1]]*Таблица1[[#This Row],[коэф]])),
IF((G377="4/8"),((база!$J$5*2*Таблица1[[#This Row],[Столбец1]]*Таблица1[[#This Row],[коэф]])),
IF(OR(G377="3/8",G377="2/8"),((база!$J$4*2*Таблица1[[#This Row],[Столбец1]]*Таблица1[[#This Row],[коэф]])))))))))))))),
(IF((G377="5/24"),((база!$M$6*2*Таблица1[[#This Row],[Столбец1]]*Таблица1[[#This Row],[коэф]])),
IF(OR(G377="4/24",G377="3/24"),((база!$M$5*2*Таблица1[[#This Row],[Столбец1]]*Таблица1[[#This Row],[коэф]])),
IF((G377="5/16"),((база!$L$6*2*Таблица1[[#This Row],[Столбец1]]*Таблица1[[#This Row],[коэф]])),
IF(OR(G377="4/16",G377="3/16"),((база!$L$5*2*Таблица1[[#This Row],[Столбец1]]*Таблица1[[#This Row],[коэф]])),
IF(OR(G377="2/4",G377="3/4",G377="4/4"),((база!$I$5*2*Таблица1[[#This Row],[Столбец1]]*Таблица1[[#This Row],[коэф]])),
IF((G377="5/8"),((база!$J$6*2*Таблица1[[#This Row],[Столбец1]]*Таблица1[[#This Row],[коэф]])),
IF(OR(G377="4/8",G377="3/8",G377="2/8"),((база!$J$5*2*Таблица1[[#This Row],[Столбец1]]*Таблица1[[#This Row],[коэф]])))))))))))</f>
        <v>0</v>
      </c>
      <c r="AQ377" s="712" t="str">
        <f>IFERROR(INDEX(база!T:T, MATCH(F377,база!Q:Q,0)),"")</f>
        <v/>
      </c>
      <c r="AR377" s="208" t="str">
        <f>IFERROR(INDEX(база!D:D, MATCH(F377,база!B:B,0)),"")</f>
        <v/>
      </c>
      <c r="AS377" s="758" t="str">
        <f>IFERROR(INDEX(база!E:E, MATCH(F377,база!B:B,0)),"")</f>
        <v/>
      </c>
    </row>
    <row r="378" spans="1:45" ht="15">
      <c r="A378" s="66" t="str">
        <f t="shared" si="7"/>
        <v>январь</v>
      </c>
      <c r="B378" s="231">
        <v>2024</v>
      </c>
      <c r="C378" s="299"/>
      <c r="D378" s="61"/>
      <c r="E378" s="211"/>
      <c r="F378" s="680"/>
      <c r="G378" s="47"/>
      <c r="H378" s="563"/>
      <c r="I378" s="563"/>
      <c r="J378" s="563"/>
      <c r="K378" s="563"/>
      <c r="L378" s="563"/>
      <c r="M378" s="563"/>
      <c r="N378" s="563"/>
      <c r="O378" s="563"/>
      <c r="P378" s="300"/>
      <c r="Q378" s="563"/>
      <c r="R378" s="563"/>
      <c r="S378" s="563"/>
      <c r="T378" s="563"/>
      <c r="U378" s="563"/>
      <c r="V378" s="563"/>
      <c r="W378" s="563"/>
      <c r="X378" s="563"/>
      <c r="Y378" s="563"/>
      <c r="Z378" s="563"/>
      <c r="AA378" s="563"/>
      <c r="AB378" s="563"/>
      <c r="AC378" s="563"/>
      <c r="AD378" s="48"/>
      <c r="AE378" s="48"/>
      <c r="AF378" s="258"/>
      <c r="AG378" s="48"/>
      <c r="AH378" s="48"/>
      <c r="AI378" s="48"/>
      <c r="AJ378" s="48"/>
      <c r="AK378" s="48"/>
      <c r="AL378" s="51"/>
      <c r="AM378" s="212">
        <f>IF(AQ378=1,SUM(Q378:T378,W378:Z378,AC378:AF378,AI378:AL378),
IF(AQ378=2,SUM(P378,S378:V378,Y378:AB378,AE378:AH378,AK378:AL378),
IF(AQ378=3,SUM(P378:R378,U378:X378,AA378:AD378,AG378:AJ378),SUM(Таблица1[[#This Row],[1]:[31]])-Таблица1[[#This Row],[Столбец1]])))</f>
        <v>0</v>
      </c>
      <c r="AN378" s="778">
        <f t="array" ref="AN378">IF(AQ378=1,SUM(P378,U378:V378,AA378:AB378,AG378:AH378),
IF(AQ378=2,SUM(Q378:R378,W378:X378,AC378:AD378,AI378:AJ378),
IF(AQ378=3,SUM(S378:T378,Y378:Z378,AE378:AF378,AK378:AL378),
SUM(IFERROR(WEEKDAY($H$2:$AL$2,2)&gt;5,)*H378:AL378))))+Таблица1[[#This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78" s="292" t="b">
        <f>IF(AR378&lt;=3,(IF((G378="5/24"),((база!$M$6*Таблица1[[#This Row],[сумма]]*Таблица1[[#This Row],[коэф]])),
IF((G378="4/24"),((база!$M$5*Таблица1[[#This Row],[сумма]]*Таблица1[[#This Row],[коэф]])),
IF((G378="3/24"),((база!$M$4*Таблица1[[#This Row],[сумма]]*Таблица1[[#This Row],[коэф]])),
IF((G378="5/16"),((база!$L$6*Таблица1[[#This Row],[сумма]]*Таблица1[[#This Row],[коэф]])),
IF((G378="4/16"),((база!$L$5*Таблица1[[#This Row],[сумма]]*Таблица1[[#This Row],[коэф]])),
IF((G378="3/16"),((база!$L$4*Таблица1[[#This Row],[сумма]]*Таблица1[[#This Row],[коэф]])),
IF((G378="4/4"),((база!$I$5*Таблица1[[#This Row],[сумма]]*Таблица1[[#This Row],[коэф]])),
IF(OR(G378="2/4",G378="3/4"),((база!$I$4*Таблица1[[#This Row],[сумма]]*Таблица1[[#This Row],[коэф]])),
IF((G378="5/8"),((база!$J$6*Таблица1[[#This Row],[сумма]]*Таблица1[[#This Row],[коэф]])),
IF((G378="4/8"),((база!$J$5*Таблица1[[#This Row],[сумма]]*Таблица1[[#This Row],[коэф]])),
IF(OR(G378="3/8",G378="2/8"),((база!$J$4*Таблица1[[#This Row],[сумма]]*Таблица1[[#This Row],[коэф]])))))))))))))),
(IF((G378="5/24"),((база!$M$6*Таблица1[[#This Row],[сумма]]*Таблица1[[#This Row],[коэф]])),
IF(OR(G378="4/24",G378="3/24"),((база!$M$5*Таблица1[[#This Row],[сумма]]*Таблица1[[#This Row],[коэф]])),
IF((G378="5/16"),((база!$L$6*Таблица1[[#This Row],[сумма]]*Таблица1[[#This Row],[коэф]])),
IF(OR(G378="4/16",G378="3/16"),((база!$L$5*Таблица1[[#This Row],[сумма]]*Таблица1[[#This Row],[коэф]])),
IF(OR(G378="2/4",G378="3/4",G378="4/4"),((база!$I$5*Таблица1[[#This Row],[сумма]]*Таблица1[[#This Row],[коэф]])),
IF((G378="5/8"),((база!$J$6*Таблица1[[#This Row],[сумма]]*Таблица1[[#This Row],[коэф]])),
IF(OR(G378="4/8",G378="3/8",G378="2/8"),((база!$J$5*Таблица1[[#This Row],[сумма]]*Таблица1[[#This Row],[коэф]])))))))))))</f>
        <v>0</v>
      </c>
      <c r="AP378" s="730" t="b">
        <f>IF(AR378&lt;=3,(IF((G378="5/24"),((база!$M$6*2*Таблица1[[#This Row],[Столбец1]]*Таблица1[[#This Row],[коэф]])),
IF((G378="4/24"),((база!$M$5*2*Таблица1[[#This Row],[Столбец1]]*Таблица1[[#This Row],[коэф]])),
IF((G378="3/24"),((база!$M$4*2*Таблица1[[#This Row],[Столбец1]]*Таблица1[[#This Row],[коэф]])),
IF((G378="5/16"),((база!$L$6*2*Таблица1[[#This Row],[Столбец1]]*Таблица1[[#This Row],[коэф]])),
IF((G378="4/16"),((база!$L$5*2*Таблица1[[#This Row],[Столбец1]]*Таблица1[[#This Row],[коэф]])),
IF((G378="3/16"),((база!$L$4*2*Таблица1[[#This Row],[Столбец1]]*Таблица1[[#This Row],[коэф]])),
IF((G378="4/4"),((база!$I$5*2*Таблица1[[#This Row],[Столбец1]]*Таблица1[[#This Row],[коэф]])),
IF(OR(G378="2/4",G378="3/4"),((база!$I$4*2*Таблица1[[#This Row],[Столбец1]]*Таблица1[[#This Row],[коэф]])),
IF((G378="5/8"),((база!$J$6*2*Таблица1[[#This Row],[Столбец1]]*Таблица1[[#This Row],[коэф]])),
IF((G378="4/8"),((база!$J$5*2*Таблица1[[#This Row],[Столбец1]]*Таблица1[[#This Row],[коэф]])),
IF(OR(G378="3/8",G378="2/8"),((база!$J$4*2*Таблица1[[#This Row],[Столбец1]]*Таблица1[[#This Row],[коэф]])))))))))))))),
(IF((G378="5/24"),((база!$M$6*2*Таблица1[[#This Row],[Столбец1]]*Таблица1[[#This Row],[коэф]])),
IF(OR(G378="4/24",G378="3/24"),((база!$M$5*2*Таблица1[[#This Row],[Столбец1]]*Таблица1[[#This Row],[коэф]])),
IF((G378="5/16"),((база!$L$6*2*Таблица1[[#This Row],[Столбец1]]*Таблица1[[#This Row],[коэф]])),
IF(OR(G378="4/16",G378="3/16"),((база!$L$5*2*Таблица1[[#This Row],[Столбец1]]*Таблица1[[#This Row],[коэф]])),
IF(OR(G378="2/4",G378="3/4",G378="4/4"),((база!$I$5*2*Таблица1[[#This Row],[Столбец1]]*Таблица1[[#This Row],[коэф]])),
IF((G378="5/8"),((база!$J$6*2*Таблица1[[#This Row],[Столбец1]]*Таблица1[[#This Row],[коэф]])),
IF(OR(G378="4/8",G378="3/8",G378="2/8"),((база!$J$5*2*Таблица1[[#This Row],[Столбец1]]*Таблица1[[#This Row],[коэф]])))))))))))</f>
        <v>0</v>
      </c>
      <c r="AQ378" s="712" t="str">
        <f>IFERROR(INDEX(база!T:T, MATCH(F378,база!Q:Q,0)),"")</f>
        <v/>
      </c>
      <c r="AR378" s="208" t="str">
        <f>IFERROR(INDEX(база!D:D, MATCH(F378,база!B:B,0)),"")</f>
        <v/>
      </c>
      <c r="AS378" s="758" t="str">
        <f>IFERROR(INDEX(база!E:E, MATCH(F378,база!B:B,0)),"")</f>
        <v/>
      </c>
    </row>
    <row r="379" spans="1:45" ht="15">
      <c r="A379" s="66" t="str">
        <f t="shared" si="7"/>
        <v>январь</v>
      </c>
      <c r="B379" s="231">
        <v>2024</v>
      </c>
      <c r="C379" s="60"/>
      <c r="D379" s="61"/>
      <c r="E379" s="211"/>
      <c r="F379" s="680"/>
      <c r="G379" s="47"/>
      <c r="H379" s="563"/>
      <c r="I379" s="563"/>
      <c r="J379" s="563"/>
      <c r="K379" s="563"/>
      <c r="L379" s="563"/>
      <c r="M379" s="563"/>
      <c r="N379" s="563"/>
      <c r="O379" s="563"/>
      <c r="P379" s="300"/>
      <c r="Q379" s="563"/>
      <c r="R379" s="563"/>
      <c r="S379" s="563"/>
      <c r="T379" s="563"/>
      <c r="U379" s="563"/>
      <c r="V379" s="563"/>
      <c r="W379" s="563"/>
      <c r="X379" s="563"/>
      <c r="Y379" s="563"/>
      <c r="Z379" s="563"/>
      <c r="AA379" s="563"/>
      <c r="AB379" s="563"/>
      <c r="AC379" s="563"/>
      <c r="AD379" s="48"/>
      <c r="AE379" s="48"/>
      <c r="AF379" s="258"/>
      <c r="AG379" s="48"/>
      <c r="AH379" s="48"/>
      <c r="AI379" s="258"/>
      <c r="AJ379" s="258"/>
      <c r="AK379" s="258"/>
      <c r="AL379" s="258"/>
      <c r="AM379" s="212">
        <f>IF(AQ379=1,SUM(Q379:T379,W379:Z379,AC379:AF379,AI379:AL379),
IF(AQ379=2,SUM(P379,S379:V379,Y379:AB379,AE379:AH379,AK379:AL379),
IF(AQ379=3,SUM(P379:R379,U379:X379,AA379:AD379,AG379:AJ379),SUM(Таблица1[[#This Row],[1]:[31]])-Таблица1[[#This Row],[Столбец1]])))</f>
        <v>0</v>
      </c>
      <c r="AN379" s="778">
        <f t="array" ref="AN379">IF(AQ379=1,SUM(P379,U379:V379,AA379:AB379,AG379:AH379),
IF(AQ379=2,SUM(Q379:R379,W379:X379,AC379:AD379,AI379:AJ379),
IF(AQ379=3,SUM(S379:T379,Y379:Z379,AE379:AF379,AK379:AL379),
SUM(IFERROR(WEEKDAY($H$2:$AL$2,2)&gt;5,)*H379:AL379))))+Таблица1[[#This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79" s="292" t="b">
        <f>IF(AR379&lt;=3,(IF((G379="5/24"),((база!$M$6*Таблица1[[#This Row],[сумма]]*Таблица1[[#This Row],[коэф]])),
IF((G379="4/24"),((база!$M$5*Таблица1[[#This Row],[сумма]]*Таблица1[[#This Row],[коэф]])),
IF((G379="3/24"),((база!$M$4*Таблица1[[#This Row],[сумма]]*Таблица1[[#This Row],[коэф]])),
IF((G379="5/16"),((база!$L$6*Таблица1[[#This Row],[сумма]]*Таблица1[[#This Row],[коэф]])),
IF((G379="4/16"),((база!$L$5*Таблица1[[#This Row],[сумма]]*Таблица1[[#This Row],[коэф]])),
IF((G379="3/16"),((база!$L$4*Таблица1[[#This Row],[сумма]]*Таблица1[[#This Row],[коэф]])),
IF((G379="4/4"),((база!$I$5*Таблица1[[#This Row],[сумма]]*Таблица1[[#This Row],[коэф]])),
IF(OR(G379="2/4",G379="3/4"),((база!$I$4*Таблица1[[#This Row],[сумма]]*Таблица1[[#This Row],[коэф]])),
IF((G379="5/8"),((база!$J$6*Таблица1[[#This Row],[сумма]]*Таблица1[[#This Row],[коэф]])),
IF((G379="4/8"),((база!$J$5*Таблица1[[#This Row],[сумма]]*Таблица1[[#This Row],[коэф]])),
IF(OR(G379="3/8",G379="2/8"),((база!$J$4*Таблица1[[#This Row],[сумма]]*Таблица1[[#This Row],[коэф]])))))))))))))),
(IF((G379="5/24"),((база!$M$6*Таблица1[[#This Row],[сумма]]*Таблица1[[#This Row],[коэф]])),
IF(OR(G379="4/24",G379="3/24"),((база!$M$5*Таблица1[[#This Row],[сумма]]*Таблица1[[#This Row],[коэф]])),
IF((G379="5/16"),((база!$L$6*Таблица1[[#This Row],[сумма]]*Таблица1[[#This Row],[коэф]])),
IF(OR(G379="4/16",G379="3/16"),((база!$L$5*Таблица1[[#This Row],[сумма]]*Таблица1[[#This Row],[коэф]])),
IF(OR(G379="2/4",G379="3/4",G379="4/4"),((база!$I$5*Таблица1[[#This Row],[сумма]]*Таблица1[[#This Row],[коэф]])),
IF((G379="5/8"),((база!$J$6*Таблица1[[#This Row],[сумма]]*Таблица1[[#This Row],[коэф]])),
IF(OR(G379="4/8",G379="3/8",G379="2/8"),((база!$J$5*Таблица1[[#This Row],[сумма]]*Таблица1[[#This Row],[коэф]])))))))))))</f>
        <v>0</v>
      </c>
      <c r="AP379" s="730" t="b">
        <f>IF(AR379&lt;=3,(IF((G379="5/24"),((база!$M$6*2*Таблица1[[#This Row],[Столбец1]]*Таблица1[[#This Row],[коэф]])),
IF((G379="4/24"),((база!$M$5*2*Таблица1[[#This Row],[Столбец1]]*Таблица1[[#This Row],[коэф]])),
IF((G379="3/24"),((база!$M$4*2*Таблица1[[#This Row],[Столбец1]]*Таблица1[[#This Row],[коэф]])),
IF((G379="5/16"),((база!$L$6*2*Таблица1[[#This Row],[Столбец1]]*Таблица1[[#This Row],[коэф]])),
IF((G379="4/16"),((база!$L$5*2*Таблица1[[#This Row],[Столбец1]]*Таблица1[[#This Row],[коэф]])),
IF((G379="3/16"),((база!$L$4*2*Таблица1[[#This Row],[Столбец1]]*Таблица1[[#This Row],[коэф]])),
IF((G379="4/4"),((база!$I$5*2*Таблица1[[#This Row],[Столбец1]]*Таблица1[[#This Row],[коэф]])),
IF(OR(G379="2/4",G379="3/4"),((база!$I$4*2*Таблица1[[#This Row],[Столбец1]]*Таблица1[[#This Row],[коэф]])),
IF((G379="5/8"),((база!$J$6*2*Таблица1[[#This Row],[Столбец1]]*Таблица1[[#This Row],[коэф]])),
IF((G379="4/8"),((база!$J$5*2*Таблица1[[#This Row],[Столбец1]]*Таблица1[[#This Row],[коэф]])),
IF(OR(G379="3/8",G379="2/8"),((база!$J$4*2*Таблица1[[#This Row],[Столбец1]]*Таблица1[[#This Row],[коэф]])))))))))))))),
(IF((G379="5/24"),((база!$M$6*2*Таблица1[[#This Row],[Столбец1]]*Таблица1[[#This Row],[коэф]])),
IF(OR(G379="4/24",G379="3/24"),((база!$M$5*2*Таблица1[[#This Row],[Столбец1]]*Таблица1[[#This Row],[коэф]])),
IF((G379="5/16"),((база!$L$6*2*Таблица1[[#This Row],[Столбец1]]*Таблица1[[#This Row],[коэф]])),
IF(OR(G379="4/16",G379="3/16"),((база!$L$5*2*Таблица1[[#This Row],[Столбец1]]*Таблица1[[#This Row],[коэф]])),
IF(OR(G379="2/4",G379="3/4",G379="4/4"),((база!$I$5*2*Таблица1[[#This Row],[Столбец1]]*Таблица1[[#This Row],[коэф]])),
IF((G379="5/8"),((база!$J$6*2*Таблица1[[#This Row],[Столбец1]]*Таблица1[[#This Row],[коэф]])),
IF(OR(G379="4/8",G379="3/8",G379="2/8"),((база!$J$5*2*Таблица1[[#This Row],[Столбец1]]*Таблица1[[#This Row],[коэф]])))))))))))</f>
        <v>0</v>
      </c>
      <c r="AQ379" s="712" t="str">
        <f>IFERROR(INDEX(база!T:T, MATCH(F379,база!Q:Q,0)),"")</f>
        <v/>
      </c>
      <c r="AR379" s="208" t="str">
        <f>IFERROR(INDEX(база!D:D, MATCH(F379,база!B:B,0)),"")</f>
        <v/>
      </c>
      <c r="AS379" s="758" t="str">
        <f>IFERROR(INDEX(база!E:E, MATCH(F379,база!B:B,0)),"")</f>
        <v/>
      </c>
    </row>
    <row r="380" spans="1:45" ht="15">
      <c r="A380" s="66" t="str">
        <f t="shared" si="7"/>
        <v>январь</v>
      </c>
      <c r="B380" s="231">
        <v>2024</v>
      </c>
      <c r="C380" s="299"/>
      <c r="D380" s="61"/>
      <c r="E380" s="211"/>
      <c r="F380" s="680"/>
      <c r="G380" s="47"/>
      <c r="H380" s="563"/>
      <c r="I380" s="563"/>
      <c r="J380" s="563"/>
      <c r="K380" s="563"/>
      <c r="L380" s="563"/>
      <c r="M380" s="563"/>
      <c r="N380" s="563"/>
      <c r="O380" s="563"/>
      <c r="P380" s="300"/>
      <c r="Q380" s="563"/>
      <c r="R380" s="563"/>
      <c r="S380" s="563"/>
      <c r="T380" s="563"/>
      <c r="U380" s="563"/>
      <c r="V380" s="563"/>
      <c r="W380" s="563"/>
      <c r="X380" s="563"/>
      <c r="Y380" s="563"/>
      <c r="Z380" s="563"/>
      <c r="AA380" s="563"/>
      <c r="AB380" s="563"/>
      <c r="AC380" s="563"/>
      <c r="AD380" s="48"/>
      <c r="AE380" s="48"/>
      <c r="AF380" s="258"/>
      <c r="AG380" s="48"/>
      <c r="AH380" s="48"/>
      <c r="AI380" s="48"/>
      <c r="AJ380" s="48"/>
      <c r="AK380" s="48"/>
      <c r="AL380" s="51"/>
      <c r="AM380" s="212">
        <f>IF(AQ380=1,SUM(Q380:T380,W380:Z380,AC380:AF380,AI380:AL380),
IF(AQ380=2,SUM(P380,S380:V380,Y380:AB380,AE380:AH380,AK380:AL380),
IF(AQ380=3,SUM(P380:R380,U380:X380,AA380:AD380,AG380:AJ380),SUM(Таблица1[[#This Row],[1]:[31]])-Таблица1[[#This Row],[Столбец1]])))</f>
        <v>0</v>
      </c>
      <c r="AN380" s="778">
        <f t="array" ref="AN380">IF(AQ380=1,SUM(P380,U380:V380,AA380:AB380,AG380:AH380),
IF(AQ380=2,SUM(Q380:R380,W380:X380,AC380:AD380,AI380:AJ380),
IF(AQ380=3,SUM(S380:T380,Y380:Z380,AE380:AF380,AK380:AL380),
SUM(IFERROR(WEEKDAY($H$2:$AL$2,2)&gt;5,)*H380:AL380))))+Таблица1[[#This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80" s="292" t="b">
        <f>IF(AR380&lt;=3,(IF((G380="5/24"),((база!$M$6*Таблица1[[#This Row],[сумма]]*Таблица1[[#This Row],[коэф]])),
IF((G380="4/24"),((база!$M$5*Таблица1[[#This Row],[сумма]]*Таблица1[[#This Row],[коэф]])),
IF((G380="3/24"),((база!$M$4*Таблица1[[#This Row],[сумма]]*Таблица1[[#This Row],[коэф]])),
IF((G380="5/16"),((база!$L$6*Таблица1[[#This Row],[сумма]]*Таблица1[[#This Row],[коэф]])),
IF((G380="4/16"),((база!$L$5*Таблица1[[#This Row],[сумма]]*Таблица1[[#This Row],[коэф]])),
IF((G380="3/16"),((база!$L$4*Таблица1[[#This Row],[сумма]]*Таблица1[[#This Row],[коэф]])),
IF((G380="4/4"),((база!$I$5*Таблица1[[#This Row],[сумма]]*Таблица1[[#This Row],[коэф]])),
IF(OR(G380="2/4",G380="3/4"),((база!$I$4*Таблица1[[#This Row],[сумма]]*Таблица1[[#This Row],[коэф]])),
IF((G380="5/8"),((база!$J$6*Таблица1[[#This Row],[сумма]]*Таблица1[[#This Row],[коэф]])),
IF((G380="4/8"),((база!$J$5*Таблица1[[#This Row],[сумма]]*Таблица1[[#This Row],[коэф]])),
IF(OR(G380="3/8",G380="2/8"),((база!$J$4*Таблица1[[#This Row],[сумма]]*Таблица1[[#This Row],[коэф]])))))))))))))),
(IF((G380="5/24"),((база!$M$6*Таблица1[[#This Row],[сумма]]*Таблица1[[#This Row],[коэф]])),
IF(OR(G380="4/24",G380="3/24"),((база!$M$5*Таблица1[[#This Row],[сумма]]*Таблица1[[#This Row],[коэф]])),
IF((G380="5/16"),((база!$L$6*Таблица1[[#This Row],[сумма]]*Таблица1[[#This Row],[коэф]])),
IF(OR(G380="4/16",G380="3/16"),((база!$L$5*Таблица1[[#This Row],[сумма]]*Таблица1[[#This Row],[коэф]])),
IF(OR(G380="2/4",G380="3/4",G380="4/4"),((база!$I$5*Таблица1[[#This Row],[сумма]]*Таблица1[[#This Row],[коэф]])),
IF((G380="5/8"),((база!$J$6*Таблица1[[#This Row],[сумма]]*Таблица1[[#This Row],[коэф]])),
IF(OR(G380="4/8",G380="3/8",G380="2/8"),((база!$J$5*Таблица1[[#This Row],[сумма]]*Таблица1[[#This Row],[коэф]])))))))))))</f>
        <v>0</v>
      </c>
      <c r="AP380" s="730" t="b">
        <f>IF(AR380&lt;=3,(IF((G380="5/24"),((база!$M$6*2*Таблица1[[#This Row],[Столбец1]]*Таблица1[[#This Row],[коэф]])),
IF((G380="4/24"),((база!$M$5*2*Таблица1[[#This Row],[Столбец1]]*Таблица1[[#This Row],[коэф]])),
IF((G380="3/24"),((база!$M$4*2*Таблица1[[#This Row],[Столбец1]]*Таблица1[[#This Row],[коэф]])),
IF((G380="5/16"),((база!$L$6*2*Таблица1[[#This Row],[Столбец1]]*Таблица1[[#This Row],[коэф]])),
IF((G380="4/16"),((база!$L$5*2*Таблица1[[#This Row],[Столбец1]]*Таблица1[[#This Row],[коэф]])),
IF((G380="3/16"),((база!$L$4*2*Таблица1[[#This Row],[Столбец1]]*Таблица1[[#This Row],[коэф]])),
IF((G380="4/4"),((база!$I$5*2*Таблица1[[#This Row],[Столбец1]]*Таблица1[[#This Row],[коэф]])),
IF(OR(G380="2/4",G380="3/4"),((база!$I$4*2*Таблица1[[#This Row],[Столбец1]]*Таблица1[[#This Row],[коэф]])),
IF((G380="5/8"),((база!$J$6*2*Таблица1[[#This Row],[Столбец1]]*Таблица1[[#This Row],[коэф]])),
IF((G380="4/8"),((база!$J$5*2*Таблица1[[#This Row],[Столбец1]]*Таблица1[[#This Row],[коэф]])),
IF(OR(G380="3/8",G380="2/8"),((база!$J$4*2*Таблица1[[#This Row],[Столбец1]]*Таблица1[[#This Row],[коэф]])))))))))))))),
(IF((G380="5/24"),((база!$M$6*2*Таблица1[[#This Row],[Столбец1]]*Таблица1[[#This Row],[коэф]])),
IF(OR(G380="4/24",G380="3/24"),((база!$M$5*2*Таблица1[[#This Row],[Столбец1]]*Таблица1[[#This Row],[коэф]])),
IF((G380="5/16"),((база!$L$6*2*Таблица1[[#This Row],[Столбец1]]*Таблица1[[#This Row],[коэф]])),
IF(OR(G380="4/16",G380="3/16"),((база!$L$5*2*Таблица1[[#This Row],[Столбец1]]*Таблица1[[#This Row],[коэф]])),
IF(OR(G380="2/4",G380="3/4",G380="4/4"),((база!$I$5*2*Таблица1[[#This Row],[Столбец1]]*Таблица1[[#This Row],[коэф]])),
IF((G380="5/8"),((база!$J$6*2*Таблица1[[#This Row],[Столбец1]]*Таблица1[[#This Row],[коэф]])),
IF(OR(G380="4/8",G380="3/8",G380="2/8"),((база!$J$5*2*Таблица1[[#This Row],[Столбец1]]*Таблица1[[#This Row],[коэф]])))))))))))</f>
        <v>0</v>
      </c>
      <c r="AQ380" s="712" t="str">
        <f>IFERROR(INDEX(база!T:T, MATCH(F380,база!Q:Q,0)),"")</f>
        <v/>
      </c>
      <c r="AR380" s="208" t="str">
        <f>IFERROR(INDEX(база!D:D, MATCH(F380,база!B:B,0)),"")</f>
        <v/>
      </c>
      <c r="AS380" s="758" t="str">
        <f>IFERROR(INDEX(база!E:E, MATCH(F380,база!B:B,0)),"")</f>
        <v/>
      </c>
    </row>
    <row r="381" spans="1:45" ht="15">
      <c r="A381" s="66" t="str">
        <f t="shared" si="7"/>
        <v>январь</v>
      </c>
      <c r="B381" s="231">
        <v>2024</v>
      </c>
      <c r="C381" s="299"/>
      <c r="D381" s="61"/>
      <c r="E381" s="211"/>
      <c r="F381" s="680"/>
      <c r="G381" s="47"/>
      <c r="H381" s="563"/>
      <c r="I381" s="563"/>
      <c r="J381" s="563"/>
      <c r="K381" s="563"/>
      <c r="L381" s="563"/>
      <c r="M381" s="563"/>
      <c r="N381" s="563"/>
      <c r="O381" s="563"/>
      <c r="P381" s="300"/>
      <c r="Q381" s="563"/>
      <c r="R381" s="563"/>
      <c r="S381" s="563"/>
      <c r="T381" s="563"/>
      <c r="U381" s="563"/>
      <c r="V381" s="563"/>
      <c r="W381" s="563"/>
      <c r="X381" s="563"/>
      <c r="Y381" s="563"/>
      <c r="Z381" s="563"/>
      <c r="AA381" s="563"/>
      <c r="AB381" s="563"/>
      <c r="AC381" s="563"/>
      <c r="AD381" s="48"/>
      <c r="AE381" s="48"/>
      <c r="AF381" s="258"/>
      <c r="AG381" s="48"/>
      <c r="AH381" s="48"/>
      <c r="AI381" s="258"/>
      <c r="AJ381" s="258"/>
      <c r="AK381" s="258"/>
      <c r="AL381" s="258"/>
      <c r="AM381" s="212">
        <f>IF(AQ381=1,SUM(Q381:T381,W381:Z381,AC381:AF381,AI381:AL381),
IF(AQ381=2,SUM(P381,S381:V381,Y381:AB381,AE381:AH381,AK381:AL381),
IF(AQ381=3,SUM(P381:R381,U381:X381,AA381:AD381,AG381:AJ381),SUM(Таблица1[[#This Row],[1]:[31]])-Таблица1[[#This Row],[Столбец1]])))</f>
        <v>0</v>
      </c>
      <c r="AN381" s="778">
        <f t="array" ref="AN381">IF(AQ381=1,SUM(P381,U381:V381,AA381:AB381,AG381:AH381),
IF(AQ381=2,SUM(Q381:R381,W381:X381,AC381:AD381,AI381:AJ381),
IF(AQ381=3,SUM(S381:T381,Y381:Z381,AE381:AF381,AK381:AL381),
SUM(IFERROR(WEEKDAY($H$2:$AL$2,2)&gt;5,)*H381:AL381))))+Таблица1[[#This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81" s="292" t="b">
        <f>IF(AR381&lt;=3,(IF((G381="5/24"),((база!$M$6*Таблица1[[#This Row],[сумма]]*Таблица1[[#This Row],[коэф]])),
IF((G381="4/24"),((база!$M$5*Таблица1[[#This Row],[сумма]]*Таблица1[[#This Row],[коэф]])),
IF((G381="3/24"),((база!$M$4*Таблица1[[#This Row],[сумма]]*Таблица1[[#This Row],[коэф]])),
IF((G381="5/16"),((база!$L$6*Таблица1[[#This Row],[сумма]]*Таблица1[[#This Row],[коэф]])),
IF((G381="4/16"),((база!$L$5*Таблица1[[#This Row],[сумма]]*Таблица1[[#This Row],[коэф]])),
IF((G381="3/16"),((база!$L$4*Таблица1[[#This Row],[сумма]]*Таблица1[[#This Row],[коэф]])),
IF((G381="4/4"),((база!$I$5*Таблица1[[#This Row],[сумма]]*Таблица1[[#This Row],[коэф]])),
IF(OR(G381="2/4",G381="3/4"),((база!$I$4*Таблица1[[#This Row],[сумма]]*Таблица1[[#This Row],[коэф]])),
IF((G381="5/8"),((база!$J$6*Таблица1[[#This Row],[сумма]]*Таблица1[[#This Row],[коэф]])),
IF((G381="4/8"),((база!$J$5*Таблица1[[#This Row],[сумма]]*Таблица1[[#This Row],[коэф]])),
IF(OR(G381="3/8",G381="2/8"),((база!$J$4*Таблица1[[#This Row],[сумма]]*Таблица1[[#This Row],[коэф]])))))))))))))),
(IF((G381="5/24"),((база!$M$6*Таблица1[[#This Row],[сумма]]*Таблица1[[#This Row],[коэф]])),
IF(OR(G381="4/24",G381="3/24"),((база!$M$5*Таблица1[[#This Row],[сумма]]*Таблица1[[#This Row],[коэф]])),
IF((G381="5/16"),((база!$L$6*Таблица1[[#This Row],[сумма]]*Таблица1[[#This Row],[коэф]])),
IF(OR(G381="4/16",G381="3/16"),((база!$L$5*Таблица1[[#This Row],[сумма]]*Таблица1[[#This Row],[коэф]])),
IF(OR(G381="2/4",G381="3/4",G381="4/4"),((база!$I$5*Таблица1[[#This Row],[сумма]]*Таблица1[[#This Row],[коэф]])),
IF((G381="5/8"),((база!$J$6*Таблица1[[#This Row],[сумма]]*Таблица1[[#This Row],[коэф]])),
IF(OR(G381="4/8",G381="3/8",G381="2/8"),((база!$J$5*Таблица1[[#This Row],[сумма]]*Таблица1[[#This Row],[коэф]])))))))))))</f>
        <v>0</v>
      </c>
      <c r="AP381" s="730" t="b">
        <f>IF(AR381&lt;=3,(IF((G381="5/24"),((база!$M$6*2*Таблица1[[#This Row],[Столбец1]]*Таблица1[[#This Row],[коэф]])),
IF((G381="4/24"),((база!$M$5*2*Таблица1[[#This Row],[Столбец1]]*Таблица1[[#This Row],[коэф]])),
IF((G381="3/24"),((база!$M$4*2*Таблица1[[#This Row],[Столбец1]]*Таблица1[[#This Row],[коэф]])),
IF((G381="5/16"),((база!$L$6*2*Таблица1[[#This Row],[Столбец1]]*Таблица1[[#This Row],[коэф]])),
IF((G381="4/16"),((база!$L$5*2*Таблица1[[#This Row],[Столбец1]]*Таблица1[[#This Row],[коэф]])),
IF((G381="3/16"),((база!$L$4*2*Таблица1[[#This Row],[Столбец1]]*Таблица1[[#This Row],[коэф]])),
IF((G381="4/4"),((база!$I$5*2*Таблица1[[#This Row],[Столбец1]]*Таблица1[[#This Row],[коэф]])),
IF(OR(G381="2/4",G381="3/4"),((база!$I$4*2*Таблица1[[#This Row],[Столбец1]]*Таблица1[[#This Row],[коэф]])),
IF((G381="5/8"),((база!$J$6*2*Таблица1[[#This Row],[Столбец1]]*Таблица1[[#This Row],[коэф]])),
IF((G381="4/8"),((база!$J$5*2*Таблица1[[#This Row],[Столбец1]]*Таблица1[[#This Row],[коэф]])),
IF(OR(G381="3/8",G381="2/8"),((база!$J$4*2*Таблица1[[#This Row],[Столбец1]]*Таблица1[[#This Row],[коэф]])))))))))))))),
(IF((G381="5/24"),((база!$M$6*2*Таблица1[[#This Row],[Столбец1]]*Таблица1[[#This Row],[коэф]])),
IF(OR(G381="4/24",G381="3/24"),((база!$M$5*2*Таблица1[[#This Row],[Столбец1]]*Таблица1[[#This Row],[коэф]])),
IF((G381="5/16"),((база!$L$6*2*Таблица1[[#This Row],[Столбец1]]*Таблица1[[#This Row],[коэф]])),
IF(OR(G381="4/16",G381="3/16"),((база!$L$5*2*Таблица1[[#This Row],[Столбец1]]*Таблица1[[#This Row],[коэф]])),
IF(OR(G381="2/4",G381="3/4",G381="4/4"),((база!$I$5*2*Таблица1[[#This Row],[Столбец1]]*Таблица1[[#This Row],[коэф]])),
IF((G381="5/8"),((база!$J$6*2*Таблица1[[#This Row],[Столбец1]]*Таблица1[[#This Row],[коэф]])),
IF(OR(G381="4/8",G381="3/8",G381="2/8"),((база!$J$5*2*Таблица1[[#This Row],[Столбец1]]*Таблица1[[#This Row],[коэф]])))))))))))</f>
        <v>0</v>
      </c>
      <c r="AQ381" s="712" t="str">
        <f>IFERROR(INDEX(база!T:T, MATCH(F381,база!Q:Q,0)),"")</f>
        <v/>
      </c>
      <c r="AR381" s="208" t="str">
        <f>IFERROR(INDEX(база!D:D, MATCH(F381,база!B:B,0)),"")</f>
        <v/>
      </c>
      <c r="AS381" s="758" t="str">
        <f>IFERROR(INDEX(база!E:E, MATCH(F381,база!B:B,0)),"")</f>
        <v/>
      </c>
    </row>
    <row r="382" spans="1:45" ht="15">
      <c r="A382" s="66" t="str">
        <f t="shared" si="7"/>
        <v>январь</v>
      </c>
      <c r="B382" s="231">
        <v>2024</v>
      </c>
      <c r="C382" s="299"/>
      <c r="D382" s="61"/>
      <c r="E382" s="211"/>
      <c r="F382" s="680"/>
      <c r="G382" s="47"/>
      <c r="H382" s="563"/>
      <c r="I382" s="563"/>
      <c r="J382" s="563"/>
      <c r="K382" s="563"/>
      <c r="L382" s="563"/>
      <c r="M382" s="563"/>
      <c r="N382" s="563"/>
      <c r="O382" s="563"/>
      <c r="P382" s="300"/>
      <c r="Q382" s="563"/>
      <c r="R382" s="563"/>
      <c r="S382" s="563"/>
      <c r="T382" s="563"/>
      <c r="U382" s="563"/>
      <c r="V382" s="563"/>
      <c r="W382" s="563"/>
      <c r="X382" s="563"/>
      <c r="Y382" s="563"/>
      <c r="Z382" s="563"/>
      <c r="AA382" s="563"/>
      <c r="AB382" s="563"/>
      <c r="AC382" s="563"/>
      <c r="AD382" s="48"/>
      <c r="AE382" s="48"/>
      <c r="AF382" s="258"/>
      <c r="AG382" s="48"/>
      <c r="AH382" s="48"/>
      <c r="AI382" s="48"/>
      <c r="AJ382" s="48"/>
      <c r="AK382" s="48"/>
      <c r="AL382" s="51"/>
      <c r="AM382" s="212">
        <f>IF(AQ382=1,SUM(Q382:T382,W382:Z382,AC382:AF382,AI382:AL382),
IF(AQ382=2,SUM(P382,S382:V382,Y382:AB382,AE382:AH382,AK382:AL382),
IF(AQ382=3,SUM(P382:R382,U382:X382,AA382:AD382,AG382:AJ382),SUM(Таблица1[[#This Row],[1]:[31]])-Таблица1[[#This Row],[Столбец1]])))</f>
        <v>0</v>
      </c>
      <c r="AN382" s="778">
        <f t="array" ref="AN382">IF(AQ382=1,SUM(P382,U382:V382,AA382:AB382,AG382:AH382),
IF(AQ382=2,SUM(Q382:R382,W382:X382,AC382:AD382,AI382:AJ382),
IF(AQ382=3,SUM(S382:T382,Y382:Z382,AE382:AF382,AK382:AL382),
SUM(IFERROR(WEEKDAY($H$2:$AL$2,2)&gt;5,)*H382:AL382))))+Таблица1[[#This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82" s="292" t="b">
        <f>IF(AR382&lt;=3,(IF((G382="5/24"),((база!$M$6*Таблица1[[#This Row],[сумма]]*Таблица1[[#This Row],[коэф]])),
IF((G382="4/24"),((база!$M$5*Таблица1[[#This Row],[сумма]]*Таблица1[[#This Row],[коэф]])),
IF((G382="3/24"),((база!$M$4*Таблица1[[#This Row],[сумма]]*Таблица1[[#This Row],[коэф]])),
IF((G382="5/16"),((база!$L$6*Таблица1[[#This Row],[сумма]]*Таблица1[[#This Row],[коэф]])),
IF((G382="4/16"),((база!$L$5*Таблица1[[#This Row],[сумма]]*Таблица1[[#This Row],[коэф]])),
IF((G382="3/16"),((база!$L$4*Таблица1[[#This Row],[сумма]]*Таблица1[[#This Row],[коэф]])),
IF((G382="4/4"),((база!$I$5*Таблица1[[#This Row],[сумма]]*Таблица1[[#This Row],[коэф]])),
IF(OR(G382="2/4",G382="3/4"),((база!$I$4*Таблица1[[#This Row],[сумма]]*Таблица1[[#This Row],[коэф]])),
IF((G382="5/8"),((база!$J$6*Таблица1[[#This Row],[сумма]]*Таблица1[[#This Row],[коэф]])),
IF((G382="4/8"),((база!$J$5*Таблица1[[#This Row],[сумма]]*Таблица1[[#This Row],[коэф]])),
IF(OR(G382="3/8",G382="2/8"),((база!$J$4*Таблица1[[#This Row],[сумма]]*Таблица1[[#This Row],[коэф]])))))))))))))),
(IF((G382="5/24"),((база!$M$6*Таблица1[[#This Row],[сумма]]*Таблица1[[#This Row],[коэф]])),
IF(OR(G382="4/24",G382="3/24"),((база!$M$5*Таблица1[[#This Row],[сумма]]*Таблица1[[#This Row],[коэф]])),
IF((G382="5/16"),((база!$L$6*Таблица1[[#This Row],[сумма]]*Таблица1[[#This Row],[коэф]])),
IF(OR(G382="4/16",G382="3/16"),((база!$L$5*Таблица1[[#This Row],[сумма]]*Таблица1[[#This Row],[коэф]])),
IF(OR(G382="2/4",G382="3/4",G382="4/4"),((база!$I$5*Таблица1[[#This Row],[сумма]]*Таблица1[[#This Row],[коэф]])),
IF((G382="5/8"),((база!$J$6*Таблица1[[#This Row],[сумма]]*Таблица1[[#This Row],[коэф]])),
IF(OR(G382="4/8",G382="3/8",G382="2/8"),((база!$J$5*Таблица1[[#This Row],[сумма]]*Таблица1[[#This Row],[коэф]])))))))))))</f>
        <v>0</v>
      </c>
      <c r="AP382" s="730" t="b">
        <f>IF(AR382&lt;=3,(IF((G382="5/24"),((база!$M$6*2*Таблица1[[#This Row],[Столбец1]]*Таблица1[[#This Row],[коэф]])),
IF((G382="4/24"),((база!$M$5*2*Таблица1[[#This Row],[Столбец1]]*Таблица1[[#This Row],[коэф]])),
IF((G382="3/24"),((база!$M$4*2*Таблица1[[#This Row],[Столбец1]]*Таблица1[[#This Row],[коэф]])),
IF((G382="5/16"),((база!$L$6*2*Таблица1[[#This Row],[Столбец1]]*Таблица1[[#This Row],[коэф]])),
IF((G382="4/16"),((база!$L$5*2*Таблица1[[#This Row],[Столбец1]]*Таблица1[[#This Row],[коэф]])),
IF((G382="3/16"),((база!$L$4*2*Таблица1[[#This Row],[Столбец1]]*Таблица1[[#This Row],[коэф]])),
IF((G382="4/4"),((база!$I$5*2*Таблица1[[#This Row],[Столбец1]]*Таблица1[[#This Row],[коэф]])),
IF(OR(G382="2/4",G382="3/4"),((база!$I$4*2*Таблица1[[#This Row],[Столбец1]]*Таблица1[[#This Row],[коэф]])),
IF((G382="5/8"),((база!$J$6*2*Таблица1[[#This Row],[Столбец1]]*Таблица1[[#This Row],[коэф]])),
IF((G382="4/8"),((база!$J$5*2*Таблица1[[#This Row],[Столбец1]]*Таблица1[[#This Row],[коэф]])),
IF(OR(G382="3/8",G382="2/8"),((база!$J$4*2*Таблица1[[#This Row],[Столбец1]]*Таблица1[[#This Row],[коэф]])))))))))))))),
(IF((G382="5/24"),((база!$M$6*2*Таблица1[[#This Row],[Столбец1]]*Таблица1[[#This Row],[коэф]])),
IF(OR(G382="4/24",G382="3/24"),((база!$M$5*2*Таблица1[[#This Row],[Столбец1]]*Таблица1[[#This Row],[коэф]])),
IF((G382="5/16"),((база!$L$6*2*Таблица1[[#This Row],[Столбец1]]*Таблица1[[#This Row],[коэф]])),
IF(OR(G382="4/16",G382="3/16"),((база!$L$5*2*Таблица1[[#This Row],[Столбец1]]*Таблица1[[#This Row],[коэф]])),
IF(OR(G382="2/4",G382="3/4",G382="4/4"),((база!$I$5*2*Таблица1[[#This Row],[Столбец1]]*Таблица1[[#This Row],[коэф]])),
IF((G382="5/8"),((база!$J$6*2*Таблица1[[#This Row],[Столбец1]]*Таблица1[[#This Row],[коэф]])),
IF(OR(G382="4/8",G382="3/8",G382="2/8"),((база!$J$5*2*Таблица1[[#This Row],[Столбец1]]*Таблица1[[#This Row],[коэф]])))))))))))</f>
        <v>0</v>
      </c>
      <c r="AQ382" s="712" t="str">
        <f>IFERROR(INDEX(база!T:T, MATCH(F382,база!Q:Q,0)),"")</f>
        <v/>
      </c>
      <c r="AR382" s="208" t="str">
        <f>IFERROR(INDEX(база!D:D, MATCH(F382,база!B:B,0)),"")</f>
        <v/>
      </c>
      <c r="AS382" s="758" t="str">
        <f>IFERROR(INDEX(база!E:E, MATCH(F382,база!B:B,0)),"")</f>
        <v/>
      </c>
    </row>
    <row r="383" spans="1:45" ht="15">
      <c r="A383" s="66" t="str">
        <f t="shared" si="7"/>
        <v>январь</v>
      </c>
      <c r="B383" s="231">
        <v>2024</v>
      </c>
      <c r="C383" s="60"/>
      <c r="D383" s="61"/>
      <c r="E383" s="211"/>
      <c r="F383" s="680"/>
      <c r="G383" s="47"/>
      <c r="H383" s="563"/>
      <c r="I383" s="563"/>
      <c r="J383" s="563"/>
      <c r="K383" s="563"/>
      <c r="L383" s="563"/>
      <c r="M383" s="563"/>
      <c r="N383" s="563"/>
      <c r="O383" s="563"/>
      <c r="P383" s="300"/>
      <c r="Q383" s="563"/>
      <c r="R383" s="563"/>
      <c r="S383" s="563"/>
      <c r="T383" s="563"/>
      <c r="U383" s="563"/>
      <c r="V383" s="563"/>
      <c r="W383" s="563"/>
      <c r="X383" s="563"/>
      <c r="Y383" s="563"/>
      <c r="Z383" s="563"/>
      <c r="AA383" s="563"/>
      <c r="AB383" s="563"/>
      <c r="AC383" s="563"/>
      <c r="AD383" s="48"/>
      <c r="AE383" s="48"/>
      <c r="AF383" s="258"/>
      <c r="AG383" s="48"/>
      <c r="AH383" s="48"/>
      <c r="AI383" s="258"/>
      <c r="AJ383" s="258"/>
      <c r="AK383" s="258"/>
      <c r="AL383" s="258"/>
      <c r="AM383" s="212">
        <f>IF(AQ383=1,SUM(Q383:T383,W383:Z383,AC383:AF383,AI383:AL383),
IF(AQ383=2,SUM(P383,S383:V383,Y383:AB383,AE383:AH383,AK383:AL383),
IF(AQ383=3,SUM(P383:R383,U383:X383,AA383:AD383,AG383:AJ383),SUM(Таблица1[[#This Row],[1]:[31]])-Таблица1[[#This Row],[Столбец1]])))</f>
        <v>0</v>
      </c>
      <c r="AN383" s="778">
        <f t="array" ref="AN383">IF(AQ383=1,SUM(P383,U383:V383,AA383:AB383,AG383:AH383),
IF(AQ383=2,SUM(Q383:R383,W383:X383,AC383:AD383,AI383:AJ383),
IF(AQ383=3,SUM(S383:T383,Y383:Z383,AE383:AF383,AK383:AL383),
SUM(IFERROR(WEEKDAY($H$2:$AL$2,2)&gt;5,)*H383:AL383))))+Таблица1[[#This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83" s="292" t="b">
        <f>IF(AR383&lt;=3,(IF((G383="5/24"),((база!$M$6*Таблица1[[#This Row],[сумма]]*Таблица1[[#This Row],[коэф]])),
IF((G383="4/24"),((база!$M$5*Таблица1[[#This Row],[сумма]]*Таблица1[[#This Row],[коэф]])),
IF((G383="3/24"),((база!$M$4*Таблица1[[#This Row],[сумма]]*Таблица1[[#This Row],[коэф]])),
IF((G383="5/16"),((база!$L$6*Таблица1[[#This Row],[сумма]]*Таблица1[[#This Row],[коэф]])),
IF((G383="4/16"),((база!$L$5*Таблица1[[#This Row],[сумма]]*Таблица1[[#This Row],[коэф]])),
IF((G383="3/16"),((база!$L$4*Таблица1[[#This Row],[сумма]]*Таблица1[[#This Row],[коэф]])),
IF((G383="4/4"),((база!$I$5*Таблица1[[#This Row],[сумма]]*Таблица1[[#This Row],[коэф]])),
IF(OR(G383="2/4",G383="3/4"),((база!$I$4*Таблица1[[#This Row],[сумма]]*Таблица1[[#This Row],[коэф]])),
IF((G383="5/8"),((база!$J$6*Таблица1[[#This Row],[сумма]]*Таблица1[[#This Row],[коэф]])),
IF((G383="4/8"),((база!$J$5*Таблица1[[#This Row],[сумма]]*Таблица1[[#This Row],[коэф]])),
IF(OR(G383="3/8",G383="2/8"),((база!$J$4*Таблица1[[#This Row],[сумма]]*Таблица1[[#This Row],[коэф]])))))))))))))),
(IF((G383="5/24"),((база!$M$6*Таблица1[[#This Row],[сумма]]*Таблица1[[#This Row],[коэф]])),
IF(OR(G383="4/24",G383="3/24"),((база!$M$5*Таблица1[[#This Row],[сумма]]*Таблица1[[#This Row],[коэф]])),
IF((G383="5/16"),((база!$L$6*Таблица1[[#This Row],[сумма]]*Таблица1[[#This Row],[коэф]])),
IF(OR(G383="4/16",G383="3/16"),((база!$L$5*Таблица1[[#This Row],[сумма]]*Таблица1[[#This Row],[коэф]])),
IF(OR(G383="2/4",G383="3/4",G383="4/4"),((база!$I$5*Таблица1[[#This Row],[сумма]]*Таблица1[[#This Row],[коэф]])),
IF((G383="5/8"),((база!$J$6*Таблица1[[#This Row],[сумма]]*Таблица1[[#This Row],[коэф]])),
IF(OR(G383="4/8",G383="3/8",G383="2/8"),((база!$J$5*Таблица1[[#This Row],[сумма]]*Таблица1[[#This Row],[коэф]])))))))))))</f>
        <v>0</v>
      </c>
      <c r="AP383" s="730" t="b">
        <f>IF(AR383&lt;=3,(IF((G383="5/24"),((база!$M$6*2*Таблица1[[#This Row],[Столбец1]]*Таблица1[[#This Row],[коэф]])),
IF((G383="4/24"),((база!$M$5*2*Таблица1[[#This Row],[Столбец1]]*Таблица1[[#This Row],[коэф]])),
IF((G383="3/24"),((база!$M$4*2*Таблица1[[#This Row],[Столбец1]]*Таблица1[[#This Row],[коэф]])),
IF((G383="5/16"),((база!$L$6*2*Таблица1[[#This Row],[Столбец1]]*Таблица1[[#This Row],[коэф]])),
IF((G383="4/16"),((база!$L$5*2*Таблица1[[#This Row],[Столбец1]]*Таблица1[[#This Row],[коэф]])),
IF((G383="3/16"),((база!$L$4*2*Таблица1[[#This Row],[Столбец1]]*Таблица1[[#This Row],[коэф]])),
IF((G383="4/4"),((база!$I$5*2*Таблица1[[#This Row],[Столбец1]]*Таблица1[[#This Row],[коэф]])),
IF(OR(G383="2/4",G383="3/4"),((база!$I$4*2*Таблица1[[#This Row],[Столбец1]]*Таблица1[[#This Row],[коэф]])),
IF((G383="5/8"),((база!$J$6*2*Таблица1[[#This Row],[Столбец1]]*Таблица1[[#This Row],[коэф]])),
IF((G383="4/8"),((база!$J$5*2*Таблица1[[#This Row],[Столбец1]]*Таблица1[[#This Row],[коэф]])),
IF(OR(G383="3/8",G383="2/8"),((база!$J$4*2*Таблица1[[#This Row],[Столбец1]]*Таблица1[[#This Row],[коэф]])))))))))))))),
(IF((G383="5/24"),((база!$M$6*2*Таблица1[[#This Row],[Столбец1]]*Таблица1[[#This Row],[коэф]])),
IF(OR(G383="4/24",G383="3/24"),((база!$M$5*2*Таблица1[[#This Row],[Столбец1]]*Таблица1[[#This Row],[коэф]])),
IF((G383="5/16"),((база!$L$6*2*Таблица1[[#This Row],[Столбец1]]*Таблица1[[#This Row],[коэф]])),
IF(OR(G383="4/16",G383="3/16"),((база!$L$5*2*Таблица1[[#This Row],[Столбец1]]*Таблица1[[#This Row],[коэф]])),
IF(OR(G383="2/4",G383="3/4",G383="4/4"),((база!$I$5*2*Таблица1[[#This Row],[Столбец1]]*Таблица1[[#This Row],[коэф]])),
IF((G383="5/8"),((база!$J$6*2*Таблица1[[#This Row],[Столбец1]]*Таблица1[[#This Row],[коэф]])),
IF(OR(G383="4/8",G383="3/8",G383="2/8"),((база!$J$5*2*Таблица1[[#This Row],[Столбец1]]*Таблица1[[#This Row],[коэф]])))))))))))</f>
        <v>0</v>
      </c>
      <c r="AQ383" s="712" t="str">
        <f>IFERROR(INDEX(база!T:T, MATCH(F383,база!Q:Q,0)),"")</f>
        <v/>
      </c>
      <c r="AR383" s="208" t="str">
        <f>IFERROR(INDEX(база!D:D, MATCH(F383,база!B:B,0)),"")</f>
        <v/>
      </c>
      <c r="AS383" s="758" t="str">
        <f>IFERROR(INDEX(база!E:E, MATCH(F383,база!B:B,0)),"")</f>
        <v/>
      </c>
    </row>
    <row r="384" spans="1:45" ht="15">
      <c r="A384" s="66" t="str">
        <f t="shared" si="7"/>
        <v>январь</v>
      </c>
      <c r="B384" s="231">
        <v>2024</v>
      </c>
      <c r="C384" s="299"/>
      <c r="D384" s="61"/>
      <c r="E384" s="211"/>
      <c r="F384" s="680"/>
      <c r="G384" s="47"/>
      <c r="H384" s="563"/>
      <c r="I384" s="563"/>
      <c r="J384" s="563"/>
      <c r="K384" s="563"/>
      <c r="L384" s="563"/>
      <c r="M384" s="563"/>
      <c r="N384" s="563"/>
      <c r="O384" s="563"/>
      <c r="P384" s="300"/>
      <c r="Q384" s="563"/>
      <c r="R384" s="563"/>
      <c r="S384" s="563"/>
      <c r="T384" s="563"/>
      <c r="U384" s="563"/>
      <c r="V384" s="563"/>
      <c r="W384" s="563"/>
      <c r="X384" s="563"/>
      <c r="Y384" s="563"/>
      <c r="Z384" s="563"/>
      <c r="AA384" s="563"/>
      <c r="AB384" s="563"/>
      <c r="AC384" s="563"/>
      <c r="AD384" s="48"/>
      <c r="AE384" s="48"/>
      <c r="AF384" s="258"/>
      <c r="AG384" s="48"/>
      <c r="AH384" s="48"/>
      <c r="AI384" s="48"/>
      <c r="AJ384" s="48"/>
      <c r="AK384" s="48"/>
      <c r="AL384" s="51"/>
      <c r="AM384" s="212">
        <f>IF(AQ384=1,SUM(Q384:T384,W384:Z384,AC384:AF384,AI384:AL384),
IF(AQ384=2,SUM(P384,S384:V384,Y384:AB384,AE384:AH384,AK384:AL384),
IF(AQ384=3,SUM(P384:R384,U384:X384,AA384:AD384,AG384:AJ384),SUM(Таблица1[[#This Row],[1]:[31]])-Таблица1[[#This Row],[Столбец1]])))</f>
        <v>0</v>
      </c>
      <c r="AN384" s="778">
        <f t="array" ref="AN384">IF(AQ384=1,SUM(P384,U384:V384,AA384:AB384,AG384:AH384),
IF(AQ384=2,SUM(Q384:R384,W384:X384,AC384:AD384,AI384:AJ384),
IF(AQ384=3,SUM(S384:T384,Y384:Z384,AE384:AF384,AK384:AL384),
SUM(IFERROR(WEEKDAY($H$2:$AL$2,2)&gt;5,)*H384:AL384))))+Таблица1[[#This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84" s="292" t="b">
        <f>IF(AR384&lt;=3,(IF((G384="5/24"),((база!$M$6*Таблица1[[#This Row],[сумма]]*Таблица1[[#This Row],[коэф]])),
IF((G384="4/24"),((база!$M$5*Таблица1[[#This Row],[сумма]]*Таблица1[[#This Row],[коэф]])),
IF((G384="3/24"),((база!$M$4*Таблица1[[#This Row],[сумма]]*Таблица1[[#This Row],[коэф]])),
IF((G384="5/16"),((база!$L$6*Таблица1[[#This Row],[сумма]]*Таблица1[[#This Row],[коэф]])),
IF((G384="4/16"),((база!$L$5*Таблица1[[#This Row],[сумма]]*Таблица1[[#This Row],[коэф]])),
IF((G384="3/16"),((база!$L$4*Таблица1[[#This Row],[сумма]]*Таблица1[[#This Row],[коэф]])),
IF((G384="4/4"),((база!$I$5*Таблица1[[#This Row],[сумма]]*Таблица1[[#This Row],[коэф]])),
IF(OR(G384="2/4",G384="3/4"),((база!$I$4*Таблица1[[#This Row],[сумма]]*Таблица1[[#This Row],[коэф]])),
IF((G384="5/8"),((база!$J$6*Таблица1[[#This Row],[сумма]]*Таблица1[[#This Row],[коэф]])),
IF((G384="4/8"),((база!$J$5*Таблица1[[#This Row],[сумма]]*Таблица1[[#This Row],[коэф]])),
IF(OR(G384="3/8",G384="2/8"),((база!$J$4*Таблица1[[#This Row],[сумма]]*Таблица1[[#This Row],[коэф]])))))))))))))),
(IF((G384="5/24"),((база!$M$6*Таблица1[[#This Row],[сумма]]*Таблица1[[#This Row],[коэф]])),
IF(OR(G384="4/24",G384="3/24"),((база!$M$5*Таблица1[[#This Row],[сумма]]*Таблица1[[#This Row],[коэф]])),
IF((G384="5/16"),((база!$L$6*Таблица1[[#This Row],[сумма]]*Таблица1[[#This Row],[коэф]])),
IF(OR(G384="4/16",G384="3/16"),((база!$L$5*Таблица1[[#This Row],[сумма]]*Таблица1[[#This Row],[коэф]])),
IF(OR(G384="2/4",G384="3/4",G384="4/4"),((база!$I$5*Таблица1[[#This Row],[сумма]]*Таблица1[[#This Row],[коэф]])),
IF((G384="5/8"),((база!$J$6*Таблица1[[#This Row],[сумма]]*Таблица1[[#This Row],[коэф]])),
IF(OR(G384="4/8",G384="3/8",G384="2/8"),((база!$J$5*Таблица1[[#This Row],[сумма]]*Таблица1[[#This Row],[коэф]])))))))))))</f>
        <v>0</v>
      </c>
      <c r="AP384" s="730" t="b">
        <f>IF(AR384&lt;=3,(IF((G384="5/24"),((база!$M$6*2*Таблица1[[#This Row],[Столбец1]]*Таблица1[[#This Row],[коэф]])),
IF((G384="4/24"),((база!$M$5*2*Таблица1[[#This Row],[Столбец1]]*Таблица1[[#This Row],[коэф]])),
IF((G384="3/24"),((база!$M$4*2*Таблица1[[#This Row],[Столбец1]]*Таблица1[[#This Row],[коэф]])),
IF((G384="5/16"),((база!$L$6*2*Таблица1[[#This Row],[Столбец1]]*Таблица1[[#This Row],[коэф]])),
IF((G384="4/16"),((база!$L$5*2*Таблица1[[#This Row],[Столбец1]]*Таблица1[[#This Row],[коэф]])),
IF((G384="3/16"),((база!$L$4*2*Таблица1[[#This Row],[Столбец1]]*Таблица1[[#This Row],[коэф]])),
IF((G384="4/4"),((база!$I$5*2*Таблица1[[#This Row],[Столбец1]]*Таблица1[[#This Row],[коэф]])),
IF(OR(G384="2/4",G384="3/4"),((база!$I$4*2*Таблица1[[#This Row],[Столбец1]]*Таблица1[[#This Row],[коэф]])),
IF((G384="5/8"),((база!$J$6*2*Таблица1[[#This Row],[Столбец1]]*Таблица1[[#This Row],[коэф]])),
IF((G384="4/8"),((база!$J$5*2*Таблица1[[#This Row],[Столбец1]]*Таблица1[[#This Row],[коэф]])),
IF(OR(G384="3/8",G384="2/8"),((база!$J$4*2*Таблица1[[#This Row],[Столбец1]]*Таблица1[[#This Row],[коэф]])))))))))))))),
(IF((G384="5/24"),((база!$M$6*2*Таблица1[[#This Row],[Столбец1]]*Таблица1[[#This Row],[коэф]])),
IF(OR(G384="4/24",G384="3/24"),((база!$M$5*2*Таблица1[[#This Row],[Столбец1]]*Таблица1[[#This Row],[коэф]])),
IF((G384="5/16"),((база!$L$6*2*Таблица1[[#This Row],[Столбец1]]*Таблица1[[#This Row],[коэф]])),
IF(OR(G384="4/16",G384="3/16"),((база!$L$5*2*Таблица1[[#This Row],[Столбец1]]*Таблица1[[#This Row],[коэф]])),
IF(OR(G384="2/4",G384="3/4",G384="4/4"),((база!$I$5*2*Таблица1[[#This Row],[Столбец1]]*Таблица1[[#This Row],[коэф]])),
IF((G384="5/8"),((база!$J$6*2*Таблица1[[#This Row],[Столбец1]]*Таблица1[[#This Row],[коэф]])),
IF(OR(G384="4/8",G384="3/8",G384="2/8"),((база!$J$5*2*Таблица1[[#This Row],[Столбец1]]*Таблица1[[#This Row],[коэф]])))))))))))</f>
        <v>0</v>
      </c>
      <c r="AQ384" s="712" t="str">
        <f>IFERROR(INDEX(база!T:T, MATCH(F384,база!Q:Q,0)),"")</f>
        <v/>
      </c>
      <c r="AR384" s="208" t="str">
        <f>IFERROR(INDEX(база!D:D, MATCH(F384,база!B:B,0)),"")</f>
        <v/>
      </c>
      <c r="AS384" s="758" t="str">
        <f>IFERROR(INDEX(база!E:E, MATCH(F384,база!B:B,0)),"")</f>
        <v/>
      </c>
    </row>
    <row r="385" spans="1:45" ht="15">
      <c r="A385" s="66" t="str">
        <f t="shared" si="7"/>
        <v>январь</v>
      </c>
      <c r="B385" s="231">
        <v>2024</v>
      </c>
      <c r="C385" s="60"/>
      <c r="D385" s="61"/>
      <c r="E385" s="211"/>
      <c r="F385" s="680"/>
      <c r="G385" s="47"/>
      <c r="H385" s="563"/>
      <c r="I385" s="563"/>
      <c r="J385" s="563"/>
      <c r="K385" s="563"/>
      <c r="L385" s="563"/>
      <c r="M385" s="563"/>
      <c r="N385" s="563"/>
      <c r="O385" s="563"/>
      <c r="P385" s="300"/>
      <c r="Q385" s="563"/>
      <c r="R385" s="563"/>
      <c r="S385" s="563"/>
      <c r="T385" s="563"/>
      <c r="U385" s="563"/>
      <c r="V385" s="563"/>
      <c r="W385" s="563"/>
      <c r="X385" s="563"/>
      <c r="Y385" s="563"/>
      <c r="Z385" s="563"/>
      <c r="AA385" s="563"/>
      <c r="AB385" s="563"/>
      <c r="AC385" s="563"/>
      <c r="AD385" s="48"/>
      <c r="AE385" s="48"/>
      <c r="AF385" s="258"/>
      <c r="AG385" s="48"/>
      <c r="AH385" s="48"/>
      <c r="AI385" s="48"/>
      <c r="AJ385" s="258"/>
      <c r="AK385" s="258"/>
      <c r="AL385" s="258"/>
      <c r="AM385" s="212">
        <f>IF(AQ385=1,SUM(Q385:T385,W385:Z385,AC385:AF385,AI385:AL385),
IF(AQ385=2,SUM(P385,S385:V385,Y385:AB385,AE385:AH385,AK385:AL385),
IF(AQ385=3,SUM(P385:R385,U385:X385,AA385:AD385,AG385:AJ385),SUM(Таблица1[[#This Row],[1]:[31]])-Таблица1[[#This Row],[Столбец1]])))</f>
        <v>0</v>
      </c>
      <c r="AN385" s="778">
        <f t="array" ref="AN385">IF(AQ385=1,SUM(P385,U385:V385,AA385:AB385,AG385:AH385),
IF(AQ385=2,SUM(Q385:R385,W385:X385,AC385:AD385,AI385:AJ385),
IF(AQ385=3,SUM(S385:T385,Y385:Z385,AE385:AF385,AK385:AL385),
SUM(IFERROR(WEEKDAY($H$2:$AL$2,2)&gt;5,)*H385:AL385))))+Таблица1[[#This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85" s="292" t="b">
        <f>IF(AR385&lt;=3,(IF((G385="5/24"),((база!$M$6*Таблица1[[#This Row],[сумма]]*Таблица1[[#This Row],[коэф]])),
IF((G385="4/24"),((база!$M$5*Таблица1[[#This Row],[сумма]]*Таблица1[[#This Row],[коэф]])),
IF((G385="3/24"),((база!$M$4*Таблица1[[#This Row],[сумма]]*Таблица1[[#This Row],[коэф]])),
IF((G385="5/16"),((база!$L$6*Таблица1[[#This Row],[сумма]]*Таблица1[[#This Row],[коэф]])),
IF((G385="4/16"),((база!$L$5*Таблица1[[#This Row],[сумма]]*Таблица1[[#This Row],[коэф]])),
IF((G385="3/16"),((база!$L$4*Таблица1[[#This Row],[сумма]]*Таблица1[[#This Row],[коэф]])),
IF((G385="4/4"),((база!$I$5*Таблица1[[#This Row],[сумма]]*Таблица1[[#This Row],[коэф]])),
IF(OR(G385="2/4",G385="3/4"),((база!$I$4*Таблица1[[#This Row],[сумма]]*Таблица1[[#This Row],[коэф]])),
IF((G385="5/8"),((база!$J$6*Таблица1[[#This Row],[сумма]]*Таблица1[[#This Row],[коэф]])),
IF((G385="4/8"),((база!$J$5*Таблица1[[#This Row],[сумма]]*Таблица1[[#This Row],[коэф]])),
IF(OR(G385="3/8",G385="2/8"),((база!$J$4*Таблица1[[#This Row],[сумма]]*Таблица1[[#This Row],[коэф]])))))))))))))),
(IF((G385="5/24"),((база!$M$6*Таблица1[[#This Row],[сумма]]*Таблица1[[#This Row],[коэф]])),
IF(OR(G385="4/24",G385="3/24"),((база!$M$5*Таблица1[[#This Row],[сумма]]*Таблица1[[#This Row],[коэф]])),
IF((G385="5/16"),((база!$L$6*Таблица1[[#This Row],[сумма]]*Таблица1[[#This Row],[коэф]])),
IF(OR(G385="4/16",G385="3/16"),((база!$L$5*Таблица1[[#This Row],[сумма]]*Таблица1[[#This Row],[коэф]])),
IF(OR(G385="2/4",G385="3/4",G385="4/4"),((база!$I$5*Таблица1[[#This Row],[сумма]]*Таблица1[[#This Row],[коэф]])),
IF((G385="5/8"),((база!$J$6*Таблица1[[#This Row],[сумма]]*Таблица1[[#This Row],[коэф]])),
IF(OR(G385="4/8",G385="3/8",G385="2/8"),((база!$J$5*Таблица1[[#This Row],[сумма]]*Таблица1[[#This Row],[коэф]])))))))))))</f>
        <v>0</v>
      </c>
      <c r="AP385" s="730" t="b">
        <f>IF(AR385&lt;=3,(IF((G385="5/24"),((база!$M$6*2*Таблица1[[#This Row],[Столбец1]]*Таблица1[[#This Row],[коэф]])),
IF((G385="4/24"),((база!$M$5*2*Таблица1[[#This Row],[Столбец1]]*Таблица1[[#This Row],[коэф]])),
IF((G385="3/24"),((база!$M$4*2*Таблица1[[#This Row],[Столбец1]]*Таблица1[[#This Row],[коэф]])),
IF((G385="5/16"),((база!$L$6*2*Таблица1[[#This Row],[Столбец1]]*Таблица1[[#This Row],[коэф]])),
IF((G385="4/16"),((база!$L$5*2*Таблица1[[#This Row],[Столбец1]]*Таблица1[[#This Row],[коэф]])),
IF((G385="3/16"),((база!$L$4*2*Таблица1[[#This Row],[Столбец1]]*Таблица1[[#This Row],[коэф]])),
IF((G385="4/4"),((база!$I$5*2*Таблица1[[#This Row],[Столбец1]]*Таблица1[[#This Row],[коэф]])),
IF(OR(G385="2/4",G385="3/4"),((база!$I$4*2*Таблица1[[#This Row],[Столбец1]]*Таблица1[[#This Row],[коэф]])),
IF((G385="5/8"),((база!$J$6*2*Таблица1[[#This Row],[Столбец1]]*Таблица1[[#This Row],[коэф]])),
IF((G385="4/8"),((база!$J$5*2*Таблица1[[#This Row],[Столбец1]]*Таблица1[[#This Row],[коэф]])),
IF(OR(G385="3/8",G385="2/8"),((база!$J$4*2*Таблица1[[#This Row],[Столбец1]]*Таблица1[[#This Row],[коэф]])))))))))))))),
(IF((G385="5/24"),((база!$M$6*2*Таблица1[[#This Row],[Столбец1]]*Таблица1[[#This Row],[коэф]])),
IF(OR(G385="4/24",G385="3/24"),((база!$M$5*2*Таблица1[[#This Row],[Столбец1]]*Таблица1[[#This Row],[коэф]])),
IF((G385="5/16"),((база!$L$6*2*Таблица1[[#This Row],[Столбец1]]*Таблица1[[#This Row],[коэф]])),
IF(OR(G385="4/16",G385="3/16"),((база!$L$5*2*Таблица1[[#This Row],[Столбец1]]*Таблица1[[#This Row],[коэф]])),
IF(OR(G385="2/4",G385="3/4",G385="4/4"),((база!$I$5*2*Таблица1[[#This Row],[Столбец1]]*Таблица1[[#This Row],[коэф]])),
IF((G385="5/8"),((база!$J$6*2*Таблица1[[#This Row],[Столбец1]]*Таблица1[[#This Row],[коэф]])),
IF(OR(G385="4/8",G385="3/8",G385="2/8"),((база!$J$5*2*Таблица1[[#This Row],[Столбец1]]*Таблица1[[#This Row],[коэф]])))))))))))</f>
        <v>0</v>
      </c>
      <c r="AQ385" s="712" t="str">
        <f>IFERROR(INDEX(база!T:T, MATCH(F385,база!Q:Q,0)),"")</f>
        <v/>
      </c>
      <c r="AR385" s="208" t="str">
        <f>IFERROR(INDEX(база!D:D, MATCH(F385,база!B:B,0)),"")</f>
        <v/>
      </c>
      <c r="AS385" s="758" t="str">
        <f>IFERROR(INDEX(база!E:E, MATCH(F385,база!B:B,0)),"")</f>
        <v/>
      </c>
    </row>
    <row r="386" spans="1:45" ht="15">
      <c r="A386" s="66" t="str">
        <f t="shared" si="7"/>
        <v>январь</v>
      </c>
      <c r="B386" s="231">
        <v>2024</v>
      </c>
      <c r="C386" s="60"/>
      <c r="D386" s="61"/>
      <c r="E386" s="211"/>
      <c r="F386" s="680"/>
      <c r="G386" s="47"/>
      <c r="H386" s="563"/>
      <c r="I386" s="563"/>
      <c r="J386" s="563"/>
      <c r="K386" s="563"/>
      <c r="L386" s="563"/>
      <c r="M386" s="563"/>
      <c r="N386" s="563"/>
      <c r="O386" s="563"/>
      <c r="P386" s="300"/>
      <c r="Q386" s="563"/>
      <c r="R386" s="563"/>
      <c r="S386" s="563"/>
      <c r="T386" s="563"/>
      <c r="U386" s="563"/>
      <c r="V386" s="563"/>
      <c r="W386" s="563"/>
      <c r="X386" s="563"/>
      <c r="Y386" s="563"/>
      <c r="Z386" s="563"/>
      <c r="AA386" s="563"/>
      <c r="AB386" s="563"/>
      <c r="AC386" s="563"/>
      <c r="AD386" s="48"/>
      <c r="AE386" s="48"/>
      <c r="AF386" s="258"/>
      <c r="AG386" s="258"/>
      <c r="AH386" s="258"/>
      <c r="AI386" s="258"/>
      <c r="AJ386" s="48"/>
      <c r="AK386" s="48"/>
      <c r="AL386" s="51"/>
      <c r="AM386" s="212">
        <f>IF(AQ386=1,SUM(Q386:T386,W386:Z386,AC386:AF386,AI386:AL386),
IF(AQ386=2,SUM(P386,S386:V386,Y386:AB386,AE386:AH386,AK386:AL386),
IF(AQ386=3,SUM(P386:R386,U386:X386,AA386:AD386,AG386:AJ386),SUM(Таблица1[[#This Row],[1]:[31]])-Таблица1[[#This Row],[Столбец1]])))</f>
        <v>0</v>
      </c>
      <c r="AN386" s="778">
        <f t="array" ref="AN386">IF(AQ386=1,SUM(P386,U386:V386,AA386:AB386,AG386:AH386),
IF(AQ386=2,SUM(Q386:R386,W386:X386,AC386:AD386,AI386:AJ386),
IF(AQ386=3,SUM(S386:T386,Y386:Z386,AE386:AF386,AK386:AL386),
SUM(IFERROR(WEEKDAY($H$2:$AL$2,2)&gt;5,)*H386:AL386))))+Таблица1[[#This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86" s="292" t="b">
        <f>IF(AR386&lt;=3,(IF((G386="5/24"),((база!$M$6*Таблица1[[#This Row],[сумма]]*Таблица1[[#This Row],[коэф]])),
IF((G386="4/24"),((база!$M$5*Таблица1[[#This Row],[сумма]]*Таблица1[[#This Row],[коэф]])),
IF((G386="3/24"),((база!$M$4*Таблица1[[#This Row],[сумма]]*Таблица1[[#This Row],[коэф]])),
IF((G386="5/16"),((база!$L$6*Таблица1[[#This Row],[сумма]]*Таблица1[[#This Row],[коэф]])),
IF((G386="4/16"),((база!$L$5*Таблица1[[#This Row],[сумма]]*Таблица1[[#This Row],[коэф]])),
IF((G386="3/16"),((база!$L$4*Таблица1[[#This Row],[сумма]]*Таблица1[[#This Row],[коэф]])),
IF((G386="4/4"),((база!$I$5*Таблица1[[#This Row],[сумма]]*Таблица1[[#This Row],[коэф]])),
IF(OR(G386="2/4",G386="3/4"),((база!$I$4*Таблица1[[#This Row],[сумма]]*Таблица1[[#This Row],[коэф]])),
IF((G386="5/8"),((база!$J$6*Таблица1[[#This Row],[сумма]]*Таблица1[[#This Row],[коэф]])),
IF((G386="4/8"),((база!$J$5*Таблица1[[#This Row],[сумма]]*Таблица1[[#This Row],[коэф]])),
IF(OR(G386="3/8",G386="2/8"),((база!$J$4*Таблица1[[#This Row],[сумма]]*Таблица1[[#This Row],[коэф]])))))))))))))),
(IF((G386="5/24"),((база!$M$6*Таблица1[[#This Row],[сумма]]*Таблица1[[#This Row],[коэф]])),
IF(OR(G386="4/24",G386="3/24"),((база!$M$5*Таблица1[[#This Row],[сумма]]*Таблица1[[#This Row],[коэф]])),
IF((G386="5/16"),((база!$L$6*Таблица1[[#This Row],[сумма]]*Таблица1[[#This Row],[коэф]])),
IF(OR(G386="4/16",G386="3/16"),((база!$L$5*Таблица1[[#This Row],[сумма]]*Таблица1[[#This Row],[коэф]])),
IF(OR(G386="2/4",G386="3/4",G386="4/4"),((база!$I$5*Таблица1[[#This Row],[сумма]]*Таблица1[[#This Row],[коэф]])),
IF((G386="5/8"),((база!$J$6*Таблица1[[#This Row],[сумма]]*Таблица1[[#This Row],[коэф]])),
IF(OR(G386="4/8",G386="3/8",G386="2/8"),((база!$J$5*Таблица1[[#This Row],[сумма]]*Таблица1[[#This Row],[коэф]])))))))))))</f>
        <v>0</v>
      </c>
      <c r="AP386" s="730" t="b">
        <f>IF(AR386&lt;=3,(IF((G386="5/24"),((база!$M$6*2*Таблица1[[#This Row],[Столбец1]]*Таблица1[[#This Row],[коэф]])),
IF((G386="4/24"),((база!$M$5*2*Таблица1[[#This Row],[Столбец1]]*Таблица1[[#This Row],[коэф]])),
IF((G386="3/24"),((база!$M$4*2*Таблица1[[#This Row],[Столбец1]]*Таблица1[[#This Row],[коэф]])),
IF((G386="5/16"),((база!$L$6*2*Таблица1[[#This Row],[Столбец1]]*Таблица1[[#This Row],[коэф]])),
IF((G386="4/16"),((база!$L$5*2*Таблица1[[#This Row],[Столбец1]]*Таблица1[[#This Row],[коэф]])),
IF((G386="3/16"),((база!$L$4*2*Таблица1[[#This Row],[Столбец1]]*Таблица1[[#This Row],[коэф]])),
IF((G386="4/4"),((база!$I$5*2*Таблица1[[#This Row],[Столбец1]]*Таблица1[[#This Row],[коэф]])),
IF(OR(G386="2/4",G386="3/4"),((база!$I$4*2*Таблица1[[#This Row],[Столбец1]]*Таблица1[[#This Row],[коэф]])),
IF((G386="5/8"),((база!$J$6*2*Таблица1[[#This Row],[Столбец1]]*Таблица1[[#This Row],[коэф]])),
IF((G386="4/8"),((база!$J$5*2*Таблица1[[#This Row],[Столбец1]]*Таблица1[[#This Row],[коэф]])),
IF(OR(G386="3/8",G386="2/8"),((база!$J$4*2*Таблица1[[#This Row],[Столбец1]]*Таблица1[[#This Row],[коэф]])))))))))))))),
(IF((G386="5/24"),((база!$M$6*2*Таблица1[[#This Row],[Столбец1]]*Таблица1[[#This Row],[коэф]])),
IF(OR(G386="4/24",G386="3/24"),((база!$M$5*2*Таблица1[[#This Row],[Столбец1]]*Таблица1[[#This Row],[коэф]])),
IF((G386="5/16"),((база!$L$6*2*Таблица1[[#This Row],[Столбец1]]*Таблица1[[#This Row],[коэф]])),
IF(OR(G386="4/16",G386="3/16"),((база!$L$5*2*Таблица1[[#This Row],[Столбец1]]*Таблица1[[#This Row],[коэф]])),
IF(OR(G386="2/4",G386="3/4",G386="4/4"),((база!$I$5*2*Таблица1[[#This Row],[Столбец1]]*Таблица1[[#This Row],[коэф]])),
IF((G386="5/8"),((база!$J$6*2*Таблица1[[#This Row],[Столбец1]]*Таблица1[[#This Row],[коэф]])),
IF(OR(G386="4/8",G386="3/8",G386="2/8"),((база!$J$5*2*Таблица1[[#This Row],[Столбец1]]*Таблица1[[#This Row],[коэф]])))))))))))</f>
        <v>0</v>
      </c>
      <c r="AQ386" s="712" t="str">
        <f>IFERROR(INDEX(база!T:T, MATCH(F386,база!Q:Q,0)),"")</f>
        <v/>
      </c>
      <c r="AR386" s="208" t="str">
        <f>IFERROR(INDEX(база!D:D, MATCH(F386,база!B:B,0)),"")</f>
        <v/>
      </c>
      <c r="AS386" s="758" t="str">
        <f>IFERROR(INDEX(база!E:E, MATCH(F386,база!B:B,0)),"")</f>
        <v/>
      </c>
    </row>
    <row r="387" spans="1:45" ht="15">
      <c r="A387" s="66" t="str">
        <f t="shared" si="7"/>
        <v>январь</v>
      </c>
      <c r="B387" s="231">
        <v>2024</v>
      </c>
      <c r="C387" s="299"/>
      <c r="D387" s="61"/>
      <c r="E387" s="211"/>
      <c r="F387" s="680"/>
      <c r="G387" s="47"/>
      <c r="H387" s="563"/>
      <c r="I387" s="563"/>
      <c r="J387" s="563"/>
      <c r="K387" s="563"/>
      <c r="L387" s="563"/>
      <c r="M387" s="563"/>
      <c r="N387" s="563"/>
      <c r="O387" s="563"/>
      <c r="P387" s="300"/>
      <c r="Q387" s="563"/>
      <c r="R387" s="563"/>
      <c r="S387" s="563"/>
      <c r="T387" s="563"/>
      <c r="U387" s="563"/>
      <c r="V387" s="563"/>
      <c r="W387" s="563"/>
      <c r="X387" s="563"/>
      <c r="Y387" s="563"/>
      <c r="Z387" s="563"/>
      <c r="AA387" s="563"/>
      <c r="AB387" s="563"/>
      <c r="AC387" s="563"/>
      <c r="AD387" s="48"/>
      <c r="AE387" s="48"/>
      <c r="AF387" s="258"/>
      <c r="AG387" s="48"/>
      <c r="AH387" s="48"/>
      <c r="AI387" s="258"/>
      <c r="AJ387" s="258"/>
      <c r="AK387" s="258"/>
      <c r="AL387" s="258"/>
      <c r="AM387" s="212">
        <f>IF(AQ387=1,SUM(Q387:T387,W387:Z387,AC387:AF387,AI387:AL387),
IF(AQ387=2,SUM(P387,S387:V387,Y387:AB387,AE387:AH387,AK387:AL387),
IF(AQ387=3,SUM(P387:R387,U387:X387,AA387:AD387,AG387:AJ387),SUM(Таблица1[[#This Row],[1]:[31]])-Таблица1[[#This Row],[Столбец1]])))</f>
        <v>0</v>
      </c>
      <c r="AN387" s="778">
        <f t="array" ref="AN387">IF(AQ387=1,SUM(P387,U387:V387,AA387:AB387,AG387:AH387),
IF(AQ387=2,SUM(Q387:R387,W387:X387,AC387:AD387,AI387:AJ387),
IF(AQ387=3,SUM(S387:T387,Y387:Z387,AE387:AF387,AK387:AL387),
SUM(IFERROR(WEEKDAY($H$2:$AL$2,2)&gt;5,)*H387:AL387))))+Таблица1[[#This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87" s="292" t="b">
        <f>IF(AR387&lt;=3,(IF((G387="5/24"),((база!$M$6*Таблица1[[#This Row],[сумма]]*Таблица1[[#This Row],[коэф]])),
IF((G387="4/24"),((база!$M$5*Таблица1[[#This Row],[сумма]]*Таблица1[[#This Row],[коэф]])),
IF((G387="3/24"),((база!$M$4*Таблица1[[#This Row],[сумма]]*Таблица1[[#This Row],[коэф]])),
IF((G387="5/16"),((база!$L$6*Таблица1[[#This Row],[сумма]]*Таблица1[[#This Row],[коэф]])),
IF((G387="4/16"),((база!$L$5*Таблица1[[#This Row],[сумма]]*Таблица1[[#This Row],[коэф]])),
IF((G387="3/16"),((база!$L$4*Таблица1[[#This Row],[сумма]]*Таблица1[[#This Row],[коэф]])),
IF((G387="4/4"),((база!$I$5*Таблица1[[#This Row],[сумма]]*Таблица1[[#This Row],[коэф]])),
IF(OR(G387="2/4",G387="3/4"),((база!$I$4*Таблица1[[#This Row],[сумма]]*Таблица1[[#This Row],[коэф]])),
IF((G387="5/8"),((база!$J$6*Таблица1[[#This Row],[сумма]]*Таблица1[[#This Row],[коэф]])),
IF((G387="4/8"),((база!$J$5*Таблица1[[#This Row],[сумма]]*Таблица1[[#This Row],[коэф]])),
IF(OR(G387="3/8",G387="2/8"),((база!$J$4*Таблица1[[#This Row],[сумма]]*Таблица1[[#This Row],[коэф]])))))))))))))),
(IF((G387="5/24"),((база!$M$6*Таблица1[[#This Row],[сумма]]*Таблица1[[#This Row],[коэф]])),
IF(OR(G387="4/24",G387="3/24"),((база!$M$5*Таблица1[[#This Row],[сумма]]*Таблица1[[#This Row],[коэф]])),
IF((G387="5/16"),((база!$L$6*Таблица1[[#This Row],[сумма]]*Таблица1[[#This Row],[коэф]])),
IF(OR(G387="4/16",G387="3/16"),((база!$L$5*Таблица1[[#This Row],[сумма]]*Таблица1[[#This Row],[коэф]])),
IF(OR(G387="2/4",G387="3/4",G387="4/4"),((база!$I$5*Таблица1[[#This Row],[сумма]]*Таблица1[[#This Row],[коэф]])),
IF((G387="5/8"),((база!$J$6*Таблица1[[#This Row],[сумма]]*Таблица1[[#This Row],[коэф]])),
IF(OR(G387="4/8",G387="3/8",G387="2/8"),((база!$J$5*Таблица1[[#This Row],[сумма]]*Таблица1[[#This Row],[коэф]])))))))))))</f>
        <v>0</v>
      </c>
      <c r="AP387" s="730" t="b">
        <f>IF(AR387&lt;=3,(IF((G387="5/24"),((база!$M$6*2*Таблица1[[#This Row],[Столбец1]]*Таблица1[[#This Row],[коэф]])),
IF((G387="4/24"),((база!$M$5*2*Таблица1[[#This Row],[Столбец1]]*Таблица1[[#This Row],[коэф]])),
IF((G387="3/24"),((база!$M$4*2*Таблица1[[#This Row],[Столбец1]]*Таблица1[[#This Row],[коэф]])),
IF((G387="5/16"),((база!$L$6*2*Таблица1[[#This Row],[Столбец1]]*Таблица1[[#This Row],[коэф]])),
IF((G387="4/16"),((база!$L$5*2*Таблица1[[#This Row],[Столбец1]]*Таблица1[[#This Row],[коэф]])),
IF((G387="3/16"),((база!$L$4*2*Таблица1[[#This Row],[Столбец1]]*Таблица1[[#This Row],[коэф]])),
IF((G387="4/4"),((база!$I$5*2*Таблица1[[#This Row],[Столбец1]]*Таблица1[[#This Row],[коэф]])),
IF(OR(G387="2/4",G387="3/4"),((база!$I$4*2*Таблица1[[#This Row],[Столбец1]]*Таблица1[[#This Row],[коэф]])),
IF((G387="5/8"),((база!$J$6*2*Таблица1[[#This Row],[Столбец1]]*Таблица1[[#This Row],[коэф]])),
IF((G387="4/8"),((база!$J$5*2*Таблица1[[#This Row],[Столбец1]]*Таблица1[[#This Row],[коэф]])),
IF(OR(G387="3/8",G387="2/8"),((база!$J$4*2*Таблица1[[#This Row],[Столбец1]]*Таблица1[[#This Row],[коэф]])))))))))))))),
(IF((G387="5/24"),((база!$M$6*2*Таблица1[[#This Row],[Столбец1]]*Таблица1[[#This Row],[коэф]])),
IF(OR(G387="4/24",G387="3/24"),((база!$M$5*2*Таблица1[[#This Row],[Столбец1]]*Таблица1[[#This Row],[коэф]])),
IF((G387="5/16"),((база!$L$6*2*Таблица1[[#This Row],[Столбец1]]*Таблица1[[#This Row],[коэф]])),
IF(OR(G387="4/16",G387="3/16"),((база!$L$5*2*Таблица1[[#This Row],[Столбец1]]*Таблица1[[#This Row],[коэф]])),
IF(OR(G387="2/4",G387="3/4",G387="4/4"),((база!$I$5*2*Таблица1[[#This Row],[Столбец1]]*Таблица1[[#This Row],[коэф]])),
IF((G387="5/8"),((база!$J$6*2*Таблица1[[#This Row],[Столбец1]]*Таблица1[[#This Row],[коэф]])),
IF(OR(G387="4/8",G387="3/8",G387="2/8"),((база!$J$5*2*Таблица1[[#This Row],[Столбец1]]*Таблица1[[#This Row],[коэф]])))))))))))</f>
        <v>0</v>
      </c>
      <c r="AQ387" s="712" t="str">
        <f>IFERROR(INDEX(база!T:T, MATCH(F387,база!Q:Q,0)),"")</f>
        <v/>
      </c>
      <c r="AR387" s="208" t="str">
        <f>IFERROR(INDEX(база!D:D, MATCH(F387,база!B:B,0)),"")</f>
        <v/>
      </c>
      <c r="AS387" s="758" t="str">
        <f>IFERROR(INDEX(база!E:E, MATCH(F387,база!B:B,0)),"")</f>
        <v/>
      </c>
    </row>
    <row r="388" spans="1:45" ht="15">
      <c r="A388" s="66" t="str">
        <f t="shared" si="7"/>
        <v>январь</v>
      </c>
      <c r="B388" s="231">
        <v>2024</v>
      </c>
      <c r="C388" s="60"/>
      <c r="D388" s="61"/>
      <c r="E388" s="211"/>
      <c r="F388" s="680"/>
      <c r="G388" s="47"/>
      <c r="H388" s="563"/>
      <c r="I388" s="563"/>
      <c r="J388" s="563"/>
      <c r="K388" s="563"/>
      <c r="L388" s="563"/>
      <c r="M388" s="563"/>
      <c r="N388" s="563"/>
      <c r="O388" s="563"/>
      <c r="P388" s="300"/>
      <c r="Q388" s="300"/>
      <c r="R388" s="300"/>
      <c r="S388" s="300"/>
      <c r="T388" s="563"/>
      <c r="U388" s="563"/>
      <c r="V388" s="563"/>
      <c r="W388" s="563"/>
      <c r="X388" s="563"/>
      <c r="Y388" s="563"/>
      <c r="Z388" s="563"/>
      <c r="AA388" s="563"/>
      <c r="AB388" s="563"/>
      <c r="AC388" s="563"/>
      <c r="AD388" s="48"/>
      <c r="AE388" s="48"/>
      <c r="AF388" s="258"/>
      <c r="AG388" s="48"/>
      <c r="AH388" s="48"/>
      <c r="AI388" s="48"/>
      <c r="AJ388" s="48"/>
      <c r="AK388" s="48"/>
      <c r="AL388" s="51"/>
      <c r="AM388" s="212">
        <f>IF(AQ388=1,SUM(Q388:T388,W388:Z388,AC388:AF388,AI388:AL388),
IF(AQ388=2,SUM(P388,S388:V388,Y388:AB388,AE388:AH388,AK388:AL388),
IF(AQ388=3,SUM(P388:R388,U388:X388,AA388:AD388,AG388:AJ388),SUM(Таблица1[[#This Row],[1]:[31]])-Таблица1[[#This Row],[Столбец1]])))</f>
        <v>0</v>
      </c>
      <c r="AN388" s="778">
        <f t="array" ref="AN388">IF(AQ388=1,SUM(P388,U388:V388,AA388:AB388,AG388:AH388),
IF(AQ388=2,SUM(Q388:R388,W388:X388,AC388:AD388,AI388:AJ388),
IF(AQ388=3,SUM(S388:T388,Y388:Z388,AE388:AF388,AK388:AL388),
SUM(IFERROR(WEEKDAY($H$2:$AL$2,2)&gt;5,)*H388:AL388))))+Таблица1[[#This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88" s="292" t="b">
        <f>IF(AR388&lt;=3,(IF((G388="5/24"),((база!$M$6*Таблица1[[#This Row],[сумма]]*Таблица1[[#This Row],[коэф]])),
IF((G388="4/24"),((база!$M$5*Таблица1[[#This Row],[сумма]]*Таблица1[[#This Row],[коэф]])),
IF((G388="3/24"),((база!$M$4*Таблица1[[#This Row],[сумма]]*Таблица1[[#This Row],[коэф]])),
IF((G388="5/16"),((база!$L$6*Таблица1[[#This Row],[сумма]]*Таблица1[[#This Row],[коэф]])),
IF((G388="4/16"),((база!$L$5*Таблица1[[#This Row],[сумма]]*Таблица1[[#This Row],[коэф]])),
IF((G388="3/16"),((база!$L$4*Таблица1[[#This Row],[сумма]]*Таблица1[[#This Row],[коэф]])),
IF((G388="4/4"),((база!$I$5*Таблица1[[#This Row],[сумма]]*Таблица1[[#This Row],[коэф]])),
IF(OR(G388="2/4",G388="3/4"),((база!$I$4*Таблица1[[#This Row],[сумма]]*Таблица1[[#This Row],[коэф]])),
IF((G388="5/8"),((база!$J$6*Таблица1[[#This Row],[сумма]]*Таблица1[[#This Row],[коэф]])),
IF((G388="4/8"),((база!$J$5*Таблица1[[#This Row],[сумма]]*Таблица1[[#This Row],[коэф]])),
IF(OR(G388="3/8",G388="2/8"),((база!$J$4*Таблица1[[#This Row],[сумма]]*Таблица1[[#This Row],[коэф]])))))))))))))),
(IF((G388="5/24"),((база!$M$6*Таблица1[[#This Row],[сумма]]*Таблица1[[#This Row],[коэф]])),
IF(OR(G388="4/24",G388="3/24"),((база!$M$5*Таблица1[[#This Row],[сумма]]*Таблица1[[#This Row],[коэф]])),
IF((G388="5/16"),((база!$L$6*Таблица1[[#This Row],[сумма]]*Таблица1[[#This Row],[коэф]])),
IF(OR(G388="4/16",G388="3/16"),((база!$L$5*Таблица1[[#This Row],[сумма]]*Таблица1[[#This Row],[коэф]])),
IF(OR(G388="2/4",G388="3/4",G388="4/4"),((база!$I$5*Таблица1[[#This Row],[сумма]]*Таблица1[[#This Row],[коэф]])),
IF((G388="5/8"),((база!$J$6*Таблица1[[#This Row],[сумма]]*Таблица1[[#This Row],[коэф]])),
IF(OR(G388="4/8",G388="3/8",G388="2/8"),((база!$J$5*Таблица1[[#This Row],[сумма]]*Таблица1[[#This Row],[коэф]])))))))))))</f>
        <v>0</v>
      </c>
      <c r="AP388" s="730" t="b">
        <f>IF(AR388&lt;=3,(IF((G388="5/24"),((база!$M$6*2*Таблица1[[#This Row],[Столбец1]]*Таблица1[[#This Row],[коэф]])),
IF((G388="4/24"),((база!$M$5*2*Таблица1[[#This Row],[Столбец1]]*Таблица1[[#This Row],[коэф]])),
IF((G388="3/24"),((база!$M$4*2*Таблица1[[#This Row],[Столбец1]]*Таблица1[[#This Row],[коэф]])),
IF((G388="5/16"),((база!$L$6*2*Таблица1[[#This Row],[Столбец1]]*Таблица1[[#This Row],[коэф]])),
IF((G388="4/16"),((база!$L$5*2*Таблица1[[#This Row],[Столбец1]]*Таблица1[[#This Row],[коэф]])),
IF((G388="3/16"),((база!$L$4*2*Таблица1[[#This Row],[Столбец1]]*Таблица1[[#This Row],[коэф]])),
IF((G388="4/4"),((база!$I$5*2*Таблица1[[#This Row],[Столбец1]]*Таблица1[[#This Row],[коэф]])),
IF(OR(G388="2/4",G388="3/4"),((база!$I$4*2*Таблица1[[#This Row],[Столбец1]]*Таблица1[[#This Row],[коэф]])),
IF((G388="5/8"),((база!$J$6*2*Таблица1[[#This Row],[Столбец1]]*Таблица1[[#This Row],[коэф]])),
IF((G388="4/8"),((база!$J$5*2*Таблица1[[#This Row],[Столбец1]]*Таблица1[[#This Row],[коэф]])),
IF(OR(G388="3/8",G388="2/8"),((база!$J$4*2*Таблица1[[#This Row],[Столбец1]]*Таблица1[[#This Row],[коэф]])))))))))))))),
(IF((G388="5/24"),((база!$M$6*2*Таблица1[[#This Row],[Столбец1]]*Таблица1[[#This Row],[коэф]])),
IF(OR(G388="4/24",G388="3/24"),((база!$M$5*2*Таблица1[[#This Row],[Столбец1]]*Таблица1[[#This Row],[коэф]])),
IF((G388="5/16"),((база!$L$6*2*Таблица1[[#This Row],[Столбец1]]*Таблица1[[#This Row],[коэф]])),
IF(OR(G388="4/16",G388="3/16"),((база!$L$5*2*Таблица1[[#This Row],[Столбец1]]*Таблица1[[#This Row],[коэф]])),
IF(OR(G388="2/4",G388="3/4",G388="4/4"),((база!$I$5*2*Таблица1[[#This Row],[Столбец1]]*Таблица1[[#This Row],[коэф]])),
IF((G388="5/8"),((база!$J$6*2*Таблица1[[#This Row],[Столбец1]]*Таблица1[[#This Row],[коэф]])),
IF(OR(G388="4/8",G388="3/8",G388="2/8"),((база!$J$5*2*Таблица1[[#This Row],[Столбец1]]*Таблица1[[#This Row],[коэф]])))))))))))</f>
        <v>0</v>
      </c>
      <c r="AQ388" s="712" t="str">
        <f>IFERROR(INDEX(база!T:T, MATCH(F388,база!Q:Q,0)),"")</f>
        <v/>
      </c>
      <c r="AR388" s="208" t="str">
        <f>IFERROR(INDEX(база!D:D, MATCH(F388,база!B:B,0)),"")</f>
        <v/>
      </c>
      <c r="AS388" s="758" t="str">
        <f>IFERROR(INDEX(база!E:E, MATCH(F388,база!B:B,0)),"")</f>
        <v/>
      </c>
    </row>
    <row r="389" spans="1:45" ht="15">
      <c r="A389" s="66" t="str">
        <f t="shared" si="7"/>
        <v>январь</v>
      </c>
      <c r="B389" s="231">
        <v>2024</v>
      </c>
      <c r="C389" s="60"/>
      <c r="D389" s="61"/>
      <c r="E389" s="211"/>
      <c r="F389" s="680"/>
      <c r="G389" s="47"/>
      <c r="H389" s="563"/>
      <c r="I389" s="563"/>
      <c r="J389" s="563"/>
      <c r="K389" s="563"/>
      <c r="L389" s="563"/>
      <c r="M389" s="563"/>
      <c r="N389" s="563"/>
      <c r="O389" s="563"/>
      <c r="P389" s="300"/>
      <c r="Q389" s="563"/>
      <c r="R389" s="563"/>
      <c r="S389" s="563"/>
      <c r="T389" s="563"/>
      <c r="U389" s="563"/>
      <c r="V389" s="563"/>
      <c r="W389" s="563"/>
      <c r="X389" s="563"/>
      <c r="Y389" s="563"/>
      <c r="Z389" s="563"/>
      <c r="AA389" s="563"/>
      <c r="AB389" s="563"/>
      <c r="AC389" s="563"/>
      <c r="AD389" s="48"/>
      <c r="AE389" s="48"/>
      <c r="AF389" s="258"/>
      <c r="AG389" s="48"/>
      <c r="AH389" s="48"/>
      <c r="AI389" s="258"/>
      <c r="AJ389" s="258"/>
      <c r="AK389" s="258"/>
      <c r="AL389" s="258"/>
      <c r="AM389" s="212">
        <f>IF(AQ389=1,SUM(Q389:T389,W389:Z389,AC389:AF389,AI389:AL389),
IF(AQ389=2,SUM(P389,S389:V389,Y389:AB389,AE389:AH389,AK389:AL389),
IF(AQ389=3,SUM(P389:R389,U389:X389,AA389:AD389,AG389:AJ389),SUM(Таблица1[[#This Row],[1]:[31]])-Таблица1[[#This Row],[Столбец1]])))</f>
        <v>0</v>
      </c>
      <c r="AN389" s="778">
        <f t="array" ref="AN389">IF(AQ389=1,SUM(P389,U389:V389,AA389:AB389,AG389:AH389),
IF(AQ389=2,SUM(Q389:R389,W389:X389,AC389:AD389,AI389:AJ389),
IF(AQ389=3,SUM(S389:T389,Y389:Z389,AE389:AF389,AK389:AL389),
SUM(IFERROR(WEEKDAY($H$2:$AL$2,2)&gt;5,)*H389:AL389))))+Таблица1[[#This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89" s="292" t="b">
        <f>IF(AR389&lt;=3,(IF((G389="5/24"),((база!$M$6*Таблица1[[#This Row],[сумма]]*Таблица1[[#This Row],[коэф]])),
IF((G389="4/24"),((база!$M$5*Таблица1[[#This Row],[сумма]]*Таблица1[[#This Row],[коэф]])),
IF((G389="3/24"),((база!$M$4*Таблица1[[#This Row],[сумма]]*Таблица1[[#This Row],[коэф]])),
IF((G389="5/16"),((база!$L$6*Таблица1[[#This Row],[сумма]]*Таблица1[[#This Row],[коэф]])),
IF((G389="4/16"),((база!$L$5*Таблица1[[#This Row],[сумма]]*Таблица1[[#This Row],[коэф]])),
IF((G389="3/16"),((база!$L$4*Таблица1[[#This Row],[сумма]]*Таблица1[[#This Row],[коэф]])),
IF((G389="4/4"),((база!$I$5*Таблица1[[#This Row],[сумма]]*Таблица1[[#This Row],[коэф]])),
IF(OR(G389="2/4",G389="3/4"),((база!$I$4*Таблица1[[#This Row],[сумма]]*Таблица1[[#This Row],[коэф]])),
IF((G389="5/8"),((база!$J$6*Таблица1[[#This Row],[сумма]]*Таблица1[[#This Row],[коэф]])),
IF((G389="4/8"),((база!$J$5*Таблица1[[#This Row],[сумма]]*Таблица1[[#This Row],[коэф]])),
IF(OR(G389="3/8",G389="2/8"),((база!$J$4*Таблица1[[#This Row],[сумма]]*Таблица1[[#This Row],[коэф]])))))))))))))),
(IF((G389="5/24"),((база!$M$6*Таблица1[[#This Row],[сумма]]*Таблица1[[#This Row],[коэф]])),
IF(OR(G389="4/24",G389="3/24"),((база!$M$5*Таблица1[[#This Row],[сумма]]*Таблица1[[#This Row],[коэф]])),
IF((G389="5/16"),((база!$L$6*Таблица1[[#This Row],[сумма]]*Таблица1[[#This Row],[коэф]])),
IF(OR(G389="4/16",G389="3/16"),((база!$L$5*Таблица1[[#This Row],[сумма]]*Таблица1[[#This Row],[коэф]])),
IF(OR(G389="2/4",G389="3/4",G389="4/4"),((база!$I$5*Таблица1[[#This Row],[сумма]]*Таблица1[[#This Row],[коэф]])),
IF((G389="5/8"),((база!$J$6*Таблица1[[#This Row],[сумма]]*Таблица1[[#This Row],[коэф]])),
IF(OR(G389="4/8",G389="3/8",G389="2/8"),((база!$J$5*Таблица1[[#This Row],[сумма]]*Таблица1[[#This Row],[коэф]])))))))))))</f>
        <v>0</v>
      </c>
      <c r="AP389" s="730" t="b">
        <f>IF(AR389&lt;=3,(IF((G389="5/24"),((база!$M$6*2*Таблица1[[#This Row],[Столбец1]]*Таблица1[[#This Row],[коэф]])),
IF((G389="4/24"),((база!$M$5*2*Таблица1[[#This Row],[Столбец1]]*Таблица1[[#This Row],[коэф]])),
IF((G389="3/24"),((база!$M$4*2*Таблица1[[#This Row],[Столбец1]]*Таблица1[[#This Row],[коэф]])),
IF((G389="5/16"),((база!$L$6*2*Таблица1[[#This Row],[Столбец1]]*Таблица1[[#This Row],[коэф]])),
IF((G389="4/16"),((база!$L$5*2*Таблица1[[#This Row],[Столбец1]]*Таблица1[[#This Row],[коэф]])),
IF((G389="3/16"),((база!$L$4*2*Таблица1[[#This Row],[Столбец1]]*Таблица1[[#This Row],[коэф]])),
IF((G389="4/4"),((база!$I$5*2*Таблица1[[#This Row],[Столбец1]]*Таблица1[[#This Row],[коэф]])),
IF(OR(G389="2/4",G389="3/4"),((база!$I$4*2*Таблица1[[#This Row],[Столбец1]]*Таблица1[[#This Row],[коэф]])),
IF((G389="5/8"),((база!$J$6*2*Таблица1[[#This Row],[Столбец1]]*Таблица1[[#This Row],[коэф]])),
IF((G389="4/8"),((база!$J$5*2*Таблица1[[#This Row],[Столбец1]]*Таблица1[[#This Row],[коэф]])),
IF(OR(G389="3/8",G389="2/8"),((база!$J$4*2*Таблица1[[#This Row],[Столбец1]]*Таблица1[[#This Row],[коэф]])))))))))))))),
(IF((G389="5/24"),((база!$M$6*2*Таблица1[[#This Row],[Столбец1]]*Таблица1[[#This Row],[коэф]])),
IF(OR(G389="4/24",G389="3/24"),((база!$M$5*2*Таблица1[[#This Row],[Столбец1]]*Таблица1[[#This Row],[коэф]])),
IF((G389="5/16"),((база!$L$6*2*Таблица1[[#This Row],[Столбец1]]*Таблица1[[#This Row],[коэф]])),
IF(OR(G389="4/16",G389="3/16"),((база!$L$5*2*Таблица1[[#This Row],[Столбец1]]*Таблица1[[#This Row],[коэф]])),
IF(OR(G389="2/4",G389="3/4",G389="4/4"),((база!$I$5*2*Таблица1[[#This Row],[Столбец1]]*Таблица1[[#This Row],[коэф]])),
IF((G389="5/8"),((база!$J$6*2*Таблица1[[#This Row],[Столбец1]]*Таблица1[[#This Row],[коэф]])),
IF(OR(G389="4/8",G389="3/8",G389="2/8"),((база!$J$5*2*Таблица1[[#This Row],[Столбец1]]*Таблица1[[#This Row],[коэф]])))))))))))</f>
        <v>0</v>
      </c>
      <c r="AQ389" s="712" t="str">
        <f>IFERROR(INDEX(база!T:T, MATCH(F389,база!Q:Q,0)),"")</f>
        <v/>
      </c>
      <c r="AR389" s="208" t="str">
        <f>IFERROR(INDEX(база!D:D, MATCH(F389,база!B:B,0)),"")</f>
        <v/>
      </c>
      <c r="AS389" s="758" t="str">
        <f>IFERROR(INDEX(база!E:E, MATCH(F389,база!B:B,0)),"")</f>
        <v/>
      </c>
    </row>
    <row r="390" spans="1:45" ht="15">
      <c r="A390" s="66" t="str">
        <f t="shared" si="7"/>
        <v>январь</v>
      </c>
      <c r="B390" s="231">
        <v>2024</v>
      </c>
      <c r="C390" s="60"/>
      <c r="D390" s="61"/>
      <c r="E390" s="211"/>
      <c r="F390" s="680"/>
      <c r="G390" s="47"/>
      <c r="H390" s="563"/>
      <c r="I390" s="563"/>
      <c r="J390" s="563"/>
      <c r="K390" s="563"/>
      <c r="L390" s="563"/>
      <c r="M390" s="563"/>
      <c r="N390" s="563"/>
      <c r="O390" s="563"/>
      <c r="P390" s="300"/>
      <c r="Q390" s="563"/>
      <c r="R390" s="563"/>
      <c r="S390" s="563"/>
      <c r="T390" s="563"/>
      <c r="U390" s="563"/>
      <c r="V390" s="563"/>
      <c r="W390" s="563"/>
      <c r="X390" s="563"/>
      <c r="Y390" s="563"/>
      <c r="Z390" s="563"/>
      <c r="AA390" s="563"/>
      <c r="AB390" s="563"/>
      <c r="AC390" s="563"/>
      <c r="AD390" s="48"/>
      <c r="AE390" s="48"/>
      <c r="AF390" s="258"/>
      <c r="AG390" s="48"/>
      <c r="AH390" s="48"/>
      <c r="AI390" s="48"/>
      <c r="AJ390" s="48"/>
      <c r="AK390" s="48"/>
      <c r="AL390" s="51"/>
      <c r="AM390" s="212">
        <f>IF(AQ390=1,SUM(Q390:T390,W390:Z390,AC390:AF390,AI390:AL390),
IF(AQ390=2,SUM(P390,S390:V390,Y390:AB390,AE390:AH390,AK390:AL390),
IF(AQ390=3,SUM(P390:R390,U390:X390,AA390:AD390,AG390:AJ390),SUM(Таблица1[[#This Row],[1]:[31]])-Таблица1[[#This Row],[Столбец1]])))</f>
        <v>0</v>
      </c>
      <c r="AN390" s="778">
        <f t="array" ref="AN390">IF(AQ390=1,SUM(P390,U390:V390,AA390:AB390,AG390:AH390),
IF(AQ390=2,SUM(Q390:R390,W390:X390,AC390:AD390,AI390:AJ390),
IF(AQ390=3,SUM(S390:T390,Y390:Z390,AE390:AF390,AK390:AL390),
SUM(IFERROR(WEEKDAY($H$2:$AL$2,2)&gt;5,)*H390:AL390))))+Таблица1[[#This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90" s="292" t="b">
        <f>IF(AR390&lt;=3,(IF((G390="5/24"),((база!$M$6*Таблица1[[#This Row],[сумма]]*Таблица1[[#This Row],[коэф]])),
IF((G390="4/24"),((база!$M$5*Таблица1[[#This Row],[сумма]]*Таблица1[[#This Row],[коэф]])),
IF((G390="3/24"),((база!$M$4*Таблица1[[#This Row],[сумма]]*Таблица1[[#This Row],[коэф]])),
IF((G390="5/16"),((база!$L$6*Таблица1[[#This Row],[сумма]]*Таблица1[[#This Row],[коэф]])),
IF((G390="4/16"),((база!$L$5*Таблица1[[#This Row],[сумма]]*Таблица1[[#This Row],[коэф]])),
IF((G390="3/16"),((база!$L$4*Таблица1[[#This Row],[сумма]]*Таблица1[[#This Row],[коэф]])),
IF((G390="4/4"),((база!$I$5*Таблица1[[#This Row],[сумма]]*Таблица1[[#This Row],[коэф]])),
IF(OR(G390="2/4",G390="3/4"),((база!$I$4*Таблица1[[#This Row],[сумма]]*Таблица1[[#This Row],[коэф]])),
IF((G390="5/8"),((база!$J$6*Таблица1[[#This Row],[сумма]]*Таблица1[[#This Row],[коэф]])),
IF((G390="4/8"),((база!$J$5*Таблица1[[#This Row],[сумма]]*Таблица1[[#This Row],[коэф]])),
IF(OR(G390="3/8",G390="2/8"),((база!$J$4*Таблица1[[#This Row],[сумма]]*Таблица1[[#This Row],[коэф]])))))))))))))),
(IF((G390="5/24"),((база!$M$6*Таблица1[[#This Row],[сумма]]*Таблица1[[#This Row],[коэф]])),
IF(OR(G390="4/24",G390="3/24"),((база!$M$5*Таблица1[[#This Row],[сумма]]*Таблица1[[#This Row],[коэф]])),
IF((G390="5/16"),((база!$L$6*Таблица1[[#This Row],[сумма]]*Таблица1[[#This Row],[коэф]])),
IF(OR(G390="4/16",G390="3/16"),((база!$L$5*Таблица1[[#This Row],[сумма]]*Таблица1[[#This Row],[коэф]])),
IF(OR(G390="2/4",G390="3/4",G390="4/4"),((база!$I$5*Таблица1[[#This Row],[сумма]]*Таблица1[[#This Row],[коэф]])),
IF((G390="5/8"),((база!$J$6*Таблица1[[#This Row],[сумма]]*Таблица1[[#This Row],[коэф]])),
IF(OR(G390="4/8",G390="3/8",G390="2/8"),((база!$J$5*Таблица1[[#This Row],[сумма]]*Таблица1[[#This Row],[коэф]])))))))))))</f>
        <v>0</v>
      </c>
      <c r="AP390" s="730" t="b">
        <f>IF(AR390&lt;=3,(IF((G390="5/24"),((база!$M$6*2*Таблица1[[#This Row],[Столбец1]]*Таблица1[[#This Row],[коэф]])),
IF((G390="4/24"),((база!$M$5*2*Таблица1[[#This Row],[Столбец1]]*Таблица1[[#This Row],[коэф]])),
IF((G390="3/24"),((база!$M$4*2*Таблица1[[#This Row],[Столбец1]]*Таблица1[[#This Row],[коэф]])),
IF((G390="5/16"),((база!$L$6*2*Таблица1[[#This Row],[Столбец1]]*Таблица1[[#This Row],[коэф]])),
IF((G390="4/16"),((база!$L$5*2*Таблица1[[#This Row],[Столбец1]]*Таблица1[[#This Row],[коэф]])),
IF((G390="3/16"),((база!$L$4*2*Таблица1[[#This Row],[Столбец1]]*Таблица1[[#This Row],[коэф]])),
IF((G390="4/4"),((база!$I$5*2*Таблица1[[#This Row],[Столбец1]]*Таблица1[[#This Row],[коэф]])),
IF(OR(G390="2/4",G390="3/4"),((база!$I$4*2*Таблица1[[#This Row],[Столбец1]]*Таблица1[[#This Row],[коэф]])),
IF((G390="5/8"),((база!$J$6*2*Таблица1[[#This Row],[Столбец1]]*Таблица1[[#This Row],[коэф]])),
IF((G390="4/8"),((база!$J$5*2*Таблица1[[#This Row],[Столбец1]]*Таблица1[[#This Row],[коэф]])),
IF(OR(G390="3/8",G390="2/8"),((база!$J$4*2*Таблица1[[#This Row],[Столбец1]]*Таблица1[[#This Row],[коэф]])))))))))))))),
(IF((G390="5/24"),((база!$M$6*2*Таблица1[[#This Row],[Столбец1]]*Таблица1[[#This Row],[коэф]])),
IF(OR(G390="4/24",G390="3/24"),((база!$M$5*2*Таблица1[[#This Row],[Столбец1]]*Таблица1[[#This Row],[коэф]])),
IF((G390="5/16"),((база!$L$6*2*Таблица1[[#This Row],[Столбец1]]*Таблица1[[#This Row],[коэф]])),
IF(OR(G390="4/16",G390="3/16"),((база!$L$5*2*Таблица1[[#This Row],[Столбец1]]*Таблица1[[#This Row],[коэф]])),
IF(OR(G390="2/4",G390="3/4",G390="4/4"),((база!$I$5*2*Таблица1[[#This Row],[Столбец1]]*Таблица1[[#This Row],[коэф]])),
IF((G390="5/8"),((база!$J$6*2*Таблица1[[#This Row],[Столбец1]]*Таблица1[[#This Row],[коэф]])),
IF(OR(G390="4/8",G390="3/8",G390="2/8"),((база!$J$5*2*Таблица1[[#This Row],[Столбец1]]*Таблица1[[#This Row],[коэф]])))))))))))</f>
        <v>0</v>
      </c>
      <c r="AQ390" s="712" t="str">
        <f>IFERROR(INDEX(база!T:T, MATCH(F390,база!Q:Q,0)),"")</f>
        <v/>
      </c>
      <c r="AR390" s="208" t="str">
        <f>IFERROR(INDEX(база!D:D, MATCH(F390,база!B:B,0)),"")</f>
        <v/>
      </c>
      <c r="AS390" s="758" t="str">
        <f>IFERROR(INDEX(база!E:E, MATCH(F390,база!B:B,0)),"")</f>
        <v/>
      </c>
    </row>
    <row r="391" spans="1:45" ht="15">
      <c r="A391" s="66" t="str">
        <f t="shared" si="7"/>
        <v>январь</v>
      </c>
      <c r="B391" s="231">
        <v>2024</v>
      </c>
      <c r="C391" s="60"/>
      <c r="D391" s="61"/>
      <c r="E391" s="211"/>
      <c r="F391" s="680"/>
      <c r="G391" s="47"/>
      <c r="H391" s="563"/>
      <c r="I391" s="563"/>
      <c r="J391" s="563"/>
      <c r="K391" s="563"/>
      <c r="L391" s="563"/>
      <c r="M391" s="563"/>
      <c r="N391" s="563"/>
      <c r="O391" s="563"/>
      <c r="P391" s="300"/>
      <c r="Q391" s="563"/>
      <c r="R391" s="563"/>
      <c r="S391" s="563"/>
      <c r="T391" s="563"/>
      <c r="U391" s="563"/>
      <c r="V391" s="563"/>
      <c r="W391" s="563"/>
      <c r="X391" s="563"/>
      <c r="Y391" s="563"/>
      <c r="Z391" s="563"/>
      <c r="AA391" s="563"/>
      <c r="AB391" s="563"/>
      <c r="AC391" s="563"/>
      <c r="AD391" s="48"/>
      <c r="AE391" s="48"/>
      <c r="AF391" s="258"/>
      <c r="AG391" s="48"/>
      <c r="AH391" s="48"/>
      <c r="AI391" s="258"/>
      <c r="AJ391" s="258"/>
      <c r="AK391" s="258"/>
      <c r="AL391" s="258"/>
      <c r="AM391" s="212">
        <f>IF(AQ391=1,SUM(Q391:T391,W391:Z391,AC391:AF391,AI391:AL391),
IF(AQ391=2,SUM(P391,S391:V391,Y391:AB391,AE391:AH391,AK391:AL391),
IF(AQ391=3,SUM(P391:R391,U391:X391,AA391:AD391,AG391:AJ391),SUM(Таблица1[[#This Row],[1]:[31]])-Таблица1[[#This Row],[Столбец1]])))</f>
        <v>0</v>
      </c>
      <c r="AN391" s="778">
        <f t="array" ref="AN391">IF(AQ391=1,SUM(P391,U391:V391,AA391:AB391,AG391:AH391),
IF(AQ391=2,SUM(Q391:R391,W391:X391,AC391:AD391,AI391:AJ391),
IF(AQ391=3,SUM(S391:T391,Y391:Z391,AE391:AF391,AK391:AL391),
SUM(IFERROR(WEEKDAY($H$2:$AL$2,2)&gt;5,)*H391:AL391))))+Таблица1[[#This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91" s="292" t="b">
        <f>IF(AR391&lt;=3,(IF((G391="5/24"),((база!$M$6*Таблица1[[#This Row],[сумма]]*Таблица1[[#This Row],[коэф]])),
IF((G391="4/24"),((база!$M$5*Таблица1[[#This Row],[сумма]]*Таблица1[[#This Row],[коэф]])),
IF((G391="3/24"),((база!$M$4*Таблица1[[#This Row],[сумма]]*Таблица1[[#This Row],[коэф]])),
IF((G391="5/16"),((база!$L$6*Таблица1[[#This Row],[сумма]]*Таблица1[[#This Row],[коэф]])),
IF((G391="4/16"),((база!$L$5*Таблица1[[#This Row],[сумма]]*Таблица1[[#This Row],[коэф]])),
IF((G391="3/16"),((база!$L$4*Таблица1[[#This Row],[сумма]]*Таблица1[[#This Row],[коэф]])),
IF((G391="4/4"),((база!$I$5*Таблица1[[#This Row],[сумма]]*Таблица1[[#This Row],[коэф]])),
IF(OR(G391="2/4",G391="3/4"),((база!$I$4*Таблица1[[#This Row],[сумма]]*Таблица1[[#This Row],[коэф]])),
IF((G391="5/8"),((база!$J$6*Таблица1[[#This Row],[сумма]]*Таблица1[[#This Row],[коэф]])),
IF((G391="4/8"),((база!$J$5*Таблица1[[#This Row],[сумма]]*Таблица1[[#This Row],[коэф]])),
IF(OR(G391="3/8",G391="2/8"),((база!$J$4*Таблица1[[#This Row],[сумма]]*Таблица1[[#This Row],[коэф]])))))))))))))),
(IF((G391="5/24"),((база!$M$6*Таблица1[[#This Row],[сумма]]*Таблица1[[#This Row],[коэф]])),
IF(OR(G391="4/24",G391="3/24"),((база!$M$5*Таблица1[[#This Row],[сумма]]*Таблица1[[#This Row],[коэф]])),
IF((G391="5/16"),((база!$L$6*Таблица1[[#This Row],[сумма]]*Таблица1[[#This Row],[коэф]])),
IF(OR(G391="4/16",G391="3/16"),((база!$L$5*Таблица1[[#This Row],[сумма]]*Таблица1[[#This Row],[коэф]])),
IF(OR(G391="2/4",G391="3/4",G391="4/4"),((база!$I$5*Таблица1[[#This Row],[сумма]]*Таблица1[[#This Row],[коэф]])),
IF((G391="5/8"),((база!$J$6*Таблица1[[#This Row],[сумма]]*Таблица1[[#This Row],[коэф]])),
IF(OR(G391="4/8",G391="3/8",G391="2/8"),((база!$J$5*Таблица1[[#This Row],[сумма]]*Таблица1[[#This Row],[коэф]])))))))))))</f>
        <v>0</v>
      </c>
      <c r="AP391" s="730" t="b">
        <f>IF(AR391&lt;=3,(IF((G391="5/24"),((база!$M$6*2*Таблица1[[#This Row],[Столбец1]]*Таблица1[[#This Row],[коэф]])),
IF((G391="4/24"),((база!$M$5*2*Таблица1[[#This Row],[Столбец1]]*Таблица1[[#This Row],[коэф]])),
IF((G391="3/24"),((база!$M$4*2*Таблица1[[#This Row],[Столбец1]]*Таблица1[[#This Row],[коэф]])),
IF((G391="5/16"),((база!$L$6*2*Таблица1[[#This Row],[Столбец1]]*Таблица1[[#This Row],[коэф]])),
IF((G391="4/16"),((база!$L$5*2*Таблица1[[#This Row],[Столбец1]]*Таблица1[[#This Row],[коэф]])),
IF((G391="3/16"),((база!$L$4*2*Таблица1[[#This Row],[Столбец1]]*Таблица1[[#This Row],[коэф]])),
IF((G391="4/4"),((база!$I$5*2*Таблица1[[#This Row],[Столбец1]]*Таблица1[[#This Row],[коэф]])),
IF(OR(G391="2/4",G391="3/4"),((база!$I$4*2*Таблица1[[#This Row],[Столбец1]]*Таблица1[[#This Row],[коэф]])),
IF((G391="5/8"),((база!$J$6*2*Таблица1[[#This Row],[Столбец1]]*Таблица1[[#This Row],[коэф]])),
IF((G391="4/8"),((база!$J$5*2*Таблица1[[#This Row],[Столбец1]]*Таблица1[[#This Row],[коэф]])),
IF(OR(G391="3/8",G391="2/8"),((база!$J$4*2*Таблица1[[#This Row],[Столбец1]]*Таблица1[[#This Row],[коэф]])))))))))))))),
(IF((G391="5/24"),((база!$M$6*2*Таблица1[[#This Row],[Столбец1]]*Таблица1[[#This Row],[коэф]])),
IF(OR(G391="4/24",G391="3/24"),((база!$M$5*2*Таблица1[[#This Row],[Столбец1]]*Таблица1[[#This Row],[коэф]])),
IF((G391="5/16"),((база!$L$6*2*Таблица1[[#This Row],[Столбец1]]*Таблица1[[#This Row],[коэф]])),
IF(OR(G391="4/16",G391="3/16"),((база!$L$5*2*Таблица1[[#This Row],[Столбец1]]*Таблица1[[#This Row],[коэф]])),
IF(OR(G391="2/4",G391="3/4",G391="4/4"),((база!$I$5*2*Таблица1[[#This Row],[Столбец1]]*Таблица1[[#This Row],[коэф]])),
IF((G391="5/8"),((база!$J$6*2*Таблица1[[#This Row],[Столбец1]]*Таблица1[[#This Row],[коэф]])),
IF(OR(G391="4/8",G391="3/8",G391="2/8"),((база!$J$5*2*Таблица1[[#This Row],[Столбец1]]*Таблица1[[#This Row],[коэф]])))))))))))</f>
        <v>0</v>
      </c>
      <c r="AQ391" s="712" t="str">
        <f>IFERROR(INDEX(база!T:T, MATCH(F391,база!Q:Q,0)),"")</f>
        <v/>
      </c>
      <c r="AR391" s="208" t="str">
        <f>IFERROR(INDEX(база!D:D, MATCH(F391,база!B:B,0)),"")</f>
        <v/>
      </c>
      <c r="AS391" s="758" t="str">
        <f>IFERROR(INDEX(база!E:E, MATCH(F391,база!B:B,0)),"")</f>
        <v/>
      </c>
    </row>
    <row r="392" spans="1:45" ht="15">
      <c r="A392" s="66" t="str">
        <f t="shared" si="7"/>
        <v>январь</v>
      </c>
      <c r="B392" s="231">
        <v>2024</v>
      </c>
      <c r="C392" s="60"/>
      <c r="D392" s="61"/>
      <c r="E392" s="211"/>
      <c r="F392" s="680"/>
      <c r="G392" s="47"/>
      <c r="H392" s="563"/>
      <c r="I392" s="563"/>
      <c r="J392" s="563"/>
      <c r="K392" s="563"/>
      <c r="L392" s="563"/>
      <c r="M392" s="563"/>
      <c r="N392" s="563"/>
      <c r="O392" s="563"/>
      <c r="P392" s="300"/>
      <c r="Q392" s="563"/>
      <c r="R392" s="563"/>
      <c r="S392" s="563"/>
      <c r="T392" s="563"/>
      <c r="U392" s="563"/>
      <c r="V392" s="563"/>
      <c r="W392" s="563"/>
      <c r="X392" s="563"/>
      <c r="Y392" s="563"/>
      <c r="Z392" s="563"/>
      <c r="AA392" s="563"/>
      <c r="AB392" s="563"/>
      <c r="AC392" s="563"/>
      <c r="AD392" s="48"/>
      <c r="AE392" s="48"/>
      <c r="AF392" s="258"/>
      <c r="AG392" s="48"/>
      <c r="AH392" s="48"/>
      <c r="AI392" s="48"/>
      <c r="AJ392" s="48"/>
      <c r="AK392" s="48"/>
      <c r="AL392" s="51"/>
      <c r="AM392" s="212">
        <f>IF(AQ392=1,SUM(Q392:T392,W392:Z392,AC392:AF392,AI392:AL392),
IF(AQ392=2,SUM(P392,S392:V392,Y392:AB392,AE392:AH392,AK392:AL392),
IF(AQ392=3,SUM(P392:R392,U392:X392,AA392:AD392,AG392:AJ392),SUM(Таблица1[[#This Row],[1]:[31]])-Таблица1[[#This Row],[Столбец1]])))</f>
        <v>0</v>
      </c>
      <c r="AN392" s="778">
        <f t="array" ref="AN392">IF(AQ392=1,SUM(P392,U392:V392,AA392:AB392,AG392:AH392),
IF(AQ392=2,SUM(Q392:R392,W392:X392,AC392:AD392,AI392:AJ392),
IF(AQ392=3,SUM(S392:T392,Y392:Z392,AE392:AF392,AK392:AL392),
SUM(IFERROR(WEEKDAY($H$2:$AL$2,2)&gt;5,)*H392:AL392))))+Таблица1[[#This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92" s="292" t="b">
        <f>IF(AR392&lt;=3,(IF((G392="5/24"),((база!$M$6*Таблица1[[#This Row],[сумма]]*Таблица1[[#This Row],[коэф]])),
IF((G392="4/24"),((база!$M$5*Таблица1[[#This Row],[сумма]]*Таблица1[[#This Row],[коэф]])),
IF((G392="3/24"),((база!$M$4*Таблица1[[#This Row],[сумма]]*Таблица1[[#This Row],[коэф]])),
IF((G392="5/16"),((база!$L$6*Таблица1[[#This Row],[сумма]]*Таблица1[[#This Row],[коэф]])),
IF((G392="4/16"),((база!$L$5*Таблица1[[#This Row],[сумма]]*Таблица1[[#This Row],[коэф]])),
IF((G392="3/16"),((база!$L$4*Таблица1[[#This Row],[сумма]]*Таблица1[[#This Row],[коэф]])),
IF((G392="4/4"),((база!$I$5*Таблица1[[#This Row],[сумма]]*Таблица1[[#This Row],[коэф]])),
IF(OR(G392="2/4",G392="3/4"),((база!$I$4*Таблица1[[#This Row],[сумма]]*Таблица1[[#This Row],[коэф]])),
IF((G392="5/8"),((база!$J$6*Таблица1[[#This Row],[сумма]]*Таблица1[[#This Row],[коэф]])),
IF((G392="4/8"),((база!$J$5*Таблица1[[#This Row],[сумма]]*Таблица1[[#This Row],[коэф]])),
IF(OR(G392="3/8",G392="2/8"),((база!$J$4*Таблица1[[#This Row],[сумма]]*Таблица1[[#This Row],[коэф]])))))))))))))),
(IF((G392="5/24"),((база!$M$6*Таблица1[[#This Row],[сумма]]*Таблица1[[#This Row],[коэф]])),
IF(OR(G392="4/24",G392="3/24"),((база!$M$5*Таблица1[[#This Row],[сумма]]*Таблица1[[#This Row],[коэф]])),
IF((G392="5/16"),((база!$L$6*Таблица1[[#This Row],[сумма]]*Таблица1[[#This Row],[коэф]])),
IF(OR(G392="4/16",G392="3/16"),((база!$L$5*Таблица1[[#This Row],[сумма]]*Таблица1[[#This Row],[коэф]])),
IF(OR(G392="2/4",G392="3/4",G392="4/4"),((база!$I$5*Таблица1[[#This Row],[сумма]]*Таблица1[[#This Row],[коэф]])),
IF((G392="5/8"),((база!$J$6*Таблица1[[#This Row],[сумма]]*Таблица1[[#This Row],[коэф]])),
IF(OR(G392="4/8",G392="3/8",G392="2/8"),((база!$J$5*Таблица1[[#This Row],[сумма]]*Таблица1[[#This Row],[коэф]])))))))))))</f>
        <v>0</v>
      </c>
      <c r="AP392" s="730" t="b">
        <f>IF(AR392&lt;=3,(IF((G392="5/24"),((база!$M$6*2*Таблица1[[#This Row],[Столбец1]]*Таблица1[[#This Row],[коэф]])),
IF((G392="4/24"),((база!$M$5*2*Таблица1[[#This Row],[Столбец1]]*Таблица1[[#This Row],[коэф]])),
IF((G392="3/24"),((база!$M$4*2*Таблица1[[#This Row],[Столбец1]]*Таблица1[[#This Row],[коэф]])),
IF((G392="5/16"),((база!$L$6*2*Таблица1[[#This Row],[Столбец1]]*Таблица1[[#This Row],[коэф]])),
IF((G392="4/16"),((база!$L$5*2*Таблица1[[#This Row],[Столбец1]]*Таблица1[[#This Row],[коэф]])),
IF((G392="3/16"),((база!$L$4*2*Таблица1[[#This Row],[Столбец1]]*Таблица1[[#This Row],[коэф]])),
IF((G392="4/4"),((база!$I$5*2*Таблица1[[#This Row],[Столбец1]]*Таблица1[[#This Row],[коэф]])),
IF(OR(G392="2/4",G392="3/4"),((база!$I$4*2*Таблица1[[#This Row],[Столбец1]]*Таблица1[[#This Row],[коэф]])),
IF((G392="5/8"),((база!$J$6*2*Таблица1[[#This Row],[Столбец1]]*Таблица1[[#This Row],[коэф]])),
IF((G392="4/8"),((база!$J$5*2*Таблица1[[#This Row],[Столбец1]]*Таблица1[[#This Row],[коэф]])),
IF(OR(G392="3/8",G392="2/8"),((база!$J$4*2*Таблица1[[#This Row],[Столбец1]]*Таблица1[[#This Row],[коэф]])))))))))))))),
(IF((G392="5/24"),((база!$M$6*2*Таблица1[[#This Row],[Столбец1]]*Таблица1[[#This Row],[коэф]])),
IF(OR(G392="4/24",G392="3/24"),((база!$M$5*2*Таблица1[[#This Row],[Столбец1]]*Таблица1[[#This Row],[коэф]])),
IF((G392="5/16"),((база!$L$6*2*Таблица1[[#This Row],[Столбец1]]*Таблица1[[#This Row],[коэф]])),
IF(OR(G392="4/16",G392="3/16"),((база!$L$5*2*Таблица1[[#This Row],[Столбец1]]*Таблица1[[#This Row],[коэф]])),
IF(OR(G392="2/4",G392="3/4",G392="4/4"),((база!$I$5*2*Таблица1[[#This Row],[Столбец1]]*Таблица1[[#This Row],[коэф]])),
IF((G392="5/8"),((база!$J$6*2*Таблица1[[#This Row],[Столбец1]]*Таблица1[[#This Row],[коэф]])),
IF(OR(G392="4/8",G392="3/8",G392="2/8"),((база!$J$5*2*Таблица1[[#This Row],[Столбец1]]*Таблица1[[#This Row],[коэф]])))))))))))</f>
        <v>0</v>
      </c>
      <c r="AQ392" s="712" t="str">
        <f>IFERROR(INDEX(база!T:T, MATCH(F392,база!Q:Q,0)),"")</f>
        <v/>
      </c>
      <c r="AR392" s="208" t="str">
        <f>IFERROR(INDEX(база!D:D, MATCH(F392,база!B:B,0)),"")</f>
        <v/>
      </c>
      <c r="AS392" s="758" t="str">
        <f>IFERROR(INDEX(база!E:E, MATCH(F392,база!B:B,0)),"")</f>
        <v/>
      </c>
    </row>
    <row r="393" spans="1:45" ht="15">
      <c r="A393" s="66" t="str">
        <f t="shared" si="7"/>
        <v>январь</v>
      </c>
      <c r="B393" s="231">
        <v>2024</v>
      </c>
      <c r="C393" s="299"/>
      <c r="D393" s="61"/>
      <c r="E393" s="211"/>
      <c r="F393" s="680"/>
      <c r="G393" s="47"/>
      <c r="H393" s="563"/>
      <c r="I393" s="563"/>
      <c r="J393" s="563"/>
      <c r="K393" s="563"/>
      <c r="L393" s="563"/>
      <c r="M393" s="563"/>
      <c r="N393" s="563"/>
      <c r="O393" s="563"/>
      <c r="P393" s="300"/>
      <c r="Q393" s="563"/>
      <c r="R393" s="563"/>
      <c r="S393" s="563"/>
      <c r="T393" s="563"/>
      <c r="U393" s="563"/>
      <c r="V393" s="563"/>
      <c r="W393" s="563"/>
      <c r="X393" s="563"/>
      <c r="Y393" s="563"/>
      <c r="Z393" s="563"/>
      <c r="AA393" s="563"/>
      <c r="AB393" s="563"/>
      <c r="AC393" s="563"/>
      <c r="AD393" s="48"/>
      <c r="AE393" s="48"/>
      <c r="AF393" s="258"/>
      <c r="AG393" s="48"/>
      <c r="AH393" s="48"/>
      <c r="AI393" s="258"/>
      <c r="AJ393" s="258"/>
      <c r="AK393" s="258"/>
      <c r="AL393" s="258"/>
      <c r="AM393" s="212">
        <f>IF(AQ393=1,SUM(Q393:T393,W393:Z393,AC393:AF393,AI393:AL393),
IF(AQ393=2,SUM(P393,S393:V393,Y393:AB393,AE393:AH393,AK393:AL393),
IF(AQ393=3,SUM(P393:R393,U393:X393,AA393:AD393,AG393:AJ393),SUM(Таблица1[[#This Row],[1]:[31]])-Таблица1[[#This Row],[Столбец1]])))</f>
        <v>0</v>
      </c>
      <c r="AN393" s="778">
        <f t="array" ref="AN393">IF(AQ393=1,SUM(P393,U393:V393,AA393:AB393,AG393:AH393),
IF(AQ393=2,SUM(Q393:R393,W393:X393,AC393:AD393,AI393:AJ393),
IF(AQ393=3,SUM(S393:T393,Y393:Z393,AE393:AF393,AK393:AL393),
SUM(IFERROR(WEEKDAY($H$2:$AL$2,2)&gt;5,)*H393:AL393))))+Таблица1[[#This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93" s="292" t="b">
        <f>IF(AR393&lt;=3,(IF((G393="5/24"),((база!$M$6*Таблица1[[#This Row],[сумма]]*Таблица1[[#This Row],[коэф]])),
IF((G393="4/24"),((база!$M$5*Таблица1[[#This Row],[сумма]]*Таблица1[[#This Row],[коэф]])),
IF((G393="3/24"),((база!$M$4*Таблица1[[#This Row],[сумма]]*Таблица1[[#This Row],[коэф]])),
IF((G393="5/16"),((база!$L$6*Таблица1[[#This Row],[сумма]]*Таблица1[[#This Row],[коэф]])),
IF((G393="4/16"),((база!$L$5*Таблица1[[#This Row],[сумма]]*Таблица1[[#This Row],[коэф]])),
IF((G393="3/16"),((база!$L$4*Таблица1[[#This Row],[сумма]]*Таблица1[[#This Row],[коэф]])),
IF((G393="4/4"),((база!$I$5*Таблица1[[#This Row],[сумма]]*Таблица1[[#This Row],[коэф]])),
IF(OR(G393="2/4",G393="3/4"),((база!$I$4*Таблица1[[#This Row],[сумма]]*Таблица1[[#This Row],[коэф]])),
IF((G393="5/8"),((база!$J$6*Таблица1[[#This Row],[сумма]]*Таблица1[[#This Row],[коэф]])),
IF((G393="4/8"),((база!$J$5*Таблица1[[#This Row],[сумма]]*Таблица1[[#This Row],[коэф]])),
IF(OR(G393="3/8",G393="2/8"),((база!$J$4*Таблица1[[#This Row],[сумма]]*Таблица1[[#This Row],[коэф]])))))))))))))),
(IF((G393="5/24"),((база!$M$6*Таблица1[[#This Row],[сумма]]*Таблица1[[#This Row],[коэф]])),
IF(OR(G393="4/24",G393="3/24"),((база!$M$5*Таблица1[[#This Row],[сумма]]*Таблица1[[#This Row],[коэф]])),
IF((G393="5/16"),((база!$L$6*Таблица1[[#This Row],[сумма]]*Таблица1[[#This Row],[коэф]])),
IF(OR(G393="4/16",G393="3/16"),((база!$L$5*Таблица1[[#This Row],[сумма]]*Таблица1[[#This Row],[коэф]])),
IF(OR(G393="2/4",G393="3/4",G393="4/4"),((база!$I$5*Таблица1[[#This Row],[сумма]]*Таблица1[[#This Row],[коэф]])),
IF((G393="5/8"),((база!$J$6*Таблица1[[#This Row],[сумма]]*Таблица1[[#This Row],[коэф]])),
IF(OR(G393="4/8",G393="3/8",G393="2/8"),((база!$J$5*Таблица1[[#This Row],[сумма]]*Таблица1[[#This Row],[коэф]])))))))))))</f>
        <v>0</v>
      </c>
      <c r="AP393" s="730" t="b">
        <f>IF(AR393&lt;=3,(IF((G393="5/24"),((база!$M$6*2*Таблица1[[#This Row],[Столбец1]]*Таблица1[[#This Row],[коэф]])),
IF((G393="4/24"),((база!$M$5*2*Таблица1[[#This Row],[Столбец1]]*Таблица1[[#This Row],[коэф]])),
IF((G393="3/24"),((база!$M$4*2*Таблица1[[#This Row],[Столбец1]]*Таблица1[[#This Row],[коэф]])),
IF((G393="5/16"),((база!$L$6*2*Таблица1[[#This Row],[Столбец1]]*Таблица1[[#This Row],[коэф]])),
IF((G393="4/16"),((база!$L$5*2*Таблица1[[#This Row],[Столбец1]]*Таблица1[[#This Row],[коэф]])),
IF((G393="3/16"),((база!$L$4*2*Таблица1[[#This Row],[Столбец1]]*Таблица1[[#This Row],[коэф]])),
IF((G393="4/4"),((база!$I$5*2*Таблица1[[#This Row],[Столбец1]]*Таблица1[[#This Row],[коэф]])),
IF(OR(G393="2/4",G393="3/4"),((база!$I$4*2*Таблица1[[#This Row],[Столбец1]]*Таблица1[[#This Row],[коэф]])),
IF((G393="5/8"),((база!$J$6*2*Таблица1[[#This Row],[Столбец1]]*Таблица1[[#This Row],[коэф]])),
IF((G393="4/8"),((база!$J$5*2*Таблица1[[#This Row],[Столбец1]]*Таблица1[[#This Row],[коэф]])),
IF(OR(G393="3/8",G393="2/8"),((база!$J$4*2*Таблица1[[#This Row],[Столбец1]]*Таблица1[[#This Row],[коэф]])))))))))))))),
(IF((G393="5/24"),((база!$M$6*2*Таблица1[[#This Row],[Столбец1]]*Таблица1[[#This Row],[коэф]])),
IF(OR(G393="4/24",G393="3/24"),((база!$M$5*2*Таблица1[[#This Row],[Столбец1]]*Таблица1[[#This Row],[коэф]])),
IF((G393="5/16"),((база!$L$6*2*Таблица1[[#This Row],[Столбец1]]*Таблица1[[#This Row],[коэф]])),
IF(OR(G393="4/16",G393="3/16"),((база!$L$5*2*Таблица1[[#This Row],[Столбец1]]*Таблица1[[#This Row],[коэф]])),
IF(OR(G393="2/4",G393="3/4",G393="4/4"),((база!$I$5*2*Таблица1[[#This Row],[Столбец1]]*Таблица1[[#This Row],[коэф]])),
IF((G393="5/8"),((база!$J$6*2*Таблица1[[#This Row],[Столбец1]]*Таблица1[[#This Row],[коэф]])),
IF(OR(G393="4/8",G393="3/8",G393="2/8"),((база!$J$5*2*Таблица1[[#This Row],[Столбец1]]*Таблица1[[#This Row],[коэф]])))))))))))</f>
        <v>0</v>
      </c>
      <c r="AQ393" s="712" t="str">
        <f>IFERROR(INDEX(база!T:T, MATCH(F393,база!Q:Q,0)),"")</f>
        <v/>
      </c>
      <c r="AR393" s="208" t="str">
        <f>IFERROR(INDEX(база!D:D, MATCH(F393,база!B:B,0)),"")</f>
        <v/>
      </c>
      <c r="AS393" s="758" t="str">
        <f>IFERROR(INDEX(база!E:E, MATCH(F393,база!B:B,0)),"")</f>
        <v/>
      </c>
    </row>
    <row r="394" spans="1:45" ht="15">
      <c r="A394" s="66" t="str">
        <f t="shared" si="7"/>
        <v>январь</v>
      </c>
      <c r="B394" s="231">
        <v>2024</v>
      </c>
      <c r="C394" s="60"/>
      <c r="D394" s="61"/>
      <c r="E394" s="211"/>
      <c r="F394" s="680"/>
      <c r="G394" s="47"/>
      <c r="H394" s="563"/>
      <c r="I394" s="563"/>
      <c r="J394" s="563"/>
      <c r="K394" s="563"/>
      <c r="L394" s="563"/>
      <c r="M394" s="563"/>
      <c r="N394" s="563"/>
      <c r="O394" s="563"/>
      <c r="P394" s="300"/>
      <c r="Q394" s="563"/>
      <c r="R394" s="563"/>
      <c r="S394" s="563"/>
      <c r="T394" s="563"/>
      <c r="U394" s="563"/>
      <c r="V394" s="563"/>
      <c r="W394" s="563"/>
      <c r="X394" s="563"/>
      <c r="Y394" s="563"/>
      <c r="Z394" s="563"/>
      <c r="AA394" s="563"/>
      <c r="AB394" s="563"/>
      <c r="AC394" s="563"/>
      <c r="AD394" s="48"/>
      <c r="AE394" s="48"/>
      <c r="AF394" s="258"/>
      <c r="AG394" s="48"/>
      <c r="AH394" s="48"/>
      <c r="AI394" s="48"/>
      <c r="AJ394" s="48"/>
      <c r="AK394" s="48"/>
      <c r="AL394" s="51"/>
      <c r="AM394" s="212">
        <f>IF(AQ394=1,SUM(Q394:T394,W394:Z394,AC394:AF394,AI394:AL394),
IF(AQ394=2,SUM(P394,S394:V394,Y394:AB394,AE394:AH394,AK394:AL394),
IF(AQ394=3,SUM(P394:R394,U394:X394,AA394:AD394,AG394:AJ394),SUM(Таблица1[[#This Row],[1]:[31]])-Таблица1[[#This Row],[Столбец1]])))</f>
        <v>0</v>
      </c>
      <c r="AN394" s="778">
        <f t="array" ref="AN394">IF(AQ394=1,SUM(P394,U394:V394,AA394:AB394,AG394:AH394),
IF(AQ394=2,SUM(Q394:R394,W394:X394,AC394:AD394,AI394:AJ394),
IF(AQ394=3,SUM(S394:T394,Y394:Z394,AE394:AF394,AK394:AL394),
SUM(IFERROR(WEEKDAY($H$2:$AL$2,2)&gt;5,)*H394:AL394))))+Таблица1[[#This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94" s="292" t="b">
        <f>IF(AR394&lt;=3,(IF((G394="5/24"),((база!$M$6*Таблица1[[#This Row],[сумма]]*Таблица1[[#This Row],[коэф]])),
IF((G394="4/24"),((база!$M$5*Таблица1[[#This Row],[сумма]]*Таблица1[[#This Row],[коэф]])),
IF((G394="3/24"),((база!$M$4*Таблица1[[#This Row],[сумма]]*Таблица1[[#This Row],[коэф]])),
IF((G394="5/16"),((база!$L$6*Таблица1[[#This Row],[сумма]]*Таблица1[[#This Row],[коэф]])),
IF((G394="4/16"),((база!$L$5*Таблица1[[#This Row],[сумма]]*Таблица1[[#This Row],[коэф]])),
IF((G394="3/16"),((база!$L$4*Таблица1[[#This Row],[сумма]]*Таблица1[[#This Row],[коэф]])),
IF((G394="4/4"),((база!$I$5*Таблица1[[#This Row],[сумма]]*Таблица1[[#This Row],[коэф]])),
IF(OR(G394="2/4",G394="3/4"),((база!$I$4*Таблица1[[#This Row],[сумма]]*Таблица1[[#This Row],[коэф]])),
IF((G394="5/8"),((база!$J$6*Таблица1[[#This Row],[сумма]]*Таблица1[[#This Row],[коэф]])),
IF((G394="4/8"),((база!$J$5*Таблица1[[#This Row],[сумма]]*Таблица1[[#This Row],[коэф]])),
IF(OR(G394="3/8",G394="2/8"),((база!$J$4*Таблица1[[#This Row],[сумма]]*Таблица1[[#This Row],[коэф]])))))))))))))),
(IF((G394="5/24"),((база!$M$6*Таблица1[[#This Row],[сумма]]*Таблица1[[#This Row],[коэф]])),
IF(OR(G394="4/24",G394="3/24"),((база!$M$5*Таблица1[[#This Row],[сумма]]*Таблица1[[#This Row],[коэф]])),
IF((G394="5/16"),((база!$L$6*Таблица1[[#This Row],[сумма]]*Таблица1[[#This Row],[коэф]])),
IF(OR(G394="4/16",G394="3/16"),((база!$L$5*Таблица1[[#This Row],[сумма]]*Таблица1[[#This Row],[коэф]])),
IF(OR(G394="2/4",G394="3/4",G394="4/4"),((база!$I$5*Таблица1[[#This Row],[сумма]]*Таблица1[[#This Row],[коэф]])),
IF((G394="5/8"),((база!$J$6*Таблица1[[#This Row],[сумма]]*Таблица1[[#This Row],[коэф]])),
IF(OR(G394="4/8",G394="3/8",G394="2/8"),((база!$J$5*Таблица1[[#This Row],[сумма]]*Таблица1[[#This Row],[коэф]])))))))))))</f>
        <v>0</v>
      </c>
      <c r="AP394" s="730" t="b">
        <f>IF(AR394&lt;=3,(IF((G394="5/24"),((база!$M$6*2*Таблица1[[#This Row],[Столбец1]]*Таблица1[[#This Row],[коэф]])),
IF((G394="4/24"),((база!$M$5*2*Таблица1[[#This Row],[Столбец1]]*Таблица1[[#This Row],[коэф]])),
IF((G394="3/24"),((база!$M$4*2*Таблица1[[#This Row],[Столбец1]]*Таблица1[[#This Row],[коэф]])),
IF((G394="5/16"),((база!$L$6*2*Таблица1[[#This Row],[Столбец1]]*Таблица1[[#This Row],[коэф]])),
IF((G394="4/16"),((база!$L$5*2*Таблица1[[#This Row],[Столбец1]]*Таблица1[[#This Row],[коэф]])),
IF((G394="3/16"),((база!$L$4*2*Таблица1[[#This Row],[Столбец1]]*Таблица1[[#This Row],[коэф]])),
IF((G394="4/4"),((база!$I$5*2*Таблица1[[#This Row],[Столбец1]]*Таблица1[[#This Row],[коэф]])),
IF(OR(G394="2/4",G394="3/4"),((база!$I$4*2*Таблица1[[#This Row],[Столбец1]]*Таблица1[[#This Row],[коэф]])),
IF((G394="5/8"),((база!$J$6*2*Таблица1[[#This Row],[Столбец1]]*Таблица1[[#This Row],[коэф]])),
IF((G394="4/8"),((база!$J$5*2*Таблица1[[#This Row],[Столбец1]]*Таблица1[[#This Row],[коэф]])),
IF(OR(G394="3/8",G394="2/8"),((база!$J$4*2*Таблица1[[#This Row],[Столбец1]]*Таблица1[[#This Row],[коэф]])))))))))))))),
(IF((G394="5/24"),((база!$M$6*2*Таблица1[[#This Row],[Столбец1]]*Таблица1[[#This Row],[коэф]])),
IF(OR(G394="4/24",G394="3/24"),((база!$M$5*2*Таблица1[[#This Row],[Столбец1]]*Таблица1[[#This Row],[коэф]])),
IF((G394="5/16"),((база!$L$6*2*Таблица1[[#This Row],[Столбец1]]*Таблица1[[#This Row],[коэф]])),
IF(OR(G394="4/16",G394="3/16"),((база!$L$5*2*Таблица1[[#This Row],[Столбец1]]*Таблица1[[#This Row],[коэф]])),
IF(OR(G394="2/4",G394="3/4",G394="4/4"),((база!$I$5*2*Таблица1[[#This Row],[Столбец1]]*Таблица1[[#This Row],[коэф]])),
IF((G394="5/8"),((база!$J$6*2*Таблица1[[#This Row],[Столбец1]]*Таблица1[[#This Row],[коэф]])),
IF(OR(G394="4/8",G394="3/8",G394="2/8"),((база!$J$5*2*Таблица1[[#This Row],[Столбец1]]*Таблица1[[#This Row],[коэф]])))))))))))</f>
        <v>0</v>
      </c>
      <c r="AQ394" s="712" t="str">
        <f>IFERROR(INDEX(база!T:T, MATCH(F394,база!Q:Q,0)),"")</f>
        <v/>
      </c>
      <c r="AR394" s="208" t="str">
        <f>IFERROR(INDEX(база!D:D, MATCH(F394,база!B:B,0)),"")</f>
        <v/>
      </c>
      <c r="AS394" s="758" t="str">
        <f>IFERROR(INDEX(база!E:E, MATCH(F394,база!B:B,0)),"")</f>
        <v/>
      </c>
    </row>
    <row r="395" spans="1:45" ht="15">
      <c r="A395" s="66" t="str">
        <f t="shared" si="7"/>
        <v>январь</v>
      </c>
      <c r="B395" s="231">
        <v>2024</v>
      </c>
      <c r="C395" s="299"/>
      <c r="D395" s="61"/>
      <c r="E395" s="211"/>
      <c r="F395" s="680"/>
      <c r="G395" s="47"/>
      <c r="H395" s="563"/>
      <c r="I395" s="563"/>
      <c r="J395" s="563"/>
      <c r="K395" s="563"/>
      <c r="L395" s="563"/>
      <c r="M395" s="563"/>
      <c r="N395" s="563"/>
      <c r="O395" s="563"/>
      <c r="P395" s="300"/>
      <c r="Q395" s="563"/>
      <c r="R395" s="563"/>
      <c r="S395" s="563"/>
      <c r="T395" s="563"/>
      <c r="U395" s="563"/>
      <c r="V395" s="563"/>
      <c r="W395" s="563"/>
      <c r="X395" s="563"/>
      <c r="Y395" s="563"/>
      <c r="Z395" s="563"/>
      <c r="AA395" s="563"/>
      <c r="AB395" s="563"/>
      <c r="AC395" s="563"/>
      <c r="AD395" s="48"/>
      <c r="AE395" s="48"/>
      <c r="AF395" s="258"/>
      <c r="AG395" s="48"/>
      <c r="AH395" s="48"/>
      <c r="AI395" s="258"/>
      <c r="AJ395" s="258"/>
      <c r="AK395" s="258"/>
      <c r="AL395" s="258"/>
      <c r="AM395" s="212">
        <f>IF(AQ395=1,SUM(Q395:T395,W395:Z395,AC395:AF395,AI395:AL395),
IF(AQ395=2,SUM(P395,S395:V395,Y395:AB395,AE395:AH395,AK395:AL395),
IF(AQ395=3,SUM(P395:R395,U395:X395,AA395:AD395,AG395:AJ395),SUM(Таблица1[[#This Row],[1]:[31]])-Таблица1[[#This Row],[Столбец1]])))</f>
        <v>0</v>
      </c>
      <c r="AN395" s="778">
        <f t="array" ref="AN395">IF(AQ395=1,SUM(P395,U395:V395,AA395:AB395,AG395:AH395),
IF(AQ395=2,SUM(Q395:R395,W395:X395,AC395:AD395,AI395:AJ395),
IF(AQ395=3,SUM(S395:T395,Y395:Z395,AE395:AF395,AK395:AL395),
SUM(IFERROR(WEEKDAY($H$2:$AL$2,2)&gt;5,)*H395:AL395))))+Таблица1[[#This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95" s="292" t="b">
        <f>IF(AR395&lt;=3,(IF((G395="5/24"),((база!$M$6*Таблица1[[#This Row],[сумма]]*Таблица1[[#This Row],[коэф]])),
IF((G395="4/24"),((база!$M$5*Таблица1[[#This Row],[сумма]]*Таблица1[[#This Row],[коэф]])),
IF((G395="3/24"),((база!$M$4*Таблица1[[#This Row],[сумма]]*Таблица1[[#This Row],[коэф]])),
IF((G395="5/16"),((база!$L$6*Таблица1[[#This Row],[сумма]]*Таблица1[[#This Row],[коэф]])),
IF((G395="4/16"),((база!$L$5*Таблица1[[#This Row],[сумма]]*Таблица1[[#This Row],[коэф]])),
IF((G395="3/16"),((база!$L$4*Таблица1[[#This Row],[сумма]]*Таблица1[[#This Row],[коэф]])),
IF((G395="4/4"),((база!$I$5*Таблица1[[#This Row],[сумма]]*Таблица1[[#This Row],[коэф]])),
IF(OR(G395="2/4",G395="3/4"),((база!$I$4*Таблица1[[#This Row],[сумма]]*Таблица1[[#This Row],[коэф]])),
IF((G395="5/8"),((база!$J$6*Таблица1[[#This Row],[сумма]]*Таблица1[[#This Row],[коэф]])),
IF((G395="4/8"),((база!$J$5*Таблица1[[#This Row],[сумма]]*Таблица1[[#This Row],[коэф]])),
IF(OR(G395="3/8",G395="2/8"),((база!$J$4*Таблица1[[#This Row],[сумма]]*Таблица1[[#This Row],[коэф]])))))))))))))),
(IF((G395="5/24"),((база!$M$6*Таблица1[[#This Row],[сумма]]*Таблица1[[#This Row],[коэф]])),
IF(OR(G395="4/24",G395="3/24"),((база!$M$5*Таблица1[[#This Row],[сумма]]*Таблица1[[#This Row],[коэф]])),
IF((G395="5/16"),((база!$L$6*Таблица1[[#This Row],[сумма]]*Таблица1[[#This Row],[коэф]])),
IF(OR(G395="4/16",G395="3/16"),((база!$L$5*Таблица1[[#This Row],[сумма]]*Таблица1[[#This Row],[коэф]])),
IF(OR(G395="2/4",G395="3/4",G395="4/4"),((база!$I$5*Таблица1[[#This Row],[сумма]]*Таблица1[[#This Row],[коэф]])),
IF((G395="5/8"),((база!$J$6*Таблица1[[#This Row],[сумма]]*Таблица1[[#This Row],[коэф]])),
IF(OR(G395="4/8",G395="3/8",G395="2/8"),((база!$J$5*Таблица1[[#This Row],[сумма]]*Таблица1[[#This Row],[коэф]])))))))))))</f>
        <v>0</v>
      </c>
      <c r="AP395" s="730" t="b">
        <f>IF(AR395&lt;=3,(IF((G395="5/24"),((база!$M$6*2*Таблица1[[#This Row],[Столбец1]]*Таблица1[[#This Row],[коэф]])),
IF((G395="4/24"),((база!$M$5*2*Таблица1[[#This Row],[Столбец1]]*Таблица1[[#This Row],[коэф]])),
IF((G395="3/24"),((база!$M$4*2*Таблица1[[#This Row],[Столбец1]]*Таблица1[[#This Row],[коэф]])),
IF((G395="5/16"),((база!$L$6*2*Таблица1[[#This Row],[Столбец1]]*Таблица1[[#This Row],[коэф]])),
IF((G395="4/16"),((база!$L$5*2*Таблица1[[#This Row],[Столбец1]]*Таблица1[[#This Row],[коэф]])),
IF((G395="3/16"),((база!$L$4*2*Таблица1[[#This Row],[Столбец1]]*Таблица1[[#This Row],[коэф]])),
IF((G395="4/4"),((база!$I$5*2*Таблица1[[#This Row],[Столбец1]]*Таблица1[[#This Row],[коэф]])),
IF(OR(G395="2/4",G395="3/4"),((база!$I$4*2*Таблица1[[#This Row],[Столбец1]]*Таблица1[[#This Row],[коэф]])),
IF((G395="5/8"),((база!$J$6*2*Таблица1[[#This Row],[Столбец1]]*Таблица1[[#This Row],[коэф]])),
IF((G395="4/8"),((база!$J$5*2*Таблица1[[#This Row],[Столбец1]]*Таблица1[[#This Row],[коэф]])),
IF(OR(G395="3/8",G395="2/8"),((база!$J$4*2*Таблица1[[#This Row],[Столбец1]]*Таблица1[[#This Row],[коэф]])))))))))))))),
(IF((G395="5/24"),((база!$M$6*2*Таблица1[[#This Row],[Столбец1]]*Таблица1[[#This Row],[коэф]])),
IF(OR(G395="4/24",G395="3/24"),((база!$M$5*2*Таблица1[[#This Row],[Столбец1]]*Таблица1[[#This Row],[коэф]])),
IF((G395="5/16"),((база!$L$6*2*Таблица1[[#This Row],[Столбец1]]*Таблица1[[#This Row],[коэф]])),
IF(OR(G395="4/16",G395="3/16"),((база!$L$5*2*Таблица1[[#This Row],[Столбец1]]*Таблица1[[#This Row],[коэф]])),
IF(OR(G395="2/4",G395="3/4",G395="4/4"),((база!$I$5*2*Таблица1[[#This Row],[Столбец1]]*Таблица1[[#This Row],[коэф]])),
IF((G395="5/8"),((база!$J$6*2*Таблица1[[#This Row],[Столбец1]]*Таблица1[[#This Row],[коэф]])),
IF(OR(G395="4/8",G395="3/8",G395="2/8"),((база!$J$5*2*Таблица1[[#This Row],[Столбец1]]*Таблица1[[#This Row],[коэф]])))))))))))</f>
        <v>0</v>
      </c>
      <c r="AQ395" s="712" t="str">
        <f>IFERROR(INDEX(база!T:T, MATCH(F395,база!Q:Q,0)),"")</f>
        <v/>
      </c>
      <c r="AR395" s="208" t="str">
        <f>IFERROR(INDEX(база!D:D, MATCH(F395,база!B:B,0)),"")</f>
        <v/>
      </c>
      <c r="AS395" s="758" t="str">
        <f>IFERROR(INDEX(база!E:E, MATCH(F395,база!B:B,0)),"")</f>
        <v/>
      </c>
    </row>
    <row r="396" spans="1:45" ht="15">
      <c r="A396" s="66" t="str">
        <f t="shared" si="7"/>
        <v>январь</v>
      </c>
      <c r="B396" s="231">
        <v>2024</v>
      </c>
      <c r="C396" s="299"/>
      <c r="D396" s="61"/>
      <c r="E396" s="211"/>
      <c r="F396" s="680"/>
      <c r="G396" s="47"/>
      <c r="H396" s="563"/>
      <c r="I396" s="563"/>
      <c r="J396" s="563"/>
      <c r="K396" s="563"/>
      <c r="L396" s="563"/>
      <c r="M396" s="563"/>
      <c r="N396" s="563"/>
      <c r="O396" s="563"/>
      <c r="P396" s="300"/>
      <c r="Q396" s="563"/>
      <c r="R396" s="563"/>
      <c r="S396" s="563"/>
      <c r="T396" s="563"/>
      <c r="U396" s="563"/>
      <c r="V396" s="563"/>
      <c r="W396" s="563"/>
      <c r="X396" s="563"/>
      <c r="Y396" s="563"/>
      <c r="Z396" s="563"/>
      <c r="AA396" s="563"/>
      <c r="AB396" s="563"/>
      <c r="AC396" s="563"/>
      <c r="AD396" s="48"/>
      <c r="AE396" s="48"/>
      <c r="AF396" s="258"/>
      <c r="AG396" s="48"/>
      <c r="AH396" s="48"/>
      <c r="AI396" s="48"/>
      <c r="AJ396" s="48"/>
      <c r="AK396" s="48"/>
      <c r="AL396" s="51"/>
      <c r="AM396" s="212">
        <f>IF(AQ396=1,SUM(Q396:T396,W396:Z396,AC396:AF396,AI396:AL396),
IF(AQ396=2,SUM(P396,S396:V396,Y396:AB396,AE396:AH396,AK396:AL396),
IF(AQ396=3,SUM(P396:R396,U396:X396,AA396:AD396,AG396:AJ396),SUM(Таблица1[[#This Row],[1]:[31]])-Таблица1[[#This Row],[Столбец1]])))</f>
        <v>0</v>
      </c>
      <c r="AN396" s="778">
        <f t="array" ref="AN396">IF(AQ396=1,SUM(P396,U396:V396,AA396:AB396,AG396:AH396),
IF(AQ396=2,SUM(Q396:R396,W396:X396,AC396:AD396,AI396:AJ396),
IF(AQ396=3,SUM(S396:T396,Y396:Z396,AE396:AF396,AK396:AL396),
SUM(IFERROR(WEEKDAY($H$2:$AL$2,2)&gt;5,)*H396:AL396))))+Таблица1[[#This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96" s="292" t="b">
        <f>IF(AR396&lt;=3,(IF((G396="5/24"),((база!$M$6*Таблица1[[#This Row],[сумма]]*Таблица1[[#This Row],[коэф]])),
IF((G396="4/24"),((база!$M$5*Таблица1[[#This Row],[сумма]]*Таблица1[[#This Row],[коэф]])),
IF((G396="3/24"),((база!$M$4*Таблица1[[#This Row],[сумма]]*Таблица1[[#This Row],[коэф]])),
IF((G396="5/16"),((база!$L$6*Таблица1[[#This Row],[сумма]]*Таблица1[[#This Row],[коэф]])),
IF((G396="4/16"),((база!$L$5*Таблица1[[#This Row],[сумма]]*Таблица1[[#This Row],[коэф]])),
IF((G396="3/16"),((база!$L$4*Таблица1[[#This Row],[сумма]]*Таблица1[[#This Row],[коэф]])),
IF((G396="4/4"),((база!$I$5*Таблица1[[#This Row],[сумма]]*Таблица1[[#This Row],[коэф]])),
IF(OR(G396="2/4",G396="3/4"),((база!$I$4*Таблица1[[#This Row],[сумма]]*Таблица1[[#This Row],[коэф]])),
IF((G396="5/8"),((база!$J$6*Таблица1[[#This Row],[сумма]]*Таблица1[[#This Row],[коэф]])),
IF((G396="4/8"),((база!$J$5*Таблица1[[#This Row],[сумма]]*Таблица1[[#This Row],[коэф]])),
IF(OR(G396="3/8",G396="2/8"),((база!$J$4*Таблица1[[#This Row],[сумма]]*Таблица1[[#This Row],[коэф]])))))))))))))),
(IF((G396="5/24"),((база!$M$6*Таблица1[[#This Row],[сумма]]*Таблица1[[#This Row],[коэф]])),
IF(OR(G396="4/24",G396="3/24"),((база!$M$5*Таблица1[[#This Row],[сумма]]*Таблица1[[#This Row],[коэф]])),
IF((G396="5/16"),((база!$L$6*Таблица1[[#This Row],[сумма]]*Таблица1[[#This Row],[коэф]])),
IF(OR(G396="4/16",G396="3/16"),((база!$L$5*Таблица1[[#This Row],[сумма]]*Таблица1[[#This Row],[коэф]])),
IF(OR(G396="2/4",G396="3/4",G396="4/4"),((база!$I$5*Таблица1[[#This Row],[сумма]]*Таблица1[[#This Row],[коэф]])),
IF((G396="5/8"),((база!$J$6*Таблица1[[#This Row],[сумма]]*Таблица1[[#This Row],[коэф]])),
IF(OR(G396="4/8",G396="3/8",G396="2/8"),((база!$J$5*Таблица1[[#This Row],[сумма]]*Таблица1[[#This Row],[коэф]])))))))))))</f>
        <v>0</v>
      </c>
      <c r="AP396" s="730" t="b">
        <f>IF(AR396&lt;=3,(IF((G396="5/24"),((база!$M$6*2*Таблица1[[#This Row],[Столбец1]]*Таблица1[[#This Row],[коэф]])),
IF((G396="4/24"),((база!$M$5*2*Таблица1[[#This Row],[Столбец1]]*Таблица1[[#This Row],[коэф]])),
IF((G396="3/24"),((база!$M$4*2*Таблица1[[#This Row],[Столбец1]]*Таблица1[[#This Row],[коэф]])),
IF((G396="5/16"),((база!$L$6*2*Таблица1[[#This Row],[Столбец1]]*Таблица1[[#This Row],[коэф]])),
IF((G396="4/16"),((база!$L$5*2*Таблица1[[#This Row],[Столбец1]]*Таблица1[[#This Row],[коэф]])),
IF((G396="3/16"),((база!$L$4*2*Таблица1[[#This Row],[Столбец1]]*Таблица1[[#This Row],[коэф]])),
IF((G396="4/4"),((база!$I$5*2*Таблица1[[#This Row],[Столбец1]]*Таблица1[[#This Row],[коэф]])),
IF(OR(G396="2/4",G396="3/4"),((база!$I$4*2*Таблица1[[#This Row],[Столбец1]]*Таблица1[[#This Row],[коэф]])),
IF((G396="5/8"),((база!$J$6*2*Таблица1[[#This Row],[Столбец1]]*Таблица1[[#This Row],[коэф]])),
IF((G396="4/8"),((база!$J$5*2*Таблица1[[#This Row],[Столбец1]]*Таблица1[[#This Row],[коэф]])),
IF(OR(G396="3/8",G396="2/8"),((база!$J$4*2*Таблица1[[#This Row],[Столбец1]]*Таблица1[[#This Row],[коэф]])))))))))))))),
(IF((G396="5/24"),((база!$M$6*2*Таблица1[[#This Row],[Столбец1]]*Таблица1[[#This Row],[коэф]])),
IF(OR(G396="4/24",G396="3/24"),((база!$M$5*2*Таблица1[[#This Row],[Столбец1]]*Таблица1[[#This Row],[коэф]])),
IF((G396="5/16"),((база!$L$6*2*Таблица1[[#This Row],[Столбец1]]*Таблица1[[#This Row],[коэф]])),
IF(OR(G396="4/16",G396="3/16"),((база!$L$5*2*Таблица1[[#This Row],[Столбец1]]*Таблица1[[#This Row],[коэф]])),
IF(OR(G396="2/4",G396="3/4",G396="4/4"),((база!$I$5*2*Таблица1[[#This Row],[Столбец1]]*Таблица1[[#This Row],[коэф]])),
IF((G396="5/8"),((база!$J$6*2*Таблица1[[#This Row],[Столбец1]]*Таблица1[[#This Row],[коэф]])),
IF(OR(G396="4/8",G396="3/8",G396="2/8"),((база!$J$5*2*Таблица1[[#This Row],[Столбец1]]*Таблица1[[#This Row],[коэф]])))))))))))</f>
        <v>0</v>
      </c>
      <c r="AQ396" s="712" t="str">
        <f>IFERROR(INDEX(база!T:T, MATCH(F396,база!Q:Q,0)),"")</f>
        <v/>
      </c>
      <c r="AR396" s="208" t="str">
        <f>IFERROR(INDEX(база!D:D, MATCH(F396,база!B:B,0)),"")</f>
        <v/>
      </c>
      <c r="AS396" s="758" t="str">
        <f>IFERROR(INDEX(база!E:E, MATCH(F396,база!B:B,0)),"")</f>
        <v/>
      </c>
    </row>
    <row r="397" spans="1:45" ht="15">
      <c r="A397" s="66" t="str">
        <f t="shared" si="7"/>
        <v>январь</v>
      </c>
      <c r="B397" s="231">
        <v>2024</v>
      </c>
      <c r="C397" s="299"/>
      <c r="D397" s="61"/>
      <c r="E397" s="211"/>
      <c r="F397" s="680"/>
      <c r="G397" s="47"/>
      <c r="H397" s="563"/>
      <c r="I397" s="563"/>
      <c r="J397" s="563"/>
      <c r="K397" s="563"/>
      <c r="L397" s="563"/>
      <c r="M397" s="563"/>
      <c r="N397" s="563"/>
      <c r="O397" s="563"/>
      <c r="P397" s="300"/>
      <c r="Q397" s="563"/>
      <c r="R397" s="563"/>
      <c r="S397" s="563"/>
      <c r="T397" s="563"/>
      <c r="U397" s="563"/>
      <c r="V397" s="563"/>
      <c r="W397" s="563"/>
      <c r="X397" s="563"/>
      <c r="Y397" s="563"/>
      <c r="Z397" s="563"/>
      <c r="AA397" s="563"/>
      <c r="AB397" s="563"/>
      <c r="AC397" s="563"/>
      <c r="AD397" s="48"/>
      <c r="AE397" s="48"/>
      <c r="AF397" s="258"/>
      <c r="AG397" s="48"/>
      <c r="AH397" s="48"/>
      <c r="AI397" s="48"/>
      <c r="AJ397" s="258"/>
      <c r="AK397" s="258"/>
      <c r="AL397" s="258"/>
      <c r="AM397" s="212">
        <f>IF(AQ397=1,SUM(Q397:T397,W397:Z397,AC397:AF397,AI397:AL397),
IF(AQ397=2,SUM(P397,S397:V397,Y397:AB397,AE397:AH397,AK397:AL397),
IF(AQ397=3,SUM(P397:R397,U397:X397,AA397:AD397,AG397:AJ397),SUM(Таблица1[[#This Row],[1]:[31]])-Таблица1[[#This Row],[Столбец1]])))</f>
        <v>0</v>
      </c>
      <c r="AN397" s="778">
        <f t="array" ref="AN397">IF(AQ397=1,SUM(P397,U397:V397,AA397:AB397,AG397:AH397),
IF(AQ397=2,SUM(Q397:R397,W397:X397,AC397:AD397,AI397:AJ397),
IF(AQ397=3,SUM(S397:T397,Y397:Z397,AE397:AF397,AK397:AL397),
SUM(IFERROR(WEEKDAY($H$2:$AL$2,2)&gt;5,)*H397:AL397))))+Таблица1[[#This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97" s="292" t="b">
        <f>IF(AR397&lt;=3,(IF((G397="5/24"),((база!$M$6*Таблица1[[#This Row],[сумма]]*Таблица1[[#This Row],[коэф]])),
IF((G397="4/24"),((база!$M$5*Таблица1[[#This Row],[сумма]]*Таблица1[[#This Row],[коэф]])),
IF((G397="3/24"),((база!$M$4*Таблица1[[#This Row],[сумма]]*Таблица1[[#This Row],[коэф]])),
IF((G397="5/16"),((база!$L$6*Таблица1[[#This Row],[сумма]]*Таблица1[[#This Row],[коэф]])),
IF((G397="4/16"),((база!$L$5*Таблица1[[#This Row],[сумма]]*Таблица1[[#This Row],[коэф]])),
IF((G397="3/16"),((база!$L$4*Таблица1[[#This Row],[сумма]]*Таблица1[[#This Row],[коэф]])),
IF((G397="4/4"),((база!$I$5*Таблица1[[#This Row],[сумма]]*Таблица1[[#This Row],[коэф]])),
IF(OR(G397="2/4",G397="3/4"),((база!$I$4*Таблица1[[#This Row],[сумма]]*Таблица1[[#This Row],[коэф]])),
IF((G397="5/8"),((база!$J$6*Таблица1[[#This Row],[сумма]]*Таблица1[[#This Row],[коэф]])),
IF((G397="4/8"),((база!$J$5*Таблица1[[#This Row],[сумма]]*Таблица1[[#This Row],[коэф]])),
IF(OR(G397="3/8",G397="2/8"),((база!$J$4*Таблица1[[#This Row],[сумма]]*Таблица1[[#This Row],[коэф]])))))))))))))),
(IF((G397="5/24"),((база!$M$6*Таблица1[[#This Row],[сумма]]*Таблица1[[#This Row],[коэф]])),
IF(OR(G397="4/24",G397="3/24"),((база!$M$5*Таблица1[[#This Row],[сумма]]*Таблица1[[#This Row],[коэф]])),
IF((G397="5/16"),((база!$L$6*Таблица1[[#This Row],[сумма]]*Таблица1[[#This Row],[коэф]])),
IF(OR(G397="4/16",G397="3/16"),((база!$L$5*Таблица1[[#This Row],[сумма]]*Таблица1[[#This Row],[коэф]])),
IF(OR(G397="2/4",G397="3/4",G397="4/4"),((база!$I$5*Таблица1[[#This Row],[сумма]]*Таблица1[[#This Row],[коэф]])),
IF((G397="5/8"),((база!$J$6*Таблица1[[#This Row],[сумма]]*Таблица1[[#This Row],[коэф]])),
IF(OR(G397="4/8",G397="3/8",G397="2/8"),((база!$J$5*Таблица1[[#This Row],[сумма]]*Таблица1[[#This Row],[коэф]])))))))))))</f>
        <v>0</v>
      </c>
      <c r="AP397" s="730" t="b">
        <f>IF(AR397&lt;=3,(IF((G397="5/24"),((база!$M$6*2*Таблица1[[#This Row],[Столбец1]]*Таблица1[[#This Row],[коэф]])),
IF((G397="4/24"),((база!$M$5*2*Таблица1[[#This Row],[Столбец1]]*Таблица1[[#This Row],[коэф]])),
IF((G397="3/24"),((база!$M$4*2*Таблица1[[#This Row],[Столбец1]]*Таблица1[[#This Row],[коэф]])),
IF((G397="5/16"),((база!$L$6*2*Таблица1[[#This Row],[Столбец1]]*Таблица1[[#This Row],[коэф]])),
IF((G397="4/16"),((база!$L$5*2*Таблица1[[#This Row],[Столбец1]]*Таблица1[[#This Row],[коэф]])),
IF((G397="3/16"),((база!$L$4*2*Таблица1[[#This Row],[Столбец1]]*Таблица1[[#This Row],[коэф]])),
IF((G397="4/4"),((база!$I$5*2*Таблица1[[#This Row],[Столбец1]]*Таблица1[[#This Row],[коэф]])),
IF(OR(G397="2/4",G397="3/4"),((база!$I$4*2*Таблица1[[#This Row],[Столбец1]]*Таблица1[[#This Row],[коэф]])),
IF((G397="5/8"),((база!$J$6*2*Таблица1[[#This Row],[Столбец1]]*Таблица1[[#This Row],[коэф]])),
IF((G397="4/8"),((база!$J$5*2*Таблица1[[#This Row],[Столбец1]]*Таблица1[[#This Row],[коэф]])),
IF(OR(G397="3/8",G397="2/8"),((база!$J$4*2*Таблица1[[#This Row],[Столбец1]]*Таблица1[[#This Row],[коэф]])))))))))))))),
(IF((G397="5/24"),((база!$M$6*2*Таблица1[[#This Row],[Столбец1]]*Таблица1[[#This Row],[коэф]])),
IF(OR(G397="4/24",G397="3/24"),((база!$M$5*2*Таблица1[[#This Row],[Столбец1]]*Таблица1[[#This Row],[коэф]])),
IF((G397="5/16"),((база!$L$6*2*Таблица1[[#This Row],[Столбец1]]*Таблица1[[#This Row],[коэф]])),
IF(OR(G397="4/16",G397="3/16"),((база!$L$5*2*Таблица1[[#This Row],[Столбец1]]*Таблица1[[#This Row],[коэф]])),
IF(OR(G397="2/4",G397="3/4",G397="4/4"),((база!$I$5*2*Таблица1[[#This Row],[Столбец1]]*Таблица1[[#This Row],[коэф]])),
IF((G397="5/8"),((база!$J$6*2*Таблица1[[#This Row],[Столбец1]]*Таблица1[[#This Row],[коэф]])),
IF(OR(G397="4/8",G397="3/8",G397="2/8"),((база!$J$5*2*Таблица1[[#This Row],[Столбец1]]*Таблица1[[#This Row],[коэф]])))))))))))</f>
        <v>0</v>
      </c>
      <c r="AQ397" s="712" t="str">
        <f>IFERROR(INDEX(база!T:T, MATCH(F397,база!Q:Q,0)),"")</f>
        <v/>
      </c>
      <c r="AR397" s="208" t="str">
        <f>IFERROR(INDEX(база!D:D, MATCH(F397,база!B:B,0)),"")</f>
        <v/>
      </c>
      <c r="AS397" s="758" t="str">
        <f>IFERROR(INDEX(база!E:E, MATCH(F397,база!B:B,0)),"")</f>
        <v/>
      </c>
    </row>
    <row r="398" spans="1:45" ht="15">
      <c r="A398" s="66" t="str">
        <f t="shared" si="7"/>
        <v>январь</v>
      </c>
      <c r="B398" s="231">
        <v>2024</v>
      </c>
      <c r="C398" s="299"/>
      <c r="D398" s="61"/>
      <c r="E398" s="211"/>
      <c r="F398" s="680"/>
      <c r="G398" s="47"/>
      <c r="H398" s="563"/>
      <c r="I398" s="563"/>
      <c r="J398" s="563"/>
      <c r="K398" s="563"/>
      <c r="L398" s="563"/>
      <c r="M398" s="563"/>
      <c r="N398" s="563"/>
      <c r="O398" s="563"/>
      <c r="P398" s="300"/>
      <c r="Q398" s="563"/>
      <c r="R398" s="563"/>
      <c r="S398" s="563"/>
      <c r="T398" s="563"/>
      <c r="U398" s="563"/>
      <c r="V398" s="563"/>
      <c r="W398" s="563"/>
      <c r="X398" s="563"/>
      <c r="Y398" s="563"/>
      <c r="Z398" s="563"/>
      <c r="AA398" s="563"/>
      <c r="AB398" s="563"/>
      <c r="AC398" s="563"/>
      <c r="AD398" s="48"/>
      <c r="AE398" s="48"/>
      <c r="AF398" s="258"/>
      <c r="AG398" s="48"/>
      <c r="AH398" s="48"/>
      <c r="AI398" s="48"/>
      <c r="AJ398" s="48"/>
      <c r="AK398" s="48"/>
      <c r="AL398" s="51"/>
      <c r="AM398" s="212">
        <f>IF(AQ398=1,SUM(Q398:T398,W398:Z398,AC398:AF398,AI398:AL398),
IF(AQ398=2,SUM(P398,S398:V398,Y398:AB398,AE398:AH398,AK398:AL398),
IF(AQ398=3,SUM(P398:R398,U398:X398,AA398:AD398,AG398:AJ398),SUM(Таблица1[[#This Row],[1]:[31]])-Таблица1[[#This Row],[Столбец1]])))</f>
        <v>0</v>
      </c>
      <c r="AN398" s="778">
        <f t="array" ref="AN398">IF(AQ398=1,SUM(P398,U398:V398,AA398:AB398,AG398:AH398),
IF(AQ398=2,SUM(Q398:R398,W398:X398,AC398:AD398,AI398:AJ398),
IF(AQ398=3,SUM(S398:T398,Y398:Z398,AE398:AF398,AK398:AL398),
SUM(IFERROR(WEEKDAY($H$2:$AL$2,2)&gt;5,)*H398:AL398))))+Таблица1[[#This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98" s="292" t="b">
        <f>IF(AR398&lt;=3,(IF((G398="5/24"),((база!$M$6*Таблица1[[#This Row],[сумма]]*Таблица1[[#This Row],[коэф]])),
IF((G398="4/24"),((база!$M$5*Таблица1[[#This Row],[сумма]]*Таблица1[[#This Row],[коэф]])),
IF((G398="3/24"),((база!$M$4*Таблица1[[#This Row],[сумма]]*Таблица1[[#This Row],[коэф]])),
IF((G398="5/16"),((база!$L$6*Таблица1[[#This Row],[сумма]]*Таблица1[[#This Row],[коэф]])),
IF((G398="4/16"),((база!$L$5*Таблица1[[#This Row],[сумма]]*Таблица1[[#This Row],[коэф]])),
IF((G398="3/16"),((база!$L$4*Таблица1[[#This Row],[сумма]]*Таблица1[[#This Row],[коэф]])),
IF((G398="4/4"),((база!$I$5*Таблица1[[#This Row],[сумма]]*Таблица1[[#This Row],[коэф]])),
IF(OR(G398="2/4",G398="3/4"),((база!$I$4*Таблица1[[#This Row],[сумма]]*Таблица1[[#This Row],[коэф]])),
IF((G398="5/8"),((база!$J$6*Таблица1[[#This Row],[сумма]]*Таблица1[[#This Row],[коэф]])),
IF((G398="4/8"),((база!$J$5*Таблица1[[#This Row],[сумма]]*Таблица1[[#This Row],[коэф]])),
IF(OR(G398="3/8",G398="2/8"),((база!$J$4*Таблица1[[#This Row],[сумма]]*Таблица1[[#This Row],[коэф]])))))))))))))),
(IF((G398="5/24"),((база!$M$6*Таблица1[[#This Row],[сумма]]*Таблица1[[#This Row],[коэф]])),
IF(OR(G398="4/24",G398="3/24"),((база!$M$5*Таблица1[[#This Row],[сумма]]*Таблица1[[#This Row],[коэф]])),
IF((G398="5/16"),((база!$L$6*Таблица1[[#This Row],[сумма]]*Таблица1[[#This Row],[коэф]])),
IF(OR(G398="4/16",G398="3/16"),((база!$L$5*Таблица1[[#This Row],[сумма]]*Таблица1[[#This Row],[коэф]])),
IF(OR(G398="2/4",G398="3/4",G398="4/4"),((база!$I$5*Таблица1[[#This Row],[сумма]]*Таблица1[[#This Row],[коэф]])),
IF((G398="5/8"),((база!$J$6*Таблица1[[#This Row],[сумма]]*Таблица1[[#This Row],[коэф]])),
IF(OR(G398="4/8",G398="3/8",G398="2/8"),((база!$J$5*Таблица1[[#This Row],[сумма]]*Таблица1[[#This Row],[коэф]])))))))))))</f>
        <v>0</v>
      </c>
      <c r="AP398" s="730" t="b">
        <f>IF(AR398&lt;=3,(IF((G398="5/24"),((база!$M$6*2*Таблица1[[#This Row],[Столбец1]]*Таблица1[[#This Row],[коэф]])),
IF((G398="4/24"),((база!$M$5*2*Таблица1[[#This Row],[Столбец1]]*Таблица1[[#This Row],[коэф]])),
IF((G398="3/24"),((база!$M$4*2*Таблица1[[#This Row],[Столбец1]]*Таблица1[[#This Row],[коэф]])),
IF((G398="5/16"),((база!$L$6*2*Таблица1[[#This Row],[Столбец1]]*Таблица1[[#This Row],[коэф]])),
IF((G398="4/16"),((база!$L$5*2*Таблица1[[#This Row],[Столбец1]]*Таблица1[[#This Row],[коэф]])),
IF((G398="3/16"),((база!$L$4*2*Таблица1[[#This Row],[Столбец1]]*Таблица1[[#This Row],[коэф]])),
IF((G398="4/4"),((база!$I$5*2*Таблица1[[#This Row],[Столбец1]]*Таблица1[[#This Row],[коэф]])),
IF(OR(G398="2/4",G398="3/4"),((база!$I$4*2*Таблица1[[#This Row],[Столбец1]]*Таблица1[[#This Row],[коэф]])),
IF((G398="5/8"),((база!$J$6*2*Таблица1[[#This Row],[Столбец1]]*Таблица1[[#This Row],[коэф]])),
IF((G398="4/8"),((база!$J$5*2*Таблица1[[#This Row],[Столбец1]]*Таблица1[[#This Row],[коэф]])),
IF(OR(G398="3/8",G398="2/8"),((база!$J$4*2*Таблица1[[#This Row],[Столбец1]]*Таблица1[[#This Row],[коэф]])))))))))))))),
(IF((G398="5/24"),((база!$M$6*2*Таблица1[[#This Row],[Столбец1]]*Таблица1[[#This Row],[коэф]])),
IF(OR(G398="4/24",G398="3/24"),((база!$M$5*2*Таблица1[[#This Row],[Столбец1]]*Таблица1[[#This Row],[коэф]])),
IF((G398="5/16"),((база!$L$6*2*Таблица1[[#This Row],[Столбец1]]*Таблица1[[#This Row],[коэф]])),
IF(OR(G398="4/16",G398="3/16"),((база!$L$5*2*Таблица1[[#This Row],[Столбец1]]*Таблица1[[#This Row],[коэф]])),
IF(OR(G398="2/4",G398="3/4",G398="4/4"),((база!$I$5*2*Таблица1[[#This Row],[Столбец1]]*Таблица1[[#This Row],[коэф]])),
IF((G398="5/8"),((база!$J$6*2*Таблица1[[#This Row],[Столбец1]]*Таблица1[[#This Row],[коэф]])),
IF(OR(G398="4/8",G398="3/8",G398="2/8"),((база!$J$5*2*Таблица1[[#This Row],[Столбец1]]*Таблица1[[#This Row],[коэф]])))))))))))</f>
        <v>0</v>
      </c>
      <c r="AQ398" s="712" t="str">
        <f>IFERROR(INDEX(база!T:T, MATCH(F398,база!Q:Q,0)),"")</f>
        <v/>
      </c>
      <c r="AR398" s="208" t="str">
        <f>IFERROR(INDEX(база!D:D, MATCH(F398,база!B:B,0)),"")</f>
        <v/>
      </c>
      <c r="AS398" s="758" t="str">
        <f>IFERROR(INDEX(база!E:E, MATCH(F398,база!B:B,0)),"")</f>
        <v/>
      </c>
    </row>
    <row r="399" spans="1:45" ht="15">
      <c r="A399" s="66" t="str">
        <f t="shared" si="7"/>
        <v>январь</v>
      </c>
      <c r="B399" s="231">
        <v>2024</v>
      </c>
      <c r="C399" s="60"/>
      <c r="D399" s="61"/>
      <c r="E399" s="211"/>
      <c r="F399" s="680"/>
      <c r="G399" s="47"/>
      <c r="H399" s="563"/>
      <c r="I399" s="563"/>
      <c r="J399" s="563"/>
      <c r="K399" s="563"/>
      <c r="L399" s="563"/>
      <c r="M399" s="563"/>
      <c r="N399" s="563"/>
      <c r="O399" s="563"/>
      <c r="P399" s="300"/>
      <c r="Q399" s="563"/>
      <c r="R399" s="563"/>
      <c r="S399" s="563"/>
      <c r="T399" s="563"/>
      <c r="U399" s="563"/>
      <c r="V399" s="563"/>
      <c r="W399" s="563"/>
      <c r="X399" s="563"/>
      <c r="Y399" s="563"/>
      <c r="Z399" s="563"/>
      <c r="AA399" s="563"/>
      <c r="AB399" s="563"/>
      <c r="AC399" s="563"/>
      <c r="AD399" s="48"/>
      <c r="AE399" s="48"/>
      <c r="AF399" s="258"/>
      <c r="AG399" s="48"/>
      <c r="AH399" s="48"/>
      <c r="AI399" s="258"/>
      <c r="AJ399" s="258"/>
      <c r="AK399" s="258"/>
      <c r="AL399" s="258"/>
      <c r="AM399" s="212">
        <f>IF(AQ399=1,SUM(Q399:T399,W399:Z399,AC399:AF399,AI399:AL399),
IF(AQ399=2,SUM(P399,S399:V399,Y399:AB399,AE399:AH399,AK399:AL399),
IF(AQ399=3,SUM(P399:R399,U399:X399,AA399:AD399,AG399:AJ399),SUM(Таблица1[[#This Row],[1]:[31]])-Таблица1[[#This Row],[Столбец1]])))</f>
        <v>0</v>
      </c>
      <c r="AN399" s="778">
        <f t="array" ref="AN399">IF(AQ399=1,SUM(P399,U399:V399,AA399:AB399,AG399:AH399),
IF(AQ399=2,SUM(Q399:R399,W399:X399,AC399:AD399,AI399:AJ399),
IF(AQ399=3,SUM(S399:T399,Y399:Z399,AE399:AF399,AK399:AL399),
SUM(IFERROR(WEEKDAY($H$2:$AL$2,2)&gt;5,)*H399:AL399))))+Таблица1[[#This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399" s="292" t="b">
        <f>IF(AR399&lt;=3,(IF((G399="5/24"),((база!$M$6*Таблица1[[#This Row],[сумма]]*Таблица1[[#This Row],[коэф]])),
IF((G399="4/24"),((база!$M$5*Таблица1[[#This Row],[сумма]]*Таблица1[[#This Row],[коэф]])),
IF((G399="3/24"),((база!$M$4*Таблица1[[#This Row],[сумма]]*Таблица1[[#This Row],[коэф]])),
IF((G399="5/16"),((база!$L$6*Таблица1[[#This Row],[сумма]]*Таблица1[[#This Row],[коэф]])),
IF((G399="4/16"),((база!$L$5*Таблица1[[#This Row],[сумма]]*Таблица1[[#This Row],[коэф]])),
IF((G399="3/16"),((база!$L$4*Таблица1[[#This Row],[сумма]]*Таблица1[[#This Row],[коэф]])),
IF((G399="4/4"),((база!$I$5*Таблица1[[#This Row],[сумма]]*Таблица1[[#This Row],[коэф]])),
IF(OR(G399="2/4",G399="3/4"),((база!$I$4*Таблица1[[#This Row],[сумма]]*Таблица1[[#This Row],[коэф]])),
IF((G399="5/8"),((база!$J$6*Таблица1[[#This Row],[сумма]]*Таблица1[[#This Row],[коэф]])),
IF((G399="4/8"),((база!$J$5*Таблица1[[#This Row],[сумма]]*Таблица1[[#This Row],[коэф]])),
IF(OR(G399="3/8",G399="2/8"),((база!$J$4*Таблица1[[#This Row],[сумма]]*Таблица1[[#This Row],[коэф]])))))))))))))),
(IF((G399="5/24"),((база!$M$6*Таблица1[[#This Row],[сумма]]*Таблица1[[#This Row],[коэф]])),
IF(OR(G399="4/24",G399="3/24"),((база!$M$5*Таблица1[[#This Row],[сумма]]*Таблица1[[#This Row],[коэф]])),
IF((G399="5/16"),((база!$L$6*Таблица1[[#This Row],[сумма]]*Таблица1[[#This Row],[коэф]])),
IF(OR(G399="4/16",G399="3/16"),((база!$L$5*Таблица1[[#This Row],[сумма]]*Таблица1[[#This Row],[коэф]])),
IF(OR(G399="2/4",G399="3/4",G399="4/4"),((база!$I$5*Таблица1[[#This Row],[сумма]]*Таблица1[[#This Row],[коэф]])),
IF((G399="5/8"),((база!$J$6*Таблица1[[#This Row],[сумма]]*Таблица1[[#This Row],[коэф]])),
IF(OR(G399="4/8",G399="3/8",G399="2/8"),((база!$J$5*Таблица1[[#This Row],[сумма]]*Таблица1[[#This Row],[коэф]])))))))))))</f>
        <v>0</v>
      </c>
      <c r="AP399" s="730" t="b">
        <f>IF(AR399&lt;=3,(IF((G399="5/24"),((база!$M$6*2*Таблица1[[#This Row],[Столбец1]]*Таблица1[[#This Row],[коэф]])),
IF((G399="4/24"),((база!$M$5*2*Таблица1[[#This Row],[Столбец1]]*Таблица1[[#This Row],[коэф]])),
IF((G399="3/24"),((база!$M$4*2*Таблица1[[#This Row],[Столбец1]]*Таблица1[[#This Row],[коэф]])),
IF((G399="5/16"),((база!$L$6*2*Таблица1[[#This Row],[Столбец1]]*Таблица1[[#This Row],[коэф]])),
IF((G399="4/16"),((база!$L$5*2*Таблица1[[#This Row],[Столбец1]]*Таблица1[[#This Row],[коэф]])),
IF((G399="3/16"),((база!$L$4*2*Таблица1[[#This Row],[Столбец1]]*Таблица1[[#This Row],[коэф]])),
IF((G399="4/4"),((база!$I$5*2*Таблица1[[#This Row],[Столбец1]]*Таблица1[[#This Row],[коэф]])),
IF(OR(G399="2/4",G399="3/4"),((база!$I$4*2*Таблица1[[#This Row],[Столбец1]]*Таблица1[[#This Row],[коэф]])),
IF((G399="5/8"),((база!$J$6*2*Таблица1[[#This Row],[Столбец1]]*Таблица1[[#This Row],[коэф]])),
IF((G399="4/8"),((база!$J$5*2*Таблица1[[#This Row],[Столбец1]]*Таблица1[[#This Row],[коэф]])),
IF(OR(G399="3/8",G399="2/8"),((база!$J$4*2*Таблица1[[#This Row],[Столбец1]]*Таблица1[[#This Row],[коэф]])))))))))))))),
(IF((G399="5/24"),((база!$M$6*2*Таблица1[[#This Row],[Столбец1]]*Таблица1[[#This Row],[коэф]])),
IF(OR(G399="4/24",G399="3/24"),((база!$M$5*2*Таблица1[[#This Row],[Столбец1]]*Таблица1[[#This Row],[коэф]])),
IF((G399="5/16"),((база!$L$6*2*Таблица1[[#This Row],[Столбец1]]*Таблица1[[#This Row],[коэф]])),
IF(OR(G399="4/16",G399="3/16"),((база!$L$5*2*Таблица1[[#This Row],[Столбец1]]*Таблица1[[#This Row],[коэф]])),
IF(OR(G399="2/4",G399="3/4",G399="4/4"),((база!$I$5*2*Таблица1[[#This Row],[Столбец1]]*Таблица1[[#This Row],[коэф]])),
IF((G399="5/8"),((база!$J$6*2*Таблица1[[#This Row],[Столбец1]]*Таблица1[[#This Row],[коэф]])),
IF(OR(G399="4/8",G399="3/8",G399="2/8"),((база!$J$5*2*Таблица1[[#This Row],[Столбец1]]*Таблица1[[#This Row],[коэф]])))))))))))</f>
        <v>0</v>
      </c>
      <c r="AQ399" s="712" t="str">
        <f>IFERROR(INDEX(база!T:T, MATCH(F399,база!Q:Q,0)),"")</f>
        <v/>
      </c>
      <c r="AR399" s="208" t="str">
        <f>IFERROR(INDEX(база!D:D, MATCH(F399,база!B:B,0)),"")</f>
        <v/>
      </c>
      <c r="AS399" s="758" t="str">
        <f>IFERROR(INDEX(база!E:E, MATCH(F399,база!B:B,0)),"")</f>
        <v/>
      </c>
    </row>
    <row r="400" spans="1:45" ht="15">
      <c r="A400" s="66" t="str">
        <f t="shared" si="7"/>
        <v>январь</v>
      </c>
      <c r="B400" s="231">
        <v>2024</v>
      </c>
      <c r="C400" s="60"/>
      <c r="D400" s="61"/>
      <c r="E400" s="211"/>
      <c r="F400" s="680"/>
      <c r="G400" s="47"/>
      <c r="H400" s="563"/>
      <c r="I400" s="563"/>
      <c r="J400" s="563"/>
      <c r="K400" s="563"/>
      <c r="L400" s="563"/>
      <c r="M400" s="563"/>
      <c r="N400" s="563"/>
      <c r="O400" s="563"/>
      <c r="P400" s="300"/>
      <c r="Q400" s="563"/>
      <c r="R400" s="563"/>
      <c r="S400" s="563"/>
      <c r="T400" s="563"/>
      <c r="U400" s="563"/>
      <c r="V400" s="563"/>
      <c r="W400" s="563"/>
      <c r="X400" s="563"/>
      <c r="Y400" s="563"/>
      <c r="Z400" s="563"/>
      <c r="AA400" s="563"/>
      <c r="AB400" s="563"/>
      <c r="AC400" s="563"/>
      <c r="AD400" s="563"/>
      <c r="AE400" s="563"/>
      <c r="AF400" s="563"/>
      <c r="AG400" s="48"/>
      <c r="AH400" s="48"/>
      <c r="AI400" s="48"/>
      <c r="AJ400" s="48"/>
      <c r="AK400" s="48"/>
      <c r="AL400" s="51"/>
      <c r="AM400" s="212">
        <f>IF(AQ400=1,SUM(Q400:T400,W400:Z400,AC400:AF400,AI400:AL400),
IF(AQ400=2,SUM(P400,S400:V400,Y400:AB400,AE400:AH400,AK400:AL400),
IF(AQ400=3,SUM(P400:R400,U400:X400,AA400:AD400,AG400:AJ400),SUM(Таблица1[[#This Row],[1]:[31]])-Таблица1[[#This Row],[Столбец1]])))</f>
        <v>0</v>
      </c>
      <c r="AN400" s="778">
        <f t="array" ref="AN400">IF(AQ400=1,SUM(P400,U400:V400,AA400:AB400,AG400:AH400),
IF(AQ400=2,SUM(Q400:R400,W400:X400,AC400:AD400,AI400:AJ400),
IF(AQ400=3,SUM(S400:T400,Y400:Z400,AE400:AF400,AK400:AL400),
SUM(IFERROR(WEEKDAY($H$2:$AL$2,2)&gt;5,)*H400:AL400))))+Таблица1[[#This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00" s="292" t="b">
        <f>IF(AR400&lt;=3,(IF((G400="5/24"),((база!$M$6*Таблица1[[#This Row],[сумма]]*Таблица1[[#This Row],[коэф]])),
IF((G400="4/24"),((база!$M$5*Таблица1[[#This Row],[сумма]]*Таблица1[[#This Row],[коэф]])),
IF((G400="3/24"),((база!$M$4*Таблица1[[#This Row],[сумма]]*Таблица1[[#This Row],[коэф]])),
IF((G400="5/16"),((база!$L$6*Таблица1[[#This Row],[сумма]]*Таблица1[[#This Row],[коэф]])),
IF((G400="4/16"),((база!$L$5*Таблица1[[#This Row],[сумма]]*Таблица1[[#This Row],[коэф]])),
IF((G400="3/16"),((база!$L$4*Таблица1[[#This Row],[сумма]]*Таблица1[[#This Row],[коэф]])),
IF((G400="4/4"),((база!$I$5*Таблица1[[#This Row],[сумма]]*Таблица1[[#This Row],[коэф]])),
IF(OR(G400="2/4",G400="3/4"),((база!$I$4*Таблица1[[#This Row],[сумма]]*Таблица1[[#This Row],[коэф]])),
IF((G400="5/8"),((база!$J$6*Таблица1[[#This Row],[сумма]]*Таблица1[[#This Row],[коэф]])),
IF((G400="4/8"),((база!$J$5*Таблица1[[#This Row],[сумма]]*Таблица1[[#This Row],[коэф]])),
IF(OR(G400="3/8",G400="2/8"),((база!$J$4*Таблица1[[#This Row],[сумма]]*Таблица1[[#This Row],[коэф]])))))))))))))),
(IF((G400="5/24"),((база!$M$6*Таблица1[[#This Row],[сумма]]*Таблица1[[#This Row],[коэф]])),
IF(OR(G400="4/24",G400="3/24"),((база!$M$5*Таблица1[[#This Row],[сумма]]*Таблица1[[#This Row],[коэф]])),
IF((G400="5/16"),((база!$L$6*Таблица1[[#This Row],[сумма]]*Таблица1[[#This Row],[коэф]])),
IF(OR(G400="4/16",G400="3/16"),((база!$L$5*Таблица1[[#This Row],[сумма]]*Таблица1[[#This Row],[коэф]])),
IF(OR(G400="2/4",G400="3/4",G400="4/4"),((база!$I$5*Таблица1[[#This Row],[сумма]]*Таблица1[[#This Row],[коэф]])),
IF((G400="5/8"),((база!$J$6*Таблица1[[#This Row],[сумма]]*Таблица1[[#This Row],[коэф]])),
IF(OR(G400="4/8",G400="3/8",G400="2/8"),((база!$J$5*Таблица1[[#This Row],[сумма]]*Таблица1[[#This Row],[коэф]])))))))))))</f>
        <v>0</v>
      </c>
      <c r="AP400" s="730" t="b">
        <f>IF(AR400&lt;=3,(IF((G400="5/24"),((база!$M$6*2*Таблица1[[#This Row],[Столбец1]]*Таблица1[[#This Row],[коэф]])),
IF((G400="4/24"),((база!$M$5*2*Таблица1[[#This Row],[Столбец1]]*Таблица1[[#This Row],[коэф]])),
IF((G400="3/24"),((база!$M$4*2*Таблица1[[#This Row],[Столбец1]]*Таблица1[[#This Row],[коэф]])),
IF((G400="5/16"),((база!$L$6*2*Таблица1[[#This Row],[Столбец1]]*Таблица1[[#This Row],[коэф]])),
IF((G400="4/16"),((база!$L$5*2*Таблица1[[#This Row],[Столбец1]]*Таблица1[[#This Row],[коэф]])),
IF((G400="3/16"),((база!$L$4*2*Таблица1[[#This Row],[Столбец1]]*Таблица1[[#This Row],[коэф]])),
IF((G400="4/4"),((база!$I$5*2*Таблица1[[#This Row],[Столбец1]]*Таблица1[[#This Row],[коэф]])),
IF(OR(G400="2/4",G400="3/4"),((база!$I$4*2*Таблица1[[#This Row],[Столбец1]]*Таблица1[[#This Row],[коэф]])),
IF((G400="5/8"),((база!$J$6*2*Таблица1[[#This Row],[Столбец1]]*Таблица1[[#This Row],[коэф]])),
IF((G400="4/8"),((база!$J$5*2*Таблица1[[#This Row],[Столбец1]]*Таблица1[[#This Row],[коэф]])),
IF(OR(G400="3/8",G400="2/8"),((база!$J$4*2*Таблица1[[#This Row],[Столбец1]]*Таблица1[[#This Row],[коэф]])))))))))))))),
(IF((G400="5/24"),((база!$M$6*2*Таблица1[[#This Row],[Столбец1]]*Таблица1[[#This Row],[коэф]])),
IF(OR(G400="4/24",G400="3/24"),((база!$M$5*2*Таблица1[[#This Row],[Столбец1]]*Таблица1[[#This Row],[коэф]])),
IF((G400="5/16"),((база!$L$6*2*Таблица1[[#This Row],[Столбец1]]*Таблица1[[#This Row],[коэф]])),
IF(OR(G400="4/16",G400="3/16"),((база!$L$5*2*Таблица1[[#This Row],[Столбец1]]*Таблица1[[#This Row],[коэф]])),
IF(OR(G400="2/4",G400="3/4",G400="4/4"),((база!$I$5*2*Таблица1[[#This Row],[Столбец1]]*Таблица1[[#This Row],[коэф]])),
IF((G400="5/8"),((база!$J$6*2*Таблица1[[#This Row],[Столбец1]]*Таблица1[[#This Row],[коэф]])),
IF(OR(G400="4/8",G400="3/8",G400="2/8"),((база!$J$5*2*Таблица1[[#This Row],[Столбец1]]*Таблица1[[#This Row],[коэф]])))))))))))</f>
        <v>0</v>
      </c>
      <c r="AQ400" s="712" t="str">
        <f>IFERROR(INDEX(база!T:T, MATCH(F400,база!Q:Q,0)),"")</f>
        <v/>
      </c>
      <c r="AR400" s="208" t="str">
        <f>IFERROR(INDEX(база!D:D, MATCH(F400,база!B:B,0)),"")</f>
        <v/>
      </c>
      <c r="AS400" s="758" t="str">
        <f>IFERROR(INDEX(база!E:E, MATCH(F400,база!B:B,0)),"")</f>
        <v/>
      </c>
    </row>
    <row r="401" spans="1:45" ht="15">
      <c r="A401" s="66" t="str">
        <f t="shared" si="7"/>
        <v>январь</v>
      </c>
      <c r="B401" s="231">
        <v>2024</v>
      </c>
      <c r="C401" s="60"/>
      <c r="D401" s="61"/>
      <c r="E401" s="211"/>
      <c r="F401" s="680"/>
      <c r="G401" s="47"/>
      <c r="H401" s="563"/>
      <c r="I401" s="563"/>
      <c r="J401" s="563"/>
      <c r="K401" s="563"/>
      <c r="L401" s="563"/>
      <c r="M401" s="563"/>
      <c r="N401" s="563"/>
      <c r="O401" s="563"/>
      <c r="P401" s="300"/>
      <c r="Q401" s="563"/>
      <c r="R401" s="563"/>
      <c r="S401" s="563"/>
      <c r="T401" s="563"/>
      <c r="U401" s="563"/>
      <c r="V401" s="563"/>
      <c r="W401" s="563"/>
      <c r="X401" s="563"/>
      <c r="Y401" s="563"/>
      <c r="Z401" s="563"/>
      <c r="AA401" s="563"/>
      <c r="AB401" s="563"/>
      <c r="AC401" s="563"/>
      <c r="AD401" s="48"/>
      <c r="AE401" s="48"/>
      <c r="AF401" s="258"/>
      <c r="AG401" s="48"/>
      <c r="AH401" s="48"/>
      <c r="AI401" s="258"/>
      <c r="AJ401" s="258"/>
      <c r="AK401" s="258"/>
      <c r="AL401" s="258"/>
      <c r="AM401" s="212">
        <f>IF(AQ401=1,SUM(Q401:T401,W401:Z401,AC401:AF401,AI401:AL401),
IF(AQ401=2,SUM(P401,S401:V401,Y401:AB401,AE401:AH401,AK401:AL401),
IF(AQ401=3,SUM(P401:R401,U401:X401,AA401:AD401,AG401:AJ401),SUM(Таблица1[[#This Row],[1]:[31]])-Таблица1[[#This Row],[Столбец1]])))</f>
        <v>0</v>
      </c>
      <c r="AN401" s="778">
        <f t="array" ref="AN401">IF(AQ401=1,SUM(P401,U401:V401,AA401:AB401,AG401:AH401),
IF(AQ401=2,SUM(Q401:R401,W401:X401,AC401:AD401,AI401:AJ401),
IF(AQ401=3,SUM(S401:T401,Y401:Z401,AE401:AF401,AK401:AL401),
SUM(IFERROR(WEEKDAY($H$2:$AL$2,2)&gt;5,)*H401:AL401))))+Таблица1[[#This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01" s="292" t="b">
        <f>IF(AR401&lt;=3,(IF((G401="5/24"),((база!$M$6*Таблица1[[#This Row],[сумма]]*Таблица1[[#This Row],[коэф]])),
IF((G401="4/24"),((база!$M$5*Таблица1[[#This Row],[сумма]]*Таблица1[[#This Row],[коэф]])),
IF((G401="3/24"),((база!$M$4*Таблица1[[#This Row],[сумма]]*Таблица1[[#This Row],[коэф]])),
IF((G401="5/16"),((база!$L$6*Таблица1[[#This Row],[сумма]]*Таблица1[[#This Row],[коэф]])),
IF((G401="4/16"),((база!$L$5*Таблица1[[#This Row],[сумма]]*Таблица1[[#This Row],[коэф]])),
IF((G401="3/16"),((база!$L$4*Таблица1[[#This Row],[сумма]]*Таблица1[[#This Row],[коэф]])),
IF((G401="4/4"),((база!$I$5*Таблица1[[#This Row],[сумма]]*Таблица1[[#This Row],[коэф]])),
IF(OR(G401="2/4",G401="3/4"),((база!$I$4*Таблица1[[#This Row],[сумма]]*Таблица1[[#This Row],[коэф]])),
IF((G401="5/8"),((база!$J$6*Таблица1[[#This Row],[сумма]]*Таблица1[[#This Row],[коэф]])),
IF((G401="4/8"),((база!$J$5*Таблица1[[#This Row],[сумма]]*Таблица1[[#This Row],[коэф]])),
IF(OR(G401="3/8",G401="2/8"),((база!$J$4*Таблица1[[#This Row],[сумма]]*Таблица1[[#This Row],[коэф]])))))))))))))),
(IF((G401="5/24"),((база!$M$6*Таблица1[[#This Row],[сумма]]*Таблица1[[#This Row],[коэф]])),
IF(OR(G401="4/24",G401="3/24"),((база!$M$5*Таблица1[[#This Row],[сумма]]*Таблица1[[#This Row],[коэф]])),
IF((G401="5/16"),((база!$L$6*Таблица1[[#This Row],[сумма]]*Таблица1[[#This Row],[коэф]])),
IF(OR(G401="4/16",G401="3/16"),((база!$L$5*Таблица1[[#This Row],[сумма]]*Таблица1[[#This Row],[коэф]])),
IF(OR(G401="2/4",G401="3/4",G401="4/4"),((база!$I$5*Таблица1[[#This Row],[сумма]]*Таблица1[[#This Row],[коэф]])),
IF((G401="5/8"),((база!$J$6*Таблица1[[#This Row],[сумма]]*Таблица1[[#This Row],[коэф]])),
IF(OR(G401="4/8",G401="3/8",G401="2/8"),((база!$J$5*Таблица1[[#This Row],[сумма]]*Таблица1[[#This Row],[коэф]])))))))))))</f>
        <v>0</v>
      </c>
      <c r="AP401" s="730" t="b">
        <f>IF(AR401&lt;=3,(IF((G401="5/24"),((база!$M$6*2*Таблица1[[#This Row],[Столбец1]]*Таблица1[[#This Row],[коэф]])),
IF((G401="4/24"),((база!$M$5*2*Таблица1[[#This Row],[Столбец1]]*Таблица1[[#This Row],[коэф]])),
IF((G401="3/24"),((база!$M$4*2*Таблица1[[#This Row],[Столбец1]]*Таблица1[[#This Row],[коэф]])),
IF((G401="5/16"),((база!$L$6*2*Таблица1[[#This Row],[Столбец1]]*Таблица1[[#This Row],[коэф]])),
IF((G401="4/16"),((база!$L$5*2*Таблица1[[#This Row],[Столбец1]]*Таблица1[[#This Row],[коэф]])),
IF((G401="3/16"),((база!$L$4*2*Таблица1[[#This Row],[Столбец1]]*Таблица1[[#This Row],[коэф]])),
IF((G401="4/4"),((база!$I$5*2*Таблица1[[#This Row],[Столбец1]]*Таблица1[[#This Row],[коэф]])),
IF(OR(G401="2/4",G401="3/4"),((база!$I$4*2*Таблица1[[#This Row],[Столбец1]]*Таблица1[[#This Row],[коэф]])),
IF((G401="5/8"),((база!$J$6*2*Таблица1[[#This Row],[Столбец1]]*Таблица1[[#This Row],[коэф]])),
IF((G401="4/8"),((база!$J$5*2*Таблица1[[#This Row],[Столбец1]]*Таблица1[[#This Row],[коэф]])),
IF(OR(G401="3/8",G401="2/8"),((база!$J$4*2*Таблица1[[#This Row],[Столбец1]]*Таблица1[[#This Row],[коэф]])))))))))))))),
(IF((G401="5/24"),((база!$M$6*2*Таблица1[[#This Row],[Столбец1]]*Таблица1[[#This Row],[коэф]])),
IF(OR(G401="4/24",G401="3/24"),((база!$M$5*2*Таблица1[[#This Row],[Столбец1]]*Таблица1[[#This Row],[коэф]])),
IF((G401="5/16"),((база!$L$6*2*Таблица1[[#This Row],[Столбец1]]*Таблица1[[#This Row],[коэф]])),
IF(OR(G401="4/16",G401="3/16"),((база!$L$5*2*Таблица1[[#This Row],[Столбец1]]*Таблица1[[#This Row],[коэф]])),
IF(OR(G401="2/4",G401="3/4",G401="4/4"),((база!$I$5*2*Таблица1[[#This Row],[Столбец1]]*Таблица1[[#This Row],[коэф]])),
IF((G401="5/8"),((база!$J$6*2*Таблица1[[#This Row],[Столбец1]]*Таблица1[[#This Row],[коэф]])),
IF(OR(G401="4/8",G401="3/8",G401="2/8"),((база!$J$5*2*Таблица1[[#This Row],[Столбец1]]*Таблица1[[#This Row],[коэф]])))))))))))</f>
        <v>0</v>
      </c>
      <c r="AQ401" s="712" t="str">
        <f>IFERROR(INDEX(база!T:T, MATCH(F401,база!Q:Q,0)),"")</f>
        <v/>
      </c>
      <c r="AR401" s="208" t="str">
        <f>IFERROR(INDEX(база!D:D, MATCH(F401,база!B:B,0)),"")</f>
        <v/>
      </c>
      <c r="AS401" s="758" t="str">
        <f>IFERROR(INDEX(база!E:E, MATCH(F401,база!B:B,0)),"")</f>
        <v/>
      </c>
    </row>
    <row r="402" spans="1:45" ht="15">
      <c r="A402" s="66" t="str">
        <f t="shared" si="7"/>
        <v>январь</v>
      </c>
      <c r="B402" s="231">
        <v>2024</v>
      </c>
      <c r="C402" s="299"/>
      <c r="D402" s="61"/>
      <c r="E402" s="211"/>
      <c r="F402" s="680"/>
      <c r="G402" s="47"/>
      <c r="H402" s="563"/>
      <c r="I402" s="563"/>
      <c r="J402" s="563"/>
      <c r="K402" s="563"/>
      <c r="L402" s="563"/>
      <c r="M402" s="563"/>
      <c r="N402" s="563"/>
      <c r="O402" s="563"/>
      <c r="P402" s="300"/>
      <c r="Q402" s="563"/>
      <c r="R402" s="563"/>
      <c r="S402" s="563"/>
      <c r="T402" s="563"/>
      <c r="U402" s="563"/>
      <c r="V402" s="563"/>
      <c r="W402" s="563"/>
      <c r="X402" s="563"/>
      <c r="Y402" s="563"/>
      <c r="Z402" s="563"/>
      <c r="AA402" s="563"/>
      <c r="AB402" s="563"/>
      <c r="AC402" s="563"/>
      <c r="AD402" s="48"/>
      <c r="AE402" s="48"/>
      <c r="AF402" s="258"/>
      <c r="AG402" s="48"/>
      <c r="AH402" s="48"/>
      <c r="AI402" s="48"/>
      <c r="AJ402" s="48"/>
      <c r="AK402" s="48"/>
      <c r="AL402" s="51"/>
      <c r="AM402" s="212">
        <f>IF(AQ402=1,SUM(Q402:T402,W402:Z402,AC402:AF402,AI402:AL402),
IF(AQ402=2,SUM(P402,S402:V402,Y402:AB402,AE402:AH402,AK402:AL402),
IF(AQ402=3,SUM(P402:R402,U402:X402,AA402:AD402,AG402:AJ402),SUM(Таблица1[[#This Row],[1]:[31]])-Таблица1[[#This Row],[Столбец1]])))</f>
        <v>0</v>
      </c>
      <c r="AN402" s="778">
        <f t="array" ref="AN402">IF(AQ402=1,SUM(P402,U402:V402,AA402:AB402,AG402:AH402),
IF(AQ402=2,SUM(Q402:R402,W402:X402,AC402:AD402,AI402:AJ402),
IF(AQ402=3,SUM(S402:T402,Y402:Z402,AE402:AF402,AK402:AL402),
SUM(IFERROR(WEEKDAY($H$2:$AL$2,2)&gt;5,)*H402:AL402))))+Таблица1[[#This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02" s="292" t="b">
        <f>IF(AR402&lt;=3,(IF((G402="5/24"),((база!$M$6*Таблица1[[#This Row],[сумма]]*Таблица1[[#This Row],[коэф]])),
IF((G402="4/24"),((база!$M$5*Таблица1[[#This Row],[сумма]]*Таблица1[[#This Row],[коэф]])),
IF((G402="3/24"),((база!$M$4*Таблица1[[#This Row],[сумма]]*Таблица1[[#This Row],[коэф]])),
IF((G402="5/16"),((база!$L$6*Таблица1[[#This Row],[сумма]]*Таблица1[[#This Row],[коэф]])),
IF((G402="4/16"),((база!$L$5*Таблица1[[#This Row],[сумма]]*Таблица1[[#This Row],[коэф]])),
IF((G402="3/16"),((база!$L$4*Таблица1[[#This Row],[сумма]]*Таблица1[[#This Row],[коэф]])),
IF((G402="4/4"),((база!$I$5*Таблица1[[#This Row],[сумма]]*Таблица1[[#This Row],[коэф]])),
IF(OR(G402="2/4",G402="3/4"),((база!$I$4*Таблица1[[#This Row],[сумма]]*Таблица1[[#This Row],[коэф]])),
IF((G402="5/8"),((база!$J$6*Таблица1[[#This Row],[сумма]]*Таблица1[[#This Row],[коэф]])),
IF((G402="4/8"),((база!$J$5*Таблица1[[#This Row],[сумма]]*Таблица1[[#This Row],[коэф]])),
IF(OR(G402="3/8",G402="2/8"),((база!$J$4*Таблица1[[#This Row],[сумма]]*Таблица1[[#This Row],[коэф]])))))))))))))),
(IF((G402="5/24"),((база!$M$6*Таблица1[[#This Row],[сумма]]*Таблица1[[#This Row],[коэф]])),
IF(OR(G402="4/24",G402="3/24"),((база!$M$5*Таблица1[[#This Row],[сумма]]*Таблица1[[#This Row],[коэф]])),
IF((G402="5/16"),((база!$L$6*Таблица1[[#This Row],[сумма]]*Таблица1[[#This Row],[коэф]])),
IF(OR(G402="4/16",G402="3/16"),((база!$L$5*Таблица1[[#This Row],[сумма]]*Таблица1[[#This Row],[коэф]])),
IF(OR(G402="2/4",G402="3/4",G402="4/4"),((база!$I$5*Таблица1[[#This Row],[сумма]]*Таблица1[[#This Row],[коэф]])),
IF((G402="5/8"),((база!$J$6*Таблица1[[#This Row],[сумма]]*Таблица1[[#This Row],[коэф]])),
IF(OR(G402="4/8",G402="3/8",G402="2/8"),((база!$J$5*Таблица1[[#This Row],[сумма]]*Таблица1[[#This Row],[коэф]])))))))))))</f>
        <v>0</v>
      </c>
      <c r="AP402" s="730" t="b">
        <f>IF(AR402&lt;=3,(IF((G402="5/24"),((база!$M$6*2*Таблица1[[#This Row],[Столбец1]]*Таблица1[[#This Row],[коэф]])),
IF((G402="4/24"),((база!$M$5*2*Таблица1[[#This Row],[Столбец1]]*Таблица1[[#This Row],[коэф]])),
IF((G402="3/24"),((база!$M$4*2*Таблица1[[#This Row],[Столбец1]]*Таблица1[[#This Row],[коэф]])),
IF((G402="5/16"),((база!$L$6*2*Таблица1[[#This Row],[Столбец1]]*Таблица1[[#This Row],[коэф]])),
IF((G402="4/16"),((база!$L$5*2*Таблица1[[#This Row],[Столбец1]]*Таблица1[[#This Row],[коэф]])),
IF((G402="3/16"),((база!$L$4*2*Таблица1[[#This Row],[Столбец1]]*Таблица1[[#This Row],[коэф]])),
IF((G402="4/4"),((база!$I$5*2*Таблица1[[#This Row],[Столбец1]]*Таблица1[[#This Row],[коэф]])),
IF(OR(G402="2/4",G402="3/4"),((база!$I$4*2*Таблица1[[#This Row],[Столбец1]]*Таблица1[[#This Row],[коэф]])),
IF((G402="5/8"),((база!$J$6*2*Таблица1[[#This Row],[Столбец1]]*Таблица1[[#This Row],[коэф]])),
IF((G402="4/8"),((база!$J$5*2*Таблица1[[#This Row],[Столбец1]]*Таблица1[[#This Row],[коэф]])),
IF(OR(G402="3/8",G402="2/8"),((база!$J$4*2*Таблица1[[#This Row],[Столбец1]]*Таблица1[[#This Row],[коэф]])))))))))))))),
(IF((G402="5/24"),((база!$M$6*2*Таблица1[[#This Row],[Столбец1]]*Таблица1[[#This Row],[коэф]])),
IF(OR(G402="4/24",G402="3/24"),((база!$M$5*2*Таблица1[[#This Row],[Столбец1]]*Таблица1[[#This Row],[коэф]])),
IF((G402="5/16"),((база!$L$6*2*Таблица1[[#This Row],[Столбец1]]*Таблица1[[#This Row],[коэф]])),
IF(OR(G402="4/16",G402="3/16"),((база!$L$5*2*Таблица1[[#This Row],[Столбец1]]*Таблица1[[#This Row],[коэф]])),
IF(OR(G402="2/4",G402="3/4",G402="4/4"),((база!$I$5*2*Таблица1[[#This Row],[Столбец1]]*Таблица1[[#This Row],[коэф]])),
IF((G402="5/8"),((база!$J$6*2*Таблица1[[#This Row],[Столбец1]]*Таблица1[[#This Row],[коэф]])),
IF(OR(G402="4/8",G402="3/8",G402="2/8"),((база!$J$5*2*Таблица1[[#This Row],[Столбец1]]*Таблица1[[#This Row],[коэф]])))))))))))</f>
        <v>0</v>
      </c>
      <c r="AQ402" s="712" t="str">
        <f>IFERROR(INDEX(база!T:T, MATCH(F402,база!Q:Q,0)),"")</f>
        <v/>
      </c>
      <c r="AR402" s="208" t="str">
        <f>IFERROR(INDEX(база!D:D, MATCH(F402,база!B:B,0)),"")</f>
        <v/>
      </c>
      <c r="AS402" s="758" t="str">
        <f>IFERROR(INDEX(база!E:E, MATCH(F402,база!B:B,0)),"")</f>
        <v/>
      </c>
    </row>
    <row r="403" spans="1:45" ht="15">
      <c r="A403" s="66" t="str">
        <f t="shared" si="7"/>
        <v>январь</v>
      </c>
      <c r="B403" s="231">
        <v>2024</v>
      </c>
      <c r="C403" s="299"/>
      <c r="D403" s="61"/>
      <c r="E403" s="211"/>
      <c r="F403" s="680"/>
      <c r="G403" s="47"/>
      <c r="H403" s="563"/>
      <c r="I403" s="563"/>
      <c r="J403" s="563"/>
      <c r="K403" s="563"/>
      <c r="L403" s="563"/>
      <c r="M403" s="563"/>
      <c r="N403" s="563"/>
      <c r="O403" s="563"/>
      <c r="P403" s="300"/>
      <c r="Q403" s="563"/>
      <c r="R403" s="563"/>
      <c r="S403" s="563"/>
      <c r="T403" s="563"/>
      <c r="U403" s="563"/>
      <c r="V403" s="563"/>
      <c r="W403" s="563"/>
      <c r="X403" s="563"/>
      <c r="Y403" s="563"/>
      <c r="Z403" s="563"/>
      <c r="AA403" s="563"/>
      <c r="AB403" s="563"/>
      <c r="AC403" s="563"/>
      <c r="AD403" s="48"/>
      <c r="AE403" s="48"/>
      <c r="AF403" s="258"/>
      <c r="AG403" s="48"/>
      <c r="AH403" s="48"/>
      <c r="AI403" s="48"/>
      <c r="AJ403" s="258"/>
      <c r="AK403" s="258"/>
      <c r="AL403" s="258"/>
      <c r="AM403" s="212">
        <f>IF(AQ403=1,SUM(Q403:T403,W403:Z403,AC403:AF403,AI403:AL403),
IF(AQ403=2,SUM(P403,S403:V403,Y403:AB403,AE403:AH403,AK403:AL403),
IF(AQ403=3,SUM(P403:R403,U403:X403,AA403:AD403,AG403:AJ403),SUM(Таблица1[[#This Row],[1]:[31]])-Таблица1[[#This Row],[Столбец1]])))</f>
        <v>0</v>
      </c>
      <c r="AN403" s="778">
        <f t="array" ref="AN403">IF(AQ403=1,SUM(P403,U403:V403,AA403:AB403,AG403:AH403),
IF(AQ403=2,SUM(Q403:R403,W403:X403,AC403:AD403,AI403:AJ403),
IF(AQ403=3,SUM(S403:T403,Y403:Z403,AE403:AF403,AK403:AL403),
SUM(IFERROR(WEEKDAY($H$2:$AL$2,2)&gt;5,)*H403:AL403))))+Таблица1[[#This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03" s="292" t="b">
        <f>IF(AR403&lt;=3,(IF((G403="5/24"),((база!$M$6*Таблица1[[#This Row],[сумма]]*Таблица1[[#This Row],[коэф]])),
IF((G403="4/24"),((база!$M$5*Таблица1[[#This Row],[сумма]]*Таблица1[[#This Row],[коэф]])),
IF((G403="3/24"),((база!$M$4*Таблица1[[#This Row],[сумма]]*Таблица1[[#This Row],[коэф]])),
IF((G403="5/16"),((база!$L$6*Таблица1[[#This Row],[сумма]]*Таблица1[[#This Row],[коэф]])),
IF((G403="4/16"),((база!$L$5*Таблица1[[#This Row],[сумма]]*Таблица1[[#This Row],[коэф]])),
IF((G403="3/16"),((база!$L$4*Таблица1[[#This Row],[сумма]]*Таблица1[[#This Row],[коэф]])),
IF((G403="4/4"),((база!$I$5*Таблица1[[#This Row],[сумма]]*Таблица1[[#This Row],[коэф]])),
IF(OR(G403="2/4",G403="3/4"),((база!$I$4*Таблица1[[#This Row],[сумма]]*Таблица1[[#This Row],[коэф]])),
IF((G403="5/8"),((база!$J$6*Таблица1[[#This Row],[сумма]]*Таблица1[[#This Row],[коэф]])),
IF((G403="4/8"),((база!$J$5*Таблица1[[#This Row],[сумма]]*Таблица1[[#This Row],[коэф]])),
IF(OR(G403="3/8",G403="2/8"),((база!$J$4*Таблица1[[#This Row],[сумма]]*Таблица1[[#This Row],[коэф]])))))))))))))),
(IF((G403="5/24"),((база!$M$6*Таблица1[[#This Row],[сумма]]*Таблица1[[#This Row],[коэф]])),
IF(OR(G403="4/24",G403="3/24"),((база!$M$5*Таблица1[[#This Row],[сумма]]*Таблица1[[#This Row],[коэф]])),
IF((G403="5/16"),((база!$L$6*Таблица1[[#This Row],[сумма]]*Таблица1[[#This Row],[коэф]])),
IF(OR(G403="4/16",G403="3/16"),((база!$L$5*Таблица1[[#This Row],[сумма]]*Таблица1[[#This Row],[коэф]])),
IF(OR(G403="2/4",G403="3/4",G403="4/4"),((база!$I$5*Таблица1[[#This Row],[сумма]]*Таблица1[[#This Row],[коэф]])),
IF((G403="5/8"),((база!$J$6*Таблица1[[#This Row],[сумма]]*Таблица1[[#This Row],[коэф]])),
IF(OR(G403="4/8",G403="3/8",G403="2/8"),((база!$J$5*Таблица1[[#This Row],[сумма]]*Таблица1[[#This Row],[коэф]])))))))))))</f>
        <v>0</v>
      </c>
      <c r="AP403" s="730" t="b">
        <f>IF(AR403&lt;=3,(IF((G403="5/24"),((база!$M$6*2*Таблица1[[#This Row],[Столбец1]]*Таблица1[[#This Row],[коэф]])),
IF((G403="4/24"),((база!$M$5*2*Таблица1[[#This Row],[Столбец1]]*Таблица1[[#This Row],[коэф]])),
IF((G403="3/24"),((база!$M$4*2*Таблица1[[#This Row],[Столбец1]]*Таблица1[[#This Row],[коэф]])),
IF((G403="5/16"),((база!$L$6*2*Таблица1[[#This Row],[Столбец1]]*Таблица1[[#This Row],[коэф]])),
IF((G403="4/16"),((база!$L$5*2*Таблица1[[#This Row],[Столбец1]]*Таблица1[[#This Row],[коэф]])),
IF((G403="3/16"),((база!$L$4*2*Таблица1[[#This Row],[Столбец1]]*Таблица1[[#This Row],[коэф]])),
IF((G403="4/4"),((база!$I$5*2*Таблица1[[#This Row],[Столбец1]]*Таблица1[[#This Row],[коэф]])),
IF(OR(G403="2/4",G403="3/4"),((база!$I$4*2*Таблица1[[#This Row],[Столбец1]]*Таблица1[[#This Row],[коэф]])),
IF((G403="5/8"),((база!$J$6*2*Таблица1[[#This Row],[Столбец1]]*Таблица1[[#This Row],[коэф]])),
IF((G403="4/8"),((база!$J$5*2*Таблица1[[#This Row],[Столбец1]]*Таблица1[[#This Row],[коэф]])),
IF(OR(G403="3/8",G403="2/8"),((база!$J$4*2*Таблица1[[#This Row],[Столбец1]]*Таблица1[[#This Row],[коэф]])))))))))))))),
(IF((G403="5/24"),((база!$M$6*2*Таблица1[[#This Row],[Столбец1]]*Таблица1[[#This Row],[коэф]])),
IF(OR(G403="4/24",G403="3/24"),((база!$M$5*2*Таблица1[[#This Row],[Столбец1]]*Таблица1[[#This Row],[коэф]])),
IF((G403="5/16"),((база!$L$6*2*Таблица1[[#This Row],[Столбец1]]*Таблица1[[#This Row],[коэф]])),
IF(OR(G403="4/16",G403="3/16"),((база!$L$5*2*Таблица1[[#This Row],[Столбец1]]*Таблица1[[#This Row],[коэф]])),
IF(OR(G403="2/4",G403="3/4",G403="4/4"),((база!$I$5*2*Таблица1[[#This Row],[Столбец1]]*Таблица1[[#This Row],[коэф]])),
IF((G403="5/8"),((база!$J$6*2*Таблица1[[#This Row],[Столбец1]]*Таблица1[[#This Row],[коэф]])),
IF(OR(G403="4/8",G403="3/8",G403="2/8"),((база!$J$5*2*Таблица1[[#This Row],[Столбец1]]*Таблица1[[#This Row],[коэф]])))))))))))</f>
        <v>0</v>
      </c>
      <c r="AQ403" s="712" t="str">
        <f>IFERROR(INDEX(база!T:T, MATCH(F403,база!Q:Q,0)),"")</f>
        <v/>
      </c>
      <c r="AR403" s="208" t="str">
        <f>IFERROR(INDEX(база!D:D, MATCH(F403,база!B:B,0)),"")</f>
        <v/>
      </c>
      <c r="AS403" s="758" t="str">
        <f>IFERROR(INDEX(база!E:E, MATCH(F403,база!B:B,0)),"")</f>
        <v/>
      </c>
    </row>
    <row r="404" spans="1:45" ht="15">
      <c r="A404" s="66" t="str">
        <f t="shared" si="7"/>
        <v>январь</v>
      </c>
      <c r="B404" s="231">
        <v>2024</v>
      </c>
      <c r="C404" s="60"/>
      <c r="D404" s="61"/>
      <c r="E404" s="211"/>
      <c r="F404" s="680"/>
      <c r="G404" s="47"/>
      <c r="H404" s="563"/>
      <c r="I404" s="563"/>
      <c r="J404" s="563"/>
      <c r="K404" s="563"/>
      <c r="L404" s="563"/>
      <c r="M404" s="563"/>
      <c r="N404" s="563"/>
      <c r="O404" s="563"/>
      <c r="P404" s="300"/>
      <c r="Q404" s="563"/>
      <c r="R404" s="563"/>
      <c r="S404" s="563"/>
      <c r="T404" s="563"/>
      <c r="U404" s="563"/>
      <c r="V404" s="563"/>
      <c r="W404" s="563"/>
      <c r="X404" s="563"/>
      <c r="Y404" s="563"/>
      <c r="Z404" s="563"/>
      <c r="AA404" s="563"/>
      <c r="AB404" s="563"/>
      <c r="AC404" s="563"/>
      <c r="AD404" s="48"/>
      <c r="AE404" s="48"/>
      <c r="AF404" s="48"/>
      <c r="AG404" s="48"/>
      <c r="AH404" s="48"/>
      <c r="AI404" s="48"/>
      <c r="AJ404" s="48"/>
      <c r="AK404" s="48"/>
      <c r="AL404" s="51"/>
      <c r="AM404" s="212">
        <f>IF(AQ404=1,SUM(Q404:T404,W404:Z404,AC404:AF404,AI404:AL404),
IF(AQ404=2,SUM(P404,S404:V404,Y404:AB404,AE404:AH404,AK404:AL404),
IF(AQ404=3,SUM(P404:R404,U404:X404,AA404:AD404,AG404:AJ404),SUM(Таблица1[[#This Row],[1]:[31]])-Таблица1[[#This Row],[Столбец1]])))</f>
        <v>0</v>
      </c>
      <c r="AN404" s="778">
        <f t="array" ref="AN404">IF(AQ404=1,SUM(P404,U404:V404,AA404:AB404,AG404:AH404),
IF(AQ404=2,SUM(Q404:R404,W404:X404,AC404:AD404,AI404:AJ404),
IF(AQ404=3,SUM(S404:T404,Y404:Z404,AE404:AF404,AK404:AL404),
SUM(IFERROR(WEEKDAY($H$2:$AL$2,2)&gt;5,)*H404:AL404))))+Таблица1[[#This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04" s="292" t="b">
        <f>IF(AR404&lt;=3,(IF((G404="5/24"),((база!$M$6*Таблица1[[#This Row],[сумма]]*Таблица1[[#This Row],[коэф]])),
IF((G404="4/24"),((база!$M$5*Таблица1[[#This Row],[сумма]]*Таблица1[[#This Row],[коэф]])),
IF((G404="3/24"),((база!$M$4*Таблица1[[#This Row],[сумма]]*Таблица1[[#This Row],[коэф]])),
IF((G404="5/16"),((база!$L$6*Таблица1[[#This Row],[сумма]]*Таблица1[[#This Row],[коэф]])),
IF((G404="4/16"),((база!$L$5*Таблица1[[#This Row],[сумма]]*Таблица1[[#This Row],[коэф]])),
IF((G404="3/16"),((база!$L$4*Таблица1[[#This Row],[сумма]]*Таблица1[[#This Row],[коэф]])),
IF((G404="4/4"),((база!$I$5*Таблица1[[#This Row],[сумма]]*Таблица1[[#This Row],[коэф]])),
IF(OR(G404="2/4",G404="3/4"),((база!$I$4*Таблица1[[#This Row],[сумма]]*Таблица1[[#This Row],[коэф]])),
IF((G404="5/8"),((база!$J$6*Таблица1[[#This Row],[сумма]]*Таблица1[[#This Row],[коэф]])),
IF((G404="4/8"),((база!$J$5*Таблица1[[#This Row],[сумма]]*Таблица1[[#This Row],[коэф]])),
IF(OR(G404="3/8",G404="2/8"),((база!$J$4*Таблица1[[#This Row],[сумма]]*Таблица1[[#This Row],[коэф]])))))))))))))),
(IF((G404="5/24"),((база!$M$6*Таблица1[[#This Row],[сумма]]*Таблица1[[#This Row],[коэф]])),
IF(OR(G404="4/24",G404="3/24"),((база!$M$5*Таблица1[[#This Row],[сумма]]*Таблица1[[#This Row],[коэф]])),
IF((G404="5/16"),((база!$L$6*Таблица1[[#This Row],[сумма]]*Таблица1[[#This Row],[коэф]])),
IF(OR(G404="4/16",G404="3/16"),((база!$L$5*Таблица1[[#This Row],[сумма]]*Таблица1[[#This Row],[коэф]])),
IF(OR(G404="2/4",G404="3/4",G404="4/4"),((база!$I$5*Таблица1[[#This Row],[сумма]]*Таблица1[[#This Row],[коэф]])),
IF((G404="5/8"),((база!$J$6*Таблица1[[#This Row],[сумма]]*Таблица1[[#This Row],[коэф]])),
IF(OR(G404="4/8",G404="3/8",G404="2/8"),((база!$J$5*Таблица1[[#This Row],[сумма]]*Таблица1[[#This Row],[коэф]])))))))))))</f>
        <v>0</v>
      </c>
      <c r="AP404" s="730" t="b">
        <f>IF(AR404&lt;=3,(IF((G404="5/24"),((база!$M$6*2*Таблица1[[#This Row],[Столбец1]]*Таблица1[[#This Row],[коэф]])),
IF((G404="4/24"),((база!$M$5*2*Таблица1[[#This Row],[Столбец1]]*Таблица1[[#This Row],[коэф]])),
IF((G404="3/24"),((база!$M$4*2*Таблица1[[#This Row],[Столбец1]]*Таблица1[[#This Row],[коэф]])),
IF((G404="5/16"),((база!$L$6*2*Таблица1[[#This Row],[Столбец1]]*Таблица1[[#This Row],[коэф]])),
IF((G404="4/16"),((база!$L$5*2*Таблица1[[#This Row],[Столбец1]]*Таблица1[[#This Row],[коэф]])),
IF((G404="3/16"),((база!$L$4*2*Таблица1[[#This Row],[Столбец1]]*Таблица1[[#This Row],[коэф]])),
IF((G404="4/4"),((база!$I$5*2*Таблица1[[#This Row],[Столбец1]]*Таблица1[[#This Row],[коэф]])),
IF(OR(G404="2/4",G404="3/4"),((база!$I$4*2*Таблица1[[#This Row],[Столбец1]]*Таблица1[[#This Row],[коэф]])),
IF((G404="5/8"),((база!$J$6*2*Таблица1[[#This Row],[Столбец1]]*Таблица1[[#This Row],[коэф]])),
IF((G404="4/8"),((база!$J$5*2*Таблица1[[#This Row],[Столбец1]]*Таблица1[[#This Row],[коэф]])),
IF(OR(G404="3/8",G404="2/8"),((база!$J$4*2*Таблица1[[#This Row],[Столбец1]]*Таблица1[[#This Row],[коэф]])))))))))))))),
(IF((G404="5/24"),((база!$M$6*2*Таблица1[[#This Row],[Столбец1]]*Таблица1[[#This Row],[коэф]])),
IF(OR(G404="4/24",G404="3/24"),((база!$M$5*2*Таблица1[[#This Row],[Столбец1]]*Таблица1[[#This Row],[коэф]])),
IF((G404="5/16"),((база!$L$6*2*Таблица1[[#This Row],[Столбец1]]*Таблица1[[#This Row],[коэф]])),
IF(OR(G404="4/16",G404="3/16"),((база!$L$5*2*Таблица1[[#This Row],[Столбец1]]*Таблица1[[#This Row],[коэф]])),
IF(OR(G404="2/4",G404="3/4",G404="4/4"),((база!$I$5*2*Таблица1[[#This Row],[Столбец1]]*Таблица1[[#This Row],[коэф]])),
IF((G404="5/8"),((база!$J$6*2*Таблица1[[#This Row],[Столбец1]]*Таблица1[[#This Row],[коэф]])),
IF(OR(G404="4/8",G404="3/8",G404="2/8"),((база!$J$5*2*Таблица1[[#This Row],[Столбец1]]*Таблица1[[#This Row],[коэф]])))))))))))</f>
        <v>0</v>
      </c>
      <c r="AQ404" s="712" t="str">
        <f>IFERROR(INDEX(база!T:T, MATCH(F404,база!Q:Q,0)),"")</f>
        <v/>
      </c>
      <c r="AR404" s="208" t="str">
        <f>IFERROR(INDEX(база!D:D, MATCH(F404,база!B:B,0)),"")</f>
        <v/>
      </c>
      <c r="AS404" s="758" t="str">
        <f>IFERROR(INDEX(база!E:E, MATCH(F404,база!B:B,0)),"")</f>
        <v/>
      </c>
    </row>
    <row r="405" spans="1:45" ht="15">
      <c r="A405" s="66" t="str">
        <f t="shared" si="7"/>
        <v>январь</v>
      </c>
      <c r="B405" s="231">
        <v>2024</v>
      </c>
      <c r="C405" s="299"/>
      <c r="D405" s="61"/>
      <c r="E405" s="211"/>
      <c r="F405" s="680"/>
      <c r="G405" s="47"/>
      <c r="H405" s="563"/>
      <c r="I405" s="563"/>
      <c r="J405" s="563"/>
      <c r="K405" s="563"/>
      <c r="L405" s="563"/>
      <c r="M405" s="563"/>
      <c r="N405" s="563"/>
      <c r="O405" s="563"/>
      <c r="P405" s="300"/>
      <c r="Q405" s="563"/>
      <c r="R405" s="563"/>
      <c r="S405" s="563"/>
      <c r="T405" s="563"/>
      <c r="U405" s="563"/>
      <c r="V405" s="563"/>
      <c r="W405" s="563"/>
      <c r="X405" s="563"/>
      <c r="Y405" s="563"/>
      <c r="Z405" s="563"/>
      <c r="AA405" s="563"/>
      <c r="AB405" s="563"/>
      <c r="AC405" s="563"/>
      <c r="AD405" s="48"/>
      <c r="AE405" s="48"/>
      <c r="AF405" s="258"/>
      <c r="AG405" s="258"/>
      <c r="AH405" s="258"/>
      <c r="AI405" s="258"/>
      <c r="AJ405" s="258"/>
      <c r="AK405" s="258"/>
      <c r="AL405" s="258"/>
      <c r="AM405" s="212">
        <f>IF(AQ405=1,SUM(Q405:T405,W405:Z405,AC405:AF405,AI405:AL405),
IF(AQ405=2,SUM(P405,S405:V405,Y405:AB405,AE405:AH405,AK405:AL405),
IF(AQ405=3,SUM(P405:R405,U405:X405,AA405:AD405,AG405:AJ405),SUM(Таблица1[[#This Row],[1]:[31]])-Таблица1[[#This Row],[Столбец1]])))</f>
        <v>0</v>
      </c>
      <c r="AN405" s="778">
        <f t="array" ref="AN405">IF(AQ405=1,SUM(P405,U405:V405,AA405:AB405,AG405:AH405),
IF(AQ405=2,SUM(Q405:R405,W405:X405,AC405:AD405,AI405:AJ405),
IF(AQ405=3,SUM(S405:T405,Y405:Z405,AE405:AF405,AK405:AL405),
SUM(IFERROR(WEEKDAY($H$2:$AL$2,2)&gt;5,)*H405:AL405))))+Таблица1[[#This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05" s="292" t="b">
        <f>IF(AR405&lt;=3,(IF((G405="5/24"),((база!$M$6*Таблица1[[#This Row],[сумма]]*Таблица1[[#This Row],[коэф]])),
IF((G405="4/24"),((база!$M$5*Таблица1[[#This Row],[сумма]]*Таблица1[[#This Row],[коэф]])),
IF((G405="3/24"),((база!$M$4*Таблица1[[#This Row],[сумма]]*Таблица1[[#This Row],[коэф]])),
IF((G405="5/16"),((база!$L$6*Таблица1[[#This Row],[сумма]]*Таблица1[[#This Row],[коэф]])),
IF((G405="4/16"),((база!$L$5*Таблица1[[#This Row],[сумма]]*Таблица1[[#This Row],[коэф]])),
IF((G405="3/16"),((база!$L$4*Таблица1[[#This Row],[сумма]]*Таблица1[[#This Row],[коэф]])),
IF((G405="4/4"),((база!$I$5*Таблица1[[#This Row],[сумма]]*Таблица1[[#This Row],[коэф]])),
IF(OR(G405="2/4",G405="3/4"),((база!$I$4*Таблица1[[#This Row],[сумма]]*Таблица1[[#This Row],[коэф]])),
IF((G405="5/8"),((база!$J$6*Таблица1[[#This Row],[сумма]]*Таблица1[[#This Row],[коэф]])),
IF((G405="4/8"),((база!$J$5*Таблица1[[#This Row],[сумма]]*Таблица1[[#This Row],[коэф]])),
IF(OR(G405="3/8",G405="2/8"),((база!$J$4*Таблица1[[#This Row],[сумма]]*Таблица1[[#This Row],[коэф]])))))))))))))),
(IF((G405="5/24"),((база!$M$6*Таблица1[[#This Row],[сумма]]*Таблица1[[#This Row],[коэф]])),
IF(OR(G405="4/24",G405="3/24"),((база!$M$5*Таблица1[[#This Row],[сумма]]*Таблица1[[#This Row],[коэф]])),
IF((G405="5/16"),((база!$L$6*Таблица1[[#This Row],[сумма]]*Таблица1[[#This Row],[коэф]])),
IF(OR(G405="4/16",G405="3/16"),((база!$L$5*Таблица1[[#This Row],[сумма]]*Таблица1[[#This Row],[коэф]])),
IF(OR(G405="2/4",G405="3/4",G405="4/4"),((база!$I$5*Таблица1[[#This Row],[сумма]]*Таблица1[[#This Row],[коэф]])),
IF((G405="5/8"),((база!$J$6*Таблица1[[#This Row],[сумма]]*Таблица1[[#This Row],[коэф]])),
IF(OR(G405="4/8",G405="3/8",G405="2/8"),((база!$J$5*Таблица1[[#This Row],[сумма]]*Таблица1[[#This Row],[коэф]])))))))))))</f>
        <v>0</v>
      </c>
      <c r="AP405" s="730" t="b">
        <f>IF(AR405&lt;=3,(IF((G405="5/24"),((база!$M$6*2*Таблица1[[#This Row],[Столбец1]]*Таблица1[[#This Row],[коэф]])),
IF((G405="4/24"),((база!$M$5*2*Таблица1[[#This Row],[Столбец1]]*Таблица1[[#This Row],[коэф]])),
IF((G405="3/24"),((база!$M$4*2*Таблица1[[#This Row],[Столбец1]]*Таблица1[[#This Row],[коэф]])),
IF((G405="5/16"),((база!$L$6*2*Таблица1[[#This Row],[Столбец1]]*Таблица1[[#This Row],[коэф]])),
IF((G405="4/16"),((база!$L$5*2*Таблица1[[#This Row],[Столбец1]]*Таблица1[[#This Row],[коэф]])),
IF((G405="3/16"),((база!$L$4*2*Таблица1[[#This Row],[Столбец1]]*Таблица1[[#This Row],[коэф]])),
IF((G405="4/4"),((база!$I$5*2*Таблица1[[#This Row],[Столбец1]]*Таблица1[[#This Row],[коэф]])),
IF(OR(G405="2/4",G405="3/4"),((база!$I$4*2*Таблица1[[#This Row],[Столбец1]]*Таблица1[[#This Row],[коэф]])),
IF((G405="5/8"),((база!$J$6*2*Таблица1[[#This Row],[Столбец1]]*Таблица1[[#This Row],[коэф]])),
IF((G405="4/8"),((база!$J$5*2*Таблица1[[#This Row],[Столбец1]]*Таблица1[[#This Row],[коэф]])),
IF(OR(G405="3/8",G405="2/8"),((база!$J$4*2*Таблица1[[#This Row],[Столбец1]]*Таблица1[[#This Row],[коэф]])))))))))))))),
(IF((G405="5/24"),((база!$M$6*2*Таблица1[[#This Row],[Столбец1]]*Таблица1[[#This Row],[коэф]])),
IF(OR(G405="4/24",G405="3/24"),((база!$M$5*2*Таблица1[[#This Row],[Столбец1]]*Таблица1[[#This Row],[коэф]])),
IF((G405="5/16"),((база!$L$6*2*Таблица1[[#This Row],[Столбец1]]*Таблица1[[#This Row],[коэф]])),
IF(OR(G405="4/16",G405="3/16"),((база!$L$5*2*Таблица1[[#This Row],[Столбец1]]*Таблица1[[#This Row],[коэф]])),
IF(OR(G405="2/4",G405="3/4",G405="4/4"),((база!$I$5*2*Таблица1[[#This Row],[Столбец1]]*Таблица1[[#This Row],[коэф]])),
IF((G405="5/8"),((база!$J$6*2*Таблица1[[#This Row],[Столбец1]]*Таблица1[[#This Row],[коэф]])),
IF(OR(G405="4/8",G405="3/8",G405="2/8"),((база!$J$5*2*Таблица1[[#This Row],[Столбец1]]*Таблица1[[#This Row],[коэф]])))))))))))</f>
        <v>0</v>
      </c>
      <c r="AQ405" s="712" t="str">
        <f>IFERROR(INDEX(база!T:T, MATCH(F405,база!Q:Q,0)),"")</f>
        <v/>
      </c>
      <c r="AR405" s="208" t="str">
        <f>IFERROR(INDEX(база!D:D, MATCH(F405,база!B:B,0)),"")</f>
        <v/>
      </c>
      <c r="AS405" s="758" t="str">
        <f>IFERROR(INDEX(база!E:E, MATCH(F405,база!B:B,0)),"")</f>
        <v/>
      </c>
    </row>
    <row r="406" spans="1:45" ht="15">
      <c r="A406" s="66" t="str">
        <f t="shared" si="7"/>
        <v>январь</v>
      </c>
      <c r="B406" s="231">
        <v>2024</v>
      </c>
      <c r="C406" s="60"/>
      <c r="D406" s="61"/>
      <c r="E406" s="211"/>
      <c r="F406" s="680"/>
      <c r="G406" s="47"/>
      <c r="H406" s="563"/>
      <c r="I406" s="563"/>
      <c r="J406" s="563"/>
      <c r="K406" s="563"/>
      <c r="L406" s="563"/>
      <c r="M406" s="563"/>
      <c r="N406" s="563"/>
      <c r="O406" s="563"/>
      <c r="P406" s="300"/>
      <c r="Q406" s="563"/>
      <c r="R406" s="563"/>
      <c r="S406" s="563"/>
      <c r="T406" s="563"/>
      <c r="U406" s="563"/>
      <c r="V406" s="563"/>
      <c r="W406" s="563"/>
      <c r="X406" s="563"/>
      <c r="Y406" s="563"/>
      <c r="Z406" s="563"/>
      <c r="AA406" s="563"/>
      <c r="AB406" s="563"/>
      <c r="AC406" s="563"/>
      <c r="AD406" s="48"/>
      <c r="AE406" s="48"/>
      <c r="AF406" s="258"/>
      <c r="AG406" s="48"/>
      <c r="AH406" s="48"/>
      <c r="AI406" s="48"/>
      <c r="AJ406" s="48"/>
      <c r="AK406" s="48"/>
      <c r="AL406" s="51"/>
      <c r="AM406" s="212">
        <f>IF(AQ406=1,SUM(Q406:T406,W406:Z406,AC406:AF406,AI406:AL406),
IF(AQ406=2,SUM(P406,S406:V406,Y406:AB406,AE406:AH406,AK406:AL406),
IF(AQ406=3,SUM(P406:R406,U406:X406,AA406:AD406,AG406:AJ406),SUM(Таблица1[[#This Row],[1]:[31]])-Таблица1[[#This Row],[Столбец1]])))</f>
        <v>0</v>
      </c>
      <c r="AN406" s="778">
        <f t="array" ref="AN406">IF(AQ406=1,SUM(P406,U406:V406,AA406:AB406,AG406:AH406),
IF(AQ406=2,SUM(Q406:R406,W406:X406,AC406:AD406,AI406:AJ406),
IF(AQ406=3,SUM(S406:T406,Y406:Z406,AE406:AF406,AK406:AL406),
SUM(IFERROR(WEEKDAY($H$2:$AL$2,2)&gt;5,)*H406:AL406))))+Таблица1[[#This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06" s="292" t="b">
        <f>IF(AR406&lt;=3,(IF((G406="5/24"),((база!$M$6*Таблица1[[#This Row],[сумма]]*Таблица1[[#This Row],[коэф]])),
IF((G406="4/24"),((база!$M$5*Таблица1[[#This Row],[сумма]]*Таблица1[[#This Row],[коэф]])),
IF((G406="3/24"),((база!$M$4*Таблица1[[#This Row],[сумма]]*Таблица1[[#This Row],[коэф]])),
IF((G406="5/16"),((база!$L$6*Таблица1[[#This Row],[сумма]]*Таблица1[[#This Row],[коэф]])),
IF((G406="4/16"),((база!$L$5*Таблица1[[#This Row],[сумма]]*Таблица1[[#This Row],[коэф]])),
IF((G406="3/16"),((база!$L$4*Таблица1[[#This Row],[сумма]]*Таблица1[[#This Row],[коэф]])),
IF((G406="4/4"),((база!$I$5*Таблица1[[#This Row],[сумма]]*Таблица1[[#This Row],[коэф]])),
IF(OR(G406="2/4",G406="3/4"),((база!$I$4*Таблица1[[#This Row],[сумма]]*Таблица1[[#This Row],[коэф]])),
IF((G406="5/8"),((база!$J$6*Таблица1[[#This Row],[сумма]]*Таблица1[[#This Row],[коэф]])),
IF((G406="4/8"),((база!$J$5*Таблица1[[#This Row],[сумма]]*Таблица1[[#This Row],[коэф]])),
IF(OR(G406="3/8",G406="2/8"),((база!$J$4*Таблица1[[#This Row],[сумма]]*Таблица1[[#This Row],[коэф]])))))))))))))),
(IF((G406="5/24"),((база!$M$6*Таблица1[[#This Row],[сумма]]*Таблица1[[#This Row],[коэф]])),
IF(OR(G406="4/24",G406="3/24"),((база!$M$5*Таблица1[[#This Row],[сумма]]*Таблица1[[#This Row],[коэф]])),
IF((G406="5/16"),((база!$L$6*Таблица1[[#This Row],[сумма]]*Таблица1[[#This Row],[коэф]])),
IF(OR(G406="4/16",G406="3/16"),((база!$L$5*Таблица1[[#This Row],[сумма]]*Таблица1[[#This Row],[коэф]])),
IF(OR(G406="2/4",G406="3/4",G406="4/4"),((база!$I$5*Таблица1[[#This Row],[сумма]]*Таблица1[[#This Row],[коэф]])),
IF((G406="5/8"),((база!$J$6*Таблица1[[#This Row],[сумма]]*Таблица1[[#This Row],[коэф]])),
IF(OR(G406="4/8",G406="3/8",G406="2/8"),((база!$J$5*Таблица1[[#This Row],[сумма]]*Таблица1[[#This Row],[коэф]])))))))))))</f>
        <v>0</v>
      </c>
      <c r="AP406" s="730" t="b">
        <f>IF(AR406&lt;=3,(IF((G406="5/24"),((база!$M$6*2*Таблица1[[#This Row],[Столбец1]]*Таблица1[[#This Row],[коэф]])),
IF((G406="4/24"),((база!$M$5*2*Таблица1[[#This Row],[Столбец1]]*Таблица1[[#This Row],[коэф]])),
IF((G406="3/24"),((база!$M$4*2*Таблица1[[#This Row],[Столбец1]]*Таблица1[[#This Row],[коэф]])),
IF((G406="5/16"),((база!$L$6*2*Таблица1[[#This Row],[Столбец1]]*Таблица1[[#This Row],[коэф]])),
IF((G406="4/16"),((база!$L$5*2*Таблица1[[#This Row],[Столбец1]]*Таблица1[[#This Row],[коэф]])),
IF((G406="3/16"),((база!$L$4*2*Таблица1[[#This Row],[Столбец1]]*Таблица1[[#This Row],[коэф]])),
IF((G406="4/4"),((база!$I$5*2*Таблица1[[#This Row],[Столбец1]]*Таблица1[[#This Row],[коэф]])),
IF(OR(G406="2/4",G406="3/4"),((база!$I$4*2*Таблица1[[#This Row],[Столбец1]]*Таблица1[[#This Row],[коэф]])),
IF((G406="5/8"),((база!$J$6*2*Таблица1[[#This Row],[Столбец1]]*Таблица1[[#This Row],[коэф]])),
IF((G406="4/8"),((база!$J$5*2*Таблица1[[#This Row],[Столбец1]]*Таблица1[[#This Row],[коэф]])),
IF(OR(G406="3/8",G406="2/8"),((база!$J$4*2*Таблица1[[#This Row],[Столбец1]]*Таблица1[[#This Row],[коэф]])))))))))))))),
(IF((G406="5/24"),((база!$M$6*2*Таблица1[[#This Row],[Столбец1]]*Таблица1[[#This Row],[коэф]])),
IF(OR(G406="4/24",G406="3/24"),((база!$M$5*2*Таблица1[[#This Row],[Столбец1]]*Таблица1[[#This Row],[коэф]])),
IF((G406="5/16"),((база!$L$6*2*Таблица1[[#This Row],[Столбец1]]*Таблица1[[#This Row],[коэф]])),
IF(OR(G406="4/16",G406="3/16"),((база!$L$5*2*Таблица1[[#This Row],[Столбец1]]*Таблица1[[#This Row],[коэф]])),
IF(OR(G406="2/4",G406="3/4",G406="4/4"),((база!$I$5*2*Таблица1[[#This Row],[Столбец1]]*Таблица1[[#This Row],[коэф]])),
IF((G406="5/8"),((база!$J$6*2*Таблица1[[#This Row],[Столбец1]]*Таблица1[[#This Row],[коэф]])),
IF(OR(G406="4/8",G406="3/8",G406="2/8"),((база!$J$5*2*Таблица1[[#This Row],[Столбец1]]*Таблица1[[#This Row],[коэф]])))))))))))</f>
        <v>0</v>
      </c>
      <c r="AQ406" s="712" t="str">
        <f>IFERROR(INDEX(база!T:T, MATCH(F406,база!Q:Q,0)),"")</f>
        <v/>
      </c>
      <c r="AR406" s="208" t="str">
        <f>IFERROR(INDEX(база!D:D, MATCH(F406,база!B:B,0)),"")</f>
        <v/>
      </c>
      <c r="AS406" s="758" t="str">
        <f>IFERROR(INDEX(база!E:E, MATCH(F406,база!B:B,0)),"")</f>
        <v/>
      </c>
    </row>
    <row r="407" spans="1:45" ht="15">
      <c r="A407" s="66" t="str">
        <f t="shared" si="7"/>
        <v>январь</v>
      </c>
      <c r="B407" s="231">
        <v>2024</v>
      </c>
      <c r="C407" s="60"/>
      <c r="D407" s="61"/>
      <c r="E407" s="211"/>
      <c r="F407" s="680"/>
      <c r="G407" s="47"/>
      <c r="H407" s="563"/>
      <c r="I407" s="563"/>
      <c r="J407" s="563"/>
      <c r="K407" s="563"/>
      <c r="L407" s="563"/>
      <c r="M407" s="563"/>
      <c r="N407" s="563"/>
      <c r="O407" s="563"/>
      <c r="P407" s="300"/>
      <c r="Q407" s="563"/>
      <c r="R407" s="563"/>
      <c r="S407" s="563"/>
      <c r="T407" s="563"/>
      <c r="U407" s="563"/>
      <c r="V407" s="563"/>
      <c r="W407" s="563"/>
      <c r="X407" s="563"/>
      <c r="Y407" s="563"/>
      <c r="Z407" s="563"/>
      <c r="AA407" s="563"/>
      <c r="AB407" s="563"/>
      <c r="AC407" s="563"/>
      <c r="AD407" s="48"/>
      <c r="AE407" s="48"/>
      <c r="AF407" s="48"/>
      <c r="AG407" s="48"/>
      <c r="AH407" s="48"/>
      <c r="AI407" s="48"/>
      <c r="AJ407" s="258"/>
      <c r="AK407" s="258"/>
      <c r="AL407" s="258"/>
      <c r="AM407" s="212">
        <f>IF(AQ407=1,SUM(Q407:T407,W407:Z407,AC407:AF407,AI407:AL407),
IF(AQ407=2,SUM(P407,S407:V407,Y407:AB407,AE407:AH407,AK407:AL407),
IF(AQ407=3,SUM(P407:R407,U407:X407,AA407:AD407,AG407:AJ407),SUM(Таблица1[[#This Row],[1]:[31]])-Таблица1[[#This Row],[Столбец1]])))</f>
        <v>0</v>
      </c>
      <c r="AN407" s="778">
        <f t="array" ref="AN407">IF(AQ407=1,SUM(P407,U407:V407,AA407:AB407,AG407:AH407),
IF(AQ407=2,SUM(Q407:R407,W407:X407,AC407:AD407,AI407:AJ407),
IF(AQ407=3,SUM(S407:T407,Y407:Z407,AE407:AF407,AK407:AL407),
SUM(IFERROR(WEEKDAY($H$2:$AL$2,2)&gt;5,)*H407:AL407))))+Таблица1[[#This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07" s="292" t="b">
        <f>IF(AR407&lt;=3,(IF((G407="5/24"),((база!$M$6*Таблица1[[#This Row],[сумма]]*Таблица1[[#This Row],[коэф]])),
IF((G407="4/24"),((база!$M$5*Таблица1[[#This Row],[сумма]]*Таблица1[[#This Row],[коэф]])),
IF((G407="3/24"),((база!$M$4*Таблица1[[#This Row],[сумма]]*Таблица1[[#This Row],[коэф]])),
IF((G407="5/16"),((база!$L$6*Таблица1[[#This Row],[сумма]]*Таблица1[[#This Row],[коэф]])),
IF((G407="4/16"),((база!$L$5*Таблица1[[#This Row],[сумма]]*Таблица1[[#This Row],[коэф]])),
IF((G407="3/16"),((база!$L$4*Таблица1[[#This Row],[сумма]]*Таблица1[[#This Row],[коэф]])),
IF((G407="4/4"),((база!$I$5*Таблица1[[#This Row],[сумма]]*Таблица1[[#This Row],[коэф]])),
IF(OR(G407="2/4",G407="3/4"),((база!$I$4*Таблица1[[#This Row],[сумма]]*Таблица1[[#This Row],[коэф]])),
IF((G407="5/8"),((база!$J$6*Таблица1[[#This Row],[сумма]]*Таблица1[[#This Row],[коэф]])),
IF((G407="4/8"),((база!$J$5*Таблица1[[#This Row],[сумма]]*Таблица1[[#This Row],[коэф]])),
IF(OR(G407="3/8",G407="2/8"),((база!$J$4*Таблица1[[#This Row],[сумма]]*Таблица1[[#This Row],[коэф]])))))))))))))),
(IF((G407="5/24"),((база!$M$6*Таблица1[[#This Row],[сумма]]*Таблица1[[#This Row],[коэф]])),
IF(OR(G407="4/24",G407="3/24"),((база!$M$5*Таблица1[[#This Row],[сумма]]*Таблица1[[#This Row],[коэф]])),
IF((G407="5/16"),((база!$L$6*Таблица1[[#This Row],[сумма]]*Таблица1[[#This Row],[коэф]])),
IF(OR(G407="4/16",G407="3/16"),((база!$L$5*Таблица1[[#This Row],[сумма]]*Таблица1[[#This Row],[коэф]])),
IF(OR(G407="2/4",G407="3/4",G407="4/4"),((база!$I$5*Таблица1[[#This Row],[сумма]]*Таблица1[[#This Row],[коэф]])),
IF((G407="5/8"),((база!$J$6*Таблица1[[#This Row],[сумма]]*Таблица1[[#This Row],[коэф]])),
IF(OR(G407="4/8",G407="3/8",G407="2/8"),((база!$J$5*Таблица1[[#This Row],[сумма]]*Таблица1[[#This Row],[коэф]])))))))))))</f>
        <v>0</v>
      </c>
      <c r="AP407" s="730" t="b">
        <f>IF(AR407&lt;=3,(IF((G407="5/24"),((база!$M$6*2*Таблица1[[#This Row],[Столбец1]]*Таблица1[[#This Row],[коэф]])),
IF((G407="4/24"),((база!$M$5*2*Таблица1[[#This Row],[Столбец1]]*Таблица1[[#This Row],[коэф]])),
IF((G407="3/24"),((база!$M$4*2*Таблица1[[#This Row],[Столбец1]]*Таблица1[[#This Row],[коэф]])),
IF((G407="5/16"),((база!$L$6*2*Таблица1[[#This Row],[Столбец1]]*Таблица1[[#This Row],[коэф]])),
IF((G407="4/16"),((база!$L$5*2*Таблица1[[#This Row],[Столбец1]]*Таблица1[[#This Row],[коэф]])),
IF((G407="3/16"),((база!$L$4*2*Таблица1[[#This Row],[Столбец1]]*Таблица1[[#This Row],[коэф]])),
IF((G407="4/4"),((база!$I$5*2*Таблица1[[#This Row],[Столбец1]]*Таблица1[[#This Row],[коэф]])),
IF(OR(G407="2/4",G407="3/4"),((база!$I$4*2*Таблица1[[#This Row],[Столбец1]]*Таблица1[[#This Row],[коэф]])),
IF((G407="5/8"),((база!$J$6*2*Таблица1[[#This Row],[Столбец1]]*Таблица1[[#This Row],[коэф]])),
IF((G407="4/8"),((база!$J$5*2*Таблица1[[#This Row],[Столбец1]]*Таблица1[[#This Row],[коэф]])),
IF(OR(G407="3/8",G407="2/8"),((база!$J$4*2*Таблица1[[#This Row],[Столбец1]]*Таблица1[[#This Row],[коэф]])))))))))))))),
(IF((G407="5/24"),((база!$M$6*2*Таблица1[[#This Row],[Столбец1]]*Таблица1[[#This Row],[коэф]])),
IF(OR(G407="4/24",G407="3/24"),((база!$M$5*2*Таблица1[[#This Row],[Столбец1]]*Таблица1[[#This Row],[коэф]])),
IF((G407="5/16"),((база!$L$6*2*Таблица1[[#This Row],[Столбец1]]*Таблица1[[#This Row],[коэф]])),
IF(OR(G407="4/16",G407="3/16"),((база!$L$5*2*Таблица1[[#This Row],[Столбец1]]*Таблица1[[#This Row],[коэф]])),
IF(OR(G407="2/4",G407="3/4",G407="4/4"),((база!$I$5*2*Таблица1[[#This Row],[Столбец1]]*Таблица1[[#This Row],[коэф]])),
IF((G407="5/8"),((база!$J$6*2*Таблица1[[#This Row],[Столбец1]]*Таблица1[[#This Row],[коэф]])),
IF(OR(G407="4/8",G407="3/8",G407="2/8"),((база!$J$5*2*Таблица1[[#This Row],[Столбец1]]*Таблица1[[#This Row],[коэф]])))))))))))</f>
        <v>0</v>
      </c>
      <c r="AQ407" s="712" t="str">
        <f>IFERROR(INDEX(база!T:T, MATCH(F407,база!Q:Q,0)),"")</f>
        <v/>
      </c>
      <c r="AR407" s="208" t="str">
        <f>IFERROR(INDEX(база!D:D, MATCH(F407,база!B:B,0)),"")</f>
        <v/>
      </c>
      <c r="AS407" s="758" t="str">
        <f>IFERROR(INDEX(база!E:E, MATCH(F407,база!B:B,0)),"")</f>
        <v/>
      </c>
    </row>
    <row r="408" spans="1:45" ht="15">
      <c r="A408" s="66" t="str">
        <f t="shared" si="7"/>
        <v>январь</v>
      </c>
      <c r="B408" s="231">
        <v>2024</v>
      </c>
      <c r="C408" s="60"/>
      <c r="D408" s="61"/>
      <c r="E408" s="211"/>
      <c r="F408" s="680"/>
      <c r="G408" s="47"/>
      <c r="H408" s="563"/>
      <c r="I408" s="563"/>
      <c r="J408" s="563"/>
      <c r="K408" s="563"/>
      <c r="L408" s="563"/>
      <c r="M408" s="563"/>
      <c r="N408" s="563"/>
      <c r="O408" s="563"/>
      <c r="P408" s="300"/>
      <c r="Q408" s="563"/>
      <c r="R408" s="563"/>
      <c r="S408" s="563"/>
      <c r="T408" s="563"/>
      <c r="U408" s="563"/>
      <c r="V408" s="563"/>
      <c r="W408" s="563"/>
      <c r="X408" s="563"/>
      <c r="Y408" s="563"/>
      <c r="Z408" s="563"/>
      <c r="AA408" s="563"/>
      <c r="AB408" s="563"/>
      <c r="AC408" s="563"/>
      <c r="AD408" s="48"/>
      <c r="AE408" s="48"/>
      <c r="AF408" s="258"/>
      <c r="AG408" s="48"/>
      <c r="AH408" s="48"/>
      <c r="AI408" s="48"/>
      <c r="AJ408" s="48"/>
      <c r="AK408" s="48"/>
      <c r="AL408" s="51"/>
      <c r="AM408" s="212">
        <f>IF(AQ408=1,SUM(Q408:T408,W408:Z408,AC408:AF408,AI408:AL408),
IF(AQ408=2,SUM(P408,S408:V408,Y408:AB408,AE408:AH408,AK408:AL408),
IF(AQ408=3,SUM(P408:R408,U408:X408,AA408:AD408,AG408:AJ408),SUM(Таблица1[[#This Row],[1]:[31]])-Таблица1[[#This Row],[Столбец1]])))</f>
        <v>0</v>
      </c>
      <c r="AN408" s="778">
        <f t="array" ref="AN408">IF(AQ408=1,SUM(P408,U408:V408,AA408:AB408,AG408:AH408),
IF(AQ408=2,SUM(Q408:R408,W408:X408,AC408:AD408,AI408:AJ408),
IF(AQ408=3,SUM(S408:T408,Y408:Z408,AE408:AF408,AK408:AL408),
SUM(IFERROR(WEEKDAY($H$2:$AL$2,2)&gt;5,)*H408:AL408))))+Таблица1[[#This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08" s="292" t="b">
        <f>IF(AR408&lt;=3,(IF((G408="5/24"),((база!$M$6*Таблица1[[#This Row],[сумма]]*Таблица1[[#This Row],[коэф]])),
IF((G408="4/24"),((база!$M$5*Таблица1[[#This Row],[сумма]]*Таблица1[[#This Row],[коэф]])),
IF((G408="3/24"),((база!$M$4*Таблица1[[#This Row],[сумма]]*Таблица1[[#This Row],[коэф]])),
IF((G408="5/16"),((база!$L$6*Таблица1[[#This Row],[сумма]]*Таблица1[[#This Row],[коэф]])),
IF((G408="4/16"),((база!$L$5*Таблица1[[#This Row],[сумма]]*Таблица1[[#This Row],[коэф]])),
IF((G408="3/16"),((база!$L$4*Таблица1[[#This Row],[сумма]]*Таблица1[[#This Row],[коэф]])),
IF((G408="4/4"),((база!$I$5*Таблица1[[#This Row],[сумма]]*Таблица1[[#This Row],[коэф]])),
IF(OR(G408="2/4",G408="3/4"),((база!$I$4*Таблица1[[#This Row],[сумма]]*Таблица1[[#This Row],[коэф]])),
IF((G408="5/8"),((база!$J$6*Таблица1[[#This Row],[сумма]]*Таблица1[[#This Row],[коэф]])),
IF((G408="4/8"),((база!$J$5*Таблица1[[#This Row],[сумма]]*Таблица1[[#This Row],[коэф]])),
IF(OR(G408="3/8",G408="2/8"),((база!$J$4*Таблица1[[#This Row],[сумма]]*Таблица1[[#This Row],[коэф]])))))))))))))),
(IF((G408="5/24"),((база!$M$6*Таблица1[[#This Row],[сумма]]*Таблица1[[#This Row],[коэф]])),
IF(OR(G408="4/24",G408="3/24"),((база!$M$5*Таблица1[[#This Row],[сумма]]*Таблица1[[#This Row],[коэф]])),
IF((G408="5/16"),((база!$L$6*Таблица1[[#This Row],[сумма]]*Таблица1[[#This Row],[коэф]])),
IF(OR(G408="4/16",G408="3/16"),((база!$L$5*Таблица1[[#This Row],[сумма]]*Таблица1[[#This Row],[коэф]])),
IF(OR(G408="2/4",G408="3/4",G408="4/4"),((база!$I$5*Таблица1[[#This Row],[сумма]]*Таблица1[[#This Row],[коэф]])),
IF((G408="5/8"),((база!$J$6*Таблица1[[#This Row],[сумма]]*Таблица1[[#This Row],[коэф]])),
IF(OR(G408="4/8",G408="3/8",G408="2/8"),((база!$J$5*Таблица1[[#This Row],[сумма]]*Таблица1[[#This Row],[коэф]])))))))))))</f>
        <v>0</v>
      </c>
      <c r="AP408" s="730" t="b">
        <f>IF(AR408&lt;=3,(IF((G408="5/24"),((база!$M$6*2*Таблица1[[#This Row],[Столбец1]]*Таблица1[[#This Row],[коэф]])),
IF((G408="4/24"),((база!$M$5*2*Таблица1[[#This Row],[Столбец1]]*Таблица1[[#This Row],[коэф]])),
IF((G408="3/24"),((база!$M$4*2*Таблица1[[#This Row],[Столбец1]]*Таблица1[[#This Row],[коэф]])),
IF((G408="5/16"),((база!$L$6*2*Таблица1[[#This Row],[Столбец1]]*Таблица1[[#This Row],[коэф]])),
IF((G408="4/16"),((база!$L$5*2*Таблица1[[#This Row],[Столбец1]]*Таблица1[[#This Row],[коэф]])),
IF((G408="3/16"),((база!$L$4*2*Таблица1[[#This Row],[Столбец1]]*Таблица1[[#This Row],[коэф]])),
IF((G408="4/4"),((база!$I$5*2*Таблица1[[#This Row],[Столбец1]]*Таблица1[[#This Row],[коэф]])),
IF(OR(G408="2/4",G408="3/4"),((база!$I$4*2*Таблица1[[#This Row],[Столбец1]]*Таблица1[[#This Row],[коэф]])),
IF((G408="5/8"),((база!$J$6*2*Таблица1[[#This Row],[Столбец1]]*Таблица1[[#This Row],[коэф]])),
IF((G408="4/8"),((база!$J$5*2*Таблица1[[#This Row],[Столбец1]]*Таблица1[[#This Row],[коэф]])),
IF(OR(G408="3/8",G408="2/8"),((база!$J$4*2*Таблица1[[#This Row],[Столбец1]]*Таблица1[[#This Row],[коэф]])))))))))))))),
(IF((G408="5/24"),((база!$M$6*2*Таблица1[[#This Row],[Столбец1]]*Таблица1[[#This Row],[коэф]])),
IF(OR(G408="4/24",G408="3/24"),((база!$M$5*2*Таблица1[[#This Row],[Столбец1]]*Таблица1[[#This Row],[коэф]])),
IF((G408="5/16"),((база!$L$6*2*Таблица1[[#This Row],[Столбец1]]*Таблица1[[#This Row],[коэф]])),
IF(OR(G408="4/16",G408="3/16"),((база!$L$5*2*Таблица1[[#This Row],[Столбец1]]*Таблица1[[#This Row],[коэф]])),
IF(OR(G408="2/4",G408="3/4",G408="4/4"),((база!$I$5*2*Таблица1[[#This Row],[Столбец1]]*Таблица1[[#This Row],[коэф]])),
IF((G408="5/8"),((база!$J$6*2*Таблица1[[#This Row],[Столбец1]]*Таблица1[[#This Row],[коэф]])),
IF(OR(G408="4/8",G408="3/8",G408="2/8"),((база!$J$5*2*Таблица1[[#This Row],[Столбец1]]*Таблица1[[#This Row],[коэф]])))))))))))</f>
        <v>0</v>
      </c>
      <c r="AQ408" s="712" t="str">
        <f>IFERROR(INDEX(база!T:T, MATCH(F408,база!Q:Q,0)),"")</f>
        <v/>
      </c>
      <c r="AR408" s="208" t="str">
        <f>IFERROR(INDEX(база!D:D, MATCH(F408,база!B:B,0)),"")</f>
        <v/>
      </c>
      <c r="AS408" s="758" t="str">
        <f>IFERROR(INDEX(база!E:E, MATCH(F408,база!B:B,0)),"")</f>
        <v/>
      </c>
    </row>
    <row r="409" spans="1:45" ht="15">
      <c r="A409" s="66" t="str">
        <f t="shared" si="7"/>
        <v>январь</v>
      </c>
      <c r="B409" s="231">
        <v>2024</v>
      </c>
      <c r="C409" s="299"/>
      <c r="D409" s="61"/>
      <c r="E409" s="211"/>
      <c r="F409" s="680"/>
      <c r="G409" s="47"/>
      <c r="H409" s="563"/>
      <c r="I409" s="563"/>
      <c r="J409" s="563"/>
      <c r="K409" s="563"/>
      <c r="L409" s="563"/>
      <c r="M409" s="563"/>
      <c r="N409" s="563"/>
      <c r="O409" s="563"/>
      <c r="P409" s="300"/>
      <c r="Q409" s="563"/>
      <c r="R409" s="563"/>
      <c r="S409" s="563"/>
      <c r="T409" s="563"/>
      <c r="U409" s="563"/>
      <c r="V409" s="563"/>
      <c r="W409" s="563"/>
      <c r="X409" s="563"/>
      <c r="Y409" s="563"/>
      <c r="Z409" s="563"/>
      <c r="AA409" s="563"/>
      <c r="AB409" s="563"/>
      <c r="AC409" s="563"/>
      <c r="AD409" s="48"/>
      <c r="AE409" s="48"/>
      <c r="AF409" s="258"/>
      <c r="AG409" s="48"/>
      <c r="AH409" s="48"/>
      <c r="AI409" s="258"/>
      <c r="AJ409" s="258"/>
      <c r="AK409" s="258"/>
      <c r="AL409" s="258"/>
      <c r="AM409" s="212">
        <f>IF(AQ409=1,SUM(Q409:T409,W409:Z409,AC409:AF409,AI409:AL409),
IF(AQ409=2,SUM(P409,S409:V409,Y409:AB409,AE409:AH409,AK409:AL409),
IF(AQ409=3,SUM(P409:R409,U409:X409,AA409:AD409,AG409:AJ409),SUM(Таблица1[[#This Row],[1]:[31]])-Таблица1[[#This Row],[Столбец1]])))</f>
        <v>0</v>
      </c>
      <c r="AN409" s="778">
        <f t="array" ref="AN409">IF(AQ409=1,SUM(P409,U409:V409,AA409:AB409,AG409:AH409),
IF(AQ409=2,SUM(Q409:R409,W409:X409,AC409:AD409,AI409:AJ409),
IF(AQ409=3,SUM(S409:T409,Y409:Z409,AE409:AF409,AK409:AL409),
SUM(IFERROR(WEEKDAY($H$2:$AL$2,2)&gt;5,)*H409:AL409))))+Таблица1[[#This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09" s="292" t="b">
        <f>IF(AR409&lt;=3,(IF((G409="5/24"),((база!$M$6*Таблица1[[#This Row],[сумма]]*Таблица1[[#This Row],[коэф]])),
IF((G409="4/24"),((база!$M$5*Таблица1[[#This Row],[сумма]]*Таблица1[[#This Row],[коэф]])),
IF((G409="3/24"),((база!$M$4*Таблица1[[#This Row],[сумма]]*Таблица1[[#This Row],[коэф]])),
IF((G409="5/16"),((база!$L$6*Таблица1[[#This Row],[сумма]]*Таблица1[[#This Row],[коэф]])),
IF((G409="4/16"),((база!$L$5*Таблица1[[#This Row],[сумма]]*Таблица1[[#This Row],[коэф]])),
IF((G409="3/16"),((база!$L$4*Таблица1[[#This Row],[сумма]]*Таблица1[[#This Row],[коэф]])),
IF((G409="4/4"),((база!$I$5*Таблица1[[#This Row],[сумма]]*Таблица1[[#This Row],[коэф]])),
IF(OR(G409="2/4",G409="3/4"),((база!$I$4*Таблица1[[#This Row],[сумма]]*Таблица1[[#This Row],[коэф]])),
IF((G409="5/8"),((база!$J$6*Таблица1[[#This Row],[сумма]]*Таблица1[[#This Row],[коэф]])),
IF((G409="4/8"),((база!$J$5*Таблица1[[#This Row],[сумма]]*Таблица1[[#This Row],[коэф]])),
IF(OR(G409="3/8",G409="2/8"),((база!$J$4*Таблица1[[#This Row],[сумма]]*Таблица1[[#This Row],[коэф]])))))))))))))),
(IF((G409="5/24"),((база!$M$6*Таблица1[[#This Row],[сумма]]*Таблица1[[#This Row],[коэф]])),
IF(OR(G409="4/24",G409="3/24"),((база!$M$5*Таблица1[[#This Row],[сумма]]*Таблица1[[#This Row],[коэф]])),
IF((G409="5/16"),((база!$L$6*Таблица1[[#This Row],[сумма]]*Таблица1[[#This Row],[коэф]])),
IF(OR(G409="4/16",G409="3/16"),((база!$L$5*Таблица1[[#This Row],[сумма]]*Таблица1[[#This Row],[коэф]])),
IF(OR(G409="2/4",G409="3/4",G409="4/4"),((база!$I$5*Таблица1[[#This Row],[сумма]]*Таблица1[[#This Row],[коэф]])),
IF((G409="5/8"),((база!$J$6*Таблица1[[#This Row],[сумма]]*Таблица1[[#This Row],[коэф]])),
IF(OR(G409="4/8",G409="3/8",G409="2/8"),((база!$J$5*Таблица1[[#This Row],[сумма]]*Таблица1[[#This Row],[коэф]])))))))))))</f>
        <v>0</v>
      </c>
      <c r="AP409" s="730" t="b">
        <f>IF(AR409&lt;=3,(IF((G409="5/24"),((база!$M$6*2*Таблица1[[#This Row],[Столбец1]]*Таблица1[[#This Row],[коэф]])),
IF((G409="4/24"),((база!$M$5*2*Таблица1[[#This Row],[Столбец1]]*Таблица1[[#This Row],[коэф]])),
IF((G409="3/24"),((база!$M$4*2*Таблица1[[#This Row],[Столбец1]]*Таблица1[[#This Row],[коэф]])),
IF((G409="5/16"),((база!$L$6*2*Таблица1[[#This Row],[Столбец1]]*Таблица1[[#This Row],[коэф]])),
IF((G409="4/16"),((база!$L$5*2*Таблица1[[#This Row],[Столбец1]]*Таблица1[[#This Row],[коэф]])),
IF((G409="3/16"),((база!$L$4*2*Таблица1[[#This Row],[Столбец1]]*Таблица1[[#This Row],[коэф]])),
IF((G409="4/4"),((база!$I$5*2*Таблица1[[#This Row],[Столбец1]]*Таблица1[[#This Row],[коэф]])),
IF(OR(G409="2/4",G409="3/4"),((база!$I$4*2*Таблица1[[#This Row],[Столбец1]]*Таблица1[[#This Row],[коэф]])),
IF((G409="5/8"),((база!$J$6*2*Таблица1[[#This Row],[Столбец1]]*Таблица1[[#This Row],[коэф]])),
IF((G409="4/8"),((база!$J$5*2*Таблица1[[#This Row],[Столбец1]]*Таблица1[[#This Row],[коэф]])),
IF(OR(G409="3/8",G409="2/8"),((база!$J$4*2*Таблица1[[#This Row],[Столбец1]]*Таблица1[[#This Row],[коэф]])))))))))))))),
(IF((G409="5/24"),((база!$M$6*2*Таблица1[[#This Row],[Столбец1]]*Таблица1[[#This Row],[коэф]])),
IF(OR(G409="4/24",G409="3/24"),((база!$M$5*2*Таблица1[[#This Row],[Столбец1]]*Таблица1[[#This Row],[коэф]])),
IF((G409="5/16"),((база!$L$6*2*Таблица1[[#This Row],[Столбец1]]*Таблица1[[#This Row],[коэф]])),
IF(OR(G409="4/16",G409="3/16"),((база!$L$5*2*Таблица1[[#This Row],[Столбец1]]*Таблица1[[#This Row],[коэф]])),
IF(OR(G409="2/4",G409="3/4",G409="4/4"),((база!$I$5*2*Таблица1[[#This Row],[Столбец1]]*Таблица1[[#This Row],[коэф]])),
IF((G409="5/8"),((база!$J$6*2*Таблица1[[#This Row],[Столбец1]]*Таблица1[[#This Row],[коэф]])),
IF(OR(G409="4/8",G409="3/8",G409="2/8"),((база!$J$5*2*Таблица1[[#This Row],[Столбец1]]*Таблица1[[#This Row],[коэф]])))))))))))</f>
        <v>0</v>
      </c>
      <c r="AQ409" s="712" t="str">
        <f>IFERROR(INDEX(база!T:T, MATCH(F409,база!Q:Q,0)),"")</f>
        <v/>
      </c>
      <c r="AR409" s="208" t="str">
        <f>IFERROR(INDEX(база!D:D, MATCH(F409,база!B:B,0)),"")</f>
        <v/>
      </c>
      <c r="AS409" s="758" t="str">
        <f>IFERROR(INDEX(база!E:E, MATCH(F409,база!B:B,0)),"")</f>
        <v/>
      </c>
    </row>
    <row r="410" spans="1:45" ht="15">
      <c r="A410" s="66" t="str">
        <f t="shared" si="7"/>
        <v>январь</v>
      </c>
      <c r="B410" s="231">
        <v>2024</v>
      </c>
      <c r="C410" s="60"/>
      <c r="D410" s="61"/>
      <c r="E410" s="211"/>
      <c r="F410" s="680"/>
      <c r="G410" s="47"/>
      <c r="H410" s="563"/>
      <c r="I410" s="563"/>
      <c r="J410" s="563"/>
      <c r="K410" s="563"/>
      <c r="L410" s="563"/>
      <c r="M410" s="563"/>
      <c r="N410" s="563"/>
      <c r="O410" s="563"/>
      <c r="P410" s="300"/>
      <c r="Q410" s="563"/>
      <c r="R410" s="563"/>
      <c r="S410" s="563"/>
      <c r="T410" s="563"/>
      <c r="U410" s="563"/>
      <c r="V410" s="563"/>
      <c r="W410" s="563"/>
      <c r="X410" s="563"/>
      <c r="Y410" s="563"/>
      <c r="Z410" s="563"/>
      <c r="AA410" s="563"/>
      <c r="AB410" s="563"/>
      <c r="AC410" s="563"/>
      <c r="AD410" s="48"/>
      <c r="AE410" s="48"/>
      <c r="AF410" s="258"/>
      <c r="AG410" s="48"/>
      <c r="AH410" s="48"/>
      <c r="AI410" s="48"/>
      <c r="AJ410" s="48"/>
      <c r="AK410" s="48"/>
      <c r="AL410" s="51"/>
      <c r="AM410" s="212">
        <f>IF(AQ410=1,SUM(Q410:T410,W410:Z410,AC410:AF410,AI410:AL410),
IF(AQ410=2,SUM(P410,S410:V410,Y410:AB410,AE410:AH410,AK410:AL410),
IF(AQ410=3,SUM(P410:R410,U410:X410,AA410:AD410,AG410:AJ410),SUM(Таблица1[[#This Row],[1]:[31]])-Таблица1[[#This Row],[Столбец1]])))</f>
        <v>0</v>
      </c>
      <c r="AN410" s="778">
        <f t="array" ref="AN410">IF(AQ410=1,SUM(P410,U410:V410,AA410:AB410,AG410:AH410),
IF(AQ410=2,SUM(Q410:R410,W410:X410,AC410:AD410,AI410:AJ410),
IF(AQ410=3,SUM(S410:T410,Y410:Z410,AE410:AF410,AK410:AL410),
SUM(IFERROR(WEEKDAY($H$2:$AL$2,2)&gt;5,)*H410:AL410))))+Таблица1[[#This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10" s="292" t="b">
        <f>IF(AR410&lt;=3,(IF((G410="5/24"),((база!$M$6*Таблица1[[#This Row],[сумма]]*Таблица1[[#This Row],[коэф]])),
IF((G410="4/24"),((база!$M$5*Таблица1[[#This Row],[сумма]]*Таблица1[[#This Row],[коэф]])),
IF((G410="3/24"),((база!$M$4*Таблица1[[#This Row],[сумма]]*Таблица1[[#This Row],[коэф]])),
IF((G410="5/16"),((база!$L$6*Таблица1[[#This Row],[сумма]]*Таблица1[[#This Row],[коэф]])),
IF((G410="4/16"),((база!$L$5*Таблица1[[#This Row],[сумма]]*Таблица1[[#This Row],[коэф]])),
IF((G410="3/16"),((база!$L$4*Таблица1[[#This Row],[сумма]]*Таблица1[[#This Row],[коэф]])),
IF((G410="4/4"),((база!$I$5*Таблица1[[#This Row],[сумма]]*Таблица1[[#This Row],[коэф]])),
IF(OR(G410="2/4",G410="3/4"),((база!$I$4*Таблица1[[#This Row],[сумма]]*Таблица1[[#This Row],[коэф]])),
IF((G410="5/8"),((база!$J$6*Таблица1[[#This Row],[сумма]]*Таблица1[[#This Row],[коэф]])),
IF((G410="4/8"),((база!$J$5*Таблица1[[#This Row],[сумма]]*Таблица1[[#This Row],[коэф]])),
IF(OR(G410="3/8",G410="2/8"),((база!$J$4*Таблица1[[#This Row],[сумма]]*Таблица1[[#This Row],[коэф]])))))))))))))),
(IF((G410="5/24"),((база!$M$6*Таблица1[[#This Row],[сумма]]*Таблица1[[#This Row],[коэф]])),
IF(OR(G410="4/24",G410="3/24"),((база!$M$5*Таблица1[[#This Row],[сумма]]*Таблица1[[#This Row],[коэф]])),
IF((G410="5/16"),((база!$L$6*Таблица1[[#This Row],[сумма]]*Таблица1[[#This Row],[коэф]])),
IF(OR(G410="4/16",G410="3/16"),((база!$L$5*Таблица1[[#This Row],[сумма]]*Таблица1[[#This Row],[коэф]])),
IF(OR(G410="2/4",G410="3/4",G410="4/4"),((база!$I$5*Таблица1[[#This Row],[сумма]]*Таблица1[[#This Row],[коэф]])),
IF((G410="5/8"),((база!$J$6*Таблица1[[#This Row],[сумма]]*Таблица1[[#This Row],[коэф]])),
IF(OR(G410="4/8",G410="3/8",G410="2/8"),((база!$J$5*Таблица1[[#This Row],[сумма]]*Таблица1[[#This Row],[коэф]])))))))))))</f>
        <v>0</v>
      </c>
      <c r="AP410" s="730" t="b">
        <f>IF(AR410&lt;=3,(IF((G410="5/24"),((база!$M$6*2*Таблица1[[#This Row],[Столбец1]]*Таблица1[[#This Row],[коэф]])),
IF((G410="4/24"),((база!$M$5*2*Таблица1[[#This Row],[Столбец1]]*Таблица1[[#This Row],[коэф]])),
IF((G410="3/24"),((база!$M$4*2*Таблица1[[#This Row],[Столбец1]]*Таблица1[[#This Row],[коэф]])),
IF((G410="5/16"),((база!$L$6*2*Таблица1[[#This Row],[Столбец1]]*Таблица1[[#This Row],[коэф]])),
IF((G410="4/16"),((база!$L$5*2*Таблица1[[#This Row],[Столбец1]]*Таблица1[[#This Row],[коэф]])),
IF((G410="3/16"),((база!$L$4*2*Таблица1[[#This Row],[Столбец1]]*Таблица1[[#This Row],[коэф]])),
IF((G410="4/4"),((база!$I$5*2*Таблица1[[#This Row],[Столбец1]]*Таблица1[[#This Row],[коэф]])),
IF(OR(G410="2/4",G410="3/4"),((база!$I$4*2*Таблица1[[#This Row],[Столбец1]]*Таблица1[[#This Row],[коэф]])),
IF((G410="5/8"),((база!$J$6*2*Таблица1[[#This Row],[Столбец1]]*Таблица1[[#This Row],[коэф]])),
IF((G410="4/8"),((база!$J$5*2*Таблица1[[#This Row],[Столбец1]]*Таблица1[[#This Row],[коэф]])),
IF(OR(G410="3/8",G410="2/8"),((база!$J$4*2*Таблица1[[#This Row],[Столбец1]]*Таблица1[[#This Row],[коэф]])))))))))))))),
(IF((G410="5/24"),((база!$M$6*2*Таблица1[[#This Row],[Столбец1]]*Таблица1[[#This Row],[коэф]])),
IF(OR(G410="4/24",G410="3/24"),((база!$M$5*2*Таблица1[[#This Row],[Столбец1]]*Таблица1[[#This Row],[коэф]])),
IF((G410="5/16"),((база!$L$6*2*Таблица1[[#This Row],[Столбец1]]*Таблица1[[#This Row],[коэф]])),
IF(OR(G410="4/16",G410="3/16"),((база!$L$5*2*Таблица1[[#This Row],[Столбец1]]*Таблица1[[#This Row],[коэф]])),
IF(OR(G410="2/4",G410="3/4",G410="4/4"),((база!$I$5*2*Таблица1[[#This Row],[Столбец1]]*Таблица1[[#This Row],[коэф]])),
IF((G410="5/8"),((база!$J$6*2*Таблица1[[#This Row],[Столбец1]]*Таблица1[[#This Row],[коэф]])),
IF(OR(G410="4/8",G410="3/8",G410="2/8"),((база!$J$5*2*Таблица1[[#This Row],[Столбец1]]*Таблица1[[#This Row],[коэф]])))))))))))</f>
        <v>0</v>
      </c>
      <c r="AQ410" s="712" t="str">
        <f>IFERROR(INDEX(база!T:T, MATCH(F410,база!Q:Q,0)),"")</f>
        <v/>
      </c>
      <c r="AR410" s="208" t="str">
        <f>IFERROR(INDEX(база!D:D, MATCH(F410,база!B:B,0)),"")</f>
        <v/>
      </c>
      <c r="AS410" s="758" t="str">
        <f>IFERROR(INDEX(база!E:E, MATCH(F410,база!B:B,0)),"")</f>
        <v/>
      </c>
    </row>
    <row r="411" spans="1:45" ht="15">
      <c r="A411" s="66" t="str">
        <f t="shared" si="7"/>
        <v>январь</v>
      </c>
      <c r="B411" s="231">
        <v>2024</v>
      </c>
      <c r="C411" s="60"/>
      <c r="D411" s="61"/>
      <c r="E411" s="211"/>
      <c r="F411" s="680"/>
      <c r="G411" s="47"/>
      <c r="H411" s="563"/>
      <c r="I411" s="563"/>
      <c r="J411" s="563"/>
      <c r="K411" s="563"/>
      <c r="L411" s="563"/>
      <c r="M411" s="563"/>
      <c r="N411" s="563"/>
      <c r="O411" s="563"/>
      <c r="P411" s="300"/>
      <c r="Q411" s="563"/>
      <c r="R411" s="563"/>
      <c r="S411" s="563"/>
      <c r="T411" s="563"/>
      <c r="U411" s="563"/>
      <c r="V411" s="563"/>
      <c r="W411" s="563"/>
      <c r="X411" s="563"/>
      <c r="Y411" s="563"/>
      <c r="Z411" s="563"/>
      <c r="AA411" s="563"/>
      <c r="AB411" s="563"/>
      <c r="AC411" s="563"/>
      <c r="AD411" s="48"/>
      <c r="AE411" s="48"/>
      <c r="AF411" s="258"/>
      <c r="AG411" s="48"/>
      <c r="AH411" s="48"/>
      <c r="AI411" s="258"/>
      <c r="AJ411" s="258"/>
      <c r="AK411" s="258"/>
      <c r="AL411" s="258"/>
      <c r="AM411" s="212">
        <f>IF(AQ411=1,SUM(Q411:T411,W411:Z411,AC411:AF411,AI411:AL411),
IF(AQ411=2,SUM(P411,S411:V411,Y411:AB411,AE411:AH411,AK411:AL411),
IF(AQ411=3,SUM(P411:R411,U411:X411,AA411:AD411,AG411:AJ411),SUM(Таблица1[[#This Row],[1]:[31]])-Таблица1[[#This Row],[Столбец1]])))</f>
        <v>0</v>
      </c>
      <c r="AN411" s="778">
        <f t="array" ref="AN411">IF(AQ411=1,SUM(P411,U411:V411,AA411:AB411,AG411:AH411),
IF(AQ411=2,SUM(Q411:R411,W411:X411,AC411:AD411,AI411:AJ411),
IF(AQ411=3,SUM(S411:T411,Y411:Z411,AE411:AF411,AK411:AL411),
SUM(IFERROR(WEEKDAY($H$2:$AL$2,2)&gt;5,)*H411:AL411))))+Таблица1[[#This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11" s="292" t="b">
        <f>IF(AR411&lt;=3,(IF((G411="5/24"),((база!$M$6*Таблица1[[#This Row],[сумма]]*Таблица1[[#This Row],[коэф]])),
IF((G411="4/24"),((база!$M$5*Таблица1[[#This Row],[сумма]]*Таблица1[[#This Row],[коэф]])),
IF((G411="3/24"),((база!$M$4*Таблица1[[#This Row],[сумма]]*Таблица1[[#This Row],[коэф]])),
IF((G411="5/16"),((база!$L$6*Таблица1[[#This Row],[сумма]]*Таблица1[[#This Row],[коэф]])),
IF((G411="4/16"),((база!$L$5*Таблица1[[#This Row],[сумма]]*Таблица1[[#This Row],[коэф]])),
IF((G411="3/16"),((база!$L$4*Таблица1[[#This Row],[сумма]]*Таблица1[[#This Row],[коэф]])),
IF((G411="4/4"),((база!$I$5*Таблица1[[#This Row],[сумма]]*Таблица1[[#This Row],[коэф]])),
IF(OR(G411="2/4",G411="3/4"),((база!$I$4*Таблица1[[#This Row],[сумма]]*Таблица1[[#This Row],[коэф]])),
IF((G411="5/8"),((база!$J$6*Таблица1[[#This Row],[сумма]]*Таблица1[[#This Row],[коэф]])),
IF((G411="4/8"),((база!$J$5*Таблица1[[#This Row],[сумма]]*Таблица1[[#This Row],[коэф]])),
IF(OR(G411="3/8",G411="2/8"),((база!$J$4*Таблица1[[#This Row],[сумма]]*Таблица1[[#This Row],[коэф]])))))))))))))),
(IF((G411="5/24"),((база!$M$6*Таблица1[[#This Row],[сумма]]*Таблица1[[#This Row],[коэф]])),
IF(OR(G411="4/24",G411="3/24"),((база!$M$5*Таблица1[[#This Row],[сумма]]*Таблица1[[#This Row],[коэф]])),
IF((G411="5/16"),((база!$L$6*Таблица1[[#This Row],[сумма]]*Таблица1[[#This Row],[коэф]])),
IF(OR(G411="4/16",G411="3/16"),((база!$L$5*Таблица1[[#This Row],[сумма]]*Таблица1[[#This Row],[коэф]])),
IF(OR(G411="2/4",G411="3/4",G411="4/4"),((база!$I$5*Таблица1[[#This Row],[сумма]]*Таблица1[[#This Row],[коэф]])),
IF((G411="5/8"),((база!$J$6*Таблица1[[#This Row],[сумма]]*Таблица1[[#This Row],[коэф]])),
IF(OR(G411="4/8",G411="3/8",G411="2/8"),((база!$J$5*Таблица1[[#This Row],[сумма]]*Таблица1[[#This Row],[коэф]])))))))))))</f>
        <v>0</v>
      </c>
      <c r="AP411" s="730" t="b">
        <f>IF(AR411&lt;=3,(IF((G411="5/24"),((база!$M$6*2*Таблица1[[#This Row],[Столбец1]]*Таблица1[[#This Row],[коэф]])),
IF((G411="4/24"),((база!$M$5*2*Таблица1[[#This Row],[Столбец1]]*Таблица1[[#This Row],[коэф]])),
IF((G411="3/24"),((база!$M$4*2*Таблица1[[#This Row],[Столбец1]]*Таблица1[[#This Row],[коэф]])),
IF((G411="5/16"),((база!$L$6*2*Таблица1[[#This Row],[Столбец1]]*Таблица1[[#This Row],[коэф]])),
IF((G411="4/16"),((база!$L$5*2*Таблица1[[#This Row],[Столбец1]]*Таблица1[[#This Row],[коэф]])),
IF((G411="3/16"),((база!$L$4*2*Таблица1[[#This Row],[Столбец1]]*Таблица1[[#This Row],[коэф]])),
IF((G411="4/4"),((база!$I$5*2*Таблица1[[#This Row],[Столбец1]]*Таблица1[[#This Row],[коэф]])),
IF(OR(G411="2/4",G411="3/4"),((база!$I$4*2*Таблица1[[#This Row],[Столбец1]]*Таблица1[[#This Row],[коэф]])),
IF((G411="5/8"),((база!$J$6*2*Таблица1[[#This Row],[Столбец1]]*Таблица1[[#This Row],[коэф]])),
IF((G411="4/8"),((база!$J$5*2*Таблица1[[#This Row],[Столбец1]]*Таблица1[[#This Row],[коэф]])),
IF(OR(G411="3/8",G411="2/8"),((база!$J$4*2*Таблица1[[#This Row],[Столбец1]]*Таблица1[[#This Row],[коэф]])))))))))))))),
(IF((G411="5/24"),((база!$M$6*2*Таблица1[[#This Row],[Столбец1]]*Таблица1[[#This Row],[коэф]])),
IF(OR(G411="4/24",G411="3/24"),((база!$M$5*2*Таблица1[[#This Row],[Столбец1]]*Таблица1[[#This Row],[коэф]])),
IF((G411="5/16"),((база!$L$6*2*Таблица1[[#This Row],[Столбец1]]*Таблица1[[#This Row],[коэф]])),
IF(OR(G411="4/16",G411="3/16"),((база!$L$5*2*Таблица1[[#This Row],[Столбец1]]*Таблица1[[#This Row],[коэф]])),
IF(OR(G411="2/4",G411="3/4",G411="4/4"),((база!$I$5*2*Таблица1[[#This Row],[Столбец1]]*Таблица1[[#This Row],[коэф]])),
IF((G411="5/8"),((база!$J$6*2*Таблица1[[#This Row],[Столбец1]]*Таблица1[[#This Row],[коэф]])),
IF(OR(G411="4/8",G411="3/8",G411="2/8"),((база!$J$5*2*Таблица1[[#This Row],[Столбец1]]*Таблица1[[#This Row],[коэф]])))))))))))</f>
        <v>0</v>
      </c>
      <c r="AQ411" s="712" t="str">
        <f>IFERROR(INDEX(база!T:T, MATCH(F411,база!Q:Q,0)),"")</f>
        <v/>
      </c>
      <c r="AR411" s="208" t="str">
        <f>IFERROR(INDEX(база!D:D, MATCH(F411,база!B:B,0)),"")</f>
        <v/>
      </c>
      <c r="AS411" s="758" t="str">
        <f>IFERROR(INDEX(база!E:E, MATCH(F411,база!B:B,0)),"")</f>
        <v/>
      </c>
    </row>
    <row r="412" spans="1:45" ht="15">
      <c r="A412" s="66" t="str">
        <f t="shared" si="7"/>
        <v>январь</v>
      </c>
      <c r="B412" s="231">
        <v>2024</v>
      </c>
      <c r="C412" s="299"/>
      <c r="D412" s="61"/>
      <c r="E412" s="211"/>
      <c r="F412" s="680"/>
      <c r="G412" s="47"/>
      <c r="H412" s="563"/>
      <c r="I412" s="563"/>
      <c r="J412" s="563"/>
      <c r="K412" s="563"/>
      <c r="L412" s="563"/>
      <c r="M412" s="563"/>
      <c r="N412" s="563"/>
      <c r="O412" s="563"/>
      <c r="P412" s="300"/>
      <c r="Q412" s="563"/>
      <c r="R412" s="563"/>
      <c r="S412" s="563"/>
      <c r="T412" s="563"/>
      <c r="U412" s="563"/>
      <c r="V412" s="563"/>
      <c r="W412" s="563"/>
      <c r="X412" s="563"/>
      <c r="Y412" s="563"/>
      <c r="Z412" s="563"/>
      <c r="AA412" s="563"/>
      <c r="AB412" s="563"/>
      <c r="AC412" s="563"/>
      <c r="AD412" s="48"/>
      <c r="AE412" s="48"/>
      <c r="AF412" s="258"/>
      <c r="AG412" s="48"/>
      <c r="AH412" s="48"/>
      <c r="AI412" s="48"/>
      <c r="AJ412" s="48"/>
      <c r="AK412" s="48"/>
      <c r="AL412" s="51"/>
      <c r="AM412" s="212">
        <f>IF(AQ412=1,SUM(Q412:T412,W412:Z412,AC412:AF412,AI412:AL412),
IF(AQ412=2,SUM(P412,S412:V412,Y412:AB412,AE412:AH412,AK412:AL412),
IF(AQ412=3,SUM(P412:R412,U412:X412,AA412:AD412,AG412:AJ412),SUM(Таблица1[[#This Row],[1]:[31]])-Таблица1[[#This Row],[Столбец1]])))</f>
        <v>0</v>
      </c>
      <c r="AN412" s="778">
        <f t="array" ref="AN412">IF(AQ412=1,SUM(P412,U412:V412,AA412:AB412,AG412:AH412),
IF(AQ412=2,SUM(Q412:R412,W412:X412,AC412:AD412,AI412:AJ412),
IF(AQ412=3,SUM(S412:T412,Y412:Z412,AE412:AF412,AK412:AL412),
SUM(IFERROR(WEEKDAY($H$2:$AL$2,2)&gt;5,)*H412:AL412))))+Таблица1[[#This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12" s="292" t="b">
        <f>IF(AR412&lt;=3,(IF((G412="5/24"),((база!$M$6*Таблица1[[#This Row],[сумма]]*Таблица1[[#This Row],[коэф]])),
IF((G412="4/24"),((база!$M$5*Таблица1[[#This Row],[сумма]]*Таблица1[[#This Row],[коэф]])),
IF((G412="3/24"),((база!$M$4*Таблица1[[#This Row],[сумма]]*Таблица1[[#This Row],[коэф]])),
IF((G412="5/16"),((база!$L$6*Таблица1[[#This Row],[сумма]]*Таблица1[[#This Row],[коэф]])),
IF((G412="4/16"),((база!$L$5*Таблица1[[#This Row],[сумма]]*Таблица1[[#This Row],[коэф]])),
IF((G412="3/16"),((база!$L$4*Таблица1[[#This Row],[сумма]]*Таблица1[[#This Row],[коэф]])),
IF((G412="4/4"),((база!$I$5*Таблица1[[#This Row],[сумма]]*Таблица1[[#This Row],[коэф]])),
IF(OR(G412="2/4",G412="3/4"),((база!$I$4*Таблица1[[#This Row],[сумма]]*Таблица1[[#This Row],[коэф]])),
IF((G412="5/8"),((база!$J$6*Таблица1[[#This Row],[сумма]]*Таблица1[[#This Row],[коэф]])),
IF((G412="4/8"),((база!$J$5*Таблица1[[#This Row],[сумма]]*Таблица1[[#This Row],[коэф]])),
IF(OR(G412="3/8",G412="2/8"),((база!$J$4*Таблица1[[#This Row],[сумма]]*Таблица1[[#This Row],[коэф]])))))))))))))),
(IF((G412="5/24"),((база!$M$6*Таблица1[[#This Row],[сумма]]*Таблица1[[#This Row],[коэф]])),
IF(OR(G412="4/24",G412="3/24"),((база!$M$5*Таблица1[[#This Row],[сумма]]*Таблица1[[#This Row],[коэф]])),
IF((G412="5/16"),((база!$L$6*Таблица1[[#This Row],[сумма]]*Таблица1[[#This Row],[коэф]])),
IF(OR(G412="4/16",G412="3/16"),((база!$L$5*Таблица1[[#This Row],[сумма]]*Таблица1[[#This Row],[коэф]])),
IF(OR(G412="2/4",G412="3/4",G412="4/4"),((база!$I$5*Таблица1[[#This Row],[сумма]]*Таблица1[[#This Row],[коэф]])),
IF((G412="5/8"),((база!$J$6*Таблица1[[#This Row],[сумма]]*Таблица1[[#This Row],[коэф]])),
IF(OR(G412="4/8",G412="3/8",G412="2/8"),((база!$J$5*Таблица1[[#This Row],[сумма]]*Таблица1[[#This Row],[коэф]])))))))))))</f>
        <v>0</v>
      </c>
      <c r="AP412" s="730" t="b">
        <f>IF(AR412&lt;=3,(IF((G412="5/24"),((база!$M$6*2*Таблица1[[#This Row],[Столбец1]]*Таблица1[[#This Row],[коэф]])),
IF((G412="4/24"),((база!$M$5*2*Таблица1[[#This Row],[Столбец1]]*Таблица1[[#This Row],[коэф]])),
IF((G412="3/24"),((база!$M$4*2*Таблица1[[#This Row],[Столбец1]]*Таблица1[[#This Row],[коэф]])),
IF((G412="5/16"),((база!$L$6*2*Таблица1[[#This Row],[Столбец1]]*Таблица1[[#This Row],[коэф]])),
IF((G412="4/16"),((база!$L$5*2*Таблица1[[#This Row],[Столбец1]]*Таблица1[[#This Row],[коэф]])),
IF((G412="3/16"),((база!$L$4*2*Таблица1[[#This Row],[Столбец1]]*Таблица1[[#This Row],[коэф]])),
IF((G412="4/4"),((база!$I$5*2*Таблица1[[#This Row],[Столбец1]]*Таблица1[[#This Row],[коэф]])),
IF(OR(G412="2/4",G412="3/4"),((база!$I$4*2*Таблица1[[#This Row],[Столбец1]]*Таблица1[[#This Row],[коэф]])),
IF((G412="5/8"),((база!$J$6*2*Таблица1[[#This Row],[Столбец1]]*Таблица1[[#This Row],[коэф]])),
IF((G412="4/8"),((база!$J$5*2*Таблица1[[#This Row],[Столбец1]]*Таблица1[[#This Row],[коэф]])),
IF(OR(G412="3/8",G412="2/8"),((база!$J$4*2*Таблица1[[#This Row],[Столбец1]]*Таблица1[[#This Row],[коэф]])))))))))))))),
(IF((G412="5/24"),((база!$M$6*2*Таблица1[[#This Row],[Столбец1]]*Таблица1[[#This Row],[коэф]])),
IF(OR(G412="4/24",G412="3/24"),((база!$M$5*2*Таблица1[[#This Row],[Столбец1]]*Таблица1[[#This Row],[коэф]])),
IF((G412="5/16"),((база!$L$6*2*Таблица1[[#This Row],[Столбец1]]*Таблица1[[#This Row],[коэф]])),
IF(OR(G412="4/16",G412="3/16"),((база!$L$5*2*Таблица1[[#This Row],[Столбец1]]*Таблица1[[#This Row],[коэф]])),
IF(OR(G412="2/4",G412="3/4",G412="4/4"),((база!$I$5*2*Таблица1[[#This Row],[Столбец1]]*Таблица1[[#This Row],[коэф]])),
IF((G412="5/8"),((база!$J$6*2*Таблица1[[#This Row],[Столбец1]]*Таблица1[[#This Row],[коэф]])),
IF(OR(G412="4/8",G412="3/8",G412="2/8"),((база!$J$5*2*Таблица1[[#This Row],[Столбец1]]*Таблица1[[#This Row],[коэф]])))))))))))</f>
        <v>0</v>
      </c>
      <c r="AQ412" s="712" t="str">
        <f>IFERROR(INDEX(база!T:T, MATCH(F412,база!Q:Q,0)),"")</f>
        <v/>
      </c>
      <c r="AR412" s="208" t="str">
        <f>IFERROR(INDEX(база!D:D, MATCH(F412,база!B:B,0)),"")</f>
        <v/>
      </c>
      <c r="AS412" s="758" t="str">
        <f>IFERROR(INDEX(база!E:E, MATCH(F412,база!B:B,0)),"")</f>
        <v/>
      </c>
    </row>
    <row r="413" spans="1:45" ht="15">
      <c r="A413" s="66" t="str">
        <f t="shared" si="7"/>
        <v>январь</v>
      </c>
      <c r="B413" s="231">
        <v>2024</v>
      </c>
      <c r="C413" s="299"/>
      <c r="D413" s="61"/>
      <c r="E413" s="211"/>
      <c r="F413" s="680"/>
      <c r="G413" s="47"/>
      <c r="H413" s="563"/>
      <c r="I413" s="563"/>
      <c r="J413" s="563"/>
      <c r="K413" s="563"/>
      <c r="L413" s="563"/>
      <c r="M413" s="563"/>
      <c r="N413" s="563"/>
      <c r="O413" s="563"/>
      <c r="P413" s="300"/>
      <c r="Q413" s="563"/>
      <c r="R413" s="563"/>
      <c r="S413" s="563"/>
      <c r="T413" s="563"/>
      <c r="U413" s="563"/>
      <c r="V413" s="563"/>
      <c r="W413" s="563"/>
      <c r="X413" s="563"/>
      <c r="Y413" s="563"/>
      <c r="Z413" s="563"/>
      <c r="AA413" s="563"/>
      <c r="AB413" s="563"/>
      <c r="AC413" s="563"/>
      <c r="AD413" s="48"/>
      <c r="AE413" s="48"/>
      <c r="AF413" s="258"/>
      <c r="AG413" s="48"/>
      <c r="AH413" s="48"/>
      <c r="AI413" s="258"/>
      <c r="AJ413" s="258"/>
      <c r="AK413" s="258"/>
      <c r="AL413" s="258"/>
      <c r="AM413" s="212">
        <f>IF(AQ413=1,SUM(Q413:T413,W413:Z413,AC413:AF413,AI413:AL413),
IF(AQ413=2,SUM(P413,S413:V413,Y413:AB413,AE413:AH413,AK413:AL413),
IF(AQ413=3,SUM(P413:R413,U413:X413,AA413:AD413,AG413:AJ413),SUM(Таблица1[[#This Row],[1]:[31]])-Таблица1[[#This Row],[Столбец1]])))</f>
        <v>0</v>
      </c>
      <c r="AN413" s="778">
        <f t="array" ref="AN413">IF(AQ413=1,SUM(P413,U413:V413,AA413:AB413,AG413:AH413),
IF(AQ413=2,SUM(Q413:R413,W413:X413,AC413:AD413,AI413:AJ413),
IF(AQ413=3,SUM(S413:T413,Y413:Z413,AE413:AF413,AK413:AL413),
SUM(IFERROR(WEEKDAY($H$2:$AL$2,2)&gt;5,)*H413:AL413))))+Таблица1[[#This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13" s="292" t="b">
        <f>IF(AR413&lt;=3,(IF((G413="5/24"),((база!$M$6*Таблица1[[#This Row],[сумма]]*Таблица1[[#This Row],[коэф]])),
IF((G413="4/24"),((база!$M$5*Таблица1[[#This Row],[сумма]]*Таблица1[[#This Row],[коэф]])),
IF((G413="3/24"),((база!$M$4*Таблица1[[#This Row],[сумма]]*Таблица1[[#This Row],[коэф]])),
IF((G413="5/16"),((база!$L$6*Таблица1[[#This Row],[сумма]]*Таблица1[[#This Row],[коэф]])),
IF((G413="4/16"),((база!$L$5*Таблица1[[#This Row],[сумма]]*Таблица1[[#This Row],[коэф]])),
IF((G413="3/16"),((база!$L$4*Таблица1[[#This Row],[сумма]]*Таблица1[[#This Row],[коэф]])),
IF((G413="4/4"),((база!$I$5*Таблица1[[#This Row],[сумма]]*Таблица1[[#This Row],[коэф]])),
IF(OR(G413="2/4",G413="3/4"),((база!$I$4*Таблица1[[#This Row],[сумма]]*Таблица1[[#This Row],[коэф]])),
IF((G413="5/8"),((база!$J$6*Таблица1[[#This Row],[сумма]]*Таблица1[[#This Row],[коэф]])),
IF((G413="4/8"),((база!$J$5*Таблица1[[#This Row],[сумма]]*Таблица1[[#This Row],[коэф]])),
IF(OR(G413="3/8",G413="2/8"),((база!$J$4*Таблица1[[#This Row],[сумма]]*Таблица1[[#This Row],[коэф]])))))))))))))),
(IF((G413="5/24"),((база!$M$6*Таблица1[[#This Row],[сумма]]*Таблица1[[#This Row],[коэф]])),
IF(OR(G413="4/24",G413="3/24"),((база!$M$5*Таблица1[[#This Row],[сумма]]*Таблица1[[#This Row],[коэф]])),
IF((G413="5/16"),((база!$L$6*Таблица1[[#This Row],[сумма]]*Таблица1[[#This Row],[коэф]])),
IF(OR(G413="4/16",G413="3/16"),((база!$L$5*Таблица1[[#This Row],[сумма]]*Таблица1[[#This Row],[коэф]])),
IF(OR(G413="2/4",G413="3/4",G413="4/4"),((база!$I$5*Таблица1[[#This Row],[сумма]]*Таблица1[[#This Row],[коэф]])),
IF((G413="5/8"),((база!$J$6*Таблица1[[#This Row],[сумма]]*Таблица1[[#This Row],[коэф]])),
IF(OR(G413="4/8",G413="3/8",G413="2/8"),((база!$J$5*Таблица1[[#This Row],[сумма]]*Таблица1[[#This Row],[коэф]])))))))))))</f>
        <v>0</v>
      </c>
      <c r="AP413" s="730" t="b">
        <f>IF(AR413&lt;=3,(IF((G413="5/24"),((база!$M$6*2*Таблица1[[#This Row],[Столбец1]]*Таблица1[[#This Row],[коэф]])),
IF((G413="4/24"),((база!$M$5*2*Таблица1[[#This Row],[Столбец1]]*Таблица1[[#This Row],[коэф]])),
IF((G413="3/24"),((база!$M$4*2*Таблица1[[#This Row],[Столбец1]]*Таблица1[[#This Row],[коэф]])),
IF((G413="5/16"),((база!$L$6*2*Таблица1[[#This Row],[Столбец1]]*Таблица1[[#This Row],[коэф]])),
IF((G413="4/16"),((база!$L$5*2*Таблица1[[#This Row],[Столбец1]]*Таблица1[[#This Row],[коэф]])),
IF((G413="3/16"),((база!$L$4*2*Таблица1[[#This Row],[Столбец1]]*Таблица1[[#This Row],[коэф]])),
IF((G413="4/4"),((база!$I$5*2*Таблица1[[#This Row],[Столбец1]]*Таблица1[[#This Row],[коэф]])),
IF(OR(G413="2/4",G413="3/4"),((база!$I$4*2*Таблица1[[#This Row],[Столбец1]]*Таблица1[[#This Row],[коэф]])),
IF((G413="5/8"),((база!$J$6*2*Таблица1[[#This Row],[Столбец1]]*Таблица1[[#This Row],[коэф]])),
IF((G413="4/8"),((база!$J$5*2*Таблица1[[#This Row],[Столбец1]]*Таблица1[[#This Row],[коэф]])),
IF(OR(G413="3/8",G413="2/8"),((база!$J$4*2*Таблица1[[#This Row],[Столбец1]]*Таблица1[[#This Row],[коэф]])))))))))))))),
(IF((G413="5/24"),((база!$M$6*2*Таблица1[[#This Row],[Столбец1]]*Таблица1[[#This Row],[коэф]])),
IF(OR(G413="4/24",G413="3/24"),((база!$M$5*2*Таблица1[[#This Row],[Столбец1]]*Таблица1[[#This Row],[коэф]])),
IF((G413="5/16"),((база!$L$6*2*Таблица1[[#This Row],[Столбец1]]*Таблица1[[#This Row],[коэф]])),
IF(OR(G413="4/16",G413="3/16"),((база!$L$5*2*Таблица1[[#This Row],[Столбец1]]*Таблица1[[#This Row],[коэф]])),
IF(OR(G413="2/4",G413="3/4",G413="4/4"),((база!$I$5*2*Таблица1[[#This Row],[Столбец1]]*Таблица1[[#This Row],[коэф]])),
IF((G413="5/8"),((база!$J$6*2*Таблица1[[#This Row],[Столбец1]]*Таблица1[[#This Row],[коэф]])),
IF(OR(G413="4/8",G413="3/8",G413="2/8"),((база!$J$5*2*Таблица1[[#This Row],[Столбец1]]*Таблица1[[#This Row],[коэф]])))))))))))</f>
        <v>0</v>
      </c>
      <c r="AQ413" s="712" t="str">
        <f>IFERROR(INDEX(база!T:T, MATCH(F413,база!Q:Q,0)),"")</f>
        <v/>
      </c>
      <c r="AR413" s="208" t="str">
        <f>IFERROR(INDEX(база!D:D, MATCH(F413,база!B:B,0)),"")</f>
        <v/>
      </c>
      <c r="AS413" s="758" t="str">
        <f>IFERROR(INDEX(база!E:E, MATCH(F413,база!B:B,0)),"")</f>
        <v/>
      </c>
    </row>
    <row r="414" spans="1:45" ht="15">
      <c r="A414" s="66" t="str">
        <f t="shared" si="7"/>
        <v>январь</v>
      </c>
      <c r="B414" s="231">
        <v>2024</v>
      </c>
      <c r="C414" s="60"/>
      <c r="D414" s="61"/>
      <c r="E414" s="211"/>
      <c r="F414" s="680"/>
      <c r="G414" s="47"/>
      <c r="H414" s="563"/>
      <c r="I414" s="563"/>
      <c r="J414" s="563"/>
      <c r="K414" s="563"/>
      <c r="L414" s="563"/>
      <c r="M414" s="563"/>
      <c r="N414" s="563"/>
      <c r="O414" s="563"/>
      <c r="P414" s="300"/>
      <c r="Q414" s="563"/>
      <c r="R414" s="563"/>
      <c r="S414" s="563"/>
      <c r="T414" s="563"/>
      <c r="U414" s="563"/>
      <c r="V414" s="563"/>
      <c r="W414" s="563"/>
      <c r="X414" s="563"/>
      <c r="Y414" s="563"/>
      <c r="Z414" s="563"/>
      <c r="AA414" s="563"/>
      <c r="AB414" s="563"/>
      <c r="AC414" s="48"/>
      <c r="AD414" s="48"/>
      <c r="AE414" s="48"/>
      <c r="AF414" s="258"/>
      <c r="AG414" s="48"/>
      <c r="AH414" s="48"/>
      <c r="AI414" s="48"/>
      <c r="AJ414" s="48"/>
      <c r="AK414" s="48"/>
      <c r="AL414" s="51"/>
      <c r="AM414" s="212">
        <f>IF(AQ414=1,SUM(Q414:T414,W414:Z414,AC414:AF414,AI414:AL414),
IF(AQ414=2,SUM(P414,S414:V414,Y414:AB414,AE414:AH414,AK414:AL414),
IF(AQ414=3,SUM(P414:R414,U414:X414,AA414:AD414,AG414:AJ414),SUM(Таблица1[[#This Row],[1]:[31]])-Таблица1[[#This Row],[Столбец1]])))</f>
        <v>0</v>
      </c>
      <c r="AN414" s="778">
        <f t="array" ref="AN414">IF(AQ414=1,SUM(P414,U414:V414,AA414:AB414,AG414:AH414),
IF(AQ414=2,SUM(Q414:R414,W414:X414,AC414:AD414,AI414:AJ414),
IF(AQ414=3,SUM(S414:T414,Y414:Z414,AE414:AF414,AK414:AL414),
SUM(IFERROR(WEEKDAY($H$2:$AL$2,2)&gt;5,)*H414:AL414))))+Таблица1[[#This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14" s="292" t="b">
        <f>IF(AR414&lt;=3,(IF((G414="5/24"),((база!$M$6*Таблица1[[#This Row],[сумма]]*Таблица1[[#This Row],[коэф]])),
IF((G414="4/24"),((база!$M$5*Таблица1[[#This Row],[сумма]]*Таблица1[[#This Row],[коэф]])),
IF((G414="3/24"),((база!$M$4*Таблица1[[#This Row],[сумма]]*Таблица1[[#This Row],[коэф]])),
IF((G414="5/16"),((база!$L$6*Таблица1[[#This Row],[сумма]]*Таблица1[[#This Row],[коэф]])),
IF((G414="4/16"),((база!$L$5*Таблица1[[#This Row],[сумма]]*Таблица1[[#This Row],[коэф]])),
IF((G414="3/16"),((база!$L$4*Таблица1[[#This Row],[сумма]]*Таблица1[[#This Row],[коэф]])),
IF((G414="4/4"),((база!$I$5*Таблица1[[#This Row],[сумма]]*Таблица1[[#This Row],[коэф]])),
IF(OR(G414="2/4",G414="3/4"),((база!$I$4*Таблица1[[#This Row],[сумма]]*Таблица1[[#This Row],[коэф]])),
IF((G414="5/8"),((база!$J$6*Таблица1[[#This Row],[сумма]]*Таблица1[[#This Row],[коэф]])),
IF((G414="4/8"),((база!$J$5*Таблица1[[#This Row],[сумма]]*Таблица1[[#This Row],[коэф]])),
IF(OR(G414="3/8",G414="2/8"),((база!$J$4*Таблица1[[#This Row],[сумма]]*Таблица1[[#This Row],[коэф]])))))))))))))),
(IF((G414="5/24"),((база!$M$6*Таблица1[[#This Row],[сумма]]*Таблица1[[#This Row],[коэф]])),
IF(OR(G414="4/24",G414="3/24"),((база!$M$5*Таблица1[[#This Row],[сумма]]*Таблица1[[#This Row],[коэф]])),
IF((G414="5/16"),((база!$L$6*Таблица1[[#This Row],[сумма]]*Таблица1[[#This Row],[коэф]])),
IF(OR(G414="4/16",G414="3/16"),((база!$L$5*Таблица1[[#This Row],[сумма]]*Таблица1[[#This Row],[коэф]])),
IF(OR(G414="2/4",G414="3/4",G414="4/4"),((база!$I$5*Таблица1[[#This Row],[сумма]]*Таблица1[[#This Row],[коэф]])),
IF((G414="5/8"),((база!$J$6*Таблица1[[#This Row],[сумма]]*Таблица1[[#This Row],[коэф]])),
IF(OR(G414="4/8",G414="3/8",G414="2/8"),((база!$J$5*Таблица1[[#This Row],[сумма]]*Таблица1[[#This Row],[коэф]])))))))))))</f>
        <v>0</v>
      </c>
      <c r="AP414" s="730" t="b">
        <f>IF(AR414&lt;=3,(IF((G414="5/24"),((база!$M$6*2*Таблица1[[#This Row],[Столбец1]]*Таблица1[[#This Row],[коэф]])),
IF((G414="4/24"),((база!$M$5*2*Таблица1[[#This Row],[Столбец1]]*Таблица1[[#This Row],[коэф]])),
IF((G414="3/24"),((база!$M$4*2*Таблица1[[#This Row],[Столбец1]]*Таблица1[[#This Row],[коэф]])),
IF((G414="5/16"),((база!$L$6*2*Таблица1[[#This Row],[Столбец1]]*Таблица1[[#This Row],[коэф]])),
IF((G414="4/16"),((база!$L$5*2*Таблица1[[#This Row],[Столбец1]]*Таблица1[[#This Row],[коэф]])),
IF((G414="3/16"),((база!$L$4*2*Таблица1[[#This Row],[Столбец1]]*Таблица1[[#This Row],[коэф]])),
IF((G414="4/4"),((база!$I$5*2*Таблица1[[#This Row],[Столбец1]]*Таблица1[[#This Row],[коэф]])),
IF(OR(G414="2/4",G414="3/4"),((база!$I$4*2*Таблица1[[#This Row],[Столбец1]]*Таблица1[[#This Row],[коэф]])),
IF((G414="5/8"),((база!$J$6*2*Таблица1[[#This Row],[Столбец1]]*Таблица1[[#This Row],[коэф]])),
IF((G414="4/8"),((база!$J$5*2*Таблица1[[#This Row],[Столбец1]]*Таблица1[[#This Row],[коэф]])),
IF(OR(G414="3/8",G414="2/8"),((база!$J$4*2*Таблица1[[#This Row],[Столбец1]]*Таблица1[[#This Row],[коэф]])))))))))))))),
(IF((G414="5/24"),((база!$M$6*2*Таблица1[[#This Row],[Столбец1]]*Таблица1[[#This Row],[коэф]])),
IF(OR(G414="4/24",G414="3/24"),((база!$M$5*2*Таблица1[[#This Row],[Столбец1]]*Таблица1[[#This Row],[коэф]])),
IF((G414="5/16"),((база!$L$6*2*Таблица1[[#This Row],[Столбец1]]*Таблица1[[#This Row],[коэф]])),
IF(OR(G414="4/16",G414="3/16"),((база!$L$5*2*Таблица1[[#This Row],[Столбец1]]*Таблица1[[#This Row],[коэф]])),
IF(OR(G414="2/4",G414="3/4",G414="4/4"),((база!$I$5*2*Таблица1[[#This Row],[Столбец1]]*Таблица1[[#This Row],[коэф]])),
IF((G414="5/8"),((база!$J$6*2*Таблица1[[#This Row],[Столбец1]]*Таблица1[[#This Row],[коэф]])),
IF(OR(G414="4/8",G414="3/8",G414="2/8"),((база!$J$5*2*Таблица1[[#This Row],[Столбец1]]*Таблица1[[#This Row],[коэф]])))))))))))</f>
        <v>0</v>
      </c>
      <c r="AQ414" s="712" t="str">
        <f>IFERROR(INDEX(база!T:T, MATCH(F414,база!Q:Q,0)),"")</f>
        <v/>
      </c>
      <c r="AR414" s="208" t="str">
        <f>IFERROR(INDEX(база!D:D, MATCH(F414,база!B:B,0)),"")</f>
        <v/>
      </c>
      <c r="AS414" s="758" t="str">
        <f>IFERROR(INDEX(база!E:E, MATCH(F414,база!B:B,0)),"")</f>
        <v/>
      </c>
    </row>
    <row r="415" spans="1:45" ht="15">
      <c r="A415" s="66" t="str">
        <f t="shared" si="7"/>
        <v>январь</v>
      </c>
      <c r="B415" s="231">
        <v>2024</v>
      </c>
      <c r="C415" s="60"/>
      <c r="D415" s="61"/>
      <c r="E415" s="211"/>
      <c r="F415" s="680"/>
      <c r="G415" s="47"/>
      <c r="H415" s="563"/>
      <c r="I415" s="563"/>
      <c r="J415" s="563"/>
      <c r="K415" s="563"/>
      <c r="L415" s="563"/>
      <c r="M415" s="563"/>
      <c r="N415" s="563"/>
      <c r="O415" s="563"/>
      <c r="P415" s="300"/>
      <c r="Q415" s="563"/>
      <c r="R415" s="563"/>
      <c r="S415" s="563"/>
      <c r="T415" s="563"/>
      <c r="U415" s="563"/>
      <c r="V415" s="563"/>
      <c r="W415" s="563"/>
      <c r="X415" s="563"/>
      <c r="Y415" s="563"/>
      <c r="Z415" s="563"/>
      <c r="AA415" s="563"/>
      <c r="AB415" s="563"/>
      <c r="AC415" s="563"/>
      <c r="AD415" s="48"/>
      <c r="AE415" s="48"/>
      <c r="AF415" s="258"/>
      <c r="AG415" s="48"/>
      <c r="AH415" s="48"/>
      <c r="AI415" s="258"/>
      <c r="AJ415" s="258"/>
      <c r="AK415" s="258"/>
      <c r="AL415" s="258"/>
      <c r="AM415" s="212">
        <f>IF(AQ415=1,SUM(Q415:T415,W415:Z415,AC415:AF415,AI415:AL415),
IF(AQ415=2,SUM(P415,S415:V415,Y415:AB415,AE415:AH415,AK415:AL415),
IF(AQ415=3,SUM(P415:R415,U415:X415,AA415:AD415,AG415:AJ415),SUM(Таблица1[[#This Row],[1]:[31]])-Таблица1[[#This Row],[Столбец1]])))</f>
        <v>0</v>
      </c>
      <c r="AN415" s="778">
        <f t="array" ref="AN415">IF(AQ415=1,SUM(P415,U415:V415,AA415:AB415,AG415:AH415),
IF(AQ415=2,SUM(Q415:R415,W415:X415,AC415:AD415,AI415:AJ415),
IF(AQ415=3,SUM(S415:T415,Y415:Z415,AE415:AF415,AK415:AL415),
SUM(IFERROR(WEEKDAY($H$2:$AL$2,2)&gt;5,)*H415:AL415))))+Таблица1[[#This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15" s="292" t="b">
        <f>IF(AR415&lt;=3,(IF((G415="5/24"),((база!$M$6*Таблица1[[#This Row],[сумма]]*Таблица1[[#This Row],[коэф]])),
IF((G415="4/24"),((база!$M$5*Таблица1[[#This Row],[сумма]]*Таблица1[[#This Row],[коэф]])),
IF((G415="3/24"),((база!$M$4*Таблица1[[#This Row],[сумма]]*Таблица1[[#This Row],[коэф]])),
IF((G415="5/16"),((база!$L$6*Таблица1[[#This Row],[сумма]]*Таблица1[[#This Row],[коэф]])),
IF((G415="4/16"),((база!$L$5*Таблица1[[#This Row],[сумма]]*Таблица1[[#This Row],[коэф]])),
IF((G415="3/16"),((база!$L$4*Таблица1[[#This Row],[сумма]]*Таблица1[[#This Row],[коэф]])),
IF((G415="4/4"),((база!$I$5*Таблица1[[#This Row],[сумма]]*Таблица1[[#This Row],[коэф]])),
IF(OR(G415="2/4",G415="3/4"),((база!$I$4*Таблица1[[#This Row],[сумма]]*Таблица1[[#This Row],[коэф]])),
IF((G415="5/8"),((база!$J$6*Таблица1[[#This Row],[сумма]]*Таблица1[[#This Row],[коэф]])),
IF((G415="4/8"),((база!$J$5*Таблица1[[#This Row],[сумма]]*Таблица1[[#This Row],[коэф]])),
IF(OR(G415="3/8",G415="2/8"),((база!$J$4*Таблица1[[#This Row],[сумма]]*Таблица1[[#This Row],[коэф]])))))))))))))),
(IF((G415="5/24"),((база!$M$6*Таблица1[[#This Row],[сумма]]*Таблица1[[#This Row],[коэф]])),
IF(OR(G415="4/24",G415="3/24"),((база!$M$5*Таблица1[[#This Row],[сумма]]*Таблица1[[#This Row],[коэф]])),
IF((G415="5/16"),((база!$L$6*Таблица1[[#This Row],[сумма]]*Таблица1[[#This Row],[коэф]])),
IF(OR(G415="4/16",G415="3/16"),((база!$L$5*Таблица1[[#This Row],[сумма]]*Таблица1[[#This Row],[коэф]])),
IF(OR(G415="2/4",G415="3/4",G415="4/4"),((база!$I$5*Таблица1[[#This Row],[сумма]]*Таблица1[[#This Row],[коэф]])),
IF((G415="5/8"),((база!$J$6*Таблица1[[#This Row],[сумма]]*Таблица1[[#This Row],[коэф]])),
IF(OR(G415="4/8",G415="3/8",G415="2/8"),((база!$J$5*Таблица1[[#This Row],[сумма]]*Таблица1[[#This Row],[коэф]])))))))))))</f>
        <v>0</v>
      </c>
      <c r="AP415" s="730" t="b">
        <f>IF(AR415&lt;=3,(IF((G415="5/24"),((база!$M$6*2*Таблица1[[#This Row],[Столбец1]]*Таблица1[[#This Row],[коэф]])),
IF((G415="4/24"),((база!$M$5*2*Таблица1[[#This Row],[Столбец1]]*Таблица1[[#This Row],[коэф]])),
IF((G415="3/24"),((база!$M$4*2*Таблица1[[#This Row],[Столбец1]]*Таблица1[[#This Row],[коэф]])),
IF((G415="5/16"),((база!$L$6*2*Таблица1[[#This Row],[Столбец1]]*Таблица1[[#This Row],[коэф]])),
IF((G415="4/16"),((база!$L$5*2*Таблица1[[#This Row],[Столбец1]]*Таблица1[[#This Row],[коэф]])),
IF((G415="3/16"),((база!$L$4*2*Таблица1[[#This Row],[Столбец1]]*Таблица1[[#This Row],[коэф]])),
IF((G415="4/4"),((база!$I$5*2*Таблица1[[#This Row],[Столбец1]]*Таблица1[[#This Row],[коэф]])),
IF(OR(G415="2/4",G415="3/4"),((база!$I$4*2*Таблица1[[#This Row],[Столбец1]]*Таблица1[[#This Row],[коэф]])),
IF((G415="5/8"),((база!$J$6*2*Таблица1[[#This Row],[Столбец1]]*Таблица1[[#This Row],[коэф]])),
IF((G415="4/8"),((база!$J$5*2*Таблица1[[#This Row],[Столбец1]]*Таблица1[[#This Row],[коэф]])),
IF(OR(G415="3/8",G415="2/8"),((база!$J$4*2*Таблица1[[#This Row],[Столбец1]]*Таблица1[[#This Row],[коэф]])))))))))))))),
(IF((G415="5/24"),((база!$M$6*2*Таблица1[[#This Row],[Столбец1]]*Таблица1[[#This Row],[коэф]])),
IF(OR(G415="4/24",G415="3/24"),((база!$M$5*2*Таблица1[[#This Row],[Столбец1]]*Таблица1[[#This Row],[коэф]])),
IF((G415="5/16"),((база!$L$6*2*Таблица1[[#This Row],[Столбец1]]*Таблица1[[#This Row],[коэф]])),
IF(OR(G415="4/16",G415="3/16"),((база!$L$5*2*Таблица1[[#This Row],[Столбец1]]*Таблица1[[#This Row],[коэф]])),
IF(OR(G415="2/4",G415="3/4",G415="4/4"),((база!$I$5*2*Таблица1[[#This Row],[Столбец1]]*Таблица1[[#This Row],[коэф]])),
IF((G415="5/8"),((база!$J$6*2*Таблица1[[#This Row],[Столбец1]]*Таблица1[[#This Row],[коэф]])),
IF(OR(G415="4/8",G415="3/8",G415="2/8"),((база!$J$5*2*Таблица1[[#This Row],[Столбец1]]*Таблица1[[#This Row],[коэф]])))))))))))</f>
        <v>0</v>
      </c>
      <c r="AQ415" s="712" t="str">
        <f>IFERROR(INDEX(база!T:T, MATCH(F415,база!Q:Q,0)),"")</f>
        <v/>
      </c>
      <c r="AR415" s="208" t="str">
        <f>IFERROR(INDEX(база!D:D, MATCH(F415,база!B:B,0)),"")</f>
        <v/>
      </c>
      <c r="AS415" s="758" t="str">
        <f>IFERROR(INDEX(база!E:E, MATCH(F415,база!B:B,0)),"")</f>
        <v/>
      </c>
    </row>
    <row r="416" spans="1:45" ht="15">
      <c r="A416" s="66" t="str">
        <f t="shared" si="7"/>
        <v>январь</v>
      </c>
      <c r="B416" s="231">
        <v>2024</v>
      </c>
      <c r="C416" s="299"/>
      <c r="D416" s="61"/>
      <c r="E416" s="211"/>
      <c r="F416" s="680"/>
      <c r="G416" s="47"/>
      <c r="H416" s="563"/>
      <c r="I416" s="563"/>
      <c r="J416" s="563"/>
      <c r="K416" s="563"/>
      <c r="L416" s="563"/>
      <c r="M416" s="563"/>
      <c r="N416" s="563"/>
      <c r="O416" s="563"/>
      <c r="P416" s="300"/>
      <c r="Q416" s="563"/>
      <c r="R416" s="563"/>
      <c r="S416" s="563"/>
      <c r="T416" s="563"/>
      <c r="U416" s="563"/>
      <c r="V416" s="563"/>
      <c r="W416" s="563"/>
      <c r="X416" s="563"/>
      <c r="Y416" s="563"/>
      <c r="Z416" s="563"/>
      <c r="AA416" s="563"/>
      <c r="AB416" s="563"/>
      <c r="AC416" s="563"/>
      <c r="AD416" s="48"/>
      <c r="AE416" s="48"/>
      <c r="AF416" s="258"/>
      <c r="AG416" s="48"/>
      <c r="AH416" s="48"/>
      <c r="AI416" s="48"/>
      <c r="AJ416" s="48"/>
      <c r="AK416" s="48"/>
      <c r="AL416" s="51"/>
      <c r="AM416" s="212">
        <f>IF(AQ416=1,SUM(Q416:T416,W416:Z416,AC416:AF416,AI416:AL416),
IF(AQ416=2,SUM(P416,S416:V416,Y416:AB416,AE416:AH416,AK416:AL416),
IF(AQ416=3,SUM(P416:R416,U416:X416,AA416:AD416,AG416:AJ416),SUM(Таблица1[[#This Row],[1]:[31]])-Таблица1[[#This Row],[Столбец1]])))</f>
        <v>0</v>
      </c>
      <c r="AN416" s="778">
        <f t="array" ref="AN416">IF(AQ416=1,SUM(P416,U416:V416,AA416:AB416,AG416:AH416),
IF(AQ416=2,SUM(Q416:R416,W416:X416,AC416:AD416,AI416:AJ416),
IF(AQ416=3,SUM(S416:T416,Y416:Z416,AE416:AF416,AK416:AL416),
SUM(IFERROR(WEEKDAY($H$2:$AL$2,2)&gt;5,)*H416:AL416))))+Таблица1[[#This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16" s="292" t="b">
        <f>IF(AR416&lt;=3,(IF((G416="5/24"),((база!$M$6*Таблица1[[#This Row],[сумма]]*Таблица1[[#This Row],[коэф]])),
IF((G416="4/24"),((база!$M$5*Таблица1[[#This Row],[сумма]]*Таблица1[[#This Row],[коэф]])),
IF((G416="3/24"),((база!$M$4*Таблица1[[#This Row],[сумма]]*Таблица1[[#This Row],[коэф]])),
IF((G416="5/16"),((база!$L$6*Таблица1[[#This Row],[сумма]]*Таблица1[[#This Row],[коэф]])),
IF((G416="4/16"),((база!$L$5*Таблица1[[#This Row],[сумма]]*Таблица1[[#This Row],[коэф]])),
IF((G416="3/16"),((база!$L$4*Таблица1[[#This Row],[сумма]]*Таблица1[[#This Row],[коэф]])),
IF((G416="4/4"),((база!$I$5*Таблица1[[#This Row],[сумма]]*Таблица1[[#This Row],[коэф]])),
IF(OR(G416="2/4",G416="3/4"),((база!$I$4*Таблица1[[#This Row],[сумма]]*Таблица1[[#This Row],[коэф]])),
IF((G416="5/8"),((база!$J$6*Таблица1[[#This Row],[сумма]]*Таблица1[[#This Row],[коэф]])),
IF((G416="4/8"),((база!$J$5*Таблица1[[#This Row],[сумма]]*Таблица1[[#This Row],[коэф]])),
IF(OR(G416="3/8",G416="2/8"),((база!$J$4*Таблица1[[#This Row],[сумма]]*Таблица1[[#This Row],[коэф]])))))))))))))),
(IF((G416="5/24"),((база!$M$6*Таблица1[[#This Row],[сумма]]*Таблица1[[#This Row],[коэф]])),
IF(OR(G416="4/24",G416="3/24"),((база!$M$5*Таблица1[[#This Row],[сумма]]*Таблица1[[#This Row],[коэф]])),
IF((G416="5/16"),((база!$L$6*Таблица1[[#This Row],[сумма]]*Таблица1[[#This Row],[коэф]])),
IF(OR(G416="4/16",G416="3/16"),((база!$L$5*Таблица1[[#This Row],[сумма]]*Таблица1[[#This Row],[коэф]])),
IF(OR(G416="2/4",G416="3/4",G416="4/4"),((база!$I$5*Таблица1[[#This Row],[сумма]]*Таблица1[[#This Row],[коэф]])),
IF((G416="5/8"),((база!$J$6*Таблица1[[#This Row],[сумма]]*Таблица1[[#This Row],[коэф]])),
IF(OR(G416="4/8",G416="3/8",G416="2/8"),((база!$J$5*Таблица1[[#This Row],[сумма]]*Таблица1[[#This Row],[коэф]])))))))))))</f>
        <v>0</v>
      </c>
      <c r="AP416" s="730" t="b">
        <f>IF(AR416&lt;=3,(IF((G416="5/24"),((база!$M$6*2*Таблица1[[#This Row],[Столбец1]]*Таблица1[[#This Row],[коэф]])),
IF((G416="4/24"),((база!$M$5*2*Таблица1[[#This Row],[Столбец1]]*Таблица1[[#This Row],[коэф]])),
IF((G416="3/24"),((база!$M$4*2*Таблица1[[#This Row],[Столбец1]]*Таблица1[[#This Row],[коэф]])),
IF((G416="5/16"),((база!$L$6*2*Таблица1[[#This Row],[Столбец1]]*Таблица1[[#This Row],[коэф]])),
IF((G416="4/16"),((база!$L$5*2*Таблица1[[#This Row],[Столбец1]]*Таблица1[[#This Row],[коэф]])),
IF((G416="3/16"),((база!$L$4*2*Таблица1[[#This Row],[Столбец1]]*Таблица1[[#This Row],[коэф]])),
IF((G416="4/4"),((база!$I$5*2*Таблица1[[#This Row],[Столбец1]]*Таблица1[[#This Row],[коэф]])),
IF(OR(G416="2/4",G416="3/4"),((база!$I$4*2*Таблица1[[#This Row],[Столбец1]]*Таблица1[[#This Row],[коэф]])),
IF((G416="5/8"),((база!$J$6*2*Таблица1[[#This Row],[Столбец1]]*Таблица1[[#This Row],[коэф]])),
IF((G416="4/8"),((база!$J$5*2*Таблица1[[#This Row],[Столбец1]]*Таблица1[[#This Row],[коэф]])),
IF(OR(G416="3/8",G416="2/8"),((база!$J$4*2*Таблица1[[#This Row],[Столбец1]]*Таблица1[[#This Row],[коэф]])))))))))))))),
(IF((G416="5/24"),((база!$M$6*2*Таблица1[[#This Row],[Столбец1]]*Таблица1[[#This Row],[коэф]])),
IF(OR(G416="4/24",G416="3/24"),((база!$M$5*2*Таблица1[[#This Row],[Столбец1]]*Таблица1[[#This Row],[коэф]])),
IF((G416="5/16"),((база!$L$6*2*Таблица1[[#This Row],[Столбец1]]*Таблица1[[#This Row],[коэф]])),
IF(OR(G416="4/16",G416="3/16"),((база!$L$5*2*Таблица1[[#This Row],[Столбец1]]*Таблица1[[#This Row],[коэф]])),
IF(OR(G416="2/4",G416="3/4",G416="4/4"),((база!$I$5*2*Таблица1[[#This Row],[Столбец1]]*Таблица1[[#This Row],[коэф]])),
IF((G416="5/8"),((база!$J$6*2*Таблица1[[#This Row],[Столбец1]]*Таблица1[[#This Row],[коэф]])),
IF(OR(G416="4/8",G416="3/8",G416="2/8"),((база!$J$5*2*Таблица1[[#This Row],[Столбец1]]*Таблица1[[#This Row],[коэф]])))))))))))</f>
        <v>0</v>
      </c>
      <c r="AQ416" s="712" t="str">
        <f>IFERROR(INDEX(база!T:T, MATCH(F416,база!Q:Q,0)),"")</f>
        <v/>
      </c>
      <c r="AR416" s="208" t="str">
        <f>IFERROR(INDEX(база!D:D, MATCH(F416,база!B:B,0)),"")</f>
        <v/>
      </c>
      <c r="AS416" s="758" t="str">
        <f>IFERROR(INDEX(база!E:E, MATCH(F416,база!B:B,0)),"")</f>
        <v/>
      </c>
    </row>
    <row r="417" spans="1:45" ht="15">
      <c r="A417" s="66" t="str">
        <f t="shared" si="7"/>
        <v>январь</v>
      </c>
      <c r="B417" s="231">
        <v>2024</v>
      </c>
      <c r="C417" s="60"/>
      <c r="D417" s="61"/>
      <c r="E417" s="211"/>
      <c r="F417" s="680"/>
      <c r="G417" s="47"/>
      <c r="H417" s="563"/>
      <c r="I417" s="563"/>
      <c r="J417" s="563"/>
      <c r="K417" s="563"/>
      <c r="L417" s="563"/>
      <c r="M417" s="563"/>
      <c r="N417" s="563"/>
      <c r="O417" s="563"/>
      <c r="P417" s="300"/>
      <c r="Q417" s="563"/>
      <c r="R417" s="563"/>
      <c r="S417" s="563"/>
      <c r="T417" s="563"/>
      <c r="U417" s="563"/>
      <c r="V417" s="563"/>
      <c r="W417" s="563"/>
      <c r="X417" s="563"/>
      <c r="Y417" s="563"/>
      <c r="Z417" s="563"/>
      <c r="AA417" s="563"/>
      <c r="AB417" s="563"/>
      <c r="AC417" s="563"/>
      <c r="AD417" s="48"/>
      <c r="AE417" s="48"/>
      <c r="AF417" s="258"/>
      <c r="AG417" s="48"/>
      <c r="AH417" s="48"/>
      <c r="AI417" s="258"/>
      <c r="AJ417" s="258"/>
      <c r="AK417" s="258"/>
      <c r="AL417" s="258"/>
      <c r="AM417" s="212">
        <f>IF(AQ417=1,SUM(Q417:T417,W417:Z417,AC417:AF417,AI417:AL417),
IF(AQ417=2,SUM(P417,S417:V417,Y417:AB417,AE417:AH417,AK417:AL417),
IF(AQ417=3,SUM(P417:R417,U417:X417,AA417:AD417,AG417:AJ417),SUM(Таблица1[[#This Row],[1]:[31]])-Таблица1[[#This Row],[Столбец1]])))</f>
        <v>0</v>
      </c>
      <c r="AN417" s="778">
        <f t="array" ref="AN417">IF(AQ417=1,SUM(P417,U417:V417,AA417:AB417,AG417:AH417),
IF(AQ417=2,SUM(Q417:R417,W417:X417,AC417:AD417,AI417:AJ417),
IF(AQ417=3,SUM(S417:T417,Y417:Z417,AE417:AF417,AK417:AL417),
SUM(IFERROR(WEEKDAY($H$2:$AL$2,2)&gt;5,)*H417:AL417))))+Таблица1[[#This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17" s="292" t="b">
        <f>IF(AR417&lt;=3,(IF((G417="5/24"),((база!$M$6*Таблица1[[#This Row],[сумма]]*Таблица1[[#This Row],[коэф]])),
IF((G417="4/24"),((база!$M$5*Таблица1[[#This Row],[сумма]]*Таблица1[[#This Row],[коэф]])),
IF((G417="3/24"),((база!$M$4*Таблица1[[#This Row],[сумма]]*Таблица1[[#This Row],[коэф]])),
IF((G417="5/16"),((база!$L$6*Таблица1[[#This Row],[сумма]]*Таблица1[[#This Row],[коэф]])),
IF((G417="4/16"),((база!$L$5*Таблица1[[#This Row],[сумма]]*Таблица1[[#This Row],[коэф]])),
IF((G417="3/16"),((база!$L$4*Таблица1[[#This Row],[сумма]]*Таблица1[[#This Row],[коэф]])),
IF((G417="4/4"),((база!$I$5*Таблица1[[#This Row],[сумма]]*Таблица1[[#This Row],[коэф]])),
IF(OR(G417="2/4",G417="3/4"),((база!$I$4*Таблица1[[#This Row],[сумма]]*Таблица1[[#This Row],[коэф]])),
IF((G417="5/8"),((база!$J$6*Таблица1[[#This Row],[сумма]]*Таблица1[[#This Row],[коэф]])),
IF((G417="4/8"),((база!$J$5*Таблица1[[#This Row],[сумма]]*Таблица1[[#This Row],[коэф]])),
IF(OR(G417="3/8",G417="2/8"),((база!$J$4*Таблица1[[#This Row],[сумма]]*Таблица1[[#This Row],[коэф]])))))))))))))),
(IF((G417="5/24"),((база!$M$6*Таблица1[[#This Row],[сумма]]*Таблица1[[#This Row],[коэф]])),
IF(OR(G417="4/24",G417="3/24"),((база!$M$5*Таблица1[[#This Row],[сумма]]*Таблица1[[#This Row],[коэф]])),
IF((G417="5/16"),((база!$L$6*Таблица1[[#This Row],[сумма]]*Таблица1[[#This Row],[коэф]])),
IF(OR(G417="4/16",G417="3/16"),((база!$L$5*Таблица1[[#This Row],[сумма]]*Таблица1[[#This Row],[коэф]])),
IF(OR(G417="2/4",G417="3/4",G417="4/4"),((база!$I$5*Таблица1[[#This Row],[сумма]]*Таблица1[[#This Row],[коэф]])),
IF((G417="5/8"),((база!$J$6*Таблица1[[#This Row],[сумма]]*Таблица1[[#This Row],[коэф]])),
IF(OR(G417="4/8",G417="3/8",G417="2/8"),((база!$J$5*Таблица1[[#This Row],[сумма]]*Таблица1[[#This Row],[коэф]])))))))))))</f>
        <v>0</v>
      </c>
      <c r="AP417" s="730" t="b">
        <f>IF(AR417&lt;=3,(IF((G417="5/24"),((база!$M$6*2*Таблица1[[#This Row],[Столбец1]]*Таблица1[[#This Row],[коэф]])),
IF((G417="4/24"),((база!$M$5*2*Таблица1[[#This Row],[Столбец1]]*Таблица1[[#This Row],[коэф]])),
IF((G417="3/24"),((база!$M$4*2*Таблица1[[#This Row],[Столбец1]]*Таблица1[[#This Row],[коэф]])),
IF((G417="5/16"),((база!$L$6*2*Таблица1[[#This Row],[Столбец1]]*Таблица1[[#This Row],[коэф]])),
IF((G417="4/16"),((база!$L$5*2*Таблица1[[#This Row],[Столбец1]]*Таблица1[[#This Row],[коэф]])),
IF((G417="3/16"),((база!$L$4*2*Таблица1[[#This Row],[Столбец1]]*Таблица1[[#This Row],[коэф]])),
IF((G417="4/4"),((база!$I$5*2*Таблица1[[#This Row],[Столбец1]]*Таблица1[[#This Row],[коэф]])),
IF(OR(G417="2/4",G417="3/4"),((база!$I$4*2*Таблица1[[#This Row],[Столбец1]]*Таблица1[[#This Row],[коэф]])),
IF((G417="5/8"),((база!$J$6*2*Таблица1[[#This Row],[Столбец1]]*Таблица1[[#This Row],[коэф]])),
IF((G417="4/8"),((база!$J$5*2*Таблица1[[#This Row],[Столбец1]]*Таблица1[[#This Row],[коэф]])),
IF(OR(G417="3/8",G417="2/8"),((база!$J$4*2*Таблица1[[#This Row],[Столбец1]]*Таблица1[[#This Row],[коэф]])))))))))))))),
(IF((G417="5/24"),((база!$M$6*2*Таблица1[[#This Row],[Столбец1]]*Таблица1[[#This Row],[коэф]])),
IF(OR(G417="4/24",G417="3/24"),((база!$M$5*2*Таблица1[[#This Row],[Столбец1]]*Таблица1[[#This Row],[коэф]])),
IF((G417="5/16"),((база!$L$6*2*Таблица1[[#This Row],[Столбец1]]*Таблица1[[#This Row],[коэф]])),
IF(OR(G417="4/16",G417="3/16"),((база!$L$5*2*Таблица1[[#This Row],[Столбец1]]*Таблица1[[#This Row],[коэф]])),
IF(OR(G417="2/4",G417="3/4",G417="4/4"),((база!$I$5*2*Таблица1[[#This Row],[Столбец1]]*Таблица1[[#This Row],[коэф]])),
IF((G417="5/8"),((база!$J$6*2*Таблица1[[#This Row],[Столбец1]]*Таблица1[[#This Row],[коэф]])),
IF(OR(G417="4/8",G417="3/8",G417="2/8"),((база!$J$5*2*Таблица1[[#This Row],[Столбец1]]*Таблица1[[#This Row],[коэф]])))))))))))</f>
        <v>0</v>
      </c>
      <c r="AQ417" s="712" t="str">
        <f>IFERROR(INDEX(база!T:T, MATCH(F417,база!Q:Q,0)),"")</f>
        <v/>
      </c>
      <c r="AR417" s="208" t="str">
        <f>IFERROR(INDEX(база!D:D, MATCH(F417,база!B:B,0)),"")</f>
        <v/>
      </c>
      <c r="AS417" s="758" t="str">
        <f>IFERROR(INDEX(база!E:E, MATCH(F417,база!B:B,0)),"")</f>
        <v/>
      </c>
    </row>
    <row r="418" spans="1:45" ht="15">
      <c r="A418" s="66" t="str">
        <f t="shared" si="7"/>
        <v>январь</v>
      </c>
      <c r="B418" s="231">
        <v>2024</v>
      </c>
      <c r="C418" s="60"/>
      <c r="D418" s="61"/>
      <c r="E418" s="211"/>
      <c r="F418" s="680"/>
      <c r="G418" s="47"/>
      <c r="H418" s="563"/>
      <c r="I418" s="563"/>
      <c r="J418" s="563"/>
      <c r="K418" s="563"/>
      <c r="L418" s="563"/>
      <c r="M418" s="563"/>
      <c r="N418" s="563"/>
      <c r="O418" s="563"/>
      <c r="P418" s="300"/>
      <c r="Q418" s="563"/>
      <c r="R418" s="563"/>
      <c r="S418" s="563"/>
      <c r="T418" s="563"/>
      <c r="U418" s="563"/>
      <c r="V418" s="563"/>
      <c r="W418" s="563"/>
      <c r="X418" s="563"/>
      <c r="Y418" s="563"/>
      <c r="Z418" s="563"/>
      <c r="AA418" s="563"/>
      <c r="AB418" s="563"/>
      <c r="AC418" s="563"/>
      <c r="AD418" s="48"/>
      <c r="AE418" s="48"/>
      <c r="AF418" s="48"/>
      <c r="AG418" s="48"/>
      <c r="AH418" s="48"/>
      <c r="AI418" s="48"/>
      <c r="AJ418" s="48"/>
      <c r="AK418" s="48"/>
      <c r="AL418" s="51"/>
      <c r="AM418" s="212">
        <f>IF(AQ418=1,SUM(Q418:T418,W418:Z418,AC418:AF418,AI418:AL418),
IF(AQ418=2,SUM(P418,S418:V418,Y418:AB418,AE418:AH418,AK418:AL418),
IF(AQ418=3,SUM(P418:R418,U418:X418,AA418:AD418,AG418:AJ418),SUM(Таблица1[[#This Row],[1]:[31]])-Таблица1[[#This Row],[Столбец1]])))</f>
        <v>0</v>
      </c>
      <c r="AN418" s="778">
        <f t="array" ref="AN418">IF(AQ418=1,SUM(P418,U418:V418,AA418:AB418,AG418:AH418),
IF(AQ418=2,SUM(Q418:R418,W418:X418,AC418:AD418,AI418:AJ418),
IF(AQ418=3,SUM(S418:T418,Y418:Z418,AE418:AF418,AK418:AL418),
SUM(IFERROR(WEEKDAY($H$2:$AL$2,2)&gt;5,)*H418:AL418))))+Таблица1[[#This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18" s="292" t="b">
        <f>IF(AR418&lt;=3,(IF((G418="5/24"),((база!$M$6*Таблица1[[#This Row],[сумма]]*Таблица1[[#This Row],[коэф]])),
IF((G418="4/24"),((база!$M$5*Таблица1[[#This Row],[сумма]]*Таблица1[[#This Row],[коэф]])),
IF((G418="3/24"),((база!$M$4*Таблица1[[#This Row],[сумма]]*Таблица1[[#This Row],[коэф]])),
IF((G418="5/16"),((база!$L$6*Таблица1[[#This Row],[сумма]]*Таблица1[[#This Row],[коэф]])),
IF((G418="4/16"),((база!$L$5*Таблица1[[#This Row],[сумма]]*Таблица1[[#This Row],[коэф]])),
IF((G418="3/16"),((база!$L$4*Таблица1[[#This Row],[сумма]]*Таблица1[[#This Row],[коэф]])),
IF((G418="4/4"),((база!$I$5*Таблица1[[#This Row],[сумма]]*Таблица1[[#This Row],[коэф]])),
IF(OR(G418="2/4",G418="3/4"),((база!$I$4*Таблица1[[#This Row],[сумма]]*Таблица1[[#This Row],[коэф]])),
IF((G418="5/8"),((база!$J$6*Таблица1[[#This Row],[сумма]]*Таблица1[[#This Row],[коэф]])),
IF((G418="4/8"),((база!$J$5*Таблица1[[#This Row],[сумма]]*Таблица1[[#This Row],[коэф]])),
IF(OR(G418="3/8",G418="2/8"),((база!$J$4*Таблица1[[#This Row],[сумма]]*Таблица1[[#This Row],[коэф]])))))))))))))),
(IF((G418="5/24"),((база!$M$6*Таблица1[[#This Row],[сумма]]*Таблица1[[#This Row],[коэф]])),
IF(OR(G418="4/24",G418="3/24"),((база!$M$5*Таблица1[[#This Row],[сумма]]*Таблица1[[#This Row],[коэф]])),
IF((G418="5/16"),((база!$L$6*Таблица1[[#This Row],[сумма]]*Таблица1[[#This Row],[коэф]])),
IF(OR(G418="4/16",G418="3/16"),((база!$L$5*Таблица1[[#This Row],[сумма]]*Таблица1[[#This Row],[коэф]])),
IF(OR(G418="2/4",G418="3/4",G418="4/4"),((база!$I$5*Таблица1[[#This Row],[сумма]]*Таблица1[[#This Row],[коэф]])),
IF((G418="5/8"),((база!$J$6*Таблица1[[#This Row],[сумма]]*Таблица1[[#This Row],[коэф]])),
IF(OR(G418="4/8",G418="3/8",G418="2/8"),((база!$J$5*Таблица1[[#This Row],[сумма]]*Таблица1[[#This Row],[коэф]])))))))))))</f>
        <v>0</v>
      </c>
      <c r="AP418" s="730" t="b">
        <f>IF(AR418&lt;=3,(IF((G418="5/24"),((база!$M$6*2*Таблица1[[#This Row],[Столбец1]]*Таблица1[[#This Row],[коэф]])),
IF((G418="4/24"),((база!$M$5*2*Таблица1[[#This Row],[Столбец1]]*Таблица1[[#This Row],[коэф]])),
IF((G418="3/24"),((база!$M$4*2*Таблица1[[#This Row],[Столбец1]]*Таблица1[[#This Row],[коэф]])),
IF((G418="5/16"),((база!$L$6*2*Таблица1[[#This Row],[Столбец1]]*Таблица1[[#This Row],[коэф]])),
IF((G418="4/16"),((база!$L$5*2*Таблица1[[#This Row],[Столбец1]]*Таблица1[[#This Row],[коэф]])),
IF((G418="3/16"),((база!$L$4*2*Таблица1[[#This Row],[Столбец1]]*Таблица1[[#This Row],[коэф]])),
IF((G418="4/4"),((база!$I$5*2*Таблица1[[#This Row],[Столбец1]]*Таблица1[[#This Row],[коэф]])),
IF(OR(G418="2/4",G418="3/4"),((база!$I$4*2*Таблица1[[#This Row],[Столбец1]]*Таблица1[[#This Row],[коэф]])),
IF((G418="5/8"),((база!$J$6*2*Таблица1[[#This Row],[Столбец1]]*Таблица1[[#This Row],[коэф]])),
IF((G418="4/8"),((база!$J$5*2*Таблица1[[#This Row],[Столбец1]]*Таблица1[[#This Row],[коэф]])),
IF(OR(G418="3/8",G418="2/8"),((база!$J$4*2*Таблица1[[#This Row],[Столбец1]]*Таблица1[[#This Row],[коэф]])))))))))))))),
(IF((G418="5/24"),((база!$M$6*2*Таблица1[[#This Row],[Столбец1]]*Таблица1[[#This Row],[коэф]])),
IF(OR(G418="4/24",G418="3/24"),((база!$M$5*2*Таблица1[[#This Row],[Столбец1]]*Таблица1[[#This Row],[коэф]])),
IF((G418="5/16"),((база!$L$6*2*Таблица1[[#This Row],[Столбец1]]*Таблица1[[#This Row],[коэф]])),
IF(OR(G418="4/16",G418="3/16"),((база!$L$5*2*Таблица1[[#This Row],[Столбец1]]*Таблица1[[#This Row],[коэф]])),
IF(OR(G418="2/4",G418="3/4",G418="4/4"),((база!$I$5*2*Таблица1[[#This Row],[Столбец1]]*Таблица1[[#This Row],[коэф]])),
IF((G418="5/8"),((база!$J$6*2*Таблица1[[#This Row],[Столбец1]]*Таблица1[[#This Row],[коэф]])),
IF(OR(G418="4/8",G418="3/8",G418="2/8"),((база!$J$5*2*Таблица1[[#This Row],[Столбец1]]*Таблица1[[#This Row],[коэф]])))))))))))</f>
        <v>0</v>
      </c>
      <c r="AQ418" s="712" t="str">
        <f>IFERROR(INDEX(база!T:T, MATCH(F418,база!Q:Q,0)),"")</f>
        <v/>
      </c>
      <c r="AR418" s="208" t="str">
        <f>IFERROR(INDEX(база!D:D, MATCH(F418,база!B:B,0)),"")</f>
        <v/>
      </c>
      <c r="AS418" s="758" t="str">
        <f>IFERROR(INDEX(база!E:E, MATCH(F418,база!B:B,0)),"")</f>
        <v/>
      </c>
    </row>
    <row r="419" spans="1:45" ht="15">
      <c r="A419" s="66" t="str">
        <f t="shared" si="7"/>
        <v>январь</v>
      </c>
      <c r="B419" s="231">
        <v>2024</v>
      </c>
      <c r="C419" s="299"/>
      <c r="D419" s="61"/>
      <c r="E419" s="211"/>
      <c r="F419" s="680"/>
      <c r="G419" s="47"/>
      <c r="H419" s="563"/>
      <c r="I419" s="563"/>
      <c r="J419" s="563"/>
      <c r="K419" s="563"/>
      <c r="L419" s="563"/>
      <c r="M419" s="563"/>
      <c r="N419" s="563"/>
      <c r="O419" s="563"/>
      <c r="P419" s="300"/>
      <c r="Q419" s="563"/>
      <c r="R419" s="563"/>
      <c r="S419" s="563"/>
      <c r="T419" s="563"/>
      <c r="U419" s="563"/>
      <c r="V419" s="563"/>
      <c r="W419" s="563"/>
      <c r="X419" s="563"/>
      <c r="Y419" s="563"/>
      <c r="Z419" s="563"/>
      <c r="AA419" s="563"/>
      <c r="AB419" s="563"/>
      <c r="AC419" s="563"/>
      <c r="AD419" s="48"/>
      <c r="AE419" s="48"/>
      <c r="AF419" s="258"/>
      <c r="AG419" s="48"/>
      <c r="AH419" s="48"/>
      <c r="AI419" s="258"/>
      <c r="AJ419" s="258"/>
      <c r="AK419" s="258"/>
      <c r="AL419" s="258"/>
      <c r="AM419" s="212">
        <f>IF(AQ419=1,SUM(Q419:T419,W419:Z419,AC419:AF419,AI419:AL419),
IF(AQ419=2,SUM(P419,S419:V419,Y419:AB419,AE419:AH419,AK419:AL419),
IF(AQ419=3,SUM(P419:R419,U419:X419,AA419:AD419,AG419:AJ419),SUM(Таблица1[[#This Row],[1]:[31]])-Таблица1[[#This Row],[Столбец1]])))</f>
        <v>0</v>
      </c>
      <c r="AN419" s="778">
        <f t="array" ref="AN419">IF(AQ419=1,SUM(P419,U419:V419,AA419:AB419,AG419:AH419),
IF(AQ419=2,SUM(Q419:R419,W419:X419,AC419:AD419,AI419:AJ419),
IF(AQ419=3,SUM(S419:T419,Y419:Z419,AE419:AF419,AK419:AL419),
SUM(IFERROR(WEEKDAY($H$2:$AL$2,2)&gt;5,)*H419:AL419))))+Таблица1[[#This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19" s="292" t="b">
        <f>IF(AR419&lt;=3,(IF((G419="5/24"),((база!$M$6*Таблица1[[#This Row],[сумма]]*Таблица1[[#This Row],[коэф]])),
IF((G419="4/24"),((база!$M$5*Таблица1[[#This Row],[сумма]]*Таблица1[[#This Row],[коэф]])),
IF((G419="3/24"),((база!$M$4*Таблица1[[#This Row],[сумма]]*Таблица1[[#This Row],[коэф]])),
IF((G419="5/16"),((база!$L$6*Таблица1[[#This Row],[сумма]]*Таблица1[[#This Row],[коэф]])),
IF((G419="4/16"),((база!$L$5*Таблица1[[#This Row],[сумма]]*Таблица1[[#This Row],[коэф]])),
IF((G419="3/16"),((база!$L$4*Таблица1[[#This Row],[сумма]]*Таблица1[[#This Row],[коэф]])),
IF((G419="4/4"),((база!$I$5*Таблица1[[#This Row],[сумма]]*Таблица1[[#This Row],[коэф]])),
IF(OR(G419="2/4",G419="3/4"),((база!$I$4*Таблица1[[#This Row],[сумма]]*Таблица1[[#This Row],[коэф]])),
IF((G419="5/8"),((база!$J$6*Таблица1[[#This Row],[сумма]]*Таблица1[[#This Row],[коэф]])),
IF((G419="4/8"),((база!$J$5*Таблица1[[#This Row],[сумма]]*Таблица1[[#This Row],[коэф]])),
IF(OR(G419="3/8",G419="2/8"),((база!$J$4*Таблица1[[#This Row],[сумма]]*Таблица1[[#This Row],[коэф]])))))))))))))),
(IF((G419="5/24"),((база!$M$6*Таблица1[[#This Row],[сумма]]*Таблица1[[#This Row],[коэф]])),
IF(OR(G419="4/24",G419="3/24"),((база!$M$5*Таблица1[[#This Row],[сумма]]*Таблица1[[#This Row],[коэф]])),
IF((G419="5/16"),((база!$L$6*Таблица1[[#This Row],[сумма]]*Таблица1[[#This Row],[коэф]])),
IF(OR(G419="4/16",G419="3/16"),((база!$L$5*Таблица1[[#This Row],[сумма]]*Таблица1[[#This Row],[коэф]])),
IF(OR(G419="2/4",G419="3/4",G419="4/4"),((база!$I$5*Таблица1[[#This Row],[сумма]]*Таблица1[[#This Row],[коэф]])),
IF((G419="5/8"),((база!$J$6*Таблица1[[#This Row],[сумма]]*Таблица1[[#This Row],[коэф]])),
IF(OR(G419="4/8",G419="3/8",G419="2/8"),((база!$J$5*Таблица1[[#This Row],[сумма]]*Таблица1[[#This Row],[коэф]])))))))))))</f>
        <v>0</v>
      </c>
      <c r="AP419" s="730" t="b">
        <f>IF(AR419&lt;=3,(IF((G419="5/24"),((база!$M$6*2*Таблица1[[#This Row],[Столбец1]]*Таблица1[[#This Row],[коэф]])),
IF((G419="4/24"),((база!$M$5*2*Таблица1[[#This Row],[Столбец1]]*Таблица1[[#This Row],[коэф]])),
IF((G419="3/24"),((база!$M$4*2*Таблица1[[#This Row],[Столбец1]]*Таблица1[[#This Row],[коэф]])),
IF((G419="5/16"),((база!$L$6*2*Таблица1[[#This Row],[Столбец1]]*Таблица1[[#This Row],[коэф]])),
IF((G419="4/16"),((база!$L$5*2*Таблица1[[#This Row],[Столбец1]]*Таблица1[[#This Row],[коэф]])),
IF((G419="3/16"),((база!$L$4*2*Таблица1[[#This Row],[Столбец1]]*Таблица1[[#This Row],[коэф]])),
IF((G419="4/4"),((база!$I$5*2*Таблица1[[#This Row],[Столбец1]]*Таблица1[[#This Row],[коэф]])),
IF(OR(G419="2/4",G419="3/4"),((база!$I$4*2*Таблица1[[#This Row],[Столбец1]]*Таблица1[[#This Row],[коэф]])),
IF((G419="5/8"),((база!$J$6*2*Таблица1[[#This Row],[Столбец1]]*Таблица1[[#This Row],[коэф]])),
IF((G419="4/8"),((база!$J$5*2*Таблица1[[#This Row],[Столбец1]]*Таблица1[[#This Row],[коэф]])),
IF(OR(G419="3/8",G419="2/8"),((база!$J$4*2*Таблица1[[#This Row],[Столбец1]]*Таблица1[[#This Row],[коэф]])))))))))))))),
(IF((G419="5/24"),((база!$M$6*2*Таблица1[[#This Row],[Столбец1]]*Таблица1[[#This Row],[коэф]])),
IF(OR(G419="4/24",G419="3/24"),((база!$M$5*2*Таблица1[[#This Row],[Столбец1]]*Таблица1[[#This Row],[коэф]])),
IF((G419="5/16"),((база!$L$6*2*Таблица1[[#This Row],[Столбец1]]*Таблица1[[#This Row],[коэф]])),
IF(OR(G419="4/16",G419="3/16"),((база!$L$5*2*Таблица1[[#This Row],[Столбец1]]*Таблица1[[#This Row],[коэф]])),
IF(OR(G419="2/4",G419="3/4",G419="4/4"),((база!$I$5*2*Таблица1[[#This Row],[Столбец1]]*Таблица1[[#This Row],[коэф]])),
IF((G419="5/8"),((база!$J$6*2*Таблица1[[#This Row],[Столбец1]]*Таблица1[[#This Row],[коэф]])),
IF(OR(G419="4/8",G419="3/8",G419="2/8"),((база!$J$5*2*Таблица1[[#This Row],[Столбец1]]*Таблица1[[#This Row],[коэф]])))))))))))</f>
        <v>0</v>
      </c>
      <c r="AQ419" s="712" t="str">
        <f>IFERROR(INDEX(база!T:T, MATCH(F419,база!Q:Q,0)),"")</f>
        <v/>
      </c>
      <c r="AR419" s="208" t="str">
        <f>IFERROR(INDEX(база!D:D, MATCH(F419,база!B:B,0)),"")</f>
        <v/>
      </c>
      <c r="AS419" s="758" t="str">
        <f>IFERROR(INDEX(база!E:E, MATCH(F419,база!B:B,0)),"")</f>
        <v/>
      </c>
    </row>
    <row r="420" spans="1:45" ht="15">
      <c r="A420" s="66" t="str">
        <f t="shared" si="7"/>
        <v>январь</v>
      </c>
      <c r="B420" s="231">
        <v>2024</v>
      </c>
      <c r="C420" s="60"/>
      <c r="D420" s="61"/>
      <c r="E420" s="211"/>
      <c r="F420" s="680"/>
      <c r="G420" s="47"/>
      <c r="H420" s="563"/>
      <c r="I420" s="563"/>
      <c r="J420" s="563"/>
      <c r="K420" s="563"/>
      <c r="L420" s="563"/>
      <c r="M420" s="563"/>
      <c r="N420" s="563"/>
      <c r="O420" s="563"/>
      <c r="P420" s="300"/>
      <c r="Q420" s="563"/>
      <c r="R420" s="563"/>
      <c r="S420" s="563"/>
      <c r="T420" s="563"/>
      <c r="U420" s="563"/>
      <c r="V420" s="563"/>
      <c r="W420" s="563"/>
      <c r="X420" s="563"/>
      <c r="Y420" s="563"/>
      <c r="Z420" s="563"/>
      <c r="AA420" s="563"/>
      <c r="AB420" s="563"/>
      <c r="AC420" s="563"/>
      <c r="AD420" s="48"/>
      <c r="AE420" s="48"/>
      <c r="AF420" s="258"/>
      <c r="AG420" s="48"/>
      <c r="AH420" s="48"/>
      <c r="AI420" s="48"/>
      <c r="AJ420" s="48"/>
      <c r="AK420" s="48"/>
      <c r="AL420" s="51"/>
      <c r="AM420" s="212">
        <f>IF(AQ420=1,SUM(Q420:T420,W420:Z420,AC420:AF420,AI420:AL420),
IF(AQ420=2,SUM(P420,S420:V420,Y420:AB420,AE420:AH420,AK420:AL420),
IF(AQ420=3,SUM(P420:R420,U420:X420,AA420:AD420,AG420:AJ420),SUM(Таблица1[[#This Row],[1]:[31]])-Таблица1[[#This Row],[Столбец1]])))</f>
        <v>0</v>
      </c>
      <c r="AN420" s="778">
        <f t="array" ref="AN420">IF(AQ420=1,SUM(P420,U420:V420,AA420:AB420,AG420:AH420),
IF(AQ420=2,SUM(Q420:R420,W420:X420,AC420:AD420,AI420:AJ420),
IF(AQ420=3,SUM(S420:T420,Y420:Z420,AE420:AF420,AK420:AL420),
SUM(IFERROR(WEEKDAY($H$2:$AL$2,2)&gt;5,)*H420:AL420))))+Таблица1[[#This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20" s="292" t="b">
        <f>IF(AR420&lt;=3,(IF((G420="5/24"),((база!$M$6*Таблица1[[#This Row],[сумма]]*Таблица1[[#This Row],[коэф]])),
IF((G420="4/24"),((база!$M$5*Таблица1[[#This Row],[сумма]]*Таблица1[[#This Row],[коэф]])),
IF((G420="3/24"),((база!$M$4*Таблица1[[#This Row],[сумма]]*Таблица1[[#This Row],[коэф]])),
IF((G420="5/16"),((база!$L$6*Таблица1[[#This Row],[сумма]]*Таблица1[[#This Row],[коэф]])),
IF((G420="4/16"),((база!$L$5*Таблица1[[#This Row],[сумма]]*Таблица1[[#This Row],[коэф]])),
IF((G420="3/16"),((база!$L$4*Таблица1[[#This Row],[сумма]]*Таблица1[[#This Row],[коэф]])),
IF((G420="4/4"),((база!$I$5*Таблица1[[#This Row],[сумма]]*Таблица1[[#This Row],[коэф]])),
IF(OR(G420="2/4",G420="3/4"),((база!$I$4*Таблица1[[#This Row],[сумма]]*Таблица1[[#This Row],[коэф]])),
IF((G420="5/8"),((база!$J$6*Таблица1[[#This Row],[сумма]]*Таблица1[[#This Row],[коэф]])),
IF((G420="4/8"),((база!$J$5*Таблица1[[#This Row],[сумма]]*Таблица1[[#This Row],[коэф]])),
IF(OR(G420="3/8",G420="2/8"),((база!$J$4*Таблица1[[#This Row],[сумма]]*Таблица1[[#This Row],[коэф]])))))))))))))),
(IF((G420="5/24"),((база!$M$6*Таблица1[[#This Row],[сумма]]*Таблица1[[#This Row],[коэф]])),
IF(OR(G420="4/24",G420="3/24"),((база!$M$5*Таблица1[[#This Row],[сумма]]*Таблица1[[#This Row],[коэф]])),
IF((G420="5/16"),((база!$L$6*Таблица1[[#This Row],[сумма]]*Таблица1[[#This Row],[коэф]])),
IF(OR(G420="4/16",G420="3/16"),((база!$L$5*Таблица1[[#This Row],[сумма]]*Таблица1[[#This Row],[коэф]])),
IF(OR(G420="2/4",G420="3/4",G420="4/4"),((база!$I$5*Таблица1[[#This Row],[сумма]]*Таблица1[[#This Row],[коэф]])),
IF((G420="5/8"),((база!$J$6*Таблица1[[#This Row],[сумма]]*Таблица1[[#This Row],[коэф]])),
IF(OR(G420="4/8",G420="3/8",G420="2/8"),((база!$J$5*Таблица1[[#This Row],[сумма]]*Таблица1[[#This Row],[коэф]])))))))))))</f>
        <v>0</v>
      </c>
      <c r="AP420" s="730" t="b">
        <f>IF(AR420&lt;=3,(IF((G420="5/24"),((база!$M$6*2*Таблица1[[#This Row],[Столбец1]]*Таблица1[[#This Row],[коэф]])),
IF((G420="4/24"),((база!$M$5*2*Таблица1[[#This Row],[Столбец1]]*Таблица1[[#This Row],[коэф]])),
IF((G420="3/24"),((база!$M$4*2*Таблица1[[#This Row],[Столбец1]]*Таблица1[[#This Row],[коэф]])),
IF((G420="5/16"),((база!$L$6*2*Таблица1[[#This Row],[Столбец1]]*Таблица1[[#This Row],[коэф]])),
IF((G420="4/16"),((база!$L$5*2*Таблица1[[#This Row],[Столбец1]]*Таблица1[[#This Row],[коэф]])),
IF((G420="3/16"),((база!$L$4*2*Таблица1[[#This Row],[Столбец1]]*Таблица1[[#This Row],[коэф]])),
IF((G420="4/4"),((база!$I$5*2*Таблица1[[#This Row],[Столбец1]]*Таблица1[[#This Row],[коэф]])),
IF(OR(G420="2/4",G420="3/4"),((база!$I$4*2*Таблица1[[#This Row],[Столбец1]]*Таблица1[[#This Row],[коэф]])),
IF((G420="5/8"),((база!$J$6*2*Таблица1[[#This Row],[Столбец1]]*Таблица1[[#This Row],[коэф]])),
IF((G420="4/8"),((база!$J$5*2*Таблица1[[#This Row],[Столбец1]]*Таблица1[[#This Row],[коэф]])),
IF(OR(G420="3/8",G420="2/8"),((база!$J$4*2*Таблица1[[#This Row],[Столбец1]]*Таблица1[[#This Row],[коэф]])))))))))))))),
(IF((G420="5/24"),((база!$M$6*2*Таблица1[[#This Row],[Столбец1]]*Таблица1[[#This Row],[коэф]])),
IF(OR(G420="4/24",G420="3/24"),((база!$M$5*2*Таблица1[[#This Row],[Столбец1]]*Таблица1[[#This Row],[коэф]])),
IF((G420="5/16"),((база!$L$6*2*Таблица1[[#This Row],[Столбец1]]*Таблица1[[#This Row],[коэф]])),
IF(OR(G420="4/16",G420="3/16"),((база!$L$5*2*Таблица1[[#This Row],[Столбец1]]*Таблица1[[#This Row],[коэф]])),
IF(OR(G420="2/4",G420="3/4",G420="4/4"),((база!$I$5*2*Таблица1[[#This Row],[Столбец1]]*Таблица1[[#This Row],[коэф]])),
IF((G420="5/8"),((база!$J$6*2*Таблица1[[#This Row],[Столбец1]]*Таблица1[[#This Row],[коэф]])),
IF(OR(G420="4/8",G420="3/8",G420="2/8"),((база!$J$5*2*Таблица1[[#This Row],[Столбец1]]*Таблица1[[#This Row],[коэф]])))))))))))</f>
        <v>0</v>
      </c>
      <c r="AQ420" s="712" t="str">
        <f>IFERROR(INDEX(база!T:T, MATCH(F420,база!Q:Q,0)),"")</f>
        <v/>
      </c>
      <c r="AR420" s="208" t="str">
        <f>IFERROR(INDEX(база!D:D, MATCH(F420,база!B:B,0)),"")</f>
        <v/>
      </c>
      <c r="AS420" s="758" t="str">
        <f>IFERROR(INDEX(база!E:E, MATCH(F420,база!B:B,0)),"")</f>
        <v/>
      </c>
    </row>
    <row r="421" spans="1:45" ht="15">
      <c r="A421" s="66" t="str">
        <f t="shared" si="7"/>
        <v>январь</v>
      </c>
      <c r="B421" s="231">
        <v>2024</v>
      </c>
      <c r="C421" s="60"/>
      <c r="D421" s="61"/>
      <c r="E421" s="211"/>
      <c r="F421" s="680"/>
      <c r="G421" s="47"/>
      <c r="H421" s="563"/>
      <c r="I421" s="563"/>
      <c r="J421" s="563"/>
      <c r="K421" s="563"/>
      <c r="L421" s="563"/>
      <c r="M421" s="563"/>
      <c r="N421" s="563"/>
      <c r="O421" s="563"/>
      <c r="P421" s="300"/>
      <c r="Q421" s="563"/>
      <c r="R421" s="563"/>
      <c r="S421" s="563"/>
      <c r="T421" s="563"/>
      <c r="U421" s="563"/>
      <c r="V421" s="563"/>
      <c r="W421" s="563"/>
      <c r="X421" s="563"/>
      <c r="Y421" s="563"/>
      <c r="Z421" s="563"/>
      <c r="AA421" s="563"/>
      <c r="AB421" s="563"/>
      <c r="AC421" s="563"/>
      <c r="AD421" s="48"/>
      <c r="AE421" s="48"/>
      <c r="AF421" s="258"/>
      <c r="AG421" s="48"/>
      <c r="AH421" s="48"/>
      <c r="AI421" s="258"/>
      <c r="AJ421" s="258"/>
      <c r="AK421" s="258"/>
      <c r="AL421" s="258"/>
      <c r="AM421" s="212">
        <f>IF(AQ421=1,SUM(Q421:T421,W421:Z421,AC421:AF421,AI421:AL421),
IF(AQ421=2,SUM(P421,S421:V421,Y421:AB421,AE421:AH421,AK421:AL421),
IF(AQ421=3,SUM(P421:R421,U421:X421,AA421:AD421,AG421:AJ421),SUM(Таблица1[[#This Row],[1]:[31]])-Таблица1[[#This Row],[Столбец1]])))</f>
        <v>0</v>
      </c>
      <c r="AN421" s="778">
        <f t="array" ref="AN421">IF(AQ421=1,SUM(P421,U421:V421,AA421:AB421,AG421:AH421),
IF(AQ421=2,SUM(Q421:R421,W421:X421,AC421:AD421,AI421:AJ421),
IF(AQ421=3,SUM(S421:T421,Y421:Z421,AE421:AF421,AK421:AL421),
SUM(IFERROR(WEEKDAY($H$2:$AL$2,2)&gt;5,)*H421:AL421))))+Таблица1[[#This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21" s="292" t="b">
        <f>IF(AR421&lt;=3,(IF((G421="5/24"),((база!$M$6*Таблица1[[#This Row],[сумма]]*Таблица1[[#This Row],[коэф]])),
IF((G421="4/24"),((база!$M$5*Таблица1[[#This Row],[сумма]]*Таблица1[[#This Row],[коэф]])),
IF((G421="3/24"),((база!$M$4*Таблица1[[#This Row],[сумма]]*Таблица1[[#This Row],[коэф]])),
IF((G421="5/16"),((база!$L$6*Таблица1[[#This Row],[сумма]]*Таблица1[[#This Row],[коэф]])),
IF((G421="4/16"),((база!$L$5*Таблица1[[#This Row],[сумма]]*Таблица1[[#This Row],[коэф]])),
IF((G421="3/16"),((база!$L$4*Таблица1[[#This Row],[сумма]]*Таблица1[[#This Row],[коэф]])),
IF((G421="4/4"),((база!$I$5*Таблица1[[#This Row],[сумма]]*Таблица1[[#This Row],[коэф]])),
IF(OR(G421="2/4",G421="3/4"),((база!$I$4*Таблица1[[#This Row],[сумма]]*Таблица1[[#This Row],[коэф]])),
IF((G421="5/8"),((база!$J$6*Таблица1[[#This Row],[сумма]]*Таблица1[[#This Row],[коэф]])),
IF((G421="4/8"),((база!$J$5*Таблица1[[#This Row],[сумма]]*Таблица1[[#This Row],[коэф]])),
IF(OR(G421="3/8",G421="2/8"),((база!$J$4*Таблица1[[#This Row],[сумма]]*Таблица1[[#This Row],[коэф]])))))))))))))),
(IF((G421="5/24"),((база!$M$6*Таблица1[[#This Row],[сумма]]*Таблица1[[#This Row],[коэф]])),
IF(OR(G421="4/24",G421="3/24"),((база!$M$5*Таблица1[[#This Row],[сумма]]*Таблица1[[#This Row],[коэф]])),
IF((G421="5/16"),((база!$L$6*Таблица1[[#This Row],[сумма]]*Таблица1[[#This Row],[коэф]])),
IF(OR(G421="4/16",G421="3/16"),((база!$L$5*Таблица1[[#This Row],[сумма]]*Таблица1[[#This Row],[коэф]])),
IF(OR(G421="2/4",G421="3/4",G421="4/4"),((база!$I$5*Таблица1[[#This Row],[сумма]]*Таблица1[[#This Row],[коэф]])),
IF((G421="5/8"),((база!$J$6*Таблица1[[#This Row],[сумма]]*Таблица1[[#This Row],[коэф]])),
IF(OR(G421="4/8",G421="3/8",G421="2/8"),((база!$J$5*Таблица1[[#This Row],[сумма]]*Таблица1[[#This Row],[коэф]])))))))))))</f>
        <v>0</v>
      </c>
      <c r="AP421" s="730" t="b">
        <f>IF(AR421&lt;=3,(IF((G421="5/24"),((база!$M$6*2*Таблица1[[#This Row],[Столбец1]]*Таблица1[[#This Row],[коэф]])),
IF((G421="4/24"),((база!$M$5*2*Таблица1[[#This Row],[Столбец1]]*Таблица1[[#This Row],[коэф]])),
IF((G421="3/24"),((база!$M$4*2*Таблица1[[#This Row],[Столбец1]]*Таблица1[[#This Row],[коэф]])),
IF((G421="5/16"),((база!$L$6*2*Таблица1[[#This Row],[Столбец1]]*Таблица1[[#This Row],[коэф]])),
IF((G421="4/16"),((база!$L$5*2*Таблица1[[#This Row],[Столбец1]]*Таблица1[[#This Row],[коэф]])),
IF((G421="3/16"),((база!$L$4*2*Таблица1[[#This Row],[Столбец1]]*Таблица1[[#This Row],[коэф]])),
IF((G421="4/4"),((база!$I$5*2*Таблица1[[#This Row],[Столбец1]]*Таблица1[[#This Row],[коэф]])),
IF(OR(G421="2/4",G421="3/4"),((база!$I$4*2*Таблица1[[#This Row],[Столбец1]]*Таблица1[[#This Row],[коэф]])),
IF((G421="5/8"),((база!$J$6*2*Таблица1[[#This Row],[Столбец1]]*Таблица1[[#This Row],[коэф]])),
IF((G421="4/8"),((база!$J$5*2*Таблица1[[#This Row],[Столбец1]]*Таблица1[[#This Row],[коэф]])),
IF(OR(G421="3/8",G421="2/8"),((база!$J$4*2*Таблица1[[#This Row],[Столбец1]]*Таблица1[[#This Row],[коэф]])))))))))))))),
(IF((G421="5/24"),((база!$M$6*2*Таблица1[[#This Row],[Столбец1]]*Таблица1[[#This Row],[коэф]])),
IF(OR(G421="4/24",G421="3/24"),((база!$M$5*2*Таблица1[[#This Row],[Столбец1]]*Таблица1[[#This Row],[коэф]])),
IF((G421="5/16"),((база!$L$6*2*Таблица1[[#This Row],[Столбец1]]*Таблица1[[#This Row],[коэф]])),
IF(OR(G421="4/16",G421="3/16"),((база!$L$5*2*Таблица1[[#This Row],[Столбец1]]*Таблица1[[#This Row],[коэф]])),
IF(OR(G421="2/4",G421="3/4",G421="4/4"),((база!$I$5*2*Таблица1[[#This Row],[Столбец1]]*Таблица1[[#This Row],[коэф]])),
IF((G421="5/8"),((база!$J$6*2*Таблица1[[#This Row],[Столбец1]]*Таблица1[[#This Row],[коэф]])),
IF(OR(G421="4/8",G421="3/8",G421="2/8"),((база!$J$5*2*Таблица1[[#This Row],[Столбец1]]*Таблица1[[#This Row],[коэф]])))))))))))</f>
        <v>0</v>
      </c>
      <c r="AQ421" s="712" t="str">
        <f>IFERROR(INDEX(база!T:T, MATCH(F421,база!Q:Q,0)),"")</f>
        <v/>
      </c>
      <c r="AR421" s="208" t="str">
        <f>IFERROR(INDEX(база!D:D, MATCH(F421,база!B:B,0)),"")</f>
        <v/>
      </c>
      <c r="AS421" s="758" t="str">
        <f>IFERROR(INDEX(база!E:E, MATCH(F421,база!B:B,0)),"")</f>
        <v/>
      </c>
    </row>
    <row r="422" spans="1:45" ht="15">
      <c r="A422" s="66" t="str">
        <f t="shared" si="7"/>
        <v>январь</v>
      </c>
      <c r="B422" s="231">
        <v>2024</v>
      </c>
      <c r="C422" s="299"/>
      <c r="D422" s="61"/>
      <c r="E422" s="211"/>
      <c r="F422" s="680"/>
      <c r="G422" s="47"/>
      <c r="H422" s="563"/>
      <c r="I422" s="563"/>
      <c r="J422" s="563"/>
      <c r="K422" s="563"/>
      <c r="L422" s="563"/>
      <c r="M422" s="563"/>
      <c r="N422" s="563"/>
      <c r="O422" s="563"/>
      <c r="P422" s="300"/>
      <c r="Q422" s="563"/>
      <c r="R422" s="563"/>
      <c r="S422" s="563"/>
      <c r="T422" s="563"/>
      <c r="U422" s="563"/>
      <c r="V422" s="563"/>
      <c r="W422" s="563"/>
      <c r="X422" s="563"/>
      <c r="Y422" s="563"/>
      <c r="Z422" s="563"/>
      <c r="AA422" s="563"/>
      <c r="AB422" s="563"/>
      <c r="AC422" s="563"/>
      <c r="AD422" s="48"/>
      <c r="AE422" s="48"/>
      <c r="AF422" s="258"/>
      <c r="AG422" s="48"/>
      <c r="AH422" s="48"/>
      <c r="AI422" s="48"/>
      <c r="AJ422" s="48"/>
      <c r="AK422" s="48"/>
      <c r="AL422" s="51"/>
      <c r="AM422" s="212">
        <f>IF(AQ422=1,SUM(Q422:T422,W422:Z422,AC422:AF422,AI422:AL422),
IF(AQ422=2,SUM(P422,S422:V422,Y422:AB422,AE422:AH422,AK422:AL422),
IF(AQ422=3,SUM(P422:R422,U422:X422,AA422:AD422,AG422:AJ422),SUM(Таблица1[[#This Row],[1]:[31]])-Таблица1[[#This Row],[Столбец1]])))</f>
        <v>0</v>
      </c>
      <c r="AN422" s="778">
        <f t="array" ref="AN422">IF(AQ422=1,SUM(P422,U422:V422,AA422:AB422,AG422:AH422),
IF(AQ422=2,SUM(Q422:R422,W422:X422,AC422:AD422,AI422:AJ422),
IF(AQ422=3,SUM(S422:T422,Y422:Z422,AE422:AF422,AK422:AL422),
SUM(IFERROR(WEEKDAY($H$2:$AL$2,2)&gt;5,)*H422:AL422))))+Таблица1[[#This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22" s="292" t="b">
        <f>IF(AR422&lt;=3,(IF((G422="5/24"),((база!$M$6*Таблица1[[#This Row],[сумма]]*Таблица1[[#This Row],[коэф]])),
IF((G422="4/24"),((база!$M$5*Таблица1[[#This Row],[сумма]]*Таблица1[[#This Row],[коэф]])),
IF((G422="3/24"),((база!$M$4*Таблица1[[#This Row],[сумма]]*Таблица1[[#This Row],[коэф]])),
IF((G422="5/16"),((база!$L$6*Таблица1[[#This Row],[сумма]]*Таблица1[[#This Row],[коэф]])),
IF((G422="4/16"),((база!$L$5*Таблица1[[#This Row],[сумма]]*Таблица1[[#This Row],[коэф]])),
IF((G422="3/16"),((база!$L$4*Таблица1[[#This Row],[сумма]]*Таблица1[[#This Row],[коэф]])),
IF((G422="4/4"),((база!$I$5*Таблица1[[#This Row],[сумма]]*Таблица1[[#This Row],[коэф]])),
IF(OR(G422="2/4",G422="3/4"),((база!$I$4*Таблица1[[#This Row],[сумма]]*Таблица1[[#This Row],[коэф]])),
IF((G422="5/8"),((база!$J$6*Таблица1[[#This Row],[сумма]]*Таблица1[[#This Row],[коэф]])),
IF((G422="4/8"),((база!$J$5*Таблица1[[#This Row],[сумма]]*Таблица1[[#This Row],[коэф]])),
IF(OR(G422="3/8",G422="2/8"),((база!$J$4*Таблица1[[#This Row],[сумма]]*Таблица1[[#This Row],[коэф]])))))))))))))),
(IF((G422="5/24"),((база!$M$6*Таблица1[[#This Row],[сумма]]*Таблица1[[#This Row],[коэф]])),
IF(OR(G422="4/24",G422="3/24"),((база!$M$5*Таблица1[[#This Row],[сумма]]*Таблица1[[#This Row],[коэф]])),
IF((G422="5/16"),((база!$L$6*Таблица1[[#This Row],[сумма]]*Таблица1[[#This Row],[коэф]])),
IF(OR(G422="4/16",G422="3/16"),((база!$L$5*Таблица1[[#This Row],[сумма]]*Таблица1[[#This Row],[коэф]])),
IF(OR(G422="2/4",G422="3/4",G422="4/4"),((база!$I$5*Таблица1[[#This Row],[сумма]]*Таблица1[[#This Row],[коэф]])),
IF((G422="5/8"),((база!$J$6*Таблица1[[#This Row],[сумма]]*Таблица1[[#This Row],[коэф]])),
IF(OR(G422="4/8",G422="3/8",G422="2/8"),((база!$J$5*Таблица1[[#This Row],[сумма]]*Таблица1[[#This Row],[коэф]])))))))))))</f>
        <v>0</v>
      </c>
      <c r="AP422" s="730" t="b">
        <f>IF(AR422&lt;=3,(IF((G422="5/24"),((база!$M$6*2*Таблица1[[#This Row],[Столбец1]]*Таблица1[[#This Row],[коэф]])),
IF((G422="4/24"),((база!$M$5*2*Таблица1[[#This Row],[Столбец1]]*Таблица1[[#This Row],[коэф]])),
IF((G422="3/24"),((база!$M$4*2*Таблица1[[#This Row],[Столбец1]]*Таблица1[[#This Row],[коэф]])),
IF((G422="5/16"),((база!$L$6*2*Таблица1[[#This Row],[Столбец1]]*Таблица1[[#This Row],[коэф]])),
IF((G422="4/16"),((база!$L$5*2*Таблица1[[#This Row],[Столбец1]]*Таблица1[[#This Row],[коэф]])),
IF((G422="3/16"),((база!$L$4*2*Таблица1[[#This Row],[Столбец1]]*Таблица1[[#This Row],[коэф]])),
IF((G422="4/4"),((база!$I$5*2*Таблица1[[#This Row],[Столбец1]]*Таблица1[[#This Row],[коэф]])),
IF(OR(G422="2/4",G422="3/4"),((база!$I$4*2*Таблица1[[#This Row],[Столбец1]]*Таблица1[[#This Row],[коэф]])),
IF((G422="5/8"),((база!$J$6*2*Таблица1[[#This Row],[Столбец1]]*Таблица1[[#This Row],[коэф]])),
IF((G422="4/8"),((база!$J$5*2*Таблица1[[#This Row],[Столбец1]]*Таблица1[[#This Row],[коэф]])),
IF(OR(G422="3/8",G422="2/8"),((база!$J$4*2*Таблица1[[#This Row],[Столбец1]]*Таблица1[[#This Row],[коэф]])))))))))))))),
(IF((G422="5/24"),((база!$M$6*2*Таблица1[[#This Row],[Столбец1]]*Таблица1[[#This Row],[коэф]])),
IF(OR(G422="4/24",G422="3/24"),((база!$M$5*2*Таблица1[[#This Row],[Столбец1]]*Таблица1[[#This Row],[коэф]])),
IF((G422="5/16"),((база!$L$6*2*Таблица1[[#This Row],[Столбец1]]*Таблица1[[#This Row],[коэф]])),
IF(OR(G422="4/16",G422="3/16"),((база!$L$5*2*Таблица1[[#This Row],[Столбец1]]*Таблица1[[#This Row],[коэф]])),
IF(OR(G422="2/4",G422="3/4",G422="4/4"),((база!$I$5*2*Таблица1[[#This Row],[Столбец1]]*Таблица1[[#This Row],[коэф]])),
IF((G422="5/8"),((база!$J$6*2*Таблица1[[#This Row],[Столбец1]]*Таблица1[[#This Row],[коэф]])),
IF(OR(G422="4/8",G422="3/8",G422="2/8"),((база!$J$5*2*Таблица1[[#This Row],[Столбец1]]*Таблица1[[#This Row],[коэф]])))))))))))</f>
        <v>0</v>
      </c>
      <c r="AQ422" s="712" t="str">
        <f>IFERROR(INDEX(база!T:T, MATCH(F422,база!Q:Q,0)),"")</f>
        <v/>
      </c>
      <c r="AR422" s="208" t="str">
        <f>IFERROR(INDEX(база!D:D, MATCH(F422,база!B:B,0)),"")</f>
        <v/>
      </c>
      <c r="AS422" s="758" t="str">
        <f>IFERROR(INDEX(база!E:E, MATCH(F422,база!B:B,0)),"")</f>
        <v/>
      </c>
    </row>
    <row r="423" spans="1:45" ht="15">
      <c r="A423" s="66" t="str">
        <f t="shared" si="7"/>
        <v>январь</v>
      </c>
      <c r="B423" s="231">
        <v>2024</v>
      </c>
      <c r="C423" s="60"/>
      <c r="D423" s="61"/>
      <c r="E423" s="211"/>
      <c r="F423" s="680"/>
      <c r="G423" s="47"/>
      <c r="H423" s="563"/>
      <c r="I423" s="563"/>
      <c r="J423" s="563"/>
      <c r="K423" s="563"/>
      <c r="L423" s="563"/>
      <c r="M423" s="563"/>
      <c r="N423" s="563"/>
      <c r="O423" s="563"/>
      <c r="P423" s="300"/>
      <c r="Q423" s="563"/>
      <c r="R423" s="563"/>
      <c r="S423" s="563"/>
      <c r="T423" s="563"/>
      <c r="U423" s="563"/>
      <c r="V423" s="563"/>
      <c r="W423" s="563"/>
      <c r="X423" s="563"/>
      <c r="Y423" s="563"/>
      <c r="Z423" s="563"/>
      <c r="AA423" s="563"/>
      <c r="AB423" s="563"/>
      <c r="AC423" s="563"/>
      <c r="AD423" s="48"/>
      <c r="AE423" s="48"/>
      <c r="AF423" s="258"/>
      <c r="AG423" s="48"/>
      <c r="AH423" s="48"/>
      <c r="AI423" s="258"/>
      <c r="AJ423" s="258"/>
      <c r="AK423" s="258"/>
      <c r="AL423" s="258"/>
      <c r="AM423" s="212">
        <f>IF(AQ423=1,SUM(Q423:T423,W423:Z423,AC423:AF423,AI423:AL423),
IF(AQ423=2,SUM(P423,S423:V423,Y423:AB423,AE423:AH423,AK423:AL423),
IF(AQ423=3,SUM(P423:R423,U423:X423,AA423:AD423,AG423:AJ423),SUM(Таблица1[[#This Row],[1]:[31]])-Таблица1[[#This Row],[Столбец1]])))</f>
        <v>0</v>
      </c>
      <c r="AN423" s="778">
        <f t="array" ref="AN423">IF(AQ423=1,SUM(P423,U423:V423,AA423:AB423,AG423:AH423),
IF(AQ423=2,SUM(Q423:R423,W423:X423,AC423:AD423,AI423:AJ423),
IF(AQ423=3,SUM(S423:T423,Y423:Z423,AE423:AF423,AK423:AL423),
SUM(IFERROR(WEEKDAY($H$2:$AL$2,2)&gt;5,)*H423:AL423))))+Таблица1[[#This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23" s="292" t="b">
        <f>IF(AR423&lt;=3,(IF((G423="5/24"),((база!$M$6*Таблица1[[#This Row],[сумма]]*Таблица1[[#This Row],[коэф]])),
IF((G423="4/24"),((база!$M$5*Таблица1[[#This Row],[сумма]]*Таблица1[[#This Row],[коэф]])),
IF((G423="3/24"),((база!$M$4*Таблица1[[#This Row],[сумма]]*Таблица1[[#This Row],[коэф]])),
IF((G423="5/16"),((база!$L$6*Таблица1[[#This Row],[сумма]]*Таблица1[[#This Row],[коэф]])),
IF((G423="4/16"),((база!$L$5*Таблица1[[#This Row],[сумма]]*Таблица1[[#This Row],[коэф]])),
IF((G423="3/16"),((база!$L$4*Таблица1[[#This Row],[сумма]]*Таблица1[[#This Row],[коэф]])),
IF((G423="4/4"),((база!$I$5*Таблица1[[#This Row],[сумма]]*Таблица1[[#This Row],[коэф]])),
IF(OR(G423="2/4",G423="3/4"),((база!$I$4*Таблица1[[#This Row],[сумма]]*Таблица1[[#This Row],[коэф]])),
IF((G423="5/8"),((база!$J$6*Таблица1[[#This Row],[сумма]]*Таблица1[[#This Row],[коэф]])),
IF((G423="4/8"),((база!$J$5*Таблица1[[#This Row],[сумма]]*Таблица1[[#This Row],[коэф]])),
IF(OR(G423="3/8",G423="2/8"),((база!$J$4*Таблица1[[#This Row],[сумма]]*Таблица1[[#This Row],[коэф]])))))))))))))),
(IF((G423="5/24"),((база!$M$6*Таблица1[[#This Row],[сумма]]*Таблица1[[#This Row],[коэф]])),
IF(OR(G423="4/24",G423="3/24"),((база!$M$5*Таблица1[[#This Row],[сумма]]*Таблица1[[#This Row],[коэф]])),
IF((G423="5/16"),((база!$L$6*Таблица1[[#This Row],[сумма]]*Таблица1[[#This Row],[коэф]])),
IF(OR(G423="4/16",G423="3/16"),((база!$L$5*Таблица1[[#This Row],[сумма]]*Таблица1[[#This Row],[коэф]])),
IF(OR(G423="2/4",G423="3/4",G423="4/4"),((база!$I$5*Таблица1[[#This Row],[сумма]]*Таблица1[[#This Row],[коэф]])),
IF((G423="5/8"),((база!$J$6*Таблица1[[#This Row],[сумма]]*Таблица1[[#This Row],[коэф]])),
IF(OR(G423="4/8",G423="3/8",G423="2/8"),((база!$J$5*Таблица1[[#This Row],[сумма]]*Таблица1[[#This Row],[коэф]])))))))))))</f>
        <v>0</v>
      </c>
      <c r="AP423" s="730" t="b">
        <f>IF(AR423&lt;=3,(IF((G423="5/24"),((база!$M$6*2*Таблица1[[#This Row],[Столбец1]]*Таблица1[[#This Row],[коэф]])),
IF((G423="4/24"),((база!$M$5*2*Таблица1[[#This Row],[Столбец1]]*Таблица1[[#This Row],[коэф]])),
IF((G423="3/24"),((база!$M$4*2*Таблица1[[#This Row],[Столбец1]]*Таблица1[[#This Row],[коэф]])),
IF((G423="5/16"),((база!$L$6*2*Таблица1[[#This Row],[Столбец1]]*Таблица1[[#This Row],[коэф]])),
IF((G423="4/16"),((база!$L$5*2*Таблица1[[#This Row],[Столбец1]]*Таблица1[[#This Row],[коэф]])),
IF((G423="3/16"),((база!$L$4*2*Таблица1[[#This Row],[Столбец1]]*Таблица1[[#This Row],[коэф]])),
IF((G423="4/4"),((база!$I$5*2*Таблица1[[#This Row],[Столбец1]]*Таблица1[[#This Row],[коэф]])),
IF(OR(G423="2/4",G423="3/4"),((база!$I$4*2*Таблица1[[#This Row],[Столбец1]]*Таблица1[[#This Row],[коэф]])),
IF((G423="5/8"),((база!$J$6*2*Таблица1[[#This Row],[Столбец1]]*Таблица1[[#This Row],[коэф]])),
IF((G423="4/8"),((база!$J$5*2*Таблица1[[#This Row],[Столбец1]]*Таблица1[[#This Row],[коэф]])),
IF(OR(G423="3/8",G423="2/8"),((база!$J$4*2*Таблица1[[#This Row],[Столбец1]]*Таблица1[[#This Row],[коэф]])))))))))))))),
(IF((G423="5/24"),((база!$M$6*2*Таблица1[[#This Row],[Столбец1]]*Таблица1[[#This Row],[коэф]])),
IF(OR(G423="4/24",G423="3/24"),((база!$M$5*2*Таблица1[[#This Row],[Столбец1]]*Таблица1[[#This Row],[коэф]])),
IF((G423="5/16"),((база!$L$6*2*Таблица1[[#This Row],[Столбец1]]*Таблица1[[#This Row],[коэф]])),
IF(OR(G423="4/16",G423="3/16"),((база!$L$5*2*Таблица1[[#This Row],[Столбец1]]*Таблица1[[#This Row],[коэф]])),
IF(OR(G423="2/4",G423="3/4",G423="4/4"),((база!$I$5*2*Таблица1[[#This Row],[Столбец1]]*Таблица1[[#This Row],[коэф]])),
IF((G423="5/8"),((база!$J$6*2*Таблица1[[#This Row],[Столбец1]]*Таблица1[[#This Row],[коэф]])),
IF(OR(G423="4/8",G423="3/8",G423="2/8"),((база!$J$5*2*Таблица1[[#This Row],[Столбец1]]*Таблица1[[#This Row],[коэф]])))))))))))</f>
        <v>0</v>
      </c>
      <c r="AQ423" s="712" t="str">
        <f>IFERROR(INDEX(база!T:T, MATCH(F423,база!Q:Q,0)),"")</f>
        <v/>
      </c>
      <c r="AR423" s="208" t="str">
        <f>IFERROR(INDEX(база!D:D, MATCH(F423,база!B:B,0)),"")</f>
        <v/>
      </c>
      <c r="AS423" s="758" t="str">
        <f>IFERROR(INDEX(база!E:E, MATCH(F423,база!B:B,0)),"")</f>
        <v/>
      </c>
    </row>
    <row r="424" spans="1:45" ht="15">
      <c r="A424" s="66" t="str">
        <f t="shared" si="7"/>
        <v>январь</v>
      </c>
      <c r="B424" s="231">
        <v>2024</v>
      </c>
      <c r="C424" s="60"/>
      <c r="D424" s="61"/>
      <c r="E424" s="211"/>
      <c r="F424" s="680"/>
      <c r="G424" s="47"/>
      <c r="H424" s="563"/>
      <c r="I424" s="563"/>
      <c r="J424" s="563"/>
      <c r="K424" s="563"/>
      <c r="L424" s="563"/>
      <c r="M424" s="563"/>
      <c r="N424" s="563"/>
      <c r="O424" s="563"/>
      <c r="P424" s="300"/>
      <c r="Q424" s="563"/>
      <c r="R424" s="563"/>
      <c r="S424" s="563"/>
      <c r="T424" s="563"/>
      <c r="U424" s="563"/>
      <c r="V424" s="563"/>
      <c r="W424" s="563"/>
      <c r="X424" s="563"/>
      <c r="Y424" s="563"/>
      <c r="Z424" s="563"/>
      <c r="AA424" s="563"/>
      <c r="AB424" s="563"/>
      <c r="AC424" s="563"/>
      <c r="AD424" s="48"/>
      <c r="AE424" s="48"/>
      <c r="AF424" s="258"/>
      <c r="AG424" s="48"/>
      <c r="AH424" s="48"/>
      <c r="AI424" s="48"/>
      <c r="AJ424" s="48"/>
      <c r="AK424" s="48"/>
      <c r="AL424" s="51"/>
      <c r="AM424" s="212">
        <f>IF(AQ424=1,SUM(Q424:T424,W424:Z424,AC424:AF424,AI424:AL424),
IF(AQ424=2,SUM(P424,S424:V424,Y424:AB424,AE424:AH424,AK424:AL424),
IF(AQ424=3,SUM(P424:R424,U424:X424,AA424:AD424,AG424:AJ424),SUM(Таблица1[[#This Row],[1]:[31]])-Таблица1[[#This Row],[Столбец1]])))</f>
        <v>0</v>
      </c>
      <c r="AN424" s="778">
        <f t="array" ref="AN424">IF(AQ424=1,SUM(P424,U424:V424,AA424:AB424,AG424:AH424),
IF(AQ424=2,SUM(Q424:R424,W424:X424,AC424:AD424,AI424:AJ424),
IF(AQ424=3,SUM(S424:T424,Y424:Z424,AE424:AF424,AK424:AL424),
SUM(IFERROR(WEEKDAY($H$2:$AL$2,2)&gt;5,)*H424:AL424))))+Таблица1[[#This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24" s="292" t="b">
        <f>IF(AR424&lt;=3,(IF((G424="5/24"),((база!$M$6*Таблица1[[#This Row],[сумма]]*Таблица1[[#This Row],[коэф]])),
IF((G424="4/24"),((база!$M$5*Таблица1[[#This Row],[сумма]]*Таблица1[[#This Row],[коэф]])),
IF((G424="3/24"),((база!$M$4*Таблица1[[#This Row],[сумма]]*Таблица1[[#This Row],[коэф]])),
IF((G424="5/16"),((база!$L$6*Таблица1[[#This Row],[сумма]]*Таблица1[[#This Row],[коэф]])),
IF((G424="4/16"),((база!$L$5*Таблица1[[#This Row],[сумма]]*Таблица1[[#This Row],[коэф]])),
IF((G424="3/16"),((база!$L$4*Таблица1[[#This Row],[сумма]]*Таблица1[[#This Row],[коэф]])),
IF((G424="4/4"),((база!$I$5*Таблица1[[#This Row],[сумма]]*Таблица1[[#This Row],[коэф]])),
IF(OR(G424="2/4",G424="3/4"),((база!$I$4*Таблица1[[#This Row],[сумма]]*Таблица1[[#This Row],[коэф]])),
IF((G424="5/8"),((база!$J$6*Таблица1[[#This Row],[сумма]]*Таблица1[[#This Row],[коэф]])),
IF((G424="4/8"),((база!$J$5*Таблица1[[#This Row],[сумма]]*Таблица1[[#This Row],[коэф]])),
IF(OR(G424="3/8",G424="2/8"),((база!$J$4*Таблица1[[#This Row],[сумма]]*Таблица1[[#This Row],[коэф]])))))))))))))),
(IF((G424="5/24"),((база!$M$6*Таблица1[[#This Row],[сумма]]*Таблица1[[#This Row],[коэф]])),
IF(OR(G424="4/24",G424="3/24"),((база!$M$5*Таблица1[[#This Row],[сумма]]*Таблица1[[#This Row],[коэф]])),
IF((G424="5/16"),((база!$L$6*Таблица1[[#This Row],[сумма]]*Таблица1[[#This Row],[коэф]])),
IF(OR(G424="4/16",G424="3/16"),((база!$L$5*Таблица1[[#This Row],[сумма]]*Таблица1[[#This Row],[коэф]])),
IF(OR(G424="2/4",G424="3/4",G424="4/4"),((база!$I$5*Таблица1[[#This Row],[сумма]]*Таблица1[[#This Row],[коэф]])),
IF((G424="5/8"),((база!$J$6*Таблица1[[#This Row],[сумма]]*Таблица1[[#This Row],[коэф]])),
IF(OR(G424="4/8",G424="3/8",G424="2/8"),((база!$J$5*Таблица1[[#This Row],[сумма]]*Таблица1[[#This Row],[коэф]])))))))))))</f>
        <v>0</v>
      </c>
      <c r="AP424" s="730" t="b">
        <f>IF(AR424&lt;=3,(IF((G424="5/24"),((база!$M$6*2*Таблица1[[#This Row],[Столбец1]]*Таблица1[[#This Row],[коэф]])),
IF((G424="4/24"),((база!$M$5*2*Таблица1[[#This Row],[Столбец1]]*Таблица1[[#This Row],[коэф]])),
IF((G424="3/24"),((база!$M$4*2*Таблица1[[#This Row],[Столбец1]]*Таблица1[[#This Row],[коэф]])),
IF((G424="5/16"),((база!$L$6*2*Таблица1[[#This Row],[Столбец1]]*Таблица1[[#This Row],[коэф]])),
IF((G424="4/16"),((база!$L$5*2*Таблица1[[#This Row],[Столбец1]]*Таблица1[[#This Row],[коэф]])),
IF((G424="3/16"),((база!$L$4*2*Таблица1[[#This Row],[Столбец1]]*Таблица1[[#This Row],[коэф]])),
IF((G424="4/4"),((база!$I$5*2*Таблица1[[#This Row],[Столбец1]]*Таблица1[[#This Row],[коэф]])),
IF(OR(G424="2/4",G424="3/4"),((база!$I$4*2*Таблица1[[#This Row],[Столбец1]]*Таблица1[[#This Row],[коэф]])),
IF((G424="5/8"),((база!$J$6*2*Таблица1[[#This Row],[Столбец1]]*Таблица1[[#This Row],[коэф]])),
IF((G424="4/8"),((база!$J$5*2*Таблица1[[#This Row],[Столбец1]]*Таблица1[[#This Row],[коэф]])),
IF(OR(G424="3/8",G424="2/8"),((база!$J$4*2*Таблица1[[#This Row],[Столбец1]]*Таблица1[[#This Row],[коэф]])))))))))))))),
(IF((G424="5/24"),((база!$M$6*2*Таблица1[[#This Row],[Столбец1]]*Таблица1[[#This Row],[коэф]])),
IF(OR(G424="4/24",G424="3/24"),((база!$M$5*2*Таблица1[[#This Row],[Столбец1]]*Таблица1[[#This Row],[коэф]])),
IF((G424="5/16"),((база!$L$6*2*Таблица1[[#This Row],[Столбец1]]*Таблица1[[#This Row],[коэф]])),
IF(OR(G424="4/16",G424="3/16"),((база!$L$5*2*Таблица1[[#This Row],[Столбец1]]*Таблица1[[#This Row],[коэф]])),
IF(OR(G424="2/4",G424="3/4",G424="4/4"),((база!$I$5*2*Таблица1[[#This Row],[Столбец1]]*Таблица1[[#This Row],[коэф]])),
IF((G424="5/8"),((база!$J$6*2*Таблица1[[#This Row],[Столбец1]]*Таблица1[[#This Row],[коэф]])),
IF(OR(G424="4/8",G424="3/8",G424="2/8"),((база!$J$5*2*Таблица1[[#This Row],[Столбец1]]*Таблица1[[#This Row],[коэф]])))))))))))</f>
        <v>0</v>
      </c>
      <c r="AQ424" s="712" t="str">
        <f>IFERROR(INDEX(база!T:T, MATCH(F424,база!Q:Q,0)),"")</f>
        <v/>
      </c>
      <c r="AR424" s="208" t="str">
        <f>IFERROR(INDEX(база!D:D, MATCH(F424,база!B:B,0)),"")</f>
        <v/>
      </c>
      <c r="AS424" s="758" t="str">
        <f>IFERROR(INDEX(база!E:E, MATCH(F424,база!B:B,0)),"")</f>
        <v/>
      </c>
    </row>
    <row r="425" spans="1:45" ht="15">
      <c r="A425" s="66" t="str">
        <f t="shared" si="7"/>
        <v>январь</v>
      </c>
      <c r="B425" s="231">
        <v>2024</v>
      </c>
      <c r="C425" s="60"/>
      <c r="D425" s="61"/>
      <c r="E425" s="211"/>
      <c r="F425" s="680"/>
      <c r="G425" s="47"/>
      <c r="H425" s="563"/>
      <c r="I425" s="563"/>
      <c r="J425" s="563"/>
      <c r="K425" s="563"/>
      <c r="L425" s="563"/>
      <c r="M425" s="563"/>
      <c r="N425" s="563"/>
      <c r="O425" s="563"/>
      <c r="P425" s="300"/>
      <c r="Q425" s="563"/>
      <c r="R425" s="563"/>
      <c r="S425" s="563"/>
      <c r="T425" s="563"/>
      <c r="U425" s="563"/>
      <c r="V425" s="563"/>
      <c r="W425" s="563"/>
      <c r="X425" s="563"/>
      <c r="Y425" s="563"/>
      <c r="Z425" s="563"/>
      <c r="AA425" s="563"/>
      <c r="AB425" s="563"/>
      <c r="AC425" s="563"/>
      <c r="AD425" s="48"/>
      <c r="AE425" s="48"/>
      <c r="AF425" s="258"/>
      <c r="AG425" s="48"/>
      <c r="AH425" s="48"/>
      <c r="AI425" s="258"/>
      <c r="AJ425" s="258"/>
      <c r="AK425" s="258"/>
      <c r="AL425" s="258"/>
      <c r="AM425" s="212">
        <f>IF(AQ425=1,SUM(Q425:T425,W425:Z425,AC425:AF425,AI425:AL425),
IF(AQ425=2,SUM(P425,S425:V425,Y425:AB425,AE425:AH425,AK425:AL425),
IF(AQ425=3,SUM(P425:R425,U425:X425,AA425:AD425,AG425:AJ425),SUM(Таблица1[[#This Row],[1]:[31]])-Таблица1[[#This Row],[Столбец1]])))</f>
        <v>0</v>
      </c>
      <c r="AN425" s="778">
        <f t="array" ref="AN425">IF(AQ425=1,SUM(P425,U425:V425,AA425:AB425,AG425:AH425),
IF(AQ425=2,SUM(Q425:R425,W425:X425,AC425:AD425,AI425:AJ425),
IF(AQ425=3,SUM(S425:T425,Y425:Z425,AE425:AF425,AK425:AL425),
SUM(IFERROR(WEEKDAY($H$2:$AL$2,2)&gt;5,)*H425:AL425))))+Таблица1[[#This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25" s="292" t="b">
        <f>IF(AR425&lt;=3,(IF((G425="5/24"),((база!$M$6*Таблица1[[#This Row],[сумма]]*Таблица1[[#This Row],[коэф]])),
IF((G425="4/24"),((база!$M$5*Таблица1[[#This Row],[сумма]]*Таблица1[[#This Row],[коэф]])),
IF((G425="3/24"),((база!$M$4*Таблица1[[#This Row],[сумма]]*Таблица1[[#This Row],[коэф]])),
IF((G425="5/16"),((база!$L$6*Таблица1[[#This Row],[сумма]]*Таблица1[[#This Row],[коэф]])),
IF((G425="4/16"),((база!$L$5*Таблица1[[#This Row],[сумма]]*Таблица1[[#This Row],[коэф]])),
IF((G425="3/16"),((база!$L$4*Таблица1[[#This Row],[сумма]]*Таблица1[[#This Row],[коэф]])),
IF((G425="4/4"),((база!$I$5*Таблица1[[#This Row],[сумма]]*Таблица1[[#This Row],[коэф]])),
IF(OR(G425="2/4",G425="3/4"),((база!$I$4*Таблица1[[#This Row],[сумма]]*Таблица1[[#This Row],[коэф]])),
IF((G425="5/8"),((база!$J$6*Таблица1[[#This Row],[сумма]]*Таблица1[[#This Row],[коэф]])),
IF((G425="4/8"),((база!$J$5*Таблица1[[#This Row],[сумма]]*Таблица1[[#This Row],[коэф]])),
IF(OR(G425="3/8",G425="2/8"),((база!$J$4*Таблица1[[#This Row],[сумма]]*Таблица1[[#This Row],[коэф]])))))))))))))),
(IF((G425="5/24"),((база!$M$6*Таблица1[[#This Row],[сумма]]*Таблица1[[#This Row],[коэф]])),
IF(OR(G425="4/24",G425="3/24"),((база!$M$5*Таблица1[[#This Row],[сумма]]*Таблица1[[#This Row],[коэф]])),
IF((G425="5/16"),((база!$L$6*Таблица1[[#This Row],[сумма]]*Таблица1[[#This Row],[коэф]])),
IF(OR(G425="4/16",G425="3/16"),((база!$L$5*Таблица1[[#This Row],[сумма]]*Таблица1[[#This Row],[коэф]])),
IF(OR(G425="2/4",G425="3/4",G425="4/4"),((база!$I$5*Таблица1[[#This Row],[сумма]]*Таблица1[[#This Row],[коэф]])),
IF((G425="5/8"),((база!$J$6*Таблица1[[#This Row],[сумма]]*Таблица1[[#This Row],[коэф]])),
IF(OR(G425="4/8",G425="3/8",G425="2/8"),((база!$J$5*Таблица1[[#This Row],[сумма]]*Таблица1[[#This Row],[коэф]])))))))))))</f>
        <v>0</v>
      </c>
      <c r="AP425" s="730" t="b">
        <f>IF(AR425&lt;=3,(IF((G425="5/24"),((база!$M$6*2*Таблица1[[#This Row],[Столбец1]]*Таблица1[[#This Row],[коэф]])),
IF((G425="4/24"),((база!$M$5*2*Таблица1[[#This Row],[Столбец1]]*Таблица1[[#This Row],[коэф]])),
IF((G425="3/24"),((база!$M$4*2*Таблица1[[#This Row],[Столбец1]]*Таблица1[[#This Row],[коэф]])),
IF((G425="5/16"),((база!$L$6*2*Таблица1[[#This Row],[Столбец1]]*Таблица1[[#This Row],[коэф]])),
IF((G425="4/16"),((база!$L$5*2*Таблица1[[#This Row],[Столбец1]]*Таблица1[[#This Row],[коэф]])),
IF((G425="3/16"),((база!$L$4*2*Таблица1[[#This Row],[Столбец1]]*Таблица1[[#This Row],[коэф]])),
IF((G425="4/4"),((база!$I$5*2*Таблица1[[#This Row],[Столбец1]]*Таблица1[[#This Row],[коэф]])),
IF(OR(G425="2/4",G425="3/4"),((база!$I$4*2*Таблица1[[#This Row],[Столбец1]]*Таблица1[[#This Row],[коэф]])),
IF((G425="5/8"),((база!$J$6*2*Таблица1[[#This Row],[Столбец1]]*Таблица1[[#This Row],[коэф]])),
IF((G425="4/8"),((база!$J$5*2*Таблица1[[#This Row],[Столбец1]]*Таблица1[[#This Row],[коэф]])),
IF(OR(G425="3/8",G425="2/8"),((база!$J$4*2*Таблица1[[#This Row],[Столбец1]]*Таблица1[[#This Row],[коэф]])))))))))))))),
(IF((G425="5/24"),((база!$M$6*2*Таблица1[[#This Row],[Столбец1]]*Таблица1[[#This Row],[коэф]])),
IF(OR(G425="4/24",G425="3/24"),((база!$M$5*2*Таблица1[[#This Row],[Столбец1]]*Таблица1[[#This Row],[коэф]])),
IF((G425="5/16"),((база!$L$6*2*Таблица1[[#This Row],[Столбец1]]*Таблица1[[#This Row],[коэф]])),
IF(OR(G425="4/16",G425="3/16"),((база!$L$5*2*Таблица1[[#This Row],[Столбец1]]*Таблица1[[#This Row],[коэф]])),
IF(OR(G425="2/4",G425="3/4",G425="4/4"),((база!$I$5*2*Таблица1[[#This Row],[Столбец1]]*Таблица1[[#This Row],[коэф]])),
IF((G425="5/8"),((база!$J$6*2*Таблица1[[#This Row],[Столбец1]]*Таблица1[[#This Row],[коэф]])),
IF(OR(G425="4/8",G425="3/8",G425="2/8"),((база!$J$5*2*Таблица1[[#This Row],[Столбец1]]*Таблица1[[#This Row],[коэф]])))))))))))</f>
        <v>0</v>
      </c>
      <c r="AQ425" s="712" t="str">
        <f>IFERROR(INDEX(база!T:T, MATCH(F425,база!Q:Q,0)),"")</f>
        <v/>
      </c>
      <c r="AR425" s="208" t="str">
        <f>IFERROR(INDEX(база!D:D, MATCH(F425,база!B:B,0)),"")</f>
        <v/>
      </c>
      <c r="AS425" s="758" t="str">
        <f>IFERROR(INDEX(база!E:E, MATCH(F425,база!B:B,0)),"")</f>
        <v/>
      </c>
    </row>
    <row r="426" spans="1:45" ht="15">
      <c r="A426" s="66" t="str">
        <f t="shared" si="7"/>
        <v>январь</v>
      </c>
      <c r="B426" s="231">
        <v>2024</v>
      </c>
      <c r="C426" s="299"/>
      <c r="D426" s="61"/>
      <c r="E426" s="211"/>
      <c r="F426" s="680"/>
      <c r="G426" s="47"/>
      <c r="H426" s="563"/>
      <c r="I426" s="563"/>
      <c r="J426" s="563"/>
      <c r="K426" s="563"/>
      <c r="L426" s="563"/>
      <c r="M426" s="563"/>
      <c r="N426" s="563"/>
      <c r="O426" s="563"/>
      <c r="P426" s="300"/>
      <c r="Q426" s="563"/>
      <c r="R426" s="563"/>
      <c r="S426" s="563"/>
      <c r="T426" s="563"/>
      <c r="U426" s="563"/>
      <c r="V426" s="563"/>
      <c r="W426" s="563"/>
      <c r="X426" s="563"/>
      <c r="Y426" s="563"/>
      <c r="Z426" s="563"/>
      <c r="AA426" s="563"/>
      <c r="AB426" s="563"/>
      <c r="AC426" s="563"/>
      <c r="AD426" s="48"/>
      <c r="AE426" s="48"/>
      <c r="AF426" s="258"/>
      <c r="AG426" s="48"/>
      <c r="AH426" s="48"/>
      <c r="AI426" s="48"/>
      <c r="AJ426" s="48"/>
      <c r="AK426" s="48"/>
      <c r="AL426" s="51"/>
      <c r="AM426" s="212">
        <f>IF(AQ426=1,SUM(Q426:T426,W426:Z426,AC426:AF426,AI426:AL426),
IF(AQ426=2,SUM(P426,S426:V426,Y426:AB426,AE426:AH426,AK426:AL426),
IF(AQ426=3,SUM(P426:R426,U426:X426,AA426:AD426,AG426:AJ426),SUM(Таблица1[[#This Row],[1]:[31]])-Таблица1[[#This Row],[Столбец1]])))</f>
        <v>0</v>
      </c>
      <c r="AN426" s="778">
        <f t="array" ref="AN426">IF(AQ426=1,SUM(P426,U426:V426,AA426:AB426,AG426:AH426),
IF(AQ426=2,SUM(Q426:R426,W426:X426,AC426:AD426,AI426:AJ426),
IF(AQ426=3,SUM(S426:T426,Y426:Z426,AE426:AF426,AK426:AL426),
SUM(IFERROR(WEEKDAY($H$2:$AL$2,2)&gt;5,)*H426:AL426))))+Таблица1[[#This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26" s="292" t="b">
        <f>IF(AR426&lt;=3,(IF((G426="5/24"),((база!$M$6*Таблица1[[#This Row],[сумма]]*Таблица1[[#This Row],[коэф]])),
IF((G426="4/24"),((база!$M$5*Таблица1[[#This Row],[сумма]]*Таблица1[[#This Row],[коэф]])),
IF((G426="3/24"),((база!$M$4*Таблица1[[#This Row],[сумма]]*Таблица1[[#This Row],[коэф]])),
IF((G426="5/16"),((база!$L$6*Таблица1[[#This Row],[сумма]]*Таблица1[[#This Row],[коэф]])),
IF((G426="4/16"),((база!$L$5*Таблица1[[#This Row],[сумма]]*Таблица1[[#This Row],[коэф]])),
IF((G426="3/16"),((база!$L$4*Таблица1[[#This Row],[сумма]]*Таблица1[[#This Row],[коэф]])),
IF((G426="4/4"),((база!$I$5*Таблица1[[#This Row],[сумма]]*Таблица1[[#This Row],[коэф]])),
IF(OR(G426="2/4",G426="3/4"),((база!$I$4*Таблица1[[#This Row],[сумма]]*Таблица1[[#This Row],[коэф]])),
IF((G426="5/8"),((база!$J$6*Таблица1[[#This Row],[сумма]]*Таблица1[[#This Row],[коэф]])),
IF((G426="4/8"),((база!$J$5*Таблица1[[#This Row],[сумма]]*Таблица1[[#This Row],[коэф]])),
IF(OR(G426="3/8",G426="2/8"),((база!$J$4*Таблица1[[#This Row],[сумма]]*Таблица1[[#This Row],[коэф]])))))))))))))),
(IF((G426="5/24"),((база!$M$6*Таблица1[[#This Row],[сумма]]*Таблица1[[#This Row],[коэф]])),
IF(OR(G426="4/24",G426="3/24"),((база!$M$5*Таблица1[[#This Row],[сумма]]*Таблица1[[#This Row],[коэф]])),
IF((G426="5/16"),((база!$L$6*Таблица1[[#This Row],[сумма]]*Таблица1[[#This Row],[коэф]])),
IF(OR(G426="4/16",G426="3/16"),((база!$L$5*Таблица1[[#This Row],[сумма]]*Таблица1[[#This Row],[коэф]])),
IF(OR(G426="2/4",G426="3/4",G426="4/4"),((база!$I$5*Таблица1[[#This Row],[сумма]]*Таблица1[[#This Row],[коэф]])),
IF((G426="5/8"),((база!$J$6*Таблица1[[#This Row],[сумма]]*Таблица1[[#This Row],[коэф]])),
IF(OR(G426="4/8",G426="3/8",G426="2/8"),((база!$J$5*Таблица1[[#This Row],[сумма]]*Таблица1[[#This Row],[коэф]])))))))))))</f>
        <v>0</v>
      </c>
      <c r="AP426" s="730" t="b">
        <f>IF(AR426&lt;=3,(IF((G426="5/24"),((база!$M$6*2*Таблица1[[#This Row],[Столбец1]]*Таблица1[[#This Row],[коэф]])),
IF((G426="4/24"),((база!$M$5*2*Таблица1[[#This Row],[Столбец1]]*Таблица1[[#This Row],[коэф]])),
IF((G426="3/24"),((база!$M$4*2*Таблица1[[#This Row],[Столбец1]]*Таблица1[[#This Row],[коэф]])),
IF((G426="5/16"),((база!$L$6*2*Таблица1[[#This Row],[Столбец1]]*Таблица1[[#This Row],[коэф]])),
IF((G426="4/16"),((база!$L$5*2*Таблица1[[#This Row],[Столбец1]]*Таблица1[[#This Row],[коэф]])),
IF((G426="3/16"),((база!$L$4*2*Таблица1[[#This Row],[Столбец1]]*Таблица1[[#This Row],[коэф]])),
IF((G426="4/4"),((база!$I$5*2*Таблица1[[#This Row],[Столбец1]]*Таблица1[[#This Row],[коэф]])),
IF(OR(G426="2/4",G426="3/4"),((база!$I$4*2*Таблица1[[#This Row],[Столбец1]]*Таблица1[[#This Row],[коэф]])),
IF((G426="5/8"),((база!$J$6*2*Таблица1[[#This Row],[Столбец1]]*Таблица1[[#This Row],[коэф]])),
IF((G426="4/8"),((база!$J$5*2*Таблица1[[#This Row],[Столбец1]]*Таблица1[[#This Row],[коэф]])),
IF(OR(G426="3/8",G426="2/8"),((база!$J$4*2*Таблица1[[#This Row],[Столбец1]]*Таблица1[[#This Row],[коэф]])))))))))))))),
(IF((G426="5/24"),((база!$M$6*2*Таблица1[[#This Row],[Столбец1]]*Таблица1[[#This Row],[коэф]])),
IF(OR(G426="4/24",G426="3/24"),((база!$M$5*2*Таблица1[[#This Row],[Столбец1]]*Таблица1[[#This Row],[коэф]])),
IF((G426="5/16"),((база!$L$6*2*Таблица1[[#This Row],[Столбец1]]*Таблица1[[#This Row],[коэф]])),
IF(OR(G426="4/16",G426="3/16"),((база!$L$5*2*Таблица1[[#This Row],[Столбец1]]*Таблица1[[#This Row],[коэф]])),
IF(OR(G426="2/4",G426="3/4",G426="4/4"),((база!$I$5*2*Таблица1[[#This Row],[Столбец1]]*Таблица1[[#This Row],[коэф]])),
IF((G426="5/8"),((база!$J$6*2*Таблица1[[#This Row],[Столбец1]]*Таблица1[[#This Row],[коэф]])),
IF(OR(G426="4/8",G426="3/8",G426="2/8"),((база!$J$5*2*Таблица1[[#This Row],[Столбец1]]*Таблица1[[#This Row],[коэф]])))))))))))</f>
        <v>0</v>
      </c>
      <c r="AQ426" s="712" t="str">
        <f>IFERROR(INDEX(база!T:T, MATCH(F426,база!Q:Q,0)),"")</f>
        <v/>
      </c>
      <c r="AR426" s="208" t="str">
        <f>IFERROR(INDEX(база!D:D, MATCH(F426,база!B:B,0)),"")</f>
        <v/>
      </c>
      <c r="AS426" s="758" t="str">
        <f>IFERROR(INDEX(база!E:E, MATCH(F426,база!B:B,0)),"")</f>
        <v/>
      </c>
    </row>
    <row r="427" spans="1:45" ht="15">
      <c r="A427" s="66" t="str">
        <f t="shared" si="7"/>
        <v>январь</v>
      </c>
      <c r="B427" s="231">
        <v>2024</v>
      </c>
      <c r="C427" s="60"/>
      <c r="D427" s="61"/>
      <c r="E427" s="211"/>
      <c r="F427" s="680"/>
      <c r="G427" s="47"/>
      <c r="H427" s="563"/>
      <c r="I427" s="563"/>
      <c r="J427" s="563"/>
      <c r="K427" s="563"/>
      <c r="L427" s="563"/>
      <c r="M427" s="563"/>
      <c r="N427" s="563"/>
      <c r="O427" s="563"/>
      <c r="P427" s="300"/>
      <c r="Q427" s="563"/>
      <c r="R427" s="563"/>
      <c r="S427" s="563"/>
      <c r="T427" s="563"/>
      <c r="U427" s="563"/>
      <c r="V427" s="563"/>
      <c r="W427" s="563"/>
      <c r="X427" s="563"/>
      <c r="Y427" s="563"/>
      <c r="Z427" s="563"/>
      <c r="AA427" s="563"/>
      <c r="AB427" s="563"/>
      <c r="AC427" s="563"/>
      <c r="AD427" s="48"/>
      <c r="AE427" s="48"/>
      <c r="AF427" s="258"/>
      <c r="AG427" s="48"/>
      <c r="AH427" s="48"/>
      <c r="AI427" s="258"/>
      <c r="AJ427" s="258"/>
      <c r="AK427" s="258"/>
      <c r="AL427" s="258"/>
      <c r="AM427" s="212">
        <f>IF(AQ427=1,SUM(Q427:T427,W427:Z427,AC427:AF427,AI427:AL427),
IF(AQ427=2,SUM(P427,S427:V427,Y427:AB427,AE427:AH427,AK427:AL427),
IF(AQ427=3,SUM(P427:R427,U427:X427,AA427:AD427,AG427:AJ427),SUM(Таблица1[[#This Row],[1]:[31]])-Таблица1[[#This Row],[Столбец1]])))</f>
        <v>0</v>
      </c>
      <c r="AN427" s="778">
        <f t="array" ref="AN427">IF(AQ427=1,SUM(P427,U427:V427,AA427:AB427,AG427:AH427),
IF(AQ427=2,SUM(Q427:R427,W427:X427,AC427:AD427,AI427:AJ427),
IF(AQ427=3,SUM(S427:T427,Y427:Z427,AE427:AF427,AK427:AL427),
SUM(IFERROR(WEEKDAY($H$2:$AL$2,2)&gt;5,)*H427:AL427))))+Таблица1[[#This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27" s="292" t="b">
        <f>IF(AR427&lt;=3,(IF((G427="5/24"),((база!$M$6*Таблица1[[#This Row],[сумма]]*Таблица1[[#This Row],[коэф]])),
IF((G427="4/24"),((база!$M$5*Таблица1[[#This Row],[сумма]]*Таблица1[[#This Row],[коэф]])),
IF((G427="3/24"),((база!$M$4*Таблица1[[#This Row],[сумма]]*Таблица1[[#This Row],[коэф]])),
IF((G427="5/16"),((база!$L$6*Таблица1[[#This Row],[сумма]]*Таблица1[[#This Row],[коэф]])),
IF((G427="4/16"),((база!$L$5*Таблица1[[#This Row],[сумма]]*Таблица1[[#This Row],[коэф]])),
IF((G427="3/16"),((база!$L$4*Таблица1[[#This Row],[сумма]]*Таблица1[[#This Row],[коэф]])),
IF((G427="4/4"),((база!$I$5*Таблица1[[#This Row],[сумма]]*Таблица1[[#This Row],[коэф]])),
IF(OR(G427="2/4",G427="3/4"),((база!$I$4*Таблица1[[#This Row],[сумма]]*Таблица1[[#This Row],[коэф]])),
IF((G427="5/8"),((база!$J$6*Таблица1[[#This Row],[сумма]]*Таблица1[[#This Row],[коэф]])),
IF((G427="4/8"),((база!$J$5*Таблица1[[#This Row],[сумма]]*Таблица1[[#This Row],[коэф]])),
IF(OR(G427="3/8",G427="2/8"),((база!$J$4*Таблица1[[#This Row],[сумма]]*Таблица1[[#This Row],[коэф]])))))))))))))),
(IF((G427="5/24"),((база!$M$6*Таблица1[[#This Row],[сумма]]*Таблица1[[#This Row],[коэф]])),
IF(OR(G427="4/24",G427="3/24"),((база!$M$5*Таблица1[[#This Row],[сумма]]*Таблица1[[#This Row],[коэф]])),
IF((G427="5/16"),((база!$L$6*Таблица1[[#This Row],[сумма]]*Таблица1[[#This Row],[коэф]])),
IF(OR(G427="4/16",G427="3/16"),((база!$L$5*Таблица1[[#This Row],[сумма]]*Таблица1[[#This Row],[коэф]])),
IF(OR(G427="2/4",G427="3/4",G427="4/4"),((база!$I$5*Таблица1[[#This Row],[сумма]]*Таблица1[[#This Row],[коэф]])),
IF((G427="5/8"),((база!$J$6*Таблица1[[#This Row],[сумма]]*Таблица1[[#This Row],[коэф]])),
IF(OR(G427="4/8",G427="3/8",G427="2/8"),((база!$J$5*Таблица1[[#This Row],[сумма]]*Таблица1[[#This Row],[коэф]])))))))))))</f>
        <v>0</v>
      </c>
      <c r="AP427" s="730" t="b">
        <f>IF(AR427&lt;=3,(IF((G427="5/24"),((база!$M$6*2*Таблица1[[#This Row],[Столбец1]]*Таблица1[[#This Row],[коэф]])),
IF((G427="4/24"),((база!$M$5*2*Таблица1[[#This Row],[Столбец1]]*Таблица1[[#This Row],[коэф]])),
IF((G427="3/24"),((база!$M$4*2*Таблица1[[#This Row],[Столбец1]]*Таблица1[[#This Row],[коэф]])),
IF((G427="5/16"),((база!$L$6*2*Таблица1[[#This Row],[Столбец1]]*Таблица1[[#This Row],[коэф]])),
IF((G427="4/16"),((база!$L$5*2*Таблица1[[#This Row],[Столбец1]]*Таблица1[[#This Row],[коэф]])),
IF((G427="3/16"),((база!$L$4*2*Таблица1[[#This Row],[Столбец1]]*Таблица1[[#This Row],[коэф]])),
IF((G427="4/4"),((база!$I$5*2*Таблица1[[#This Row],[Столбец1]]*Таблица1[[#This Row],[коэф]])),
IF(OR(G427="2/4",G427="3/4"),((база!$I$4*2*Таблица1[[#This Row],[Столбец1]]*Таблица1[[#This Row],[коэф]])),
IF((G427="5/8"),((база!$J$6*2*Таблица1[[#This Row],[Столбец1]]*Таблица1[[#This Row],[коэф]])),
IF((G427="4/8"),((база!$J$5*2*Таблица1[[#This Row],[Столбец1]]*Таблица1[[#This Row],[коэф]])),
IF(OR(G427="3/8",G427="2/8"),((база!$J$4*2*Таблица1[[#This Row],[Столбец1]]*Таблица1[[#This Row],[коэф]])))))))))))))),
(IF((G427="5/24"),((база!$M$6*2*Таблица1[[#This Row],[Столбец1]]*Таблица1[[#This Row],[коэф]])),
IF(OR(G427="4/24",G427="3/24"),((база!$M$5*2*Таблица1[[#This Row],[Столбец1]]*Таблица1[[#This Row],[коэф]])),
IF((G427="5/16"),((база!$L$6*2*Таблица1[[#This Row],[Столбец1]]*Таблица1[[#This Row],[коэф]])),
IF(OR(G427="4/16",G427="3/16"),((база!$L$5*2*Таблица1[[#This Row],[Столбец1]]*Таблица1[[#This Row],[коэф]])),
IF(OR(G427="2/4",G427="3/4",G427="4/4"),((база!$I$5*2*Таблица1[[#This Row],[Столбец1]]*Таблица1[[#This Row],[коэф]])),
IF((G427="5/8"),((база!$J$6*2*Таблица1[[#This Row],[Столбец1]]*Таблица1[[#This Row],[коэф]])),
IF(OR(G427="4/8",G427="3/8",G427="2/8"),((база!$J$5*2*Таблица1[[#This Row],[Столбец1]]*Таблица1[[#This Row],[коэф]])))))))))))</f>
        <v>0</v>
      </c>
      <c r="AQ427" s="712" t="str">
        <f>IFERROR(INDEX(база!T:T, MATCH(F427,база!Q:Q,0)),"")</f>
        <v/>
      </c>
      <c r="AR427" s="208" t="str">
        <f>IFERROR(INDEX(база!D:D, MATCH(F427,база!B:B,0)),"")</f>
        <v/>
      </c>
      <c r="AS427" s="758" t="str">
        <f>IFERROR(INDEX(база!E:E, MATCH(F427,база!B:B,0)),"")</f>
        <v/>
      </c>
    </row>
    <row r="428" spans="1:45" ht="15">
      <c r="A428" s="66" t="str">
        <f t="shared" si="7"/>
        <v>январь</v>
      </c>
      <c r="B428" s="231">
        <v>2024</v>
      </c>
      <c r="C428" s="60"/>
      <c r="D428" s="61"/>
      <c r="E428" s="211"/>
      <c r="F428" s="680"/>
      <c r="G428" s="47"/>
      <c r="H428" s="563"/>
      <c r="I428" s="563"/>
      <c r="J428" s="563"/>
      <c r="K428" s="563"/>
      <c r="L428" s="563"/>
      <c r="M428" s="563"/>
      <c r="N428" s="563"/>
      <c r="O428" s="563"/>
      <c r="P428" s="300"/>
      <c r="Q428" s="563"/>
      <c r="R428" s="563"/>
      <c r="S428" s="563"/>
      <c r="T428" s="563"/>
      <c r="U428" s="563"/>
      <c r="V428" s="563"/>
      <c r="W428" s="563"/>
      <c r="X428" s="563"/>
      <c r="Y428" s="563"/>
      <c r="Z428" s="563"/>
      <c r="AA428" s="563"/>
      <c r="AB428" s="563"/>
      <c r="AC428" s="563"/>
      <c r="AD428" s="48"/>
      <c r="AE428" s="48"/>
      <c r="AF428" s="258"/>
      <c r="AG428" s="48"/>
      <c r="AH428" s="48"/>
      <c r="AI428" s="48"/>
      <c r="AJ428" s="48"/>
      <c r="AK428" s="48"/>
      <c r="AL428" s="51"/>
      <c r="AM428" s="212">
        <f>IF(AQ428=1,SUM(Q428:T428,W428:Z428,AC428:AF428,AI428:AL428),
IF(AQ428=2,SUM(P428,S428:V428,Y428:AB428,AE428:AH428,AK428:AL428),
IF(AQ428=3,SUM(P428:R428,U428:X428,AA428:AD428,AG428:AJ428),SUM(Таблица1[[#This Row],[1]:[31]])-Таблица1[[#This Row],[Столбец1]])))</f>
        <v>0</v>
      </c>
      <c r="AN428" s="778">
        <f t="array" ref="AN428">IF(AQ428=1,SUM(P428,U428:V428,AA428:AB428,AG428:AH428),
IF(AQ428=2,SUM(Q428:R428,W428:X428,AC428:AD428,AI428:AJ428),
IF(AQ428=3,SUM(S428:T428,Y428:Z428,AE428:AF428,AK428:AL428),
SUM(IFERROR(WEEKDAY($H$2:$AL$2,2)&gt;5,)*H428:AL428))))+Таблица1[[#This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28" s="292" t="b">
        <f>IF(AR428&lt;=3,(IF((G428="5/24"),((база!$M$6*Таблица1[[#This Row],[сумма]]*Таблица1[[#This Row],[коэф]])),
IF((G428="4/24"),((база!$M$5*Таблица1[[#This Row],[сумма]]*Таблица1[[#This Row],[коэф]])),
IF((G428="3/24"),((база!$M$4*Таблица1[[#This Row],[сумма]]*Таблица1[[#This Row],[коэф]])),
IF((G428="5/16"),((база!$L$6*Таблица1[[#This Row],[сумма]]*Таблица1[[#This Row],[коэф]])),
IF((G428="4/16"),((база!$L$5*Таблица1[[#This Row],[сумма]]*Таблица1[[#This Row],[коэф]])),
IF((G428="3/16"),((база!$L$4*Таблица1[[#This Row],[сумма]]*Таблица1[[#This Row],[коэф]])),
IF((G428="4/4"),((база!$I$5*Таблица1[[#This Row],[сумма]]*Таблица1[[#This Row],[коэф]])),
IF(OR(G428="2/4",G428="3/4"),((база!$I$4*Таблица1[[#This Row],[сумма]]*Таблица1[[#This Row],[коэф]])),
IF((G428="5/8"),((база!$J$6*Таблица1[[#This Row],[сумма]]*Таблица1[[#This Row],[коэф]])),
IF((G428="4/8"),((база!$J$5*Таблица1[[#This Row],[сумма]]*Таблица1[[#This Row],[коэф]])),
IF(OR(G428="3/8",G428="2/8"),((база!$J$4*Таблица1[[#This Row],[сумма]]*Таблица1[[#This Row],[коэф]])))))))))))))),
(IF((G428="5/24"),((база!$M$6*Таблица1[[#This Row],[сумма]]*Таблица1[[#This Row],[коэф]])),
IF(OR(G428="4/24",G428="3/24"),((база!$M$5*Таблица1[[#This Row],[сумма]]*Таблица1[[#This Row],[коэф]])),
IF((G428="5/16"),((база!$L$6*Таблица1[[#This Row],[сумма]]*Таблица1[[#This Row],[коэф]])),
IF(OR(G428="4/16",G428="3/16"),((база!$L$5*Таблица1[[#This Row],[сумма]]*Таблица1[[#This Row],[коэф]])),
IF(OR(G428="2/4",G428="3/4",G428="4/4"),((база!$I$5*Таблица1[[#This Row],[сумма]]*Таблица1[[#This Row],[коэф]])),
IF((G428="5/8"),((база!$J$6*Таблица1[[#This Row],[сумма]]*Таблица1[[#This Row],[коэф]])),
IF(OR(G428="4/8",G428="3/8",G428="2/8"),((база!$J$5*Таблица1[[#This Row],[сумма]]*Таблица1[[#This Row],[коэф]])))))))))))</f>
        <v>0</v>
      </c>
      <c r="AP428" s="730" t="b">
        <f>IF(AR428&lt;=3,(IF((G428="5/24"),((база!$M$6*2*Таблица1[[#This Row],[Столбец1]]*Таблица1[[#This Row],[коэф]])),
IF((G428="4/24"),((база!$M$5*2*Таблица1[[#This Row],[Столбец1]]*Таблица1[[#This Row],[коэф]])),
IF((G428="3/24"),((база!$M$4*2*Таблица1[[#This Row],[Столбец1]]*Таблица1[[#This Row],[коэф]])),
IF((G428="5/16"),((база!$L$6*2*Таблица1[[#This Row],[Столбец1]]*Таблица1[[#This Row],[коэф]])),
IF((G428="4/16"),((база!$L$5*2*Таблица1[[#This Row],[Столбец1]]*Таблица1[[#This Row],[коэф]])),
IF((G428="3/16"),((база!$L$4*2*Таблица1[[#This Row],[Столбец1]]*Таблица1[[#This Row],[коэф]])),
IF((G428="4/4"),((база!$I$5*2*Таблица1[[#This Row],[Столбец1]]*Таблица1[[#This Row],[коэф]])),
IF(OR(G428="2/4",G428="3/4"),((база!$I$4*2*Таблица1[[#This Row],[Столбец1]]*Таблица1[[#This Row],[коэф]])),
IF((G428="5/8"),((база!$J$6*2*Таблица1[[#This Row],[Столбец1]]*Таблица1[[#This Row],[коэф]])),
IF((G428="4/8"),((база!$J$5*2*Таблица1[[#This Row],[Столбец1]]*Таблица1[[#This Row],[коэф]])),
IF(OR(G428="3/8",G428="2/8"),((база!$J$4*2*Таблица1[[#This Row],[Столбец1]]*Таблица1[[#This Row],[коэф]])))))))))))))),
(IF((G428="5/24"),((база!$M$6*2*Таблица1[[#This Row],[Столбец1]]*Таблица1[[#This Row],[коэф]])),
IF(OR(G428="4/24",G428="3/24"),((база!$M$5*2*Таблица1[[#This Row],[Столбец1]]*Таблица1[[#This Row],[коэф]])),
IF((G428="5/16"),((база!$L$6*2*Таблица1[[#This Row],[Столбец1]]*Таблица1[[#This Row],[коэф]])),
IF(OR(G428="4/16",G428="3/16"),((база!$L$5*2*Таблица1[[#This Row],[Столбец1]]*Таблица1[[#This Row],[коэф]])),
IF(OR(G428="2/4",G428="3/4",G428="4/4"),((база!$I$5*2*Таблица1[[#This Row],[Столбец1]]*Таблица1[[#This Row],[коэф]])),
IF((G428="5/8"),((база!$J$6*2*Таблица1[[#This Row],[Столбец1]]*Таблица1[[#This Row],[коэф]])),
IF(OR(G428="4/8",G428="3/8",G428="2/8"),((база!$J$5*2*Таблица1[[#This Row],[Столбец1]]*Таблица1[[#This Row],[коэф]])))))))))))</f>
        <v>0</v>
      </c>
      <c r="AQ428" s="712" t="str">
        <f>IFERROR(INDEX(база!T:T, MATCH(F428,база!Q:Q,0)),"")</f>
        <v/>
      </c>
      <c r="AR428" s="208" t="str">
        <f>IFERROR(INDEX(база!D:D, MATCH(F428,база!B:B,0)),"")</f>
        <v/>
      </c>
      <c r="AS428" s="758" t="str">
        <f>IFERROR(INDEX(база!E:E, MATCH(F428,база!B:B,0)),"")</f>
        <v/>
      </c>
    </row>
    <row r="429" spans="1:45" ht="15">
      <c r="A429" s="66" t="str">
        <f t="shared" si="7"/>
        <v>январь</v>
      </c>
      <c r="B429" s="231">
        <v>2024</v>
      </c>
      <c r="C429" s="299"/>
      <c r="D429" s="61"/>
      <c r="E429" s="211"/>
      <c r="F429" s="680"/>
      <c r="G429" s="47"/>
      <c r="H429" s="563"/>
      <c r="I429" s="563"/>
      <c r="J429" s="563"/>
      <c r="K429" s="563"/>
      <c r="L429" s="563"/>
      <c r="M429" s="563"/>
      <c r="N429" s="563"/>
      <c r="O429" s="563"/>
      <c r="P429" s="300"/>
      <c r="Q429" s="563"/>
      <c r="R429" s="563"/>
      <c r="S429" s="563"/>
      <c r="T429" s="563"/>
      <c r="U429" s="563"/>
      <c r="V429" s="563"/>
      <c r="W429" s="563"/>
      <c r="X429" s="563"/>
      <c r="Y429" s="563"/>
      <c r="Z429" s="563"/>
      <c r="AA429" s="563"/>
      <c r="AB429" s="563"/>
      <c r="AC429" s="563"/>
      <c r="AD429" s="563"/>
      <c r="AE429" s="563"/>
      <c r="AF429" s="258"/>
      <c r="AG429" s="48"/>
      <c r="AH429" s="48"/>
      <c r="AI429" s="258"/>
      <c r="AJ429" s="258"/>
      <c r="AK429" s="258"/>
      <c r="AL429" s="258"/>
      <c r="AM429" s="212">
        <f>IF(AQ429=1,SUM(Q429:T429,W429:Z429,AC429:AF429,AI429:AL429),
IF(AQ429=2,SUM(P429,S429:V429,Y429:AB429,AE429:AH429,AK429:AL429),
IF(AQ429=3,SUM(P429:R429,U429:X429,AA429:AD429,AG429:AJ429),SUM(Таблица1[[#This Row],[1]:[31]])-Таблица1[[#This Row],[Столбец1]])))</f>
        <v>0</v>
      </c>
      <c r="AN429" s="778">
        <f t="array" ref="AN429">IF(AQ429=1,SUM(P429,U429:V429,AA429:AB429,AG429:AH429),
IF(AQ429=2,SUM(Q429:R429,W429:X429,AC429:AD429,AI429:AJ429),
IF(AQ429=3,SUM(S429:T429,Y429:Z429,AE429:AF429,AK429:AL429),
SUM(IFERROR(WEEKDAY($H$2:$AL$2,2)&gt;5,)*H429:AL429))))+Таблица1[[#This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29" s="292" t="b">
        <f>IF(AR429&lt;=3,(IF((G429="5/24"),((база!$M$6*Таблица1[[#This Row],[сумма]]*Таблица1[[#This Row],[коэф]])),
IF((G429="4/24"),((база!$M$5*Таблица1[[#This Row],[сумма]]*Таблица1[[#This Row],[коэф]])),
IF((G429="3/24"),((база!$M$4*Таблица1[[#This Row],[сумма]]*Таблица1[[#This Row],[коэф]])),
IF((G429="5/16"),((база!$L$6*Таблица1[[#This Row],[сумма]]*Таблица1[[#This Row],[коэф]])),
IF((G429="4/16"),((база!$L$5*Таблица1[[#This Row],[сумма]]*Таблица1[[#This Row],[коэф]])),
IF((G429="3/16"),((база!$L$4*Таблица1[[#This Row],[сумма]]*Таблица1[[#This Row],[коэф]])),
IF((G429="4/4"),((база!$I$5*Таблица1[[#This Row],[сумма]]*Таблица1[[#This Row],[коэф]])),
IF(OR(G429="2/4",G429="3/4"),((база!$I$4*Таблица1[[#This Row],[сумма]]*Таблица1[[#This Row],[коэф]])),
IF((G429="5/8"),((база!$J$6*Таблица1[[#This Row],[сумма]]*Таблица1[[#This Row],[коэф]])),
IF((G429="4/8"),((база!$J$5*Таблица1[[#This Row],[сумма]]*Таблица1[[#This Row],[коэф]])),
IF(OR(G429="3/8",G429="2/8"),((база!$J$4*Таблица1[[#This Row],[сумма]]*Таблица1[[#This Row],[коэф]])))))))))))))),
(IF((G429="5/24"),((база!$M$6*Таблица1[[#This Row],[сумма]]*Таблица1[[#This Row],[коэф]])),
IF(OR(G429="4/24",G429="3/24"),((база!$M$5*Таблица1[[#This Row],[сумма]]*Таблица1[[#This Row],[коэф]])),
IF((G429="5/16"),((база!$L$6*Таблица1[[#This Row],[сумма]]*Таблица1[[#This Row],[коэф]])),
IF(OR(G429="4/16",G429="3/16"),((база!$L$5*Таблица1[[#This Row],[сумма]]*Таблица1[[#This Row],[коэф]])),
IF(OR(G429="2/4",G429="3/4",G429="4/4"),((база!$I$5*Таблица1[[#This Row],[сумма]]*Таблица1[[#This Row],[коэф]])),
IF((G429="5/8"),((база!$J$6*Таблица1[[#This Row],[сумма]]*Таблица1[[#This Row],[коэф]])),
IF(OR(G429="4/8",G429="3/8",G429="2/8"),((база!$J$5*Таблица1[[#This Row],[сумма]]*Таблица1[[#This Row],[коэф]])))))))))))</f>
        <v>0</v>
      </c>
      <c r="AP429" s="730" t="b">
        <f>IF(AR429&lt;=3,(IF((G429="5/24"),((база!$M$6*2*Таблица1[[#This Row],[Столбец1]]*Таблица1[[#This Row],[коэф]])),
IF((G429="4/24"),((база!$M$5*2*Таблица1[[#This Row],[Столбец1]]*Таблица1[[#This Row],[коэф]])),
IF((G429="3/24"),((база!$M$4*2*Таблица1[[#This Row],[Столбец1]]*Таблица1[[#This Row],[коэф]])),
IF((G429="5/16"),((база!$L$6*2*Таблица1[[#This Row],[Столбец1]]*Таблица1[[#This Row],[коэф]])),
IF((G429="4/16"),((база!$L$5*2*Таблица1[[#This Row],[Столбец1]]*Таблица1[[#This Row],[коэф]])),
IF((G429="3/16"),((база!$L$4*2*Таблица1[[#This Row],[Столбец1]]*Таблица1[[#This Row],[коэф]])),
IF((G429="4/4"),((база!$I$5*2*Таблица1[[#This Row],[Столбец1]]*Таблица1[[#This Row],[коэф]])),
IF(OR(G429="2/4",G429="3/4"),((база!$I$4*2*Таблица1[[#This Row],[Столбец1]]*Таблица1[[#This Row],[коэф]])),
IF((G429="5/8"),((база!$J$6*2*Таблица1[[#This Row],[Столбец1]]*Таблица1[[#This Row],[коэф]])),
IF((G429="4/8"),((база!$J$5*2*Таблица1[[#This Row],[Столбец1]]*Таблица1[[#This Row],[коэф]])),
IF(OR(G429="3/8",G429="2/8"),((база!$J$4*2*Таблица1[[#This Row],[Столбец1]]*Таблица1[[#This Row],[коэф]])))))))))))))),
(IF((G429="5/24"),((база!$M$6*2*Таблица1[[#This Row],[Столбец1]]*Таблица1[[#This Row],[коэф]])),
IF(OR(G429="4/24",G429="3/24"),((база!$M$5*2*Таблица1[[#This Row],[Столбец1]]*Таблица1[[#This Row],[коэф]])),
IF((G429="5/16"),((база!$L$6*2*Таблица1[[#This Row],[Столбец1]]*Таблица1[[#This Row],[коэф]])),
IF(OR(G429="4/16",G429="3/16"),((база!$L$5*2*Таблица1[[#This Row],[Столбец1]]*Таблица1[[#This Row],[коэф]])),
IF(OR(G429="2/4",G429="3/4",G429="4/4"),((база!$I$5*2*Таблица1[[#This Row],[Столбец1]]*Таблица1[[#This Row],[коэф]])),
IF((G429="5/8"),((база!$J$6*2*Таблица1[[#This Row],[Столбец1]]*Таблица1[[#This Row],[коэф]])),
IF(OR(G429="4/8",G429="3/8",G429="2/8"),((база!$J$5*2*Таблица1[[#This Row],[Столбец1]]*Таблица1[[#This Row],[коэф]])))))))))))</f>
        <v>0</v>
      </c>
      <c r="AQ429" s="712" t="str">
        <f>IFERROR(INDEX(база!T:T, MATCH(F429,база!Q:Q,0)),"")</f>
        <v/>
      </c>
      <c r="AR429" s="208" t="str">
        <f>IFERROR(INDEX(база!D:D, MATCH(F429,база!B:B,0)),"")</f>
        <v/>
      </c>
      <c r="AS429" s="758" t="str">
        <f>IFERROR(INDEX(база!E:E, MATCH(F429,база!B:B,0)),"")</f>
        <v/>
      </c>
    </row>
    <row r="430" spans="1:45" ht="15">
      <c r="A430" s="66" t="str">
        <f t="shared" si="7"/>
        <v>январь</v>
      </c>
      <c r="B430" s="231">
        <v>2024</v>
      </c>
      <c r="C430" s="299"/>
      <c r="D430" s="61"/>
      <c r="E430" s="211"/>
      <c r="F430" s="680"/>
      <c r="G430" s="47"/>
      <c r="H430" s="563"/>
      <c r="I430" s="563"/>
      <c r="J430" s="563"/>
      <c r="K430" s="563"/>
      <c r="L430" s="563"/>
      <c r="M430" s="563"/>
      <c r="N430" s="563"/>
      <c r="O430" s="563"/>
      <c r="P430" s="300"/>
      <c r="Q430" s="563"/>
      <c r="R430" s="563"/>
      <c r="S430" s="563"/>
      <c r="T430" s="563"/>
      <c r="U430" s="563"/>
      <c r="V430" s="563"/>
      <c r="W430" s="563"/>
      <c r="X430" s="563"/>
      <c r="Y430" s="563"/>
      <c r="Z430" s="563"/>
      <c r="AA430" s="563"/>
      <c r="AB430" s="563"/>
      <c r="AC430" s="563"/>
      <c r="AD430" s="48"/>
      <c r="AE430" s="48"/>
      <c r="AF430" s="258"/>
      <c r="AG430" s="48"/>
      <c r="AH430" s="48"/>
      <c r="AI430" s="48"/>
      <c r="AJ430" s="48"/>
      <c r="AK430" s="48"/>
      <c r="AL430" s="51"/>
      <c r="AM430" s="212">
        <f>IF(AQ430=1,SUM(Q430:T430,W430:Z430,AC430:AF430,AI430:AL430),
IF(AQ430=2,SUM(P430,S430:V430,Y430:AB430,AE430:AH430,AK430:AL430),
IF(AQ430=3,SUM(P430:R430,U430:X430,AA430:AD430,AG430:AJ430),SUM(Таблица1[[#This Row],[1]:[31]])-Таблица1[[#This Row],[Столбец1]])))</f>
        <v>0</v>
      </c>
      <c r="AN430" s="778">
        <f t="array" ref="AN430">IF(AQ430=1,SUM(P430,U430:V430,AA430:AB430,AG430:AH430),
IF(AQ430=2,SUM(Q430:R430,W430:X430,AC430:AD430,AI430:AJ430),
IF(AQ430=3,SUM(S430:T430,Y430:Z430,AE430:AF430,AK430:AL430),
SUM(IFERROR(WEEKDAY($H$2:$AL$2,2)&gt;5,)*H430:AL430))))+Таблица1[[#This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30" s="292" t="b">
        <f>IF(AR430&lt;=3,(IF((G430="5/24"),((база!$M$6*Таблица1[[#This Row],[сумма]]*Таблица1[[#This Row],[коэф]])),
IF((G430="4/24"),((база!$M$5*Таблица1[[#This Row],[сумма]]*Таблица1[[#This Row],[коэф]])),
IF((G430="3/24"),((база!$M$4*Таблица1[[#This Row],[сумма]]*Таблица1[[#This Row],[коэф]])),
IF((G430="5/16"),((база!$L$6*Таблица1[[#This Row],[сумма]]*Таблица1[[#This Row],[коэф]])),
IF((G430="4/16"),((база!$L$5*Таблица1[[#This Row],[сумма]]*Таблица1[[#This Row],[коэф]])),
IF((G430="3/16"),((база!$L$4*Таблица1[[#This Row],[сумма]]*Таблица1[[#This Row],[коэф]])),
IF((G430="4/4"),((база!$I$5*Таблица1[[#This Row],[сумма]]*Таблица1[[#This Row],[коэф]])),
IF(OR(G430="2/4",G430="3/4"),((база!$I$4*Таблица1[[#This Row],[сумма]]*Таблица1[[#This Row],[коэф]])),
IF((G430="5/8"),((база!$J$6*Таблица1[[#This Row],[сумма]]*Таблица1[[#This Row],[коэф]])),
IF((G430="4/8"),((база!$J$5*Таблица1[[#This Row],[сумма]]*Таблица1[[#This Row],[коэф]])),
IF(OR(G430="3/8",G430="2/8"),((база!$J$4*Таблица1[[#This Row],[сумма]]*Таблица1[[#This Row],[коэф]])))))))))))))),
(IF((G430="5/24"),((база!$M$6*Таблица1[[#This Row],[сумма]]*Таблица1[[#This Row],[коэф]])),
IF(OR(G430="4/24",G430="3/24"),((база!$M$5*Таблица1[[#This Row],[сумма]]*Таблица1[[#This Row],[коэф]])),
IF((G430="5/16"),((база!$L$6*Таблица1[[#This Row],[сумма]]*Таблица1[[#This Row],[коэф]])),
IF(OR(G430="4/16",G430="3/16"),((база!$L$5*Таблица1[[#This Row],[сумма]]*Таблица1[[#This Row],[коэф]])),
IF(OR(G430="2/4",G430="3/4",G430="4/4"),((база!$I$5*Таблица1[[#This Row],[сумма]]*Таблица1[[#This Row],[коэф]])),
IF((G430="5/8"),((база!$J$6*Таблица1[[#This Row],[сумма]]*Таблица1[[#This Row],[коэф]])),
IF(OR(G430="4/8",G430="3/8",G430="2/8"),((база!$J$5*Таблица1[[#This Row],[сумма]]*Таблица1[[#This Row],[коэф]])))))))))))</f>
        <v>0</v>
      </c>
      <c r="AP430" s="730" t="b">
        <f>IF(AR430&lt;=3,(IF((G430="5/24"),((база!$M$6*2*Таблица1[[#This Row],[Столбец1]]*Таблица1[[#This Row],[коэф]])),
IF((G430="4/24"),((база!$M$5*2*Таблица1[[#This Row],[Столбец1]]*Таблица1[[#This Row],[коэф]])),
IF((G430="3/24"),((база!$M$4*2*Таблица1[[#This Row],[Столбец1]]*Таблица1[[#This Row],[коэф]])),
IF((G430="5/16"),((база!$L$6*2*Таблица1[[#This Row],[Столбец1]]*Таблица1[[#This Row],[коэф]])),
IF((G430="4/16"),((база!$L$5*2*Таблица1[[#This Row],[Столбец1]]*Таблица1[[#This Row],[коэф]])),
IF((G430="3/16"),((база!$L$4*2*Таблица1[[#This Row],[Столбец1]]*Таблица1[[#This Row],[коэф]])),
IF((G430="4/4"),((база!$I$5*2*Таблица1[[#This Row],[Столбец1]]*Таблица1[[#This Row],[коэф]])),
IF(OR(G430="2/4",G430="3/4"),((база!$I$4*2*Таблица1[[#This Row],[Столбец1]]*Таблица1[[#This Row],[коэф]])),
IF((G430="5/8"),((база!$J$6*2*Таблица1[[#This Row],[Столбец1]]*Таблица1[[#This Row],[коэф]])),
IF((G430="4/8"),((база!$J$5*2*Таблица1[[#This Row],[Столбец1]]*Таблица1[[#This Row],[коэф]])),
IF(OR(G430="3/8",G430="2/8"),((база!$J$4*2*Таблица1[[#This Row],[Столбец1]]*Таблица1[[#This Row],[коэф]])))))))))))))),
(IF((G430="5/24"),((база!$M$6*2*Таблица1[[#This Row],[Столбец1]]*Таблица1[[#This Row],[коэф]])),
IF(OR(G430="4/24",G430="3/24"),((база!$M$5*2*Таблица1[[#This Row],[Столбец1]]*Таблица1[[#This Row],[коэф]])),
IF((G430="5/16"),((база!$L$6*2*Таблица1[[#This Row],[Столбец1]]*Таблица1[[#This Row],[коэф]])),
IF(OR(G430="4/16",G430="3/16"),((база!$L$5*2*Таблица1[[#This Row],[Столбец1]]*Таблица1[[#This Row],[коэф]])),
IF(OR(G430="2/4",G430="3/4",G430="4/4"),((база!$I$5*2*Таблица1[[#This Row],[Столбец1]]*Таблица1[[#This Row],[коэф]])),
IF((G430="5/8"),((база!$J$6*2*Таблица1[[#This Row],[Столбец1]]*Таблица1[[#This Row],[коэф]])),
IF(OR(G430="4/8",G430="3/8",G430="2/8"),((база!$J$5*2*Таблица1[[#This Row],[Столбец1]]*Таблица1[[#This Row],[коэф]])))))))))))</f>
        <v>0</v>
      </c>
      <c r="AQ430" s="712" t="str">
        <f>IFERROR(INDEX(база!T:T, MATCH(F430,база!Q:Q,0)),"")</f>
        <v/>
      </c>
      <c r="AR430" s="208" t="str">
        <f>IFERROR(INDEX(база!D:D, MATCH(F430,база!B:B,0)),"")</f>
        <v/>
      </c>
      <c r="AS430" s="758" t="str">
        <f>IFERROR(INDEX(база!E:E, MATCH(F430,база!B:B,0)),"")</f>
        <v/>
      </c>
    </row>
    <row r="431" spans="1:45" ht="15">
      <c r="A431" s="66" t="str">
        <f t="shared" si="7"/>
        <v>январь</v>
      </c>
      <c r="B431" s="231">
        <v>2024</v>
      </c>
      <c r="C431" s="299"/>
      <c r="D431" s="61"/>
      <c r="E431" s="211"/>
      <c r="F431" s="680"/>
      <c r="G431" s="47"/>
      <c r="H431" s="563"/>
      <c r="I431" s="563"/>
      <c r="J431" s="563"/>
      <c r="K431" s="563"/>
      <c r="L431" s="563"/>
      <c r="M431" s="563"/>
      <c r="N431" s="563"/>
      <c r="O431" s="563"/>
      <c r="P431" s="300"/>
      <c r="Q431" s="563"/>
      <c r="R431" s="563"/>
      <c r="S431" s="563"/>
      <c r="T431" s="563"/>
      <c r="U431" s="563"/>
      <c r="V431" s="563"/>
      <c r="W431" s="563"/>
      <c r="X431" s="563"/>
      <c r="Y431" s="563"/>
      <c r="Z431" s="563"/>
      <c r="AA431" s="563"/>
      <c r="AB431" s="563"/>
      <c r="AC431" s="563"/>
      <c r="AD431" s="48"/>
      <c r="AE431" s="48"/>
      <c r="AF431" s="258"/>
      <c r="AG431" s="48"/>
      <c r="AH431" s="48"/>
      <c r="AI431" s="258"/>
      <c r="AJ431" s="258"/>
      <c r="AK431" s="258"/>
      <c r="AL431" s="258"/>
      <c r="AM431" s="212">
        <f>IF(AQ431=1,SUM(Q431:T431,W431:Z431,AC431:AF431,AI431:AL431),
IF(AQ431=2,SUM(P431,S431:V431,Y431:AB431,AE431:AH431,AK431:AL431),
IF(AQ431=3,SUM(P431:R431,U431:X431,AA431:AD431,AG431:AJ431),SUM(Таблица1[[#This Row],[1]:[31]])-Таблица1[[#This Row],[Столбец1]])))</f>
        <v>0</v>
      </c>
      <c r="AN431" s="778">
        <f t="array" ref="AN431">IF(AQ431=1,SUM(P431,U431:V431,AA431:AB431,AG431:AH431),
IF(AQ431=2,SUM(Q431:R431,W431:X431,AC431:AD431,AI431:AJ431),
IF(AQ431=3,SUM(S431:T431,Y431:Z431,AE431:AF431,AK431:AL431),
SUM(IFERROR(WEEKDAY($H$2:$AL$2,2)&gt;5,)*H431:AL431))))+Таблица1[[#This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31" s="292" t="b">
        <f>IF(AR431&lt;=3,(IF((G431="5/24"),((база!$M$6*Таблица1[[#This Row],[сумма]]*Таблица1[[#This Row],[коэф]])),
IF((G431="4/24"),((база!$M$5*Таблица1[[#This Row],[сумма]]*Таблица1[[#This Row],[коэф]])),
IF((G431="3/24"),((база!$M$4*Таблица1[[#This Row],[сумма]]*Таблица1[[#This Row],[коэф]])),
IF((G431="5/16"),((база!$L$6*Таблица1[[#This Row],[сумма]]*Таблица1[[#This Row],[коэф]])),
IF((G431="4/16"),((база!$L$5*Таблица1[[#This Row],[сумма]]*Таблица1[[#This Row],[коэф]])),
IF((G431="3/16"),((база!$L$4*Таблица1[[#This Row],[сумма]]*Таблица1[[#This Row],[коэф]])),
IF((G431="4/4"),((база!$I$5*Таблица1[[#This Row],[сумма]]*Таблица1[[#This Row],[коэф]])),
IF(OR(G431="2/4",G431="3/4"),((база!$I$4*Таблица1[[#This Row],[сумма]]*Таблица1[[#This Row],[коэф]])),
IF((G431="5/8"),((база!$J$6*Таблица1[[#This Row],[сумма]]*Таблица1[[#This Row],[коэф]])),
IF((G431="4/8"),((база!$J$5*Таблица1[[#This Row],[сумма]]*Таблица1[[#This Row],[коэф]])),
IF(OR(G431="3/8",G431="2/8"),((база!$J$4*Таблица1[[#This Row],[сумма]]*Таблица1[[#This Row],[коэф]])))))))))))))),
(IF((G431="5/24"),((база!$M$6*Таблица1[[#This Row],[сумма]]*Таблица1[[#This Row],[коэф]])),
IF(OR(G431="4/24",G431="3/24"),((база!$M$5*Таблица1[[#This Row],[сумма]]*Таблица1[[#This Row],[коэф]])),
IF((G431="5/16"),((база!$L$6*Таблица1[[#This Row],[сумма]]*Таблица1[[#This Row],[коэф]])),
IF(OR(G431="4/16",G431="3/16"),((база!$L$5*Таблица1[[#This Row],[сумма]]*Таблица1[[#This Row],[коэф]])),
IF(OR(G431="2/4",G431="3/4",G431="4/4"),((база!$I$5*Таблица1[[#This Row],[сумма]]*Таблица1[[#This Row],[коэф]])),
IF((G431="5/8"),((база!$J$6*Таблица1[[#This Row],[сумма]]*Таблица1[[#This Row],[коэф]])),
IF(OR(G431="4/8",G431="3/8",G431="2/8"),((база!$J$5*Таблица1[[#This Row],[сумма]]*Таблица1[[#This Row],[коэф]])))))))))))</f>
        <v>0</v>
      </c>
      <c r="AP431" s="730" t="b">
        <f>IF(AR431&lt;=3,(IF((G431="5/24"),((база!$M$6*2*Таблица1[[#This Row],[Столбец1]]*Таблица1[[#This Row],[коэф]])),
IF((G431="4/24"),((база!$M$5*2*Таблица1[[#This Row],[Столбец1]]*Таблица1[[#This Row],[коэф]])),
IF((G431="3/24"),((база!$M$4*2*Таблица1[[#This Row],[Столбец1]]*Таблица1[[#This Row],[коэф]])),
IF((G431="5/16"),((база!$L$6*2*Таблица1[[#This Row],[Столбец1]]*Таблица1[[#This Row],[коэф]])),
IF((G431="4/16"),((база!$L$5*2*Таблица1[[#This Row],[Столбец1]]*Таблица1[[#This Row],[коэф]])),
IF((G431="3/16"),((база!$L$4*2*Таблица1[[#This Row],[Столбец1]]*Таблица1[[#This Row],[коэф]])),
IF((G431="4/4"),((база!$I$5*2*Таблица1[[#This Row],[Столбец1]]*Таблица1[[#This Row],[коэф]])),
IF(OR(G431="2/4",G431="3/4"),((база!$I$4*2*Таблица1[[#This Row],[Столбец1]]*Таблица1[[#This Row],[коэф]])),
IF((G431="5/8"),((база!$J$6*2*Таблица1[[#This Row],[Столбец1]]*Таблица1[[#This Row],[коэф]])),
IF((G431="4/8"),((база!$J$5*2*Таблица1[[#This Row],[Столбец1]]*Таблица1[[#This Row],[коэф]])),
IF(OR(G431="3/8",G431="2/8"),((база!$J$4*2*Таблица1[[#This Row],[Столбец1]]*Таблица1[[#This Row],[коэф]])))))))))))))),
(IF((G431="5/24"),((база!$M$6*2*Таблица1[[#This Row],[Столбец1]]*Таблица1[[#This Row],[коэф]])),
IF(OR(G431="4/24",G431="3/24"),((база!$M$5*2*Таблица1[[#This Row],[Столбец1]]*Таблица1[[#This Row],[коэф]])),
IF((G431="5/16"),((база!$L$6*2*Таблица1[[#This Row],[Столбец1]]*Таблица1[[#This Row],[коэф]])),
IF(OR(G431="4/16",G431="3/16"),((база!$L$5*2*Таблица1[[#This Row],[Столбец1]]*Таблица1[[#This Row],[коэф]])),
IF(OR(G431="2/4",G431="3/4",G431="4/4"),((база!$I$5*2*Таблица1[[#This Row],[Столбец1]]*Таблица1[[#This Row],[коэф]])),
IF((G431="5/8"),((база!$J$6*2*Таблица1[[#This Row],[Столбец1]]*Таблица1[[#This Row],[коэф]])),
IF(OR(G431="4/8",G431="3/8",G431="2/8"),((база!$J$5*2*Таблица1[[#This Row],[Столбец1]]*Таблица1[[#This Row],[коэф]])))))))))))</f>
        <v>0</v>
      </c>
      <c r="AQ431" s="712" t="str">
        <f>IFERROR(INDEX(база!T:T, MATCH(F431,база!Q:Q,0)),"")</f>
        <v/>
      </c>
      <c r="AR431" s="208" t="str">
        <f>IFERROR(INDEX(база!D:D, MATCH(F431,база!B:B,0)),"")</f>
        <v/>
      </c>
      <c r="AS431" s="758" t="str">
        <f>IFERROR(INDEX(база!E:E, MATCH(F431,база!B:B,0)),"")</f>
        <v/>
      </c>
    </row>
    <row r="432" spans="1:45" ht="15">
      <c r="A432" s="66" t="str">
        <f t="shared" si="7"/>
        <v>январь</v>
      </c>
      <c r="B432" s="231">
        <v>2024</v>
      </c>
      <c r="C432" s="60"/>
      <c r="D432" s="61"/>
      <c r="E432" s="211"/>
      <c r="F432" s="680"/>
      <c r="G432" s="47"/>
      <c r="H432" s="563"/>
      <c r="I432" s="563"/>
      <c r="J432" s="563"/>
      <c r="K432" s="563"/>
      <c r="L432" s="563"/>
      <c r="M432" s="563"/>
      <c r="N432" s="563"/>
      <c r="O432" s="563"/>
      <c r="P432" s="300"/>
      <c r="Q432" s="563"/>
      <c r="R432" s="563"/>
      <c r="S432" s="563"/>
      <c r="T432" s="563"/>
      <c r="U432" s="563"/>
      <c r="V432" s="563"/>
      <c r="W432" s="563"/>
      <c r="X432" s="563"/>
      <c r="Y432" s="563"/>
      <c r="Z432" s="563"/>
      <c r="AA432" s="563"/>
      <c r="AB432" s="563"/>
      <c r="AC432" s="563"/>
      <c r="AD432" s="48"/>
      <c r="AE432" s="48"/>
      <c r="AF432" s="258"/>
      <c r="AG432" s="48"/>
      <c r="AH432" s="48"/>
      <c r="AI432" s="48"/>
      <c r="AJ432" s="48"/>
      <c r="AK432" s="48"/>
      <c r="AL432" s="51"/>
      <c r="AM432" s="212">
        <f>IF(AQ432=1,SUM(Q432:T432,W432:Z432,AC432:AF432,AI432:AL432),
IF(AQ432=2,SUM(P432,S432:V432,Y432:AB432,AE432:AH432,AK432:AL432),
IF(AQ432=3,SUM(P432:R432,U432:X432,AA432:AD432,AG432:AJ432),SUM(Таблица1[[#This Row],[1]:[31]])-Таблица1[[#This Row],[Столбец1]])))</f>
        <v>0</v>
      </c>
      <c r="AN432" s="778">
        <f t="array" ref="AN432">IF(AQ432=1,SUM(P432,U432:V432,AA432:AB432,AG432:AH432),
IF(AQ432=2,SUM(Q432:R432,W432:X432,AC432:AD432,AI432:AJ432),
IF(AQ432=3,SUM(S432:T432,Y432:Z432,AE432:AF432,AK432:AL432),
SUM(IFERROR(WEEKDAY($H$2:$AL$2,2)&gt;5,)*H432:AL432))))+Таблица1[[#This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32" s="292" t="b">
        <f>IF(AR432&lt;=3,(IF((G432="5/24"),((база!$M$6*Таблица1[[#This Row],[сумма]]*Таблица1[[#This Row],[коэф]])),
IF((G432="4/24"),((база!$M$5*Таблица1[[#This Row],[сумма]]*Таблица1[[#This Row],[коэф]])),
IF((G432="3/24"),((база!$M$4*Таблица1[[#This Row],[сумма]]*Таблица1[[#This Row],[коэф]])),
IF((G432="5/16"),((база!$L$6*Таблица1[[#This Row],[сумма]]*Таблица1[[#This Row],[коэф]])),
IF((G432="4/16"),((база!$L$5*Таблица1[[#This Row],[сумма]]*Таблица1[[#This Row],[коэф]])),
IF((G432="3/16"),((база!$L$4*Таблица1[[#This Row],[сумма]]*Таблица1[[#This Row],[коэф]])),
IF((G432="4/4"),((база!$I$5*Таблица1[[#This Row],[сумма]]*Таблица1[[#This Row],[коэф]])),
IF(OR(G432="2/4",G432="3/4"),((база!$I$4*Таблица1[[#This Row],[сумма]]*Таблица1[[#This Row],[коэф]])),
IF((G432="5/8"),((база!$J$6*Таблица1[[#This Row],[сумма]]*Таблица1[[#This Row],[коэф]])),
IF((G432="4/8"),((база!$J$5*Таблица1[[#This Row],[сумма]]*Таблица1[[#This Row],[коэф]])),
IF(OR(G432="3/8",G432="2/8"),((база!$J$4*Таблица1[[#This Row],[сумма]]*Таблица1[[#This Row],[коэф]])))))))))))))),
(IF((G432="5/24"),((база!$M$6*Таблица1[[#This Row],[сумма]]*Таблица1[[#This Row],[коэф]])),
IF(OR(G432="4/24",G432="3/24"),((база!$M$5*Таблица1[[#This Row],[сумма]]*Таблица1[[#This Row],[коэф]])),
IF((G432="5/16"),((база!$L$6*Таблица1[[#This Row],[сумма]]*Таблица1[[#This Row],[коэф]])),
IF(OR(G432="4/16",G432="3/16"),((база!$L$5*Таблица1[[#This Row],[сумма]]*Таблица1[[#This Row],[коэф]])),
IF(OR(G432="2/4",G432="3/4",G432="4/4"),((база!$I$5*Таблица1[[#This Row],[сумма]]*Таблица1[[#This Row],[коэф]])),
IF((G432="5/8"),((база!$J$6*Таблица1[[#This Row],[сумма]]*Таблица1[[#This Row],[коэф]])),
IF(OR(G432="4/8",G432="3/8",G432="2/8"),((база!$J$5*Таблица1[[#This Row],[сумма]]*Таблица1[[#This Row],[коэф]])))))))))))</f>
        <v>0</v>
      </c>
      <c r="AP432" s="730" t="b">
        <f>IF(AR432&lt;=3,(IF((G432="5/24"),((база!$M$6*2*Таблица1[[#This Row],[Столбец1]]*Таблица1[[#This Row],[коэф]])),
IF((G432="4/24"),((база!$M$5*2*Таблица1[[#This Row],[Столбец1]]*Таблица1[[#This Row],[коэф]])),
IF((G432="3/24"),((база!$M$4*2*Таблица1[[#This Row],[Столбец1]]*Таблица1[[#This Row],[коэф]])),
IF((G432="5/16"),((база!$L$6*2*Таблица1[[#This Row],[Столбец1]]*Таблица1[[#This Row],[коэф]])),
IF((G432="4/16"),((база!$L$5*2*Таблица1[[#This Row],[Столбец1]]*Таблица1[[#This Row],[коэф]])),
IF((G432="3/16"),((база!$L$4*2*Таблица1[[#This Row],[Столбец1]]*Таблица1[[#This Row],[коэф]])),
IF((G432="4/4"),((база!$I$5*2*Таблица1[[#This Row],[Столбец1]]*Таблица1[[#This Row],[коэф]])),
IF(OR(G432="2/4",G432="3/4"),((база!$I$4*2*Таблица1[[#This Row],[Столбец1]]*Таблица1[[#This Row],[коэф]])),
IF((G432="5/8"),((база!$J$6*2*Таблица1[[#This Row],[Столбец1]]*Таблица1[[#This Row],[коэф]])),
IF((G432="4/8"),((база!$J$5*2*Таблица1[[#This Row],[Столбец1]]*Таблица1[[#This Row],[коэф]])),
IF(OR(G432="3/8",G432="2/8"),((база!$J$4*2*Таблица1[[#This Row],[Столбец1]]*Таблица1[[#This Row],[коэф]])))))))))))))),
(IF((G432="5/24"),((база!$M$6*2*Таблица1[[#This Row],[Столбец1]]*Таблица1[[#This Row],[коэф]])),
IF(OR(G432="4/24",G432="3/24"),((база!$M$5*2*Таблица1[[#This Row],[Столбец1]]*Таблица1[[#This Row],[коэф]])),
IF((G432="5/16"),((база!$L$6*2*Таблица1[[#This Row],[Столбец1]]*Таблица1[[#This Row],[коэф]])),
IF(OR(G432="4/16",G432="3/16"),((база!$L$5*2*Таблица1[[#This Row],[Столбец1]]*Таблица1[[#This Row],[коэф]])),
IF(OR(G432="2/4",G432="3/4",G432="4/4"),((база!$I$5*2*Таблица1[[#This Row],[Столбец1]]*Таблица1[[#This Row],[коэф]])),
IF((G432="5/8"),((база!$J$6*2*Таблица1[[#This Row],[Столбец1]]*Таблица1[[#This Row],[коэф]])),
IF(OR(G432="4/8",G432="3/8",G432="2/8"),((база!$J$5*2*Таблица1[[#This Row],[Столбец1]]*Таблица1[[#This Row],[коэф]])))))))))))</f>
        <v>0</v>
      </c>
      <c r="AQ432" s="712" t="str">
        <f>IFERROR(INDEX(база!T:T, MATCH(F432,база!Q:Q,0)),"")</f>
        <v/>
      </c>
      <c r="AR432" s="208" t="str">
        <f>IFERROR(INDEX(база!D:D, MATCH(F432,база!B:B,0)),"")</f>
        <v/>
      </c>
      <c r="AS432" s="758" t="str">
        <f>IFERROR(INDEX(база!E:E, MATCH(F432,база!B:B,0)),"")</f>
        <v/>
      </c>
    </row>
    <row r="433" spans="1:45" ht="15">
      <c r="A433" s="66" t="str">
        <f t="shared" ref="A433:A720" si="8">A432</f>
        <v>январь</v>
      </c>
      <c r="B433" s="231">
        <v>2024</v>
      </c>
      <c r="C433" s="299"/>
      <c r="D433" s="61"/>
      <c r="E433" s="211"/>
      <c r="F433" s="680"/>
      <c r="G433" s="47"/>
      <c r="H433" s="563"/>
      <c r="I433" s="563"/>
      <c r="J433" s="563"/>
      <c r="K433" s="563"/>
      <c r="L433" s="563"/>
      <c r="M433" s="563"/>
      <c r="N433" s="563"/>
      <c r="O433" s="563"/>
      <c r="P433" s="300"/>
      <c r="Q433" s="563"/>
      <c r="R433" s="563"/>
      <c r="S433" s="563"/>
      <c r="T433" s="563"/>
      <c r="U433" s="563"/>
      <c r="V433" s="563"/>
      <c r="W433" s="563"/>
      <c r="X433" s="563"/>
      <c r="Y433" s="563"/>
      <c r="Z433" s="563"/>
      <c r="AA433" s="563"/>
      <c r="AB433" s="563"/>
      <c r="AC433" s="563"/>
      <c r="AD433" s="48"/>
      <c r="AE433" s="48"/>
      <c r="AF433" s="258"/>
      <c r="AG433" s="48"/>
      <c r="AH433" s="48"/>
      <c r="AI433" s="258"/>
      <c r="AJ433" s="258"/>
      <c r="AK433" s="258"/>
      <c r="AL433" s="258"/>
      <c r="AM433" s="212">
        <f>IF(AQ433=1,SUM(Q433:T433,W433:Z433,AC433:AF433,AI433:AL433),
IF(AQ433=2,SUM(P433,S433:V433,Y433:AB433,AE433:AH433,AK433:AL433),
IF(AQ433=3,SUM(P433:R433,U433:X433,AA433:AD433,AG433:AJ433),SUM(Таблица1[[#This Row],[1]:[31]])-Таблица1[[#This Row],[Столбец1]])))</f>
        <v>0</v>
      </c>
      <c r="AN433" s="778">
        <f t="array" ref="AN433">IF(AQ433=1,SUM(P433,U433:V433,AA433:AB433,AG433:AH433),
IF(AQ433=2,SUM(Q433:R433,W433:X433,AC433:AD433,AI433:AJ433),
IF(AQ433=3,SUM(S433:T433,Y433:Z433,AE433:AF433,AK433:AL433),
SUM(IFERROR(WEEKDAY($H$2:$AL$2,2)&gt;5,)*H433:AL433))))+Таблица1[[#This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33" s="292" t="b">
        <f>IF(AR433&lt;=3,(IF((G433="5/24"),((база!$M$6*Таблица1[[#This Row],[сумма]]*Таблица1[[#This Row],[коэф]])),
IF((G433="4/24"),((база!$M$5*Таблица1[[#This Row],[сумма]]*Таблица1[[#This Row],[коэф]])),
IF((G433="3/24"),((база!$M$4*Таблица1[[#This Row],[сумма]]*Таблица1[[#This Row],[коэф]])),
IF((G433="5/16"),((база!$L$6*Таблица1[[#This Row],[сумма]]*Таблица1[[#This Row],[коэф]])),
IF((G433="4/16"),((база!$L$5*Таблица1[[#This Row],[сумма]]*Таблица1[[#This Row],[коэф]])),
IF((G433="3/16"),((база!$L$4*Таблица1[[#This Row],[сумма]]*Таблица1[[#This Row],[коэф]])),
IF((G433="4/4"),((база!$I$5*Таблица1[[#This Row],[сумма]]*Таблица1[[#This Row],[коэф]])),
IF(OR(G433="2/4",G433="3/4"),((база!$I$4*Таблица1[[#This Row],[сумма]]*Таблица1[[#This Row],[коэф]])),
IF((G433="5/8"),((база!$J$6*Таблица1[[#This Row],[сумма]]*Таблица1[[#This Row],[коэф]])),
IF((G433="4/8"),((база!$J$5*Таблица1[[#This Row],[сумма]]*Таблица1[[#This Row],[коэф]])),
IF(OR(G433="3/8",G433="2/8"),((база!$J$4*Таблица1[[#This Row],[сумма]]*Таблица1[[#This Row],[коэф]])))))))))))))),
(IF((G433="5/24"),((база!$M$6*Таблица1[[#This Row],[сумма]]*Таблица1[[#This Row],[коэф]])),
IF(OR(G433="4/24",G433="3/24"),((база!$M$5*Таблица1[[#This Row],[сумма]]*Таблица1[[#This Row],[коэф]])),
IF((G433="5/16"),((база!$L$6*Таблица1[[#This Row],[сумма]]*Таблица1[[#This Row],[коэф]])),
IF(OR(G433="4/16",G433="3/16"),((база!$L$5*Таблица1[[#This Row],[сумма]]*Таблица1[[#This Row],[коэф]])),
IF(OR(G433="2/4",G433="3/4",G433="4/4"),((база!$I$5*Таблица1[[#This Row],[сумма]]*Таблица1[[#This Row],[коэф]])),
IF((G433="5/8"),((база!$J$6*Таблица1[[#This Row],[сумма]]*Таблица1[[#This Row],[коэф]])),
IF(OR(G433="4/8",G433="3/8",G433="2/8"),((база!$J$5*Таблица1[[#This Row],[сумма]]*Таблица1[[#This Row],[коэф]])))))))))))</f>
        <v>0</v>
      </c>
      <c r="AP433" s="730" t="b">
        <f>IF(AR433&lt;=3,(IF((G433="5/24"),((база!$M$6*2*Таблица1[[#This Row],[Столбец1]]*Таблица1[[#This Row],[коэф]])),
IF((G433="4/24"),((база!$M$5*2*Таблица1[[#This Row],[Столбец1]]*Таблица1[[#This Row],[коэф]])),
IF((G433="3/24"),((база!$M$4*2*Таблица1[[#This Row],[Столбец1]]*Таблица1[[#This Row],[коэф]])),
IF((G433="5/16"),((база!$L$6*2*Таблица1[[#This Row],[Столбец1]]*Таблица1[[#This Row],[коэф]])),
IF((G433="4/16"),((база!$L$5*2*Таблица1[[#This Row],[Столбец1]]*Таблица1[[#This Row],[коэф]])),
IF((G433="3/16"),((база!$L$4*2*Таблица1[[#This Row],[Столбец1]]*Таблица1[[#This Row],[коэф]])),
IF((G433="4/4"),((база!$I$5*2*Таблица1[[#This Row],[Столбец1]]*Таблица1[[#This Row],[коэф]])),
IF(OR(G433="2/4",G433="3/4"),((база!$I$4*2*Таблица1[[#This Row],[Столбец1]]*Таблица1[[#This Row],[коэф]])),
IF((G433="5/8"),((база!$J$6*2*Таблица1[[#This Row],[Столбец1]]*Таблица1[[#This Row],[коэф]])),
IF((G433="4/8"),((база!$J$5*2*Таблица1[[#This Row],[Столбец1]]*Таблица1[[#This Row],[коэф]])),
IF(OR(G433="3/8",G433="2/8"),((база!$J$4*2*Таблица1[[#This Row],[Столбец1]]*Таблица1[[#This Row],[коэф]])))))))))))))),
(IF((G433="5/24"),((база!$M$6*2*Таблица1[[#This Row],[Столбец1]]*Таблица1[[#This Row],[коэф]])),
IF(OR(G433="4/24",G433="3/24"),((база!$M$5*2*Таблица1[[#This Row],[Столбец1]]*Таблица1[[#This Row],[коэф]])),
IF((G433="5/16"),((база!$L$6*2*Таблица1[[#This Row],[Столбец1]]*Таблица1[[#This Row],[коэф]])),
IF(OR(G433="4/16",G433="3/16"),((база!$L$5*2*Таблица1[[#This Row],[Столбец1]]*Таблица1[[#This Row],[коэф]])),
IF(OR(G433="2/4",G433="3/4",G433="4/4"),((база!$I$5*2*Таблица1[[#This Row],[Столбец1]]*Таблица1[[#This Row],[коэф]])),
IF((G433="5/8"),((база!$J$6*2*Таблица1[[#This Row],[Столбец1]]*Таблица1[[#This Row],[коэф]])),
IF(OR(G433="4/8",G433="3/8",G433="2/8"),((база!$J$5*2*Таблица1[[#This Row],[Столбец1]]*Таблица1[[#This Row],[коэф]])))))))))))</f>
        <v>0</v>
      </c>
      <c r="AQ433" s="712" t="str">
        <f>IFERROR(INDEX(база!T:T, MATCH(F433,база!Q:Q,0)),"")</f>
        <v/>
      </c>
      <c r="AR433" s="208" t="str">
        <f>IFERROR(INDEX(база!D:D, MATCH(F433,база!B:B,0)),"")</f>
        <v/>
      </c>
      <c r="AS433" s="758" t="str">
        <f>IFERROR(INDEX(база!E:E, MATCH(F433,база!B:B,0)),"")</f>
        <v/>
      </c>
    </row>
    <row r="434" spans="1:45" ht="15">
      <c r="A434" s="66" t="str">
        <f t="shared" si="8"/>
        <v>январь</v>
      </c>
      <c r="B434" s="231">
        <v>2024</v>
      </c>
      <c r="C434" s="60"/>
      <c r="D434" s="61"/>
      <c r="E434" s="211"/>
      <c r="F434" s="680"/>
      <c r="G434" s="47"/>
      <c r="H434" s="563"/>
      <c r="I434" s="563"/>
      <c r="J434" s="563"/>
      <c r="K434" s="563"/>
      <c r="L434" s="563"/>
      <c r="M434" s="563"/>
      <c r="N434" s="563"/>
      <c r="O434" s="563"/>
      <c r="P434" s="300"/>
      <c r="Q434" s="563"/>
      <c r="R434" s="563"/>
      <c r="S434" s="563"/>
      <c r="T434" s="563"/>
      <c r="U434" s="563"/>
      <c r="V434" s="563"/>
      <c r="W434" s="563"/>
      <c r="X434" s="563"/>
      <c r="Y434" s="563"/>
      <c r="Z434" s="563"/>
      <c r="AA434" s="563"/>
      <c r="AB434" s="563"/>
      <c r="AC434" s="563"/>
      <c r="AD434" s="48"/>
      <c r="AE434" s="48"/>
      <c r="AF434" s="258"/>
      <c r="AG434" s="48"/>
      <c r="AH434" s="48"/>
      <c r="AI434" s="48"/>
      <c r="AJ434" s="48"/>
      <c r="AK434" s="48"/>
      <c r="AL434" s="51"/>
      <c r="AM434" s="212">
        <f>IF(AQ434=1,SUM(Q434:T434,W434:Z434,AC434:AF434,AI434:AL434),
IF(AQ434=2,SUM(P434,S434:V434,Y434:AB434,AE434:AH434,AK434:AL434),
IF(AQ434=3,SUM(P434:R434,U434:X434,AA434:AD434,AG434:AJ434),SUM(Таблица1[[#This Row],[1]:[31]])-Таблица1[[#This Row],[Столбец1]])))</f>
        <v>0</v>
      </c>
      <c r="AN434" s="778">
        <f t="array" ref="AN434">IF(AQ434=1,SUM(P434,U434:V434,AA434:AB434,AG434:AH434),
IF(AQ434=2,SUM(Q434:R434,W434:X434,AC434:AD434,AI434:AJ434),
IF(AQ434=3,SUM(S434:T434,Y434:Z434,AE434:AF434,AK434:AL434),
SUM(IFERROR(WEEKDAY($H$2:$AL$2,2)&gt;5,)*H434:AL434))))+Таблица1[[#This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34" s="292" t="b">
        <f>IF(AR434&lt;=3,(IF((G434="5/24"),((база!$M$6*Таблица1[[#This Row],[сумма]]*Таблица1[[#This Row],[коэф]])),
IF((G434="4/24"),((база!$M$5*Таблица1[[#This Row],[сумма]]*Таблица1[[#This Row],[коэф]])),
IF((G434="3/24"),((база!$M$4*Таблица1[[#This Row],[сумма]]*Таблица1[[#This Row],[коэф]])),
IF((G434="5/16"),((база!$L$6*Таблица1[[#This Row],[сумма]]*Таблица1[[#This Row],[коэф]])),
IF((G434="4/16"),((база!$L$5*Таблица1[[#This Row],[сумма]]*Таблица1[[#This Row],[коэф]])),
IF((G434="3/16"),((база!$L$4*Таблица1[[#This Row],[сумма]]*Таблица1[[#This Row],[коэф]])),
IF((G434="4/4"),((база!$I$5*Таблица1[[#This Row],[сумма]]*Таблица1[[#This Row],[коэф]])),
IF(OR(G434="2/4",G434="3/4"),((база!$I$4*Таблица1[[#This Row],[сумма]]*Таблица1[[#This Row],[коэф]])),
IF((G434="5/8"),((база!$J$6*Таблица1[[#This Row],[сумма]]*Таблица1[[#This Row],[коэф]])),
IF((G434="4/8"),((база!$J$5*Таблица1[[#This Row],[сумма]]*Таблица1[[#This Row],[коэф]])),
IF(OR(G434="3/8",G434="2/8"),((база!$J$4*Таблица1[[#This Row],[сумма]]*Таблица1[[#This Row],[коэф]])))))))))))))),
(IF((G434="5/24"),((база!$M$6*Таблица1[[#This Row],[сумма]]*Таблица1[[#This Row],[коэф]])),
IF(OR(G434="4/24",G434="3/24"),((база!$M$5*Таблица1[[#This Row],[сумма]]*Таблица1[[#This Row],[коэф]])),
IF((G434="5/16"),((база!$L$6*Таблица1[[#This Row],[сумма]]*Таблица1[[#This Row],[коэф]])),
IF(OR(G434="4/16",G434="3/16"),((база!$L$5*Таблица1[[#This Row],[сумма]]*Таблица1[[#This Row],[коэф]])),
IF(OR(G434="2/4",G434="3/4",G434="4/4"),((база!$I$5*Таблица1[[#This Row],[сумма]]*Таблица1[[#This Row],[коэф]])),
IF((G434="5/8"),((база!$J$6*Таблица1[[#This Row],[сумма]]*Таблица1[[#This Row],[коэф]])),
IF(OR(G434="4/8",G434="3/8",G434="2/8"),((база!$J$5*Таблица1[[#This Row],[сумма]]*Таблица1[[#This Row],[коэф]])))))))))))</f>
        <v>0</v>
      </c>
      <c r="AP434" s="730" t="b">
        <f>IF(AR434&lt;=3,(IF((G434="5/24"),((база!$M$6*2*Таблица1[[#This Row],[Столбец1]]*Таблица1[[#This Row],[коэф]])),
IF((G434="4/24"),((база!$M$5*2*Таблица1[[#This Row],[Столбец1]]*Таблица1[[#This Row],[коэф]])),
IF((G434="3/24"),((база!$M$4*2*Таблица1[[#This Row],[Столбец1]]*Таблица1[[#This Row],[коэф]])),
IF((G434="5/16"),((база!$L$6*2*Таблица1[[#This Row],[Столбец1]]*Таблица1[[#This Row],[коэф]])),
IF((G434="4/16"),((база!$L$5*2*Таблица1[[#This Row],[Столбец1]]*Таблица1[[#This Row],[коэф]])),
IF((G434="3/16"),((база!$L$4*2*Таблица1[[#This Row],[Столбец1]]*Таблица1[[#This Row],[коэф]])),
IF((G434="4/4"),((база!$I$5*2*Таблица1[[#This Row],[Столбец1]]*Таблица1[[#This Row],[коэф]])),
IF(OR(G434="2/4",G434="3/4"),((база!$I$4*2*Таблица1[[#This Row],[Столбец1]]*Таблица1[[#This Row],[коэф]])),
IF((G434="5/8"),((база!$J$6*2*Таблица1[[#This Row],[Столбец1]]*Таблица1[[#This Row],[коэф]])),
IF((G434="4/8"),((база!$J$5*2*Таблица1[[#This Row],[Столбец1]]*Таблица1[[#This Row],[коэф]])),
IF(OR(G434="3/8",G434="2/8"),((база!$J$4*2*Таблица1[[#This Row],[Столбец1]]*Таблица1[[#This Row],[коэф]])))))))))))))),
(IF((G434="5/24"),((база!$M$6*2*Таблица1[[#This Row],[Столбец1]]*Таблица1[[#This Row],[коэф]])),
IF(OR(G434="4/24",G434="3/24"),((база!$M$5*2*Таблица1[[#This Row],[Столбец1]]*Таблица1[[#This Row],[коэф]])),
IF((G434="5/16"),((база!$L$6*2*Таблица1[[#This Row],[Столбец1]]*Таблица1[[#This Row],[коэф]])),
IF(OR(G434="4/16",G434="3/16"),((база!$L$5*2*Таблица1[[#This Row],[Столбец1]]*Таблица1[[#This Row],[коэф]])),
IF(OR(G434="2/4",G434="3/4",G434="4/4"),((база!$I$5*2*Таблица1[[#This Row],[Столбец1]]*Таблица1[[#This Row],[коэф]])),
IF((G434="5/8"),((база!$J$6*2*Таблица1[[#This Row],[Столбец1]]*Таблица1[[#This Row],[коэф]])),
IF(OR(G434="4/8",G434="3/8",G434="2/8"),((база!$J$5*2*Таблица1[[#This Row],[Столбец1]]*Таблица1[[#This Row],[коэф]])))))))))))</f>
        <v>0</v>
      </c>
      <c r="AQ434" s="712" t="str">
        <f>IFERROR(INDEX(база!T:T, MATCH(F434,база!Q:Q,0)),"")</f>
        <v/>
      </c>
      <c r="AR434" s="208" t="str">
        <f>IFERROR(INDEX(база!D:D, MATCH(F434,база!B:B,0)),"")</f>
        <v/>
      </c>
      <c r="AS434" s="758" t="str">
        <f>IFERROR(INDEX(база!E:E, MATCH(F434,база!B:B,0)),"")</f>
        <v/>
      </c>
    </row>
    <row r="435" spans="1:45" ht="15">
      <c r="A435" s="66" t="str">
        <f t="shared" si="8"/>
        <v>январь</v>
      </c>
      <c r="B435" s="231">
        <v>2024</v>
      </c>
      <c r="C435" s="299"/>
      <c r="D435" s="61"/>
      <c r="E435" s="211"/>
      <c r="F435" s="680"/>
      <c r="G435" s="47"/>
      <c r="H435" s="563"/>
      <c r="I435" s="563"/>
      <c r="J435" s="563"/>
      <c r="K435" s="563"/>
      <c r="L435" s="563"/>
      <c r="M435" s="563"/>
      <c r="N435" s="563"/>
      <c r="O435" s="563"/>
      <c r="P435" s="300"/>
      <c r="Q435" s="563"/>
      <c r="R435" s="563"/>
      <c r="S435" s="563"/>
      <c r="T435" s="563"/>
      <c r="U435" s="563"/>
      <c r="V435" s="563"/>
      <c r="W435" s="563"/>
      <c r="X435" s="563"/>
      <c r="Y435" s="563"/>
      <c r="Z435" s="563"/>
      <c r="AA435" s="563"/>
      <c r="AB435" s="563"/>
      <c r="AC435" s="563"/>
      <c r="AD435" s="48"/>
      <c r="AE435" s="48"/>
      <c r="AF435" s="258"/>
      <c r="AG435" s="258"/>
      <c r="AH435" s="258"/>
      <c r="AI435" s="258"/>
      <c r="AJ435" s="258"/>
      <c r="AK435" s="258"/>
      <c r="AL435" s="258"/>
      <c r="AM435" s="212">
        <f>IF(AQ435=1,SUM(Q435:T435,W435:Z435,AC435:AF435,AI435:AL435),
IF(AQ435=2,SUM(P435,S435:V435,Y435:AB435,AE435:AH435,AK435:AL435),
IF(AQ435=3,SUM(P435:R435,U435:X435,AA435:AD435,AG435:AJ435),SUM(Таблица1[[#This Row],[1]:[31]])-Таблица1[[#This Row],[Столбец1]])))</f>
        <v>0</v>
      </c>
      <c r="AN435" s="778">
        <f t="array" ref="AN435">IF(AQ435=1,SUM(P435,U435:V435,AA435:AB435,AG435:AH435),
IF(AQ435=2,SUM(Q435:R435,W435:X435,AC435:AD435,AI435:AJ435),
IF(AQ435=3,SUM(S435:T435,Y435:Z435,AE435:AF435,AK435:AL435),
SUM(IFERROR(WEEKDAY($H$2:$AL$2,2)&gt;5,)*H435:AL435))))+Таблица1[[#This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35" s="292" t="b">
        <f>IF(AR435&lt;=3,(IF((G435="5/24"),((база!$M$6*Таблица1[[#This Row],[сумма]]*Таблица1[[#This Row],[коэф]])),
IF((G435="4/24"),((база!$M$5*Таблица1[[#This Row],[сумма]]*Таблица1[[#This Row],[коэф]])),
IF((G435="3/24"),((база!$M$4*Таблица1[[#This Row],[сумма]]*Таблица1[[#This Row],[коэф]])),
IF((G435="5/16"),((база!$L$6*Таблица1[[#This Row],[сумма]]*Таблица1[[#This Row],[коэф]])),
IF((G435="4/16"),((база!$L$5*Таблица1[[#This Row],[сумма]]*Таблица1[[#This Row],[коэф]])),
IF((G435="3/16"),((база!$L$4*Таблица1[[#This Row],[сумма]]*Таблица1[[#This Row],[коэф]])),
IF((G435="4/4"),((база!$I$5*Таблица1[[#This Row],[сумма]]*Таблица1[[#This Row],[коэф]])),
IF(OR(G435="2/4",G435="3/4"),((база!$I$4*Таблица1[[#This Row],[сумма]]*Таблица1[[#This Row],[коэф]])),
IF((G435="5/8"),((база!$J$6*Таблица1[[#This Row],[сумма]]*Таблица1[[#This Row],[коэф]])),
IF((G435="4/8"),((база!$J$5*Таблица1[[#This Row],[сумма]]*Таблица1[[#This Row],[коэф]])),
IF(OR(G435="3/8",G435="2/8"),((база!$J$4*Таблица1[[#This Row],[сумма]]*Таблица1[[#This Row],[коэф]])))))))))))))),
(IF((G435="5/24"),((база!$M$6*Таблица1[[#This Row],[сумма]]*Таблица1[[#This Row],[коэф]])),
IF(OR(G435="4/24",G435="3/24"),((база!$M$5*Таблица1[[#This Row],[сумма]]*Таблица1[[#This Row],[коэф]])),
IF((G435="5/16"),((база!$L$6*Таблица1[[#This Row],[сумма]]*Таблица1[[#This Row],[коэф]])),
IF(OR(G435="4/16",G435="3/16"),((база!$L$5*Таблица1[[#This Row],[сумма]]*Таблица1[[#This Row],[коэф]])),
IF(OR(G435="2/4",G435="3/4",G435="4/4"),((база!$I$5*Таблица1[[#This Row],[сумма]]*Таблица1[[#This Row],[коэф]])),
IF((G435="5/8"),((база!$J$6*Таблица1[[#This Row],[сумма]]*Таблица1[[#This Row],[коэф]])),
IF(OR(G435="4/8",G435="3/8",G435="2/8"),((база!$J$5*Таблица1[[#This Row],[сумма]]*Таблица1[[#This Row],[коэф]])))))))))))</f>
        <v>0</v>
      </c>
      <c r="AP435" s="730" t="b">
        <f>IF(AR435&lt;=3,(IF((G435="5/24"),((база!$M$6*2*Таблица1[[#This Row],[Столбец1]]*Таблица1[[#This Row],[коэф]])),
IF((G435="4/24"),((база!$M$5*2*Таблица1[[#This Row],[Столбец1]]*Таблица1[[#This Row],[коэф]])),
IF((G435="3/24"),((база!$M$4*2*Таблица1[[#This Row],[Столбец1]]*Таблица1[[#This Row],[коэф]])),
IF((G435="5/16"),((база!$L$6*2*Таблица1[[#This Row],[Столбец1]]*Таблица1[[#This Row],[коэф]])),
IF((G435="4/16"),((база!$L$5*2*Таблица1[[#This Row],[Столбец1]]*Таблица1[[#This Row],[коэф]])),
IF((G435="3/16"),((база!$L$4*2*Таблица1[[#This Row],[Столбец1]]*Таблица1[[#This Row],[коэф]])),
IF((G435="4/4"),((база!$I$5*2*Таблица1[[#This Row],[Столбец1]]*Таблица1[[#This Row],[коэф]])),
IF(OR(G435="2/4",G435="3/4"),((база!$I$4*2*Таблица1[[#This Row],[Столбец1]]*Таблица1[[#This Row],[коэф]])),
IF((G435="5/8"),((база!$J$6*2*Таблица1[[#This Row],[Столбец1]]*Таблица1[[#This Row],[коэф]])),
IF((G435="4/8"),((база!$J$5*2*Таблица1[[#This Row],[Столбец1]]*Таблица1[[#This Row],[коэф]])),
IF(OR(G435="3/8",G435="2/8"),((база!$J$4*2*Таблица1[[#This Row],[Столбец1]]*Таблица1[[#This Row],[коэф]])))))))))))))),
(IF((G435="5/24"),((база!$M$6*2*Таблица1[[#This Row],[Столбец1]]*Таблица1[[#This Row],[коэф]])),
IF(OR(G435="4/24",G435="3/24"),((база!$M$5*2*Таблица1[[#This Row],[Столбец1]]*Таблица1[[#This Row],[коэф]])),
IF((G435="5/16"),((база!$L$6*2*Таблица1[[#This Row],[Столбец1]]*Таблица1[[#This Row],[коэф]])),
IF(OR(G435="4/16",G435="3/16"),((база!$L$5*2*Таблица1[[#This Row],[Столбец1]]*Таблица1[[#This Row],[коэф]])),
IF(OR(G435="2/4",G435="3/4",G435="4/4"),((база!$I$5*2*Таблица1[[#This Row],[Столбец1]]*Таблица1[[#This Row],[коэф]])),
IF((G435="5/8"),((база!$J$6*2*Таблица1[[#This Row],[Столбец1]]*Таблица1[[#This Row],[коэф]])),
IF(OR(G435="4/8",G435="3/8",G435="2/8"),((база!$J$5*2*Таблица1[[#This Row],[Столбец1]]*Таблица1[[#This Row],[коэф]])))))))))))</f>
        <v>0</v>
      </c>
      <c r="AQ435" s="712" t="str">
        <f>IFERROR(INDEX(база!T:T, MATCH(F435,база!Q:Q,0)),"")</f>
        <v/>
      </c>
      <c r="AR435" s="208" t="str">
        <f>IFERROR(INDEX(база!D:D, MATCH(F435,база!B:B,0)),"")</f>
        <v/>
      </c>
      <c r="AS435" s="758" t="str">
        <f>IFERROR(INDEX(база!E:E, MATCH(F435,база!B:B,0)),"")</f>
        <v/>
      </c>
    </row>
    <row r="436" spans="1:45" s="46" customFormat="1" ht="15">
      <c r="A436" s="66" t="str">
        <f t="shared" si="8"/>
        <v>январь</v>
      </c>
      <c r="B436" s="231">
        <v>2024</v>
      </c>
      <c r="C436" s="660"/>
      <c r="D436" s="61"/>
      <c r="E436" s="211"/>
      <c r="F436" s="680"/>
      <c r="G436" s="47"/>
      <c r="H436" s="563"/>
      <c r="I436" s="563"/>
      <c r="J436" s="563"/>
      <c r="K436" s="563"/>
      <c r="L436" s="563"/>
      <c r="M436" s="563"/>
      <c r="N436" s="563"/>
      <c r="O436" s="563"/>
      <c r="P436" s="300"/>
      <c r="Q436" s="563"/>
      <c r="R436" s="563"/>
      <c r="S436" s="563"/>
      <c r="T436" s="563"/>
      <c r="U436" s="563"/>
      <c r="V436" s="563"/>
      <c r="W436" s="563"/>
      <c r="X436" s="563"/>
      <c r="Y436" s="563"/>
      <c r="Z436" s="563"/>
      <c r="AA436" s="563"/>
      <c r="AB436" s="563"/>
      <c r="AC436" s="563"/>
      <c r="AD436" s="48"/>
      <c r="AE436" s="48"/>
      <c r="AF436" s="258"/>
      <c r="AG436" s="258"/>
      <c r="AH436" s="258"/>
      <c r="AI436" s="258"/>
      <c r="AJ436" s="258"/>
      <c r="AK436" s="258"/>
      <c r="AL436" s="258"/>
      <c r="AM436" s="212">
        <f>IF(AQ436=1,SUM(Q436:T436,W436:Z436,AC436:AF436,AI436:AL436),
IF(AQ436=2,SUM(P436,S436:V436,Y436:AB436,AE436:AH436,AK436:AL436),
IF(AQ436=3,SUM(P436:R436,U436:X436,AA436:AD436,AG436:AJ436),SUM(Таблица1[[#This Row],[1]:[31]])-Таблица1[[#This Row],[Столбец1]])))</f>
        <v>0</v>
      </c>
      <c r="AN436" s="778">
        <f t="array" ref="AN436">IF(AQ436=1,SUM(P436,U436:V436,AA436:AB436,AG436:AH436),
IF(AQ436=2,SUM(Q436:R436,W436:X436,AC436:AD436,AI436:AJ436),
IF(AQ436=3,SUM(S436:T436,Y436:Z436,AE436:AF436,AK436:AL436),
SUM(IFERROR(WEEKDAY($H$2:$AL$2,2)&gt;5,)*H436:AL436))))+Таблица1[[#This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36" s="292" t="b">
        <f>IF(AR436&lt;=3,(IF((G436="5/24"),((база!$M$6*Таблица1[[#This Row],[сумма]]*Таблица1[[#This Row],[коэф]])),
IF((G436="4/24"),((база!$M$5*Таблица1[[#This Row],[сумма]]*Таблица1[[#This Row],[коэф]])),
IF((G436="3/24"),((база!$M$4*Таблица1[[#This Row],[сумма]]*Таблица1[[#This Row],[коэф]])),
IF((G436="5/16"),((база!$L$6*Таблица1[[#This Row],[сумма]]*Таблица1[[#This Row],[коэф]])),
IF((G436="4/16"),((база!$L$5*Таблица1[[#This Row],[сумма]]*Таблица1[[#This Row],[коэф]])),
IF((G436="3/16"),((база!$L$4*Таблица1[[#This Row],[сумма]]*Таблица1[[#This Row],[коэф]])),
IF((G436="4/4"),((база!$I$5*Таблица1[[#This Row],[сумма]]*Таблица1[[#This Row],[коэф]])),
IF(OR(G436="2/4",G436="3/4"),((база!$I$4*Таблица1[[#This Row],[сумма]]*Таблица1[[#This Row],[коэф]])),
IF((G436="5/8"),((база!$J$6*Таблица1[[#This Row],[сумма]]*Таблица1[[#This Row],[коэф]])),
IF((G436="4/8"),((база!$J$5*Таблица1[[#This Row],[сумма]]*Таблица1[[#This Row],[коэф]])),
IF(OR(G436="3/8",G436="2/8"),((база!$J$4*Таблица1[[#This Row],[сумма]]*Таблица1[[#This Row],[коэф]])))))))))))))),
(IF((G436="5/24"),((база!$M$6*Таблица1[[#This Row],[сумма]]*Таблица1[[#This Row],[коэф]])),
IF(OR(G436="4/24",G436="3/24"),((база!$M$5*Таблица1[[#This Row],[сумма]]*Таблица1[[#This Row],[коэф]])),
IF((G436="5/16"),((база!$L$6*Таблица1[[#This Row],[сумма]]*Таблица1[[#This Row],[коэф]])),
IF(OR(G436="4/16",G436="3/16"),((база!$L$5*Таблица1[[#This Row],[сумма]]*Таблица1[[#This Row],[коэф]])),
IF(OR(G436="2/4",G436="3/4",G436="4/4"),((база!$I$5*Таблица1[[#This Row],[сумма]]*Таблица1[[#This Row],[коэф]])),
IF((G436="5/8"),((база!$J$6*Таблица1[[#This Row],[сумма]]*Таблица1[[#This Row],[коэф]])),
IF(OR(G436="4/8",G436="3/8",G436="2/8"),((база!$J$5*Таблица1[[#This Row],[сумма]]*Таблица1[[#This Row],[коэф]])))))))))))</f>
        <v>0</v>
      </c>
      <c r="AP436" s="730" t="b">
        <f>IF(AR436&lt;=3,(IF((G436="5/24"),((база!$M$6*2*Таблица1[[#This Row],[Столбец1]]*Таблица1[[#This Row],[коэф]])),
IF((G436="4/24"),((база!$M$5*2*Таблица1[[#This Row],[Столбец1]]*Таблица1[[#This Row],[коэф]])),
IF((G436="3/24"),((база!$M$4*2*Таблица1[[#This Row],[Столбец1]]*Таблица1[[#This Row],[коэф]])),
IF((G436="5/16"),((база!$L$6*2*Таблица1[[#This Row],[Столбец1]]*Таблица1[[#This Row],[коэф]])),
IF((G436="4/16"),((база!$L$5*2*Таблица1[[#This Row],[Столбец1]]*Таблица1[[#This Row],[коэф]])),
IF((G436="3/16"),((база!$L$4*2*Таблица1[[#This Row],[Столбец1]]*Таблица1[[#This Row],[коэф]])),
IF((G436="4/4"),((база!$I$5*2*Таблица1[[#This Row],[Столбец1]]*Таблица1[[#This Row],[коэф]])),
IF(OR(G436="2/4",G436="3/4"),((база!$I$4*2*Таблица1[[#This Row],[Столбец1]]*Таблица1[[#This Row],[коэф]])),
IF((G436="5/8"),((база!$J$6*2*Таблица1[[#This Row],[Столбец1]]*Таблица1[[#This Row],[коэф]])),
IF((G436="4/8"),((база!$J$5*2*Таблица1[[#This Row],[Столбец1]]*Таблица1[[#This Row],[коэф]])),
IF(OR(G436="3/8",G436="2/8"),((база!$J$4*2*Таблица1[[#This Row],[Столбец1]]*Таблица1[[#This Row],[коэф]])))))))))))))),
(IF((G436="5/24"),((база!$M$6*2*Таблица1[[#This Row],[Столбец1]]*Таблица1[[#This Row],[коэф]])),
IF(OR(G436="4/24",G436="3/24"),((база!$M$5*2*Таблица1[[#This Row],[Столбец1]]*Таблица1[[#This Row],[коэф]])),
IF((G436="5/16"),((база!$L$6*2*Таблица1[[#This Row],[Столбец1]]*Таблица1[[#This Row],[коэф]])),
IF(OR(G436="4/16",G436="3/16"),((база!$L$5*2*Таблица1[[#This Row],[Столбец1]]*Таблица1[[#This Row],[коэф]])),
IF(OR(G436="2/4",G436="3/4",G436="4/4"),((база!$I$5*2*Таблица1[[#This Row],[Столбец1]]*Таблица1[[#This Row],[коэф]])),
IF((G436="5/8"),((база!$J$6*2*Таблица1[[#This Row],[Столбец1]]*Таблица1[[#This Row],[коэф]])),
IF(OR(G436="4/8",G436="3/8",G436="2/8"),((база!$J$5*2*Таблица1[[#This Row],[Столбец1]]*Таблица1[[#This Row],[коэф]])))))))))))</f>
        <v>0</v>
      </c>
      <c r="AQ436" s="712" t="str">
        <f>IFERROR(INDEX(база!T:T, MATCH(F436,база!Q:Q,0)),"")</f>
        <v/>
      </c>
      <c r="AR436" s="208" t="str">
        <f>IFERROR(INDEX(база!D:D, MATCH(F436,база!B:B,0)),"")</f>
        <v/>
      </c>
      <c r="AS436" s="758" t="str">
        <f>IFERROR(INDEX(база!E:E, MATCH(F436,база!B:B,0)),"")</f>
        <v/>
      </c>
    </row>
    <row r="437" spans="1:45" ht="15">
      <c r="A437" s="66" t="str">
        <f>A435</f>
        <v>январь</v>
      </c>
      <c r="B437" s="231">
        <v>2024</v>
      </c>
      <c r="C437" s="299"/>
      <c r="D437" s="61"/>
      <c r="E437" s="211"/>
      <c r="F437" s="680"/>
      <c r="G437" s="47"/>
      <c r="H437" s="563"/>
      <c r="I437" s="563"/>
      <c r="J437" s="563"/>
      <c r="K437" s="563"/>
      <c r="L437" s="563"/>
      <c r="M437" s="563"/>
      <c r="N437" s="563"/>
      <c r="O437" s="563"/>
      <c r="P437" s="300"/>
      <c r="Q437" s="563"/>
      <c r="R437" s="563"/>
      <c r="S437" s="563"/>
      <c r="T437" s="563"/>
      <c r="U437" s="563"/>
      <c r="V437" s="563"/>
      <c r="W437" s="563"/>
      <c r="X437" s="563"/>
      <c r="Y437" s="563"/>
      <c r="Z437" s="563"/>
      <c r="AA437" s="563"/>
      <c r="AB437" s="563"/>
      <c r="AC437" s="563"/>
      <c r="AD437" s="48"/>
      <c r="AE437" s="48"/>
      <c r="AF437" s="258"/>
      <c r="AG437" s="48"/>
      <c r="AH437" s="48"/>
      <c r="AI437" s="48"/>
      <c r="AJ437" s="48"/>
      <c r="AK437" s="48"/>
      <c r="AL437" s="51"/>
      <c r="AM437" s="212">
        <f>IF(AQ437=1,SUM(Q437:T437,W437:Z437,AC437:AF437,AI437:AL437),
IF(AQ437=2,SUM(P437,S437:V437,Y437:AB437,AE437:AH437,AK437:AL437),
IF(AQ437=3,SUM(P437:R437,U437:X437,AA437:AD437,AG437:AJ437),SUM(Таблица1[[#This Row],[1]:[31]])-Таблица1[[#This Row],[Столбец1]])))</f>
        <v>0</v>
      </c>
      <c r="AN437" s="778">
        <f t="array" ref="AN437">IF(AQ437=1,SUM(P437,U437:V437,AA437:AB437,AG437:AH437),
IF(AQ437=2,SUM(Q437:R437,W437:X437,AC437:AD437,AI437:AJ437),
IF(AQ437=3,SUM(S437:T437,Y437:Z437,AE437:AF437,AK437:AL437),
SUM(IFERROR(WEEKDAY($H$2:$AL$2,2)&gt;5,)*H437:AL437))))+Таблица1[[#This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37" s="292" t="b">
        <f>IF(AR437&lt;=3,(IF((G437="5/24"),((база!$M$6*Таблица1[[#This Row],[сумма]]*Таблица1[[#This Row],[коэф]])),
IF((G437="4/24"),((база!$M$5*Таблица1[[#This Row],[сумма]]*Таблица1[[#This Row],[коэф]])),
IF((G437="3/24"),((база!$M$4*Таблица1[[#This Row],[сумма]]*Таблица1[[#This Row],[коэф]])),
IF((G437="5/16"),((база!$L$6*Таблица1[[#This Row],[сумма]]*Таблица1[[#This Row],[коэф]])),
IF((G437="4/16"),((база!$L$5*Таблица1[[#This Row],[сумма]]*Таблица1[[#This Row],[коэф]])),
IF((G437="3/16"),((база!$L$4*Таблица1[[#This Row],[сумма]]*Таблица1[[#This Row],[коэф]])),
IF((G437="4/4"),((база!$I$5*Таблица1[[#This Row],[сумма]]*Таблица1[[#This Row],[коэф]])),
IF(OR(G437="2/4",G437="3/4"),((база!$I$4*Таблица1[[#This Row],[сумма]]*Таблица1[[#This Row],[коэф]])),
IF((G437="5/8"),((база!$J$6*Таблица1[[#This Row],[сумма]]*Таблица1[[#This Row],[коэф]])),
IF((G437="4/8"),((база!$J$5*Таблица1[[#This Row],[сумма]]*Таблица1[[#This Row],[коэф]])),
IF(OR(G437="3/8",G437="2/8"),((база!$J$4*Таблица1[[#This Row],[сумма]]*Таблица1[[#This Row],[коэф]])))))))))))))),
(IF((G437="5/24"),((база!$M$6*Таблица1[[#This Row],[сумма]]*Таблица1[[#This Row],[коэф]])),
IF(OR(G437="4/24",G437="3/24"),((база!$M$5*Таблица1[[#This Row],[сумма]]*Таблица1[[#This Row],[коэф]])),
IF((G437="5/16"),((база!$L$6*Таблица1[[#This Row],[сумма]]*Таблица1[[#This Row],[коэф]])),
IF(OR(G437="4/16",G437="3/16"),((база!$L$5*Таблица1[[#This Row],[сумма]]*Таблица1[[#This Row],[коэф]])),
IF(OR(G437="2/4",G437="3/4",G437="4/4"),((база!$I$5*Таблица1[[#This Row],[сумма]]*Таблица1[[#This Row],[коэф]])),
IF((G437="5/8"),((база!$J$6*Таблица1[[#This Row],[сумма]]*Таблица1[[#This Row],[коэф]])),
IF(OR(G437="4/8",G437="3/8",G437="2/8"),((база!$J$5*Таблица1[[#This Row],[сумма]]*Таблица1[[#This Row],[коэф]])))))))))))</f>
        <v>0</v>
      </c>
      <c r="AP437" s="730" t="b">
        <f>IF(AR437&lt;=3,(IF((G437="5/24"),((база!$M$6*2*Таблица1[[#This Row],[Столбец1]]*Таблица1[[#This Row],[коэф]])),
IF((G437="4/24"),((база!$M$5*2*Таблица1[[#This Row],[Столбец1]]*Таблица1[[#This Row],[коэф]])),
IF((G437="3/24"),((база!$M$4*2*Таблица1[[#This Row],[Столбец1]]*Таблица1[[#This Row],[коэф]])),
IF((G437="5/16"),((база!$L$6*2*Таблица1[[#This Row],[Столбец1]]*Таблица1[[#This Row],[коэф]])),
IF((G437="4/16"),((база!$L$5*2*Таблица1[[#This Row],[Столбец1]]*Таблица1[[#This Row],[коэф]])),
IF((G437="3/16"),((база!$L$4*2*Таблица1[[#This Row],[Столбец1]]*Таблица1[[#This Row],[коэф]])),
IF((G437="4/4"),((база!$I$5*2*Таблица1[[#This Row],[Столбец1]]*Таблица1[[#This Row],[коэф]])),
IF(OR(G437="2/4",G437="3/4"),((база!$I$4*2*Таблица1[[#This Row],[Столбец1]]*Таблица1[[#This Row],[коэф]])),
IF((G437="5/8"),((база!$J$6*2*Таблица1[[#This Row],[Столбец1]]*Таблица1[[#This Row],[коэф]])),
IF((G437="4/8"),((база!$J$5*2*Таблица1[[#This Row],[Столбец1]]*Таблица1[[#This Row],[коэф]])),
IF(OR(G437="3/8",G437="2/8"),((база!$J$4*2*Таблица1[[#This Row],[Столбец1]]*Таблица1[[#This Row],[коэф]])))))))))))))),
(IF((G437="5/24"),((база!$M$6*2*Таблица1[[#This Row],[Столбец1]]*Таблица1[[#This Row],[коэф]])),
IF(OR(G437="4/24",G437="3/24"),((база!$M$5*2*Таблица1[[#This Row],[Столбец1]]*Таблица1[[#This Row],[коэф]])),
IF((G437="5/16"),((база!$L$6*2*Таблица1[[#This Row],[Столбец1]]*Таблица1[[#This Row],[коэф]])),
IF(OR(G437="4/16",G437="3/16"),((база!$L$5*2*Таблица1[[#This Row],[Столбец1]]*Таблица1[[#This Row],[коэф]])),
IF(OR(G437="2/4",G437="3/4",G437="4/4"),((база!$I$5*2*Таблица1[[#This Row],[Столбец1]]*Таблица1[[#This Row],[коэф]])),
IF((G437="5/8"),((база!$J$6*2*Таблица1[[#This Row],[Столбец1]]*Таблица1[[#This Row],[коэф]])),
IF(OR(G437="4/8",G437="3/8",G437="2/8"),((база!$J$5*2*Таблица1[[#This Row],[Столбец1]]*Таблица1[[#This Row],[коэф]])))))))))))</f>
        <v>0</v>
      </c>
      <c r="AQ437" s="712" t="str">
        <f>IFERROR(INDEX(база!T:T, MATCH(F437,база!Q:Q,0)),"")</f>
        <v/>
      </c>
      <c r="AR437" s="208" t="str">
        <f>IFERROR(INDEX(база!D:D, MATCH(F437,база!B:B,0)),"")</f>
        <v/>
      </c>
      <c r="AS437" s="758" t="str">
        <f>IFERROR(INDEX(база!E:E, MATCH(F437,база!B:B,0)),"")</f>
        <v/>
      </c>
    </row>
    <row r="438" spans="1:45" ht="15">
      <c r="A438" s="66" t="str">
        <f t="shared" si="8"/>
        <v>январь</v>
      </c>
      <c r="B438" s="231">
        <v>2024</v>
      </c>
      <c r="C438" s="299"/>
      <c r="D438" s="61"/>
      <c r="E438" s="211"/>
      <c r="F438" s="680"/>
      <c r="G438" s="47"/>
      <c r="H438" s="563"/>
      <c r="I438" s="563"/>
      <c r="J438" s="563"/>
      <c r="K438" s="563"/>
      <c r="L438" s="563"/>
      <c r="M438" s="563"/>
      <c r="N438" s="563"/>
      <c r="O438" s="563"/>
      <c r="P438" s="300"/>
      <c r="Q438" s="563"/>
      <c r="R438" s="563"/>
      <c r="S438" s="563"/>
      <c r="T438" s="563"/>
      <c r="U438" s="563"/>
      <c r="V438" s="563"/>
      <c r="W438" s="563"/>
      <c r="X438" s="563"/>
      <c r="Y438" s="563"/>
      <c r="Z438" s="563"/>
      <c r="AA438" s="563"/>
      <c r="AB438" s="563"/>
      <c r="AC438" s="563"/>
      <c r="AD438" s="48"/>
      <c r="AE438" s="48"/>
      <c r="AF438" s="258"/>
      <c r="AG438" s="48"/>
      <c r="AH438" s="48"/>
      <c r="AI438" s="258"/>
      <c r="AJ438" s="258"/>
      <c r="AK438" s="258"/>
      <c r="AL438" s="258"/>
      <c r="AM438" s="212">
        <f>IF(AQ438=1,SUM(Q438:T438,W438:Z438,AC438:AF438,AI438:AL438),
IF(AQ438=2,SUM(P438,S438:V438,Y438:AB438,AE438:AH438,AK438:AL438),
IF(AQ438=3,SUM(P438:R438,U438:X438,AA438:AD438,AG438:AJ438),SUM(Таблица1[[#This Row],[1]:[31]])-Таблица1[[#This Row],[Столбец1]])))</f>
        <v>0</v>
      </c>
      <c r="AN438" s="778">
        <f t="array" ref="AN438">IF(AQ438=1,SUM(P438,U438:V438,AA438:AB438,AG438:AH438),
IF(AQ438=2,SUM(Q438:R438,W438:X438,AC438:AD438,AI438:AJ438),
IF(AQ438=3,SUM(S438:T438,Y438:Z438,AE438:AF438,AK438:AL438),
SUM(IFERROR(WEEKDAY($H$2:$AL$2,2)&gt;5,)*H438:AL438))))+Таблица1[[#This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38" s="292" t="b">
        <f>IF(AR438&lt;=3,(IF((G438="5/24"),((база!$M$6*Таблица1[[#This Row],[сумма]]*Таблица1[[#This Row],[коэф]])),
IF((G438="4/24"),((база!$M$5*Таблица1[[#This Row],[сумма]]*Таблица1[[#This Row],[коэф]])),
IF((G438="3/24"),((база!$M$4*Таблица1[[#This Row],[сумма]]*Таблица1[[#This Row],[коэф]])),
IF((G438="5/16"),((база!$L$6*Таблица1[[#This Row],[сумма]]*Таблица1[[#This Row],[коэф]])),
IF((G438="4/16"),((база!$L$5*Таблица1[[#This Row],[сумма]]*Таблица1[[#This Row],[коэф]])),
IF((G438="3/16"),((база!$L$4*Таблица1[[#This Row],[сумма]]*Таблица1[[#This Row],[коэф]])),
IF((G438="4/4"),((база!$I$5*Таблица1[[#This Row],[сумма]]*Таблица1[[#This Row],[коэф]])),
IF(OR(G438="2/4",G438="3/4"),((база!$I$4*Таблица1[[#This Row],[сумма]]*Таблица1[[#This Row],[коэф]])),
IF((G438="5/8"),((база!$J$6*Таблица1[[#This Row],[сумма]]*Таблица1[[#This Row],[коэф]])),
IF((G438="4/8"),((база!$J$5*Таблица1[[#This Row],[сумма]]*Таблица1[[#This Row],[коэф]])),
IF(OR(G438="3/8",G438="2/8"),((база!$J$4*Таблица1[[#This Row],[сумма]]*Таблица1[[#This Row],[коэф]])))))))))))))),
(IF((G438="5/24"),((база!$M$6*Таблица1[[#This Row],[сумма]]*Таблица1[[#This Row],[коэф]])),
IF(OR(G438="4/24",G438="3/24"),((база!$M$5*Таблица1[[#This Row],[сумма]]*Таблица1[[#This Row],[коэф]])),
IF((G438="5/16"),((база!$L$6*Таблица1[[#This Row],[сумма]]*Таблица1[[#This Row],[коэф]])),
IF(OR(G438="4/16",G438="3/16"),((база!$L$5*Таблица1[[#This Row],[сумма]]*Таблица1[[#This Row],[коэф]])),
IF(OR(G438="2/4",G438="3/4",G438="4/4"),((база!$I$5*Таблица1[[#This Row],[сумма]]*Таблица1[[#This Row],[коэф]])),
IF((G438="5/8"),((база!$J$6*Таблица1[[#This Row],[сумма]]*Таблица1[[#This Row],[коэф]])),
IF(OR(G438="4/8",G438="3/8",G438="2/8"),((база!$J$5*Таблица1[[#This Row],[сумма]]*Таблица1[[#This Row],[коэф]])))))))))))</f>
        <v>0</v>
      </c>
      <c r="AP438" s="730" t="b">
        <f>IF(AR438&lt;=3,(IF((G438="5/24"),((база!$M$6*2*Таблица1[[#This Row],[Столбец1]]*Таблица1[[#This Row],[коэф]])),
IF((G438="4/24"),((база!$M$5*2*Таблица1[[#This Row],[Столбец1]]*Таблица1[[#This Row],[коэф]])),
IF((G438="3/24"),((база!$M$4*2*Таблица1[[#This Row],[Столбец1]]*Таблица1[[#This Row],[коэф]])),
IF((G438="5/16"),((база!$L$6*2*Таблица1[[#This Row],[Столбец1]]*Таблица1[[#This Row],[коэф]])),
IF((G438="4/16"),((база!$L$5*2*Таблица1[[#This Row],[Столбец1]]*Таблица1[[#This Row],[коэф]])),
IF((G438="3/16"),((база!$L$4*2*Таблица1[[#This Row],[Столбец1]]*Таблица1[[#This Row],[коэф]])),
IF((G438="4/4"),((база!$I$5*2*Таблица1[[#This Row],[Столбец1]]*Таблица1[[#This Row],[коэф]])),
IF(OR(G438="2/4",G438="3/4"),((база!$I$4*2*Таблица1[[#This Row],[Столбец1]]*Таблица1[[#This Row],[коэф]])),
IF((G438="5/8"),((база!$J$6*2*Таблица1[[#This Row],[Столбец1]]*Таблица1[[#This Row],[коэф]])),
IF((G438="4/8"),((база!$J$5*2*Таблица1[[#This Row],[Столбец1]]*Таблица1[[#This Row],[коэф]])),
IF(OR(G438="3/8",G438="2/8"),((база!$J$4*2*Таблица1[[#This Row],[Столбец1]]*Таблица1[[#This Row],[коэф]])))))))))))))),
(IF((G438="5/24"),((база!$M$6*2*Таблица1[[#This Row],[Столбец1]]*Таблица1[[#This Row],[коэф]])),
IF(OR(G438="4/24",G438="3/24"),((база!$M$5*2*Таблица1[[#This Row],[Столбец1]]*Таблица1[[#This Row],[коэф]])),
IF((G438="5/16"),((база!$L$6*2*Таблица1[[#This Row],[Столбец1]]*Таблица1[[#This Row],[коэф]])),
IF(OR(G438="4/16",G438="3/16"),((база!$L$5*2*Таблица1[[#This Row],[Столбец1]]*Таблица1[[#This Row],[коэф]])),
IF(OR(G438="2/4",G438="3/4",G438="4/4"),((база!$I$5*2*Таблица1[[#This Row],[Столбец1]]*Таблица1[[#This Row],[коэф]])),
IF((G438="5/8"),((база!$J$6*2*Таблица1[[#This Row],[Столбец1]]*Таблица1[[#This Row],[коэф]])),
IF(OR(G438="4/8",G438="3/8",G438="2/8"),((база!$J$5*2*Таблица1[[#This Row],[Столбец1]]*Таблица1[[#This Row],[коэф]])))))))))))</f>
        <v>0</v>
      </c>
      <c r="AQ438" s="712" t="str">
        <f>IFERROR(INDEX(база!T:T, MATCH(F438,база!Q:Q,0)),"")</f>
        <v/>
      </c>
      <c r="AR438" s="208" t="str">
        <f>IFERROR(INDEX(база!D:D, MATCH(F438,база!B:B,0)),"")</f>
        <v/>
      </c>
      <c r="AS438" s="758" t="str">
        <f>IFERROR(INDEX(база!E:E, MATCH(F438,база!B:B,0)),"")</f>
        <v/>
      </c>
    </row>
    <row r="439" spans="1:45" ht="15">
      <c r="A439" s="66" t="str">
        <f t="shared" si="8"/>
        <v>январь</v>
      </c>
      <c r="B439" s="231">
        <v>2024</v>
      </c>
      <c r="C439" s="299"/>
      <c r="D439" s="61"/>
      <c r="E439" s="211"/>
      <c r="F439" s="680"/>
      <c r="G439" s="47"/>
      <c r="H439" s="563"/>
      <c r="I439" s="563"/>
      <c r="J439" s="563"/>
      <c r="K439" s="563"/>
      <c r="L439" s="563"/>
      <c r="M439" s="563"/>
      <c r="N439" s="563"/>
      <c r="O439" s="563"/>
      <c r="P439" s="300"/>
      <c r="Q439" s="563"/>
      <c r="R439" s="563"/>
      <c r="S439" s="563"/>
      <c r="T439" s="563"/>
      <c r="U439" s="563"/>
      <c r="V439" s="563"/>
      <c r="W439" s="563"/>
      <c r="X439" s="563"/>
      <c r="Y439" s="563"/>
      <c r="Z439" s="563"/>
      <c r="AA439" s="563"/>
      <c r="AB439" s="563"/>
      <c r="AC439" s="563"/>
      <c r="AD439" s="48"/>
      <c r="AE439" s="48"/>
      <c r="AF439" s="258"/>
      <c r="AG439" s="48"/>
      <c r="AH439" s="48"/>
      <c r="AI439" s="48"/>
      <c r="AJ439" s="48"/>
      <c r="AK439" s="48"/>
      <c r="AL439" s="51"/>
      <c r="AM439" s="212">
        <f>IF(AQ439=1,SUM(Q439:T439,W439:Z439,AC439:AF439,AI439:AL439),
IF(AQ439=2,SUM(P439,S439:V439,Y439:AB439,AE439:AH439,AK439:AL439),
IF(AQ439=3,SUM(P439:R439,U439:X439,AA439:AD439,AG439:AJ439),SUM(Таблица1[[#This Row],[1]:[31]])-Таблица1[[#This Row],[Столбец1]])))</f>
        <v>0</v>
      </c>
      <c r="AN439" s="778">
        <f t="array" ref="AN439">IF(AQ439=1,SUM(P439,U439:V439,AA439:AB439,AG439:AH439),
IF(AQ439=2,SUM(Q439:R439,W439:X439,AC439:AD439,AI439:AJ439),
IF(AQ439=3,SUM(S439:T439,Y439:Z439,AE439:AF439,AK439:AL439),
SUM(IFERROR(WEEKDAY($H$2:$AL$2,2)&gt;5,)*H439:AL439))))+Таблица1[[#This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39" s="292" t="b">
        <f>IF(AR439&lt;=3,(IF((G439="5/24"),((база!$M$6*Таблица1[[#This Row],[сумма]]*Таблица1[[#This Row],[коэф]])),
IF((G439="4/24"),((база!$M$5*Таблица1[[#This Row],[сумма]]*Таблица1[[#This Row],[коэф]])),
IF((G439="3/24"),((база!$M$4*Таблица1[[#This Row],[сумма]]*Таблица1[[#This Row],[коэф]])),
IF((G439="5/16"),((база!$L$6*Таблица1[[#This Row],[сумма]]*Таблица1[[#This Row],[коэф]])),
IF((G439="4/16"),((база!$L$5*Таблица1[[#This Row],[сумма]]*Таблица1[[#This Row],[коэф]])),
IF((G439="3/16"),((база!$L$4*Таблица1[[#This Row],[сумма]]*Таблица1[[#This Row],[коэф]])),
IF((G439="4/4"),((база!$I$5*Таблица1[[#This Row],[сумма]]*Таблица1[[#This Row],[коэф]])),
IF(OR(G439="2/4",G439="3/4"),((база!$I$4*Таблица1[[#This Row],[сумма]]*Таблица1[[#This Row],[коэф]])),
IF((G439="5/8"),((база!$J$6*Таблица1[[#This Row],[сумма]]*Таблица1[[#This Row],[коэф]])),
IF((G439="4/8"),((база!$J$5*Таблица1[[#This Row],[сумма]]*Таблица1[[#This Row],[коэф]])),
IF(OR(G439="3/8",G439="2/8"),((база!$J$4*Таблица1[[#This Row],[сумма]]*Таблица1[[#This Row],[коэф]])))))))))))))),
(IF((G439="5/24"),((база!$M$6*Таблица1[[#This Row],[сумма]]*Таблица1[[#This Row],[коэф]])),
IF(OR(G439="4/24",G439="3/24"),((база!$M$5*Таблица1[[#This Row],[сумма]]*Таблица1[[#This Row],[коэф]])),
IF((G439="5/16"),((база!$L$6*Таблица1[[#This Row],[сумма]]*Таблица1[[#This Row],[коэф]])),
IF(OR(G439="4/16",G439="3/16"),((база!$L$5*Таблица1[[#This Row],[сумма]]*Таблица1[[#This Row],[коэф]])),
IF(OR(G439="2/4",G439="3/4",G439="4/4"),((база!$I$5*Таблица1[[#This Row],[сумма]]*Таблица1[[#This Row],[коэф]])),
IF((G439="5/8"),((база!$J$6*Таблица1[[#This Row],[сумма]]*Таблица1[[#This Row],[коэф]])),
IF(OR(G439="4/8",G439="3/8",G439="2/8"),((база!$J$5*Таблица1[[#This Row],[сумма]]*Таблица1[[#This Row],[коэф]])))))))))))</f>
        <v>0</v>
      </c>
      <c r="AP439" s="730" t="b">
        <f>IF(AR439&lt;=3,(IF((G439="5/24"),((база!$M$6*2*Таблица1[[#This Row],[Столбец1]]*Таблица1[[#This Row],[коэф]])),
IF((G439="4/24"),((база!$M$5*2*Таблица1[[#This Row],[Столбец1]]*Таблица1[[#This Row],[коэф]])),
IF((G439="3/24"),((база!$M$4*2*Таблица1[[#This Row],[Столбец1]]*Таблица1[[#This Row],[коэф]])),
IF((G439="5/16"),((база!$L$6*2*Таблица1[[#This Row],[Столбец1]]*Таблица1[[#This Row],[коэф]])),
IF((G439="4/16"),((база!$L$5*2*Таблица1[[#This Row],[Столбец1]]*Таблица1[[#This Row],[коэф]])),
IF((G439="3/16"),((база!$L$4*2*Таблица1[[#This Row],[Столбец1]]*Таблица1[[#This Row],[коэф]])),
IF((G439="4/4"),((база!$I$5*2*Таблица1[[#This Row],[Столбец1]]*Таблица1[[#This Row],[коэф]])),
IF(OR(G439="2/4",G439="3/4"),((база!$I$4*2*Таблица1[[#This Row],[Столбец1]]*Таблица1[[#This Row],[коэф]])),
IF((G439="5/8"),((база!$J$6*2*Таблица1[[#This Row],[Столбец1]]*Таблица1[[#This Row],[коэф]])),
IF((G439="4/8"),((база!$J$5*2*Таблица1[[#This Row],[Столбец1]]*Таблица1[[#This Row],[коэф]])),
IF(OR(G439="3/8",G439="2/8"),((база!$J$4*2*Таблица1[[#This Row],[Столбец1]]*Таблица1[[#This Row],[коэф]])))))))))))))),
(IF((G439="5/24"),((база!$M$6*2*Таблица1[[#This Row],[Столбец1]]*Таблица1[[#This Row],[коэф]])),
IF(OR(G439="4/24",G439="3/24"),((база!$M$5*2*Таблица1[[#This Row],[Столбец1]]*Таблица1[[#This Row],[коэф]])),
IF((G439="5/16"),((база!$L$6*2*Таблица1[[#This Row],[Столбец1]]*Таблица1[[#This Row],[коэф]])),
IF(OR(G439="4/16",G439="3/16"),((база!$L$5*2*Таблица1[[#This Row],[Столбец1]]*Таблица1[[#This Row],[коэф]])),
IF(OR(G439="2/4",G439="3/4",G439="4/4"),((база!$I$5*2*Таблица1[[#This Row],[Столбец1]]*Таблица1[[#This Row],[коэф]])),
IF((G439="5/8"),((база!$J$6*2*Таблица1[[#This Row],[Столбец1]]*Таблица1[[#This Row],[коэф]])),
IF(OR(G439="4/8",G439="3/8",G439="2/8"),((база!$J$5*2*Таблица1[[#This Row],[Столбец1]]*Таблица1[[#This Row],[коэф]])))))))))))</f>
        <v>0</v>
      </c>
      <c r="AQ439" s="712" t="str">
        <f>IFERROR(INDEX(база!T:T, MATCH(F439,база!Q:Q,0)),"")</f>
        <v/>
      </c>
      <c r="AR439" s="208" t="str">
        <f>IFERROR(INDEX(база!D:D, MATCH(F439,база!B:B,0)),"")</f>
        <v/>
      </c>
      <c r="AS439" s="758" t="str">
        <f>IFERROR(INDEX(база!E:E, MATCH(F439,база!B:B,0)),"")</f>
        <v/>
      </c>
    </row>
    <row r="440" spans="1:45" ht="15">
      <c r="A440" s="66" t="str">
        <f t="shared" si="8"/>
        <v>январь</v>
      </c>
      <c r="B440" s="231">
        <v>2024</v>
      </c>
      <c r="C440" s="60"/>
      <c r="D440" s="61"/>
      <c r="E440" s="211"/>
      <c r="F440" s="680"/>
      <c r="G440" s="47"/>
      <c r="H440" s="563"/>
      <c r="I440" s="563"/>
      <c r="J440" s="563"/>
      <c r="K440" s="563"/>
      <c r="L440" s="563"/>
      <c r="M440" s="563"/>
      <c r="N440" s="563"/>
      <c r="O440" s="563"/>
      <c r="P440" s="300"/>
      <c r="Q440" s="563"/>
      <c r="R440" s="563"/>
      <c r="S440" s="563"/>
      <c r="T440" s="563"/>
      <c r="U440" s="563"/>
      <c r="V440" s="563"/>
      <c r="W440" s="563"/>
      <c r="X440" s="563"/>
      <c r="Y440" s="563"/>
      <c r="Z440" s="563"/>
      <c r="AA440" s="563"/>
      <c r="AB440" s="563"/>
      <c r="AC440" s="563"/>
      <c r="AD440" s="48"/>
      <c r="AE440" s="48"/>
      <c r="AF440" s="48"/>
      <c r="AG440" s="48"/>
      <c r="AH440" s="48"/>
      <c r="AI440" s="48"/>
      <c r="AJ440" s="258"/>
      <c r="AK440" s="258"/>
      <c r="AL440" s="258"/>
      <c r="AM440" s="212">
        <f>IF(AQ440=1,SUM(Q440:T440,W440:Z440,AC440:AF440,AI440:AL440),
IF(AQ440=2,SUM(P440,S440:V440,Y440:AB440,AE440:AH440,AK440:AL440),
IF(AQ440=3,SUM(P440:R440,U440:X440,AA440:AD440,AG440:AJ440),SUM(Таблица1[[#This Row],[1]:[31]])-Таблица1[[#This Row],[Столбец1]])))</f>
        <v>0</v>
      </c>
      <c r="AN440" s="778">
        <f t="array" ref="AN440">IF(AQ440=1,SUM(P440,U440:V440,AA440:AB440,AG440:AH440),
IF(AQ440=2,SUM(Q440:R440,W440:X440,AC440:AD440,AI440:AJ440),
IF(AQ440=3,SUM(S440:T440,Y440:Z440,AE440:AF440,AK440:AL440),
SUM(IFERROR(WEEKDAY($H$2:$AL$2,2)&gt;5,)*H440:AL440))))+Таблица1[[#This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40" s="292" t="b">
        <f>IF(AR440&lt;=3,(IF((G440="5/24"),((база!$M$6*Таблица1[[#This Row],[сумма]]*Таблица1[[#This Row],[коэф]])),
IF((G440="4/24"),((база!$M$5*Таблица1[[#This Row],[сумма]]*Таблица1[[#This Row],[коэф]])),
IF((G440="3/24"),((база!$M$4*Таблица1[[#This Row],[сумма]]*Таблица1[[#This Row],[коэф]])),
IF((G440="5/16"),((база!$L$6*Таблица1[[#This Row],[сумма]]*Таблица1[[#This Row],[коэф]])),
IF((G440="4/16"),((база!$L$5*Таблица1[[#This Row],[сумма]]*Таблица1[[#This Row],[коэф]])),
IF((G440="3/16"),((база!$L$4*Таблица1[[#This Row],[сумма]]*Таблица1[[#This Row],[коэф]])),
IF((G440="4/4"),((база!$I$5*Таблица1[[#This Row],[сумма]]*Таблица1[[#This Row],[коэф]])),
IF(OR(G440="2/4",G440="3/4"),((база!$I$4*Таблица1[[#This Row],[сумма]]*Таблица1[[#This Row],[коэф]])),
IF((G440="5/8"),((база!$J$6*Таблица1[[#This Row],[сумма]]*Таблица1[[#This Row],[коэф]])),
IF((G440="4/8"),((база!$J$5*Таблица1[[#This Row],[сумма]]*Таблица1[[#This Row],[коэф]])),
IF(OR(G440="3/8",G440="2/8"),((база!$J$4*Таблица1[[#This Row],[сумма]]*Таблица1[[#This Row],[коэф]])))))))))))))),
(IF((G440="5/24"),((база!$M$6*Таблица1[[#This Row],[сумма]]*Таблица1[[#This Row],[коэф]])),
IF(OR(G440="4/24",G440="3/24"),((база!$M$5*Таблица1[[#This Row],[сумма]]*Таблица1[[#This Row],[коэф]])),
IF((G440="5/16"),((база!$L$6*Таблица1[[#This Row],[сумма]]*Таблица1[[#This Row],[коэф]])),
IF(OR(G440="4/16",G440="3/16"),((база!$L$5*Таблица1[[#This Row],[сумма]]*Таблица1[[#This Row],[коэф]])),
IF(OR(G440="2/4",G440="3/4",G440="4/4"),((база!$I$5*Таблица1[[#This Row],[сумма]]*Таблица1[[#This Row],[коэф]])),
IF((G440="5/8"),((база!$J$6*Таблица1[[#This Row],[сумма]]*Таблица1[[#This Row],[коэф]])),
IF(OR(G440="4/8",G440="3/8",G440="2/8"),((база!$J$5*Таблица1[[#This Row],[сумма]]*Таблица1[[#This Row],[коэф]])))))))))))</f>
        <v>0</v>
      </c>
      <c r="AP440" s="730" t="b">
        <f>IF(AR440&lt;=3,(IF((G440="5/24"),((база!$M$6*2*Таблица1[[#This Row],[Столбец1]]*Таблица1[[#This Row],[коэф]])),
IF((G440="4/24"),((база!$M$5*2*Таблица1[[#This Row],[Столбец1]]*Таблица1[[#This Row],[коэф]])),
IF((G440="3/24"),((база!$M$4*2*Таблица1[[#This Row],[Столбец1]]*Таблица1[[#This Row],[коэф]])),
IF((G440="5/16"),((база!$L$6*2*Таблица1[[#This Row],[Столбец1]]*Таблица1[[#This Row],[коэф]])),
IF((G440="4/16"),((база!$L$5*2*Таблица1[[#This Row],[Столбец1]]*Таблица1[[#This Row],[коэф]])),
IF((G440="3/16"),((база!$L$4*2*Таблица1[[#This Row],[Столбец1]]*Таблица1[[#This Row],[коэф]])),
IF((G440="4/4"),((база!$I$5*2*Таблица1[[#This Row],[Столбец1]]*Таблица1[[#This Row],[коэф]])),
IF(OR(G440="2/4",G440="3/4"),((база!$I$4*2*Таблица1[[#This Row],[Столбец1]]*Таблица1[[#This Row],[коэф]])),
IF((G440="5/8"),((база!$J$6*2*Таблица1[[#This Row],[Столбец1]]*Таблица1[[#This Row],[коэф]])),
IF((G440="4/8"),((база!$J$5*2*Таблица1[[#This Row],[Столбец1]]*Таблица1[[#This Row],[коэф]])),
IF(OR(G440="3/8",G440="2/8"),((база!$J$4*2*Таблица1[[#This Row],[Столбец1]]*Таблица1[[#This Row],[коэф]])))))))))))))),
(IF((G440="5/24"),((база!$M$6*2*Таблица1[[#This Row],[Столбец1]]*Таблица1[[#This Row],[коэф]])),
IF(OR(G440="4/24",G440="3/24"),((база!$M$5*2*Таблица1[[#This Row],[Столбец1]]*Таблица1[[#This Row],[коэф]])),
IF((G440="5/16"),((база!$L$6*2*Таблица1[[#This Row],[Столбец1]]*Таблица1[[#This Row],[коэф]])),
IF(OR(G440="4/16",G440="3/16"),((база!$L$5*2*Таблица1[[#This Row],[Столбец1]]*Таблица1[[#This Row],[коэф]])),
IF(OR(G440="2/4",G440="3/4",G440="4/4"),((база!$I$5*2*Таблица1[[#This Row],[Столбец1]]*Таблица1[[#This Row],[коэф]])),
IF((G440="5/8"),((база!$J$6*2*Таблица1[[#This Row],[Столбец1]]*Таблица1[[#This Row],[коэф]])),
IF(OR(G440="4/8",G440="3/8",G440="2/8"),((база!$J$5*2*Таблица1[[#This Row],[Столбец1]]*Таблица1[[#This Row],[коэф]])))))))))))</f>
        <v>0</v>
      </c>
      <c r="AQ440" s="712" t="str">
        <f>IFERROR(INDEX(база!T:T, MATCH(F440,база!Q:Q,0)),"")</f>
        <v/>
      </c>
      <c r="AR440" s="208" t="str">
        <f>IFERROR(INDEX(база!D:D, MATCH(F440,база!B:B,0)),"")</f>
        <v/>
      </c>
      <c r="AS440" s="758" t="str">
        <f>IFERROR(INDEX(база!E:E, MATCH(F440,база!B:B,0)),"")</f>
        <v/>
      </c>
    </row>
    <row r="441" spans="1:45" ht="15">
      <c r="A441" s="66" t="str">
        <f t="shared" si="8"/>
        <v>январь</v>
      </c>
      <c r="B441" s="231">
        <v>2024</v>
      </c>
      <c r="C441" s="60"/>
      <c r="D441" s="61"/>
      <c r="E441" s="211"/>
      <c r="F441" s="680"/>
      <c r="G441" s="47"/>
      <c r="H441" s="563"/>
      <c r="I441" s="563"/>
      <c r="J441" s="563"/>
      <c r="K441" s="563"/>
      <c r="L441" s="563"/>
      <c r="M441" s="563"/>
      <c r="N441" s="563"/>
      <c r="O441" s="563"/>
      <c r="P441" s="300"/>
      <c r="Q441" s="563"/>
      <c r="R441" s="563"/>
      <c r="S441" s="563"/>
      <c r="T441" s="563"/>
      <c r="U441" s="563"/>
      <c r="V441" s="563"/>
      <c r="W441" s="563"/>
      <c r="X441" s="563"/>
      <c r="Y441" s="563"/>
      <c r="Z441" s="563"/>
      <c r="AA441" s="563"/>
      <c r="AB441" s="563"/>
      <c r="AC441" s="563"/>
      <c r="AD441" s="48"/>
      <c r="AE441" s="48"/>
      <c r="AF441" s="258"/>
      <c r="AG441" s="258"/>
      <c r="AH441" s="258"/>
      <c r="AI441" s="258"/>
      <c r="AJ441" s="48"/>
      <c r="AK441" s="48"/>
      <c r="AL441" s="51"/>
      <c r="AM441" s="212">
        <f>IF(AQ441=1,SUM(Q441:T441,W441:Z441,AC441:AF441,AI441:AL441),
IF(AQ441=2,SUM(P441,S441:V441,Y441:AB441,AE441:AH441,AK441:AL441),
IF(AQ441=3,SUM(P441:R441,U441:X441,AA441:AD441,AG441:AJ441),SUM(Таблица1[[#This Row],[1]:[31]])-Таблица1[[#This Row],[Столбец1]])))</f>
        <v>0</v>
      </c>
      <c r="AN441" s="778">
        <f t="array" ref="AN441">IF(AQ441=1,SUM(P441,U441:V441,AA441:AB441,AG441:AH441),
IF(AQ441=2,SUM(Q441:R441,W441:X441,AC441:AD441,AI441:AJ441),
IF(AQ441=3,SUM(S441:T441,Y441:Z441,AE441:AF441,AK441:AL441),
SUM(IFERROR(WEEKDAY($H$2:$AL$2,2)&gt;5,)*H441:AL441))))+Таблица1[[#This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41" s="292" t="b">
        <f>IF(AR441&lt;=3,(IF((G441="5/24"),((база!$M$6*Таблица1[[#This Row],[сумма]]*Таблица1[[#This Row],[коэф]])),
IF((G441="4/24"),((база!$M$5*Таблица1[[#This Row],[сумма]]*Таблица1[[#This Row],[коэф]])),
IF((G441="3/24"),((база!$M$4*Таблица1[[#This Row],[сумма]]*Таблица1[[#This Row],[коэф]])),
IF((G441="5/16"),((база!$L$6*Таблица1[[#This Row],[сумма]]*Таблица1[[#This Row],[коэф]])),
IF((G441="4/16"),((база!$L$5*Таблица1[[#This Row],[сумма]]*Таблица1[[#This Row],[коэф]])),
IF((G441="3/16"),((база!$L$4*Таблица1[[#This Row],[сумма]]*Таблица1[[#This Row],[коэф]])),
IF((G441="4/4"),((база!$I$5*Таблица1[[#This Row],[сумма]]*Таблица1[[#This Row],[коэф]])),
IF(OR(G441="2/4",G441="3/4"),((база!$I$4*Таблица1[[#This Row],[сумма]]*Таблица1[[#This Row],[коэф]])),
IF((G441="5/8"),((база!$J$6*Таблица1[[#This Row],[сумма]]*Таблица1[[#This Row],[коэф]])),
IF((G441="4/8"),((база!$J$5*Таблица1[[#This Row],[сумма]]*Таблица1[[#This Row],[коэф]])),
IF(OR(G441="3/8",G441="2/8"),((база!$J$4*Таблица1[[#This Row],[сумма]]*Таблица1[[#This Row],[коэф]])))))))))))))),
(IF((G441="5/24"),((база!$M$6*Таблица1[[#This Row],[сумма]]*Таблица1[[#This Row],[коэф]])),
IF(OR(G441="4/24",G441="3/24"),((база!$M$5*Таблица1[[#This Row],[сумма]]*Таблица1[[#This Row],[коэф]])),
IF((G441="5/16"),((база!$L$6*Таблица1[[#This Row],[сумма]]*Таблица1[[#This Row],[коэф]])),
IF(OR(G441="4/16",G441="3/16"),((база!$L$5*Таблица1[[#This Row],[сумма]]*Таблица1[[#This Row],[коэф]])),
IF(OR(G441="2/4",G441="3/4",G441="4/4"),((база!$I$5*Таблица1[[#This Row],[сумма]]*Таблица1[[#This Row],[коэф]])),
IF((G441="5/8"),((база!$J$6*Таблица1[[#This Row],[сумма]]*Таблица1[[#This Row],[коэф]])),
IF(OR(G441="4/8",G441="3/8",G441="2/8"),((база!$J$5*Таблица1[[#This Row],[сумма]]*Таблица1[[#This Row],[коэф]])))))))))))</f>
        <v>0</v>
      </c>
      <c r="AP441" s="730" t="b">
        <f>IF(AR441&lt;=3,(IF((G441="5/24"),((база!$M$6*2*Таблица1[[#This Row],[Столбец1]]*Таблица1[[#This Row],[коэф]])),
IF((G441="4/24"),((база!$M$5*2*Таблица1[[#This Row],[Столбец1]]*Таблица1[[#This Row],[коэф]])),
IF((G441="3/24"),((база!$M$4*2*Таблица1[[#This Row],[Столбец1]]*Таблица1[[#This Row],[коэф]])),
IF((G441="5/16"),((база!$L$6*2*Таблица1[[#This Row],[Столбец1]]*Таблица1[[#This Row],[коэф]])),
IF((G441="4/16"),((база!$L$5*2*Таблица1[[#This Row],[Столбец1]]*Таблица1[[#This Row],[коэф]])),
IF((G441="3/16"),((база!$L$4*2*Таблица1[[#This Row],[Столбец1]]*Таблица1[[#This Row],[коэф]])),
IF((G441="4/4"),((база!$I$5*2*Таблица1[[#This Row],[Столбец1]]*Таблица1[[#This Row],[коэф]])),
IF(OR(G441="2/4",G441="3/4"),((база!$I$4*2*Таблица1[[#This Row],[Столбец1]]*Таблица1[[#This Row],[коэф]])),
IF((G441="5/8"),((база!$J$6*2*Таблица1[[#This Row],[Столбец1]]*Таблица1[[#This Row],[коэф]])),
IF((G441="4/8"),((база!$J$5*2*Таблица1[[#This Row],[Столбец1]]*Таблица1[[#This Row],[коэф]])),
IF(OR(G441="3/8",G441="2/8"),((база!$J$4*2*Таблица1[[#This Row],[Столбец1]]*Таблица1[[#This Row],[коэф]])))))))))))))),
(IF((G441="5/24"),((база!$M$6*2*Таблица1[[#This Row],[Столбец1]]*Таблица1[[#This Row],[коэф]])),
IF(OR(G441="4/24",G441="3/24"),((база!$M$5*2*Таблица1[[#This Row],[Столбец1]]*Таблица1[[#This Row],[коэф]])),
IF((G441="5/16"),((база!$L$6*2*Таблица1[[#This Row],[Столбец1]]*Таблица1[[#This Row],[коэф]])),
IF(OR(G441="4/16",G441="3/16"),((база!$L$5*2*Таблица1[[#This Row],[Столбец1]]*Таблица1[[#This Row],[коэф]])),
IF(OR(G441="2/4",G441="3/4",G441="4/4"),((база!$I$5*2*Таблица1[[#This Row],[Столбец1]]*Таблица1[[#This Row],[коэф]])),
IF((G441="5/8"),((база!$J$6*2*Таблица1[[#This Row],[Столбец1]]*Таблица1[[#This Row],[коэф]])),
IF(OR(G441="4/8",G441="3/8",G441="2/8"),((база!$J$5*2*Таблица1[[#This Row],[Столбец1]]*Таблица1[[#This Row],[коэф]])))))))))))</f>
        <v>0</v>
      </c>
      <c r="AQ441" s="712" t="str">
        <f>IFERROR(INDEX(база!T:T, MATCH(F441,база!Q:Q,0)),"")</f>
        <v/>
      </c>
      <c r="AR441" s="208" t="str">
        <f>IFERROR(INDEX(база!D:D, MATCH(F441,база!B:B,0)),"")</f>
        <v/>
      </c>
      <c r="AS441" s="758" t="str">
        <f>IFERROR(INDEX(база!E:E, MATCH(F441,база!B:B,0)),"")</f>
        <v/>
      </c>
    </row>
    <row r="442" spans="1:45" ht="15">
      <c r="A442" s="66" t="str">
        <f t="shared" si="8"/>
        <v>январь</v>
      </c>
      <c r="B442" s="231">
        <v>2024</v>
      </c>
      <c r="C442" s="299"/>
      <c r="D442" s="61"/>
      <c r="E442" s="211"/>
      <c r="F442" s="680"/>
      <c r="G442" s="47"/>
      <c r="H442" s="563"/>
      <c r="I442" s="563"/>
      <c r="J442" s="563"/>
      <c r="K442" s="563"/>
      <c r="L442" s="563"/>
      <c r="M442" s="563"/>
      <c r="N442" s="563"/>
      <c r="O442" s="563"/>
      <c r="P442" s="300"/>
      <c r="Q442" s="563"/>
      <c r="R442" s="563"/>
      <c r="S442" s="563"/>
      <c r="T442" s="563"/>
      <c r="U442" s="563"/>
      <c r="V442" s="563"/>
      <c r="W442" s="563"/>
      <c r="X442" s="563"/>
      <c r="Y442" s="563"/>
      <c r="Z442" s="563"/>
      <c r="AA442" s="563"/>
      <c r="AB442" s="563"/>
      <c r="AC442" s="563"/>
      <c r="AD442" s="48"/>
      <c r="AE442" s="48"/>
      <c r="AF442" s="258"/>
      <c r="AG442" s="48"/>
      <c r="AH442" s="48"/>
      <c r="AI442" s="258"/>
      <c r="AJ442" s="258"/>
      <c r="AK442" s="258"/>
      <c r="AL442" s="258"/>
      <c r="AM442" s="212">
        <f>IF(AQ442=1,SUM(Q442:T442,W442:Z442,AC442:AF442,AI442:AL442),
IF(AQ442=2,SUM(P442,S442:V442,Y442:AB442,AE442:AH442,AK442:AL442),
IF(AQ442=3,SUM(P442:R442,U442:X442,AA442:AD442,AG442:AJ442),SUM(Таблица1[[#This Row],[1]:[31]])-Таблица1[[#This Row],[Столбец1]])))</f>
        <v>0</v>
      </c>
      <c r="AN442" s="778">
        <f t="array" ref="AN442">IF(AQ442=1,SUM(P442,U442:V442,AA442:AB442,AG442:AH442),
IF(AQ442=2,SUM(Q442:R442,W442:X442,AC442:AD442,AI442:AJ442),
IF(AQ442=3,SUM(S442:T442,Y442:Z442,AE442:AF442,AK442:AL442),
SUM(IFERROR(WEEKDAY($H$2:$AL$2,2)&gt;5,)*H442:AL442))))+Таблица1[[#This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42" s="292" t="b">
        <f>IF(AR442&lt;=3,(IF((G442="5/24"),((база!$M$6*Таблица1[[#This Row],[сумма]]*Таблица1[[#This Row],[коэф]])),
IF((G442="4/24"),((база!$M$5*Таблица1[[#This Row],[сумма]]*Таблица1[[#This Row],[коэф]])),
IF((G442="3/24"),((база!$M$4*Таблица1[[#This Row],[сумма]]*Таблица1[[#This Row],[коэф]])),
IF((G442="5/16"),((база!$L$6*Таблица1[[#This Row],[сумма]]*Таблица1[[#This Row],[коэф]])),
IF((G442="4/16"),((база!$L$5*Таблица1[[#This Row],[сумма]]*Таблица1[[#This Row],[коэф]])),
IF((G442="3/16"),((база!$L$4*Таблица1[[#This Row],[сумма]]*Таблица1[[#This Row],[коэф]])),
IF((G442="4/4"),((база!$I$5*Таблица1[[#This Row],[сумма]]*Таблица1[[#This Row],[коэф]])),
IF(OR(G442="2/4",G442="3/4"),((база!$I$4*Таблица1[[#This Row],[сумма]]*Таблица1[[#This Row],[коэф]])),
IF((G442="5/8"),((база!$J$6*Таблица1[[#This Row],[сумма]]*Таблица1[[#This Row],[коэф]])),
IF((G442="4/8"),((база!$J$5*Таблица1[[#This Row],[сумма]]*Таблица1[[#This Row],[коэф]])),
IF(OR(G442="3/8",G442="2/8"),((база!$J$4*Таблица1[[#This Row],[сумма]]*Таблица1[[#This Row],[коэф]])))))))))))))),
(IF((G442="5/24"),((база!$M$6*Таблица1[[#This Row],[сумма]]*Таблица1[[#This Row],[коэф]])),
IF(OR(G442="4/24",G442="3/24"),((база!$M$5*Таблица1[[#This Row],[сумма]]*Таблица1[[#This Row],[коэф]])),
IF((G442="5/16"),((база!$L$6*Таблица1[[#This Row],[сумма]]*Таблица1[[#This Row],[коэф]])),
IF(OR(G442="4/16",G442="3/16"),((база!$L$5*Таблица1[[#This Row],[сумма]]*Таблица1[[#This Row],[коэф]])),
IF(OR(G442="2/4",G442="3/4",G442="4/4"),((база!$I$5*Таблица1[[#This Row],[сумма]]*Таблица1[[#This Row],[коэф]])),
IF((G442="5/8"),((база!$J$6*Таблица1[[#This Row],[сумма]]*Таблица1[[#This Row],[коэф]])),
IF(OR(G442="4/8",G442="3/8",G442="2/8"),((база!$J$5*Таблица1[[#This Row],[сумма]]*Таблица1[[#This Row],[коэф]])))))))))))</f>
        <v>0</v>
      </c>
      <c r="AP442" s="730" t="b">
        <f>IF(AR442&lt;=3,(IF((G442="5/24"),((база!$M$6*2*Таблица1[[#This Row],[Столбец1]]*Таблица1[[#This Row],[коэф]])),
IF((G442="4/24"),((база!$M$5*2*Таблица1[[#This Row],[Столбец1]]*Таблица1[[#This Row],[коэф]])),
IF((G442="3/24"),((база!$M$4*2*Таблица1[[#This Row],[Столбец1]]*Таблица1[[#This Row],[коэф]])),
IF((G442="5/16"),((база!$L$6*2*Таблица1[[#This Row],[Столбец1]]*Таблица1[[#This Row],[коэф]])),
IF((G442="4/16"),((база!$L$5*2*Таблица1[[#This Row],[Столбец1]]*Таблица1[[#This Row],[коэф]])),
IF((G442="3/16"),((база!$L$4*2*Таблица1[[#This Row],[Столбец1]]*Таблица1[[#This Row],[коэф]])),
IF((G442="4/4"),((база!$I$5*2*Таблица1[[#This Row],[Столбец1]]*Таблица1[[#This Row],[коэф]])),
IF(OR(G442="2/4",G442="3/4"),((база!$I$4*2*Таблица1[[#This Row],[Столбец1]]*Таблица1[[#This Row],[коэф]])),
IF((G442="5/8"),((база!$J$6*2*Таблица1[[#This Row],[Столбец1]]*Таблица1[[#This Row],[коэф]])),
IF((G442="4/8"),((база!$J$5*2*Таблица1[[#This Row],[Столбец1]]*Таблица1[[#This Row],[коэф]])),
IF(OR(G442="3/8",G442="2/8"),((база!$J$4*2*Таблица1[[#This Row],[Столбец1]]*Таблица1[[#This Row],[коэф]])))))))))))))),
(IF((G442="5/24"),((база!$M$6*2*Таблица1[[#This Row],[Столбец1]]*Таблица1[[#This Row],[коэф]])),
IF(OR(G442="4/24",G442="3/24"),((база!$M$5*2*Таблица1[[#This Row],[Столбец1]]*Таблица1[[#This Row],[коэф]])),
IF((G442="5/16"),((база!$L$6*2*Таблица1[[#This Row],[Столбец1]]*Таблица1[[#This Row],[коэф]])),
IF(OR(G442="4/16",G442="3/16"),((база!$L$5*2*Таблица1[[#This Row],[Столбец1]]*Таблица1[[#This Row],[коэф]])),
IF(OR(G442="2/4",G442="3/4",G442="4/4"),((база!$I$5*2*Таблица1[[#This Row],[Столбец1]]*Таблица1[[#This Row],[коэф]])),
IF((G442="5/8"),((база!$J$6*2*Таблица1[[#This Row],[Столбец1]]*Таблица1[[#This Row],[коэф]])),
IF(OR(G442="4/8",G442="3/8",G442="2/8"),((база!$J$5*2*Таблица1[[#This Row],[Столбец1]]*Таблица1[[#This Row],[коэф]])))))))))))</f>
        <v>0</v>
      </c>
      <c r="AQ442" s="712" t="str">
        <f>IFERROR(INDEX(база!T:T, MATCH(F442,база!Q:Q,0)),"")</f>
        <v/>
      </c>
      <c r="AR442" s="208" t="str">
        <f>IFERROR(INDEX(база!D:D, MATCH(F442,база!B:B,0)),"")</f>
        <v/>
      </c>
      <c r="AS442" s="758" t="str">
        <f>IFERROR(INDEX(база!E:E, MATCH(F442,база!B:B,0)),"")</f>
        <v/>
      </c>
    </row>
    <row r="443" spans="1:45" ht="15">
      <c r="A443" s="66" t="str">
        <f t="shared" si="8"/>
        <v>январь</v>
      </c>
      <c r="B443" s="231">
        <v>2024</v>
      </c>
      <c r="C443" s="299"/>
      <c r="D443" s="61"/>
      <c r="E443" s="211"/>
      <c r="F443" s="680"/>
      <c r="G443" s="47"/>
      <c r="H443" s="563"/>
      <c r="I443" s="563"/>
      <c r="J443" s="563"/>
      <c r="K443" s="563"/>
      <c r="L443" s="563"/>
      <c r="M443" s="563"/>
      <c r="N443" s="563"/>
      <c r="O443" s="563"/>
      <c r="P443" s="300"/>
      <c r="Q443" s="563"/>
      <c r="R443" s="563"/>
      <c r="S443" s="563"/>
      <c r="T443" s="563"/>
      <c r="U443" s="563"/>
      <c r="V443" s="563"/>
      <c r="W443" s="563"/>
      <c r="X443" s="563"/>
      <c r="Y443" s="563"/>
      <c r="Z443" s="563"/>
      <c r="AA443" s="563"/>
      <c r="AB443" s="563"/>
      <c r="AC443" s="563"/>
      <c r="AD443" s="48"/>
      <c r="AE443" s="48"/>
      <c r="AF443" s="258"/>
      <c r="AG443" s="48"/>
      <c r="AH443" s="48"/>
      <c r="AI443" s="48"/>
      <c r="AJ443" s="48"/>
      <c r="AK443" s="48"/>
      <c r="AL443" s="51"/>
      <c r="AM443" s="212">
        <f>IF(AQ443=1,SUM(Q443:T443,W443:Z443,AC443:AF443,AI443:AL443),
IF(AQ443=2,SUM(P443,S443:V443,Y443:AB443,AE443:AH443,AK443:AL443),
IF(AQ443=3,SUM(P443:R443,U443:X443,AA443:AD443,AG443:AJ443),SUM(Таблица1[[#This Row],[1]:[31]])-Таблица1[[#This Row],[Столбец1]])))</f>
        <v>0</v>
      </c>
      <c r="AN443" s="778">
        <f t="array" ref="AN443">IF(AQ443=1,SUM(P443,U443:V443,AA443:AB443,AG443:AH443),
IF(AQ443=2,SUM(Q443:R443,W443:X443,AC443:AD443,AI443:AJ443),
IF(AQ443=3,SUM(S443:T443,Y443:Z443,AE443:AF443,AK443:AL443),
SUM(IFERROR(WEEKDAY($H$2:$AL$2,2)&gt;5,)*H443:AL443))))+Таблица1[[#This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43" s="292" t="b">
        <f>IF(AR443&lt;=3,(IF((G443="5/24"),((база!$M$6*Таблица1[[#This Row],[сумма]]*Таблица1[[#This Row],[коэф]])),
IF((G443="4/24"),((база!$M$5*Таблица1[[#This Row],[сумма]]*Таблица1[[#This Row],[коэф]])),
IF((G443="3/24"),((база!$M$4*Таблица1[[#This Row],[сумма]]*Таблица1[[#This Row],[коэф]])),
IF((G443="5/16"),((база!$L$6*Таблица1[[#This Row],[сумма]]*Таблица1[[#This Row],[коэф]])),
IF((G443="4/16"),((база!$L$5*Таблица1[[#This Row],[сумма]]*Таблица1[[#This Row],[коэф]])),
IF((G443="3/16"),((база!$L$4*Таблица1[[#This Row],[сумма]]*Таблица1[[#This Row],[коэф]])),
IF((G443="4/4"),((база!$I$5*Таблица1[[#This Row],[сумма]]*Таблица1[[#This Row],[коэф]])),
IF(OR(G443="2/4",G443="3/4"),((база!$I$4*Таблица1[[#This Row],[сумма]]*Таблица1[[#This Row],[коэф]])),
IF((G443="5/8"),((база!$J$6*Таблица1[[#This Row],[сумма]]*Таблица1[[#This Row],[коэф]])),
IF((G443="4/8"),((база!$J$5*Таблица1[[#This Row],[сумма]]*Таблица1[[#This Row],[коэф]])),
IF(OR(G443="3/8",G443="2/8"),((база!$J$4*Таблица1[[#This Row],[сумма]]*Таблица1[[#This Row],[коэф]])))))))))))))),
(IF((G443="5/24"),((база!$M$6*Таблица1[[#This Row],[сумма]]*Таблица1[[#This Row],[коэф]])),
IF(OR(G443="4/24",G443="3/24"),((база!$M$5*Таблица1[[#This Row],[сумма]]*Таблица1[[#This Row],[коэф]])),
IF((G443="5/16"),((база!$L$6*Таблица1[[#This Row],[сумма]]*Таблица1[[#This Row],[коэф]])),
IF(OR(G443="4/16",G443="3/16"),((база!$L$5*Таблица1[[#This Row],[сумма]]*Таблица1[[#This Row],[коэф]])),
IF(OR(G443="2/4",G443="3/4",G443="4/4"),((база!$I$5*Таблица1[[#This Row],[сумма]]*Таблица1[[#This Row],[коэф]])),
IF((G443="5/8"),((база!$J$6*Таблица1[[#This Row],[сумма]]*Таблица1[[#This Row],[коэф]])),
IF(OR(G443="4/8",G443="3/8",G443="2/8"),((база!$J$5*Таблица1[[#This Row],[сумма]]*Таблица1[[#This Row],[коэф]])))))))))))</f>
        <v>0</v>
      </c>
      <c r="AP443" s="730" t="b">
        <f>IF(AR443&lt;=3,(IF((G443="5/24"),((база!$M$6*2*Таблица1[[#This Row],[Столбец1]]*Таблица1[[#This Row],[коэф]])),
IF((G443="4/24"),((база!$M$5*2*Таблица1[[#This Row],[Столбец1]]*Таблица1[[#This Row],[коэф]])),
IF((G443="3/24"),((база!$M$4*2*Таблица1[[#This Row],[Столбец1]]*Таблица1[[#This Row],[коэф]])),
IF((G443="5/16"),((база!$L$6*2*Таблица1[[#This Row],[Столбец1]]*Таблица1[[#This Row],[коэф]])),
IF((G443="4/16"),((база!$L$5*2*Таблица1[[#This Row],[Столбец1]]*Таблица1[[#This Row],[коэф]])),
IF((G443="3/16"),((база!$L$4*2*Таблица1[[#This Row],[Столбец1]]*Таблица1[[#This Row],[коэф]])),
IF((G443="4/4"),((база!$I$5*2*Таблица1[[#This Row],[Столбец1]]*Таблица1[[#This Row],[коэф]])),
IF(OR(G443="2/4",G443="3/4"),((база!$I$4*2*Таблица1[[#This Row],[Столбец1]]*Таблица1[[#This Row],[коэф]])),
IF((G443="5/8"),((база!$J$6*2*Таблица1[[#This Row],[Столбец1]]*Таблица1[[#This Row],[коэф]])),
IF((G443="4/8"),((база!$J$5*2*Таблица1[[#This Row],[Столбец1]]*Таблица1[[#This Row],[коэф]])),
IF(OR(G443="3/8",G443="2/8"),((база!$J$4*2*Таблица1[[#This Row],[Столбец1]]*Таблица1[[#This Row],[коэф]])))))))))))))),
(IF((G443="5/24"),((база!$M$6*2*Таблица1[[#This Row],[Столбец1]]*Таблица1[[#This Row],[коэф]])),
IF(OR(G443="4/24",G443="3/24"),((база!$M$5*2*Таблица1[[#This Row],[Столбец1]]*Таблица1[[#This Row],[коэф]])),
IF((G443="5/16"),((база!$L$6*2*Таблица1[[#This Row],[Столбец1]]*Таблица1[[#This Row],[коэф]])),
IF(OR(G443="4/16",G443="3/16"),((база!$L$5*2*Таблица1[[#This Row],[Столбец1]]*Таблица1[[#This Row],[коэф]])),
IF(OR(G443="2/4",G443="3/4",G443="4/4"),((база!$I$5*2*Таблица1[[#This Row],[Столбец1]]*Таблица1[[#This Row],[коэф]])),
IF((G443="5/8"),((база!$J$6*2*Таблица1[[#This Row],[Столбец1]]*Таблица1[[#This Row],[коэф]])),
IF(OR(G443="4/8",G443="3/8",G443="2/8"),((база!$J$5*2*Таблица1[[#This Row],[Столбец1]]*Таблица1[[#This Row],[коэф]])))))))))))</f>
        <v>0</v>
      </c>
      <c r="AQ443" s="712" t="str">
        <f>IFERROR(INDEX(база!T:T, MATCH(F443,база!Q:Q,0)),"")</f>
        <v/>
      </c>
      <c r="AR443" s="208" t="str">
        <f>IFERROR(INDEX(база!D:D, MATCH(F443,база!B:B,0)),"")</f>
        <v/>
      </c>
      <c r="AS443" s="758" t="str">
        <f>IFERROR(INDEX(база!E:E, MATCH(F443,база!B:B,0)),"")</f>
        <v/>
      </c>
    </row>
    <row r="444" spans="1:45" ht="15">
      <c r="A444" s="66" t="str">
        <f t="shared" si="8"/>
        <v>январь</v>
      </c>
      <c r="B444" s="231">
        <v>2024</v>
      </c>
      <c r="C444" s="60"/>
      <c r="D444" s="61"/>
      <c r="E444" s="211"/>
      <c r="F444" s="680"/>
      <c r="G444" s="47"/>
      <c r="H444" s="563"/>
      <c r="I444" s="563"/>
      <c r="J444" s="563"/>
      <c r="K444" s="563"/>
      <c r="L444" s="563"/>
      <c r="M444" s="563"/>
      <c r="N444" s="563"/>
      <c r="O444" s="563"/>
      <c r="P444" s="300"/>
      <c r="Q444" s="563"/>
      <c r="R444" s="563"/>
      <c r="S444" s="563"/>
      <c r="T444" s="563"/>
      <c r="U444" s="563"/>
      <c r="V444" s="563"/>
      <c r="W444" s="563"/>
      <c r="X444" s="563"/>
      <c r="Y444" s="563"/>
      <c r="Z444" s="563"/>
      <c r="AA444" s="563"/>
      <c r="AB444" s="563"/>
      <c r="AC444" s="563"/>
      <c r="AD444" s="48"/>
      <c r="AE444" s="48"/>
      <c r="AF444" s="258"/>
      <c r="AG444" s="258"/>
      <c r="AH444" s="258"/>
      <c r="AI444" s="258"/>
      <c r="AJ444" s="258"/>
      <c r="AK444" s="258"/>
      <c r="AL444" s="258"/>
      <c r="AM444" s="212">
        <f>IF(AQ444=1,SUM(Q444:T444,W444:Z444,AC444:AF444,AI444:AL444),
IF(AQ444=2,SUM(P444,S444:V444,Y444:AB444,AE444:AH444,AK444:AL444),
IF(AQ444=3,SUM(P444:R444,U444:X444,AA444:AD444,AG444:AJ444),SUM(Таблица1[[#This Row],[1]:[31]])-Таблица1[[#This Row],[Столбец1]])))</f>
        <v>0</v>
      </c>
      <c r="AN444" s="778">
        <f t="array" ref="AN444">IF(AQ444=1,SUM(P444,U444:V444,AA444:AB444,AG444:AH444),
IF(AQ444=2,SUM(Q444:R444,W444:X444,AC444:AD444,AI444:AJ444),
IF(AQ444=3,SUM(S444:T444,Y444:Z444,AE444:AF444,AK444:AL444),
SUM(IFERROR(WEEKDAY($H$2:$AL$2,2)&gt;5,)*H444:AL444))))+Таблица1[[#This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44" s="292" t="b">
        <f>IF(AR444&lt;=3,(IF((G444="5/24"),((база!$M$6*Таблица1[[#This Row],[сумма]]*Таблица1[[#This Row],[коэф]])),
IF((G444="4/24"),((база!$M$5*Таблица1[[#This Row],[сумма]]*Таблица1[[#This Row],[коэф]])),
IF((G444="3/24"),((база!$M$4*Таблица1[[#This Row],[сумма]]*Таблица1[[#This Row],[коэф]])),
IF((G444="5/16"),((база!$L$6*Таблица1[[#This Row],[сумма]]*Таблица1[[#This Row],[коэф]])),
IF((G444="4/16"),((база!$L$5*Таблица1[[#This Row],[сумма]]*Таблица1[[#This Row],[коэф]])),
IF((G444="3/16"),((база!$L$4*Таблица1[[#This Row],[сумма]]*Таблица1[[#This Row],[коэф]])),
IF((G444="4/4"),((база!$I$5*Таблица1[[#This Row],[сумма]]*Таблица1[[#This Row],[коэф]])),
IF(OR(G444="2/4",G444="3/4"),((база!$I$4*Таблица1[[#This Row],[сумма]]*Таблица1[[#This Row],[коэф]])),
IF((G444="5/8"),((база!$J$6*Таблица1[[#This Row],[сумма]]*Таблица1[[#This Row],[коэф]])),
IF((G444="4/8"),((база!$J$5*Таблица1[[#This Row],[сумма]]*Таблица1[[#This Row],[коэф]])),
IF(OR(G444="3/8",G444="2/8"),((база!$J$4*Таблица1[[#This Row],[сумма]]*Таблица1[[#This Row],[коэф]])))))))))))))),
(IF((G444="5/24"),((база!$M$6*Таблица1[[#This Row],[сумма]]*Таблица1[[#This Row],[коэф]])),
IF(OR(G444="4/24",G444="3/24"),((база!$M$5*Таблица1[[#This Row],[сумма]]*Таблица1[[#This Row],[коэф]])),
IF((G444="5/16"),((база!$L$6*Таблица1[[#This Row],[сумма]]*Таблица1[[#This Row],[коэф]])),
IF(OR(G444="4/16",G444="3/16"),((база!$L$5*Таблица1[[#This Row],[сумма]]*Таблица1[[#This Row],[коэф]])),
IF(OR(G444="2/4",G444="3/4",G444="4/4"),((база!$I$5*Таблица1[[#This Row],[сумма]]*Таблица1[[#This Row],[коэф]])),
IF((G444="5/8"),((база!$J$6*Таблица1[[#This Row],[сумма]]*Таблица1[[#This Row],[коэф]])),
IF(OR(G444="4/8",G444="3/8",G444="2/8"),((база!$J$5*Таблица1[[#This Row],[сумма]]*Таблица1[[#This Row],[коэф]])))))))))))</f>
        <v>0</v>
      </c>
      <c r="AP444" s="730" t="b">
        <f>IF(AR444&lt;=3,(IF((G444="5/24"),((база!$M$6*2*Таблица1[[#This Row],[Столбец1]]*Таблица1[[#This Row],[коэф]])),
IF((G444="4/24"),((база!$M$5*2*Таблица1[[#This Row],[Столбец1]]*Таблица1[[#This Row],[коэф]])),
IF((G444="3/24"),((база!$M$4*2*Таблица1[[#This Row],[Столбец1]]*Таблица1[[#This Row],[коэф]])),
IF((G444="5/16"),((база!$L$6*2*Таблица1[[#This Row],[Столбец1]]*Таблица1[[#This Row],[коэф]])),
IF((G444="4/16"),((база!$L$5*2*Таблица1[[#This Row],[Столбец1]]*Таблица1[[#This Row],[коэф]])),
IF((G444="3/16"),((база!$L$4*2*Таблица1[[#This Row],[Столбец1]]*Таблица1[[#This Row],[коэф]])),
IF((G444="4/4"),((база!$I$5*2*Таблица1[[#This Row],[Столбец1]]*Таблица1[[#This Row],[коэф]])),
IF(OR(G444="2/4",G444="3/4"),((база!$I$4*2*Таблица1[[#This Row],[Столбец1]]*Таблица1[[#This Row],[коэф]])),
IF((G444="5/8"),((база!$J$6*2*Таблица1[[#This Row],[Столбец1]]*Таблица1[[#This Row],[коэф]])),
IF((G444="4/8"),((база!$J$5*2*Таблица1[[#This Row],[Столбец1]]*Таблица1[[#This Row],[коэф]])),
IF(OR(G444="3/8",G444="2/8"),((база!$J$4*2*Таблица1[[#This Row],[Столбец1]]*Таблица1[[#This Row],[коэф]])))))))))))))),
(IF((G444="5/24"),((база!$M$6*2*Таблица1[[#This Row],[Столбец1]]*Таблица1[[#This Row],[коэф]])),
IF(OR(G444="4/24",G444="3/24"),((база!$M$5*2*Таблица1[[#This Row],[Столбец1]]*Таблица1[[#This Row],[коэф]])),
IF((G444="5/16"),((база!$L$6*2*Таблица1[[#This Row],[Столбец1]]*Таблица1[[#This Row],[коэф]])),
IF(OR(G444="4/16",G444="3/16"),((база!$L$5*2*Таблица1[[#This Row],[Столбец1]]*Таблица1[[#This Row],[коэф]])),
IF(OR(G444="2/4",G444="3/4",G444="4/4"),((база!$I$5*2*Таблица1[[#This Row],[Столбец1]]*Таблица1[[#This Row],[коэф]])),
IF((G444="5/8"),((база!$J$6*2*Таблица1[[#This Row],[Столбец1]]*Таблица1[[#This Row],[коэф]])),
IF(OR(G444="4/8",G444="3/8",G444="2/8"),((база!$J$5*2*Таблица1[[#This Row],[Столбец1]]*Таблица1[[#This Row],[коэф]])))))))))))</f>
        <v>0</v>
      </c>
      <c r="AQ444" s="712" t="str">
        <f>IFERROR(INDEX(база!T:T, MATCH(F444,база!Q:Q,0)),"")</f>
        <v/>
      </c>
      <c r="AR444" s="208" t="str">
        <f>IFERROR(INDEX(база!D:D, MATCH(F444,база!B:B,0)),"")</f>
        <v/>
      </c>
      <c r="AS444" s="758" t="str">
        <f>IFERROR(INDEX(база!E:E, MATCH(F444,база!B:B,0)),"")</f>
        <v/>
      </c>
    </row>
    <row r="445" spans="1:45" ht="15">
      <c r="A445" s="66" t="str">
        <f t="shared" si="8"/>
        <v>январь</v>
      </c>
      <c r="B445" s="231">
        <v>2024</v>
      </c>
      <c r="C445" s="60"/>
      <c r="D445" s="61"/>
      <c r="E445" s="211"/>
      <c r="F445" s="680"/>
      <c r="G445" s="47"/>
      <c r="H445" s="563"/>
      <c r="I445" s="563"/>
      <c r="J445" s="563"/>
      <c r="K445" s="563"/>
      <c r="L445" s="563"/>
      <c r="M445" s="563"/>
      <c r="N445" s="563"/>
      <c r="O445" s="563"/>
      <c r="P445" s="300"/>
      <c r="Q445" s="563"/>
      <c r="R445" s="563"/>
      <c r="S445" s="563"/>
      <c r="T445" s="563"/>
      <c r="U445" s="563"/>
      <c r="V445" s="563"/>
      <c r="W445" s="563"/>
      <c r="X445" s="563"/>
      <c r="Y445" s="563"/>
      <c r="Z445" s="563"/>
      <c r="AA445" s="563"/>
      <c r="AB445" s="563"/>
      <c r="AC445" s="563"/>
      <c r="AD445" s="48"/>
      <c r="AE445" s="48"/>
      <c r="AF445" s="258"/>
      <c r="AG445" s="48"/>
      <c r="AH445" s="48"/>
      <c r="AI445" s="48"/>
      <c r="AJ445" s="48"/>
      <c r="AK445" s="48"/>
      <c r="AL445" s="51"/>
      <c r="AM445" s="212">
        <f>IF(AQ445=1,SUM(Q445:T445,W445:Z445,AC445:AF445,AI445:AL445),
IF(AQ445=2,SUM(P445,S445:V445,Y445:AB445,AE445:AH445,AK445:AL445),
IF(AQ445=3,SUM(P445:R445,U445:X445,AA445:AD445,AG445:AJ445),SUM(Таблица1[[#This Row],[1]:[31]])-Таблица1[[#This Row],[Столбец1]])))</f>
        <v>0</v>
      </c>
      <c r="AN445" s="778">
        <f t="array" ref="AN445">IF(AQ445=1,SUM(P445,U445:V445,AA445:AB445,AG445:AH445),
IF(AQ445=2,SUM(Q445:R445,W445:X445,AC445:AD445,AI445:AJ445),
IF(AQ445=3,SUM(S445:T445,Y445:Z445,AE445:AF445,AK445:AL445),
SUM(IFERROR(WEEKDAY($H$2:$AL$2,2)&gt;5,)*H445:AL445))))+Таблица1[[#This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45" s="292" t="b">
        <f>IF(AR445&lt;=3,(IF((G445="5/24"),((база!$M$6*Таблица1[[#This Row],[сумма]]*Таблица1[[#This Row],[коэф]])),
IF((G445="4/24"),((база!$M$5*Таблица1[[#This Row],[сумма]]*Таблица1[[#This Row],[коэф]])),
IF((G445="3/24"),((база!$M$4*Таблица1[[#This Row],[сумма]]*Таблица1[[#This Row],[коэф]])),
IF((G445="5/16"),((база!$L$6*Таблица1[[#This Row],[сумма]]*Таблица1[[#This Row],[коэф]])),
IF((G445="4/16"),((база!$L$5*Таблица1[[#This Row],[сумма]]*Таблица1[[#This Row],[коэф]])),
IF((G445="3/16"),((база!$L$4*Таблица1[[#This Row],[сумма]]*Таблица1[[#This Row],[коэф]])),
IF((G445="4/4"),((база!$I$5*Таблица1[[#This Row],[сумма]]*Таблица1[[#This Row],[коэф]])),
IF(OR(G445="2/4",G445="3/4"),((база!$I$4*Таблица1[[#This Row],[сумма]]*Таблица1[[#This Row],[коэф]])),
IF((G445="5/8"),((база!$J$6*Таблица1[[#This Row],[сумма]]*Таблица1[[#This Row],[коэф]])),
IF((G445="4/8"),((база!$J$5*Таблица1[[#This Row],[сумма]]*Таблица1[[#This Row],[коэф]])),
IF(OR(G445="3/8",G445="2/8"),((база!$J$4*Таблица1[[#This Row],[сумма]]*Таблица1[[#This Row],[коэф]])))))))))))))),
(IF((G445="5/24"),((база!$M$6*Таблица1[[#This Row],[сумма]]*Таблица1[[#This Row],[коэф]])),
IF(OR(G445="4/24",G445="3/24"),((база!$M$5*Таблица1[[#This Row],[сумма]]*Таблица1[[#This Row],[коэф]])),
IF((G445="5/16"),((база!$L$6*Таблица1[[#This Row],[сумма]]*Таблица1[[#This Row],[коэф]])),
IF(OR(G445="4/16",G445="3/16"),((база!$L$5*Таблица1[[#This Row],[сумма]]*Таблица1[[#This Row],[коэф]])),
IF(OR(G445="2/4",G445="3/4",G445="4/4"),((база!$I$5*Таблица1[[#This Row],[сумма]]*Таблица1[[#This Row],[коэф]])),
IF((G445="5/8"),((база!$J$6*Таблица1[[#This Row],[сумма]]*Таблица1[[#This Row],[коэф]])),
IF(OR(G445="4/8",G445="3/8",G445="2/8"),((база!$J$5*Таблица1[[#This Row],[сумма]]*Таблица1[[#This Row],[коэф]])))))))))))</f>
        <v>0</v>
      </c>
      <c r="AP445" s="730" t="b">
        <f>IF(AR445&lt;=3,(IF((G445="5/24"),((база!$M$6*2*Таблица1[[#This Row],[Столбец1]]*Таблица1[[#This Row],[коэф]])),
IF((G445="4/24"),((база!$M$5*2*Таблица1[[#This Row],[Столбец1]]*Таблица1[[#This Row],[коэф]])),
IF((G445="3/24"),((база!$M$4*2*Таблица1[[#This Row],[Столбец1]]*Таблица1[[#This Row],[коэф]])),
IF((G445="5/16"),((база!$L$6*2*Таблица1[[#This Row],[Столбец1]]*Таблица1[[#This Row],[коэф]])),
IF((G445="4/16"),((база!$L$5*2*Таблица1[[#This Row],[Столбец1]]*Таблица1[[#This Row],[коэф]])),
IF((G445="3/16"),((база!$L$4*2*Таблица1[[#This Row],[Столбец1]]*Таблица1[[#This Row],[коэф]])),
IF((G445="4/4"),((база!$I$5*2*Таблица1[[#This Row],[Столбец1]]*Таблица1[[#This Row],[коэф]])),
IF(OR(G445="2/4",G445="3/4"),((база!$I$4*2*Таблица1[[#This Row],[Столбец1]]*Таблица1[[#This Row],[коэф]])),
IF((G445="5/8"),((база!$J$6*2*Таблица1[[#This Row],[Столбец1]]*Таблица1[[#This Row],[коэф]])),
IF((G445="4/8"),((база!$J$5*2*Таблица1[[#This Row],[Столбец1]]*Таблица1[[#This Row],[коэф]])),
IF(OR(G445="3/8",G445="2/8"),((база!$J$4*2*Таблица1[[#This Row],[Столбец1]]*Таблица1[[#This Row],[коэф]])))))))))))))),
(IF((G445="5/24"),((база!$M$6*2*Таблица1[[#This Row],[Столбец1]]*Таблица1[[#This Row],[коэф]])),
IF(OR(G445="4/24",G445="3/24"),((база!$M$5*2*Таблица1[[#This Row],[Столбец1]]*Таблица1[[#This Row],[коэф]])),
IF((G445="5/16"),((база!$L$6*2*Таблица1[[#This Row],[Столбец1]]*Таблица1[[#This Row],[коэф]])),
IF(OR(G445="4/16",G445="3/16"),((база!$L$5*2*Таблица1[[#This Row],[Столбец1]]*Таблица1[[#This Row],[коэф]])),
IF(OR(G445="2/4",G445="3/4",G445="4/4"),((база!$I$5*2*Таблица1[[#This Row],[Столбец1]]*Таблица1[[#This Row],[коэф]])),
IF((G445="5/8"),((база!$J$6*2*Таблица1[[#This Row],[Столбец1]]*Таблица1[[#This Row],[коэф]])),
IF(OR(G445="4/8",G445="3/8",G445="2/8"),((база!$J$5*2*Таблица1[[#This Row],[Столбец1]]*Таблица1[[#This Row],[коэф]])))))))))))</f>
        <v>0</v>
      </c>
      <c r="AQ445" s="712" t="str">
        <f>IFERROR(INDEX(база!T:T, MATCH(F445,база!Q:Q,0)),"")</f>
        <v/>
      </c>
      <c r="AR445" s="208" t="str">
        <f>IFERROR(INDEX(база!D:D, MATCH(F445,база!B:B,0)),"")</f>
        <v/>
      </c>
      <c r="AS445" s="758" t="str">
        <f>IFERROR(INDEX(база!E:E, MATCH(F445,база!B:B,0)),"")</f>
        <v/>
      </c>
    </row>
    <row r="446" spans="1:45" ht="15">
      <c r="A446" s="66" t="str">
        <f t="shared" si="8"/>
        <v>январь</v>
      </c>
      <c r="B446" s="231">
        <v>2024</v>
      </c>
      <c r="C446" s="299"/>
      <c r="D446" s="61"/>
      <c r="E446" s="211"/>
      <c r="F446" s="680"/>
      <c r="G446" s="47"/>
      <c r="H446" s="563"/>
      <c r="I446" s="563"/>
      <c r="J446" s="563"/>
      <c r="K446" s="563"/>
      <c r="L446" s="563"/>
      <c r="M446" s="563"/>
      <c r="N446" s="563"/>
      <c r="O446" s="563"/>
      <c r="P446" s="300"/>
      <c r="Q446" s="563"/>
      <c r="R446" s="563"/>
      <c r="S446" s="563"/>
      <c r="T446" s="563"/>
      <c r="U446" s="563"/>
      <c r="V446" s="563"/>
      <c r="W446" s="563"/>
      <c r="X446" s="563"/>
      <c r="Y446" s="563"/>
      <c r="Z446" s="563"/>
      <c r="AA446" s="563"/>
      <c r="AB446" s="563"/>
      <c r="AC446" s="563"/>
      <c r="AD446" s="48"/>
      <c r="AE446" s="48"/>
      <c r="AF446" s="258"/>
      <c r="AG446" s="48"/>
      <c r="AH446" s="48"/>
      <c r="AI446" s="258"/>
      <c r="AJ446" s="258"/>
      <c r="AK446" s="258"/>
      <c r="AL446" s="258"/>
      <c r="AM446" s="212">
        <f>IF(AQ446=1,SUM(Q446:T446,W446:Z446,AC446:AF446,AI446:AL446),
IF(AQ446=2,SUM(P446,S446:V446,Y446:AB446,AE446:AH446,AK446:AL446),
IF(AQ446=3,SUM(P446:R446,U446:X446,AA446:AD446,AG446:AJ446),SUM(Таблица1[[#This Row],[1]:[31]])-Таблица1[[#This Row],[Столбец1]])))</f>
        <v>0</v>
      </c>
      <c r="AN446" s="778">
        <f t="array" ref="AN446">IF(AQ446=1,SUM(P446,U446:V446,AA446:AB446,AG446:AH446),
IF(AQ446=2,SUM(Q446:R446,W446:X446,AC446:AD446,AI446:AJ446),
IF(AQ446=3,SUM(S446:T446,Y446:Z446,AE446:AF446,AK446:AL446),
SUM(IFERROR(WEEKDAY($H$2:$AL$2,2)&gt;5,)*H446:AL446))))+Таблица1[[#This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46" s="292" t="b">
        <f>IF(AR446&lt;=3,(IF((G446="5/24"),((база!$M$6*Таблица1[[#This Row],[сумма]]*Таблица1[[#This Row],[коэф]])),
IF((G446="4/24"),((база!$M$5*Таблица1[[#This Row],[сумма]]*Таблица1[[#This Row],[коэф]])),
IF((G446="3/24"),((база!$M$4*Таблица1[[#This Row],[сумма]]*Таблица1[[#This Row],[коэф]])),
IF((G446="5/16"),((база!$L$6*Таблица1[[#This Row],[сумма]]*Таблица1[[#This Row],[коэф]])),
IF((G446="4/16"),((база!$L$5*Таблица1[[#This Row],[сумма]]*Таблица1[[#This Row],[коэф]])),
IF((G446="3/16"),((база!$L$4*Таблица1[[#This Row],[сумма]]*Таблица1[[#This Row],[коэф]])),
IF((G446="4/4"),((база!$I$5*Таблица1[[#This Row],[сумма]]*Таблица1[[#This Row],[коэф]])),
IF(OR(G446="2/4",G446="3/4"),((база!$I$4*Таблица1[[#This Row],[сумма]]*Таблица1[[#This Row],[коэф]])),
IF((G446="5/8"),((база!$J$6*Таблица1[[#This Row],[сумма]]*Таблица1[[#This Row],[коэф]])),
IF((G446="4/8"),((база!$J$5*Таблица1[[#This Row],[сумма]]*Таблица1[[#This Row],[коэф]])),
IF(OR(G446="3/8",G446="2/8"),((база!$J$4*Таблица1[[#This Row],[сумма]]*Таблица1[[#This Row],[коэф]])))))))))))))),
(IF((G446="5/24"),((база!$M$6*Таблица1[[#This Row],[сумма]]*Таблица1[[#This Row],[коэф]])),
IF(OR(G446="4/24",G446="3/24"),((база!$M$5*Таблица1[[#This Row],[сумма]]*Таблица1[[#This Row],[коэф]])),
IF((G446="5/16"),((база!$L$6*Таблица1[[#This Row],[сумма]]*Таблица1[[#This Row],[коэф]])),
IF(OR(G446="4/16",G446="3/16"),((база!$L$5*Таблица1[[#This Row],[сумма]]*Таблица1[[#This Row],[коэф]])),
IF(OR(G446="2/4",G446="3/4",G446="4/4"),((база!$I$5*Таблица1[[#This Row],[сумма]]*Таблица1[[#This Row],[коэф]])),
IF((G446="5/8"),((база!$J$6*Таблица1[[#This Row],[сумма]]*Таблица1[[#This Row],[коэф]])),
IF(OR(G446="4/8",G446="3/8",G446="2/8"),((база!$J$5*Таблица1[[#This Row],[сумма]]*Таблица1[[#This Row],[коэф]])))))))))))</f>
        <v>0</v>
      </c>
      <c r="AP446" s="730" t="b">
        <f>IF(AR446&lt;=3,(IF((G446="5/24"),((база!$M$6*2*Таблица1[[#This Row],[Столбец1]]*Таблица1[[#This Row],[коэф]])),
IF((G446="4/24"),((база!$M$5*2*Таблица1[[#This Row],[Столбец1]]*Таблица1[[#This Row],[коэф]])),
IF((G446="3/24"),((база!$M$4*2*Таблица1[[#This Row],[Столбец1]]*Таблица1[[#This Row],[коэф]])),
IF((G446="5/16"),((база!$L$6*2*Таблица1[[#This Row],[Столбец1]]*Таблица1[[#This Row],[коэф]])),
IF((G446="4/16"),((база!$L$5*2*Таблица1[[#This Row],[Столбец1]]*Таблица1[[#This Row],[коэф]])),
IF((G446="3/16"),((база!$L$4*2*Таблица1[[#This Row],[Столбец1]]*Таблица1[[#This Row],[коэф]])),
IF((G446="4/4"),((база!$I$5*2*Таблица1[[#This Row],[Столбец1]]*Таблица1[[#This Row],[коэф]])),
IF(OR(G446="2/4",G446="3/4"),((база!$I$4*2*Таблица1[[#This Row],[Столбец1]]*Таблица1[[#This Row],[коэф]])),
IF((G446="5/8"),((база!$J$6*2*Таблица1[[#This Row],[Столбец1]]*Таблица1[[#This Row],[коэф]])),
IF((G446="4/8"),((база!$J$5*2*Таблица1[[#This Row],[Столбец1]]*Таблица1[[#This Row],[коэф]])),
IF(OR(G446="3/8",G446="2/8"),((база!$J$4*2*Таблица1[[#This Row],[Столбец1]]*Таблица1[[#This Row],[коэф]])))))))))))))),
(IF((G446="5/24"),((база!$M$6*2*Таблица1[[#This Row],[Столбец1]]*Таблица1[[#This Row],[коэф]])),
IF(OR(G446="4/24",G446="3/24"),((база!$M$5*2*Таблица1[[#This Row],[Столбец1]]*Таблица1[[#This Row],[коэф]])),
IF((G446="5/16"),((база!$L$6*2*Таблица1[[#This Row],[Столбец1]]*Таблица1[[#This Row],[коэф]])),
IF(OR(G446="4/16",G446="3/16"),((база!$L$5*2*Таблица1[[#This Row],[Столбец1]]*Таблица1[[#This Row],[коэф]])),
IF(OR(G446="2/4",G446="3/4",G446="4/4"),((база!$I$5*2*Таблица1[[#This Row],[Столбец1]]*Таблица1[[#This Row],[коэф]])),
IF((G446="5/8"),((база!$J$6*2*Таблица1[[#This Row],[Столбец1]]*Таблица1[[#This Row],[коэф]])),
IF(OR(G446="4/8",G446="3/8",G446="2/8"),((база!$J$5*2*Таблица1[[#This Row],[Столбец1]]*Таблица1[[#This Row],[коэф]])))))))))))</f>
        <v>0</v>
      </c>
      <c r="AQ446" s="712" t="str">
        <f>IFERROR(INDEX(база!T:T, MATCH(F446,база!Q:Q,0)),"")</f>
        <v/>
      </c>
      <c r="AR446" s="208" t="str">
        <f>IFERROR(INDEX(база!D:D, MATCH(F446,база!B:B,0)),"")</f>
        <v/>
      </c>
      <c r="AS446" s="758" t="str">
        <f>IFERROR(INDEX(база!E:E, MATCH(F446,база!B:B,0)),"")</f>
        <v/>
      </c>
    </row>
    <row r="447" spans="1:45" ht="15">
      <c r="A447" s="66" t="str">
        <f t="shared" si="8"/>
        <v>январь</v>
      </c>
      <c r="B447" s="231">
        <v>2024</v>
      </c>
      <c r="C447" s="60"/>
      <c r="D447" s="61"/>
      <c r="E447" s="211"/>
      <c r="F447" s="680"/>
      <c r="G447" s="47"/>
      <c r="H447" s="563"/>
      <c r="I447" s="563"/>
      <c r="J447" s="563"/>
      <c r="K447" s="563"/>
      <c r="L447" s="563"/>
      <c r="M447" s="563"/>
      <c r="N447" s="563"/>
      <c r="O447" s="563"/>
      <c r="P447" s="300"/>
      <c r="Q447" s="563"/>
      <c r="R447" s="563"/>
      <c r="S447" s="563"/>
      <c r="T447" s="563"/>
      <c r="U447" s="563"/>
      <c r="V447" s="563"/>
      <c r="W447" s="563"/>
      <c r="X447" s="563"/>
      <c r="Y447" s="563"/>
      <c r="Z447" s="563"/>
      <c r="AA447" s="563"/>
      <c r="AB447" s="563"/>
      <c r="AC447" s="563"/>
      <c r="AD447" s="48"/>
      <c r="AE447" s="48"/>
      <c r="AF447" s="258"/>
      <c r="AG447" s="48"/>
      <c r="AH447" s="48"/>
      <c r="AI447" s="48"/>
      <c r="AJ447" s="48"/>
      <c r="AK447" s="48"/>
      <c r="AL447" s="51"/>
      <c r="AM447" s="212">
        <f>IF(AQ447=1,SUM(Q447:T447,W447:Z447,AC447:AF447,AI447:AL447),
IF(AQ447=2,SUM(P447,S447:V447,Y447:AB447,AE447:AH447,AK447:AL447),
IF(AQ447=3,SUM(P447:R447,U447:X447,AA447:AD447,AG447:AJ447),SUM(Таблица1[[#This Row],[1]:[31]])-Таблица1[[#This Row],[Столбец1]])))</f>
        <v>0</v>
      </c>
      <c r="AN447" s="778">
        <f t="array" ref="AN447">IF(AQ447=1,SUM(P447,U447:V447,AA447:AB447,AG447:AH447),
IF(AQ447=2,SUM(Q447:R447,W447:X447,AC447:AD447,AI447:AJ447),
IF(AQ447=3,SUM(S447:T447,Y447:Z447,AE447:AF447,AK447:AL447),
SUM(IFERROR(WEEKDAY($H$2:$AL$2,2)&gt;5,)*H447:AL447))))+Таблица1[[#This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47" s="292" t="b">
        <f>IF(AR447&lt;=3,(IF((G447="5/24"),((база!$M$6*Таблица1[[#This Row],[сумма]]*Таблица1[[#This Row],[коэф]])),
IF((G447="4/24"),((база!$M$5*Таблица1[[#This Row],[сумма]]*Таблица1[[#This Row],[коэф]])),
IF((G447="3/24"),((база!$M$4*Таблица1[[#This Row],[сумма]]*Таблица1[[#This Row],[коэф]])),
IF((G447="5/16"),((база!$L$6*Таблица1[[#This Row],[сумма]]*Таблица1[[#This Row],[коэф]])),
IF((G447="4/16"),((база!$L$5*Таблица1[[#This Row],[сумма]]*Таблица1[[#This Row],[коэф]])),
IF((G447="3/16"),((база!$L$4*Таблица1[[#This Row],[сумма]]*Таблица1[[#This Row],[коэф]])),
IF((G447="4/4"),((база!$I$5*Таблица1[[#This Row],[сумма]]*Таблица1[[#This Row],[коэф]])),
IF(OR(G447="2/4",G447="3/4"),((база!$I$4*Таблица1[[#This Row],[сумма]]*Таблица1[[#This Row],[коэф]])),
IF((G447="5/8"),((база!$J$6*Таблица1[[#This Row],[сумма]]*Таблица1[[#This Row],[коэф]])),
IF((G447="4/8"),((база!$J$5*Таблица1[[#This Row],[сумма]]*Таблица1[[#This Row],[коэф]])),
IF(OR(G447="3/8",G447="2/8"),((база!$J$4*Таблица1[[#This Row],[сумма]]*Таблица1[[#This Row],[коэф]])))))))))))))),
(IF((G447="5/24"),((база!$M$6*Таблица1[[#This Row],[сумма]]*Таблица1[[#This Row],[коэф]])),
IF(OR(G447="4/24",G447="3/24"),((база!$M$5*Таблица1[[#This Row],[сумма]]*Таблица1[[#This Row],[коэф]])),
IF((G447="5/16"),((база!$L$6*Таблица1[[#This Row],[сумма]]*Таблица1[[#This Row],[коэф]])),
IF(OR(G447="4/16",G447="3/16"),((база!$L$5*Таблица1[[#This Row],[сумма]]*Таблица1[[#This Row],[коэф]])),
IF(OR(G447="2/4",G447="3/4",G447="4/4"),((база!$I$5*Таблица1[[#This Row],[сумма]]*Таблица1[[#This Row],[коэф]])),
IF((G447="5/8"),((база!$J$6*Таблица1[[#This Row],[сумма]]*Таблица1[[#This Row],[коэф]])),
IF(OR(G447="4/8",G447="3/8",G447="2/8"),((база!$J$5*Таблица1[[#This Row],[сумма]]*Таблица1[[#This Row],[коэф]])))))))))))</f>
        <v>0</v>
      </c>
      <c r="AP447" s="730" t="b">
        <f>IF(AR447&lt;=3,(IF((G447="5/24"),((база!$M$6*2*Таблица1[[#This Row],[Столбец1]]*Таблица1[[#This Row],[коэф]])),
IF((G447="4/24"),((база!$M$5*2*Таблица1[[#This Row],[Столбец1]]*Таблица1[[#This Row],[коэф]])),
IF((G447="3/24"),((база!$M$4*2*Таблица1[[#This Row],[Столбец1]]*Таблица1[[#This Row],[коэф]])),
IF((G447="5/16"),((база!$L$6*2*Таблица1[[#This Row],[Столбец1]]*Таблица1[[#This Row],[коэф]])),
IF((G447="4/16"),((база!$L$5*2*Таблица1[[#This Row],[Столбец1]]*Таблица1[[#This Row],[коэф]])),
IF((G447="3/16"),((база!$L$4*2*Таблица1[[#This Row],[Столбец1]]*Таблица1[[#This Row],[коэф]])),
IF((G447="4/4"),((база!$I$5*2*Таблица1[[#This Row],[Столбец1]]*Таблица1[[#This Row],[коэф]])),
IF(OR(G447="2/4",G447="3/4"),((база!$I$4*2*Таблица1[[#This Row],[Столбец1]]*Таблица1[[#This Row],[коэф]])),
IF((G447="5/8"),((база!$J$6*2*Таблица1[[#This Row],[Столбец1]]*Таблица1[[#This Row],[коэф]])),
IF((G447="4/8"),((база!$J$5*2*Таблица1[[#This Row],[Столбец1]]*Таблица1[[#This Row],[коэф]])),
IF(OR(G447="3/8",G447="2/8"),((база!$J$4*2*Таблица1[[#This Row],[Столбец1]]*Таблица1[[#This Row],[коэф]])))))))))))))),
(IF((G447="5/24"),((база!$M$6*2*Таблица1[[#This Row],[Столбец1]]*Таблица1[[#This Row],[коэф]])),
IF(OR(G447="4/24",G447="3/24"),((база!$M$5*2*Таблица1[[#This Row],[Столбец1]]*Таблица1[[#This Row],[коэф]])),
IF((G447="5/16"),((база!$L$6*2*Таблица1[[#This Row],[Столбец1]]*Таблица1[[#This Row],[коэф]])),
IF(OR(G447="4/16",G447="3/16"),((база!$L$5*2*Таблица1[[#This Row],[Столбец1]]*Таблица1[[#This Row],[коэф]])),
IF(OR(G447="2/4",G447="3/4",G447="4/4"),((база!$I$5*2*Таблица1[[#This Row],[Столбец1]]*Таблица1[[#This Row],[коэф]])),
IF((G447="5/8"),((база!$J$6*2*Таблица1[[#This Row],[Столбец1]]*Таблица1[[#This Row],[коэф]])),
IF(OR(G447="4/8",G447="3/8",G447="2/8"),((база!$J$5*2*Таблица1[[#This Row],[Столбец1]]*Таблица1[[#This Row],[коэф]])))))))))))</f>
        <v>0</v>
      </c>
      <c r="AQ447" s="712" t="str">
        <f>IFERROR(INDEX(база!T:T, MATCH(F447,база!Q:Q,0)),"")</f>
        <v/>
      </c>
      <c r="AR447" s="208" t="str">
        <f>IFERROR(INDEX(база!D:D, MATCH(F447,база!B:B,0)),"")</f>
        <v/>
      </c>
      <c r="AS447" s="758" t="str">
        <f>IFERROR(INDEX(база!E:E, MATCH(F447,база!B:B,0)),"")</f>
        <v/>
      </c>
    </row>
    <row r="448" spans="1:45" ht="15">
      <c r="A448" s="66" t="str">
        <f t="shared" si="8"/>
        <v>январь</v>
      </c>
      <c r="B448" s="231">
        <v>2024</v>
      </c>
      <c r="C448" s="60"/>
      <c r="D448" s="61"/>
      <c r="E448" s="211"/>
      <c r="F448" s="680"/>
      <c r="G448" s="47"/>
      <c r="H448" s="563"/>
      <c r="I448" s="563"/>
      <c r="J448" s="563"/>
      <c r="K448" s="563"/>
      <c r="L448" s="563"/>
      <c r="M448" s="563"/>
      <c r="N448" s="563"/>
      <c r="O448" s="563"/>
      <c r="P448" s="300"/>
      <c r="Q448" s="563"/>
      <c r="R448" s="563"/>
      <c r="S448" s="563"/>
      <c r="T448" s="563"/>
      <c r="U448" s="563"/>
      <c r="V448" s="563"/>
      <c r="W448" s="563"/>
      <c r="X448" s="563"/>
      <c r="Y448" s="563"/>
      <c r="Z448" s="563"/>
      <c r="AA448" s="563"/>
      <c r="AB448" s="563"/>
      <c r="AC448" s="563"/>
      <c r="AD448" s="48"/>
      <c r="AE448" s="48"/>
      <c r="AF448" s="258"/>
      <c r="AG448" s="48"/>
      <c r="AH448" s="48"/>
      <c r="AI448" s="258"/>
      <c r="AJ448" s="258"/>
      <c r="AK448" s="258"/>
      <c r="AL448" s="258"/>
      <c r="AM448" s="212">
        <f>IF(AQ448=1,SUM(Q448:T448,W448:Z448,AC448:AF448,AI448:AL448),
IF(AQ448=2,SUM(P448,S448:V448,Y448:AB448,AE448:AH448,AK448:AL448),
IF(AQ448=3,SUM(P448:R448,U448:X448,AA448:AD448,AG448:AJ448),SUM(Таблица1[[#This Row],[1]:[31]])-Таблица1[[#This Row],[Столбец1]])))</f>
        <v>0</v>
      </c>
      <c r="AN448" s="778">
        <f t="array" ref="AN448">IF(AQ448=1,SUM(P448,U448:V448,AA448:AB448,AG448:AH448),
IF(AQ448=2,SUM(Q448:R448,W448:X448,AC448:AD448,AI448:AJ448),
IF(AQ448=3,SUM(S448:T448,Y448:Z448,AE448:AF448,AK448:AL448),
SUM(IFERROR(WEEKDAY($H$2:$AL$2,2)&gt;5,)*H448:AL448))))+Таблица1[[#This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48" s="292" t="b">
        <f>IF(AR448&lt;=3,(IF((G448="5/24"),((база!$M$6*Таблица1[[#This Row],[сумма]]*Таблица1[[#This Row],[коэф]])),
IF((G448="4/24"),((база!$M$5*Таблица1[[#This Row],[сумма]]*Таблица1[[#This Row],[коэф]])),
IF((G448="3/24"),((база!$M$4*Таблица1[[#This Row],[сумма]]*Таблица1[[#This Row],[коэф]])),
IF((G448="5/16"),((база!$L$6*Таблица1[[#This Row],[сумма]]*Таблица1[[#This Row],[коэф]])),
IF((G448="4/16"),((база!$L$5*Таблица1[[#This Row],[сумма]]*Таблица1[[#This Row],[коэф]])),
IF((G448="3/16"),((база!$L$4*Таблица1[[#This Row],[сумма]]*Таблица1[[#This Row],[коэф]])),
IF((G448="4/4"),((база!$I$5*Таблица1[[#This Row],[сумма]]*Таблица1[[#This Row],[коэф]])),
IF(OR(G448="2/4",G448="3/4"),((база!$I$4*Таблица1[[#This Row],[сумма]]*Таблица1[[#This Row],[коэф]])),
IF((G448="5/8"),((база!$J$6*Таблица1[[#This Row],[сумма]]*Таблица1[[#This Row],[коэф]])),
IF((G448="4/8"),((база!$J$5*Таблица1[[#This Row],[сумма]]*Таблица1[[#This Row],[коэф]])),
IF(OR(G448="3/8",G448="2/8"),((база!$J$4*Таблица1[[#This Row],[сумма]]*Таблица1[[#This Row],[коэф]])))))))))))))),
(IF((G448="5/24"),((база!$M$6*Таблица1[[#This Row],[сумма]]*Таблица1[[#This Row],[коэф]])),
IF(OR(G448="4/24",G448="3/24"),((база!$M$5*Таблица1[[#This Row],[сумма]]*Таблица1[[#This Row],[коэф]])),
IF((G448="5/16"),((база!$L$6*Таблица1[[#This Row],[сумма]]*Таблица1[[#This Row],[коэф]])),
IF(OR(G448="4/16",G448="3/16"),((база!$L$5*Таблица1[[#This Row],[сумма]]*Таблица1[[#This Row],[коэф]])),
IF(OR(G448="2/4",G448="3/4",G448="4/4"),((база!$I$5*Таблица1[[#This Row],[сумма]]*Таблица1[[#This Row],[коэф]])),
IF((G448="5/8"),((база!$J$6*Таблица1[[#This Row],[сумма]]*Таблица1[[#This Row],[коэф]])),
IF(OR(G448="4/8",G448="3/8",G448="2/8"),((база!$J$5*Таблица1[[#This Row],[сумма]]*Таблица1[[#This Row],[коэф]])))))))))))</f>
        <v>0</v>
      </c>
      <c r="AP448" s="730" t="b">
        <f>IF(AR448&lt;=3,(IF((G448="5/24"),((база!$M$6*2*Таблица1[[#This Row],[Столбец1]]*Таблица1[[#This Row],[коэф]])),
IF((G448="4/24"),((база!$M$5*2*Таблица1[[#This Row],[Столбец1]]*Таблица1[[#This Row],[коэф]])),
IF((G448="3/24"),((база!$M$4*2*Таблица1[[#This Row],[Столбец1]]*Таблица1[[#This Row],[коэф]])),
IF((G448="5/16"),((база!$L$6*2*Таблица1[[#This Row],[Столбец1]]*Таблица1[[#This Row],[коэф]])),
IF((G448="4/16"),((база!$L$5*2*Таблица1[[#This Row],[Столбец1]]*Таблица1[[#This Row],[коэф]])),
IF((G448="3/16"),((база!$L$4*2*Таблица1[[#This Row],[Столбец1]]*Таблица1[[#This Row],[коэф]])),
IF((G448="4/4"),((база!$I$5*2*Таблица1[[#This Row],[Столбец1]]*Таблица1[[#This Row],[коэф]])),
IF(OR(G448="2/4",G448="3/4"),((база!$I$4*2*Таблица1[[#This Row],[Столбец1]]*Таблица1[[#This Row],[коэф]])),
IF((G448="5/8"),((база!$J$6*2*Таблица1[[#This Row],[Столбец1]]*Таблица1[[#This Row],[коэф]])),
IF((G448="4/8"),((база!$J$5*2*Таблица1[[#This Row],[Столбец1]]*Таблица1[[#This Row],[коэф]])),
IF(OR(G448="3/8",G448="2/8"),((база!$J$4*2*Таблица1[[#This Row],[Столбец1]]*Таблица1[[#This Row],[коэф]])))))))))))))),
(IF((G448="5/24"),((база!$M$6*2*Таблица1[[#This Row],[Столбец1]]*Таблица1[[#This Row],[коэф]])),
IF(OR(G448="4/24",G448="3/24"),((база!$M$5*2*Таблица1[[#This Row],[Столбец1]]*Таблица1[[#This Row],[коэф]])),
IF((G448="5/16"),((база!$L$6*2*Таблица1[[#This Row],[Столбец1]]*Таблица1[[#This Row],[коэф]])),
IF(OR(G448="4/16",G448="3/16"),((база!$L$5*2*Таблица1[[#This Row],[Столбец1]]*Таблица1[[#This Row],[коэф]])),
IF(OR(G448="2/4",G448="3/4",G448="4/4"),((база!$I$5*2*Таблица1[[#This Row],[Столбец1]]*Таблица1[[#This Row],[коэф]])),
IF((G448="5/8"),((база!$J$6*2*Таблица1[[#This Row],[Столбец1]]*Таблица1[[#This Row],[коэф]])),
IF(OR(G448="4/8",G448="3/8",G448="2/8"),((база!$J$5*2*Таблица1[[#This Row],[Столбец1]]*Таблица1[[#This Row],[коэф]])))))))))))</f>
        <v>0</v>
      </c>
      <c r="AQ448" s="712" t="str">
        <f>IFERROR(INDEX(база!T:T, MATCH(F448,база!Q:Q,0)),"")</f>
        <v/>
      </c>
      <c r="AR448" s="208" t="str">
        <f>IFERROR(INDEX(база!D:D, MATCH(F448,база!B:B,0)),"")</f>
        <v/>
      </c>
      <c r="AS448" s="758" t="str">
        <f>IFERROR(INDEX(база!E:E, MATCH(F448,база!B:B,0)),"")</f>
        <v/>
      </c>
    </row>
    <row r="449" spans="1:47" ht="15">
      <c r="A449" s="66" t="str">
        <f t="shared" si="8"/>
        <v>январь</v>
      </c>
      <c r="B449" s="231">
        <v>2024</v>
      </c>
      <c r="C449" s="299"/>
      <c r="D449" s="61"/>
      <c r="E449" s="211"/>
      <c r="F449" s="680"/>
      <c r="G449" s="47"/>
      <c r="H449" s="563"/>
      <c r="I449" s="563"/>
      <c r="J449" s="563"/>
      <c r="K449" s="563"/>
      <c r="L449" s="563"/>
      <c r="M449" s="563"/>
      <c r="N449" s="563"/>
      <c r="O449" s="563"/>
      <c r="P449" s="300"/>
      <c r="Q449" s="563"/>
      <c r="R449" s="563"/>
      <c r="S449" s="563"/>
      <c r="T449" s="563"/>
      <c r="U449" s="563"/>
      <c r="V449" s="563"/>
      <c r="W449" s="563"/>
      <c r="X449" s="563"/>
      <c r="Y449" s="563"/>
      <c r="Z449" s="563"/>
      <c r="AA449" s="563"/>
      <c r="AB449" s="563"/>
      <c r="AC449" s="563"/>
      <c r="AD449" s="48"/>
      <c r="AE449" s="48"/>
      <c r="AF449" s="258"/>
      <c r="AG449" s="48"/>
      <c r="AH449" s="48"/>
      <c r="AI449" s="48"/>
      <c r="AJ449" s="48"/>
      <c r="AK449" s="48"/>
      <c r="AL449" s="51"/>
      <c r="AM449" s="212">
        <f>IF(AQ449=1,SUM(Q449:T449,W449:Z449,AC449:AF449,AI449:AL449),
IF(AQ449=2,SUM(P449,S449:V449,Y449:AB449,AE449:AH449,AK449:AL449),
IF(AQ449=3,SUM(P449:R449,U449:X449,AA449:AD449,AG449:AJ449),SUM(Таблица1[[#This Row],[1]:[31]])-Таблица1[[#This Row],[Столбец1]])))</f>
        <v>0</v>
      </c>
      <c r="AN449" s="778">
        <f t="array" ref="AN449">IF(AQ449=1,SUM(P449,U449:V449,AA449:AB449,AG449:AH449),
IF(AQ449=2,SUM(Q449:R449,W449:X449,AC449:AD449,AI449:AJ449),
IF(AQ449=3,SUM(S449:T449,Y449:Z449,AE449:AF449,AK449:AL449),
SUM(IFERROR(WEEKDAY($H$2:$AL$2,2)&gt;5,)*H449:AL449))))+Таблица1[[#This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49" s="292" t="b">
        <f>IF(AR449&lt;=3,(IF((G449="5/24"),((база!$M$6*Таблица1[[#This Row],[сумма]]*Таблица1[[#This Row],[коэф]])),
IF((G449="4/24"),((база!$M$5*Таблица1[[#This Row],[сумма]]*Таблица1[[#This Row],[коэф]])),
IF((G449="3/24"),((база!$M$4*Таблица1[[#This Row],[сумма]]*Таблица1[[#This Row],[коэф]])),
IF((G449="5/16"),((база!$L$6*Таблица1[[#This Row],[сумма]]*Таблица1[[#This Row],[коэф]])),
IF((G449="4/16"),((база!$L$5*Таблица1[[#This Row],[сумма]]*Таблица1[[#This Row],[коэф]])),
IF((G449="3/16"),((база!$L$4*Таблица1[[#This Row],[сумма]]*Таблица1[[#This Row],[коэф]])),
IF((G449="4/4"),((база!$I$5*Таблица1[[#This Row],[сумма]]*Таблица1[[#This Row],[коэф]])),
IF(OR(G449="2/4",G449="3/4"),((база!$I$4*Таблица1[[#This Row],[сумма]]*Таблица1[[#This Row],[коэф]])),
IF((G449="5/8"),((база!$J$6*Таблица1[[#This Row],[сумма]]*Таблица1[[#This Row],[коэф]])),
IF((G449="4/8"),((база!$J$5*Таблица1[[#This Row],[сумма]]*Таблица1[[#This Row],[коэф]])),
IF(OR(G449="3/8",G449="2/8"),((база!$J$4*Таблица1[[#This Row],[сумма]]*Таблица1[[#This Row],[коэф]])))))))))))))),
(IF((G449="5/24"),((база!$M$6*Таблица1[[#This Row],[сумма]]*Таблица1[[#This Row],[коэф]])),
IF(OR(G449="4/24",G449="3/24"),((база!$M$5*Таблица1[[#This Row],[сумма]]*Таблица1[[#This Row],[коэф]])),
IF((G449="5/16"),((база!$L$6*Таблица1[[#This Row],[сумма]]*Таблица1[[#This Row],[коэф]])),
IF(OR(G449="4/16",G449="3/16"),((база!$L$5*Таблица1[[#This Row],[сумма]]*Таблица1[[#This Row],[коэф]])),
IF(OR(G449="2/4",G449="3/4",G449="4/4"),((база!$I$5*Таблица1[[#This Row],[сумма]]*Таблица1[[#This Row],[коэф]])),
IF((G449="5/8"),((база!$J$6*Таблица1[[#This Row],[сумма]]*Таблица1[[#This Row],[коэф]])),
IF(OR(G449="4/8",G449="3/8",G449="2/8"),((база!$J$5*Таблица1[[#This Row],[сумма]]*Таблица1[[#This Row],[коэф]])))))))))))</f>
        <v>0</v>
      </c>
      <c r="AP449" s="730" t="b">
        <f>IF(AR449&lt;=3,(IF((G449="5/24"),((база!$M$6*2*Таблица1[[#This Row],[Столбец1]]*Таблица1[[#This Row],[коэф]])),
IF((G449="4/24"),((база!$M$5*2*Таблица1[[#This Row],[Столбец1]]*Таблица1[[#This Row],[коэф]])),
IF((G449="3/24"),((база!$M$4*2*Таблица1[[#This Row],[Столбец1]]*Таблица1[[#This Row],[коэф]])),
IF((G449="5/16"),((база!$L$6*2*Таблица1[[#This Row],[Столбец1]]*Таблица1[[#This Row],[коэф]])),
IF((G449="4/16"),((база!$L$5*2*Таблица1[[#This Row],[Столбец1]]*Таблица1[[#This Row],[коэф]])),
IF((G449="3/16"),((база!$L$4*2*Таблица1[[#This Row],[Столбец1]]*Таблица1[[#This Row],[коэф]])),
IF((G449="4/4"),((база!$I$5*2*Таблица1[[#This Row],[Столбец1]]*Таблица1[[#This Row],[коэф]])),
IF(OR(G449="2/4",G449="3/4"),((база!$I$4*2*Таблица1[[#This Row],[Столбец1]]*Таблица1[[#This Row],[коэф]])),
IF((G449="5/8"),((база!$J$6*2*Таблица1[[#This Row],[Столбец1]]*Таблица1[[#This Row],[коэф]])),
IF((G449="4/8"),((база!$J$5*2*Таблица1[[#This Row],[Столбец1]]*Таблица1[[#This Row],[коэф]])),
IF(OR(G449="3/8",G449="2/8"),((база!$J$4*2*Таблица1[[#This Row],[Столбец1]]*Таблица1[[#This Row],[коэф]])))))))))))))),
(IF((G449="5/24"),((база!$M$6*2*Таблица1[[#This Row],[Столбец1]]*Таблица1[[#This Row],[коэф]])),
IF(OR(G449="4/24",G449="3/24"),((база!$M$5*2*Таблица1[[#This Row],[Столбец1]]*Таблица1[[#This Row],[коэф]])),
IF((G449="5/16"),((база!$L$6*2*Таблица1[[#This Row],[Столбец1]]*Таблица1[[#This Row],[коэф]])),
IF(OR(G449="4/16",G449="3/16"),((база!$L$5*2*Таблица1[[#This Row],[Столбец1]]*Таблица1[[#This Row],[коэф]])),
IF(OR(G449="2/4",G449="3/4",G449="4/4"),((база!$I$5*2*Таблица1[[#This Row],[Столбец1]]*Таблица1[[#This Row],[коэф]])),
IF((G449="5/8"),((база!$J$6*2*Таблица1[[#This Row],[Столбец1]]*Таблица1[[#This Row],[коэф]])),
IF(OR(G449="4/8",G449="3/8",G449="2/8"),((база!$J$5*2*Таблица1[[#This Row],[Столбец1]]*Таблица1[[#This Row],[коэф]])))))))))))</f>
        <v>0</v>
      </c>
      <c r="AQ449" s="712" t="str">
        <f>IFERROR(INDEX(база!T:T, MATCH(F449,база!Q:Q,0)),"")</f>
        <v/>
      </c>
      <c r="AR449" s="208" t="str">
        <f>IFERROR(INDEX(база!D:D, MATCH(F449,база!B:B,0)),"")</f>
        <v/>
      </c>
      <c r="AS449" s="758" t="str">
        <f>IFERROR(INDEX(база!E:E, MATCH(F449,база!B:B,0)),"")</f>
        <v/>
      </c>
    </row>
    <row r="450" spans="1:47" ht="15">
      <c r="A450" s="66" t="str">
        <f t="shared" si="8"/>
        <v>январь</v>
      </c>
      <c r="B450" s="231">
        <v>2024</v>
      </c>
      <c r="C450" s="299"/>
      <c r="D450" s="61"/>
      <c r="E450" s="211"/>
      <c r="F450" s="680"/>
      <c r="G450" s="47"/>
      <c r="H450" s="563"/>
      <c r="I450" s="563"/>
      <c r="J450" s="563"/>
      <c r="K450" s="563"/>
      <c r="L450" s="563"/>
      <c r="M450" s="563"/>
      <c r="N450" s="563"/>
      <c r="O450" s="563"/>
      <c r="P450" s="300"/>
      <c r="Q450" s="563"/>
      <c r="R450" s="563"/>
      <c r="S450" s="563"/>
      <c r="T450" s="563"/>
      <c r="U450" s="563"/>
      <c r="V450" s="563"/>
      <c r="W450" s="563"/>
      <c r="X450" s="563"/>
      <c r="Y450" s="563"/>
      <c r="Z450" s="563"/>
      <c r="AA450" s="563"/>
      <c r="AB450" s="563"/>
      <c r="AC450" s="563"/>
      <c r="AD450" s="48"/>
      <c r="AE450" s="48"/>
      <c r="AF450" s="258"/>
      <c r="AG450" s="48"/>
      <c r="AH450" s="48"/>
      <c r="AI450" s="258"/>
      <c r="AJ450" s="258"/>
      <c r="AK450" s="258"/>
      <c r="AL450" s="258"/>
      <c r="AM450" s="212">
        <f>IF(AQ450=1,SUM(Q450:T450,W450:Z450,AC450:AF450,AI450:AL450),
IF(AQ450=2,SUM(P450,S450:V450,Y450:AB450,AE450:AH450,AK450:AL450),
IF(AQ450=3,SUM(P450:R450,U450:X450,AA450:AD450,AG450:AJ450),SUM(Таблица1[[#This Row],[1]:[31]])-Таблица1[[#This Row],[Столбец1]])))</f>
        <v>0</v>
      </c>
      <c r="AN450" s="778">
        <f t="array" ref="AN450">IF(AQ450=1,SUM(P450,U450:V450,AA450:AB450,AG450:AH450),
IF(AQ450=2,SUM(Q450:R450,W450:X450,AC450:AD450,AI450:AJ450),
IF(AQ450=3,SUM(S450:T450,Y450:Z450,AE450:AF450,AK450:AL450),
SUM(IFERROR(WEEKDAY($H$2:$AL$2,2)&gt;5,)*H450:AL450))))+Таблица1[[#This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50" s="292" t="b">
        <f>IF(AR450&lt;=3,(IF((G450="5/24"),((база!$M$6*Таблица1[[#This Row],[сумма]]*Таблица1[[#This Row],[коэф]])),
IF((G450="4/24"),((база!$M$5*Таблица1[[#This Row],[сумма]]*Таблица1[[#This Row],[коэф]])),
IF((G450="3/24"),((база!$M$4*Таблица1[[#This Row],[сумма]]*Таблица1[[#This Row],[коэф]])),
IF((G450="5/16"),((база!$L$6*Таблица1[[#This Row],[сумма]]*Таблица1[[#This Row],[коэф]])),
IF((G450="4/16"),((база!$L$5*Таблица1[[#This Row],[сумма]]*Таблица1[[#This Row],[коэф]])),
IF((G450="3/16"),((база!$L$4*Таблица1[[#This Row],[сумма]]*Таблица1[[#This Row],[коэф]])),
IF((G450="4/4"),((база!$I$5*Таблица1[[#This Row],[сумма]]*Таблица1[[#This Row],[коэф]])),
IF(OR(G450="2/4",G450="3/4"),((база!$I$4*Таблица1[[#This Row],[сумма]]*Таблица1[[#This Row],[коэф]])),
IF((G450="5/8"),((база!$J$6*Таблица1[[#This Row],[сумма]]*Таблица1[[#This Row],[коэф]])),
IF((G450="4/8"),((база!$J$5*Таблица1[[#This Row],[сумма]]*Таблица1[[#This Row],[коэф]])),
IF(OR(G450="3/8",G450="2/8"),((база!$J$4*Таблица1[[#This Row],[сумма]]*Таблица1[[#This Row],[коэф]])))))))))))))),
(IF((G450="5/24"),((база!$M$6*Таблица1[[#This Row],[сумма]]*Таблица1[[#This Row],[коэф]])),
IF(OR(G450="4/24",G450="3/24"),((база!$M$5*Таблица1[[#This Row],[сумма]]*Таблица1[[#This Row],[коэф]])),
IF((G450="5/16"),((база!$L$6*Таблица1[[#This Row],[сумма]]*Таблица1[[#This Row],[коэф]])),
IF(OR(G450="4/16",G450="3/16"),((база!$L$5*Таблица1[[#This Row],[сумма]]*Таблица1[[#This Row],[коэф]])),
IF(OR(G450="2/4",G450="3/4",G450="4/4"),((база!$I$5*Таблица1[[#This Row],[сумма]]*Таблица1[[#This Row],[коэф]])),
IF((G450="5/8"),((база!$J$6*Таблица1[[#This Row],[сумма]]*Таблица1[[#This Row],[коэф]])),
IF(OR(G450="4/8",G450="3/8",G450="2/8"),((база!$J$5*Таблица1[[#This Row],[сумма]]*Таблица1[[#This Row],[коэф]])))))))))))</f>
        <v>0</v>
      </c>
      <c r="AP450" s="730" t="b">
        <f>IF(AR450&lt;=3,(IF((G450="5/24"),((база!$M$6*2*Таблица1[[#This Row],[Столбец1]]*Таблица1[[#This Row],[коэф]])),
IF((G450="4/24"),((база!$M$5*2*Таблица1[[#This Row],[Столбец1]]*Таблица1[[#This Row],[коэф]])),
IF((G450="3/24"),((база!$M$4*2*Таблица1[[#This Row],[Столбец1]]*Таблица1[[#This Row],[коэф]])),
IF((G450="5/16"),((база!$L$6*2*Таблица1[[#This Row],[Столбец1]]*Таблица1[[#This Row],[коэф]])),
IF((G450="4/16"),((база!$L$5*2*Таблица1[[#This Row],[Столбец1]]*Таблица1[[#This Row],[коэф]])),
IF((G450="3/16"),((база!$L$4*2*Таблица1[[#This Row],[Столбец1]]*Таблица1[[#This Row],[коэф]])),
IF((G450="4/4"),((база!$I$5*2*Таблица1[[#This Row],[Столбец1]]*Таблица1[[#This Row],[коэф]])),
IF(OR(G450="2/4",G450="3/4"),((база!$I$4*2*Таблица1[[#This Row],[Столбец1]]*Таблица1[[#This Row],[коэф]])),
IF((G450="5/8"),((база!$J$6*2*Таблица1[[#This Row],[Столбец1]]*Таблица1[[#This Row],[коэф]])),
IF((G450="4/8"),((база!$J$5*2*Таблица1[[#This Row],[Столбец1]]*Таблица1[[#This Row],[коэф]])),
IF(OR(G450="3/8",G450="2/8"),((база!$J$4*2*Таблица1[[#This Row],[Столбец1]]*Таблица1[[#This Row],[коэф]])))))))))))))),
(IF((G450="5/24"),((база!$M$6*2*Таблица1[[#This Row],[Столбец1]]*Таблица1[[#This Row],[коэф]])),
IF(OR(G450="4/24",G450="3/24"),((база!$M$5*2*Таблица1[[#This Row],[Столбец1]]*Таблица1[[#This Row],[коэф]])),
IF((G450="5/16"),((база!$L$6*2*Таблица1[[#This Row],[Столбец1]]*Таблица1[[#This Row],[коэф]])),
IF(OR(G450="4/16",G450="3/16"),((база!$L$5*2*Таблица1[[#This Row],[Столбец1]]*Таблица1[[#This Row],[коэф]])),
IF(OR(G450="2/4",G450="3/4",G450="4/4"),((база!$I$5*2*Таблица1[[#This Row],[Столбец1]]*Таблица1[[#This Row],[коэф]])),
IF((G450="5/8"),((база!$J$6*2*Таблица1[[#This Row],[Столбец1]]*Таблица1[[#This Row],[коэф]])),
IF(OR(G450="4/8",G450="3/8",G450="2/8"),((база!$J$5*2*Таблица1[[#This Row],[Столбец1]]*Таблица1[[#This Row],[коэф]])))))))))))</f>
        <v>0</v>
      </c>
      <c r="AQ450" s="712" t="str">
        <f>IFERROR(INDEX(база!T:T, MATCH(F450,база!Q:Q,0)),"")</f>
        <v/>
      </c>
      <c r="AR450" s="208" t="str">
        <f>IFERROR(INDEX(база!D:D, MATCH(F450,база!B:B,0)),"")</f>
        <v/>
      </c>
      <c r="AS450" s="758" t="str">
        <f>IFERROR(INDEX(база!E:E, MATCH(F450,база!B:B,0)),"")</f>
        <v/>
      </c>
    </row>
    <row r="451" spans="1:47" ht="15">
      <c r="A451" s="66" t="str">
        <f t="shared" si="8"/>
        <v>январь</v>
      </c>
      <c r="B451" s="231">
        <v>2024</v>
      </c>
      <c r="C451" s="299"/>
      <c r="D451" s="61"/>
      <c r="E451" s="211"/>
      <c r="F451" s="680"/>
      <c r="G451" s="47"/>
      <c r="H451" s="563"/>
      <c r="I451" s="563"/>
      <c r="J451" s="563"/>
      <c r="K451" s="563"/>
      <c r="L451" s="563"/>
      <c r="M451" s="563"/>
      <c r="N451" s="563"/>
      <c r="O451" s="563"/>
      <c r="P451" s="300"/>
      <c r="Q451" s="563"/>
      <c r="R451" s="563"/>
      <c r="S451" s="563"/>
      <c r="T451" s="563"/>
      <c r="U451" s="563"/>
      <c r="V451" s="563"/>
      <c r="W451" s="563"/>
      <c r="X451" s="563"/>
      <c r="Y451" s="563"/>
      <c r="Z451" s="563"/>
      <c r="AA451" s="563"/>
      <c r="AB451" s="563"/>
      <c r="AC451" s="563"/>
      <c r="AD451" s="48"/>
      <c r="AE451" s="48"/>
      <c r="AF451" s="258"/>
      <c r="AG451" s="48"/>
      <c r="AH451" s="48"/>
      <c r="AI451" s="48"/>
      <c r="AJ451" s="48"/>
      <c r="AK451" s="48"/>
      <c r="AL451" s="51"/>
      <c r="AM451" s="212">
        <f>IF(AQ451=1,SUM(Q451:T451,W451:Z451,AC451:AF451,AI451:AL451),
IF(AQ451=2,SUM(P451,S451:V451,Y451:AB451,AE451:AH451,AK451:AL451),
IF(AQ451=3,SUM(P451:R451,U451:X451,AA451:AD451,AG451:AJ451),SUM(Таблица1[[#This Row],[1]:[31]])-Таблица1[[#This Row],[Столбец1]])))</f>
        <v>0</v>
      </c>
      <c r="AN451" s="778">
        <f t="array" ref="AN451">IF(AQ451=1,SUM(P451,U451:V451,AA451:AB451,AG451:AH451),
IF(AQ451=2,SUM(Q451:R451,W451:X451,AC451:AD451,AI451:AJ451),
IF(AQ451=3,SUM(S451:T451,Y451:Z451,AE451:AF451,AK451:AL451),
SUM(IFERROR(WEEKDAY($H$2:$AL$2,2)&gt;5,)*H451:AL451))))+Таблица1[[#This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51" s="292" t="b">
        <f>IF(AR451&lt;=3,(IF((G451="5/24"),((база!$M$6*Таблица1[[#This Row],[сумма]]*Таблица1[[#This Row],[коэф]])),
IF((G451="4/24"),((база!$M$5*Таблица1[[#This Row],[сумма]]*Таблица1[[#This Row],[коэф]])),
IF((G451="3/24"),((база!$M$4*Таблица1[[#This Row],[сумма]]*Таблица1[[#This Row],[коэф]])),
IF((G451="5/16"),((база!$L$6*Таблица1[[#This Row],[сумма]]*Таблица1[[#This Row],[коэф]])),
IF((G451="4/16"),((база!$L$5*Таблица1[[#This Row],[сумма]]*Таблица1[[#This Row],[коэф]])),
IF((G451="3/16"),((база!$L$4*Таблица1[[#This Row],[сумма]]*Таблица1[[#This Row],[коэф]])),
IF((G451="4/4"),((база!$I$5*Таблица1[[#This Row],[сумма]]*Таблица1[[#This Row],[коэф]])),
IF(OR(G451="2/4",G451="3/4"),((база!$I$4*Таблица1[[#This Row],[сумма]]*Таблица1[[#This Row],[коэф]])),
IF((G451="5/8"),((база!$J$6*Таблица1[[#This Row],[сумма]]*Таблица1[[#This Row],[коэф]])),
IF((G451="4/8"),((база!$J$5*Таблица1[[#This Row],[сумма]]*Таблица1[[#This Row],[коэф]])),
IF(OR(G451="3/8",G451="2/8"),((база!$J$4*Таблица1[[#This Row],[сумма]]*Таблица1[[#This Row],[коэф]])))))))))))))),
(IF((G451="5/24"),((база!$M$6*Таблица1[[#This Row],[сумма]]*Таблица1[[#This Row],[коэф]])),
IF(OR(G451="4/24",G451="3/24"),((база!$M$5*Таблица1[[#This Row],[сумма]]*Таблица1[[#This Row],[коэф]])),
IF((G451="5/16"),((база!$L$6*Таблица1[[#This Row],[сумма]]*Таблица1[[#This Row],[коэф]])),
IF(OR(G451="4/16",G451="3/16"),((база!$L$5*Таблица1[[#This Row],[сумма]]*Таблица1[[#This Row],[коэф]])),
IF(OR(G451="2/4",G451="3/4",G451="4/4"),((база!$I$5*Таблица1[[#This Row],[сумма]]*Таблица1[[#This Row],[коэф]])),
IF((G451="5/8"),((база!$J$6*Таблица1[[#This Row],[сумма]]*Таблица1[[#This Row],[коэф]])),
IF(OR(G451="4/8",G451="3/8",G451="2/8"),((база!$J$5*Таблица1[[#This Row],[сумма]]*Таблица1[[#This Row],[коэф]])))))))))))</f>
        <v>0</v>
      </c>
      <c r="AP451" s="730" t="b">
        <f>IF(AR451&lt;=3,(IF((G451="5/24"),((база!$M$6*2*Таблица1[[#This Row],[Столбец1]]*Таблица1[[#This Row],[коэф]])),
IF((G451="4/24"),((база!$M$5*2*Таблица1[[#This Row],[Столбец1]]*Таблица1[[#This Row],[коэф]])),
IF((G451="3/24"),((база!$M$4*2*Таблица1[[#This Row],[Столбец1]]*Таблица1[[#This Row],[коэф]])),
IF((G451="5/16"),((база!$L$6*2*Таблица1[[#This Row],[Столбец1]]*Таблица1[[#This Row],[коэф]])),
IF((G451="4/16"),((база!$L$5*2*Таблица1[[#This Row],[Столбец1]]*Таблица1[[#This Row],[коэф]])),
IF((G451="3/16"),((база!$L$4*2*Таблица1[[#This Row],[Столбец1]]*Таблица1[[#This Row],[коэф]])),
IF((G451="4/4"),((база!$I$5*2*Таблица1[[#This Row],[Столбец1]]*Таблица1[[#This Row],[коэф]])),
IF(OR(G451="2/4",G451="3/4"),((база!$I$4*2*Таблица1[[#This Row],[Столбец1]]*Таблица1[[#This Row],[коэф]])),
IF((G451="5/8"),((база!$J$6*2*Таблица1[[#This Row],[Столбец1]]*Таблица1[[#This Row],[коэф]])),
IF((G451="4/8"),((база!$J$5*2*Таблица1[[#This Row],[Столбец1]]*Таблица1[[#This Row],[коэф]])),
IF(OR(G451="3/8",G451="2/8"),((база!$J$4*2*Таблица1[[#This Row],[Столбец1]]*Таблица1[[#This Row],[коэф]])))))))))))))),
(IF((G451="5/24"),((база!$M$6*2*Таблица1[[#This Row],[Столбец1]]*Таблица1[[#This Row],[коэф]])),
IF(OR(G451="4/24",G451="3/24"),((база!$M$5*2*Таблица1[[#This Row],[Столбец1]]*Таблица1[[#This Row],[коэф]])),
IF((G451="5/16"),((база!$L$6*2*Таблица1[[#This Row],[Столбец1]]*Таблица1[[#This Row],[коэф]])),
IF(OR(G451="4/16",G451="3/16"),((база!$L$5*2*Таблица1[[#This Row],[Столбец1]]*Таблица1[[#This Row],[коэф]])),
IF(OR(G451="2/4",G451="3/4",G451="4/4"),((база!$I$5*2*Таблица1[[#This Row],[Столбец1]]*Таблица1[[#This Row],[коэф]])),
IF((G451="5/8"),((база!$J$6*2*Таблица1[[#This Row],[Столбец1]]*Таблица1[[#This Row],[коэф]])),
IF(OR(G451="4/8",G451="3/8",G451="2/8"),((база!$J$5*2*Таблица1[[#This Row],[Столбец1]]*Таблица1[[#This Row],[коэф]])))))))))))</f>
        <v>0</v>
      </c>
      <c r="AQ451" s="712" t="str">
        <f>IFERROR(INDEX(база!T:T, MATCH(F451,база!Q:Q,0)),"")</f>
        <v/>
      </c>
      <c r="AR451" s="208" t="str">
        <f>IFERROR(INDEX(база!D:D, MATCH(F451,база!B:B,0)),"")</f>
        <v/>
      </c>
      <c r="AS451" s="758" t="str">
        <f>IFERROR(INDEX(база!E:E, MATCH(F451,база!B:B,0)),"")</f>
        <v/>
      </c>
    </row>
    <row r="452" spans="1:47" ht="15">
      <c r="A452" s="66" t="str">
        <f t="shared" si="8"/>
        <v>январь</v>
      </c>
      <c r="B452" s="231">
        <v>2024</v>
      </c>
      <c r="C452" s="299"/>
      <c r="D452" s="61"/>
      <c r="E452" s="211"/>
      <c r="F452" s="680"/>
      <c r="G452" s="47"/>
      <c r="H452" s="563"/>
      <c r="I452" s="563"/>
      <c r="J452" s="563"/>
      <c r="K452" s="563"/>
      <c r="L452" s="563"/>
      <c r="M452" s="563"/>
      <c r="N452" s="563"/>
      <c r="O452" s="563"/>
      <c r="P452" s="300"/>
      <c r="Q452" s="563"/>
      <c r="R452" s="563"/>
      <c r="S452" s="563"/>
      <c r="T452" s="563"/>
      <c r="U452" s="563"/>
      <c r="V452" s="563"/>
      <c r="W452" s="563"/>
      <c r="X452" s="563"/>
      <c r="Y452" s="563"/>
      <c r="Z452" s="563"/>
      <c r="AA452" s="563"/>
      <c r="AB452" s="563"/>
      <c r="AC452" s="563"/>
      <c r="AD452" s="48"/>
      <c r="AE452" s="48"/>
      <c r="AF452" s="258"/>
      <c r="AG452" s="48"/>
      <c r="AH452" s="48"/>
      <c r="AI452" s="258"/>
      <c r="AJ452" s="258"/>
      <c r="AK452" s="258"/>
      <c r="AL452" s="258"/>
      <c r="AM452" s="212">
        <f>IF(AQ452=1,SUM(Q452:T452,W452:Z452,AC452:AF452,AI452:AL452),
IF(AQ452=2,SUM(P452,S452:V452,Y452:AB452,AE452:AH452,AK452:AL452),
IF(AQ452=3,SUM(P452:R452,U452:X452,AA452:AD452,AG452:AJ452),SUM(Таблица1[[#This Row],[1]:[31]])-Таблица1[[#This Row],[Столбец1]])))</f>
        <v>0</v>
      </c>
      <c r="AN452" s="778">
        <f t="array" ref="AN452">IF(AQ452=1,SUM(P452,U452:V452,AA452:AB452,AG452:AH452),
IF(AQ452=2,SUM(Q452:R452,W452:X452,AC452:AD452,AI452:AJ452),
IF(AQ452=3,SUM(S452:T452,Y452:Z452,AE452:AF452,AK452:AL452),
SUM(IFERROR(WEEKDAY($H$2:$AL$2,2)&gt;5,)*H452:AL452))))+Таблица1[[#This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52" s="292" t="b">
        <f>IF(AR452&lt;=3,(IF((G452="5/24"),((база!$M$6*Таблица1[[#This Row],[сумма]]*Таблица1[[#This Row],[коэф]])),
IF((G452="4/24"),((база!$M$5*Таблица1[[#This Row],[сумма]]*Таблица1[[#This Row],[коэф]])),
IF((G452="3/24"),((база!$M$4*Таблица1[[#This Row],[сумма]]*Таблица1[[#This Row],[коэф]])),
IF((G452="5/16"),((база!$L$6*Таблица1[[#This Row],[сумма]]*Таблица1[[#This Row],[коэф]])),
IF((G452="4/16"),((база!$L$5*Таблица1[[#This Row],[сумма]]*Таблица1[[#This Row],[коэф]])),
IF((G452="3/16"),((база!$L$4*Таблица1[[#This Row],[сумма]]*Таблица1[[#This Row],[коэф]])),
IF((G452="4/4"),((база!$I$5*Таблица1[[#This Row],[сумма]]*Таблица1[[#This Row],[коэф]])),
IF(OR(G452="2/4",G452="3/4"),((база!$I$4*Таблица1[[#This Row],[сумма]]*Таблица1[[#This Row],[коэф]])),
IF((G452="5/8"),((база!$J$6*Таблица1[[#This Row],[сумма]]*Таблица1[[#This Row],[коэф]])),
IF((G452="4/8"),((база!$J$5*Таблица1[[#This Row],[сумма]]*Таблица1[[#This Row],[коэф]])),
IF(OR(G452="3/8",G452="2/8"),((база!$J$4*Таблица1[[#This Row],[сумма]]*Таблица1[[#This Row],[коэф]])))))))))))))),
(IF((G452="5/24"),((база!$M$6*Таблица1[[#This Row],[сумма]]*Таблица1[[#This Row],[коэф]])),
IF(OR(G452="4/24",G452="3/24"),((база!$M$5*Таблица1[[#This Row],[сумма]]*Таблица1[[#This Row],[коэф]])),
IF((G452="5/16"),((база!$L$6*Таблица1[[#This Row],[сумма]]*Таблица1[[#This Row],[коэф]])),
IF(OR(G452="4/16",G452="3/16"),((база!$L$5*Таблица1[[#This Row],[сумма]]*Таблица1[[#This Row],[коэф]])),
IF(OR(G452="2/4",G452="3/4",G452="4/4"),((база!$I$5*Таблица1[[#This Row],[сумма]]*Таблица1[[#This Row],[коэф]])),
IF((G452="5/8"),((база!$J$6*Таблица1[[#This Row],[сумма]]*Таблица1[[#This Row],[коэф]])),
IF(OR(G452="4/8",G452="3/8",G452="2/8"),((база!$J$5*Таблица1[[#This Row],[сумма]]*Таблица1[[#This Row],[коэф]])))))))))))</f>
        <v>0</v>
      </c>
      <c r="AP452" s="730" t="b">
        <f>IF(AR452&lt;=3,(IF((G452="5/24"),((база!$M$6*2*Таблица1[[#This Row],[Столбец1]]*Таблица1[[#This Row],[коэф]])),
IF((G452="4/24"),((база!$M$5*2*Таблица1[[#This Row],[Столбец1]]*Таблица1[[#This Row],[коэф]])),
IF((G452="3/24"),((база!$M$4*2*Таблица1[[#This Row],[Столбец1]]*Таблица1[[#This Row],[коэф]])),
IF((G452="5/16"),((база!$L$6*2*Таблица1[[#This Row],[Столбец1]]*Таблица1[[#This Row],[коэф]])),
IF((G452="4/16"),((база!$L$5*2*Таблица1[[#This Row],[Столбец1]]*Таблица1[[#This Row],[коэф]])),
IF((G452="3/16"),((база!$L$4*2*Таблица1[[#This Row],[Столбец1]]*Таблица1[[#This Row],[коэф]])),
IF((G452="4/4"),((база!$I$5*2*Таблица1[[#This Row],[Столбец1]]*Таблица1[[#This Row],[коэф]])),
IF(OR(G452="2/4",G452="3/4"),((база!$I$4*2*Таблица1[[#This Row],[Столбец1]]*Таблица1[[#This Row],[коэф]])),
IF((G452="5/8"),((база!$J$6*2*Таблица1[[#This Row],[Столбец1]]*Таблица1[[#This Row],[коэф]])),
IF((G452="4/8"),((база!$J$5*2*Таблица1[[#This Row],[Столбец1]]*Таблица1[[#This Row],[коэф]])),
IF(OR(G452="3/8",G452="2/8"),((база!$J$4*2*Таблица1[[#This Row],[Столбец1]]*Таблица1[[#This Row],[коэф]])))))))))))))),
(IF((G452="5/24"),((база!$M$6*2*Таблица1[[#This Row],[Столбец1]]*Таблица1[[#This Row],[коэф]])),
IF(OR(G452="4/24",G452="3/24"),((база!$M$5*2*Таблица1[[#This Row],[Столбец1]]*Таблица1[[#This Row],[коэф]])),
IF((G452="5/16"),((база!$L$6*2*Таблица1[[#This Row],[Столбец1]]*Таблица1[[#This Row],[коэф]])),
IF(OR(G452="4/16",G452="3/16"),((база!$L$5*2*Таблица1[[#This Row],[Столбец1]]*Таблица1[[#This Row],[коэф]])),
IF(OR(G452="2/4",G452="3/4",G452="4/4"),((база!$I$5*2*Таблица1[[#This Row],[Столбец1]]*Таблица1[[#This Row],[коэф]])),
IF((G452="5/8"),((база!$J$6*2*Таблица1[[#This Row],[Столбец1]]*Таблица1[[#This Row],[коэф]])),
IF(OR(G452="4/8",G452="3/8",G452="2/8"),((база!$J$5*2*Таблица1[[#This Row],[Столбец1]]*Таблица1[[#This Row],[коэф]])))))))))))</f>
        <v>0</v>
      </c>
      <c r="AQ452" s="712" t="str">
        <f>IFERROR(INDEX(база!T:T, MATCH(F452,база!Q:Q,0)),"")</f>
        <v/>
      </c>
      <c r="AR452" s="208" t="str">
        <f>IFERROR(INDEX(база!D:D, MATCH(F452,база!B:B,0)),"")</f>
        <v/>
      </c>
      <c r="AS452" s="758" t="str">
        <f>IFERROR(INDEX(база!E:E, MATCH(F452,база!B:B,0)),"")</f>
        <v/>
      </c>
    </row>
    <row r="453" spans="1:47" ht="15">
      <c r="A453" s="66" t="str">
        <f t="shared" si="8"/>
        <v>январь</v>
      </c>
      <c r="B453" s="231">
        <v>2024</v>
      </c>
      <c r="C453" s="299"/>
      <c r="D453" s="61"/>
      <c r="E453" s="211"/>
      <c r="F453" s="680"/>
      <c r="G453" s="47"/>
      <c r="H453" s="563"/>
      <c r="I453" s="563"/>
      <c r="J453" s="563"/>
      <c r="K453" s="563"/>
      <c r="L453" s="563"/>
      <c r="M453" s="563"/>
      <c r="N453" s="563"/>
      <c r="O453" s="563"/>
      <c r="P453" s="300"/>
      <c r="Q453" s="563"/>
      <c r="R453" s="563"/>
      <c r="S453" s="563"/>
      <c r="T453" s="563"/>
      <c r="U453" s="563"/>
      <c r="V453" s="563"/>
      <c r="W453" s="563"/>
      <c r="X453" s="563"/>
      <c r="Y453" s="563"/>
      <c r="Z453" s="563"/>
      <c r="AA453" s="563"/>
      <c r="AB453" s="563"/>
      <c r="AC453" s="563"/>
      <c r="AD453" s="48"/>
      <c r="AE453" s="48"/>
      <c r="AF453" s="258"/>
      <c r="AG453" s="48"/>
      <c r="AH453" s="48"/>
      <c r="AI453" s="48"/>
      <c r="AJ453" s="48"/>
      <c r="AK453" s="48"/>
      <c r="AL453" s="51"/>
      <c r="AM453" s="212">
        <f>IF(AQ453=1,SUM(Q453:T453,W453:Z453,AC453:AF453,AI453:AL453),
IF(AQ453=2,SUM(P453,S453:V453,Y453:AB453,AE453:AH453,AK453:AL453),
IF(AQ453=3,SUM(P453:R453,U453:X453,AA453:AD453,AG453:AJ453),SUM(Таблица1[[#This Row],[1]:[31]])-Таблица1[[#This Row],[Столбец1]])))</f>
        <v>0</v>
      </c>
      <c r="AN453" s="778">
        <f t="array" ref="AN453">IF(AQ453=1,SUM(P453,U453:V453,AA453:AB453,AG453:AH453),
IF(AQ453=2,SUM(Q453:R453,W453:X453,AC453:AD453,AI453:AJ453),
IF(AQ453=3,SUM(S453:T453,Y453:Z453,AE453:AF453,AK453:AL453),
SUM(IFERROR(WEEKDAY($H$2:$AL$2,2)&gt;5,)*H453:AL453))))+Таблица1[[#This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53" s="292" t="b">
        <f>IF(AR453&lt;=3,(IF((G453="5/24"),((база!$M$6*Таблица1[[#This Row],[сумма]]*Таблица1[[#This Row],[коэф]])),
IF((G453="4/24"),((база!$M$5*Таблица1[[#This Row],[сумма]]*Таблица1[[#This Row],[коэф]])),
IF((G453="3/24"),((база!$M$4*Таблица1[[#This Row],[сумма]]*Таблица1[[#This Row],[коэф]])),
IF((G453="5/16"),((база!$L$6*Таблица1[[#This Row],[сумма]]*Таблица1[[#This Row],[коэф]])),
IF((G453="4/16"),((база!$L$5*Таблица1[[#This Row],[сумма]]*Таблица1[[#This Row],[коэф]])),
IF((G453="3/16"),((база!$L$4*Таблица1[[#This Row],[сумма]]*Таблица1[[#This Row],[коэф]])),
IF((G453="4/4"),((база!$I$5*Таблица1[[#This Row],[сумма]]*Таблица1[[#This Row],[коэф]])),
IF(OR(G453="2/4",G453="3/4"),((база!$I$4*Таблица1[[#This Row],[сумма]]*Таблица1[[#This Row],[коэф]])),
IF((G453="5/8"),((база!$J$6*Таблица1[[#This Row],[сумма]]*Таблица1[[#This Row],[коэф]])),
IF((G453="4/8"),((база!$J$5*Таблица1[[#This Row],[сумма]]*Таблица1[[#This Row],[коэф]])),
IF(OR(G453="3/8",G453="2/8"),((база!$J$4*Таблица1[[#This Row],[сумма]]*Таблица1[[#This Row],[коэф]])))))))))))))),
(IF((G453="5/24"),((база!$M$6*Таблица1[[#This Row],[сумма]]*Таблица1[[#This Row],[коэф]])),
IF(OR(G453="4/24",G453="3/24"),((база!$M$5*Таблица1[[#This Row],[сумма]]*Таблица1[[#This Row],[коэф]])),
IF((G453="5/16"),((база!$L$6*Таблица1[[#This Row],[сумма]]*Таблица1[[#This Row],[коэф]])),
IF(OR(G453="4/16",G453="3/16"),((база!$L$5*Таблица1[[#This Row],[сумма]]*Таблица1[[#This Row],[коэф]])),
IF(OR(G453="2/4",G453="3/4",G453="4/4"),((база!$I$5*Таблица1[[#This Row],[сумма]]*Таблица1[[#This Row],[коэф]])),
IF((G453="5/8"),((база!$J$6*Таблица1[[#This Row],[сумма]]*Таблица1[[#This Row],[коэф]])),
IF(OR(G453="4/8",G453="3/8",G453="2/8"),((база!$J$5*Таблица1[[#This Row],[сумма]]*Таблица1[[#This Row],[коэф]])))))))))))</f>
        <v>0</v>
      </c>
      <c r="AP453" s="730" t="b">
        <f>IF(AR453&lt;=3,(IF((G453="5/24"),((база!$M$6*2*Таблица1[[#This Row],[Столбец1]]*Таблица1[[#This Row],[коэф]])),
IF((G453="4/24"),((база!$M$5*2*Таблица1[[#This Row],[Столбец1]]*Таблица1[[#This Row],[коэф]])),
IF((G453="3/24"),((база!$M$4*2*Таблица1[[#This Row],[Столбец1]]*Таблица1[[#This Row],[коэф]])),
IF((G453="5/16"),((база!$L$6*2*Таблица1[[#This Row],[Столбец1]]*Таблица1[[#This Row],[коэф]])),
IF((G453="4/16"),((база!$L$5*2*Таблица1[[#This Row],[Столбец1]]*Таблица1[[#This Row],[коэф]])),
IF((G453="3/16"),((база!$L$4*2*Таблица1[[#This Row],[Столбец1]]*Таблица1[[#This Row],[коэф]])),
IF((G453="4/4"),((база!$I$5*2*Таблица1[[#This Row],[Столбец1]]*Таблица1[[#This Row],[коэф]])),
IF(OR(G453="2/4",G453="3/4"),((база!$I$4*2*Таблица1[[#This Row],[Столбец1]]*Таблица1[[#This Row],[коэф]])),
IF((G453="5/8"),((база!$J$6*2*Таблица1[[#This Row],[Столбец1]]*Таблица1[[#This Row],[коэф]])),
IF((G453="4/8"),((база!$J$5*2*Таблица1[[#This Row],[Столбец1]]*Таблица1[[#This Row],[коэф]])),
IF(OR(G453="3/8",G453="2/8"),((база!$J$4*2*Таблица1[[#This Row],[Столбец1]]*Таблица1[[#This Row],[коэф]])))))))))))))),
(IF((G453="5/24"),((база!$M$6*2*Таблица1[[#This Row],[Столбец1]]*Таблица1[[#This Row],[коэф]])),
IF(OR(G453="4/24",G453="3/24"),((база!$M$5*2*Таблица1[[#This Row],[Столбец1]]*Таблица1[[#This Row],[коэф]])),
IF((G453="5/16"),((база!$L$6*2*Таблица1[[#This Row],[Столбец1]]*Таблица1[[#This Row],[коэф]])),
IF(OR(G453="4/16",G453="3/16"),((база!$L$5*2*Таблица1[[#This Row],[Столбец1]]*Таблица1[[#This Row],[коэф]])),
IF(OR(G453="2/4",G453="3/4",G453="4/4"),((база!$I$5*2*Таблица1[[#This Row],[Столбец1]]*Таблица1[[#This Row],[коэф]])),
IF((G453="5/8"),((база!$J$6*2*Таблица1[[#This Row],[Столбец1]]*Таблица1[[#This Row],[коэф]])),
IF(OR(G453="4/8",G453="3/8",G453="2/8"),((база!$J$5*2*Таблица1[[#This Row],[Столбец1]]*Таблица1[[#This Row],[коэф]])))))))))))</f>
        <v>0</v>
      </c>
      <c r="AQ453" s="712" t="str">
        <f>IFERROR(INDEX(база!T:T, MATCH(F453,база!Q:Q,0)),"")</f>
        <v/>
      </c>
      <c r="AR453" s="208" t="str">
        <f>IFERROR(INDEX(база!D:D, MATCH(F453,база!B:B,0)),"")</f>
        <v/>
      </c>
      <c r="AS453" s="758" t="str">
        <f>IFERROR(INDEX(база!E:E, MATCH(F453,база!B:B,0)),"")</f>
        <v/>
      </c>
    </row>
    <row r="454" spans="1:47" ht="15">
      <c r="A454" s="66" t="str">
        <f t="shared" si="8"/>
        <v>январь</v>
      </c>
      <c r="B454" s="231">
        <v>2024</v>
      </c>
      <c r="C454" s="60"/>
      <c r="D454" s="61"/>
      <c r="E454" s="211"/>
      <c r="F454" s="680"/>
      <c r="G454" s="47"/>
      <c r="H454" s="563"/>
      <c r="I454" s="563"/>
      <c r="J454" s="563"/>
      <c r="K454" s="563"/>
      <c r="L454" s="563"/>
      <c r="M454" s="563"/>
      <c r="N454" s="563"/>
      <c r="O454" s="563"/>
      <c r="P454" s="300"/>
      <c r="Q454" s="563"/>
      <c r="R454" s="563"/>
      <c r="S454" s="563"/>
      <c r="T454" s="563"/>
      <c r="U454" s="563"/>
      <c r="V454" s="563"/>
      <c r="W454" s="563"/>
      <c r="X454" s="563"/>
      <c r="Y454" s="563"/>
      <c r="Z454" s="563"/>
      <c r="AA454" s="563"/>
      <c r="AB454" s="563"/>
      <c r="AC454" s="563"/>
      <c r="AD454" s="48"/>
      <c r="AE454" s="48"/>
      <c r="AF454" s="258"/>
      <c r="AG454" s="48"/>
      <c r="AH454" s="48"/>
      <c r="AI454" s="258"/>
      <c r="AJ454" s="258"/>
      <c r="AK454" s="258"/>
      <c r="AL454" s="258"/>
      <c r="AM454" s="212">
        <f>IF(AQ454=1,SUM(Q454:T454,W454:Z454,AC454:AF454,AI454:AL454),
IF(AQ454=2,SUM(P454,S454:V454,Y454:AB454,AE454:AH454,AK454:AL454),
IF(AQ454=3,SUM(P454:R454,U454:X454,AA454:AD454,AG454:AJ454),SUM(Таблица1[[#This Row],[1]:[31]])-Таблица1[[#This Row],[Столбец1]])))</f>
        <v>0</v>
      </c>
      <c r="AN454" s="778">
        <f t="array" ref="AN454">IF(AQ454=1,SUM(P454,U454:V454,AA454:AB454,AG454:AH454),
IF(AQ454=2,SUM(Q454:R454,W454:X454,AC454:AD454,AI454:AJ454),
IF(AQ454=3,SUM(S454:T454,Y454:Z454,AE454:AF454,AK454:AL454),
SUM(IFERROR(WEEKDAY($H$2:$AL$2,2)&gt;5,)*H454:AL454))))+Таблица1[[#This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54" s="292" t="b">
        <f>IF(AR454&lt;=3,(IF((G454="5/24"),((база!$M$6*Таблица1[[#This Row],[сумма]]*Таблица1[[#This Row],[коэф]])),
IF((G454="4/24"),((база!$M$5*Таблица1[[#This Row],[сумма]]*Таблица1[[#This Row],[коэф]])),
IF((G454="3/24"),((база!$M$4*Таблица1[[#This Row],[сумма]]*Таблица1[[#This Row],[коэф]])),
IF((G454="5/16"),((база!$L$6*Таблица1[[#This Row],[сумма]]*Таблица1[[#This Row],[коэф]])),
IF((G454="4/16"),((база!$L$5*Таблица1[[#This Row],[сумма]]*Таблица1[[#This Row],[коэф]])),
IF((G454="3/16"),((база!$L$4*Таблица1[[#This Row],[сумма]]*Таблица1[[#This Row],[коэф]])),
IF((G454="4/4"),((база!$I$5*Таблица1[[#This Row],[сумма]]*Таблица1[[#This Row],[коэф]])),
IF(OR(G454="2/4",G454="3/4"),((база!$I$4*Таблица1[[#This Row],[сумма]]*Таблица1[[#This Row],[коэф]])),
IF((G454="5/8"),((база!$J$6*Таблица1[[#This Row],[сумма]]*Таблица1[[#This Row],[коэф]])),
IF((G454="4/8"),((база!$J$5*Таблица1[[#This Row],[сумма]]*Таблица1[[#This Row],[коэф]])),
IF(OR(G454="3/8",G454="2/8"),((база!$J$4*Таблица1[[#This Row],[сумма]]*Таблица1[[#This Row],[коэф]])))))))))))))),
(IF((G454="5/24"),((база!$M$6*Таблица1[[#This Row],[сумма]]*Таблица1[[#This Row],[коэф]])),
IF(OR(G454="4/24",G454="3/24"),((база!$M$5*Таблица1[[#This Row],[сумма]]*Таблица1[[#This Row],[коэф]])),
IF((G454="5/16"),((база!$L$6*Таблица1[[#This Row],[сумма]]*Таблица1[[#This Row],[коэф]])),
IF(OR(G454="4/16",G454="3/16"),((база!$L$5*Таблица1[[#This Row],[сумма]]*Таблица1[[#This Row],[коэф]])),
IF(OR(G454="2/4",G454="3/4",G454="4/4"),((база!$I$5*Таблица1[[#This Row],[сумма]]*Таблица1[[#This Row],[коэф]])),
IF((G454="5/8"),((база!$J$6*Таблица1[[#This Row],[сумма]]*Таблица1[[#This Row],[коэф]])),
IF(OR(G454="4/8",G454="3/8",G454="2/8"),((база!$J$5*Таблица1[[#This Row],[сумма]]*Таблица1[[#This Row],[коэф]])))))))))))</f>
        <v>0</v>
      </c>
      <c r="AP454" s="730" t="b">
        <f>IF(AR454&lt;=3,(IF((G454="5/24"),((база!$M$6*2*Таблица1[[#This Row],[Столбец1]]*Таблица1[[#This Row],[коэф]])),
IF((G454="4/24"),((база!$M$5*2*Таблица1[[#This Row],[Столбец1]]*Таблица1[[#This Row],[коэф]])),
IF((G454="3/24"),((база!$M$4*2*Таблица1[[#This Row],[Столбец1]]*Таблица1[[#This Row],[коэф]])),
IF((G454="5/16"),((база!$L$6*2*Таблица1[[#This Row],[Столбец1]]*Таблица1[[#This Row],[коэф]])),
IF((G454="4/16"),((база!$L$5*2*Таблица1[[#This Row],[Столбец1]]*Таблица1[[#This Row],[коэф]])),
IF((G454="3/16"),((база!$L$4*2*Таблица1[[#This Row],[Столбец1]]*Таблица1[[#This Row],[коэф]])),
IF((G454="4/4"),((база!$I$5*2*Таблица1[[#This Row],[Столбец1]]*Таблица1[[#This Row],[коэф]])),
IF(OR(G454="2/4",G454="3/4"),((база!$I$4*2*Таблица1[[#This Row],[Столбец1]]*Таблица1[[#This Row],[коэф]])),
IF((G454="5/8"),((база!$J$6*2*Таблица1[[#This Row],[Столбец1]]*Таблица1[[#This Row],[коэф]])),
IF((G454="4/8"),((база!$J$5*2*Таблица1[[#This Row],[Столбец1]]*Таблица1[[#This Row],[коэф]])),
IF(OR(G454="3/8",G454="2/8"),((база!$J$4*2*Таблица1[[#This Row],[Столбец1]]*Таблица1[[#This Row],[коэф]])))))))))))))),
(IF((G454="5/24"),((база!$M$6*2*Таблица1[[#This Row],[Столбец1]]*Таблица1[[#This Row],[коэф]])),
IF(OR(G454="4/24",G454="3/24"),((база!$M$5*2*Таблица1[[#This Row],[Столбец1]]*Таблица1[[#This Row],[коэф]])),
IF((G454="5/16"),((база!$L$6*2*Таблица1[[#This Row],[Столбец1]]*Таблица1[[#This Row],[коэф]])),
IF(OR(G454="4/16",G454="3/16"),((база!$L$5*2*Таблица1[[#This Row],[Столбец1]]*Таблица1[[#This Row],[коэф]])),
IF(OR(G454="2/4",G454="3/4",G454="4/4"),((база!$I$5*2*Таблица1[[#This Row],[Столбец1]]*Таблица1[[#This Row],[коэф]])),
IF((G454="5/8"),((база!$J$6*2*Таблица1[[#This Row],[Столбец1]]*Таблица1[[#This Row],[коэф]])),
IF(OR(G454="4/8",G454="3/8",G454="2/8"),((база!$J$5*2*Таблица1[[#This Row],[Столбец1]]*Таблица1[[#This Row],[коэф]])))))))))))</f>
        <v>0</v>
      </c>
      <c r="AQ454" s="712" t="str">
        <f>IFERROR(INDEX(база!T:T, MATCH(F454,база!Q:Q,0)),"")</f>
        <v/>
      </c>
      <c r="AR454" s="208" t="str">
        <f>IFERROR(INDEX(база!D:D, MATCH(F454,база!B:B,0)),"")</f>
        <v/>
      </c>
      <c r="AS454" s="758" t="str">
        <f>IFERROR(INDEX(база!E:E, MATCH(F454,база!B:B,0)),"")</f>
        <v/>
      </c>
    </row>
    <row r="455" spans="1:47" ht="15">
      <c r="A455" s="66" t="str">
        <f t="shared" si="8"/>
        <v>январь</v>
      </c>
      <c r="B455" s="231">
        <v>2024</v>
      </c>
      <c r="C455" s="299"/>
      <c r="D455" s="61"/>
      <c r="E455" s="211"/>
      <c r="F455" s="680"/>
      <c r="G455" s="47"/>
      <c r="H455" s="563"/>
      <c r="I455" s="563"/>
      <c r="J455" s="563"/>
      <c r="K455" s="563"/>
      <c r="L455" s="563"/>
      <c r="M455" s="563"/>
      <c r="N455" s="563"/>
      <c r="O455" s="563"/>
      <c r="P455" s="300"/>
      <c r="Q455" s="563"/>
      <c r="R455" s="563"/>
      <c r="S455" s="563"/>
      <c r="T455" s="563"/>
      <c r="U455" s="563"/>
      <c r="V455" s="563"/>
      <c r="W455" s="563"/>
      <c r="X455" s="563"/>
      <c r="Y455" s="563"/>
      <c r="Z455" s="563"/>
      <c r="AA455" s="563"/>
      <c r="AB455" s="563"/>
      <c r="AC455" s="563"/>
      <c r="AD455" s="48"/>
      <c r="AE455" s="48"/>
      <c r="AF455" s="258"/>
      <c r="AG455" s="48"/>
      <c r="AH455" s="48"/>
      <c r="AI455" s="48"/>
      <c r="AJ455" s="48"/>
      <c r="AK455" s="48"/>
      <c r="AL455" s="51"/>
      <c r="AM455" s="212">
        <f>IF(AQ455=1,SUM(Q455:T455,W455:Z455,AC455:AF455,AI455:AL455),
IF(AQ455=2,SUM(P455,S455:V455,Y455:AB455,AE455:AH455,AK455:AL455),
IF(AQ455=3,SUM(P455:R455,U455:X455,AA455:AD455,AG455:AJ455),SUM(Таблица1[[#This Row],[1]:[31]])-Таблица1[[#This Row],[Столбец1]])))</f>
        <v>0</v>
      </c>
      <c r="AN455" s="778">
        <f t="array" ref="AN455">IF(AQ455=1,SUM(P455,U455:V455,AA455:AB455,AG455:AH455),
IF(AQ455=2,SUM(Q455:R455,W455:X455,AC455:AD455,AI455:AJ455),
IF(AQ455=3,SUM(S455:T455,Y455:Z455,AE455:AF455,AK455:AL455),
SUM(IFERROR(WEEKDAY($H$2:$AL$2,2)&gt;5,)*H455:AL455))))+Таблица1[[#This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55" s="292" t="b">
        <f>IF(AR455&lt;=3,(IF((G455="5/24"),((база!$M$6*Таблица1[[#This Row],[сумма]]*Таблица1[[#This Row],[коэф]])),
IF((G455="4/24"),((база!$M$5*Таблица1[[#This Row],[сумма]]*Таблица1[[#This Row],[коэф]])),
IF((G455="3/24"),((база!$M$4*Таблица1[[#This Row],[сумма]]*Таблица1[[#This Row],[коэф]])),
IF((G455="5/16"),((база!$L$6*Таблица1[[#This Row],[сумма]]*Таблица1[[#This Row],[коэф]])),
IF((G455="4/16"),((база!$L$5*Таблица1[[#This Row],[сумма]]*Таблица1[[#This Row],[коэф]])),
IF((G455="3/16"),((база!$L$4*Таблица1[[#This Row],[сумма]]*Таблица1[[#This Row],[коэф]])),
IF((G455="4/4"),((база!$I$5*Таблица1[[#This Row],[сумма]]*Таблица1[[#This Row],[коэф]])),
IF(OR(G455="2/4",G455="3/4"),((база!$I$4*Таблица1[[#This Row],[сумма]]*Таблица1[[#This Row],[коэф]])),
IF((G455="5/8"),((база!$J$6*Таблица1[[#This Row],[сумма]]*Таблица1[[#This Row],[коэф]])),
IF((G455="4/8"),((база!$J$5*Таблица1[[#This Row],[сумма]]*Таблица1[[#This Row],[коэф]])),
IF(OR(G455="3/8",G455="2/8"),((база!$J$4*Таблица1[[#This Row],[сумма]]*Таблица1[[#This Row],[коэф]])))))))))))))),
(IF((G455="5/24"),((база!$M$6*Таблица1[[#This Row],[сумма]]*Таблица1[[#This Row],[коэф]])),
IF(OR(G455="4/24",G455="3/24"),((база!$M$5*Таблица1[[#This Row],[сумма]]*Таблица1[[#This Row],[коэф]])),
IF((G455="5/16"),((база!$L$6*Таблица1[[#This Row],[сумма]]*Таблица1[[#This Row],[коэф]])),
IF(OR(G455="4/16",G455="3/16"),((база!$L$5*Таблица1[[#This Row],[сумма]]*Таблица1[[#This Row],[коэф]])),
IF(OR(G455="2/4",G455="3/4",G455="4/4"),((база!$I$5*Таблица1[[#This Row],[сумма]]*Таблица1[[#This Row],[коэф]])),
IF((G455="5/8"),((база!$J$6*Таблица1[[#This Row],[сумма]]*Таблица1[[#This Row],[коэф]])),
IF(OR(G455="4/8",G455="3/8",G455="2/8"),((база!$J$5*Таблица1[[#This Row],[сумма]]*Таблица1[[#This Row],[коэф]])))))))))))</f>
        <v>0</v>
      </c>
      <c r="AP455" s="730" t="b">
        <f>IF(AR455&lt;=3,(IF((G455="5/24"),((база!$M$6*2*Таблица1[[#This Row],[Столбец1]]*Таблица1[[#This Row],[коэф]])),
IF((G455="4/24"),((база!$M$5*2*Таблица1[[#This Row],[Столбец1]]*Таблица1[[#This Row],[коэф]])),
IF((G455="3/24"),((база!$M$4*2*Таблица1[[#This Row],[Столбец1]]*Таблица1[[#This Row],[коэф]])),
IF((G455="5/16"),((база!$L$6*2*Таблица1[[#This Row],[Столбец1]]*Таблица1[[#This Row],[коэф]])),
IF((G455="4/16"),((база!$L$5*2*Таблица1[[#This Row],[Столбец1]]*Таблица1[[#This Row],[коэф]])),
IF((G455="3/16"),((база!$L$4*2*Таблица1[[#This Row],[Столбец1]]*Таблица1[[#This Row],[коэф]])),
IF((G455="4/4"),((база!$I$5*2*Таблица1[[#This Row],[Столбец1]]*Таблица1[[#This Row],[коэф]])),
IF(OR(G455="2/4",G455="3/4"),((база!$I$4*2*Таблица1[[#This Row],[Столбец1]]*Таблица1[[#This Row],[коэф]])),
IF((G455="5/8"),((база!$J$6*2*Таблица1[[#This Row],[Столбец1]]*Таблица1[[#This Row],[коэф]])),
IF((G455="4/8"),((база!$J$5*2*Таблица1[[#This Row],[Столбец1]]*Таблица1[[#This Row],[коэф]])),
IF(OR(G455="3/8",G455="2/8"),((база!$J$4*2*Таблица1[[#This Row],[Столбец1]]*Таблица1[[#This Row],[коэф]])))))))))))))),
(IF((G455="5/24"),((база!$M$6*2*Таблица1[[#This Row],[Столбец1]]*Таблица1[[#This Row],[коэф]])),
IF(OR(G455="4/24",G455="3/24"),((база!$M$5*2*Таблица1[[#This Row],[Столбец1]]*Таблица1[[#This Row],[коэф]])),
IF((G455="5/16"),((база!$L$6*2*Таблица1[[#This Row],[Столбец1]]*Таблица1[[#This Row],[коэф]])),
IF(OR(G455="4/16",G455="3/16"),((база!$L$5*2*Таблица1[[#This Row],[Столбец1]]*Таблица1[[#This Row],[коэф]])),
IF(OR(G455="2/4",G455="3/4",G455="4/4"),((база!$I$5*2*Таблица1[[#This Row],[Столбец1]]*Таблица1[[#This Row],[коэф]])),
IF((G455="5/8"),((база!$J$6*2*Таблица1[[#This Row],[Столбец1]]*Таблица1[[#This Row],[коэф]])),
IF(OR(G455="4/8",G455="3/8",G455="2/8"),((база!$J$5*2*Таблица1[[#This Row],[Столбец1]]*Таблица1[[#This Row],[коэф]])))))))))))</f>
        <v>0</v>
      </c>
      <c r="AQ455" s="712" t="str">
        <f>IFERROR(INDEX(база!T:T, MATCH(F455,база!Q:Q,0)),"")</f>
        <v/>
      </c>
      <c r="AR455" s="208" t="str">
        <f>IFERROR(INDEX(база!D:D, MATCH(F455,база!B:B,0)),"")</f>
        <v/>
      </c>
      <c r="AS455" s="758" t="str">
        <f>IFERROR(INDEX(база!E:E, MATCH(F455,база!B:B,0)),"")</f>
        <v/>
      </c>
    </row>
    <row r="456" spans="1:47" ht="15">
      <c r="A456" s="66" t="str">
        <f t="shared" si="8"/>
        <v>январь</v>
      </c>
      <c r="B456" s="231">
        <v>2024</v>
      </c>
      <c r="C456" s="299"/>
      <c r="D456" s="61"/>
      <c r="E456" s="211"/>
      <c r="F456" s="680"/>
      <c r="G456" s="47"/>
      <c r="H456" s="563"/>
      <c r="I456" s="563"/>
      <c r="J456" s="563"/>
      <c r="K456" s="563"/>
      <c r="L456" s="563"/>
      <c r="M456" s="563"/>
      <c r="N456" s="563"/>
      <c r="O456" s="563"/>
      <c r="P456" s="300"/>
      <c r="Q456" s="563"/>
      <c r="R456" s="563"/>
      <c r="S456" s="563"/>
      <c r="T456" s="563"/>
      <c r="U456" s="563"/>
      <c r="V456" s="563"/>
      <c r="W456" s="563"/>
      <c r="X456" s="563"/>
      <c r="Y456" s="563"/>
      <c r="Z456" s="563"/>
      <c r="AA456" s="563"/>
      <c r="AB456" s="563"/>
      <c r="AC456" s="563"/>
      <c r="AD456" s="48"/>
      <c r="AE456" s="48"/>
      <c r="AF456" s="48"/>
      <c r="AG456" s="48"/>
      <c r="AH456" s="48"/>
      <c r="AI456" s="48"/>
      <c r="AJ456" s="258"/>
      <c r="AK456" s="258"/>
      <c r="AL456" s="258"/>
      <c r="AM456" s="212">
        <f>IF(AQ456=1,SUM(Q456:T456,W456:Z456,AC456:AF456,AI456:AL456),
IF(AQ456=2,SUM(P456,S456:V456,Y456:AB456,AE456:AH456,AK456:AL456),
IF(AQ456=3,SUM(P456:R456,U456:X456,AA456:AD456,AG456:AJ456),SUM(Таблица1[[#This Row],[1]:[31]])-Таблица1[[#This Row],[Столбец1]])))</f>
        <v>0</v>
      </c>
      <c r="AN456" s="778">
        <f t="array" ref="AN456">IF(AQ456=1,SUM(P456,U456:V456,AA456:AB456,AG456:AH456),
IF(AQ456=2,SUM(Q456:R456,W456:X456,AC456:AD456,AI456:AJ456),
IF(AQ456=3,SUM(S456:T456,Y456:Z456,AE456:AF456,AK456:AL456),
SUM(IFERROR(WEEKDAY($H$2:$AL$2,2)&gt;5,)*H456:AL456))))+Таблица1[[#This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56" s="292" t="b">
        <f>IF(AR456&lt;=3,(IF((G456="5/24"),((база!$M$6*Таблица1[[#This Row],[сумма]]*Таблица1[[#This Row],[коэф]])),
IF((G456="4/24"),((база!$M$5*Таблица1[[#This Row],[сумма]]*Таблица1[[#This Row],[коэф]])),
IF((G456="3/24"),((база!$M$4*Таблица1[[#This Row],[сумма]]*Таблица1[[#This Row],[коэф]])),
IF((G456="5/16"),((база!$L$6*Таблица1[[#This Row],[сумма]]*Таблица1[[#This Row],[коэф]])),
IF((G456="4/16"),((база!$L$5*Таблица1[[#This Row],[сумма]]*Таблица1[[#This Row],[коэф]])),
IF((G456="3/16"),((база!$L$4*Таблица1[[#This Row],[сумма]]*Таблица1[[#This Row],[коэф]])),
IF((G456="4/4"),((база!$I$5*Таблица1[[#This Row],[сумма]]*Таблица1[[#This Row],[коэф]])),
IF(OR(G456="2/4",G456="3/4"),((база!$I$4*Таблица1[[#This Row],[сумма]]*Таблица1[[#This Row],[коэф]])),
IF((G456="5/8"),((база!$J$6*Таблица1[[#This Row],[сумма]]*Таблица1[[#This Row],[коэф]])),
IF((G456="4/8"),((база!$J$5*Таблица1[[#This Row],[сумма]]*Таблица1[[#This Row],[коэф]])),
IF(OR(G456="3/8",G456="2/8"),((база!$J$4*Таблица1[[#This Row],[сумма]]*Таблица1[[#This Row],[коэф]])))))))))))))),
(IF((G456="5/24"),((база!$M$6*Таблица1[[#This Row],[сумма]]*Таблица1[[#This Row],[коэф]])),
IF(OR(G456="4/24",G456="3/24"),((база!$M$5*Таблица1[[#This Row],[сумма]]*Таблица1[[#This Row],[коэф]])),
IF((G456="5/16"),((база!$L$6*Таблица1[[#This Row],[сумма]]*Таблица1[[#This Row],[коэф]])),
IF(OR(G456="4/16",G456="3/16"),((база!$L$5*Таблица1[[#This Row],[сумма]]*Таблица1[[#This Row],[коэф]])),
IF(OR(G456="2/4",G456="3/4",G456="4/4"),((база!$I$5*Таблица1[[#This Row],[сумма]]*Таблица1[[#This Row],[коэф]])),
IF((G456="5/8"),((база!$J$6*Таблица1[[#This Row],[сумма]]*Таблица1[[#This Row],[коэф]])),
IF(OR(G456="4/8",G456="3/8",G456="2/8"),((база!$J$5*Таблица1[[#This Row],[сумма]]*Таблица1[[#This Row],[коэф]])))))))))))</f>
        <v>0</v>
      </c>
      <c r="AP456" s="730" t="b">
        <f>IF(AR456&lt;=3,(IF((G456="5/24"),((база!$M$6*2*Таблица1[[#This Row],[Столбец1]]*Таблица1[[#This Row],[коэф]])),
IF((G456="4/24"),((база!$M$5*2*Таблица1[[#This Row],[Столбец1]]*Таблица1[[#This Row],[коэф]])),
IF((G456="3/24"),((база!$M$4*2*Таблица1[[#This Row],[Столбец1]]*Таблица1[[#This Row],[коэф]])),
IF((G456="5/16"),((база!$L$6*2*Таблица1[[#This Row],[Столбец1]]*Таблица1[[#This Row],[коэф]])),
IF((G456="4/16"),((база!$L$5*2*Таблица1[[#This Row],[Столбец1]]*Таблица1[[#This Row],[коэф]])),
IF((G456="3/16"),((база!$L$4*2*Таблица1[[#This Row],[Столбец1]]*Таблица1[[#This Row],[коэф]])),
IF((G456="4/4"),((база!$I$5*2*Таблица1[[#This Row],[Столбец1]]*Таблица1[[#This Row],[коэф]])),
IF(OR(G456="2/4",G456="3/4"),((база!$I$4*2*Таблица1[[#This Row],[Столбец1]]*Таблица1[[#This Row],[коэф]])),
IF((G456="5/8"),((база!$J$6*2*Таблица1[[#This Row],[Столбец1]]*Таблица1[[#This Row],[коэф]])),
IF((G456="4/8"),((база!$J$5*2*Таблица1[[#This Row],[Столбец1]]*Таблица1[[#This Row],[коэф]])),
IF(OR(G456="3/8",G456="2/8"),((база!$J$4*2*Таблица1[[#This Row],[Столбец1]]*Таблица1[[#This Row],[коэф]])))))))))))))),
(IF((G456="5/24"),((база!$M$6*2*Таблица1[[#This Row],[Столбец1]]*Таблица1[[#This Row],[коэф]])),
IF(OR(G456="4/24",G456="3/24"),((база!$M$5*2*Таблица1[[#This Row],[Столбец1]]*Таблица1[[#This Row],[коэф]])),
IF((G456="5/16"),((база!$L$6*2*Таблица1[[#This Row],[Столбец1]]*Таблица1[[#This Row],[коэф]])),
IF(OR(G456="4/16",G456="3/16"),((база!$L$5*2*Таблица1[[#This Row],[Столбец1]]*Таблица1[[#This Row],[коэф]])),
IF(OR(G456="2/4",G456="3/4",G456="4/4"),((база!$I$5*2*Таблица1[[#This Row],[Столбец1]]*Таблица1[[#This Row],[коэф]])),
IF((G456="5/8"),((база!$J$6*2*Таблица1[[#This Row],[Столбец1]]*Таблица1[[#This Row],[коэф]])),
IF(OR(G456="4/8",G456="3/8",G456="2/8"),((база!$J$5*2*Таблица1[[#This Row],[Столбец1]]*Таблица1[[#This Row],[коэф]])))))))))))</f>
        <v>0</v>
      </c>
      <c r="AQ456" s="712" t="str">
        <f>IFERROR(INDEX(база!T:T, MATCH(F456,база!Q:Q,0)),"")</f>
        <v/>
      </c>
      <c r="AR456" s="208" t="str">
        <f>IFERROR(INDEX(база!D:D, MATCH(F456,база!B:B,0)),"")</f>
        <v/>
      </c>
      <c r="AS456" s="758" t="str">
        <f>IFERROR(INDEX(база!E:E, MATCH(F456,база!B:B,0)),"")</f>
        <v/>
      </c>
    </row>
    <row r="457" spans="1:47" ht="15">
      <c r="A457" s="66" t="str">
        <f t="shared" si="8"/>
        <v>январь</v>
      </c>
      <c r="B457" s="231">
        <v>2024</v>
      </c>
      <c r="C457" s="299"/>
      <c r="D457" s="61"/>
      <c r="E457" s="211"/>
      <c r="F457" s="680"/>
      <c r="G457" s="47"/>
      <c r="H457" s="563"/>
      <c r="I457" s="563"/>
      <c r="J457" s="563"/>
      <c r="K457" s="563"/>
      <c r="L457" s="563"/>
      <c r="M457" s="563"/>
      <c r="N457" s="563"/>
      <c r="O457" s="563"/>
      <c r="P457" s="300"/>
      <c r="Q457" s="563"/>
      <c r="R457" s="563"/>
      <c r="S457" s="563"/>
      <c r="T457" s="563"/>
      <c r="U457" s="563"/>
      <c r="V457" s="563"/>
      <c r="W457" s="563"/>
      <c r="X457" s="563"/>
      <c r="Y457" s="563"/>
      <c r="Z457" s="563"/>
      <c r="AA457" s="563"/>
      <c r="AB457" s="563"/>
      <c r="AC457" s="563"/>
      <c r="AD457" s="48"/>
      <c r="AE457" s="48"/>
      <c r="AF457" s="48"/>
      <c r="AG457" s="48"/>
      <c r="AH457" s="48"/>
      <c r="AI457" s="48"/>
      <c r="AJ457" s="48"/>
      <c r="AK457" s="48"/>
      <c r="AL457" s="51"/>
      <c r="AM457" s="212">
        <f>IF(AQ457=1,SUM(Q457:T457,W457:Z457,AC457:AF457,AI457:AL457),
IF(AQ457=2,SUM(P457,S457:V457,Y457:AB457,AE457:AH457,AK457:AL457),
IF(AQ457=3,SUM(P457:R457,U457:X457,AA457:AD457,AG457:AJ457),SUM(Таблица1[[#This Row],[1]:[31]])-Таблица1[[#This Row],[Столбец1]])))</f>
        <v>0</v>
      </c>
      <c r="AN457" s="778">
        <f t="array" ref="AN457">IF(AQ457=1,SUM(P457,U457:V457,AA457:AB457,AG457:AH457),
IF(AQ457=2,SUM(Q457:R457,W457:X457,AC457:AD457,AI457:AJ457),
IF(AQ457=3,SUM(S457:T457,Y457:Z457,AE457:AF457,AK457:AL457),
SUM(IFERROR(WEEKDAY($H$2:$AL$2,2)&gt;5,)*H457:AL457))))+Таблица1[[#This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57" s="292" t="b">
        <f>IF(AR457&lt;=3,(IF((G457="5/24"),((база!$M$6*Таблица1[[#This Row],[сумма]]*Таблица1[[#This Row],[коэф]])),
IF((G457="4/24"),((база!$M$5*Таблица1[[#This Row],[сумма]]*Таблица1[[#This Row],[коэф]])),
IF((G457="3/24"),((база!$M$4*Таблица1[[#This Row],[сумма]]*Таблица1[[#This Row],[коэф]])),
IF((G457="5/16"),((база!$L$6*Таблица1[[#This Row],[сумма]]*Таблица1[[#This Row],[коэф]])),
IF((G457="4/16"),((база!$L$5*Таблица1[[#This Row],[сумма]]*Таблица1[[#This Row],[коэф]])),
IF((G457="3/16"),((база!$L$4*Таблица1[[#This Row],[сумма]]*Таблица1[[#This Row],[коэф]])),
IF((G457="4/4"),((база!$I$5*Таблица1[[#This Row],[сумма]]*Таблица1[[#This Row],[коэф]])),
IF(OR(G457="2/4",G457="3/4"),((база!$I$4*Таблица1[[#This Row],[сумма]]*Таблица1[[#This Row],[коэф]])),
IF((G457="5/8"),((база!$J$6*Таблица1[[#This Row],[сумма]]*Таблица1[[#This Row],[коэф]])),
IF((G457="4/8"),((база!$J$5*Таблица1[[#This Row],[сумма]]*Таблица1[[#This Row],[коэф]])),
IF(OR(G457="3/8",G457="2/8"),((база!$J$4*Таблица1[[#This Row],[сумма]]*Таблица1[[#This Row],[коэф]])))))))))))))),
(IF((G457="5/24"),((база!$M$6*Таблица1[[#This Row],[сумма]]*Таблица1[[#This Row],[коэф]])),
IF(OR(G457="4/24",G457="3/24"),((база!$M$5*Таблица1[[#This Row],[сумма]]*Таблица1[[#This Row],[коэф]])),
IF((G457="5/16"),((база!$L$6*Таблица1[[#This Row],[сумма]]*Таблица1[[#This Row],[коэф]])),
IF(OR(G457="4/16",G457="3/16"),((база!$L$5*Таблица1[[#This Row],[сумма]]*Таблица1[[#This Row],[коэф]])),
IF(OR(G457="2/4",G457="3/4",G457="4/4"),((база!$I$5*Таблица1[[#This Row],[сумма]]*Таблица1[[#This Row],[коэф]])),
IF((G457="5/8"),((база!$J$6*Таблица1[[#This Row],[сумма]]*Таблица1[[#This Row],[коэф]])),
IF(OR(G457="4/8",G457="3/8",G457="2/8"),((база!$J$5*Таблица1[[#This Row],[сумма]]*Таблица1[[#This Row],[коэф]])))))))))))</f>
        <v>0</v>
      </c>
      <c r="AP457" s="730" t="b">
        <f>IF(AR457&lt;=3,(IF((G457="5/24"),((база!$M$6*2*Таблица1[[#This Row],[Столбец1]]*Таблица1[[#This Row],[коэф]])),
IF((G457="4/24"),((база!$M$5*2*Таблица1[[#This Row],[Столбец1]]*Таблица1[[#This Row],[коэф]])),
IF((G457="3/24"),((база!$M$4*2*Таблица1[[#This Row],[Столбец1]]*Таблица1[[#This Row],[коэф]])),
IF((G457="5/16"),((база!$L$6*2*Таблица1[[#This Row],[Столбец1]]*Таблица1[[#This Row],[коэф]])),
IF((G457="4/16"),((база!$L$5*2*Таблица1[[#This Row],[Столбец1]]*Таблица1[[#This Row],[коэф]])),
IF((G457="3/16"),((база!$L$4*2*Таблица1[[#This Row],[Столбец1]]*Таблица1[[#This Row],[коэф]])),
IF((G457="4/4"),((база!$I$5*2*Таблица1[[#This Row],[Столбец1]]*Таблица1[[#This Row],[коэф]])),
IF(OR(G457="2/4",G457="3/4"),((база!$I$4*2*Таблица1[[#This Row],[Столбец1]]*Таблица1[[#This Row],[коэф]])),
IF((G457="5/8"),((база!$J$6*2*Таблица1[[#This Row],[Столбец1]]*Таблица1[[#This Row],[коэф]])),
IF((G457="4/8"),((база!$J$5*2*Таблица1[[#This Row],[Столбец1]]*Таблица1[[#This Row],[коэф]])),
IF(OR(G457="3/8",G457="2/8"),((база!$J$4*2*Таблица1[[#This Row],[Столбец1]]*Таблица1[[#This Row],[коэф]])))))))))))))),
(IF((G457="5/24"),((база!$M$6*2*Таблица1[[#This Row],[Столбец1]]*Таблица1[[#This Row],[коэф]])),
IF(OR(G457="4/24",G457="3/24"),((база!$M$5*2*Таблица1[[#This Row],[Столбец1]]*Таблица1[[#This Row],[коэф]])),
IF((G457="5/16"),((база!$L$6*2*Таблица1[[#This Row],[Столбец1]]*Таблица1[[#This Row],[коэф]])),
IF(OR(G457="4/16",G457="3/16"),((база!$L$5*2*Таблица1[[#This Row],[Столбец1]]*Таблица1[[#This Row],[коэф]])),
IF(OR(G457="2/4",G457="3/4",G457="4/4"),((база!$I$5*2*Таблица1[[#This Row],[Столбец1]]*Таблица1[[#This Row],[коэф]])),
IF((G457="5/8"),((база!$J$6*2*Таблица1[[#This Row],[Столбец1]]*Таблица1[[#This Row],[коэф]])),
IF(OR(G457="4/8",G457="3/8",G457="2/8"),((база!$J$5*2*Таблица1[[#This Row],[Столбец1]]*Таблица1[[#This Row],[коэф]])))))))))))</f>
        <v>0</v>
      </c>
      <c r="AQ457" s="712" t="str">
        <f>IFERROR(INDEX(база!T:T, MATCH(F457,база!Q:Q,0)),"")</f>
        <v/>
      </c>
      <c r="AR457" s="208" t="str">
        <f>IFERROR(INDEX(база!D:D, MATCH(F457,база!B:B,0)),"")</f>
        <v/>
      </c>
      <c r="AS457" s="758" t="str">
        <f>IFERROR(INDEX(база!E:E, MATCH(F457,база!B:B,0)),"")</f>
        <v/>
      </c>
    </row>
    <row r="458" spans="1:47" ht="15">
      <c r="A458" s="66" t="str">
        <f t="shared" ref="A458:A521" si="9">A457</f>
        <v>январь</v>
      </c>
      <c r="B458" s="231">
        <v>2024</v>
      </c>
      <c r="C458" s="299"/>
      <c r="D458" s="61"/>
      <c r="E458" s="211"/>
      <c r="F458" s="680"/>
      <c r="G458" s="47"/>
      <c r="H458" s="563"/>
      <c r="I458" s="563"/>
      <c r="J458" s="563"/>
      <c r="K458" s="563"/>
      <c r="L458" s="563"/>
      <c r="M458" s="563"/>
      <c r="N458" s="563"/>
      <c r="O458" s="563"/>
      <c r="P458" s="300"/>
      <c r="Q458" s="563"/>
      <c r="R458" s="563"/>
      <c r="S458" s="563"/>
      <c r="T458" s="563"/>
      <c r="U458" s="563"/>
      <c r="V458" s="563"/>
      <c r="W458" s="563"/>
      <c r="X458" s="563"/>
      <c r="Y458" s="563"/>
      <c r="Z458" s="563"/>
      <c r="AA458" s="563"/>
      <c r="AB458" s="563"/>
      <c r="AC458" s="563"/>
      <c r="AD458" s="48"/>
      <c r="AE458" s="48"/>
      <c r="AF458" s="48"/>
      <c r="AG458" s="48"/>
      <c r="AH458" s="48"/>
      <c r="AI458" s="258"/>
      <c r="AJ458" s="258"/>
      <c r="AK458" s="258"/>
      <c r="AL458" s="258"/>
      <c r="AM458" s="212">
        <f>IF(AQ458=1,SUM(Q458:T458,W458:Z458,AC458:AF458,AI458:AL458),
IF(AQ458=2,SUM(P458,S458:V458,Y458:AB458,AE458:AH458,AK458:AL458),
IF(AQ458=3,SUM(P458:R458,U458:X458,AA458:AD458,AG458:AJ458),SUM(Таблица1[[#This Row],[1]:[31]])-Таблица1[[#This Row],[Столбец1]])))</f>
        <v>0</v>
      </c>
      <c r="AN458" s="778">
        <f t="array" ref="AN458">IF(AQ458=1,SUM(P458,U458:V458,AA458:AB458,AG458:AH458),
IF(AQ458=2,SUM(Q458:R458,W458:X458,AC458:AD458,AI458:AJ458),
IF(AQ458=3,SUM(S458:T458,Y458:Z458,AE458:AF458,AK458:AL458),
SUM(IFERROR(WEEKDAY($H$2:$AL$2,2)&gt;5,)*H458:AL458))))+Таблица1[[#This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58" s="292" t="b">
        <f>IF(AR458&lt;=3,(IF((G458="5/24"),((база!$M$6*Таблица1[[#This Row],[сумма]]*Таблица1[[#This Row],[коэф]])),
IF((G458="4/24"),((база!$M$5*Таблица1[[#This Row],[сумма]]*Таблица1[[#This Row],[коэф]])),
IF((G458="3/24"),((база!$M$4*Таблица1[[#This Row],[сумма]]*Таблица1[[#This Row],[коэф]])),
IF((G458="5/16"),((база!$L$6*Таблица1[[#This Row],[сумма]]*Таблица1[[#This Row],[коэф]])),
IF((G458="4/16"),((база!$L$5*Таблица1[[#This Row],[сумма]]*Таблица1[[#This Row],[коэф]])),
IF((G458="3/16"),((база!$L$4*Таблица1[[#This Row],[сумма]]*Таблица1[[#This Row],[коэф]])),
IF((G458="4/4"),((база!$I$5*Таблица1[[#This Row],[сумма]]*Таблица1[[#This Row],[коэф]])),
IF(OR(G458="2/4",G458="3/4"),((база!$I$4*Таблица1[[#This Row],[сумма]]*Таблица1[[#This Row],[коэф]])),
IF((G458="5/8"),((база!$J$6*Таблица1[[#This Row],[сумма]]*Таблица1[[#This Row],[коэф]])),
IF((G458="4/8"),((база!$J$5*Таблица1[[#This Row],[сумма]]*Таблица1[[#This Row],[коэф]])),
IF(OR(G458="3/8",G458="2/8"),((база!$J$4*Таблица1[[#This Row],[сумма]]*Таблица1[[#This Row],[коэф]])))))))))))))),
(IF((G458="5/24"),((база!$M$6*Таблица1[[#This Row],[сумма]]*Таблица1[[#This Row],[коэф]])),
IF(OR(G458="4/24",G458="3/24"),((база!$M$5*Таблица1[[#This Row],[сумма]]*Таблица1[[#This Row],[коэф]])),
IF((G458="5/16"),((база!$L$6*Таблица1[[#This Row],[сумма]]*Таблица1[[#This Row],[коэф]])),
IF(OR(G458="4/16",G458="3/16"),((база!$L$5*Таблица1[[#This Row],[сумма]]*Таблица1[[#This Row],[коэф]])),
IF(OR(G458="2/4",G458="3/4",G458="4/4"),((база!$I$5*Таблица1[[#This Row],[сумма]]*Таблица1[[#This Row],[коэф]])),
IF((G458="5/8"),((база!$J$6*Таблица1[[#This Row],[сумма]]*Таблица1[[#This Row],[коэф]])),
IF(OR(G458="4/8",G458="3/8",G458="2/8"),((база!$J$5*Таблица1[[#This Row],[сумма]]*Таблица1[[#This Row],[коэф]])))))))))))</f>
        <v>0</v>
      </c>
      <c r="AP458" s="730" t="b">
        <f>IF(AR458&lt;=3,(IF((G458="5/24"),((база!$M$6*2*Таблица1[[#This Row],[Столбец1]]*Таблица1[[#This Row],[коэф]])),
IF((G458="4/24"),((база!$M$5*2*Таблица1[[#This Row],[Столбец1]]*Таблица1[[#This Row],[коэф]])),
IF((G458="3/24"),((база!$M$4*2*Таблица1[[#This Row],[Столбец1]]*Таблица1[[#This Row],[коэф]])),
IF((G458="5/16"),((база!$L$6*2*Таблица1[[#This Row],[Столбец1]]*Таблица1[[#This Row],[коэф]])),
IF((G458="4/16"),((база!$L$5*2*Таблица1[[#This Row],[Столбец1]]*Таблица1[[#This Row],[коэф]])),
IF((G458="3/16"),((база!$L$4*2*Таблица1[[#This Row],[Столбец1]]*Таблица1[[#This Row],[коэф]])),
IF((G458="4/4"),((база!$I$5*2*Таблица1[[#This Row],[Столбец1]]*Таблица1[[#This Row],[коэф]])),
IF(OR(G458="2/4",G458="3/4"),((база!$I$4*2*Таблица1[[#This Row],[Столбец1]]*Таблица1[[#This Row],[коэф]])),
IF((G458="5/8"),((база!$J$6*2*Таблица1[[#This Row],[Столбец1]]*Таблица1[[#This Row],[коэф]])),
IF((G458="4/8"),((база!$J$5*2*Таблица1[[#This Row],[Столбец1]]*Таблица1[[#This Row],[коэф]])),
IF(OR(G458="3/8",G458="2/8"),((база!$J$4*2*Таблица1[[#This Row],[Столбец1]]*Таблица1[[#This Row],[коэф]])))))))))))))),
(IF((G458="5/24"),((база!$M$6*2*Таблица1[[#This Row],[Столбец1]]*Таблица1[[#This Row],[коэф]])),
IF(OR(G458="4/24",G458="3/24"),((база!$M$5*2*Таблица1[[#This Row],[Столбец1]]*Таблица1[[#This Row],[коэф]])),
IF((G458="5/16"),((база!$L$6*2*Таблица1[[#This Row],[Столбец1]]*Таблица1[[#This Row],[коэф]])),
IF(OR(G458="4/16",G458="3/16"),((база!$L$5*2*Таблица1[[#This Row],[Столбец1]]*Таблица1[[#This Row],[коэф]])),
IF(OR(G458="2/4",G458="3/4",G458="4/4"),((база!$I$5*2*Таблица1[[#This Row],[Столбец1]]*Таблица1[[#This Row],[коэф]])),
IF((G458="5/8"),((база!$J$6*2*Таблица1[[#This Row],[Столбец1]]*Таблица1[[#This Row],[коэф]])),
IF(OR(G458="4/8",G458="3/8",G458="2/8"),((база!$J$5*2*Таблица1[[#This Row],[Столбец1]]*Таблица1[[#This Row],[коэф]])))))))))))</f>
        <v>0</v>
      </c>
      <c r="AQ458" s="712" t="str">
        <f>IFERROR(INDEX(база!T:T, MATCH(F458,база!Q:Q,0)),"")</f>
        <v/>
      </c>
      <c r="AR458" s="208" t="str">
        <f>IFERROR(INDEX(база!D:D, MATCH(F458,база!B:B,0)),"")</f>
        <v/>
      </c>
      <c r="AS458" s="758" t="str">
        <f>IFERROR(INDEX(база!E:E, MATCH(F458,база!B:B,0)),"")</f>
        <v/>
      </c>
      <c r="AT458" s="46"/>
      <c r="AU458" s="46"/>
    </row>
    <row r="459" spans="1:47" ht="15">
      <c r="A459" s="66" t="str">
        <f t="shared" si="9"/>
        <v>январь</v>
      </c>
      <c r="B459" s="231">
        <v>2024</v>
      </c>
      <c r="C459" s="299"/>
      <c r="D459" s="61"/>
      <c r="E459" s="211"/>
      <c r="F459" s="680"/>
      <c r="G459" s="47"/>
      <c r="H459" s="563"/>
      <c r="I459" s="563"/>
      <c r="J459" s="563"/>
      <c r="K459" s="563"/>
      <c r="L459" s="563"/>
      <c r="M459" s="563"/>
      <c r="N459" s="563"/>
      <c r="O459" s="563"/>
      <c r="P459" s="300"/>
      <c r="Q459" s="563"/>
      <c r="R459" s="563"/>
      <c r="S459" s="563"/>
      <c r="T459" s="563"/>
      <c r="U459" s="563"/>
      <c r="V459" s="563"/>
      <c r="W459" s="563"/>
      <c r="X459" s="563"/>
      <c r="Y459" s="563"/>
      <c r="Z459" s="563"/>
      <c r="AA459" s="563"/>
      <c r="AB459" s="563"/>
      <c r="AC459" s="563"/>
      <c r="AD459" s="48"/>
      <c r="AE459" s="48"/>
      <c r="AF459" s="258"/>
      <c r="AG459" s="258"/>
      <c r="AH459" s="258"/>
      <c r="AI459" s="48"/>
      <c r="AJ459" s="48"/>
      <c r="AK459" s="48"/>
      <c r="AL459" s="51"/>
      <c r="AM459" s="212">
        <f>IF(AQ459=1,SUM(Q459:T459,W459:Z459,AC459:AF459,AI459:AL459),
IF(AQ459=2,SUM(P459,S459:V459,Y459:AB459,AE459:AH459,AK459:AL459),
IF(AQ459=3,SUM(P459:R459,U459:X459,AA459:AD459,AG459:AJ459),SUM(Таблица1[[#This Row],[1]:[31]])-Таблица1[[#This Row],[Столбец1]])))</f>
        <v>0</v>
      </c>
      <c r="AN459" s="778">
        <f t="array" ref="AN459">IF(AQ459=1,SUM(P459,U459:V459,AA459:AB459,AG459:AH459),
IF(AQ459=2,SUM(Q459:R459,W459:X459,AC459:AD459,AI459:AJ459),
IF(AQ459=3,SUM(S459:T459,Y459:Z459,AE459:AF459,AK459:AL459),
SUM(IFERROR(WEEKDAY($H$2:$AL$2,2)&gt;5,)*H459:AL459))))+Таблица1[[#This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59" s="292" t="b">
        <f>IF(AR459&lt;=3,(IF((G459="5/24"),((база!$M$6*Таблица1[[#This Row],[сумма]]*Таблица1[[#This Row],[коэф]])),
IF((G459="4/24"),((база!$M$5*Таблица1[[#This Row],[сумма]]*Таблица1[[#This Row],[коэф]])),
IF((G459="3/24"),((база!$M$4*Таблица1[[#This Row],[сумма]]*Таблица1[[#This Row],[коэф]])),
IF((G459="5/16"),((база!$L$6*Таблица1[[#This Row],[сумма]]*Таблица1[[#This Row],[коэф]])),
IF((G459="4/16"),((база!$L$5*Таблица1[[#This Row],[сумма]]*Таблица1[[#This Row],[коэф]])),
IF((G459="3/16"),((база!$L$4*Таблица1[[#This Row],[сумма]]*Таблица1[[#This Row],[коэф]])),
IF((G459="4/4"),((база!$I$5*Таблица1[[#This Row],[сумма]]*Таблица1[[#This Row],[коэф]])),
IF(OR(G459="2/4",G459="3/4"),((база!$I$4*Таблица1[[#This Row],[сумма]]*Таблица1[[#This Row],[коэф]])),
IF((G459="5/8"),((база!$J$6*Таблица1[[#This Row],[сумма]]*Таблица1[[#This Row],[коэф]])),
IF((G459="4/8"),((база!$J$5*Таблица1[[#This Row],[сумма]]*Таблица1[[#This Row],[коэф]])),
IF(OR(G459="3/8",G459="2/8"),((база!$J$4*Таблица1[[#This Row],[сумма]]*Таблица1[[#This Row],[коэф]])))))))))))))),
(IF((G459="5/24"),((база!$M$6*Таблица1[[#This Row],[сумма]]*Таблица1[[#This Row],[коэф]])),
IF(OR(G459="4/24",G459="3/24"),((база!$M$5*Таблица1[[#This Row],[сумма]]*Таблица1[[#This Row],[коэф]])),
IF((G459="5/16"),((база!$L$6*Таблица1[[#This Row],[сумма]]*Таблица1[[#This Row],[коэф]])),
IF(OR(G459="4/16",G459="3/16"),((база!$L$5*Таблица1[[#This Row],[сумма]]*Таблица1[[#This Row],[коэф]])),
IF(OR(G459="2/4",G459="3/4",G459="4/4"),((база!$I$5*Таблица1[[#This Row],[сумма]]*Таблица1[[#This Row],[коэф]])),
IF((G459="5/8"),((база!$J$6*Таблица1[[#This Row],[сумма]]*Таблица1[[#This Row],[коэф]])),
IF(OR(G459="4/8",G459="3/8",G459="2/8"),((база!$J$5*Таблица1[[#This Row],[сумма]]*Таблица1[[#This Row],[коэф]])))))))))))</f>
        <v>0</v>
      </c>
      <c r="AP459" s="730" t="b">
        <f>IF(AR459&lt;=3,(IF((G459="5/24"),((база!$M$6*2*Таблица1[[#This Row],[Столбец1]]*Таблица1[[#This Row],[коэф]])),
IF((G459="4/24"),((база!$M$5*2*Таблица1[[#This Row],[Столбец1]]*Таблица1[[#This Row],[коэф]])),
IF((G459="3/24"),((база!$M$4*2*Таблица1[[#This Row],[Столбец1]]*Таблица1[[#This Row],[коэф]])),
IF((G459="5/16"),((база!$L$6*2*Таблица1[[#This Row],[Столбец1]]*Таблица1[[#This Row],[коэф]])),
IF((G459="4/16"),((база!$L$5*2*Таблица1[[#This Row],[Столбец1]]*Таблица1[[#This Row],[коэф]])),
IF((G459="3/16"),((база!$L$4*2*Таблица1[[#This Row],[Столбец1]]*Таблица1[[#This Row],[коэф]])),
IF((G459="4/4"),((база!$I$5*2*Таблица1[[#This Row],[Столбец1]]*Таблица1[[#This Row],[коэф]])),
IF(OR(G459="2/4",G459="3/4"),((база!$I$4*2*Таблица1[[#This Row],[Столбец1]]*Таблица1[[#This Row],[коэф]])),
IF((G459="5/8"),((база!$J$6*2*Таблица1[[#This Row],[Столбец1]]*Таблица1[[#This Row],[коэф]])),
IF((G459="4/8"),((база!$J$5*2*Таблица1[[#This Row],[Столбец1]]*Таблица1[[#This Row],[коэф]])),
IF(OR(G459="3/8",G459="2/8"),((база!$J$4*2*Таблица1[[#This Row],[Столбец1]]*Таблица1[[#This Row],[коэф]])))))))))))))),
(IF((G459="5/24"),((база!$M$6*2*Таблица1[[#This Row],[Столбец1]]*Таблица1[[#This Row],[коэф]])),
IF(OR(G459="4/24",G459="3/24"),((база!$M$5*2*Таблица1[[#This Row],[Столбец1]]*Таблица1[[#This Row],[коэф]])),
IF((G459="5/16"),((база!$L$6*2*Таблица1[[#This Row],[Столбец1]]*Таблица1[[#This Row],[коэф]])),
IF(OR(G459="4/16",G459="3/16"),((база!$L$5*2*Таблица1[[#This Row],[Столбец1]]*Таблица1[[#This Row],[коэф]])),
IF(OR(G459="2/4",G459="3/4",G459="4/4"),((база!$I$5*2*Таблица1[[#This Row],[Столбец1]]*Таблица1[[#This Row],[коэф]])),
IF((G459="5/8"),((база!$J$6*2*Таблица1[[#This Row],[Столбец1]]*Таблица1[[#This Row],[коэф]])),
IF(OR(G459="4/8",G459="3/8",G459="2/8"),((база!$J$5*2*Таблица1[[#This Row],[Столбец1]]*Таблица1[[#This Row],[коэф]])))))))))))</f>
        <v>0</v>
      </c>
      <c r="AQ459" s="712" t="str">
        <f>IFERROR(INDEX(база!T:T, MATCH(F459,база!Q:Q,0)),"")</f>
        <v/>
      </c>
      <c r="AR459" s="208" t="str">
        <f>IFERROR(INDEX(база!D:D, MATCH(F459,база!B:B,0)),"")</f>
        <v/>
      </c>
      <c r="AS459" s="758" t="str">
        <f>IFERROR(INDEX(база!E:E, MATCH(F459,база!B:B,0)),"")</f>
        <v/>
      </c>
      <c r="AT459" s="46"/>
      <c r="AU459" s="46"/>
    </row>
    <row r="460" spans="1:47" s="46" customFormat="1" ht="15">
      <c r="A460" s="66" t="str">
        <f t="shared" si="9"/>
        <v>январь</v>
      </c>
      <c r="B460" s="231">
        <v>2024</v>
      </c>
      <c r="C460" s="299"/>
      <c r="D460" s="61"/>
      <c r="E460" s="211"/>
      <c r="F460" s="680"/>
      <c r="G460" s="47"/>
      <c r="H460" s="563"/>
      <c r="I460" s="563"/>
      <c r="J460" s="563"/>
      <c r="K460" s="563"/>
      <c r="L460" s="563"/>
      <c r="M460" s="563"/>
      <c r="N460" s="563"/>
      <c r="O460" s="563"/>
      <c r="P460" s="300"/>
      <c r="Q460" s="563"/>
      <c r="R460" s="563"/>
      <c r="S460" s="563"/>
      <c r="T460" s="563"/>
      <c r="U460" s="563"/>
      <c r="V460" s="563"/>
      <c r="W460" s="563"/>
      <c r="X460" s="563"/>
      <c r="Y460" s="563"/>
      <c r="Z460" s="563"/>
      <c r="AA460" s="563"/>
      <c r="AB460" s="563"/>
      <c r="AC460" s="563"/>
      <c r="AD460" s="48"/>
      <c r="AE460" s="48"/>
      <c r="AF460" s="258"/>
      <c r="AG460" s="48"/>
      <c r="AH460" s="48"/>
      <c r="AI460" s="258"/>
      <c r="AJ460" s="258"/>
      <c r="AK460" s="258"/>
      <c r="AL460" s="258"/>
      <c r="AM460" s="212">
        <f>IF(AQ460=1,SUM(Q460:T460,W460:Z460,AC460:AF460,AI460:AL460),
IF(AQ460=2,SUM(P460,S460:V460,Y460:AB460,AE460:AH460,AK460:AL460),
IF(AQ460=3,SUM(P460:R460,U460:X460,AA460:AD460,AG460:AJ460),SUM(Таблица1[[#This Row],[1]:[31]])-Таблица1[[#This Row],[Столбец1]])))</f>
        <v>0</v>
      </c>
      <c r="AN460" s="778">
        <f t="array" ref="AN460">IF(AQ460=1,SUM(P460,U460:V460,AA460:AB460,AG460:AH460),
IF(AQ460=2,SUM(Q460:R460,W460:X460,AC460:AD460,AI460:AJ460),
IF(AQ460=3,SUM(S460:T460,Y460:Z460,AE460:AF460,AK460:AL460),
SUM(IFERROR(WEEKDAY($H$2:$AL$2,2)&gt;5,)*H460:AL460))))+Таблица1[[#This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60" s="292" t="b">
        <f>IF(AR460&lt;=3,(IF((G460="5/24"),((база!$M$6*Таблица1[[#This Row],[сумма]]*Таблица1[[#This Row],[коэф]])),
IF((G460="4/24"),((база!$M$5*Таблица1[[#This Row],[сумма]]*Таблица1[[#This Row],[коэф]])),
IF((G460="3/24"),((база!$M$4*Таблица1[[#This Row],[сумма]]*Таблица1[[#This Row],[коэф]])),
IF((G460="5/16"),((база!$L$6*Таблица1[[#This Row],[сумма]]*Таблица1[[#This Row],[коэф]])),
IF((G460="4/16"),((база!$L$5*Таблица1[[#This Row],[сумма]]*Таблица1[[#This Row],[коэф]])),
IF((G460="3/16"),((база!$L$4*Таблица1[[#This Row],[сумма]]*Таблица1[[#This Row],[коэф]])),
IF((G460="4/4"),((база!$I$5*Таблица1[[#This Row],[сумма]]*Таблица1[[#This Row],[коэф]])),
IF(OR(G460="2/4",G460="3/4"),((база!$I$4*Таблица1[[#This Row],[сумма]]*Таблица1[[#This Row],[коэф]])),
IF((G460="5/8"),((база!$J$6*Таблица1[[#This Row],[сумма]]*Таблица1[[#This Row],[коэф]])),
IF((G460="4/8"),((база!$J$5*Таблица1[[#This Row],[сумма]]*Таблица1[[#This Row],[коэф]])),
IF(OR(G460="3/8",G460="2/8"),((база!$J$4*Таблица1[[#This Row],[сумма]]*Таблица1[[#This Row],[коэф]])))))))))))))),
(IF((G460="5/24"),((база!$M$6*Таблица1[[#This Row],[сумма]]*Таблица1[[#This Row],[коэф]])),
IF(OR(G460="4/24",G460="3/24"),((база!$M$5*Таблица1[[#This Row],[сумма]]*Таблица1[[#This Row],[коэф]])),
IF((G460="5/16"),((база!$L$6*Таблица1[[#This Row],[сумма]]*Таблица1[[#This Row],[коэф]])),
IF(OR(G460="4/16",G460="3/16"),((база!$L$5*Таблица1[[#This Row],[сумма]]*Таблица1[[#This Row],[коэф]])),
IF(OR(G460="2/4",G460="3/4",G460="4/4"),((база!$I$5*Таблица1[[#This Row],[сумма]]*Таблица1[[#This Row],[коэф]])),
IF((G460="5/8"),((база!$J$6*Таблица1[[#This Row],[сумма]]*Таблица1[[#This Row],[коэф]])),
IF(OR(G460="4/8",G460="3/8",G460="2/8"),((база!$J$5*Таблица1[[#This Row],[сумма]]*Таблица1[[#This Row],[коэф]])))))))))))</f>
        <v>0</v>
      </c>
      <c r="AP460" s="730" t="b">
        <f>IF(AR460&lt;=3,(IF((G460="5/24"),((база!$M$6*2*Таблица1[[#This Row],[Столбец1]]*Таблица1[[#This Row],[коэф]])),
IF((G460="4/24"),((база!$M$5*2*Таблица1[[#This Row],[Столбец1]]*Таблица1[[#This Row],[коэф]])),
IF((G460="3/24"),((база!$M$4*2*Таблица1[[#This Row],[Столбец1]]*Таблица1[[#This Row],[коэф]])),
IF((G460="5/16"),((база!$L$6*2*Таблица1[[#This Row],[Столбец1]]*Таблица1[[#This Row],[коэф]])),
IF((G460="4/16"),((база!$L$5*2*Таблица1[[#This Row],[Столбец1]]*Таблица1[[#This Row],[коэф]])),
IF((G460="3/16"),((база!$L$4*2*Таблица1[[#This Row],[Столбец1]]*Таблица1[[#This Row],[коэф]])),
IF((G460="4/4"),((база!$I$5*2*Таблица1[[#This Row],[Столбец1]]*Таблица1[[#This Row],[коэф]])),
IF(OR(G460="2/4",G460="3/4"),((база!$I$4*2*Таблица1[[#This Row],[Столбец1]]*Таблица1[[#This Row],[коэф]])),
IF((G460="5/8"),((база!$J$6*2*Таблица1[[#This Row],[Столбец1]]*Таблица1[[#This Row],[коэф]])),
IF((G460="4/8"),((база!$J$5*2*Таблица1[[#This Row],[Столбец1]]*Таблица1[[#This Row],[коэф]])),
IF(OR(G460="3/8",G460="2/8"),((база!$J$4*2*Таблица1[[#This Row],[Столбец1]]*Таблица1[[#This Row],[коэф]])))))))))))))),
(IF((G460="5/24"),((база!$M$6*2*Таблица1[[#This Row],[Столбец1]]*Таблица1[[#This Row],[коэф]])),
IF(OR(G460="4/24",G460="3/24"),((база!$M$5*2*Таблица1[[#This Row],[Столбец1]]*Таблица1[[#This Row],[коэф]])),
IF((G460="5/16"),((база!$L$6*2*Таблица1[[#This Row],[Столбец1]]*Таблица1[[#This Row],[коэф]])),
IF(OR(G460="4/16",G460="3/16"),((база!$L$5*2*Таблица1[[#This Row],[Столбец1]]*Таблица1[[#This Row],[коэф]])),
IF(OR(G460="2/4",G460="3/4",G460="4/4"),((база!$I$5*2*Таблица1[[#This Row],[Столбец1]]*Таблица1[[#This Row],[коэф]])),
IF((G460="5/8"),((база!$J$6*2*Таблица1[[#This Row],[Столбец1]]*Таблица1[[#This Row],[коэф]])),
IF(OR(G460="4/8",G460="3/8",G460="2/8"),((база!$J$5*2*Таблица1[[#This Row],[Столбец1]]*Таблица1[[#This Row],[коэф]])))))))))))</f>
        <v>0</v>
      </c>
      <c r="AQ460" s="712" t="str">
        <f>IFERROR(INDEX(база!T:T, MATCH(F460,база!Q:Q,0)),"")</f>
        <v/>
      </c>
      <c r="AR460" s="208" t="str">
        <f>IFERROR(INDEX(база!D:D, MATCH(F460,база!B:B,0)),"")</f>
        <v/>
      </c>
      <c r="AS460" s="758" t="str">
        <f>IFERROR(INDEX(база!E:E, MATCH(F460,база!B:B,0)),"")</f>
        <v/>
      </c>
    </row>
    <row r="461" spans="1:47" s="46" customFormat="1" ht="15">
      <c r="A461" s="66" t="str">
        <f t="shared" si="9"/>
        <v>январь</v>
      </c>
      <c r="B461" s="231">
        <v>2024</v>
      </c>
      <c r="C461" s="299"/>
      <c r="D461" s="61"/>
      <c r="E461" s="211"/>
      <c r="F461" s="680"/>
      <c r="G461" s="47"/>
      <c r="H461" s="563"/>
      <c r="I461" s="563"/>
      <c r="J461" s="563"/>
      <c r="K461" s="563"/>
      <c r="L461" s="563"/>
      <c r="M461" s="563"/>
      <c r="N461" s="563"/>
      <c r="O461" s="563"/>
      <c r="P461" s="300"/>
      <c r="Q461" s="563"/>
      <c r="R461" s="563"/>
      <c r="S461" s="563"/>
      <c r="T461" s="563"/>
      <c r="U461" s="563"/>
      <c r="V461" s="563"/>
      <c r="W461" s="563"/>
      <c r="X461" s="563"/>
      <c r="Y461" s="563"/>
      <c r="Z461" s="563"/>
      <c r="AA461" s="563"/>
      <c r="AB461" s="563"/>
      <c r="AC461" s="563"/>
      <c r="AD461" s="48"/>
      <c r="AE461" s="48"/>
      <c r="AF461" s="258"/>
      <c r="AG461" s="48"/>
      <c r="AH461" s="48"/>
      <c r="AI461" s="48"/>
      <c r="AJ461" s="48"/>
      <c r="AK461" s="48"/>
      <c r="AL461" s="51"/>
      <c r="AM461" s="212">
        <f>IF(AQ461=1,SUM(Q461:T461,W461:Z461,AC461:AF461,AI461:AL461),
IF(AQ461=2,SUM(P461,S461:V461,Y461:AB461,AE461:AH461,AK461:AL461),
IF(AQ461=3,SUM(P461:R461,U461:X461,AA461:AD461,AG461:AJ461),SUM(Таблица1[[#This Row],[1]:[31]])-Таблица1[[#This Row],[Столбец1]])))</f>
        <v>0</v>
      </c>
      <c r="AN461" s="778">
        <f t="array" ref="AN461">IF(AQ461=1,SUM(P461,U461:V461,AA461:AB461,AG461:AH461),
IF(AQ461=2,SUM(Q461:R461,W461:X461,AC461:AD461,AI461:AJ461),
IF(AQ461=3,SUM(S461:T461,Y461:Z461,AE461:AF461,AK461:AL461),
SUM(IFERROR(WEEKDAY($H$2:$AL$2,2)&gt;5,)*H461:AL461))))+Таблица1[[#This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61" s="292" t="b">
        <f>IF(AR461&lt;=3,(IF((G461="5/24"),((база!$M$6*Таблица1[[#This Row],[сумма]]*Таблица1[[#This Row],[коэф]])),
IF((G461="4/24"),((база!$M$5*Таблица1[[#This Row],[сумма]]*Таблица1[[#This Row],[коэф]])),
IF((G461="3/24"),((база!$M$4*Таблица1[[#This Row],[сумма]]*Таблица1[[#This Row],[коэф]])),
IF((G461="5/16"),((база!$L$6*Таблица1[[#This Row],[сумма]]*Таблица1[[#This Row],[коэф]])),
IF((G461="4/16"),((база!$L$5*Таблица1[[#This Row],[сумма]]*Таблица1[[#This Row],[коэф]])),
IF((G461="3/16"),((база!$L$4*Таблица1[[#This Row],[сумма]]*Таблица1[[#This Row],[коэф]])),
IF((G461="4/4"),((база!$I$5*Таблица1[[#This Row],[сумма]]*Таблица1[[#This Row],[коэф]])),
IF(OR(G461="2/4",G461="3/4"),((база!$I$4*Таблица1[[#This Row],[сумма]]*Таблица1[[#This Row],[коэф]])),
IF((G461="5/8"),((база!$J$6*Таблица1[[#This Row],[сумма]]*Таблица1[[#This Row],[коэф]])),
IF((G461="4/8"),((база!$J$5*Таблица1[[#This Row],[сумма]]*Таблица1[[#This Row],[коэф]])),
IF(OR(G461="3/8",G461="2/8"),((база!$J$4*Таблица1[[#This Row],[сумма]]*Таблица1[[#This Row],[коэф]])))))))))))))),
(IF((G461="5/24"),((база!$M$6*Таблица1[[#This Row],[сумма]]*Таблица1[[#This Row],[коэф]])),
IF(OR(G461="4/24",G461="3/24"),((база!$M$5*Таблица1[[#This Row],[сумма]]*Таблица1[[#This Row],[коэф]])),
IF((G461="5/16"),((база!$L$6*Таблица1[[#This Row],[сумма]]*Таблица1[[#This Row],[коэф]])),
IF(OR(G461="4/16",G461="3/16"),((база!$L$5*Таблица1[[#This Row],[сумма]]*Таблица1[[#This Row],[коэф]])),
IF(OR(G461="2/4",G461="3/4",G461="4/4"),((база!$I$5*Таблица1[[#This Row],[сумма]]*Таблица1[[#This Row],[коэф]])),
IF((G461="5/8"),((база!$J$6*Таблица1[[#This Row],[сумма]]*Таблица1[[#This Row],[коэф]])),
IF(OR(G461="4/8",G461="3/8",G461="2/8"),((база!$J$5*Таблица1[[#This Row],[сумма]]*Таблица1[[#This Row],[коэф]])))))))))))</f>
        <v>0</v>
      </c>
      <c r="AP461" s="730" t="b">
        <f>IF(AR461&lt;=3,(IF((G461="5/24"),((база!$M$6*2*Таблица1[[#This Row],[Столбец1]]*Таблица1[[#This Row],[коэф]])),
IF((G461="4/24"),((база!$M$5*2*Таблица1[[#This Row],[Столбец1]]*Таблица1[[#This Row],[коэф]])),
IF((G461="3/24"),((база!$M$4*2*Таблица1[[#This Row],[Столбец1]]*Таблица1[[#This Row],[коэф]])),
IF((G461="5/16"),((база!$L$6*2*Таблица1[[#This Row],[Столбец1]]*Таблица1[[#This Row],[коэф]])),
IF((G461="4/16"),((база!$L$5*2*Таблица1[[#This Row],[Столбец1]]*Таблица1[[#This Row],[коэф]])),
IF((G461="3/16"),((база!$L$4*2*Таблица1[[#This Row],[Столбец1]]*Таблица1[[#This Row],[коэф]])),
IF((G461="4/4"),((база!$I$5*2*Таблица1[[#This Row],[Столбец1]]*Таблица1[[#This Row],[коэф]])),
IF(OR(G461="2/4",G461="3/4"),((база!$I$4*2*Таблица1[[#This Row],[Столбец1]]*Таблица1[[#This Row],[коэф]])),
IF((G461="5/8"),((база!$J$6*2*Таблица1[[#This Row],[Столбец1]]*Таблица1[[#This Row],[коэф]])),
IF((G461="4/8"),((база!$J$5*2*Таблица1[[#This Row],[Столбец1]]*Таблица1[[#This Row],[коэф]])),
IF(OR(G461="3/8",G461="2/8"),((база!$J$4*2*Таблица1[[#This Row],[Столбец1]]*Таблица1[[#This Row],[коэф]])))))))))))))),
(IF((G461="5/24"),((база!$M$6*2*Таблица1[[#This Row],[Столбец1]]*Таблица1[[#This Row],[коэф]])),
IF(OR(G461="4/24",G461="3/24"),((база!$M$5*2*Таблица1[[#This Row],[Столбец1]]*Таблица1[[#This Row],[коэф]])),
IF((G461="5/16"),((база!$L$6*2*Таблица1[[#This Row],[Столбец1]]*Таблица1[[#This Row],[коэф]])),
IF(OR(G461="4/16",G461="3/16"),((база!$L$5*2*Таблица1[[#This Row],[Столбец1]]*Таблица1[[#This Row],[коэф]])),
IF(OR(G461="2/4",G461="3/4",G461="4/4"),((база!$I$5*2*Таблица1[[#This Row],[Столбец1]]*Таблица1[[#This Row],[коэф]])),
IF((G461="5/8"),((база!$J$6*2*Таблица1[[#This Row],[Столбец1]]*Таблица1[[#This Row],[коэф]])),
IF(OR(G461="4/8",G461="3/8",G461="2/8"),((база!$J$5*2*Таблица1[[#This Row],[Столбец1]]*Таблица1[[#This Row],[коэф]])))))))))))</f>
        <v>0</v>
      </c>
      <c r="AQ461" s="712" t="str">
        <f>IFERROR(INDEX(база!T:T, MATCH(F461,база!Q:Q,0)),"")</f>
        <v/>
      </c>
      <c r="AR461" s="208" t="str">
        <f>IFERROR(INDEX(база!D:D, MATCH(F461,база!B:B,0)),"")</f>
        <v/>
      </c>
      <c r="AS461" s="758" t="str">
        <f>IFERROR(INDEX(база!E:E, MATCH(F461,база!B:B,0)),"")</f>
        <v/>
      </c>
    </row>
    <row r="462" spans="1:47" s="46" customFormat="1" ht="15">
      <c r="A462" s="66" t="str">
        <f t="shared" si="9"/>
        <v>январь</v>
      </c>
      <c r="B462" s="231">
        <v>2024</v>
      </c>
      <c r="C462" s="299"/>
      <c r="D462" s="61"/>
      <c r="E462" s="211"/>
      <c r="F462" s="680"/>
      <c r="G462" s="47"/>
      <c r="H462" s="563"/>
      <c r="I462" s="563"/>
      <c r="J462" s="563"/>
      <c r="K462" s="563"/>
      <c r="L462" s="563"/>
      <c r="M462" s="563"/>
      <c r="N462" s="563"/>
      <c r="O462" s="563"/>
      <c r="P462" s="300"/>
      <c r="Q462" s="563"/>
      <c r="R462" s="563"/>
      <c r="S462" s="563"/>
      <c r="T462" s="563"/>
      <c r="U462" s="563"/>
      <c r="V462" s="563"/>
      <c r="W462" s="563"/>
      <c r="X462" s="563"/>
      <c r="Y462" s="563"/>
      <c r="Z462" s="563"/>
      <c r="AA462" s="563"/>
      <c r="AB462" s="563"/>
      <c r="AC462" s="563"/>
      <c r="AD462" s="48"/>
      <c r="AE462" s="48"/>
      <c r="AF462" s="258"/>
      <c r="AG462" s="48"/>
      <c r="AH462" s="48"/>
      <c r="AI462" s="258"/>
      <c r="AJ462" s="258"/>
      <c r="AK462" s="258"/>
      <c r="AL462" s="258"/>
      <c r="AM462" s="212">
        <f>IF(AQ462=1,SUM(Q462:T462,W462:Z462,AC462:AF462,AI462:AL462),
IF(AQ462=2,SUM(P462,S462:V462,Y462:AB462,AE462:AH462,AK462:AL462),
IF(AQ462=3,SUM(P462:R462,U462:X462,AA462:AD462,AG462:AJ462),SUM(Таблица1[[#This Row],[1]:[31]])-Таблица1[[#This Row],[Столбец1]])))</f>
        <v>0</v>
      </c>
      <c r="AN462" s="778">
        <f t="array" ref="AN462">IF(AQ462=1,SUM(P462,U462:V462,AA462:AB462,AG462:AH462),
IF(AQ462=2,SUM(Q462:R462,W462:X462,AC462:AD462,AI462:AJ462),
IF(AQ462=3,SUM(S462:T462,Y462:Z462,AE462:AF462,AK462:AL462),
SUM(IFERROR(WEEKDAY($H$2:$AL$2,2)&gt;5,)*H462:AL462))))+Таблица1[[#This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62" s="292" t="b">
        <f>IF(AR462&lt;=3,(IF((G462="5/24"),((база!$M$6*Таблица1[[#This Row],[сумма]]*Таблица1[[#This Row],[коэф]])),
IF((G462="4/24"),((база!$M$5*Таблица1[[#This Row],[сумма]]*Таблица1[[#This Row],[коэф]])),
IF((G462="3/24"),((база!$M$4*Таблица1[[#This Row],[сумма]]*Таблица1[[#This Row],[коэф]])),
IF((G462="5/16"),((база!$L$6*Таблица1[[#This Row],[сумма]]*Таблица1[[#This Row],[коэф]])),
IF((G462="4/16"),((база!$L$5*Таблица1[[#This Row],[сумма]]*Таблица1[[#This Row],[коэф]])),
IF((G462="3/16"),((база!$L$4*Таблица1[[#This Row],[сумма]]*Таблица1[[#This Row],[коэф]])),
IF((G462="4/4"),((база!$I$5*Таблица1[[#This Row],[сумма]]*Таблица1[[#This Row],[коэф]])),
IF(OR(G462="2/4",G462="3/4"),((база!$I$4*Таблица1[[#This Row],[сумма]]*Таблица1[[#This Row],[коэф]])),
IF((G462="5/8"),((база!$J$6*Таблица1[[#This Row],[сумма]]*Таблица1[[#This Row],[коэф]])),
IF((G462="4/8"),((база!$J$5*Таблица1[[#This Row],[сумма]]*Таблица1[[#This Row],[коэф]])),
IF(OR(G462="3/8",G462="2/8"),((база!$J$4*Таблица1[[#This Row],[сумма]]*Таблица1[[#This Row],[коэф]])))))))))))))),
(IF((G462="5/24"),((база!$M$6*Таблица1[[#This Row],[сумма]]*Таблица1[[#This Row],[коэф]])),
IF(OR(G462="4/24",G462="3/24"),((база!$M$5*Таблица1[[#This Row],[сумма]]*Таблица1[[#This Row],[коэф]])),
IF((G462="5/16"),((база!$L$6*Таблица1[[#This Row],[сумма]]*Таблица1[[#This Row],[коэф]])),
IF(OR(G462="4/16",G462="3/16"),((база!$L$5*Таблица1[[#This Row],[сумма]]*Таблица1[[#This Row],[коэф]])),
IF(OR(G462="2/4",G462="3/4",G462="4/4"),((база!$I$5*Таблица1[[#This Row],[сумма]]*Таблица1[[#This Row],[коэф]])),
IF((G462="5/8"),((база!$J$6*Таблица1[[#This Row],[сумма]]*Таблица1[[#This Row],[коэф]])),
IF(OR(G462="4/8",G462="3/8",G462="2/8"),((база!$J$5*Таблица1[[#This Row],[сумма]]*Таблица1[[#This Row],[коэф]])))))))))))</f>
        <v>0</v>
      </c>
      <c r="AP462" s="730" t="b">
        <f>IF(AR462&lt;=3,(IF((G462="5/24"),((база!$M$6*2*Таблица1[[#This Row],[Столбец1]]*Таблица1[[#This Row],[коэф]])),
IF((G462="4/24"),((база!$M$5*2*Таблица1[[#This Row],[Столбец1]]*Таблица1[[#This Row],[коэф]])),
IF((G462="3/24"),((база!$M$4*2*Таблица1[[#This Row],[Столбец1]]*Таблица1[[#This Row],[коэф]])),
IF((G462="5/16"),((база!$L$6*2*Таблица1[[#This Row],[Столбец1]]*Таблица1[[#This Row],[коэф]])),
IF((G462="4/16"),((база!$L$5*2*Таблица1[[#This Row],[Столбец1]]*Таблица1[[#This Row],[коэф]])),
IF((G462="3/16"),((база!$L$4*2*Таблица1[[#This Row],[Столбец1]]*Таблица1[[#This Row],[коэф]])),
IF((G462="4/4"),((база!$I$5*2*Таблица1[[#This Row],[Столбец1]]*Таблица1[[#This Row],[коэф]])),
IF(OR(G462="2/4",G462="3/4"),((база!$I$4*2*Таблица1[[#This Row],[Столбец1]]*Таблица1[[#This Row],[коэф]])),
IF((G462="5/8"),((база!$J$6*2*Таблица1[[#This Row],[Столбец1]]*Таблица1[[#This Row],[коэф]])),
IF((G462="4/8"),((база!$J$5*2*Таблица1[[#This Row],[Столбец1]]*Таблица1[[#This Row],[коэф]])),
IF(OR(G462="3/8",G462="2/8"),((база!$J$4*2*Таблица1[[#This Row],[Столбец1]]*Таблица1[[#This Row],[коэф]])))))))))))))),
(IF((G462="5/24"),((база!$M$6*2*Таблица1[[#This Row],[Столбец1]]*Таблица1[[#This Row],[коэф]])),
IF(OR(G462="4/24",G462="3/24"),((база!$M$5*2*Таблица1[[#This Row],[Столбец1]]*Таблица1[[#This Row],[коэф]])),
IF((G462="5/16"),((база!$L$6*2*Таблица1[[#This Row],[Столбец1]]*Таблица1[[#This Row],[коэф]])),
IF(OR(G462="4/16",G462="3/16"),((база!$L$5*2*Таблица1[[#This Row],[Столбец1]]*Таблица1[[#This Row],[коэф]])),
IF(OR(G462="2/4",G462="3/4",G462="4/4"),((база!$I$5*2*Таблица1[[#This Row],[Столбец1]]*Таблица1[[#This Row],[коэф]])),
IF((G462="5/8"),((база!$J$6*2*Таблица1[[#This Row],[Столбец1]]*Таблица1[[#This Row],[коэф]])),
IF(OR(G462="4/8",G462="3/8",G462="2/8"),((база!$J$5*2*Таблица1[[#This Row],[Столбец1]]*Таблица1[[#This Row],[коэф]])))))))))))</f>
        <v>0</v>
      </c>
      <c r="AQ462" s="712" t="str">
        <f>IFERROR(INDEX(база!T:T, MATCH(F462,база!Q:Q,0)),"")</f>
        <v/>
      </c>
      <c r="AR462" s="208" t="str">
        <f>IFERROR(INDEX(база!D:D, MATCH(F462,база!B:B,0)),"")</f>
        <v/>
      </c>
      <c r="AS462" s="758" t="str">
        <f>IFERROR(INDEX(база!E:E, MATCH(F462,база!B:B,0)),"")</f>
        <v/>
      </c>
    </row>
    <row r="463" spans="1:47" s="46" customFormat="1" ht="15">
      <c r="A463" s="66" t="str">
        <f t="shared" si="9"/>
        <v>январь</v>
      </c>
      <c r="B463" s="231">
        <v>2024</v>
      </c>
      <c r="C463" s="299"/>
      <c r="D463" s="61"/>
      <c r="E463" s="211"/>
      <c r="F463" s="680"/>
      <c r="G463" s="47"/>
      <c r="H463" s="563"/>
      <c r="I463" s="563"/>
      <c r="J463" s="563"/>
      <c r="K463" s="563"/>
      <c r="L463" s="563"/>
      <c r="M463" s="563"/>
      <c r="N463" s="563"/>
      <c r="O463" s="563"/>
      <c r="P463" s="300"/>
      <c r="Q463" s="563"/>
      <c r="R463" s="563"/>
      <c r="S463" s="563"/>
      <c r="T463" s="563"/>
      <c r="U463" s="563"/>
      <c r="V463" s="563"/>
      <c r="W463" s="563"/>
      <c r="X463" s="563"/>
      <c r="Y463" s="563"/>
      <c r="Z463" s="563"/>
      <c r="AA463" s="563"/>
      <c r="AB463" s="563"/>
      <c r="AC463" s="563"/>
      <c r="AD463" s="48"/>
      <c r="AE463" s="48"/>
      <c r="AF463" s="258"/>
      <c r="AG463" s="48"/>
      <c r="AH463" s="48"/>
      <c r="AI463" s="48"/>
      <c r="AJ463" s="48"/>
      <c r="AK463" s="48"/>
      <c r="AL463" s="51"/>
      <c r="AM463" s="212">
        <f>IF(AQ463=1,SUM(Q463:T463,W463:Z463,AC463:AF463,AI463:AL463),
IF(AQ463=2,SUM(P463,S463:V463,Y463:AB463,AE463:AH463,AK463:AL463),
IF(AQ463=3,SUM(P463:R463,U463:X463,AA463:AD463,AG463:AJ463),SUM(Таблица1[[#This Row],[1]:[31]])-Таблица1[[#This Row],[Столбец1]])))</f>
        <v>0</v>
      </c>
      <c r="AN463" s="778">
        <f t="array" ref="AN463">IF(AQ463=1,SUM(P463,U463:V463,AA463:AB463,AG463:AH463),
IF(AQ463=2,SUM(Q463:R463,W463:X463,AC463:AD463,AI463:AJ463),
IF(AQ463=3,SUM(S463:T463,Y463:Z463,AE463:AF463,AK463:AL463),
SUM(IFERROR(WEEKDAY($H$2:$AL$2,2)&gt;5,)*H463:AL463))))+Таблица1[[#This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63" s="292" t="b">
        <f>IF(AR463&lt;=3,(IF((G463="5/24"),((база!$M$6*Таблица1[[#This Row],[сумма]]*Таблица1[[#This Row],[коэф]])),
IF((G463="4/24"),((база!$M$5*Таблица1[[#This Row],[сумма]]*Таблица1[[#This Row],[коэф]])),
IF((G463="3/24"),((база!$M$4*Таблица1[[#This Row],[сумма]]*Таблица1[[#This Row],[коэф]])),
IF((G463="5/16"),((база!$L$6*Таблица1[[#This Row],[сумма]]*Таблица1[[#This Row],[коэф]])),
IF((G463="4/16"),((база!$L$5*Таблица1[[#This Row],[сумма]]*Таблица1[[#This Row],[коэф]])),
IF((G463="3/16"),((база!$L$4*Таблица1[[#This Row],[сумма]]*Таблица1[[#This Row],[коэф]])),
IF((G463="4/4"),((база!$I$5*Таблица1[[#This Row],[сумма]]*Таблица1[[#This Row],[коэф]])),
IF(OR(G463="2/4",G463="3/4"),((база!$I$4*Таблица1[[#This Row],[сумма]]*Таблица1[[#This Row],[коэф]])),
IF((G463="5/8"),((база!$J$6*Таблица1[[#This Row],[сумма]]*Таблица1[[#This Row],[коэф]])),
IF((G463="4/8"),((база!$J$5*Таблица1[[#This Row],[сумма]]*Таблица1[[#This Row],[коэф]])),
IF(OR(G463="3/8",G463="2/8"),((база!$J$4*Таблица1[[#This Row],[сумма]]*Таблица1[[#This Row],[коэф]])))))))))))))),
(IF((G463="5/24"),((база!$M$6*Таблица1[[#This Row],[сумма]]*Таблица1[[#This Row],[коэф]])),
IF(OR(G463="4/24",G463="3/24"),((база!$M$5*Таблица1[[#This Row],[сумма]]*Таблица1[[#This Row],[коэф]])),
IF((G463="5/16"),((база!$L$6*Таблица1[[#This Row],[сумма]]*Таблица1[[#This Row],[коэф]])),
IF(OR(G463="4/16",G463="3/16"),((база!$L$5*Таблица1[[#This Row],[сумма]]*Таблица1[[#This Row],[коэф]])),
IF(OR(G463="2/4",G463="3/4",G463="4/4"),((база!$I$5*Таблица1[[#This Row],[сумма]]*Таблица1[[#This Row],[коэф]])),
IF((G463="5/8"),((база!$J$6*Таблица1[[#This Row],[сумма]]*Таблица1[[#This Row],[коэф]])),
IF(OR(G463="4/8",G463="3/8",G463="2/8"),((база!$J$5*Таблица1[[#This Row],[сумма]]*Таблица1[[#This Row],[коэф]])))))))))))</f>
        <v>0</v>
      </c>
      <c r="AP463" s="730" t="b">
        <f>IF(AR463&lt;=3,(IF((G463="5/24"),((база!$M$6*2*Таблица1[[#This Row],[Столбец1]]*Таблица1[[#This Row],[коэф]])),
IF((G463="4/24"),((база!$M$5*2*Таблица1[[#This Row],[Столбец1]]*Таблица1[[#This Row],[коэф]])),
IF((G463="3/24"),((база!$M$4*2*Таблица1[[#This Row],[Столбец1]]*Таблица1[[#This Row],[коэф]])),
IF((G463="5/16"),((база!$L$6*2*Таблица1[[#This Row],[Столбец1]]*Таблица1[[#This Row],[коэф]])),
IF((G463="4/16"),((база!$L$5*2*Таблица1[[#This Row],[Столбец1]]*Таблица1[[#This Row],[коэф]])),
IF((G463="3/16"),((база!$L$4*2*Таблица1[[#This Row],[Столбец1]]*Таблица1[[#This Row],[коэф]])),
IF((G463="4/4"),((база!$I$5*2*Таблица1[[#This Row],[Столбец1]]*Таблица1[[#This Row],[коэф]])),
IF(OR(G463="2/4",G463="3/4"),((база!$I$4*2*Таблица1[[#This Row],[Столбец1]]*Таблица1[[#This Row],[коэф]])),
IF((G463="5/8"),((база!$J$6*2*Таблица1[[#This Row],[Столбец1]]*Таблица1[[#This Row],[коэф]])),
IF((G463="4/8"),((база!$J$5*2*Таблица1[[#This Row],[Столбец1]]*Таблица1[[#This Row],[коэф]])),
IF(OR(G463="3/8",G463="2/8"),((база!$J$4*2*Таблица1[[#This Row],[Столбец1]]*Таблица1[[#This Row],[коэф]])))))))))))))),
(IF((G463="5/24"),((база!$M$6*2*Таблица1[[#This Row],[Столбец1]]*Таблица1[[#This Row],[коэф]])),
IF(OR(G463="4/24",G463="3/24"),((база!$M$5*2*Таблица1[[#This Row],[Столбец1]]*Таблица1[[#This Row],[коэф]])),
IF((G463="5/16"),((база!$L$6*2*Таблица1[[#This Row],[Столбец1]]*Таблица1[[#This Row],[коэф]])),
IF(OR(G463="4/16",G463="3/16"),((база!$L$5*2*Таблица1[[#This Row],[Столбец1]]*Таблица1[[#This Row],[коэф]])),
IF(OR(G463="2/4",G463="3/4",G463="4/4"),((база!$I$5*2*Таблица1[[#This Row],[Столбец1]]*Таблица1[[#This Row],[коэф]])),
IF((G463="5/8"),((база!$J$6*2*Таблица1[[#This Row],[Столбец1]]*Таблица1[[#This Row],[коэф]])),
IF(OR(G463="4/8",G463="3/8",G463="2/8"),((база!$J$5*2*Таблица1[[#This Row],[Столбец1]]*Таблица1[[#This Row],[коэф]])))))))))))</f>
        <v>0</v>
      </c>
      <c r="AQ463" s="712" t="str">
        <f>IFERROR(INDEX(база!T:T, MATCH(F463,база!Q:Q,0)),"")</f>
        <v/>
      </c>
      <c r="AR463" s="208" t="str">
        <f>IFERROR(INDEX(база!D:D, MATCH(F463,база!B:B,0)),"")</f>
        <v/>
      </c>
      <c r="AS463" s="758" t="str">
        <f>IFERROR(INDEX(база!E:E, MATCH(F463,база!B:B,0)),"")</f>
        <v/>
      </c>
    </row>
    <row r="464" spans="1:47" s="46" customFormat="1" ht="15">
      <c r="A464" s="66" t="str">
        <f t="shared" si="9"/>
        <v>январь</v>
      </c>
      <c r="B464" s="231">
        <v>2024</v>
      </c>
      <c r="C464" s="299"/>
      <c r="D464" s="61"/>
      <c r="E464" s="211"/>
      <c r="F464" s="680"/>
      <c r="G464" s="47"/>
      <c r="H464" s="563"/>
      <c r="I464" s="563"/>
      <c r="J464" s="563"/>
      <c r="K464" s="563"/>
      <c r="L464" s="563"/>
      <c r="M464" s="563"/>
      <c r="N464" s="563"/>
      <c r="O464" s="563"/>
      <c r="P464" s="300"/>
      <c r="Q464" s="563"/>
      <c r="R464" s="563"/>
      <c r="S464" s="563"/>
      <c r="T464" s="563"/>
      <c r="U464" s="563"/>
      <c r="V464" s="563"/>
      <c r="W464" s="563"/>
      <c r="X464" s="563"/>
      <c r="Y464" s="563"/>
      <c r="Z464" s="563"/>
      <c r="AA464" s="563"/>
      <c r="AB464" s="563"/>
      <c r="AC464" s="563"/>
      <c r="AD464" s="48"/>
      <c r="AE464" s="48"/>
      <c r="AF464" s="258"/>
      <c r="AG464" s="48"/>
      <c r="AH464" s="48"/>
      <c r="AI464" s="258"/>
      <c r="AJ464" s="258"/>
      <c r="AK464" s="258"/>
      <c r="AL464" s="258"/>
      <c r="AM464" s="212">
        <f>IF(AQ464=1,SUM(Q464:T464,W464:Z464,AC464:AF464,AI464:AL464),
IF(AQ464=2,SUM(P464,S464:V464,Y464:AB464,AE464:AH464,AK464:AL464),
IF(AQ464=3,SUM(P464:R464,U464:X464,AA464:AD464,AG464:AJ464),SUM(Таблица1[[#This Row],[1]:[31]])-Таблица1[[#This Row],[Столбец1]])))</f>
        <v>0</v>
      </c>
      <c r="AN464" s="778">
        <f t="array" ref="AN464">IF(AQ464=1,SUM(P464,U464:V464,AA464:AB464,AG464:AH464),
IF(AQ464=2,SUM(Q464:R464,W464:X464,AC464:AD464,AI464:AJ464),
IF(AQ464=3,SUM(S464:T464,Y464:Z464,AE464:AF464,AK464:AL464),
SUM(IFERROR(WEEKDAY($H$2:$AL$2,2)&gt;5,)*H464:AL464))))+Таблица1[[#This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64" s="292" t="b">
        <f>IF(AR464&lt;=3,(IF((G464="5/24"),((база!$M$6*Таблица1[[#This Row],[сумма]]*Таблица1[[#This Row],[коэф]])),
IF((G464="4/24"),((база!$M$5*Таблица1[[#This Row],[сумма]]*Таблица1[[#This Row],[коэф]])),
IF((G464="3/24"),((база!$M$4*Таблица1[[#This Row],[сумма]]*Таблица1[[#This Row],[коэф]])),
IF((G464="5/16"),((база!$L$6*Таблица1[[#This Row],[сумма]]*Таблица1[[#This Row],[коэф]])),
IF((G464="4/16"),((база!$L$5*Таблица1[[#This Row],[сумма]]*Таблица1[[#This Row],[коэф]])),
IF((G464="3/16"),((база!$L$4*Таблица1[[#This Row],[сумма]]*Таблица1[[#This Row],[коэф]])),
IF((G464="4/4"),((база!$I$5*Таблица1[[#This Row],[сумма]]*Таблица1[[#This Row],[коэф]])),
IF(OR(G464="2/4",G464="3/4"),((база!$I$4*Таблица1[[#This Row],[сумма]]*Таблица1[[#This Row],[коэф]])),
IF((G464="5/8"),((база!$J$6*Таблица1[[#This Row],[сумма]]*Таблица1[[#This Row],[коэф]])),
IF((G464="4/8"),((база!$J$5*Таблица1[[#This Row],[сумма]]*Таблица1[[#This Row],[коэф]])),
IF(OR(G464="3/8",G464="2/8"),((база!$J$4*Таблица1[[#This Row],[сумма]]*Таблица1[[#This Row],[коэф]])))))))))))))),
(IF((G464="5/24"),((база!$M$6*Таблица1[[#This Row],[сумма]]*Таблица1[[#This Row],[коэф]])),
IF(OR(G464="4/24",G464="3/24"),((база!$M$5*Таблица1[[#This Row],[сумма]]*Таблица1[[#This Row],[коэф]])),
IF((G464="5/16"),((база!$L$6*Таблица1[[#This Row],[сумма]]*Таблица1[[#This Row],[коэф]])),
IF(OR(G464="4/16",G464="3/16"),((база!$L$5*Таблица1[[#This Row],[сумма]]*Таблица1[[#This Row],[коэф]])),
IF(OR(G464="2/4",G464="3/4",G464="4/4"),((база!$I$5*Таблица1[[#This Row],[сумма]]*Таблица1[[#This Row],[коэф]])),
IF((G464="5/8"),((база!$J$6*Таблица1[[#This Row],[сумма]]*Таблица1[[#This Row],[коэф]])),
IF(OR(G464="4/8",G464="3/8",G464="2/8"),((база!$J$5*Таблица1[[#This Row],[сумма]]*Таблица1[[#This Row],[коэф]])))))))))))</f>
        <v>0</v>
      </c>
      <c r="AP464" s="730" t="b">
        <f>IF(AR464&lt;=3,(IF((G464="5/24"),((база!$M$6*2*Таблица1[[#This Row],[Столбец1]]*Таблица1[[#This Row],[коэф]])),
IF((G464="4/24"),((база!$M$5*2*Таблица1[[#This Row],[Столбец1]]*Таблица1[[#This Row],[коэф]])),
IF((G464="3/24"),((база!$M$4*2*Таблица1[[#This Row],[Столбец1]]*Таблица1[[#This Row],[коэф]])),
IF((G464="5/16"),((база!$L$6*2*Таблица1[[#This Row],[Столбец1]]*Таблица1[[#This Row],[коэф]])),
IF((G464="4/16"),((база!$L$5*2*Таблица1[[#This Row],[Столбец1]]*Таблица1[[#This Row],[коэф]])),
IF((G464="3/16"),((база!$L$4*2*Таблица1[[#This Row],[Столбец1]]*Таблица1[[#This Row],[коэф]])),
IF((G464="4/4"),((база!$I$5*2*Таблица1[[#This Row],[Столбец1]]*Таблица1[[#This Row],[коэф]])),
IF(OR(G464="2/4",G464="3/4"),((база!$I$4*2*Таблица1[[#This Row],[Столбец1]]*Таблица1[[#This Row],[коэф]])),
IF((G464="5/8"),((база!$J$6*2*Таблица1[[#This Row],[Столбец1]]*Таблица1[[#This Row],[коэф]])),
IF((G464="4/8"),((база!$J$5*2*Таблица1[[#This Row],[Столбец1]]*Таблица1[[#This Row],[коэф]])),
IF(OR(G464="3/8",G464="2/8"),((база!$J$4*2*Таблица1[[#This Row],[Столбец1]]*Таблица1[[#This Row],[коэф]])))))))))))))),
(IF((G464="5/24"),((база!$M$6*2*Таблица1[[#This Row],[Столбец1]]*Таблица1[[#This Row],[коэф]])),
IF(OR(G464="4/24",G464="3/24"),((база!$M$5*2*Таблица1[[#This Row],[Столбец1]]*Таблица1[[#This Row],[коэф]])),
IF((G464="5/16"),((база!$L$6*2*Таблица1[[#This Row],[Столбец1]]*Таблица1[[#This Row],[коэф]])),
IF(OR(G464="4/16",G464="3/16"),((база!$L$5*2*Таблица1[[#This Row],[Столбец1]]*Таблица1[[#This Row],[коэф]])),
IF(OR(G464="2/4",G464="3/4",G464="4/4"),((база!$I$5*2*Таблица1[[#This Row],[Столбец1]]*Таблица1[[#This Row],[коэф]])),
IF((G464="5/8"),((база!$J$6*2*Таблица1[[#This Row],[Столбец1]]*Таблица1[[#This Row],[коэф]])),
IF(OR(G464="4/8",G464="3/8",G464="2/8"),((база!$J$5*2*Таблица1[[#This Row],[Столбец1]]*Таблица1[[#This Row],[коэф]])))))))))))</f>
        <v>0</v>
      </c>
      <c r="AQ464" s="712" t="str">
        <f>IFERROR(INDEX(база!T:T, MATCH(F464,база!Q:Q,0)),"")</f>
        <v/>
      </c>
      <c r="AR464" s="208" t="str">
        <f>IFERROR(INDEX(база!D:D, MATCH(F464,база!B:B,0)),"")</f>
        <v/>
      </c>
      <c r="AS464" s="758" t="str">
        <f>IFERROR(INDEX(база!E:E, MATCH(F464,база!B:B,0)),"")</f>
        <v/>
      </c>
    </row>
    <row r="465" spans="1:45" s="46" customFormat="1" ht="15">
      <c r="A465" s="66" t="str">
        <f t="shared" si="9"/>
        <v>январь</v>
      </c>
      <c r="B465" s="231">
        <v>2024</v>
      </c>
      <c r="C465" s="299"/>
      <c r="D465" s="61"/>
      <c r="E465" s="211"/>
      <c r="F465" s="680"/>
      <c r="G465" s="47"/>
      <c r="H465" s="563"/>
      <c r="I465" s="563"/>
      <c r="J465" s="563"/>
      <c r="K465" s="563"/>
      <c r="L465" s="563"/>
      <c r="M465" s="563"/>
      <c r="N465" s="563"/>
      <c r="O465" s="563"/>
      <c r="P465" s="300"/>
      <c r="Q465" s="563"/>
      <c r="R465" s="563"/>
      <c r="S465" s="563"/>
      <c r="T465" s="563"/>
      <c r="U465" s="563"/>
      <c r="V465" s="563"/>
      <c r="W465" s="563"/>
      <c r="X465" s="563"/>
      <c r="Y465" s="563"/>
      <c r="Z465" s="563"/>
      <c r="AA465" s="563"/>
      <c r="AB465" s="563"/>
      <c r="AC465" s="563"/>
      <c r="AD465" s="48"/>
      <c r="AE465" s="48"/>
      <c r="AF465" s="258"/>
      <c r="AG465" s="48"/>
      <c r="AH465" s="48"/>
      <c r="AI465" s="48"/>
      <c r="AJ465" s="48"/>
      <c r="AK465" s="48"/>
      <c r="AL465" s="51"/>
      <c r="AM465" s="212">
        <f>IF(AQ465=1,SUM(Q465:T465,W465:Z465,AC465:AF465,AI465:AL465),
IF(AQ465=2,SUM(P465,S465:V465,Y465:AB465,AE465:AH465,AK465:AL465),
IF(AQ465=3,SUM(P465:R465,U465:X465,AA465:AD465,AG465:AJ465),SUM(Таблица1[[#This Row],[1]:[31]])-Таблица1[[#This Row],[Столбец1]])))</f>
        <v>0</v>
      </c>
      <c r="AN465" s="778">
        <f t="array" ref="AN465">IF(AQ465=1,SUM(P465,U465:V465,AA465:AB465,AG465:AH465),
IF(AQ465=2,SUM(Q465:R465,W465:X465,AC465:AD465,AI465:AJ465),
IF(AQ465=3,SUM(S465:T465,Y465:Z465,AE465:AF465,AK465:AL465),
SUM(IFERROR(WEEKDAY($H$2:$AL$2,2)&gt;5,)*H465:AL465))))+Таблица1[[#This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65" s="292" t="b">
        <f>IF(AR465&lt;=3,(IF((G465="5/24"),((база!$M$6*Таблица1[[#This Row],[сумма]]*Таблица1[[#This Row],[коэф]])),
IF((G465="4/24"),((база!$M$5*Таблица1[[#This Row],[сумма]]*Таблица1[[#This Row],[коэф]])),
IF((G465="3/24"),((база!$M$4*Таблица1[[#This Row],[сумма]]*Таблица1[[#This Row],[коэф]])),
IF((G465="5/16"),((база!$L$6*Таблица1[[#This Row],[сумма]]*Таблица1[[#This Row],[коэф]])),
IF((G465="4/16"),((база!$L$5*Таблица1[[#This Row],[сумма]]*Таблица1[[#This Row],[коэф]])),
IF((G465="3/16"),((база!$L$4*Таблица1[[#This Row],[сумма]]*Таблица1[[#This Row],[коэф]])),
IF((G465="4/4"),((база!$I$5*Таблица1[[#This Row],[сумма]]*Таблица1[[#This Row],[коэф]])),
IF(OR(G465="2/4",G465="3/4"),((база!$I$4*Таблица1[[#This Row],[сумма]]*Таблица1[[#This Row],[коэф]])),
IF((G465="5/8"),((база!$J$6*Таблица1[[#This Row],[сумма]]*Таблица1[[#This Row],[коэф]])),
IF((G465="4/8"),((база!$J$5*Таблица1[[#This Row],[сумма]]*Таблица1[[#This Row],[коэф]])),
IF(OR(G465="3/8",G465="2/8"),((база!$J$4*Таблица1[[#This Row],[сумма]]*Таблица1[[#This Row],[коэф]])))))))))))))),
(IF((G465="5/24"),((база!$M$6*Таблица1[[#This Row],[сумма]]*Таблица1[[#This Row],[коэф]])),
IF(OR(G465="4/24",G465="3/24"),((база!$M$5*Таблица1[[#This Row],[сумма]]*Таблица1[[#This Row],[коэф]])),
IF((G465="5/16"),((база!$L$6*Таблица1[[#This Row],[сумма]]*Таблица1[[#This Row],[коэф]])),
IF(OR(G465="4/16",G465="3/16"),((база!$L$5*Таблица1[[#This Row],[сумма]]*Таблица1[[#This Row],[коэф]])),
IF(OR(G465="2/4",G465="3/4",G465="4/4"),((база!$I$5*Таблица1[[#This Row],[сумма]]*Таблица1[[#This Row],[коэф]])),
IF((G465="5/8"),((база!$J$6*Таблица1[[#This Row],[сумма]]*Таблица1[[#This Row],[коэф]])),
IF(OR(G465="4/8",G465="3/8",G465="2/8"),((база!$J$5*Таблица1[[#This Row],[сумма]]*Таблица1[[#This Row],[коэф]])))))))))))</f>
        <v>0</v>
      </c>
      <c r="AP465" s="730" t="b">
        <f>IF(AR465&lt;=3,(IF((G465="5/24"),((база!$M$6*2*Таблица1[[#This Row],[Столбец1]]*Таблица1[[#This Row],[коэф]])),
IF((G465="4/24"),((база!$M$5*2*Таблица1[[#This Row],[Столбец1]]*Таблица1[[#This Row],[коэф]])),
IF((G465="3/24"),((база!$M$4*2*Таблица1[[#This Row],[Столбец1]]*Таблица1[[#This Row],[коэф]])),
IF((G465="5/16"),((база!$L$6*2*Таблица1[[#This Row],[Столбец1]]*Таблица1[[#This Row],[коэф]])),
IF((G465="4/16"),((база!$L$5*2*Таблица1[[#This Row],[Столбец1]]*Таблица1[[#This Row],[коэф]])),
IF((G465="3/16"),((база!$L$4*2*Таблица1[[#This Row],[Столбец1]]*Таблица1[[#This Row],[коэф]])),
IF((G465="4/4"),((база!$I$5*2*Таблица1[[#This Row],[Столбец1]]*Таблица1[[#This Row],[коэф]])),
IF(OR(G465="2/4",G465="3/4"),((база!$I$4*2*Таблица1[[#This Row],[Столбец1]]*Таблица1[[#This Row],[коэф]])),
IF((G465="5/8"),((база!$J$6*2*Таблица1[[#This Row],[Столбец1]]*Таблица1[[#This Row],[коэф]])),
IF((G465="4/8"),((база!$J$5*2*Таблица1[[#This Row],[Столбец1]]*Таблица1[[#This Row],[коэф]])),
IF(OR(G465="3/8",G465="2/8"),((база!$J$4*2*Таблица1[[#This Row],[Столбец1]]*Таблица1[[#This Row],[коэф]])))))))))))))),
(IF((G465="5/24"),((база!$M$6*2*Таблица1[[#This Row],[Столбец1]]*Таблица1[[#This Row],[коэф]])),
IF(OR(G465="4/24",G465="3/24"),((база!$M$5*2*Таблица1[[#This Row],[Столбец1]]*Таблица1[[#This Row],[коэф]])),
IF((G465="5/16"),((база!$L$6*2*Таблица1[[#This Row],[Столбец1]]*Таблица1[[#This Row],[коэф]])),
IF(OR(G465="4/16",G465="3/16"),((база!$L$5*2*Таблица1[[#This Row],[Столбец1]]*Таблица1[[#This Row],[коэф]])),
IF(OR(G465="2/4",G465="3/4",G465="4/4"),((база!$I$5*2*Таблица1[[#This Row],[Столбец1]]*Таблица1[[#This Row],[коэф]])),
IF((G465="5/8"),((база!$J$6*2*Таблица1[[#This Row],[Столбец1]]*Таблица1[[#This Row],[коэф]])),
IF(OR(G465="4/8",G465="3/8",G465="2/8"),((база!$J$5*2*Таблица1[[#This Row],[Столбец1]]*Таблица1[[#This Row],[коэф]])))))))))))</f>
        <v>0</v>
      </c>
      <c r="AQ465" s="712" t="str">
        <f>IFERROR(INDEX(база!T:T, MATCH(F465,база!Q:Q,0)),"")</f>
        <v/>
      </c>
      <c r="AR465" s="208" t="str">
        <f>IFERROR(INDEX(база!D:D, MATCH(F465,база!B:B,0)),"")</f>
        <v/>
      </c>
      <c r="AS465" s="758" t="str">
        <f>IFERROR(INDEX(база!E:E, MATCH(F465,база!B:B,0)),"")</f>
        <v/>
      </c>
    </row>
    <row r="466" spans="1:45" s="46" customFormat="1" ht="15">
      <c r="A466" s="66" t="str">
        <f t="shared" si="9"/>
        <v>январь</v>
      </c>
      <c r="B466" s="231">
        <v>2024</v>
      </c>
      <c r="C466" s="299"/>
      <c r="D466" s="61"/>
      <c r="E466" s="211"/>
      <c r="F466" s="680"/>
      <c r="G466" s="47"/>
      <c r="H466" s="563"/>
      <c r="I466" s="563"/>
      <c r="J466" s="563"/>
      <c r="K466" s="563"/>
      <c r="L466" s="563"/>
      <c r="M466" s="563"/>
      <c r="N466" s="563"/>
      <c r="O466" s="563"/>
      <c r="P466" s="300"/>
      <c r="Q466" s="563"/>
      <c r="R466" s="563"/>
      <c r="S466" s="563"/>
      <c r="T466" s="563"/>
      <c r="U466" s="563"/>
      <c r="V466" s="563"/>
      <c r="W466" s="563"/>
      <c r="X466" s="563"/>
      <c r="Y466" s="563"/>
      <c r="Z466" s="563"/>
      <c r="AA466" s="563"/>
      <c r="AB466" s="563"/>
      <c r="AC466" s="563"/>
      <c r="AD466" s="48"/>
      <c r="AE466" s="48"/>
      <c r="AF466" s="258"/>
      <c r="AG466" s="48"/>
      <c r="AH466" s="48"/>
      <c r="AI466" s="258"/>
      <c r="AJ466" s="258"/>
      <c r="AK466" s="258"/>
      <c r="AL466" s="258"/>
      <c r="AM466" s="212">
        <f>IF(AQ466=1,SUM(Q466:T466,W466:Z466,AC466:AF466,AI466:AL466),
IF(AQ466=2,SUM(P466,S466:V466,Y466:AB466,AE466:AH466,AK466:AL466),
IF(AQ466=3,SUM(P466:R466,U466:X466,AA466:AD466,AG466:AJ466),SUM(Таблица1[[#This Row],[1]:[31]])-Таблица1[[#This Row],[Столбец1]])))</f>
        <v>0</v>
      </c>
      <c r="AN466" s="778">
        <f t="array" ref="AN466">IF(AQ466=1,SUM(P466,U466:V466,AA466:AB466,AG466:AH466),
IF(AQ466=2,SUM(Q466:R466,W466:X466,AC466:AD466,AI466:AJ466),
IF(AQ466=3,SUM(S466:T466,Y466:Z466,AE466:AF466,AK466:AL466),
SUM(IFERROR(WEEKDAY($H$2:$AL$2,2)&gt;5,)*H466:AL466))))+Таблица1[[#This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66" s="292" t="b">
        <f>IF(AR466&lt;=3,(IF((G466="5/24"),((база!$M$6*Таблица1[[#This Row],[сумма]]*Таблица1[[#This Row],[коэф]])),
IF((G466="4/24"),((база!$M$5*Таблица1[[#This Row],[сумма]]*Таблица1[[#This Row],[коэф]])),
IF((G466="3/24"),((база!$M$4*Таблица1[[#This Row],[сумма]]*Таблица1[[#This Row],[коэф]])),
IF((G466="5/16"),((база!$L$6*Таблица1[[#This Row],[сумма]]*Таблица1[[#This Row],[коэф]])),
IF((G466="4/16"),((база!$L$5*Таблица1[[#This Row],[сумма]]*Таблица1[[#This Row],[коэф]])),
IF((G466="3/16"),((база!$L$4*Таблица1[[#This Row],[сумма]]*Таблица1[[#This Row],[коэф]])),
IF((G466="4/4"),((база!$I$5*Таблица1[[#This Row],[сумма]]*Таблица1[[#This Row],[коэф]])),
IF(OR(G466="2/4",G466="3/4"),((база!$I$4*Таблица1[[#This Row],[сумма]]*Таблица1[[#This Row],[коэф]])),
IF((G466="5/8"),((база!$J$6*Таблица1[[#This Row],[сумма]]*Таблица1[[#This Row],[коэф]])),
IF((G466="4/8"),((база!$J$5*Таблица1[[#This Row],[сумма]]*Таблица1[[#This Row],[коэф]])),
IF(OR(G466="3/8",G466="2/8"),((база!$J$4*Таблица1[[#This Row],[сумма]]*Таблица1[[#This Row],[коэф]])))))))))))))),
(IF((G466="5/24"),((база!$M$6*Таблица1[[#This Row],[сумма]]*Таблица1[[#This Row],[коэф]])),
IF(OR(G466="4/24",G466="3/24"),((база!$M$5*Таблица1[[#This Row],[сумма]]*Таблица1[[#This Row],[коэф]])),
IF((G466="5/16"),((база!$L$6*Таблица1[[#This Row],[сумма]]*Таблица1[[#This Row],[коэф]])),
IF(OR(G466="4/16",G466="3/16"),((база!$L$5*Таблица1[[#This Row],[сумма]]*Таблица1[[#This Row],[коэф]])),
IF(OR(G466="2/4",G466="3/4",G466="4/4"),((база!$I$5*Таблица1[[#This Row],[сумма]]*Таблица1[[#This Row],[коэф]])),
IF((G466="5/8"),((база!$J$6*Таблица1[[#This Row],[сумма]]*Таблица1[[#This Row],[коэф]])),
IF(OR(G466="4/8",G466="3/8",G466="2/8"),((база!$J$5*Таблица1[[#This Row],[сумма]]*Таблица1[[#This Row],[коэф]])))))))))))</f>
        <v>0</v>
      </c>
      <c r="AP466" s="730" t="b">
        <f>IF(AR466&lt;=3,(IF((G466="5/24"),((база!$M$6*2*Таблица1[[#This Row],[Столбец1]]*Таблица1[[#This Row],[коэф]])),
IF((G466="4/24"),((база!$M$5*2*Таблица1[[#This Row],[Столбец1]]*Таблица1[[#This Row],[коэф]])),
IF((G466="3/24"),((база!$M$4*2*Таблица1[[#This Row],[Столбец1]]*Таблица1[[#This Row],[коэф]])),
IF((G466="5/16"),((база!$L$6*2*Таблица1[[#This Row],[Столбец1]]*Таблица1[[#This Row],[коэф]])),
IF((G466="4/16"),((база!$L$5*2*Таблица1[[#This Row],[Столбец1]]*Таблица1[[#This Row],[коэф]])),
IF((G466="3/16"),((база!$L$4*2*Таблица1[[#This Row],[Столбец1]]*Таблица1[[#This Row],[коэф]])),
IF((G466="4/4"),((база!$I$5*2*Таблица1[[#This Row],[Столбец1]]*Таблица1[[#This Row],[коэф]])),
IF(OR(G466="2/4",G466="3/4"),((база!$I$4*2*Таблица1[[#This Row],[Столбец1]]*Таблица1[[#This Row],[коэф]])),
IF((G466="5/8"),((база!$J$6*2*Таблица1[[#This Row],[Столбец1]]*Таблица1[[#This Row],[коэф]])),
IF((G466="4/8"),((база!$J$5*2*Таблица1[[#This Row],[Столбец1]]*Таблица1[[#This Row],[коэф]])),
IF(OR(G466="3/8",G466="2/8"),((база!$J$4*2*Таблица1[[#This Row],[Столбец1]]*Таблица1[[#This Row],[коэф]])))))))))))))),
(IF((G466="5/24"),((база!$M$6*2*Таблица1[[#This Row],[Столбец1]]*Таблица1[[#This Row],[коэф]])),
IF(OR(G466="4/24",G466="3/24"),((база!$M$5*2*Таблица1[[#This Row],[Столбец1]]*Таблица1[[#This Row],[коэф]])),
IF((G466="5/16"),((база!$L$6*2*Таблица1[[#This Row],[Столбец1]]*Таблица1[[#This Row],[коэф]])),
IF(OR(G466="4/16",G466="3/16"),((база!$L$5*2*Таблица1[[#This Row],[Столбец1]]*Таблица1[[#This Row],[коэф]])),
IF(OR(G466="2/4",G466="3/4",G466="4/4"),((база!$I$5*2*Таблица1[[#This Row],[Столбец1]]*Таблица1[[#This Row],[коэф]])),
IF((G466="5/8"),((база!$J$6*2*Таблица1[[#This Row],[Столбец1]]*Таблица1[[#This Row],[коэф]])),
IF(OR(G466="4/8",G466="3/8",G466="2/8"),((база!$J$5*2*Таблица1[[#This Row],[Столбец1]]*Таблица1[[#This Row],[коэф]])))))))))))</f>
        <v>0</v>
      </c>
      <c r="AQ466" s="712" t="str">
        <f>IFERROR(INDEX(база!T:T, MATCH(F466,база!Q:Q,0)),"")</f>
        <v/>
      </c>
      <c r="AR466" s="208" t="str">
        <f>IFERROR(INDEX(база!D:D, MATCH(F466,база!B:B,0)),"")</f>
        <v/>
      </c>
      <c r="AS466" s="758" t="str">
        <f>IFERROR(INDEX(база!E:E, MATCH(F466,база!B:B,0)),"")</f>
        <v/>
      </c>
    </row>
    <row r="467" spans="1:45" s="46" customFormat="1" ht="15">
      <c r="A467" s="66" t="str">
        <f t="shared" si="9"/>
        <v>январь</v>
      </c>
      <c r="B467" s="231">
        <v>2024</v>
      </c>
      <c r="C467" s="299"/>
      <c r="D467" s="61"/>
      <c r="E467" s="211"/>
      <c r="F467" s="680"/>
      <c r="G467" s="47"/>
      <c r="H467" s="563"/>
      <c r="I467" s="563"/>
      <c r="J467" s="563"/>
      <c r="K467" s="563"/>
      <c r="L467" s="563"/>
      <c r="M467" s="563"/>
      <c r="N467" s="563"/>
      <c r="O467" s="563"/>
      <c r="P467" s="300"/>
      <c r="Q467" s="563"/>
      <c r="R467" s="563"/>
      <c r="S467" s="563"/>
      <c r="T467" s="563"/>
      <c r="U467" s="563"/>
      <c r="V467" s="563"/>
      <c r="W467" s="563"/>
      <c r="X467" s="563"/>
      <c r="Y467" s="563"/>
      <c r="Z467" s="563"/>
      <c r="AA467" s="563"/>
      <c r="AB467" s="563"/>
      <c r="AC467" s="563"/>
      <c r="AD467" s="48"/>
      <c r="AE467" s="48"/>
      <c r="AF467" s="258"/>
      <c r="AG467" s="48"/>
      <c r="AH467" s="48"/>
      <c r="AI467" s="48"/>
      <c r="AJ467" s="48"/>
      <c r="AK467" s="48"/>
      <c r="AL467" s="51"/>
      <c r="AM467" s="212">
        <f>IF(AQ467=1,SUM(Q467:T467,W467:Z467,AC467:AF467,AI467:AL467),
IF(AQ467=2,SUM(P467,S467:V467,Y467:AB467,AE467:AH467,AK467:AL467),
IF(AQ467=3,SUM(P467:R467,U467:X467,AA467:AD467,AG467:AJ467),SUM(Таблица1[[#This Row],[1]:[31]])-Таблица1[[#This Row],[Столбец1]])))</f>
        <v>0</v>
      </c>
      <c r="AN467" s="778">
        <f t="array" ref="AN467">IF(AQ467=1,SUM(P467,U467:V467,AA467:AB467,AG467:AH467),
IF(AQ467=2,SUM(Q467:R467,W467:X467,AC467:AD467,AI467:AJ467),
IF(AQ467=3,SUM(S467:T467,Y467:Z467,AE467:AF467,AK467:AL467),
SUM(IFERROR(WEEKDAY($H$2:$AL$2,2)&gt;5,)*H467:AL467))))+Таблица1[[#This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67" s="292" t="b">
        <f>IF(AR467&lt;=3,(IF((G467="5/24"),((база!$M$6*Таблица1[[#This Row],[сумма]]*Таблица1[[#This Row],[коэф]])),
IF((G467="4/24"),((база!$M$5*Таблица1[[#This Row],[сумма]]*Таблица1[[#This Row],[коэф]])),
IF((G467="3/24"),((база!$M$4*Таблица1[[#This Row],[сумма]]*Таблица1[[#This Row],[коэф]])),
IF((G467="5/16"),((база!$L$6*Таблица1[[#This Row],[сумма]]*Таблица1[[#This Row],[коэф]])),
IF((G467="4/16"),((база!$L$5*Таблица1[[#This Row],[сумма]]*Таблица1[[#This Row],[коэф]])),
IF((G467="3/16"),((база!$L$4*Таблица1[[#This Row],[сумма]]*Таблица1[[#This Row],[коэф]])),
IF((G467="4/4"),((база!$I$5*Таблица1[[#This Row],[сумма]]*Таблица1[[#This Row],[коэф]])),
IF(OR(G467="2/4",G467="3/4"),((база!$I$4*Таблица1[[#This Row],[сумма]]*Таблица1[[#This Row],[коэф]])),
IF((G467="5/8"),((база!$J$6*Таблица1[[#This Row],[сумма]]*Таблица1[[#This Row],[коэф]])),
IF((G467="4/8"),((база!$J$5*Таблица1[[#This Row],[сумма]]*Таблица1[[#This Row],[коэф]])),
IF(OR(G467="3/8",G467="2/8"),((база!$J$4*Таблица1[[#This Row],[сумма]]*Таблица1[[#This Row],[коэф]])))))))))))))),
(IF((G467="5/24"),((база!$M$6*Таблица1[[#This Row],[сумма]]*Таблица1[[#This Row],[коэф]])),
IF(OR(G467="4/24",G467="3/24"),((база!$M$5*Таблица1[[#This Row],[сумма]]*Таблица1[[#This Row],[коэф]])),
IF((G467="5/16"),((база!$L$6*Таблица1[[#This Row],[сумма]]*Таблица1[[#This Row],[коэф]])),
IF(OR(G467="4/16",G467="3/16"),((база!$L$5*Таблица1[[#This Row],[сумма]]*Таблица1[[#This Row],[коэф]])),
IF(OR(G467="2/4",G467="3/4",G467="4/4"),((база!$I$5*Таблица1[[#This Row],[сумма]]*Таблица1[[#This Row],[коэф]])),
IF((G467="5/8"),((база!$J$6*Таблица1[[#This Row],[сумма]]*Таблица1[[#This Row],[коэф]])),
IF(OR(G467="4/8",G467="3/8",G467="2/8"),((база!$J$5*Таблица1[[#This Row],[сумма]]*Таблица1[[#This Row],[коэф]])))))))))))</f>
        <v>0</v>
      </c>
      <c r="AP467" s="730" t="b">
        <f>IF(AR467&lt;=3,(IF((G467="5/24"),((база!$M$6*2*Таблица1[[#This Row],[Столбец1]]*Таблица1[[#This Row],[коэф]])),
IF((G467="4/24"),((база!$M$5*2*Таблица1[[#This Row],[Столбец1]]*Таблица1[[#This Row],[коэф]])),
IF((G467="3/24"),((база!$M$4*2*Таблица1[[#This Row],[Столбец1]]*Таблица1[[#This Row],[коэф]])),
IF((G467="5/16"),((база!$L$6*2*Таблица1[[#This Row],[Столбец1]]*Таблица1[[#This Row],[коэф]])),
IF((G467="4/16"),((база!$L$5*2*Таблица1[[#This Row],[Столбец1]]*Таблица1[[#This Row],[коэф]])),
IF((G467="3/16"),((база!$L$4*2*Таблица1[[#This Row],[Столбец1]]*Таблица1[[#This Row],[коэф]])),
IF((G467="4/4"),((база!$I$5*2*Таблица1[[#This Row],[Столбец1]]*Таблица1[[#This Row],[коэф]])),
IF(OR(G467="2/4",G467="3/4"),((база!$I$4*2*Таблица1[[#This Row],[Столбец1]]*Таблица1[[#This Row],[коэф]])),
IF((G467="5/8"),((база!$J$6*2*Таблица1[[#This Row],[Столбец1]]*Таблица1[[#This Row],[коэф]])),
IF((G467="4/8"),((база!$J$5*2*Таблица1[[#This Row],[Столбец1]]*Таблица1[[#This Row],[коэф]])),
IF(OR(G467="3/8",G467="2/8"),((база!$J$4*2*Таблица1[[#This Row],[Столбец1]]*Таблица1[[#This Row],[коэф]])))))))))))))),
(IF((G467="5/24"),((база!$M$6*2*Таблица1[[#This Row],[Столбец1]]*Таблица1[[#This Row],[коэф]])),
IF(OR(G467="4/24",G467="3/24"),((база!$M$5*2*Таблица1[[#This Row],[Столбец1]]*Таблица1[[#This Row],[коэф]])),
IF((G467="5/16"),((база!$L$6*2*Таблица1[[#This Row],[Столбец1]]*Таблица1[[#This Row],[коэф]])),
IF(OR(G467="4/16",G467="3/16"),((база!$L$5*2*Таблица1[[#This Row],[Столбец1]]*Таблица1[[#This Row],[коэф]])),
IF(OR(G467="2/4",G467="3/4",G467="4/4"),((база!$I$5*2*Таблица1[[#This Row],[Столбец1]]*Таблица1[[#This Row],[коэф]])),
IF((G467="5/8"),((база!$J$6*2*Таблица1[[#This Row],[Столбец1]]*Таблица1[[#This Row],[коэф]])),
IF(OR(G467="4/8",G467="3/8",G467="2/8"),((база!$J$5*2*Таблица1[[#This Row],[Столбец1]]*Таблица1[[#This Row],[коэф]])))))))))))</f>
        <v>0</v>
      </c>
      <c r="AQ467" s="712" t="str">
        <f>IFERROR(INDEX(база!T:T, MATCH(F467,база!Q:Q,0)),"")</f>
        <v/>
      </c>
      <c r="AR467" s="208" t="str">
        <f>IFERROR(INDEX(база!D:D, MATCH(F467,база!B:B,0)),"")</f>
        <v/>
      </c>
      <c r="AS467" s="758" t="str">
        <f>IFERROR(INDEX(база!E:E, MATCH(F467,база!B:B,0)),"")</f>
        <v/>
      </c>
    </row>
    <row r="468" spans="1:45" s="46" customFormat="1" ht="15">
      <c r="A468" s="66" t="str">
        <f t="shared" si="9"/>
        <v>январь</v>
      </c>
      <c r="B468" s="231">
        <v>2024</v>
      </c>
      <c r="C468" s="299"/>
      <c r="D468" s="61"/>
      <c r="E468" s="211"/>
      <c r="F468" s="680"/>
      <c r="G468" s="47"/>
      <c r="H468" s="563"/>
      <c r="I468" s="563"/>
      <c r="J468" s="563"/>
      <c r="K468" s="563"/>
      <c r="L468" s="563"/>
      <c r="M468" s="563"/>
      <c r="N468" s="563"/>
      <c r="O468" s="563"/>
      <c r="P468" s="300"/>
      <c r="Q468" s="563"/>
      <c r="R468" s="563"/>
      <c r="S468" s="563"/>
      <c r="T468" s="563"/>
      <c r="U468" s="563"/>
      <c r="V468" s="563"/>
      <c r="W468" s="563"/>
      <c r="X468" s="563"/>
      <c r="Y468" s="563"/>
      <c r="Z468" s="563"/>
      <c r="AA468" s="563"/>
      <c r="AB468" s="563"/>
      <c r="AC468" s="563"/>
      <c r="AD468" s="48"/>
      <c r="AE468" s="48"/>
      <c r="AF468" s="258"/>
      <c r="AG468" s="48"/>
      <c r="AH468" s="48"/>
      <c r="AI468" s="258"/>
      <c r="AJ468" s="258"/>
      <c r="AK468" s="258"/>
      <c r="AL468" s="258"/>
      <c r="AM468" s="212">
        <f>IF(AQ468=1,SUM(Q468:T468,W468:Z468,AC468:AF468,AI468:AL468),
IF(AQ468=2,SUM(P468,S468:V468,Y468:AB468,AE468:AH468,AK468:AL468),
IF(AQ468=3,SUM(P468:R468,U468:X468,AA468:AD468,AG468:AJ468),SUM(Таблица1[[#This Row],[1]:[31]])-Таблица1[[#This Row],[Столбец1]])))</f>
        <v>0</v>
      </c>
      <c r="AN468" s="778">
        <f t="array" ref="AN468">IF(AQ468=1,SUM(P468,U468:V468,AA468:AB468,AG468:AH468),
IF(AQ468=2,SUM(Q468:R468,W468:X468,AC468:AD468,AI468:AJ468),
IF(AQ468=3,SUM(S468:T468,Y468:Z468,AE468:AF468,AK468:AL468),
SUM(IFERROR(WEEKDAY($H$2:$AL$2,2)&gt;5,)*H468:AL468))))+Таблица1[[#This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68" s="292" t="b">
        <f>IF(AR468&lt;=3,(IF((G468="5/24"),((база!$M$6*Таблица1[[#This Row],[сумма]]*Таблица1[[#This Row],[коэф]])),
IF((G468="4/24"),((база!$M$5*Таблица1[[#This Row],[сумма]]*Таблица1[[#This Row],[коэф]])),
IF((G468="3/24"),((база!$M$4*Таблица1[[#This Row],[сумма]]*Таблица1[[#This Row],[коэф]])),
IF((G468="5/16"),((база!$L$6*Таблица1[[#This Row],[сумма]]*Таблица1[[#This Row],[коэф]])),
IF((G468="4/16"),((база!$L$5*Таблица1[[#This Row],[сумма]]*Таблица1[[#This Row],[коэф]])),
IF((G468="3/16"),((база!$L$4*Таблица1[[#This Row],[сумма]]*Таблица1[[#This Row],[коэф]])),
IF((G468="4/4"),((база!$I$5*Таблица1[[#This Row],[сумма]]*Таблица1[[#This Row],[коэф]])),
IF(OR(G468="2/4",G468="3/4"),((база!$I$4*Таблица1[[#This Row],[сумма]]*Таблица1[[#This Row],[коэф]])),
IF((G468="5/8"),((база!$J$6*Таблица1[[#This Row],[сумма]]*Таблица1[[#This Row],[коэф]])),
IF((G468="4/8"),((база!$J$5*Таблица1[[#This Row],[сумма]]*Таблица1[[#This Row],[коэф]])),
IF(OR(G468="3/8",G468="2/8"),((база!$J$4*Таблица1[[#This Row],[сумма]]*Таблица1[[#This Row],[коэф]])))))))))))))),
(IF((G468="5/24"),((база!$M$6*Таблица1[[#This Row],[сумма]]*Таблица1[[#This Row],[коэф]])),
IF(OR(G468="4/24",G468="3/24"),((база!$M$5*Таблица1[[#This Row],[сумма]]*Таблица1[[#This Row],[коэф]])),
IF((G468="5/16"),((база!$L$6*Таблица1[[#This Row],[сумма]]*Таблица1[[#This Row],[коэф]])),
IF(OR(G468="4/16",G468="3/16"),((база!$L$5*Таблица1[[#This Row],[сумма]]*Таблица1[[#This Row],[коэф]])),
IF(OR(G468="2/4",G468="3/4",G468="4/4"),((база!$I$5*Таблица1[[#This Row],[сумма]]*Таблица1[[#This Row],[коэф]])),
IF((G468="5/8"),((база!$J$6*Таблица1[[#This Row],[сумма]]*Таблица1[[#This Row],[коэф]])),
IF(OR(G468="4/8",G468="3/8",G468="2/8"),((база!$J$5*Таблица1[[#This Row],[сумма]]*Таблица1[[#This Row],[коэф]])))))))))))</f>
        <v>0</v>
      </c>
      <c r="AP468" s="730" t="b">
        <f>IF(AR468&lt;=3,(IF((G468="5/24"),((база!$M$6*2*Таблица1[[#This Row],[Столбец1]]*Таблица1[[#This Row],[коэф]])),
IF((G468="4/24"),((база!$M$5*2*Таблица1[[#This Row],[Столбец1]]*Таблица1[[#This Row],[коэф]])),
IF((G468="3/24"),((база!$M$4*2*Таблица1[[#This Row],[Столбец1]]*Таблица1[[#This Row],[коэф]])),
IF((G468="5/16"),((база!$L$6*2*Таблица1[[#This Row],[Столбец1]]*Таблица1[[#This Row],[коэф]])),
IF((G468="4/16"),((база!$L$5*2*Таблица1[[#This Row],[Столбец1]]*Таблица1[[#This Row],[коэф]])),
IF((G468="3/16"),((база!$L$4*2*Таблица1[[#This Row],[Столбец1]]*Таблица1[[#This Row],[коэф]])),
IF((G468="4/4"),((база!$I$5*2*Таблица1[[#This Row],[Столбец1]]*Таблица1[[#This Row],[коэф]])),
IF(OR(G468="2/4",G468="3/4"),((база!$I$4*2*Таблица1[[#This Row],[Столбец1]]*Таблица1[[#This Row],[коэф]])),
IF((G468="5/8"),((база!$J$6*2*Таблица1[[#This Row],[Столбец1]]*Таблица1[[#This Row],[коэф]])),
IF((G468="4/8"),((база!$J$5*2*Таблица1[[#This Row],[Столбец1]]*Таблица1[[#This Row],[коэф]])),
IF(OR(G468="3/8",G468="2/8"),((база!$J$4*2*Таблица1[[#This Row],[Столбец1]]*Таблица1[[#This Row],[коэф]])))))))))))))),
(IF((G468="5/24"),((база!$M$6*2*Таблица1[[#This Row],[Столбец1]]*Таблица1[[#This Row],[коэф]])),
IF(OR(G468="4/24",G468="3/24"),((база!$M$5*2*Таблица1[[#This Row],[Столбец1]]*Таблица1[[#This Row],[коэф]])),
IF((G468="5/16"),((база!$L$6*2*Таблица1[[#This Row],[Столбец1]]*Таблица1[[#This Row],[коэф]])),
IF(OR(G468="4/16",G468="3/16"),((база!$L$5*2*Таблица1[[#This Row],[Столбец1]]*Таблица1[[#This Row],[коэф]])),
IF(OR(G468="2/4",G468="3/4",G468="4/4"),((база!$I$5*2*Таблица1[[#This Row],[Столбец1]]*Таблица1[[#This Row],[коэф]])),
IF((G468="5/8"),((база!$J$6*2*Таблица1[[#This Row],[Столбец1]]*Таблица1[[#This Row],[коэф]])),
IF(OR(G468="4/8",G468="3/8",G468="2/8"),((база!$J$5*2*Таблица1[[#This Row],[Столбец1]]*Таблица1[[#This Row],[коэф]])))))))))))</f>
        <v>0</v>
      </c>
      <c r="AQ468" s="712" t="str">
        <f>IFERROR(INDEX(база!T:T, MATCH(F468,база!Q:Q,0)),"")</f>
        <v/>
      </c>
      <c r="AR468" s="208" t="str">
        <f>IFERROR(INDEX(база!D:D, MATCH(F468,база!B:B,0)),"")</f>
        <v/>
      </c>
      <c r="AS468" s="758" t="str">
        <f>IFERROR(INDEX(база!E:E, MATCH(F468,база!B:B,0)),"")</f>
        <v/>
      </c>
    </row>
    <row r="469" spans="1:45" s="46" customFormat="1" ht="15">
      <c r="A469" s="66" t="str">
        <f t="shared" si="9"/>
        <v>январь</v>
      </c>
      <c r="B469" s="231">
        <v>2024</v>
      </c>
      <c r="C469" s="299"/>
      <c r="D469" s="61"/>
      <c r="E469" s="211"/>
      <c r="F469" s="680"/>
      <c r="G469" s="47"/>
      <c r="H469" s="563"/>
      <c r="I469" s="563"/>
      <c r="J469" s="563"/>
      <c r="K469" s="563"/>
      <c r="L469" s="563"/>
      <c r="M469" s="563"/>
      <c r="N469" s="563"/>
      <c r="O469" s="563"/>
      <c r="P469" s="300"/>
      <c r="Q469" s="563"/>
      <c r="R469" s="563"/>
      <c r="S469" s="563"/>
      <c r="T469" s="563"/>
      <c r="U469" s="563"/>
      <c r="V469" s="563"/>
      <c r="W469" s="563"/>
      <c r="X469" s="563"/>
      <c r="Y469" s="563"/>
      <c r="Z469" s="563"/>
      <c r="AA469" s="563"/>
      <c r="AB469" s="563"/>
      <c r="AC469" s="563"/>
      <c r="AD469" s="563"/>
      <c r="AE469" s="563"/>
      <c r="AF469" s="258"/>
      <c r="AG469" s="48"/>
      <c r="AH469" s="48"/>
      <c r="AI469" s="48"/>
      <c r="AJ469" s="48"/>
      <c r="AK469" s="48"/>
      <c r="AL469" s="51"/>
      <c r="AM469" s="212">
        <f>IF(AQ469=1,SUM(Q469:T469,W469:Z469,AC469:AF469,AI469:AL469),
IF(AQ469=2,SUM(P469,S469:V469,Y469:AB469,AE469:AH469,AK469:AL469),
IF(AQ469=3,SUM(P469:R469,U469:X469,AA469:AD469,AG469:AJ469),SUM(Таблица1[[#This Row],[1]:[31]])-Таблица1[[#This Row],[Столбец1]])))</f>
        <v>0</v>
      </c>
      <c r="AN469" s="778">
        <f t="array" ref="AN469">IF(AQ469=1,SUM(P469,U469:V469,AA469:AB469,AG469:AH469),
IF(AQ469=2,SUM(Q469:R469,W469:X469,AC469:AD469,AI469:AJ469),
IF(AQ469=3,SUM(S469:T469,Y469:Z469,AE469:AF469,AK469:AL469),
SUM(IFERROR(WEEKDAY($H$2:$AL$2,2)&gt;5,)*H469:AL469))))+Таблица1[[#This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69" s="292" t="b">
        <f>IF(AR469&lt;=3,(IF((G469="5/24"),((база!$M$6*Таблица1[[#This Row],[сумма]]*Таблица1[[#This Row],[коэф]])),
IF((G469="4/24"),((база!$M$5*Таблица1[[#This Row],[сумма]]*Таблица1[[#This Row],[коэф]])),
IF((G469="3/24"),((база!$M$4*Таблица1[[#This Row],[сумма]]*Таблица1[[#This Row],[коэф]])),
IF((G469="5/16"),((база!$L$6*Таблица1[[#This Row],[сумма]]*Таблица1[[#This Row],[коэф]])),
IF((G469="4/16"),((база!$L$5*Таблица1[[#This Row],[сумма]]*Таблица1[[#This Row],[коэф]])),
IF((G469="3/16"),((база!$L$4*Таблица1[[#This Row],[сумма]]*Таблица1[[#This Row],[коэф]])),
IF((G469="4/4"),((база!$I$5*Таблица1[[#This Row],[сумма]]*Таблица1[[#This Row],[коэф]])),
IF(OR(G469="2/4",G469="3/4"),((база!$I$4*Таблица1[[#This Row],[сумма]]*Таблица1[[#This Row],[коэф]])),
IF((G469="5/8"),((база!$J$6*Таблица1[[#This Row],[сумма]]*Таблица1[[#This Row],[коэф]])),
IF((G469="4/8"),((база!$J$5*Таблица1[[#This Row],[сумма]]*Таблица1[[#This Row],[коэф]])),
IF(OR(G469="3/8",G469="2/8"),((база!$J$4*Таблица1[[#This Row],[сумма]]*Таблица1[[#This Row],[коэф]])))))))))))))),
(IF((G469="5/24"),((база!$M$6*Таблица1[[#This Row],[сумма]]*Таблица1[[#This Row],[коэф]])),
IF(OR(G469="4/24",G469="3/24"),((база!$M$5*Таблица1[[#This Row],[сумма]]*Таблица1[[#This Row],[коэф]])),
IF((G469="5/16"),((база!$L$6*Таблица1[[#This Row],[сумма]]*Таблица1[[#This Row],[коэф]])),
IF(OR(G469="4/16",G469="3/16"),((база!$L$5*Таблица1[[#This Row],[сумма]]*Таблица1[[#This Row],[коэф]])),
IF(OR(G469="2/4",G469="3/4",G469="4/4"),((база!$I$5*Таблица1[[#This Row],[сумма]]*Таблица1[[#This Row],[коэф]])),
IF((G469="5/8"),((база!$J$6*Таблица1[[#This Row],[сумма]]*Таблица1[[#This Row],[коэф]])),
IF(OR(G469="4/8",G469="3/8",G469="2/8"),((база!$J$5*Таблица1[[#This Row],[сумма]]*Таблица1[[#This Row],[коэф]])))))))))))</f>
        <v>0</v>
      </c>
      <c r="AP469" s="730" t="b">
        <f>IF(AR469&lt;=3,(IF((G469="5/24"),((база!$M$6*2*Таблица1[[#This Row],[Столбец1]]*Таблица1[[#This Row],[коэф]])),
IF((G469="4/24"),((база!$M$5*2*Таблица1[[#This Row],[Столбец1]]*Таблица1[[#This Row],[коэф]])),
IF((G469="3/24"),((база!$M$4*2*Таблица1[[#This Row],[Столбец1]]*Таблица1[[#This Row],[коэф]])),
IF((G469="5/16"),((база!$L$6*2*Таблица1[[#This Row],[Столбец1]]*Таблица1[[#This Row],[коэф]])),
IF((G469="4/16"),((база!$L$5*2*Таблица1[[#This Row],[Столбец1]]*Таблица1[[#This Row],[коэф]])),
IF((G469="3/16"),((база!$L$4*2*Таблица1[[#This Row],[Столбец1]]*Таблица1[[#This Row],[коэф]])),
IF((G469="4/4"),((база!$I$5*2*Таблица1[[#This Row],[Столбец1]]*Таблица1[[#This Row],[коэф]])),
IF(OR(G469="2/4",G469="3/4"),((база!$I$4*2*Таблица1[[#This Row],[Столбец1]]*Таблица1[[#This Row],[коэф]])),
IF((G469="5/8"),((база!$J$6*2*Таблица1[[#This Row],[Столбец1]]*Таблица1[[#This Row],[коэф]])),
IF((G469="4/8"),((база!$J$5*2*Таблица1[[#This Row],[Столбец1]]*Таблица1[[#This Row],[коэф]])),
IF(OR(G469="3/8",G469="2/8"),((база!$J$4*2*Таблица1[[#This Row],[Столбец1]]*Таблица1[[#This Row],[коэф]])))))))))))))),
(IF((G469="5/24"),((база!$M$6*2*Таблица1[[#This Row],[Столбец1]]*Таблица1[[#This Row],[коэф]])),
IF(OR(G469="4/24",G469="3/24"),((база!$M$5*2*Таблица1[[#This Row],[Столбец1]]*Таблица1[[#This Row],[коэф]])),
IF((G469="5/16"),((база!$L$6*2*Таблица1[[#This Row],[Столбец1]]*Таблица1[[#This Row],[коэф]])),
IF(OR(G469="4/16",G469="3/16"),((база!$L$5*2*Таблица1[[#This Row],[Столбец1]]*Таблица1[[#This Row],[коэф]])),
IF(OR(G469="2/4",G469="3/4",G469="4/4"),((база!$I$5*2*Таблица1[[#This Row],[Столбец1]]*Таблица1[[#This Row],[коэф]])),
IF((G469="5/8"),((база!$J$6*2*Таблица1[[#This Row],[Столбец1]]*Таблица1[[#This Row],[коэф]])),
IF(OR(G469="4/8",G469="3/8",G469="2/8"),((база!$J$5*2*Таблица1[[#This Row],[Столбец1]]*Таблица1[[#This Row],[коэф]])))))))))))</f>
        <v>0</v>
      </c>
      <c r="AQ469" s="712" t="str">
        <f>IFERROR(INDEX(база!T:T, MATCH(F469,база!Q:Q,0)),"")</f>
        <v/>
      </c>
      <c r="AR469" s="208" t="str">
        <f>IFERROR(INDEX(база!D:D, MATCH(F469,база!B:B,0)),"")</f>
        <v/>
      </c>
      <c r="AS469" s="758" t="str">
        <f>IFERROR(INDEX(база!E:E, MATCH(F469,база!B:B,0)),"")</f>
        <v/>
      </c>
    </row>
    <row r="470" spans="1:45" s="46" customFormat="1" ht="15">
      <c r="A470" s="66" t="str">
        <f t="shared" si="9"/>
        <v>январь</v>
      </c>
      <c r="B470" s="231">
        <v>2024</v>
      </c>
      <c r="C470" s="299"/>
      <c r="D470" s="61"/>
      <c r="E470" s="211"/>
      <c r="F470" s="680"/>
      <c r="G470" s="47"/>
      <c r="H470" s="563"/>
      <c r="I470" s="563"/>
      <c r="J470" s="563"/>
      <c r="K470" s="563"/>
      <c r="L470" s="563"/>
      <c r="M470" s="563"/>
      <c r="N470" s="563"/>
      <c r="O470" s="563"/>
      <c r="P470" s="300"/>
      <c r="Q470" s="563"/>
      <c r="R470" s="563"/>
      <c r="S470" s="563"/>
      <c r="T470" s="563"/>
      <c r="U470" s="563"/>
      <c r="V470" s="563"/>
      <c r="W470" s="563"/>
      <c r="X470" s="563"/>
      <c r="Y470" s="563"/>
      <c r="Z470" s="563"/>
      <c r="AA470" s="563"/>
      <c r="AB470" s="563"/>
      <c r="AC470" s="563"/>
      <c r="AD470" s="48"/>
      <c r="AE470" s="48"/>
      <c r="AF470" s="258"/>
      <c r="AG470" s="48"/>
      <c r="AH470" s="48"/>
      <c r="AI470" s="258"/>
      <c r="AJ470" s="258"/>
      <c r="AK470" s="258"/>
      <c r="AL470" s="258"/>
      <c r="AM470" s="212">
        <f>IF(AQ470=1,SUM(Q470:T470,W470:Z470,AC470:AF470,AI470:AL470),
IF(AQ470=2,SUM(P470,S470:V470,Y470:AB470,AE470:AH470,AK470:AL470),
IF(AQ470=3,SUM(P470:R470,U470:X470,AA470:AD470,AG470:AJ470),SUM(Таблица1[[#This Row],[1]:[31]])-Таблица1[[#This Row],[Столбец1]])))</f>
        <v>0</v>
      </c>
      <c r="AN470" s="778">
        <f t="array" ref="AN470">IF(AQ470=1,SUM(P470,U470:V470,AA470:AB470,AG470:AH470),
IF(AQ470=2,SUM(Q470:R470,W470:X470,AC470:AD470,AI470:AJ470),
IF(AQ470=3,SUM(S470:T470,Y470:Z470,AE470:AF470,AK470:AL470),
SUM(IFERROR(WEEKDAY($H$2:$AL$2,2)&gt;5,)*H470:AL470))))+Таблица1[[#This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70" s="292" t="b">
        <f>IF(AR470&lt;=3,(IF((G470="5/24"),((база!$M$6*Таблица1[[#This Row],[сумма]]*Таблица1[[#This Row],[коэф]])),
IF((G470="4/24"),((база!$M$5*Таблица1[[#This Row],[сумма]]*Таблица1[[#This Row],[коэф]])),
IF((G470="3/24"),((база!$M$4*Таблица1[[#This Row],[сумма]]*Таблица1[[#This Row],[коэф]])),
IF((G470="5/16"),((база!$L$6*Таблица1[[#This Row],[сумма]]*Таблица1[[#This Row],[коэф]])),
IF((G470="4/16"),((база!$L$5*Таблица1[[#This Row],[сумма]]*Таблица1[[#This Row],[коэф]])),
IF((G470="3/16"),((база!$L$4*Таблица1[[#This Row],[сумма]]*Таблица1[[#This Row],[коэф]])),
IF((G470="4/4"),((база!$I$5*Таблица1[[#This Row],[сумма]]*Таблица1[[#This Row],[коэф]])),
IF(OR(G470="2/4",G470="3/4"),((база!$I$4*Таблица1[[#This Row],[сумма]]*Таблица1[[#This Row],[коэф]])),
IF((G470="5/8"),((база!$J$6*Таблица1[[#This Row],[сумма]]*Таблица1[[#This Row],[коэф]])),
IF((G470="4/8"),((база!$J$5*Таблица1[[#This Row],[сумма]]*Таблица1[[#This Row],[коэф]])),
IF(OR(G470="3/8",G470="2/8"),((база!$J$4*Таблица1[[#This Row],[сумма]]*Таблица1[[#This Row],[коэф]])))))))))))))),
(IF((G470="5/24"),((база!$M$6*Таблица1[[#This Row],[сумма]]*Таблица1[[#This Row],[коэф]])),
IF(OR(G470="4/24",G470="3/24"),((база!$M$5*Таблица1[[#This Row],[сумма]]*Таблица1[[#This Row],[коэф]])),
IF((G470="5/16"),((база!$L$6*Таблица1[[#This Row],[сумма]]*Таблица1[[#This Row],[коэф]])),
IF(OR(G470="4/16",G470="3/16"),((база!$L$5*Таблица1[[#This Row],[сумма]]*Таблица1[[#This Row],[коэф]])),
IF(OR(G470="2/4",G470="3/4",G470="4/4"),((база!$I$5*Таблица1[[#This Row],[сумма]]*Таблица1[[#This Row],[коэф]])),
IF((G470="5/8"),((база!$J$6*Таблица1[[#This Row],[сумма]]*Таблица1[[#This Row],[коэф]])),
IF(OR(G470="4/8",G470="3/8",G470="2/8"),((база!$J$5*Таблица1[[#This Row],[сумма]]*Таблица1[[#This Row],[коэф]])))))))))))</f>
        <v>0</v>
      </c>
      <c r="AP470" s="730" t="b">
        <f>IF(AR470&lt;=3,(IF((G470="5/24"),((база!$M$6*2*Таблица1[[#This Row],[Столбец1]]*Таблица1[[#This Row],[коэф]])),
IF((G470="4/24"),((база!$M$5*2*Таблица1[[#This Row],[Столбец1]]*Таблица1[[#This Row],[коэф]])),
IF((G470="3/24"),((база!$M$4*2*Таблица1[[#This Row],[Столбец1]]*Таблица1[[#This Row],[коэф]])),
IF((G470="5/16"),((база!$L$6*2*Таблица1[[#This Row],[Столбец1]]*Таблица1[[#This Row],[коэф]])),
IF((G470="4/16"),((база!$L$5*2*Таблица1[[#This Row],[Столбец1]]*Таблица1[[#This Row],[коэф]])),
IF((G470="3/16"),((база!$L$4*2*Таблица1[[#This Row],[Столбец1]]*Таблица1[[#This Row],[коэф]])),
IF((G470="4/4"),((база!$I$5*2*Таблица1[[#This Row],[Столбец1]]*Таблица1[[#This Row],[коэф]])),
IF(OR(G470="2/4",G470="3/4"),((база!$I$4*2*Таблица1[[#This Row],[Столбец1]]*Таблица1[[#This Row],[коэф]])),
IF((G470="5/8"),((база!$J$6*2*Таблица1[[#This Row],[Столбец1]]*Таблица1[[#This Row],[коэф]])),
IF((G470="4/8"),((база!$J$5*2*Таблица1[[#This Row],[Столбец1]]*Таблица1[[#This Row],[коэф]])),
IF(OR(G470="3/8",G470="2/8"),((база!$J$4*2*Таблица1[[#This Row],[Столбец1]]*Таблица1[[#This Row],[коэф]])))))))))))))),
(IF((G470="5/24"),((база!$M$6*2*Таблица1[[#This Row],[Столбец1]]*Таблица1[[#This Row],[коэф]])),
IF(OR(G470="4/24",G470="3/24"),((база!$M$5*2*Таблица1[[#This Row],[Столбец1]]*Таблица1[[#This Row],[коэф]])),
IF((G470="5/16"),((база!$L$6*2*Таблица1[[#This Row],[Столбец1]]*Таблица1[[#This Row],[коэф]])),
IF(OR(G470="4/16",G470="3/16"),((база!$L$5*2*Таблица1[[#This Row],[Столбец1]]*Таблица1[[#This Row],[коэф]])),
IF(OR(G470="2/4",G470="3/4",G470="4/4"),((база!$I$5*2*Таблица1[[#This Row],[Столбец1]]*Таблица1[[#This Row],[коэф]])),
IF((G470="5/8"),((база!$J$6*2*Таблица1[[#This Row],[Столбец1]]*Таблица1[[#This Row],[коэф]])),
IF(OR(G470="4/8",G470="3/8",G470="2/8"),((база!$J$5*2*Таблица1[[#This Row],[Столбец1]]*Таблица1[[#This Row],[коэф]])))))))))))</f>
        <v>0</v>
      </c>
      <c r="AQ470" s="712" t="str">
        <f>IFERROR(INDEX(база!T:T, MATCH(F470,база!Q:Q,0)),"")</f>
        <v/>
      </c>
      <c r="AR470" s="208" t="str">
        <f>IFERROR(INDEX(база!D:D, MATCH(F470,база!B:B,0)),"")</f>
        <v/>
      </c>
      <c r="AS470" s="758" t="str">
        <f>IFERROR(INDEX(база!E:E, MATCH(F470,база!B:B,0)),"")</f>
        <v/>
      </c>
    </row>
    <row r="471" spans="1:45" s="46" customFormat="1" ht="15">
      <c r="A471" s="66" t="str">
        <f t="shared" si="9"/>
        <v>январь</v>
      </c>
      <c r="B471" s="231">
        <v>2024</v>
      </c>
      <c r="C471" s="299"/>
      <c r="D471" s="61"/>
      <c r="E471" s="211"/>
      <c r="F471" s="680"/>
      <c r="G471" s="47"/>
      <c r="H471" s="563"/>
      <c r="I471" s="563"/>
      <c r="J471" s="563"/>
      <c r="K471" s="563"/>
      <c r="L471" s="563"/>
      <c r="M471" s="563"/>
      <c r="N471" s="563"/>
      <c r="O471" s="563"/>
      <c r="P471" s="300"/>
      <c r="Q471" s="563"/>
      <c r="R471" s="563"/>
      <c r="S471" s="563"/>
      <c r="T471" s="563"/>
      <c r="U471" s="563"/>
      <c r="V471" s="563"/>
      <c r="W471" s="563"/>
      <c r="X471" s="563"/>
      <c r="Y471" s="563"/>
      <c r="Z471" s="563"/>
      <c r="AA471" s="563"/>
      <c r="AB471" s="563"/>
      <c r="AC471" s="563"/>
      <c r="AD471" s="48"/>
      <c r="AE471" s="48"/>
      <c r="AF471" s="258"/>
      <c r="AG471" s="48"/>
      <c r="AH471" s="48"/>
      <c r="AI471" s="48"/>
      <c r="AJ471" s="48"/>
      <c r="AK471" s="48"/>
      <c r="AL471" s="48"/>
      <c r="AM471" s="212">
        <f>IF(AQ471=1,SUM(Q471:T471,W471:Z471,AC471:AF471,AI471:AL471),
IF(AQ471=2,SUM(P471,S471:V471,Y471:AB471,AE471:AH471,AK471:AL471),
IF(AQ471=3,SUM(P471:R471,U471:X471,AA471:AD471,AG471:AJ471),SUM(Таблица1[[#This Row],[1]:[31]])-Таблица1[[#This Row],[Столбец1]])))</f>
        <v>0</v>
      </c>
      <c r="AN471" s="778">
        <f t="array" ref="AN471">IF(AQ471=1,SUM(P471,U471:V471,AA471:AB471,AG471:AH471),
IF(AQ471=2,SUM(Q471:R471,W471:X471,AC471:AD471,AI471:AJ471),
IF(AQ471=3,SUM(S471:T471,Y471:Z471,AE471:AF471,AK471:AL471),
SUM(IFERROR(WEEKDAY($H$2:$AL$2,2)&gt;5,)*H471:AL471))))+Таблица1[[#This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71" s="292" t="b">
        <f>IF(AR471&lt;=3,(IF((G471="5/24"),((база!$M$6*Таблица1[[#This Row],[сумма]]*Таблица1[[#This Row],[коэф]])),
IF((G471="4/24"),((база!$M$5*Таблица1[[#This Row],[сумма]]*Таблица1[[#This Row],[коэф]])),
IF((G471="3/24"),((база!$M$4*Таблица1[[#This Row],[сумма]]*Таблица1[[#This Row],[коэф]])),
IF((G471="5/16"),((база!$L$6*Таблица1[[#This Row],[сумма]]*Таблица1[[#This Row],[коэф]])),
IF((G471="4/16"),((база!$L$5*Таблица1[[#This Row],[сумма]]*Таблица1[[#This Row],[коэф]])),
IF((G471="3/16"),((база!$L$4*Таблица1[[#This Row],[сумма]]*Таблица1[[#This Row],[коэф]])),
IF((G471="4/4"),((база!$I$5*Таблица1[[#This Row],[сумма]]*Таблица1[[#This Row],[коэф]])),
IF(OR(G471="2/4",G471="3/4"),((база!$I$4*Таблица1[[#This Row],[сумма]]*Таблица1[[#This Row],[коэф]])),
IF((G471="5/8"),((база!$J$6*Таблица1[[#This Row],[сумма]]*Таблица1[[#This Row],[коэф]])),
IF((G471="4/8"),((база!$J$5*Таблица1[[#This Row],[сумма]]*Таблица1[[#This Row],[коэф]])),
IF(OR(G471="3/8",G471="2/8"),((база!$J$4*Таблица1[[#This Row],[сумма]]*Таблица1[[#This Row],[коэф]])))))))))))))),
(IF((G471="5/24"),((база!$M$6*Таблица1[[#This Row],[сумма]]*Таблица1[[#This Row],[коэф]])),
IF(OR(G471="4/24",G471="3/24"),((база!$M$5*Таблица1[[#This Row],[сумма]]*Таблица1[[#This Row],[коэф]])),
IF((G471="5/16"),((база!$L$6*Таблица1[[#This Row],[сумма]]*Таблица1[[#This Row],[коэф]])),
IF(OR(G471="4/16",G471="3/16"),((база!$L$5*Таблица1[[#This Row],[сумма]]*Таблица1[[#This Row],[коэф]])),
IF(OR(G471="2/4",G471="3/4",G471="4/4"),((база!$I$5*Таблица1[[#This Row],[сумма]]*Таблица1[[#This Row],[коэф]])),
IF((G471="5/8"),((база!$J$6*Таблица1[[#This Row],[сумма]]*Таблица1[[#This Row],[коэф]])),
IF(OR(G471="4/8",G471="3/8",G471="2/8"),((база!$J$5*Таблица1[[#This Row],[сумма]]*Таблица1[[#This Row],[коэф]])))))))))))</f>
        <v>0</v>
      </c>
      <c r="AP471" s="730" t="b">
        <f>IF(AR471&lt;=3,(IF((G471="5/24"),((база!$M$6*2*Таблица1[[#This Row],[Столбец1]]*Таблица1[[#This Row],[коэф]])),
IF((G471="4/24"),((база!$M$5*2*Таблица1[[#This Row],[Столбец1]]*Таблица1[[#This Row],[коэф]])),
IF((G471="3/24"),((база!$M$4*2*Таблица1[[#This Row],[Столбец1]]*Таблица1[[#This Row],[коэф]])),
IF((G471="5/16"),((база!$L$6*2*Таблица1[[#This Row],[Столбец1]]*Таблица1[[#This Row],[коэф]])),
IF((G471="4/16"),((база!$L$5*2*Таблица1[[#This Row],[Столбец1]]*Таблица1[[#This Row],[коэф]])),
IF((G471="3/16"),((база!$L$4*2*Таблица1[[#This Row],[Столбец1]]*Таблица1[[#This Row],[коэф]])),
IF((G471="4/4"),((база!$I$5*2*Таблица1[[#This Row],[Столбец1]]*Таблица1[[#This Row],[коэф]])),
IF(OR(G471="2/4",G471="3/4"),((база!$I$4*2*Таблица1[[#This Row],[Столбец1]]*Таблица1[[#This Row],[коэф]])),
IF((G471="5/8"),((база!$J$6*2*Таблица1[[#This Row],[Столбец1]]*Таблица1[[#This Row],[коэф]])),
IF((G471="4/8"),((база!$J$5*2*Таблица1[[#This Row],[Столбец1]]*Таблица1[[#This Row],[коэф]])),
IF(OR(G471="3/8",G471="2/8"),((база!$J$4*2*Таблица1[[#This Row],[Столбец1]]*Таблица1[[#This Row],[коэф]])))))))))))))),
(IF((G471="5/24"),((база!$M$6*2*Таблица1[[#This Row],[Столбец1]]*Таблица1[[#This Row],[коэф]])),
IF(OR(G471="4/24",G471="3/24"),((база!$M$5*2*Таблица1[[#This Row],[Столбец1]]*Таблица1[[#This Row],[коэф]])),
IF((G471="5/16"),((база!$L$6*2*Таблица1[[#This Row],[Столбец1]]*Таблица1[[#This Row],[коэф]])),
IF(OR(G471="4/16",G471="3/16"),((база!$L$5*2*Таблица1[[#This Row],[Столбец1]]*Таблица1[[#This Row],[коэф]])),
IF(OR(G471="2/4",G471="3/4",G471="4/4"),((база!$I$5*2*Таблица1[[#This Row],[Столбец1]]*Таблица1[[#This Row],[коэф]])),
IF((G471="5/8"),((база!$J$6*2*Таблица1[[#This Row],[Столбец1]]*Таблица1[[#This Row],[коэф]])),
IF(OR(G471="4/8",G471="3/8",G471="2/8"),((база!$J$5*2*Таблица1[[#This Row],[Столбец1]]*Таблица1[[#This Row],[коэф]])))))))))))</f>
        <v>0</v>
      </c>
      <c r="AQ471" s="712" t="str">
        <f>IFERROR(INDEX(база!T:T, MATCH(F471,база!Q:Q,0)),"")</f>
        <v/>
      </c>
      <c r="AR471" s="208" t="str">
        <f>IFERROR(INDEX(база!D:D, MATCH(F471,база!B:B,0)),"")</f>
        <v/>
      </c>
      <c r="AS471" s="758" t="str">
        <f>IFERROR(INDEX(база!E:E, MATCH(F471,база!B:B,0)),"")</f>
        <v/>
      </c>
    </row>
    <row r="472" spans="1:45" s="46" customFormat="1" ht="15">
      <c r="A472" s="66" t="str">
        <f t="shared" si="9"/>
        <v>январь</v>
      </c>
      <c r="B472" s="231">
        <v>2024</v>
      </c>
      <c r="C472" s="299"/>
      <c r="D472" s="61"/>
      <c r="E472" s="211"/>
      <c r="F472" s="680"/>
      <c r="G472" s="47"/>
      <c r="H472" s="563"/>
      <c r="I472" s="563"/>
      <c r="J472" s="563"/>
      <c r="K472" s="563"/>
      <c r="L472" s="563"/>
      <c r="M472" s="563"/>
      <c r="N472" s="563"/>
      <c r="O472" s="563"/>
      <c r="P472" s="300"/>
      <c r="Q472" s="563"/>
      <c r="R472" s="563"/>
      <c r="S472" s="563"/>
      <c r="T472" s="563"/>
      <c r="U472" s="563"/>
      <c r="V472" s="563"/>
      <c r="W472" s="563"/>
      <c r="X472" s="563"/>
      <c r="Y472" s="563"/>
      <c r="Z472" s="563"/>
      <c r="AA472" s="563"/>
      <c r="AB472" s="563"/>
      <c r="AC472" s="563"/>
      <c r="AD472" s="48"/>
      <c r="AE472" s="48"/>
      <c r="AF472" s="258"/>
      <c r="AG472" s="48"/>
      <c r="AH472" s="48"/>
      <c r="AI472" s="258"/>
      <c r="AJ472" s="258"/>
      <c r="AK472" s="258"/>
      <c r="AL472" s="258"/>
      <c r="AM472" s="212">
        <f>IF(AQ472=1,SUM(Q472:T472,W472:Z472,AC472:AF472,AI472:AL472),
IF(AQ472=2,SUM(P472,S472:V472,Y472:AB472,AE472:AH472,AK472:AL472),
IF(AQ472=3,SUM(P472:R472,U472:X472,AA472:AD472,AG472:AJ472),SUM(Таблица1[[#This Row],[1]:[31]])-Таблица1[[#This Row],[Столбец1]])))</f>
        <v>0</v>
      </c>
      <c r="AN472" s="778">
        <f t="array" ref="AN472">IF(AQ472=1,SUM(P472,U472:V472,AA472:AB472,AG472:AH472),
IF(AQ472=2,SUM(Q472:R472,W472:X472,AC472:AD472,AI472:AJ472),
IF(AQ472=3,SUM(S472:T472,Y472:Z472,AE472:AF472,AK472:AL472),
SUM(IFERROR(WEEKDAY($H$2:$AL$2,2)&gt;5,)*H472:AL472))))+Таблица1[[#This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72" s="292" t="b">
        <f>IF(AR472&lt;=3,(IF((G472="5/24"),((база!$M$6*Таблица1[[#This Row],[сумма]]*Таблица1[[#This Row],[коэф]])),
IF((G472="4/24"),((база!$M$5*Таблица1[[#This Row],[сумма]]*Таблица1[[#This Row],[коэф]])),
IF((G472="3/24"),((база!$M$4*Таблица1[[#This Row],[сумма]]*Таблица1[[#This Row],[коэф]])),
IF((G472="5/16"),((база!$L$6*Таблица1[[#This Row],[сумма]]*Таблица1[[#This Row],[коэф]])),
IF((G472="4/16"),((база!$L$5*Таблица1[[#This Row],[сумма]]*Таблица1[[#This Row],[коэф]])),
IF((G472="3/16"),((база!$L$4*Таблица1[[#This Row],[сумма]]*Таблица1[[#This Row],[коэф]])),
IF((G472="4/4"),((база!$I$5*Таблица1[[#This Row],[сумма]]*Таблица1[[#This Row],[коэф]])),
IF(OR(G472="2/4",G472="3/4"),((база!$I$4*Таблица1[[#This Row],[сумма]]*Таблица1[[#This Row],[коэф]])),
IF((G472="5/8"),((база!$J$6*Таблица1[[#This Row],[сумма]]*Таблица1[[#This Row],[коэф]])),
IF((G472="4/8"),((база!$J$5*Таблица1[[#This Row],[сумма]]*Таблица1[[#This Row],[коэф]])),
IF(OR(G472="3/8",G472="2/8"),((база!$J$4*Таблица1[[#This Row],[сумма]]*Таблица1[[#This Row],[коэф]])))))))))))))),
(IF((G472="5/24"),((база!$M$6*Таблица1[[#This Row],[сумма]]*Таблица1[[#This Row],[коэф]])),
IF(OR(G472="4/24",G472="3/24"),((база!$M$5*Таблица1[[#This Row],[сумма]]*Таблица1[[#This Row],[коэф]])),
IF((G472="5/16"),((база!$L$6*Таблица1[[#This Row],[сумма]]*Таблица1[[#This Row],[коэф]])),
IF(OR(G472="4/16",G472="3/16"),((база!$L$5*Таблица1[[#This Row],[сумма]]*Таблица1[[#This Row],[коэф]])),
IF(OR(G472="2/4",G472="3/4",G472="4/4"),((база!$I$5*Таблица1[[#This Row],[сумма]]*Таблица1[[#This Row],[коэф]])),
IF((G472="5/8"),((база!$J$6*Таблица1[[#This Row],[сумма]]*Таблица1[[#This Row],[коэф]])),
IF(OR(G472="4/8",G472="3/8",G472="2/8"),((база!$J$5*Таблица1[[#This Row],[сумма]]*Таблица1[[#This Row],[коэф]])))))))))))</f>
        <v>0</v>
      </c>
      <c r="AP472" s="730" t="b">
        <f>IF(AR472&lt;=3,(IF((G472="5/24"),((база!$M$6*2*Таблица1[[#This Row],[Столбец1]]*Таблица1[[#This Row],[коэф]])),
IF((G472="4/24"),((база!$M$5*2*Таблица1[[#This Row],[Столбец1]]*Таблица1[[#This Row],[коэф]])),
IF((G472="3/24"),((база!$M$4*2*Таблица1[[#This Row],[Столбец1]]*Таблица1[[#This Row],[коэф]])),
IF((G472="5/16"),((база!$L$6*2*Таблица1[[#This Row],[Столбец1]]*Таблица1[[#This Row],[коэф]])),
IF((G472="4/16"),((база!$L$5*2*Таблица1[[#This Row],[Столбец1]]*Таблица1[[#This Row],[коэф]])),
IF((G472="3/16"),((база!$L$4*2*Таблица1[[#This Row],[Столбец1]]*Таблица1[[#This Row],[коэф]])),
IF((G472="4/4"),((база!$I$5*2*Таблица1[[#This Row],[Столбец1]]*Таблица1[[#This Row],[коэф]])),
IF(OR(G472="2/4",G472="3/4"),((база!$I$4*2*Таблица1[[#This Row],[Столбец1]]*Таблица1[[#This Row],[коэф]])),
IF((G472="5/8"),((база!$J$6*2*Таблица1[[#This Row],[Столбец1]]*Таблица1[[#This Row],[коэф]])),
IF((G472="4/8"),((база!$J$5*2*Таблица1[[#This Row],[Столбец1]]*Таблица1[[#This Row],[коэф]])),
IF(OR(G472="3/8",G472="2/8"),((база!$J$4*2*Таблица1[[#This Row],[Столбец1]]*Таблица1[[#This Row],[коэф]])))))))))))))),
(IF((G472="5/24"),((база!$M$6*2*Таблица1[[#This Row],[Столбец1]]*Таблица1[[#This Row],[коэф]])),
IF(OR(G472="4/24",G472="3/24"),((база!$M$5*2*Таблица1[[#This Row],[Столбец1]]*Таблица1[[#This Row],[коэф]])),
IF((G472="5/16"),((база!$L$6*2*Таблица1[[#This Row],[Столбец1]]*Таблица1[[#This Row],[коэф]])),
IF(OR(G472="4/16",G472="3/16"),((база!$L$5*2*Таблица1[[#This Row],[Столбец1]]*Таблица1[[#This Row],[коэф]])),
IF(OR(G472="2/4",G472="3/4",G472="4/4"),((база!$I$5*2*Таблица1[[#This Row],[Столбец1]]*Таблица1[[#This Row],[коэф]])),
IF((G472="5/8"),((база!$J$6*2*Таблица1[[#This Row],[Столбец1]]*Таблица1[[#This Row],[коэф]])),
IF(OR(G472="4/8",G472="3/8",G472="2/8"),((база!$J$5*2*Таблица1[[#This Row],[Столбец1]]*Таблица1[[#This Row],[коэф]])))))))))))</f>
        <v>0</v>
      </c>
      <c r="AQ472" s="712" t="str">
        <f>IFERROR(INDEX(база!T:T, MATCH(F472,база!Q:Q,0)),"")</f>
        <v/>
      </c>
      <c r="AR472" s="208" t="str">
        <f>IFERROR(INDEX(база!D:D, MATCH(F472,база!B:B,0)),"")</f>
        <v/>
      </c>
      <c r="AS472" s="758" t="str">
        <f>IFERROR(INDEX(база!E:E, MATCH(F472,база!B:B,0)),"")</f>
        <v/>
      </c>
    </row>
    <row r="473" spans="1:45" s="46" customFormat="1" ht="15">
      <c r="A473" s="66" t="str">
        <f t="shared" si="9"/>
        <v>январь</v>
      </c>
      <c r="B473" s="231">
        <v>2024</v>
      </c>
      <c r="C473" s="299"/>
      <c r="D473" s="61"/>
      <c r="E473" s="211"/>
      <c r="F473" s="680"/>
      <c r="G473" s="47"/>
      <c r="H473" s="563"/>
      <c r="I473" s="563"/>
      <c r="J473" s="563"/>
      <c r="K473" s="563"/>
      <c r="L473" s="563"/>
      <c r="M473" s="563"/>
      <c r="N473" s="563"/>
      <c r="O473" s="563"/>
      <c r="P473" s="300"/>
      <c r="Q473" s="563"/>
      <c r="R473" s="563"/>
      <c r="S473" s="563"/>
      <c r="T473" s="563"/>
      <c r="U473" s="563"/>
      <c r="V473" s="563"/>
      <c r="W473" s="563"/>
      <c r="X473" s="563"/>
      <c r="Y473" s="563"/>
      <c r="Z473" s="563"/>
      <c r="AA473" s="563"/>
      <c r="AB473" s="563"/>
      <c r="AC473" s="563"/>
      <c r="AD473" s="48"/>
      <c r="AE473" s="48"/>
      <c r="AF473" s="258"/>
      <c r="AG473" s="48"/>
      <c r="AH473" s="48"/>
      <c r="AI473" s="48"/>
      <c r="AJ473" s="48"/>
      <c r="AK473" s="48"/>
      <c r="AL473" s="51"/>
      <c r="AM473" s="212">
        <f>IF(AQ473=1,SUM(Q473:T473,W473:Z473,AC473:AF473,AI473:AL473),
IF(AQ473=2,SUM(P473,S473:V473,Y473:AB473,AE473:AH473,AK473:AL473),
IF(AQ473=3,SUM(P473:R473,U473:X473,AA473:AD473,AG473:AJ473),SUM(Таблица1[[#This Row],[1]:[31]])-Таблица1[[#This Row],[Столбец1]])))</f>
        <v>0</v>
      </c>
      <c r="AN473" s="778">
        <f t="array" ref="AN473">IF(AQ473=1,SUM(P473,U473:V473,AA473:AB473,AG473:AH473),
IF(AQ473=2,SUM(Q473:R473,W473:X473,AC473:AD473,AI473:AJ473),
IF(AQ473=3,SUM(S473:T473,Y473:Z473,AE473:AF473,AK473:AL473),
SUM(IFERROR(WEEKDAY($H$2:$AL$2,2)&gt;5,)*H473:AL473))))+Таблица1[[#This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73" s="292" t="b">
        <f>IF(AR473&lt;=3,(IF((G473="5/24"),((база!$M$6*Таблица1[[#This Row],[сумма]]*Таблица1[[#This Row],[коэф]])),
IF((G473="4/24"),((база!$M$5*Таблица1[[#This Row],[сумма]]*Таблица1[[#This Row],[коэф]])),
IF((G473="3/24"),((база!$M$4*Таблица1[[#This Row],[сумма]]*Таблица1[[#This Row],[коэф]])),
IF((G473="5/16"),((база!$L$6*Таблица1[[#This Row],[сумма]]*Таблица1[[#This Row],[коэф]])),
IF((G473="4/16"),((база!$L$5*Таблица1[[#This Row],[сумма]]*Таблица1[[#This Row],[коэф]])),
IF((G473="3/16"),((база!$L$4*Таблица1[[#This Row],[сумма]]*Таблица1[[#This Row],[коэф]])),
IF((G473="4/4"),((база!$I$5*Таблица1[[#This Row],[сумма]]*Таблица1[[#This Row],[коэф]])),
IF(OR(G473="2/4",G473="3/4"),((база!$I$4*Таблица1[[#This Row],[сумма]]*Таблица1[[#This Row],[коэф]])),
IF((G473="5/8"),((база!$J$6*Таблица1[[#This Row],[сумма]]*Таблица1[[#This Row],[коэф]])),
IF((G473="4/8"),((база!$J$5*Таблица1[[#This Row],[сумма]]*Таблица1[[#This Row],[коэф]])),
IF(OR(G473="3/8",G473="2/8"),((база!$J$4*Таблица1[[#This Row],[сумма]]*Таблица1[[#This Row],[коэф]])))))))))))))),
(IF((G473="5/24"),((база!$M$6*Таблица1[[#This Row],[сумма]]*Таблица1[[#This Row],[коэф]])),
IF(OR(G473="4/24",G473="3/24"),((база!$M$5*Таблица1[[#This Row],[сумма]]*Таблица1[[#This Row],[коэф]])),
IF((G473="5/16"),((база!$L$6*Таблица1[[#This Row],[сумма]]*Таблица1[[#This Row],[коэф]])),
IF(OR(G473="4/16",G473="3/16"),((база!$L$5*Таблица1[[#This Row],[сумма]]*Таблица1[[#This Row],[коэф]])),
IF(OR(G473="2/4",G473="3/4",G473="4/4"),((база!$I$5*Таблица1[[#This Row],[сумма]]*Таблица1[[#This Row],[коэф]])),
IF((G473="5/8"),((база!$J$6*Таблица1[[#This Row],[сумма]]*Таблица1[[#This Row],[коэф]])),
IF(OR(G473="4/8",G473="3/8",G473="2/8"),((база!$J$5*Таблица1[[#This Row],[сумма]]*Таблица1[[#This Row],[коэф]])))))))))))</f>
        <v>0</v>
      </c>
      <c r="AP473" s="730" t="b">
        <f>IF(AR473&lt;=3,(IF((G473="5/24"),((база!$M$6*2*Таблица1[[#This Row],[Столбец1]]*Таблица1[[#This Row],[коэф]])),
IF((G473="4/24"),((база!$M$5*2*Таблица1[[#This Row],[Столбец1]]*Таблица1[[#This Row],[коэф]])),
IF((G473="3/24"),((база!$M$4*2*Таблица1[[#This Row],[Столбец1]]*Таблица1[[#This Row],[коэф]])),
IF((G473="5/16"),((база!$L$6*2*Таблица1[[#This Row],[Столбец1]]*Таблица1[[#This Row],[коэф]])),
IF((G473="4/16"),((база!$L$5*2*Таблица1[[#This Row],[Столбец1]]*Таблица1[[#This Row],[коэф]])),
IF((G473="3/16"),((база!$L$4*2*Таблица1[[#This Row],[Столбец1]]*Таблица1[[#This Row],[коэф]])),
IF((G473="4/4"),((база!$I$5*2*Таблица1[[#This Row],[Столбец1]]*Таблица1[[#This Row],[коэф]])),
IF(OR(G473="2/4",G473="3/4"),((база!$I$4*2*Таблица1[[#This Row],[Столбец1]]*Таблица1[[#This Row],[коэф]])),
IF((G473="5/8"),((база!$J$6*2*Таблица1[[#This Row],[Столбец1]]*Таблица1[[#This Row],[коэф]])),
IF((G473="4/8"),((база!$J$5*2*Таблица1[[#This Row],[Столбец1]]*Таблица1[[#This Row],[коэф]])),
IF(OR(G473="3/8",G473="2/8"),((база!$J$4*2*Таблица1[[#This Row],[Столбец1]]*Таблица1[[#This Row],[коэф]])))))))))))))),
(IF((G473="5/24"),((база!$M$6*2*Таблица1[[#This Row],[Столбец1]]*Таблица1[[#This Row],[коэф]])),
IF(OR(G473="4/24",G473="3/24"),((база!$M$5*2*Таблица1[[#This Row],[Столбец1]]*Таблица1[[#This Row],[коэф]])),
IF((G473="5/16"),((база!$L$6*2*Таблица1[[#This Row],[Столбец1]]*Таблица1[[#This Row],[коэф]])),
IF(OR(G473="4/16",G473="3/16"),((база!$L$5*2*Таблица1[[#This Row],[Столбец1]]*Таблица1[[#This Row],[коэф]])),
IF(OR(G473="2/4",G473="3/4",G473="4/4"),((база!$I$5*2*Таблица1[[#This Row],[Столбец1]]*Таблица1[[#This Row],[коэф]])),
IF((G473="5/8"),((база!$J$6*2*Таблица1[[#This Row],[Столбец1]]*Таблица1[[#This Row],[коэф]])),
IF(OR(G473="4/8",G473="3/8",G473="2/8"),((база!$J$5*2*Таблица1[[#This Row],[Столбец1]]*Таблица1[[#This Row],[коэф]])))))))))))</f>
        <v>0</v>
      </c>
      <c r="AQ473" s="712" t="str">
        <f>IFERROR(INDEX(база!T:T, MATCH(F473,база!Q:Q,0)),"")</f>
        <v/>
      </c>
      <c r="AR473" s="208" t="str">
        <f>IFERROR(INDEX(база!D:D, MATCH(F473,база!B:B,0)),"")</f>
        <v/>
      </c>
      <c r="AS473" s="758" t="str">
        <f>IFERROR(INDEX(база!E:E, MATCH(F473,база!B:B,0)),"")</f>
        <v/>
      </c>
    </row>
    <row r="474" spans="1:45" s="46" customFormat="1" ht="15">
      <c r="A474" s="66" t="str">
        <f t="shared" si="9"/>
        <v>январь</v>
      </c>
      <c r="B474" s="231">
        <v>2024</v>
      </c>
      <c r="C474" s="60"/>
      <c r="D474" s="61"/>
      <c r="E474" s="211"/>
      <c r="F474" s="680"/>
      <c r="G474" s="47"/>
      <c r="H474" s="563"/>
      <c r="I474" s="563"/>
      <c r="J474" s="563"/>
      <c r="K474" s="563"/>
      <c r="L474" s="563"/>
      <c r="M474" s="563"/>
      <c r="N474" s="563"/>
      <c r="O474" s="563"/>
      <c r="P474" s="300"/>
      <c r="Q474" s="563"/>
      <c r="R474" s="563"/>
      <c r="S474" s="563"/>
      <c r="T474" s="563"/>
      <c r="U474" s="563"/>
      <c r="V474" s="563"/>
      <c r="W474" s="563"/>
      <c r="X474" s="563"/>
      <c r="Y474" s="563"/>
      <c r="Z474" s="563"/>
      <c r="AA474" s="563"/>
      <c r="AB474" s="563"/>
      <c r="AC474" s="563"/>
      <c r="AD474" s="48"/>
      <c r="AE474" s="48"/>
      <c r="AF474" s="258"/>
      <c r="AG474" s="48"/>
      <c r="AH474" s="48"/>
      <c r="AI474" s="258"/>
      <c r="AJ474" s="258"/>
      <c r="AK474" s="258"/>
      <c r="AL474" s="258"/>
      <c r="AM474" s="212">
        <f>IF(AQ474=1,SUM(Q474:T474,W474:Z474,AC474:AF474,AI474:AL474),
IF(AQ474=2,SUM(P474,S474:V474,Y474:AB474,AE474:AH474,AK474:AL474),
IF(AQ474=3,SUM(P474:R474,U474:X474,AA474:AD474,AG474:AJ474),SUM(Таблица1[[#This Row],[1]:[31]])-Таблица1[[#This Row],[Столбец1]])))</f>
        <v>0</v>
      </c>
      <c r="AN474" s="778">
        <f t="array" ref="AN474">IF(AQ474=1,SUM(P474,U474:V474,AA474:AB474,AG474:AH474),
IF(AQ474=2,SUM(Q474:R474,W474:X474,AC474:AD474,AI474:AJ474),
IF(AQ474=3,SUM(S474:T474,Y474:Z474,AE474:AF474,AK474:AL474),
SUM(IFERROR(WEEKDAY($H$2:$AL$2,2)&gt;5,)*H474:AL474))))+Таблица1[[#This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74" s="292" t="b">
        <f>IF(AR474&lt;=3,(IF((G474="5/24"),((база!$M$6*Таблица1[[#This Row],[сумма]]*Таблица1[[#This Row],[коэф]])),
IF((G474="4/24"),((база!$M$5*Таблица1[[#This Row],[сумма]]*Таблица1[[#This Row],[коэф]])),
IF((G474="3/24"),((база!$M$4*Таблица1[[#This Row],[сумма]]*Таблица1[[#This Row],[коэф]])),
IF((G474="5/16"),((база!$L$6*Таблица1[[#This Row],[сумма]]*Таблица1[[#This Row],[коэф]])),
IF((G474="4/16"),((база!$L$5*Таблица1[[#This Row],[сумма]]*Таблица1[[#This Row],[коэф]])),
IF((G474="3/16"),((база!$L$4*Таблица1[[#This Row],[сумма]]*Таблица1[[#This Row],[коэф]])),
IF((G474="4/4"),((база!$I$5*Таблица1[[#This Row],[сумма]]*Таблица1[[#This Row],[коэф]])),
IF(OR(G474="2/4",G474="3/4"),((база!$I$4*Таблица1[[#This Row],[сумма]]*Таблица1[[#This Row],[коэф]])),
IF((G474="5/8"),((база!$J$6*Таблица1[[#This Row],[сумма]]*Таблица1[[#This Row],[коэф]])),
IF((G474="4/8"),((база!$J$5*Таблица1[[#This Row],[сумма]]*Таблица1[[#This Row],[коэф]])),
IF(OR(G474="3/8",G474="2/8"),((база!$J$4*Таблица1[[#This Row],[сумма]]*Таблица1[[#This Row],[коэф]])))))))))))))),
(IF((G474="5/24"),((база!$M$6*Таблица1[[#This Row],[сумма]]*Таблица1[[#This Row],[коэф]])),
IF(OR(G474="4/24",G474="3/24"),((база!$M$5*Таблица1[[#This Row],[сумма]]*Таблица1[[#This Row],[коэф]])),
IF((G474="5/16"),((база!$L$6*Таблица1[[#This Row],[сумма]]*Таблица1[[#This Row],[коэф]])),
IF(OR(G474="4/16",G474="3/16"),((база!$L$5*Таблица1[[#This Row],[сумма]]*Таблица1[[#This Row],[коэф]])),
IF(OR(G474="2/4",G474="3/4",G474="4/4"),((база!$I$5*Таблица1[[#This Row],[сумма]]*Таблица1[[#This Row],[коэф]])),
IF((G474="5/8"),((база!$J$6*Таблица1[[#This Row],[сумма]]*Таблица1[[#This Row],[коэф]])),
IF(OR(G474="4/8",G474="3/8",G474="2/8"),((база!$J$5*Таблица1[[#This Row],[сумма]]*Таблица1[[#This Row],[коэф]])))))))))))</f>
        <v>0</v>
      </c>
      <c r="AP474" s="730" t="b">
        <f>IF(AR474&lt;=3,(IF((G474="5/24"),((база!$M$6*2*Таблица1[[#This Row],[Столбец1]]*Таблица1[[#This Row],[коэф]])),
IF((G474="4/24"),((база!$M$5*2*Таблица1[[#This Row],[Столбец1]]*Таблица1[[#This Row],[коэф]])),
IF((G474="3/24"),((база!$M$4*2*Таблица1[[#This Row],[Столбец1]]*Таблица1[[#This Row],[коэф]])),
IF((G474="5/16"),((база!$L$6*2*Таблица1[[#This Row],[Столбец1]]*Таблица1[[#This Row],[коэф]])),
IF((G474="4/16"),((база!$L$5*2*Таблица1[[#This Row],[Столбец1]]*Таблица1[[#This Row],[коэф]])),
IF((G474="3/16"),((база!$L$4*2*Таблица1[[#This Row],[Столбец1]]*Таблица1[[#This Row],[коэф]])),
IF((G474="4/4"),((база!$I$5*2*Таблица1[[#This Row],[Столбец1]]*Таблица1[[#This Row],[коэф]])),
IF(OR(G474="2/4",G474="3/4"),((база!$I$4*2*Таблица1[[#This Row],[Столбец1]]*Таблица1[[#This Row],[коэф]])),
IF((G474="5/8"),((база!$J$6*2*Таблица1[[#This Row],[Столбец1]]*Таблица1[[#This Row],[коэф]])),
IF((G474="4/8"),((база!$J$5*2*Таблица1[[#This Row],[Столбец1]]*Таблица1[[#This Row],[коэф]])),
IF(OR(G474="3/8",G474="2/8"),((база!$J$4*2*Таблица1[[#This Row],[Столбец1]]*Таблица1[[#This Row],[коэф]])))))))))))))),
(IF((G474="5/24"),((база!$M$6*2*Таблица1[[#This Row],[Столбец1]]*Таблица1[[#This Row],[коэф]])),
IF(OR(G474="4/24",G474="3/24"),((база!$M$5*2*Таблица1[[#This Row],[Столбец1]]*Таблица1[[#This Row],[коэф]])),
IF((G474="5/16"),((база!$L$6*2*Таблица1[[#This Row],[Столбец1]]*Таблица1[[#This Row],[коэф]])),
IF(OR(G474="4/16",G474="3/16"),((база!$L$5*2*Таблица1[[#This Row],[Столбец1]]*Таблица1[[#This Row],[коэф]])),
IF(OR(G474="2/4",G474="3/4",G474="4/4"),((база!$I$5*2*Таблица1[[#This Row],[Столбец1]]*Таблица1[[#This Row],[коэф]])),
IF((G474="5/8"),((база!$J$6*2*Таблица1[[#This Row],[Столбец1]]*Таблица1[[#This Row],[коэф]])),
IF(OR(G474="4/8",G474="3/8",G474="2/8"),((база!$J$5*2*Таблица1[[#This Row],[Столбец1]]*Таблица1[[#This Row],[коэф]])))))))))))</f>
        <v>0</v>
      </c>
      <c r="AQ474" s="712" t="str">
        <f>IFERROR(INDEX(база!T:T, MATCH(F474,база!Q:Q,0)),"")</f>
        <v/>
      </c>
      <c r="AR474" s="208" t="str">
        <f>IFERROR(INDEX(база!D:D, MATCH(F474,база!B:B,0)),"")</f>
        <v/>
      </c>
      <c r="AS474" s="758" t="str">
        <f>IFERROR(INDEX(база!E:E, MATCH(F474,база!B:B,0)),"")</f>
        <v/>
      </c>
    </row>
    <row r="475" spans="1:45" s="46" customFormat="1" ht="15">
      <c r="A475" s="66" t="str">
        <f t="shared" si="9"/>
        <v>январь</v>
      </c>
      <c r="B475" s="231">
        <v>2024</v>
      </c>
      <c r="C475" s="60"/>
      <c r="D475" s="61"/>
      <c r="E475" s="211"/>
      <c r="F475" s="680"/>
      <c r="G475" s="47"/>
      <c r="H475" s="563"/>
      <c r="I475" s="563"/>
      <c r="J475" s="563"/>
      <c r="K475" s="563"/>
      <c r="L475" s="563"/>
      <c r="M475" s="563"/>
      <c r="N475" s="563"/>
      <c r="O475" s="563"/>
      <c r="P475" s="300"/>
      <c r="Q475" s="563"/>
      <c r="R475" s="563"/>
      <c r="S475" s="563"/>
      <c r="T475" s="563"/>
      <c r="U475" s="563"/>
      <c r="V475" s="563"/>
      <c r="W475" s="563"/>
      <c r="X475" s="563"/>
      <c r="Y475" s="563"/>
      <c r="Z475" s="563"/>
      <c r="AA475" s="563"/>
      <c r="AB475" s="563"/>
      <c r="AC475" s="563"/>
      <c r="AD475" s="48"/>
      <c r="AE475" s="48"/>
      <c r="AF475" s="258"/>
      <c r="AG475" s="48"/>
      <c r="AH475" s="48"/>
      <c r="AI475" s="48"/>
      <c r="AJ475" s="48"/>
      <c r="AK475" s="48"/>
      <c r="AL475" s="51"/>
      <c r="AM475" s="212">
        <f>IF(AQ475=1,SUM(Q475:T475,W475:Z475,AC475:AF475,AI475:AL475),
IF(AQ475=2,SUM(P475,S475:V475,Y475:AB475,AE475:AH475,AK475:AL475),
IF(AQ475=3,SUM(P475:R475,U475:X475,AA475:AD475,AG475:AJ475),SUM(Таблица1[[#This Row],[1]:[31]])-Таблица1[[#This Row],[Столбец1]])))</f>
        <v>0</v>
      </c>
      <c r="AN475" s="778">
        <f t="array" ref="AN475">IF(AQ475=1,SUM(P475,U475:V475,AA475:AB475,AG475:AH475),
IF(AQ475=2,SUM(Q475:R475,W475:X475,AC475:AD475,AI475:AJ475),
IF(AQ475=3,SUM(S475:T475,Y475:Z475,AE475:AF475,AK475:AL475),
SUM(IFERROR(WEEKDAY($H$2:$AL$2,2)&gt;5,)*H475:AL475))))+Таблица1[[#This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75" s="292" t="b">
        <f>IF(AR475&lt;=3,(IF((G475="5/24"),((база!$M$6*Таблица1[[#This Row],[сумма]]*Таблица1[[#This Row],[коэф]])),
IF((G475="4/24"),((база!$M$5*Таблица1[[#This Row],[сумма]]*Таблица1[[#This Row],[коэф]])),
IF((G475="3/24"),((база!$M$4*Таблица1[[#This Row],[сумма]]*Таблица1[[#This Row],[коэф]])),
IF((G475="5/16"),((база!$L$6*Таблица1[[#This Row],[сумма]]*Таблица1[[#This Row],[коэф]])),
IF((G475="4/16"),((база!$L$5*Таблица1[[#This Row],[сумма]]*Таблица1[[#This Row],[коэф]])),
IF((G475="3/16"),((база!$L$4*Таблица1[[#This Row],[сумма]]*Таблица1[[#This Row],[коэф]])),
IF((G475="4/4"),((база!$I$5*Таблица1[[#This Row],[сумма]]*Таблица1[[#This Row],[коэф]])),
IF(OR(G475="2/4",G475="3/4"),((база!$I$4*Таблица1[[#This Row],[сумма]]*Таблица1[[#This Row],[коэф]])),
IF((G475="5/8"),((база!$J$6*Таблица1[[#This Row],[сумма]]*Таблица1[[#This Row],[коэф]])),
IF((G475="4/8"),((база!$J$5*Таблица1[[#This Row],[сумма]]*Таблица1[[#This Row],[коэф]])),
IF(OR(G475="3/8",G475="2/8"),((база!$J$4*Таблица1[[#This Row],[сумма]]*Таблица1[[#This Row],[коэф]])))))))))))))),
(IF((G475="5/24"),((база!$M$6*Таблица1[[#This Row],[сумма]]*Таблица1[[#This Row],[коэф]])),
IF(OR(G475="4/24",G475="3/24"),((база!$M$5*Таблица1[[#This Row],[сумма]]*Таблица1[[#This Row],[коэф]])),
IF((G475="5/16"),((база!$L$6*Таблица1[[#This Row],[сумма]]*Таблица1[[#This Row],[коэф]])),
IF(OR(G475="4/16",G475="3/16"),((база!$L$5*Таблица1[[#This Row],[сумма]]*Таблица1[[#This Row],[коэф]])),
IF(OR(G475="2/4",G475="3/4",G475="4/4"),((база!$I$5*Таблица1[[#This Row],[сумма]]*Таблица1[[#This Row],[коэф]])),
IF((G475="5/8"),((база!$J$6*Таблица1[[#This Row],[сумма]]*Таблица1[[#This Row],[коэф]])),
IF(OR(G475="4/8",G475="3/8",G475="2/8"),((база!$J$5*Таблица1[[#This Row],[сумма]]*Таблица1[[#This Row],[коэф]])))))))))))</f>
        <v>0</v>
      </c>
      <c r="AP475" s="730" t="b">
        <f>IF(AR475&lt;=3,(IF((G475="5/24"),((база!$M$6*2*Таблица1[[#This Row],[Столбец1]]*Таблица1[[#This Row],[коэф]])),
IF((G475="4/24"),((база!$M$5*2*Таблица1[[#This Row],[Столбец1]]*Таблица1[[#This Row],[коэф]])),
IF((G475="3/24"),((база!$M$4*2*Таблица1[[#This Row],[Столбец1]]*Таблица1[[#This Row],[коэф]])),
IF((G475="5/16"),((база!$L$6*2*Таблица1[[#This Row],[Столбец1]]*Таблица1[[#This Row],[коэф]])),
IF((G475="4/16"),((база!$L$5*2*Таблица1[[#This Row],[Столбец1]]*Таблица1[[#This Row],[коэф]])),
IF((G475="3/16"),((база!$L$4*2*Таблица1[[#This Row],[Столбец1]]*Таблица1[[#This Row],[коэф]])),
IF((G475="4/4"),((база!$I$5*2*Таблица1[[#This Row],[Столбец1]]*Таблица1[[#This Row],[коэф]])),
IF(OR(G475="2/4",G475="3/4"),((база!$I$4*2*Таблица1[[#This Row],[Столбец1]]*Таблица1[[#This Row],[коэф]])),
IF((G475="5/8"),((база!$J$6*2*Таблица1[[#This Row],[Столбец1]]*Таблица1[[#This Row],[коэф]])),
IF((G475="4/8"),((база!$J$5*2*Таблица1[[#This Row],[Столбец1]]*Таблица1[[#This Row],[коэф]])),
IF(OR(G475="3/8",G475="2/8"),((база!$J$4*2*Таблица1[[#This Row],[Столбец1]]*Таблица1[[#This Row],[коэф]])))))))))))))),
(IF((G475="5/24"),((база!$M$6*2*Таблица1[[#This Row],[Столбец1]]*Таблица1[[#This Row],[коэф]])),
IF(OR(G475="4/24",G475="3/24"),((база!$M$5*2*Таблица1[[#This Row],[Столбец1]]*Таблица1[[#This Row],[коэф]])),
IF((G475="5/16"),((база!$L$6*2*Таблица1[[#This Row],[Столбец1]]*Таблица1[[#This Row],[коэф]])),
IF(OR(G475="4/16",G475="3/16"),((база!$L$5*2*Таблица1[[#This Row],[Столбец1]]*Таблица1[[#This Row],[коэф]])),
IF(OR(G475="2/4",G475="3/4",G475="4/4"),((база!$I$5*2*Таблица1[[#This Row],[Столбец1]]*Таблица1[[#This Row],[коэф]])),
IF((G475="5/8"),((база!$J$6*2*Таблица1[[#This Row],[Столбец1]]*Таблица1[[#This Row],[коэф]])),
IF(OR(G475="4/8",G475="3/8",G475="2/8"),((база!$J$5*2*Таблица1[[#This Row],[Столбец1]]*Таблица1[[#This Row],[коэф]])))))))))))</f>
        <v>0</v>
      </c>
      <c r="AQ475" s="712" t="str">
        <f>IFERROR(INDEX(база!T:T, MATCH(F475,база!Q:Q,0)),"")</f>
        <v/>
      </c>
      <c r="AR475" s="208" t="str">
        <f>IFERROR(INDEX(база!D:D, MATCH(F475,база!B:B,0)),"")</f>
        <v/>
      </c>
      <c r="AS475" s="758" t="str">
        <f>IFERROR(INDEX(база!E:E, MATCH(F475,база!B:B,0)),"")</f>
        <v/>
      </c>
    </row>
    <row r="476" spans="1:45" s="46" customFormat="1" ht="15">
      <c r="A476" s="66" t="str">
        <f t="shared" si="9"/>
        <v>январь</v>
      </c>
      <c r="B476" s="231">
        <v>2024</v>
      </c>
      <c r="C476" s="299"/>
      <c r="D476" s="61"/>
      <c r="E476" s="211"/>
      <c r="F476" s="680"/>
      <c r="G476" s="47"/>
      <c r="H476" s="563"/>
      <c r="I476" s="563"/>
      <c r="J476" s="563"/>
      <c r="K476" s="563"/>
      <c r="L476" s="563"/>
      <c r="M476" s="563"/>
      <c r="N476" s="563"/>
      <c r="O476" s="563"/>
      <c r="P476" s="300"/>
      <c r="Q476" s="563"/>
      <c r="R476" s="563"/>
      <c r="S476" s="563"/>
      <c r="T476" s="563"/>
      <c r="U476" s="563"/>
      <c r="V476" s="563"/>
      <c r="W476" s="563"/>
      <c r="X476" s="563"/>
      <c r="Y476" s="563"/>
      <c r="Z476" s="563"/>
      <c r="AA476" s="563"/>
      <c r="AB476" s="563"/>
      <c r="AC476" s="563"/>
      <c r="AD476" s="48"/>
      <c r="AE476" s="48"/>
      <c r="AF476" s="258"/>
      <c r="AG476" s="48"/>
      <c r="AH476" s="48"/>
      <c r="AI476" s="258"/>
      <c r="AJ476" s="258"/>
      <c r="AK476" s="258"/>
      <c r="AL476" s="258"/>
      <c r="AM476" s="212">
        <f>IF(AQ476=1,SUM(Q476:T476,W476:Z476,AC476:AF476,AI476:AL476),
IF(AQ476=2,SUM(P476,S476:V476,Y476:AB476,AE476:AH476,AK476:AL476),
IF(AQ476=3,SUM(P476:R476,U476:X476,AA476:AD476,AG476:AJ476),SUM(Таблица1[[#This Row],[1]:[31]])-Таблица1[[#This Row],[Столбец1]])))</f>
        <v>0</v>
      </c>
      <c r="AN476" s="778">
        <f t="array" ref="AN476">IF(AQ476=1,SUM(P476,U476:V476,AA476:AB476,AG476:AH476),
IF(AQ476=2,SUM(Q476:R476,W476:X476,AC476:AD476,AI476:AJ476),
IF(AQ476=3,SUM(S476:T476,Y476:Z476,AE476:AF476,AK476:AL476),
SUM(IFERROR(WEEKDAY($H$2:$AL$2,2)&gt;5,)*H476:AL476))))+Таблица1[[#This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76" s="292" t="b">
        <f>IF(AR476&lt;=3,(IF((G476="5/24"),((база!$M$6*Таблица1[[#This Row],[сумма]]*Таблица1[[#This Row],[коэф]])),
IF((G476="4/24"),((база!$M$5*Таблица1[[#This Row],[сумма]]*Таблица1[[#This Row],[коэф]])),
IF((G476="3/24"),((база!$M$4*Таблица1[[#This Row],[сумма]]*Таблица1[[#This Row],[коэф]])),
IF((G476="5/16"),((база!$L$6*Таблица1[[#This Row],[сумма]]*Таблица1[[#This Row],[коэф]])),
IF((G476="4/16"),((база!$L$5*Таблица1[[#This Row],[сумма]]*Таблица1[[#This Row],[коэф]])),
IF((G476="3/16"),((база!$L$4*Таблица1[[#This Row],[сумма]]*Таблица1[[#This Row],[коэф]])),
IF((G476="4/4"),((база!$I$5*Таблица1[[#This Row],[сумма]]*Таблица1[[#This Row],[коэф]])),
IF(OR(G476="2/4",G476="3/4"),((база!$I$4*Таблица1[[#This Row],[сумма]]*Таблица1[[#This Row],[коэф]])),
IF((G476="5/8"),((база!$J$6*Таблица1[[#This Row],[сумма]]*Таблица1[[#This Row],[коэф]])),
IF((G476="4/8"),((база!$J$5*Таблица1[[#This Row],[сумма]]*Таблица1[[#This Row],[коэф]])),
IF(OR(G476="3/8",G476="2/8"),((база!$J$4*Таблица1[[#This Row],[сумма]]*Таблица1[[#This Row],[коэф]])))))))))))))),
(IF((G476="5/24"),((база!$M$6*Таблица1[[#This Row],[сумма]]*Таблица1[[#This Row],[коэф]])),
IF(OR(G476="4/24",G476="3/24"),((база!$M$5*Таблица1[[#This Row],[сумма]]*Таблица1[[#This Row],[коэф]])),
IF((G476="5/16"),((база!$L$6*Таблица1[[#This Row],[сумма]]*Таблица1[[#This Row],[коэф]])),
IF(OR(G476="4/16",G476="3/16"),((база!$L$5*Таблица1[[#This Row],[сумма]]*Таблица1[[#This Row],[коэф]])),
IF(OR(G476="2/4",G476="3/4",G476="4/4"),((база!$I$5*Таблица1[[#This Row],[сумма]]*Таблица1[[#This Row],[коэф]])),
IF((G476="5/8"),((база!$J$6*Таблица1[[#This Row],[сумма]]*Таблица1[[#This Row],[коэф]])),
IF(OR(G476="4/8",G476="3/8",G476="2/8"),((база!$J$5*Таблица1[[#This Row],[сумма]]*Таблица1[[#This Row],[коэф]])))))))))))</f>
        <v>0</v>
      </c>
      <c r="AP476" s="730" t="b">
        <f>IF(AR476&lt;=3,(IF((G476="5/24"),((база!$M$6*2*Таблица1[[#This Row],[Столбец1]]*Таблица1[[#This Row],[коэф]])),
IF((G476="4/24"),((база!$M$5*2*Таблица1[[#This Row],[Столбец1]]*Таблица1[[#This Row],[коэф]])),
IF((G476="3/24"),((база!$M$4*2*Таблица1[[#This Row],[Столбец1]]*Таблица1[[#This Row],[коэф]])),
IF((G476="5/16"),((база!$L$6*2*Таблица1[[#This Row],[Столбец1]]*Таблица1[[#This Row],[коэф]])),
IF((G476="4/16"),((база!$L$5*2*Таблица1[[#This Row],[Столбец1]]*Таблица1[[#This Row],[коэф]])),
IF((G476="3/16"),((база!$L$4*2*Таблица1[[#This Row],[Столбец1]]*Таблица1[[#This Row],[коэф]])),
IF((G476="4/4"),((база!$I$5*2*Таблица1[[#This Row],[Столбец1]]*Таблица1[[#This Row],[коэф]])),
IF(OR(G476="2/4",G476="3/4"),((база!$I$4*2*Таблица1[[#This Row],[Столбец1]]*Таблица1[[#This Row],[коэф]])),
IF((G476="5/8"),((база!$J$6*2*Таблица1[[#This Row],[Столбец1]]*Таблица1[[#This Row],[коэф]])),
IF((G476="4/8"),((база!$J$5*2*Таблица1[[#This Row],[Столбец1]]*Таблица1[[#This Row],[коэф]])),
IF(OR(G476="3/8",G476="2/8"),((база!$J$4*2*Таблица1[[#This Row],[Столбец1]]*Таблица1[[#This Row],[коэф]])))))))))))))),
(IF((G476="5/24"),((база!$M$6*2*Таблица1[[#This Row],[Столбец1]]*Таблица1[[#This Row],[коэф]])),
IF(OR(G476="4/24",G476="3/24"),((база!$M$5*2*Таблица1[[#This Row],[Столбец1]]*Таблица1[[#This Row],[коэф]])),
IF((G476="5/16"),((база!$L$6*2*Таблица1[[#This Row],[Столбец1]]*Таблица1[[#This Row],[коэф]])),
IF(OR(G476="4/16",G476="3/16"),((база!$L$5*2*Таблица1[[#This Row],[Столбец1]]*Таблица1[[#This Row],[коэф]])),
IF(OR(G476="2/4",G476="3/4",G476="4/4"),((база!$I$5*2*Таблица1[[#This Row],[Столбец1]]*Таблица1[[#This Row],[коэф]])),
IF((G476="5/8"),((база!$J$6*2*Таблица1[[#This Row],[Столбец1]]*Таблица1[[#This Row],[коэф]])),
IF(OR(G476="4/8",G476="3/8",G476="2/8"),((база!$J$5*2*Таблица1[[#This Row],[Столбец1]]*Таблица1[[#This Row],[коэф]])))))))))))</f>
        <v>0</v>
      </c>
      <c r="AQ476" s="712" t="str">
        <f>IFERROR(INDEX(база!T:T, MATCH(F476,база!Q:Q,0)),"")</f>
        <v/>
      </c>
      <c r="AR476" s="208" t="str">
        <f>IFERROR(INDEX(база!D:D, MATCH(F476,база!B:B,0)),"")</f>
        <v/>
      </c>
      <c r="AS476" s="758" t="str">
        <f>IFERROR(INDEX(база!E:E, MATCH(F476,база!B:B,0)),"")</f>
        <v/>
      </c>
    </row>
    <row r="477" spans="1:45" s="46" customFormat="1" ht="15">
      <c r="A477" s="66" t="str">
        <f t="shared" si="9"/>
        <v>январь</v>
      </c>
      <c r="B477" s="231">
        <v>2024</v>
      </c>
      <c r="C477" s="299"/>
      <c r="D477" s="61"/>
      <c r="E477" s="211"/>
      <c r="F477" s="680"/>
      <c r="G477" s="47"/>
      <c r="H477" s="563"/>
      <c r="I477" s="563"/>
      <c r="J477" s="563"/>
      <c r="K477" s="563"/>
      <c r="L477" s="563"/>
      <c r="M477" s="563"/>
      <c r="N477" s="563"/>
      <c r="O477" s="563"/>
      <c r="P477" s="300"/>
      <c r="Q477" s="563"/>
      <c r="R477" s="563"/>
      <c r="S477" s="563"/>
      <c r="T477" s="563"/>
      <c r="U477" s="563"/>
      <c r="V477" s="563"/>
      <c r="W477" s="563"/>
      <c r="X477" s="563"/>
      <c r="Y477" s="563"/>
      <c r="Z477" s="563"/>
      <c r="AA477" s="563"/>
      <c r="AB477" s="563"/>
      <c r="AC477" s="563"/>
      <c r="AD477" s="48"/>
      <c r="AE477" s="48"/>
      <c r="AF477" s="258"/>
      <c r="AG477" s="48"/>
      <c r="AH477" s="48"/>
      <c r="AI477" s="48"/>
      <c r="AJ477" s="48"/>
      <c r="AK477" s="48"/>
      <c r="AL477" s="51"/>
      <c r="AM477" s="212">
        <f>IF(AQ477=1,SUM(Q477:T477,W477:Z477,AC477:AF477,AI477:AL477),
IF(AQ477=2,SUM(P477,S477:V477,Y477:AB477,AE477:AH477,AK477:AL477),
IF(AQ477=3,SUM(P477:R477,U477:X477,AA477:AD477,AG477:AJ477),SUM(Таблица1[[#This Row],[1]:[31]])-Таблица1[[#This Row],[Столбец1]])))</f>
        <v>0</v>
      </c>
      <c r="AN477" s="778">
        <f t="array" ref="AN477">IF(AQ477=1,SUM(P477,U477:V477,AA477:AB477,AG477:AH477),
IF(AQ477=2,SUM(Q477:R477,W477:X477,AC477:AD477,AI477:AJ477),
IF(AQ477=3,SUM(S477:T477,Y477:Z477,AE477:AF477,AK477:AL477),
SUM(IFERROR(WEEKDAY($H$2:$AL$2,2)&gt;5,)*H477:AL477))))+Таблица1[[#This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77" s="292" t="b">
        <f>IF(AR477&lt;=3,(IF((G477="5/24"),((база!$M$6*Таблица1[[#This Row],[сумма]]*Таблица1[[#This Row],[коэф]])),
IF((G477="4/24"),((база!$M$5*Таблица1[[#This Row],[сумма]]*Таблица1[[#This Row],[коэф]])),
IF((G477="3/24"),((база!$M$4*Таблица1[[#This Row],[сумма]]*Таблица1[[#This Row],[коэф]])),
IF((G477="5/16"),((база!$L$6*Таблица1[[#This Row],[сумма]]*Таблица1[[#This Row],[коэф]])),
IF((G477="4/16"),((база!$L$5*Таблица1[[#This Row],[сумма]]*Таблица1[[#This Row],[коэф]])),
IF((G477="3/16"),((база!$L$4*Таблица1[[#This Row],[сумма]]*Таблица1[[#This Row],[коэф]])),
IF((G477="4/4"),((база!$I$5*Таблица1[[#This Row],[сумма]]*Таблица1[[#This Row],[коэф]])),
IF(OR(G477="2/4",G477="3/4"),((база!$I$4*Таблица1[[#This Row],[сумма]]*Таблица1[[#This Row],[коэф]])),
IF((G477="5/8"),((база!$J$6*Таблица1[[#This Row],[сумма]]*Таблица1[[#This Row],[коэф]])),
IF((G477="4/8"),((база!$J$5*Таблица1[[#This Row],[сумма]]*Таблица1[[#This Row],[коэф]])),
IF(OR(G477="3/8",G477="2/8"),((база!$J$4*Таблица1[[#This Row],[сумма]]*Таблица1[[#This Row],[коэф]])))))))))))))),
(IF((G477="5/24"),((база!$M$6*Таблица1[[#This Row],[сумма]]*Таблица1[[#This Row],[коэф]])),
IF(OR(G477="4/24",G477="3/24"),((база!$M$5*Таблица1[[#This Row],[сумма]]*Таблица1[[#This Row],[коэф]])),
IF((G477="5/16"),((база!$L$6*Таблица1[[#This Row],[сумма]]*Таблица1[[#This Row],[коэф]])),
IF(OR(G477="4/16",G477="3/16"),((база!$L$5*Таблица1[[#This Row],[сумма]]*Таблица1[[#This Row],[коэф]])),
IF(OR(G477="2/4",G477="3/4",G477="4/4"),((база!$I$5*Таблица1[[#This Row],[сумма]]*Таблица1[[#This Row],[коэф]])),
IF((G477="5/8"),((база!$J$6*Таблица1[[#This Row],[сумма]]*Таблица1[[#This Row],[коэф]])),
IF(OR(G477="4/8",G477="3/8",G477="2/8"),((база!$J$5*Таблица1[[#This Row],[сумма]]*Таблица1[[#This Row],[коэф]])))))))))))</f>
        <v>0</v>
      </c>
      <c r="AP477" s="730" t="b">
        <f>IF(AR477&lt;=3,(IF((G477="5/24"),((база!$M$6*2*Таблица1[[#This Row],[Столбец1]]*Таблица1[[#This Row],[коэф]])),
IF((G477="4/24"),((база!$M$5*2*Таблица1[[#This Row],[Столбец1]]*Таблица1[[#This Row],[коэф]])),
IF((G477="3/24"),((база!$M$4*2*Таблица1[[#This Row],[Столбец1]]*Таблица1[[#This Row],[коэф]])),
IF((G477="5/16"),((база!$L$6*2*Таблица1[[#This Row],[Столбец1]]*Таблица1[[#This Row],[коэф]])),
IF((G477="4/16"),((база!$L$5*2*Таблица1[[#This Row],[Столбец1]]*Таблица1[[#This Row],[коэф]])),
IF((G477="3/16"),((база!$L$4*2*Таблица1[[#This Row],[Столбец1]]*Таблица1[[#This Row],[коэф]])),
IF((G477="4/4"),((база!$I$5*2*Таблица1[[#This Row],[Столбец1]]*Таблица1[[#This Row],[коэф]])),
IF(OR(G477="2/4",G477="3/4"),((база!$I$4*2*Таблица1[[#This Row],[Столбец1]]*Таблица1[[#This Row],[коэф]])),
IF((G477="5/8"),((база!$J$6*2*Таблица1[[#This Row],[Столбец1]]*Таблица1[[#This Row],[коэф]])),
IF((G477="4/8"),((база!$J$5*2*Таблица1[[#This Row],[Столбец1]]*Таблица1[[#This Row],[коэф]])),
IF(OR(G477="3/8",G477="2/8"),((база!$J$4*2*Таблица1[[#This Row],[Столбец1]]*Таблица1[[#This Row],[коэф]])))))))))))))),
(IF((G477="5/24"),((база!$M$6*2*Таблица1[[#This Row],[Столбец1]]*Таблица1[[#This Row],[коэф]])),
IF(OR(G477="4/24",G477="3/24"),((база!$M$5*2*Таблица1[[#This Row],[Столбец1]]*Таблица1[[#This Row],[коэф]])),
IF((G477="5/16"),((база!$L$6*2*Таблица1[[#This Row],[Столбец1]]*Таблица1[[#This Row],[коэф]])),
IF(OR(G477="4/16",G477="3/16"),((база!$L$5*2*Таблица1[[#This Row],[Столбец1]]*Таблица1[[#This Row],[коэф]])),
IF(OR(G477="2/4",G477="3/4",G477="4/4"),((база!$I$5*2*Таблица1[[#This Row],[Столбец1]]*Таблица1[[#This Row],[коэф]])),
IF((G477="5/8"),((база!$J$6*2*Таблица1[[#This Row],[Столбец1]]*Таблица1[[#This Row],[коэф]])),
IF(OR(G477="4/8",G477="3/8",G477="2/8"),((база!$J$5*2*Таблица1[[#This Row],[Столбец1]]*Таблица1[[#This Row],[коэф]])))))))))))</f>
        <v>0</v>
      </c>
      <c r="AQ477" s="712" t="str">
        <f>IFERROR(INDEX(база!T:T, MATCH(F477,база!Q:Q,0)),"")</f>
        <v/>
      </c>
      <c r="AR477" s="208" t="str">
        <f>IFERROR(INDEX(база!D:D, MATCH(F477,база!B:B,0)),"")</f>
        <v/>
      </c>
      <c r="AS477" s="758" t="str">
        <f>IFERROR(INDEX(база!E:E, MATCH(F477,база!B:B,0)),"")</f>
        <v/>
      </c>
    </row>
    <row r="478" spans="1:45" s="46" customFormat="1" ht="15">
      <c r="A478" s="66" t="str">
        <f t="shared" si="9"/>
        <v>январь</v>
      </c>
      <c r="B478" s="231">
        <v>2024</v>
      </c>
      <c r="C478" s="299"/>
      <c r="D478" s="61"/>
      <c r="E478" s="211"/>
      <c r="F478" s="680"/>
      <c r="G478" s="47"/>
      <c r="H478" s="563"/>
      <c r="I478" s="563"/>
      <c r="J478" s="563"/>
      <c r="K478" s="563"/>
      <c r="L478" s="563"/>
      <c r="M478" s="563"/>
      <c r="N478" s="563"/>
      <c r="O478" s="563"/>
      <c r="P478" s="300"/>
      <c r="Q478" s="563"/>
      <c r="R478" s="563"/>
      <c r="S478" s="563"/>
      <c r="T478" s="563"/>
      <c r="U478" s="563"/>
      <c r="V478" s="563"/>
      <c r="W478" s="563"/>
      <c r="X478" s="563"/>
      <c r="Y478" s="563"/>
      <c r="Z478" s="563"/>
      <c r="AA478" s="563"/>
      <c r="AB478" s="563"/>
      <c r="AC478" s="563"/>
      <c r="AD478" s="48"/>
      <c r="AE478" s="48"/>
      <c r="AF478" s="258"/>
      <c r="AG478" s="48"/>
      <c r="AH478" s="48"/>
      <c r="AI478" s="258"/>
      <c r="AJ478" s="258"/>
      <c r="AK478" s="258"/>
      <c r="AL478" s="258"/>
      <c r="AM478" s="212">
        <f>IF(AQ478=1,SUM(Q478:T478,W478:Z478,AC478:AF478,AI478:AL478),
IF(AQ478=2,SUM(P478,S478:V478,Y478:AB478,AE478:AH478,AK478:AL478),
IF(AQ478=3,SUM(P478:R478,U478:X478,AA478:AD478,AG478:AJ478),SUM(Таблица1[[#This Row],[1]:[31]])-Таблица1[[#This Row],[Столбец1]])))</f>
        <v>0</v>
      </c>
      <c r="AN478" s="778">
        <f t="array" ref="AN478">IF(AQ478=1,SUM(P478,U478:V478,AA478:AB478,AG478:AH478),
IF(AQ478=2,SUM(Q478:R478,W478:X478,AC478:AD478,AI478:AJ478),
IF(AQ478=3,SUM(S478:T478,Y478:Z478,AE478:AF478,AK478:AL478),
SUM(IFERROR(WEEKDAY($H$2:$AL$2,2)&gt;5,)*H478:AL478))))+Таблица1[[#This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78" s="292" t="b">
        <f>IF(AR478&lt;=3,(IF((G478="5/24"),((база!$M$6*Таблица1[[#This Row],[сумма]]*Таблица1[[#This Row],[коэф]])),
IF((G478="4/24"),((база!$M$5*Таблица1[[#This Row],[сумма]]*Таблица1[[#This Row],[коэф]])),
IF((G478="3/24"),((база!$M$4*Таблица1[[#This Row],[сумма]]*Таблица1[[#This Row],[коэф]])),
IF((G478="5/16"),((база!$L$6*Таблица1[[#This Row],[сумма]]*Таблица1[[#This Row],[коэф]])),
IF((G478="4/16"),((база!$L$5*Таблица1[[#This Row],[сумма]]*Таблица1[[#This Row],[коэф]])),
IF((G478="3/16"),((база!$L$4*Таблица1[[#This Row],[сумма]]*Таблица1[[#This Row],[коэф]])),
IF((G478="4/4"),((база!$I$5*Таблица1[[#This Row],[сумма]]*Таблица1[[#This Row],[коэф]])),
IF(OR(G478="2/4",G478="3/4"),((база!$I$4*Таблица1[[#This Row],[сумма]]*Таблица1[[#This Row],[коэф]])),
IF((G478="5/8"),((база!$J$6*Таблица1[[#This Row],[сумма]]*Таблица1[[#This Row],[коэф]])),
IF((G478="4/8"),((база!$J$5*Таблица1[[#This Row],[сумма]]*Таблица1[[#This Row],[коэф]])),
IF(OR(G478="3/8",G478="2/8"),((база!$J$4*Таблица1[[#This Row],[сумма]]*Таблица1[[#This Row],[коэф]])))))))))))))),
(IF((G478="5/24"),((база!$M$6*Таблица1[[#This Row],[сумма]]*Таблица1[[#This Row],[коэф]])),
IF(OR(G478="4/24",G478="3/24"),((база!$M$5*Таблица1[[#This Row],[сумма]]*Таблица1[[#This Row],[коэф]])),
IF((G478="5/16"),((база!$L$6*Таблица1[[#This Row],[сумма]]*Таблица1[[#This Row],[коэф]])),
IF(OR(G478="4/16",G478="3/16"),((база!$L$5*Таблица1[[#This Row],[сумма]]*Таблица1[[#This Row],[коэф]])),
IF(OR(G478="2/4",G478="3/4",G478="4/4"),((база!$I$5*Таблица1[[#This Row],[сумма]]*Таблица1[[#This Row],[коэф]])),
IF((G478="5/8"),((база!$J$6*Таблица1[[#This Row],[сумма]]*Таблица1[[#This Row],[коэф]])),
IF(OR(G478="4/8",G478="3/8",G478="2/8"),((база!$J$5*Таблица1[[#This Row],[сумма]]*Таблица1[[#This Row],[коэф]])))))))))))</f>
        <v>0</v>
      </c>
      <c r="AP478" s="730" t="b">
        <f>IF(AR478&lt;=3,(IF((G478="5/24"),((база!$M$6*2*Таблица1[[#This Row],[Столбец1]]*Таблица1[[#This Row],[коэф]])),
IF((G478="4/24"),((база!$M$5*2*Таблица1[[#This Row],[Столбец1]]*Таблица1[[#This Row],[коэф]])),
IF((G478="3/24"),((база!$M$4*2*Таблица1[[#This Row],[Столбец1]]*Таблица1[[#This Row],[коэф]])),
IF((G478="5/16"),((база!$L$6*2*Таблица1[[#This Row],[Столбец1]]*Таблица1[[#This Row],[коэф]])),
IF((G478="4/16"),((база!$L$5*2*Таблица1[[#This Row],[Столбец1]]*Таблица1[[#This Row],[коэф]])),
IF((G478="3/16"),((база!$L$4*2*Таблица1[[#This Row],[Столбец1]]*Таблица1[[#This Row],[коэф]])),
IF((G478="4/4"),((база!$I$5*2*Таблица1[[#This Row],[Столбец1]]*Таблица1[[#This Row],[коэф]])),
IF(OR(G478="2/4",G478="3/4"),((база!$I$4*2*Таблица1[[#This Row],[Столбец1]]*Таблица1[[#This Row],[коэф]])),
IF((G478="5/8"),((база!$J$6*2*Таблица1[[#This Row],[Столбец1]]*Таблица1[[#This Row],[коэф]])),
IF((G478="4/8"),((база!$J$5*2*Таблица1[[#This Row],[Столбец1]]*Таблица1[[#This Row],[коэф]])),
IF(OR(G478="3/8",G478="2/8"),((база!$J$4*2*Таблица1[[#This Row],[Столбец1]]*Таблица1[[#This Row],[коэф]])))))))))))))),
(IF((G478="5/24"),((база!$M$6*2*Таблица1[[#This Row],[Столбец1]]*Таблица1[[#This Row],[коэф]])),
IF(OR(G478="4/24",G478="3/24"),((база!$M$5*2*Таблица1[[#This Row],[Столбец1]]*Таблица1[[#This Row],[коэф]])),
IF((G478="5/16"),((база!$L$6*2*Таблица1[[#This Row],[Столбец1]]*Таблица1[[#This Row],[коэф]])),
IF(OR(G478="4/16",G478="3/16"),((база!$L$5*2*Таблица1[[#This Row],[Столбец1]]*Таблица1[[#This Row],[коэф]])),
IF(OR(G478="2/4",G478="3/4",G478="4/4"),((база!$I$5*2*Таблица1[[#This Row],[Столбец1]]*Таблица1[[#This Row],[коэф]])),
IF((G478="5/8"),((база!$J$6*2*Таблица1[[#This Row],[Столбец1]]*Таблица1[[#This Row],[коэф]])),
IF(OR(G478="4/8",G478="3/8",G478="2/8"),((база!$J$5*2*Таблица1[[#This Row],[Столбец1]]*Таблица1[[#This Row],[коэф]])))))))))))</f>
        <v>0</v>
      </c>
      <c r="AQ478" s="712" t="str">
        <f>IFERROR(INDEX(база!T:T, MATCH(F478,база!Q:Q,0)),"")</f>
        <v/>
      </c>
      <c r="AR478" s="208" t="str">
        <f>IFERROR(INDEX(база!D:D, MATCH(F478,база!B:B,0)),"")</f>
        <v/>
      </c>
      <c r="AS478" s="758" t="str">
        <f>IFERROR(INDEX(база!E:E, MATCH(F478,база!B:B,0)),"")</f>
        <v/>
      </c>
    </row>
    <row r="479" spans="1:45" s="46" customFormat="1" ht="15">
      <c r="A479" s="66" t="str">
        <f t="shared" si="9"/>
        <v>январь</v>
      </c>
      <c r="B479" s="231">
        <v>2024</v>
      </c>
      <c r="C479" s="299"/>
      <c r="D479" s="61"/>
      <c r="E479" s="211"/>
      <c r="F479" s="680"/>
      <c r="G479" s="47"/>
      <c r="H479" s="563"/>
      <c r="I479" s="563"/>
      <c r="J479" s="563"/>
      <c r="K479" s="563"/>
      <c r="L479" s="563"/>
      <c r="M479" s="563"/>
      <c r="N479" s="563"/>
      <c r="O479" s="563"/>
      <c r="P479" s="300"/>
      <c r="Q479" s="563"/>
      <c r="R479" s="563"/>
      <c r="S479" s="563"/>
      <c r="T479" s="563"/>
      <c r="U479" s="563"/>
      <c r="V479" s="563"/>
      <c r="W479" s="563"/>
      <c r="X479" s="563"/>
      <c r="Y479" s="563"/>
      <c r="Z479" s="563"/>
      <c r="AA479" s="563"/>
      <c r="AB479" s="563"/>
      <c r="AC479" s="563"/>
      <c r="AD479" s="48"/>
      <c r="AE479" s="48"/>
      <c r="AF479" s="258"/>
      <c r="AG479" s="48"/>
      <c r="AH479" s="48"/>
      <c r="AI479" s="48"/>
      <c r="AJ479" s="48"/>
      <c r="AK479" s="48"/>
      <c r="AL479" s="51"/>
      <c r="AM479" s="212">
        <f>IF(AQ479=1,SUM(Q479:T479,W479:Z479,AC479:AF479,AI479:AL479),
IF(AQ479=2,SUM(P479,S479:V479,Y479:AB479,AE479:AH479,AK479:AL479),
IF(AQ479=3,SUM(P479:R479,U479:X479,AA479:AD479,AG479:AJ479),SUM(Таблица1[[#This Row],[1]:[31]])-Таблица1[[#This Row],[Столбец1]])))</f>
        <v>0</v>
      </c>
      <c r="AN479" s="778">
        <f t="array" ref="AN479">IF(AQ479=1,SUM(P479,U479:V479,AA479:AB479,AG479:AH479),
IF(AQ479=2,SUM(Q479:R479,W479:X479,AC479:AD479,AI479:AJ479),
IF(AQ479=3,SUM(S479:T479,Y479:Z479,AE479:AF479,AK479:AL479),
SUM(IFERROR(WEEKDAY($H$2:$AL$2,2)&gt;5,)*H479:AL479))))+Таблица1[[#This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79" s="292" t="b">
        <f>IF(AR479&lt;=3,(IF((G479="5/24"),((база!$M$6*Таблица1[[#This Row],[сумма]]*Таблица1[[#This Row],[коэф]])),
IF((G479="4/24"),((база!$M$5*Таблица1[[#This Row],[сумма]]*Таблица1[[#This Row],[коэф]])),
IF((G479="3/24"),((база!$M$4*Таблица1[[#This Row],[сумма]]*Таблица1[[#This Row],[коэф]])),
IF((G479="5/16"),((база!$L$6*Таблица1[[#This Row],[сумма]]*Таблица1[[#This Row],[коэф]])),
IF((G479="4/16"),((база!$L$5*Таблица1[[#This Row],[сумма]]*Таблица1[[#This Row],[коэф]])),
IF((G479="3/16"),((база!$L$4*Таблица1[[#This Row],[сумма]]*Таблица1[[#This Row],[коэф]])),
IF((G479="4/4"),((база!$I$5*Таблица1[[#This Row],[сумма]]*Таблица1[[#This Row],[коэф]])),
IF(OR(G479="2/4",G479="3/4"),((база!$I$4*Таблица1[[#This Row],[сумма]]*Таблица1[[#This Row],[коэф]])),
IF((G479="5/8"),((база!$J$6*Таблица1[[#This Row],[сумма]]*Таблица1[[#This Row],[коэф]])),
IF((G479="4/8"),((база!$J$5*Таблица1[[#This Row],[сумма]]*Таблица1[[#This Row],[коэф]])),
IF(OR(G479="3/8",G479="2/8"),((база!$J$4*Таблица1[[#This Row],[сумма]]*Таблица1[[#This Row],[коэф]])))))))))))))),
(IF((G479="5/24"),((база!$M$6*Таблица1[[#This Row],[сумма]]*Таблица1[[#This Row],[коэф]])),
IF(OR(G479="4/24",G479="3/24"),((база!$M$5*Таблица1[[#This Row],[сумма]]*Таблица1[[#This Row],[коэф]])),
IF((G479="5/16"),((база!$L$6*Таблица1[[#This Row],[сумма]]*Таблица1[[#This Row],[коэф]])),
IF(OR(G479="4/16",G479="3/16"),((база!$L$5*Таблица1[[#This Row],[сумма]]*Таблица1[[#This Row],[коэф]])),
IF(OR(G479="2/4",G479="3/4",G479="4/4"),((база!$I$5*Таблица1[[#This Row],[сумма]]*Таблица1[[#This Row],[коэф]])),
IF((G479="5/8"),((база!$J$6*Таблица1[[#This Row],[сумма]]*Таблица1[[#This Row],[коэф]])),
IF(OR(G479="4/8",G479="3/8",G479="2/8"),((база!$J$5*Таблица1[[#This Row],[сумма]]*Таблица1[[#This Row],[коэф]])))))))))))</f>
        <v>0</v>
      </c>
      <c r="AP479" s="730" t="b">
        <f>IF(AR479&lt;=3,(IF((G479="5/24"),((база!$M$6*2*Таблица1[[#This Row],[Столбец1]]*Таблица1[[#This Row],[коэф]])),
IF((G479="4/24"),((база!$M$5*2*Таблица1[[#This Row],[Столбец1]]*Таблица1[[#This Row],[коэф]])),
IF((G479="3/24"),((база!$M$4*2*Таблица1[[#This Row],[Столбец1]]*Таблица1[[#This Row],[коэф]])),
IF((G479="5/16"),((база!$L$6*2*Таблица1[[#This Row],[Столбец1]]*Таблица1[[#This Row],[коэф]])),
IF((G479="4/16"),((база!$L$5*2*Таблица1[[#This Row],[Столбец1]]*Таблица1[[#This Row],[коэф]])),
IF((G479="3/16"),((база!$L$4*2*Таблица1[[#This Row],[Столбец1]]*Таблица1[[#This Row],[коэф]])),
IF((G479="4/4"),((база!$I$5*2*Таблица1[[#This Row],[Столбец1]]*Таблица1[[#This Row],[коэф]])),
IF(OR(G479="2/4",G479="3/4"),((база!$I$4*2*Таблица1[[#This Row],[Столбец1]]*Таблица1[[#This Row],[коэф]])),
IF((G479="5/8"),((база!$J$6*2*Таблица1[[#This Row],[Столбец1]]*Таблица1[[#This Row],[коэф]])),
IF((G479="4/8"),((база!$J$5*2*Таблица1[[#This Row],[Столбец1]]*Таблица1[[#This Row],[коэф]])),
IF(OR(G479="3/8",G479="2/8"),((база!$J$4*2*Таблица1[[#This Row],[Столбец1]]*Таблица1[[#This Row],[коэф]])))))))))))))),
(IF((G479="5/24"),((база!$M$6*2*Таблица1[[#This Row],[Столбец1]]*Таблица1[[#This Row],[коэф]])),
IF(OR(G479="4/24",G479="3/24"),((база!$M$5*2*Таблица1[[#This Row],[Столбец1]]*Таблица1[[#This Row],[коэф]])),
IF((G479="5/16"),((база!$L$6*2*Таблица1[[#This Row],[Столбец1]]*Таблица1[[#This Row],[коэф]])),
IF(OR(G479="4/16",G479="3/16"),((база!$L$5*2*Таблица1[[#This Row],[Столбец1]]*Таблица1[[#This Row],[коэф]])),
IF(OR(G479="2/4",G479="3/4",G479="4/4"),((база!$I$5*2*Таблица1[[#This Row],[Столбец1]]*Таблица1[[#This Row],[коэф]])),
IF((G479="5/8"),((база!$J$6*2*Таблица1[[#This Row],[Столбец1]]*Таблица1[[#This Row],[коэф]])),
IF(OR(G479="4/8",G479="3/8",G479="2/8"),((база!$J$5*2*Таблица1[[#This Row],[Столбец1]]*Таблица1[[#This Row],[коэф]])))))))))))</f>
        <v>0</v>
      </c>
      <c r="AQ479" s="712" t="str">
        <f>IFERROR(INDEX(база!T:T, MATCH(F479,база!Q:Q,0)),"")</f>
        <v/>
      </c>
      <c r="AR479" s="208" t="str">
        <f>IFERROR(INDEX(база!D:D, MATCH(F479,база!B:B,0)),"")</f>
        <v/>
      </c>
      <c r="AS479" s="758" t="str">
        <f>IFERROR(INDEX(база!E:E, MATCH(F479,база!B:B,0)),"")</f>
        <v/>
      </c>
    </row>
    <row r="480" spans="1:45" s="46" customFormat="1" ht="15">
      <c r="A480" s="66" t="str">
        <f t="shared" si="9"/>
        <v>январь</v>
      </c>
      <c r="B480" s="231">
        <v>2024</v>
      </c>
      <c r="C480" s="299"/>
      <c r="D480" s="61"/>
      <c r="E480" s="211"/>
      <c r="F480" s="680"/>
      <c r="G480" s="47"/>
      <c r="H480" s="563"/>
      <c r="I480" s="563"/>
      <c r="J480" s="563"/>
      <c r="K480" s="563"/>
      <c r="L480" s="563"/>
      <c r="M480" s="563"/>
      <c r="N480" s="563"/>
      <c r="O480" s="563"/>
      <c r="P480" s="300"/>
      <c r="Q480" s="563"/>
      <c r="R480" s="563"/>
      <c r="S480" s="563"/>
      <c r="T480" s="563"/>
      <c r="U480" s="563"/>
      <c r="V480" s="563"/>
      <c r="W480" s="563"/>
      <c r="X480" s="563"/>
      <c r="Y480" s="563"/>
      <c r="Z480" s="563"/>
      <c r="AA480" s="563"/>
      <c r="AB480" s="563"/>
      <c r="AC480" s="563"/>
      <c r="AD480" s="48"/>
      <c r="AE480" s="48"/>
      <c r="AF480" s="258"/>
      <c r="AG480" s="48"/>
      <c r="AH480" s="48"/>
      <c r="AI480" s="258"/>
      <c r="AJ480" s="258"/>
      <c r="AK480" s="258"/>
      <c r="AL480" s="258"/>
      <c r="AM480" s="212">
        <f>IF(AQ480=1,SUM(Q480:T480,W480:Z480,AC480:AF480,AI480:AL480),
IF(AQ480=2,SUM(P480,S480:V480,Y480:AB480,AE480:AH480,AK480:AL480),
IF(AQ480=3,SUM(P480:R480,U480:X480,AA480:AD480,AG480:AJ480),SUM(Таблица1[[#This Row],[1]:[31]])-Таблица1[[#This Row],[Столбец1]])))</f>
        <v>0</v>
      </c>
      <c r="AN480" s="778">
        <f t="array" ref="AN480">IF(AQ480=1,SUM(P480,U480:V480,AA480:AB480,AG480:AH480),
IF(AQ480=2,SUM(Q480:R480,W480:X480,AC480:AD480,AI480:AJ480),
IF(AQ480=3,SUM(S480:T480,Y480:Z480,AE480:AF480,AK480:AL480),
SUM(IFERROR(WEEKDAY($H$2:$AL$2,2)&gt;5,)*H480:AL480))))+Таблица1[[#This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80" s="292" t="b">
        <f>IF(AR480&lt;=3,(IF((G480="5/24"),((база!$M$6*Таблица1[[#This Row],[сумма]]*Таблица1[[#This Row],[коэф]])),
IF((G480="4/24"),((база!$M$5*Таблица1[[#This Row],[сумма]]*Таблица1[[#This Row],[коэф]])),
IF((G480="3/24"),((база!$M$4*Таблица1[[#This Row],[сумма]]*Таблица1[[#This Row],[коэф]])),
IF((G480="5/16"),((база!$L$6*Таблица1[[#This Row],[сумма]]*Таблица1[[#This Row],[коэф]])),
IF((G480="4/16"),((база!$L$5*Таблица1[[#This Row],[сумма]]*Таблица1[[#This Row],[коэф]])),
IF((G480="3/16"),((база!$L$4*Таблица1[[#This Row],[сумма]]*Таблица1[[#This Row],[коэф]])),
IF((G480="4/4"),((база!$I$5*Таблица1[[#This Row],[сумма]]*Таблица1[[#This Row],[коэф]])),
IF(OR(G480="2/4",G480="3/4"),((база!$I$4*Таблица1[[#This Row],[сумма]]*Таблица1[[#This Row],[коэф]])),
IF((G480="5/8"),((база!$J$6*Таблица1[[#This Row],[сумма]]*Таблица1[[#This Row],[коэф]])),
IF((G480="4/8"),((база!$J$5*Таблица1[[#This Row],[сумма]]*Таблица1[[#This Row],[коэф]])),
IF(OR(G480="3/8",G480="2/8"),((база!$J$4*Таблица1[[#This Row],[сумма]]*Таблица1[[#This Row],[коэф]])))))))))))))),
(IF((G480="5/24"),((база!$M$6*Таблица1[[#This Row],[сумма]]*Таблица1[[#This Row],[коэф]])),
IF(OR(G480="4/24",G480="3/24"),((база!$M$5*Таблица1[[#This Row],[сумма]]*Таблица1[[#This Row],[коэф]])),
IF((G480="5/16"),((база!$L$6*Таблица1[[#This Row],[сумма]]*Таблица1[[#This Row],[коэф]])),
IF(OR(G480="4/16",G480="3/16"),((база!$L$5*Таблица1[[#This Row],[сумма]]*Таблица1[[#This Row],[коэф]])),
IF(OR(G480="2/4",G480="3/4",G480="4/4"),((база!$I$5*Таблица1[[#This Row],[сумма]]*Таблица1[[#This Row],[коэф]])),
IF((G480="5/8"),((база!$J$6*Таблица1[[#This Row],[сумма]]*Таблица1[[#This Row],[коэф]])),
IF(OR(G480="4/8",G480="3/8",G480="2/8"),((база!$J$5*Таблица1[[#This Row],[сумма]]*Таблица1[[#This Row],[коэф]])))))))))))</f>
        <v>0</v>
      </c>
      <c r="AP480" s="730" t="b">
        <f>IF(AR480&lt;=3,(IF((G480="5/24"),((база!$M$6*2*Таблица1[[#This Row],[Столбец1]]*Таблица1[[#This Row],[коэф]])),
IF((G480="4/24"),((база!$M$5*2*Таблица1[[#This Row],[Столбец1]]*Таблица1[[#This Row],[коэф]])),
IF((G480="3/24"),((база!$M$4*2*Таблица1[[#This Row],[Столбец1]]*Таблица1[[#This Row],[коэф]])),
IF((G480="5/16"),((база!$L$6*2*Таблица1[[#This Row],[Столбец1]]*Таблица1[[#This Row],[коэф]])),
IF((G480="4/16"),((база!$L$5*2*Таблица1[[#This Row],[Столбец1]]*Таблица1[[#This Row],[коэф]])),
IF((G480="3/16"),((база!$L$4*2*Таблица1[[#This Row],[Столбец1]]*Таблица1[[#This Row],[коэф]])),
IF((G480="4/4"),((база!$I$5*2*Таблица1[[#This Row],[Столбец1]]*Таблица1[[#This Row],[коэф]])),
IF(OR(G480="2/4",G480="3/4"),((база!$I$4*2*Таблица1[[#This Row],[Столбец1]]*Таблица1[[#This Row],[коэф]])),
IF((G480="5/8"),((база!$J$6*2*Таблица1[[#This Row],[Столбец1]]*Таблица1[[#This Row],[коэф]])),
IF((G480="4/8"),((база!$J$5*2*Таблица1[[#This Row],[Столбец1]]*Таблица1[[#This Row],[коэф]])),
IF(OR(G480="3/8",G480="2/8"),((база!$J$4*2*Таблица1[[#This Row],[Столбец1]]*Таблица1[[#This Row],[коэф]])))))))))))))),
(IF((G480="5/24"),((база!$M$6*2*Таблица1[[#This Row],[Столбец1]]*Таблица1[[#This Row],[коэф]])),
IF(OR(G480="4/24",G480="3/24"),((база!$M$5*2*Таблица1[[#This Row],[Столбец1]]*Таблица1[[#This Row],[коэф]])),
IF((G480="5/16"),((база!$L$6*2*Таблица1[[#This Row],[Столбец1]]*Таблица1[[#This Row],[коэф]])),
IF(OR(G480="4/16",G480="3/16"),((база!$L$5*2*Таблица1[[#This Row],[Столбец1]]*Таблица1[[#This Row],[коэф]])),
IF(OR(G480="2/4",G480="3/4",G480="4/4"),((база!$I$5*2*Таблица1[[#This Row],[Столбец1]]*Таблица1[[#This Row],[коэф]])),
IF((G480="5/8"),((база!$J$6*2*Таблица1[[#This Row],[Столбец1]]*Таблица1[[#This Row],[коэф]])),
IF(OR(G480="4/8",G480="3/8",G480="2/8"),((база!$J$5*2*Таблица1[[#This Row],[Столбец1]]*Таблица1[[#This Row],[коэф]])))))))))))</f>
        <v>0</v>
      </c>
      <c r="AQ480" s="712" t="str">
        <f>IFERROR(INDEX(база!T:T, MATCH(F480,база!Q:Q,0)),"")</f>
        <v/>
      </c>
      <c r="AR480" s="208" t="str">
        <f>IFERROR(INDEX(база!D:D, MATCH(F480,база!B:B,0)),"")</f>
        <v/>
      </c>
      <c r="AS480" s="758" t="str">
        <f>IFERROR(INDEX(база!E:E, MATCH(F480,база!B:B,0)),"")</f>
        <v/>
      </c>
    </row>
    <row r="481" spans="1:45" s="46" customFormat="1" ht="15">
      <c r="A481" s="66" t="str">
        <f t="shared" si="9"/>
        <v>январь</v>
      </c>
      <c r="B481" s="231">
        <v>2024</v>
      </c>
      <c r="C481" s="299"/>
      <c r="D481" s="61"/>
      <c r="E481" s="211"/>
      <c r="F481" s="680"/>
      <c r="G481" s="47"/>
      <c r="H481" s="563"/>
      <c r="I481" s="563"/>
      <c r="J481" s="563"/>
      <c r="K481" s="563"/>
      <c r="L481" s="563"/>
      <c r="M481" s="563"/>
      <c r="N481" s="563"/>
      <c r="O481" s="563"/>
      <c r="P481" s="300"/>
      <c r="Q481" s="563"/>
      <c r="R481" s="563"/>
      <c r="S481" s="563"/>
      <c r="T481" s="563"/>
      <c r="U481" s="563"/>
      <c r="V481" s="563"/>
      <c r="W481" s="563"/>
      <c r="X481" s="563"/>
      <c r="Y481" s="563"/>
      <c r="Z481" s="563"/>
      <c r="AA481" s="563"/>
      <c r="AB481" s="563"/>
      <c r="AC481" s="563"/>
      <c r="AD481" s="48"/>
      <c r="AE481" s="48"/>
      <c r="AF481" s="258"/>
      <c r="AG481" s="48"/>
      <c r="AH481" s="48"/>
      <c r="AI481" s="48"/>
      <c r="AJ481" s="48"/>
      <c r="AK481" s="48"/>
      <c r="AL481" s="51"/>
      <c r="AM481" s="212">
        <f>IF(AQ481=1,SUM(Q481:T481,W481:Z481,AC481:AF481,AI481:AL481),
IF(AQ481=2,SUM(P481,S481:V481,Y481:AB481,AE481:AH481,AK481:AL481),
IF(AQ481=3,SUM(P481:R481,U481:X481,AA481:AD481,AG481:AJ481),SUM(Таблица1[[#This Row],[1]:[31]])-Таблица1[[#This Row],[Столбец1]])))</f>
        <v>0</v>
      </c>
      <c r="AN481" s="778">
        <f t="array" ref="AN481">IF(AQ481=1,SUM(P481,U481:V481,AA481:AB481,AG481:AH481),
IF(AQ481=2,SUM(Q481:R481,W481:X481,AC481:AD481,AI481:AJ481),
IF(AQ481=3,SUM(S481:T481,Y481:Z481,AE481:AF481,AK481:AL481),
SUM(IFERROR(WEEKDAY($H$2:$AL$2,2)&gt;5,)*H481:AL481))))+Таблица1[[#This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81" s="292" t="b">
        <f>IF(AR481&lt;=3,(IF((G481="5/24"),((база!$M$6*Таблица1[[#This Row],[сумма]]*Таблица1[[#This Row],[коэф]])),
IF((G481="4/24"),((база!$M$5*Таблица1[[#This Row],[сумма]]*Таблица1[[#This Row],[коэф]])),
IF((G481="3/24"),((база!$M$4*Таблица1[[#This Row],[сумма]]*Таблица1[[#This Row],[коэф]])),
IF((G481="5/16"),((база!$L$6*Таблица1[[#This Row],[сумма]]*Таблица1[[#This Row],[коэф]])),
IF((G481="4/16"),((база!$L$5*Таблица1[[#This Row],[сумма]]*Таблица1[[#This Row],[коэф]])),
IF((G481="3/16"),((база!$L$4*Таблица1[[#This Row],[сумма]]*Таблица1[[#This Row],[коэф]])),
IF((G481="4/4"),((база!$I$5*Таблица1[[#This Row],[сумма]]*Таблица1[[#This Row],[коэф]])),
IF(OR(G481="2/4",G481="3/4"),((база!$I$4*Таблица1[[#This Row],[сумма]]*Таблица1[[#This Row],[коэф]])),
IF((G481="5/8"),((база!$J$6*Таблица1[[#This Row],[сумма]]*Таблица1[[#This Row],[коэф]])),
IF((G481="4/8"),((база!$J$5*Таблица1[[#This Row],[сумма]]*Таблица1[[#This Row],[коэф]])),
IF(OR(G481="3/8",G481="2/8"),((база!$J$4*Таблица1[[#This Row],[сумма]]*Таблица1[[#This Row],[коэф]])))))))))))))),
(IF((G481="5/24"),((база!$M$6*Таблица1[[#This Row],[сумма]]*Таблица1[[#This Row],[коэф]])),
IF(OR(G481="4/24",G481="3/24"),((база!$M$5*Таблица1[[#This Row],[сумма]]*Таблица1[[#This Row],[коэф]])),
IF((G481="5/16"),((база!$L$6*Таблица1[[#This Row],[сумма]]*Таблица1[[#This Row],[коэф]])),
IF(OR(G481="4/16",G481="3/16"),((база!$L$5*Таблица1[[#This Row],[сумма]]*Таблица1[[#This Row],[коэф]])),
IF(OR(G481="2/4",G481="3/4",G481="4/4"),((база!$I$5*Таблица1[[#This Row],[сумма]]*Таблица1[[#This Row],[коэф]])),
IF((G481="5/8"),((база!$J$6*Таблица1[[#This Row],[сумма]]*Таблица1[[#This Row],[коэф]])),
IF(OR(G481="4/8",G481="3/8",G481="2/8"),((база!$J$5*Таблица1[[#This Row],[сумма]]*Таблица1[[#This Row],[коэф]])))))))))))</f>
        <v>0</v>
      </c>
      <c r="AP481" s="730" t="b">
        <f>IF(AR481&lt;=3,(IF((G481="5/24"),((база!$M$6*2*Таблица1[[#This Row],[Столбец1]]*Таблица1[[#This Row],[коэф]])),
IF((G481="4/24"),((база!$M$5*2*Таблица1[[#This Row],[Столбец1]]*Таблица1[[#This Row],[коэф]])),
IF((G481="3/24"),((база!$M$4*2*Таблица1[[#This Row],[Столбец1]]*Таблица1[[#This Row],[коэф]])),
IF((G481="5/16"),((база!$L$6*2*Таблица1[[#This Row],[Столбец1]]*Таблица1[[#This Row],[коэф]])),
IF((G481="4/16"),((база!$L$5*2*Таблица1[[#This Row],[Столбец1]]*Таблица1[[#This Row],[коэф]])),
IF((G481="3/16"),((база!$L$4*2*Таблица1[[#This Row],[Столбец1]]*Таблица1[[#This Row],[коэф]])),
IF((G481="4/4"),((база!$I$5*2*Таблица1[[#This Row],[Столбец1]]*Таблица1[[#This Row],[коэф]])),
IF(OR(G481="2/4",G481="3/4"),((база!$I$4*2*Таблица1[[#This Row],[Столбец1]]*Таблица1[[#This Row],[коэф]])),
IF((G481="5/8"),((база!$J$6*2*Таблица1[[#This Row],[Столбец1]]*Таблица1[[#This Row],[коэф]])),
IF((G481="4/8"),((база!$J$5*2*Таблица1[[#This Row],[Столбец1]]*Таблица1[[#This Row],[коэф]])),
IF(OR(G481="3/8",G481="2/8"),((база!$J$4*2*Таблица1[[#This Row],[Столбец1]]*Таблица1[[#This Row],[коэф]])))))))))))))),
(IF((G481="5/24"),((база!$M$6*2*Таблица1[[#This Row],[Столбец1]]*Таблица1[[#This Row],[коэф]])),
IF(OR(G481="4/24",G481="3/24"),((база!$M$5*2*Таблица1[[#This Row],[Столбец1]]*Таблица1[[#This Row],[коэф]])),
IF((G481="5/16"),((база!$L$6*2*Таблица1[[#This Row],[Столбец1]]*Таблица1[[#This Row],[коэф]])),
IF(OR(G481="4/16",G481="3/16"),((база!$L$5*2*Таблица1[[#This Row],[Столбец1]]*Таблица1[[#This Row],[коэф]])),
IF(OR(G481="2/4",G481="3/4",G481="4/4"),((база!$I$5*2*Таблица1[[#This Row],[Столбец1]]*Таблица1[[#This Row],[коэф]])),
IF((G481="5/8"),((база!$J$6*2*Таблица1[[#This Row],[Столбец1]]*Таблица1[[#This Row],[коэф]])),
IF(OR(G481="4/8",G481="3/8",G481="2/8"),((база!$J$5*2*Таблица1[[#This Row],[Столбец1]]*Таблица1[[#This Row],[коэф]])))))))))))</f>
        <v>0</v>
      </c>
      <c r="AQ481" s="712" t="str">
        <f>IFERROR(INDEX(база!T:T, MATCH(F481,база!Q:Q,0)),"")</f>
        <v/>
      </c>
      <c r="AR481" s="208" t="str">
        <f>IFERROR(INDEX(база!D:D, MATCH(F481,база!B:B,0)),"")</f>
        <v/>
      </c>
      <c r="AS481" s="758" t="str">
        <f>IFERROR(INDEX(база!E:E, MATCH(F481,база!B:B,0)),"")</f>
        <v/>
      </c>
    </row>
    <row r="482" spans="1:45" s="46" customFormat="1" ht="15">
      <c r="A482" s="66" t="str">
        <f t="shared" si="9"/>
        <v>январь</v>
      </c>
      <c r="B482" s="231">
        <v>2024</v>
      </c>
      <c r="C482" s="299"/>
      <c r="D482" s="61"/>
      <c r="E482" s="211"/>
      <c r="F482" s="680"/>
      <c r="G482" s="47"/>
      <c r="H482" s="563"/>
      <c r="I482" s="563"/>
      <c r="J482" s="563"/>
      <c r="K482" s="563"/>
      <c r="L482" s="563"/>
      <c r="M482" s="563"/>
      <c r="N482" s="563"/>
      <c r="O482" s="563"/>
      <c r="P482" s="300"/>
      <c r="Q482" s="563"/>
      <c r="R482" s="563"/>
      <c r="S482" s="563"/>
      <c r="T482" s="563"/>
      <c r="U482" s="563"/>
      <c r="V482" s="563"/>
      <c r="W482" s="563"/>
      <c r="X482" s="563"/>
      <c r="Y482" s="563"/>
      <c r="Z482" s="563"/>
      <c r="AA482" s="563"/>
      <c r="AB482" s="563"/>
      <c r="AC482" s="563"/>
      <c r="AD482" s="48"/>
      <c r="AE482" s="48"/>
      <c r="AF482" s="258"/>
      <c r="AG482" s="48"/>
      <c r="AH482" s="48"/>
      <c r="AI482" s="258"/>
      <c r="AJ482" s="258"/>
      <c r="AK482" s="258"/>
      <c r="AL482" s="258"/>
      <c r="AM482" s="212">
        <f>IF(AQ482=1,SUM(Q482:T482,W482:Z482,AC482:AF482,AI482:AL482),
IF(AQ482=2,SUM(P482,S482:V482,Y482:AB482,AE482:AH482,AK482:AL482),
IF(AQ482=3,SUM(P482:R482,U482:X482,AA482:AD482,AG482:AJ482),SUM(Таблица1[[#This Row],[1]:[31]])-Таблица1[[#This Row],[Столбец1]])))</f>
        <v>0</v>
      </c>
      <c r="AN482" s="778">
        <f t="array" ref="AN482">IF(AQ482=1,SUM(P482,U482:V482,AA482:AB482,AG482:AH482),
IF(AQ482=2,SUM(Q482:R482,W482:X482,AC482:AD482,AI482:AJ482),
IF(AQ482=3,SUM(S482:T482,Y482:Z482,AE482:AF482,AK482:AL482),
SUM(IFERROR(WEEKDAY($H$2:$AL$2,2)&gt;5,)*H482:AL482))))+Таблица1[[#This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82" s="292" t="b">
        <f>IF(AR482&lt;=3,(IF((G482="5/24"),((база!$M$6*Таблица1[[#This Row],[сумма]]*Таблица1[[#This Row],[коэф]])),
IF((G482="4/24"),((база!$M$5*Таблица1[[#This Row],[сумма]]*Таблица1[[#This Row],[коэф]])),
IF((G482="3/24"),((база!$M$4*Таблица1[[#This Row],[сумма]]*Таблица1[[#This Row],[коэф]])),
IF((G482="5/16"),((база!$L$6*Таблица1[[#This Row],[сумма]]*Таблица1[[#This Row],[коэф]])),
IF((G482="4/16"),((база!$L$5*Таблица1[[#This Row],[сумма]]*Таблица1[[#This Row],[коэф]])),
IF((G482="3/16"),((база!$L$4*Таблица1[[#This Row],[сумма]]*Таблица1[[#This Row],[коэф]])),
IF((G482="4/4"),((база!$I$5*Таблица1[[#This Row],[сумма]]*Таблица1[[#This Row],[коэф]])),
IF(OR(G482="2/4",G482="3/4"),((база!$I$4*Таблица1[[#This Row],[сумма]]*Таблица1[[#This Row],[коэф]])),
IF((G482="5/8"),((база!$J$6*Таблица1[[#This Row],[сумма]]*Таблица1[[#This Row],[коэф]])),
IF((G482="4/8"),((база!$J$5*Таблица1[[#This Row],[сумма]]*Таблица1[[#This Row],[коэф]])),
IF(OR(G482="3/8",G482="2/8"),((база!$J$4*Таблица1[[#This Row],[сумма]]*Таблица1[[#This Row],[коэф]])))))))))))))),
(IF((G482="5/24"),((база!$M$6*Таблица1[[#This Row],[сумма]]*Таблица1[[#This Row],[коэф]])),
IF(OR(G482="4/24",G482="3/24"),((база!$M$5*Таблица1[[#This Row],[сумма]]*Таблица1[[#This Row],[коэф]])),
IF((G482="5/16"),((база!$L$6*Таблица1[[#This Row],[сумма]]*Таблица1[[#This Row],[коэф]])),
IF(OR(G482="4/16",G482="3/16"),((база!$L$5*Таблица1[[#This Row],[сумма]]*Таблица1[[#This Row],[коэф]])),
IF(OR(G482="2/4",G482="3/4",G482="4/4"),((база!$I$5*Таблица1[[#This Row],[сумма]]*Таблица1[[#This Row],[коэф]])),
IF((G482="5/8"),((база!$J$6*Таблица1[[#This Row],[сумма]]*Таблица1[[#This Row],[коэф]])),
IF(OR(G482="4/8",G482="3/8",G482="2/8"),((база!$J$5*Таблица1[[#This Row],[сумма]]*Таблица1[[#This Row],[коэф]])))))))))))</f>
        <v>0</v>
      </c>
      <c r="AP482" s="730" t="b">
        <f>IF(AR482&lt;=3,(IF((G482="5/24"),((база!$M$6*2*Таблица1[[#This Row],[Столбец1]]*Таблица1[[#This Row],[коэф]])),
IF((G482="4/24"),((база!$M$5*2*Таблица1[[#This Row],[Столбец1]]*Таблица1[[#This Row],[коэф]])),
IF((G482="3/24"),((база!$M$4*2*Таблица1[[#This Row],[Столбец1]]*Таблица1[[#This Row],[коэф]])),
IF((G482="5/16"),((база!$L$6*2*Таблица1[[#This Row],[Столбец1]]*Таблица1[[#This Row],[коэф]])),
IF((G482="4/16"),((база!$L$5*2*Таблица1[[#This Row],[Столбец1]]*Таблица1[[#This Row],[коэф]])),
IF((G482="3/16"),((база!$L$4*2*Таблица1[[#This Row],[Столбец1]]*Таблица1[[#This Row],[коэф]])),
IF((G482="4/4"),((база!$I$5*2*Таблица1[[#This Row],[Столбец1]]*Таблица1[[#This Row],[коэф]])),
IF(OR(G482="2/4",G482="3/4"),((база!$I$4*2*Таблица1[[#This Row],[Столбец1]]*Таблица1[[#This Row],[коэф]])),
IF((G482="5/8"),((база!$J$6*2*Таблица1[[#This Row],[Столбец1]]*Таблица1[[#This Row],[коэф]])),
IF((G482="4/8"),((база!$J$5*2*Таблица1[[#This Row],[Столбец1]]*Таблица1[[#This Row],[коэф]])),
IF(OR(G482="3/8",G482="2/8"),((база!$J$4*2*Таблица1[[#This Row],[Столбец1]]*Таблица1[[#This Row],[коэф]])))))))))))))),
(IF((G482="5/24"),((база!$M$6*2*Таблица1[[#This Row],[Столбец1]]*Таблица1[[#This Row],[коэф]])),
IF(OR(G482="4/24",G482="3/24"),((база!$M$5*2*Таблица1[[#This Row],[Столбец1]]*Таблица1[[#This Row],[коэф]])),
IF((G482="5/16"),((база!$L$6*2*Таблица1[[#This Row],[Столбец1]]*Таблица1[[#This Row],[коэф]])),
IF(OR(G482="4/16",G482="3/16"),((база!$L$5*2*Таблица1[[#This Row],[Столбец1]]*Таблица1[[#This Row],[коэф]])),
IF(OR(G482="2/4",G482="3/4",G482="4/4"),((база!$I$5*2*Таблица1[[#This Row],[Столбец1]]*Таблица1[[#This Row],[коэф]])),
IF((G482="5/8"),((база!$J$6*2*Таблица1[[#This Row],[Столбец1]]*Таблица1[[#This Row],[коэф]])),
IF(OR(G482="4/8",G482="3/8",G482="2/8"),((база!$J$5*2*Таблица1[[#This Row],[Столбец1]]*Таблица1[[#This Row],[коэф]])))))))))))</f>
        <v>0</v>
      </c>
      <c r="AQ482" s="712" t="str">
        <f>IFERROR(INDEX(база!T:T, MATCH(F482,база!Q:Q,0)),"")</f>
        <v/>
      </c>
      <c r="AR482" s="208" t="str">
        <f>IFERROR(INDEX(база!D:D, MATCH(F482,база!B:B,0)),"")</f>
        <v/>
      </c>
      <c r="AS482" s="758" t="str">
        <f>IFERROR(INDEX(база!E:E, MATCH(F482,база!B:B,0)),"")</f>
        <v/>
      </c>
    </row>
    <row r="483" spans="1:45" s="46" customFormat="1" ht="15">
      <c r="A483" s="66" t="str">
        <f t="shared" si="9"/>
        <v>январь</v>
      </c>
      <c r="B483" s="231">
        <v>2024</v>
      </c>
      <c r="C483" s="299"/>
      <c r="D483" s="61"/>
      <c r="E483" s="211"/>
      <c r="F483" s="680"/>
      <c r="G483" s="47"/>
      <c r="H483" s="563"/>
      <c r="I483" s="563"/>
      <c r="J483" s="563"/>
      <c r="K483" s="563"/>
      <c r="L483" s="563"/>
      <c r="M483" s="563"/>
      <c r="N483" s="563"/>
      <c r="O483" s="563"/>
      <c r="P483" s="300"/>
      <c r="Q483" s="563"/>
      <c r="R483" s="563"/>
      <c r="S483" s="563"/>
      <c r="T483" s="563"/>
      <c r="U483" s="563"/>
      <c r="V483" s="563"/>
      <c r="W483" s="563"/>
      <c r="X483" s="563"/>
      <c r="Y483" s="563"/>
      <c r="Z483" s="563"/>
      <c r="AA483" s="563"/>
      <c r="AB483" s="563"/>
      <c r="AC483" s="563"/>
      <c r="AD483" s="563"/>
      <c r="AE483" s="563"/>
      <c r="AF483" s="563"/>
      <c r="AG483" s="48"/>
      <c r="AH483" s="48"/>
      <c r="AI483" s="48"/>
      <c r="AJ483" s="48"/>
      <c r="AK483" s="48"/>
      <c r="AL483" s="51"/>
      <c r="AM483" s="212">
        <f>IF(AQ483=1,SUM(Q483:T483,W483:Z483,AC483:AF483,AI483:AL483),
IF(AQ483=2,SUM(P483,S483:V483,Y483:AB483,AE483:AH483,AK483:AL483),
IF(AQ483=3,SUM(P483:R483,U483:X483,AA483:AD483,AG483:AJ483),SUM(Таблица1[[#This Row],[1]:[31]])-Таблица1[[#This Row],[Столбец1]])))</f>
        <v>0</v>
      </c>
      <c r="AN483" s="778">
        <f t="array" ref="AN483">IF(AQ483=1,SUM(P483,U483:V483,AA483:AB483,AG483:AH483),
IF(AQ483=2,SUM(Q483:R483,W483:X483,AC483:AD483,AI483:AJ483),
IF(AQ483=3,SUM(S483:T483,Y483:Z483,AE483:AF483,AK483:AL483),
SUM(IFERROR(WEEKDAY($H$2:$AL$2,2)&gt;5,)*H483:AL483))))+Таблица1[[#This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83" s="292" t="b">
        <f>IF(AR483&lt;=3,(IF((G483="5/24"),((база!$M$6*Таблица1[[#This Row],[сумма]]*Таблица1[[#This Row],[коэф]])),
IF((G483="4/24"),((база!$M$5*Таблица1[[#This Row],[сумма]]*Таблица1[[#This Row],[коэф]])),
IF((G483="3/24"),((база!$M$4*Таблица1[[#This Row],[сумма]]*Таблица1[[#This Row],[коэф]])),
IF((G483="5/16"),((база!$L$6*Таблица1[[#This Row],[сумма]]*Таблица1[[#This Row],[коэф]])),
IF((G483="4/16"),((база!$L$5*Таблица1[[#This Row],[сумма]]*Таблица1[[#This Row],[коэф]])),
IF((G483="3/16"),((база!$L$4*Таблица1[[#This Row],[сумма]]*Таблица1[[#This Row],[коэф]])),
IF((G483="4/4"),((база!$I$5*Таблица1[[#This Row],[сумма]]*Таблица1[[#This Row],[коэф]])),
IF(OR(G483="2/4",G483="3/4"),((база!$I$4*Таблица1[[#This Row],[сумма]]*Таблица1[[#This Row],[коэф]])),
IF((G483="5/8"),((база!$J$6*Таблица1[[#This Row],[сумма]]*Таблица1[[#This Row],[коэф]])),
IF((G483="4/8"),((база!$J$5*Таблица1[[#This Row],[сумма]]*Таблица1[[#This Row],[коэф]])),
IF(OR(G483="3/8",G483="2/8"),((база!$J$4*Таблица1[[#This Row],[сумма]]*Таблица1[[#This Row],[коэф]])))))))))))))),
(IF((G483="5/24"),((база!$M$6*Таблица1[[#This Row],[сумма]]*Таблица1[[#This Row],[коэф]])),
IF(OR(G483="4/24",G483="3/24"),((база!$M$5*Таблица1[[#This Row],[сумма]]*Таблица1[[#This Row],[коэф]])),
IF((G483="5/16"),((база!$L$6*Таблица1[[#This Row],[сумма]]*Таблица1[[#This Row],[коэф]])),
IF(OR(G483="4/16",G483="3/16"),((база!$L$5*Таблица1[[#This Row],[сумма]]*Таблица1[[#This Row],[коэф]])),
IF(OR(G483="2/4",G483="3/4",G483="4/4"),((база!$I$5*Таблица1[[#This Row],[сумма]]*Таблица1[[#This Row],[коэф]])),
IF((G483="5/8"),((база!$J$6*Таблица1[[#This Row],[сумма]]*Таблица1[[#This Row],[коэф]])),
IF(OR(G483="4/8",G483="3/8",G483="2/8"),((база!$J$5*Таблица1[[#This Row],[сумма]]*Таблица1[[#This Row],[коэф]])))))))))))</f>
        <v>0</v>
      </c>
      <c r="AP483" s="730" t="b">
        <f>IF(AR483&lt;=3,(IF((G483="5/24"),((база!$M$6*2*Таблица1[[#This Row],[Столбец1]]*Таблица1[[#This Row],[коэф]])),
IF((G483="4/24"),((база!$M$5*2*Таблица1[[#This Row],[Столбец1]]*Таблица1[[#This Row],[коэф]])),
IF((G483="3/24"),((база!$M$4*2*Таблица1[[#This Row],[Столбец1]]*Таблица1[[#This Row],[коэф]])),
IF((G483="5/16"),((база!$L$6*2*Таблица1[[#This Row],[Столбец1]]*Таблица1[[#This Row],[коэф]])),
IF((G483="4/16"),((база!$L$5*2*Таблица1[[#This Row],[Столбец1]]*Таблица1[[#This Row],[коэф]])),
IF((G483="3/16"),((база!$L$4*2*Таблица1[[#This Row],[Столбец1]]*Таблица1[[#This Row],[коэф]])),
IF((G483="4/4"),((база!$I$5*2*Таблица1[[#This Row],[Столбец1]]*Таблица1[[#This Row],[коэф]])),
IF(OR(G483="2/4",G483="3/4"),((база!$I$4*2*Таблица1[[#This Row],[Столбец1]]*Таблица1[[#This Row],[коэф]])),
IF((G483="5/8"),((база!$J$6*2*Таблица1[[#This Row],[Столбец1]]*Таблица1[[#This Row],[коэф]])),
IF((G483="4/8"),((база!$J$5*2*Таблица1[[#This Row],[Столбец1]]*Таблица1[[#This Row],[коэф]])),
IF(OR(G483="3/8",G483="2/8"),((база!$J$4*2*Таблица1[[#This Row],[Столбец1]]*Таблица1[[#This Row],[коэф]])))))))))))))),
(IF((G483="5/24"),((база!$M$6*2*Таблица1[[#This Row],[Столбец1]]*Таблица1[[#This Row],[коэф]])),
IF(OR(G483="4/24",G483="3/24"),((база!$M$5*2*Таблица1[[#This Row],[Столбец1]]*Таблица1[[#This Row],[коэф]])),
IF((G483="5/16"),((база!$L$6*2*Таблица1[[#This Row],[Столбец1]]*Таблица1[[#This Row],[коэф]])),
IF(OR(G483="4/16",G483="3/16"),((база!$L$5*2*Таблица1[[#This Row],[Столбец1]]*Таблица1[[#This Row],[коэф]])),
IF(OR(G483="2/4",G483="3/4",G483="4/4"),((база!$I$5*2*Таблица1[[#This Row],[Столбец1]]*Таблица1[[#This Row],[коэф]])),
IF((G483="5/8"),((база!$J$6*2*Таблица1[[#This Row],[Столбец1]]*Таблица1[[#This Row],[коэф]])),
IF(OR(G483="4/8",G483="3/8",G483="2/8"),((база!$J$5*2*Таблица1[[#This Row],[Столбец1]]*Таблица1[[#This Row],[коэф]])))))))))))</f>
        <v>0</v>
      </c>
      <c r="AQ483" s="712" t="str">
        <f>IFERROR(INDEX(база!T:T, MATCH(F483,база!Q:Q,0)),"")</f>
        <v/>
      </c>
      <c r="AR483" s="208" t="str">
        <f>IFERROR(INDEX(база!D:D, MATCH(F483,база!B:B,0)),"")</f>
        <v/>
      </c>
      <c r="AS483" s="758" t="str">
        <f>IFERROR(INDEX(база!E:E, MATCH(F483,база!B:B,0)),"")</f>
        <v/>
      </c>
    </row>
    <row r="484" spans="1:45" s="46" customFormat="1" ht="15">
      <c r="A484" s="66" t="str">
        <f t="shared" si="9"/>
        <v>январь</v>
      </c>
      <c r="B484" s="231">
        <v>2024</v>
      </c>
      <c r="C484" s="299"/>
      <c r="D484" s="61"/>
      <c r="E484" s="211"/>
      <c r="F484" s="680"/>
      <c r="G484" s="47"/>
      <c r="H484" s="563"/>
      <c r="I484" s="563"/>
      <c r="J484" s="563"/>
      <c r="K484" s="563"/>
      <c r="L484" s="563"/>
      <c r="M484" s="563"/>
      <c r="N484" s="563"/>
      <c r="O484" s="563"/>
      <c r="P484" s="300"/>
      <c r="Q484" s="563"/>
      <c r="R484" s="563"/>
      <c r="S484" s="563"/>
      <c r="T484" s="563"/>
      <c r="U484" s="563"/>
      <c r="V484" s="563"/>
      <c r="W484" s="563"/>
      <c r="X484" s="563"/>
      <c r="Y484" s="563"/>
      <c r="Z484" s="563"/>
      <c r="AA484" s="563"/>
      <c r="AB484" s="563"/>
      <c r="AC484" s="563"/>
      <c r="AD484" s="48"/>
      <c r="AE484" s="48"/>
      <c r="AF484" s="258"/>
      <c r="AG484" s="48"/>
      <c r="AH484" s="48"/>
      <c r="AI484" s="258"/>
      <c r="AJ484" s="258"/>
      <c r="AK484" s="258"/>
      <c r="AL484" s="258"/>
      <c r="AM484" s="212">
        <f>IF(AQ484=1,SUM(Q484:T484,W484:Z484,AC484:AF484,AI484:AL484),
IF(AQ484=2,SUM(P484,S484:V484,Y484:AB484,AE484:AH484,AK484:AL484),
IF(AQ484=3,SUM(P484:R484,U484:X484,AA484:AD484,AG484:AJ484),SUM(Таблица1[[#This Row],[1]:[31]])-Таблица1[[#This Row],[Столбец1]])))</f>
        <v>0</v>
      </c>
      <c r="AN484" s="778">
        <f t="array" ref="AN484">IF(AQ484=1,SUM(P484,U484:V484,AA484:AB484,AG484:AH484),
IF(AQ484=2,SUM(Q484:R484,W484:X484,AC484:AD484,AI484:AJ484),
IF(AQ484=3,SUM(S484:T484,Y484:Z484,AE484:AF484,AK484:AL484),
SUM(IFERROR(WEEKDAY($H$2:$AL$2,2)&gt;5,)*H484:AL484))))+Таблица1[[#This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84" s="292" t="b">
        <f>IF(AR484&lt;=3,(IF((G484="5/24"),((база!$M$6*Таблица1[[#This Row],[сумма]]*Таблица1[[#This Row],[коэф]])),
IF((G484="4/24"),((база!$M$5*Таблица1[[#This Row],[сумма]]*Таблица1[[#This Row],[коэф]])),
IF((G484="3/24"),((база!$M$4*Таблица1[[#This Row],[сумма]]*Таблица1[[#This Row],[коэф]])),
IF((G484="5/16"),((база!$L$6*Таблица1[[#This Row],[сумма]]*Таблица1[[#This Row],[коэф]])),
IF((G484="4/16"),((база!$L$5*Таблица1[[#This Row],[сумма]]*Таблица1[[#This Row],[коэф]])),
IF((G484="3/16"),((база!$L$4*Таблица1[[#This Row],[сумма]]*Таблица1[[#This Row],[коэф]])),
IF((G484="4/4"),((база!$I$5*Таблица1[[#This Row],[сумма]]*Таблица1[[#This Row],[коэф]])),
IF(OR(G484="2/4",G484="3/4"),((база!$I$4*Таблица1[[#This Row],[сумма]]*Таблица1[[#This Row],[коэф]])),
IF((G484="5/8"),((база!$J$6*Таблица1[[#This Row],[сумма]]*Таблица1[[#This Row],[коэф]])),
IF((G484="4/8"),((база!$J$5*Таблица1[[#This Row],[сумма]]*Таблица1[[#This Row],[коэф]])),
IF(OR(G484="3/8",G484="2/8"),((база!$J$4*Таблица1[[#This Row],[сумма]]*Таблица1[[#This Row],[коэф]])))))))))))))),
(IF((G484="5/24"),((база!$M$6*Таблица1[[#This Row],[сумма]]*Таблица1[[#This Row],[коэф]])),
IF(OR(G484="4/24",G484="3/24"),((база!$M$5*Таблица1[[#This Row],[сумма]]*Таблица1[[#This Row],[коэф]])),
IF((G484="5/16"),((база!$L$6*Таблица1[[#This Row],[сумма]]*Таблица1[[#This Row],[коэф]])),
IF(OR(G484="4/16",G484="3/16"),((база!$L$5*Таблица1[[#This Row],[сумма]]*Таблица1[[#This Row],[коэф]])),
IF(OR(G484="2/4",G484="3/4",G484="4/4"),((база!$I$5*Таблица1[[#This Row],[сумма]]*Таблица1[[#This Row],[коэф]])),
IF((G484="5/8"),((база!$J$6*Таблица1[[#This Row],[сумма]]*Таблица1[[#This Row],[коэф]])),
IF(OR(G484="4/8",G484="3/8",G484="2/8"),((база!$J$5*Таблица1[[#This Row],[сумма]]*Таблица1[[#This Row],[коэф]])))))))))))</f>
        <v>0</v>
      </c>
      <c r="AP484" s="730" t="b">
        <f>IF(AR484&lt;=3,(IF((G484="5/24"),((база!$M$6*2*Таблица1[[#This Row],[Столбец1]]*Таблица1[[#This Row],[коэф]])),
IF((G484="4/24"),((база!$M$5*2*Таблица1[[#This Row],[Столбец1]]*Таблица1[[#This Row],[коэф]])),
IF((G484="3/24"),((база!$M$4*2*Таблица1[[#This Row],[Столбец1]]*Таблица1[[#This Row],[коэф]])),
IF((G484="5/16"),((база!$L$6*2*Таблица1[[#This Row],[Столбец1]]*Таблица1[[#This Row],[коэф]])),
IF((G484="4/16"),((база!$L$5*2*Таблица1[[#This Row],[Столбец1]]*Таблица1[[#This Row],[коэф]])),
IF((G484="3/16"),((база!$L$4*2*Таблица1[[#This Row],[Столбец1]]*Таблица1[[#This Row],[коэф]])),
IF((G484="4/4"),((база!$I$5*2*Таблица1[[#This Row],[Столбец1]]*Таблица1[[#This Row],[коэф]])),
IF(OR(G484="2/4",G484="3/4"),((база!$I$4*2*Таблица1[[#This Row],[Столбец1]]*Таблица1[[#This Row],[коэф]])),
IF((G484="5/8"),((база!$J$6*2*Таблица1[[#This Row],[Столбец1]]*Таблица1[[#This Row],[коэф]])),
IF((G484="4/8"),((база!$J$5*2*Таблица1[[#This Row],[Столбец1]]*Таблица1[[#This Row],[коэф]])),
IF(OR(G484="3/8",G484="2/8"),((база!$J$4*2*Таблица1[[#This Row],[Столбец1]]*Таблица1[[#This Row],[коэф]])))))))))))))),
(IF((G484="5/24"),((база!$M$6*2*Таблица1[[#This Row],[Столбец1]]*Таблица1[[#This Row],[коэф]])),
IF(OR(G484="4/24",G484="3/24"),((база!$M$5*2*Таблица1[[#This Row],[Столбец1]]*Таблица1[[#This Row],[коэф]])),
IF((G484="5/16"),((база!$L$6*2*Таблица1[[#This Row],[Столбец1]]*Таблица1[[#This Row],[коэф]])),
IF(OR(G484="4/16",G484="3/16"),((база!$L$5*2*Таблица1[[#This Row],[Столбец1]]*Таблица1[[#This Row],[коэф]])),
IF(OR(G484="2/4",G484="3/4",G484="4/4"),((база!$I$5*2*Таблица1[[#This Row],[Столбец1]]*Таблица1[[#This Row],[коэф]])),
IF((G484="5/8"),((база!$J$6*2*Таблица1[[#This Row],[Столбец1]]*Таблица1[[#This Row],[коэф]])),
IF(OR(G484="4/8",G484="3/8",G484="2/8"),((база!$J$5*2*Таблица1[[#This Row],[Столбец1]]*Таблица1[[#This Row],[коэф]])))))))))))</f>
        <v>0</v>
      </c>
      <c r="AQ484" s="712" t="str">
        <f>IFERROR(INDEX(база!T:T, MATCH(F484,база!Q:Q,0)),"")</f>
        <v/>
      </c>
      <c r="AR484" s="208" t="str">
        <f>IFERROR(INDEX(база!D:D, MATCH(F484,база!B:B,0)),"")</f>
        <v/>
      </c>
      <c r="AS484" s="758" t="str">
        <f>IFERROR(INDEX(база!E:E, MATCH(F484,база!B:B,0)),"")</f>
        <v/>
      </c>
    </row>
    <row r="485" spans="1:45" s="46" customFormat="1" ht="15">
      <c r="A485" s="66" t="str">
        <f t="shared" si="9"/>
        <v>январь</v>
      </c>
      <c r="B485" s="231">
        <v>2024</v>
      </c>
      <c r="C485" s="299"/>
      <c r="D485" s="61"/>
      <c r="E485" s="211"/>
      <c r="F485" s="680"/>
      <c r="G485" s="47"/>
      <c r="H485" s="563"/>
      <c r="I485" s="563"/>
      <c r="J485" s="563"/>
      <c r="K485" s="563"/>
      <c r="L485" s="563"/>
      <c r="M485" s="563"/>
      <c r="N485" s="563"/>
      <c r="O485" s="563"/>
      <c r="P485" s="300"/>
      <c r="Q485" s="563"/>
      <c r="R485" s="563"/>
      <c r="S485" s="563"/>
      <c r="T485" s="563"/>
      <c r="U485" s="563"/>
      <c r="V485" s="563"/>
      <c r="W485" s="563"/>
      <c r="X485" s="563"/>
      <c r="Y485" s="563"/>
      <c r="Z485" s="563"/>
      <c r="AA485" s="563"/>
      <c r="AB485" s="563"/>
      <c r="AC485" s="563"/>
      <c r="AD485" s="48"/>
      <c r="AE485" s="48"/>
      <c r="AF485" s="258"/>
      <c r="AG485" s="258"/>
      <c r="AH485" s="258"/>
      <c r="AI485" s="48"/>
      <c r="AJ485" s="48"/>
      <c r="AK485" s="48"/>
      <c r="AL485" s="48"/>
      <c r="AM485" s="212">
        <f>IF(AQ485=1,SUM(Q485:T485,W485:Z485,AC485:AF485,AI485:AL485),
IF(AQ485=2,SUM(P485,S485:V485,Y485:AB485,AE485:AH485,AK485:AL485),
IF(AQ485=3,SUM(P485:R485,U485:X485,AA485:AD485,AG485:AJ485),SUM(Таблица1[[#This Row],[1]:[31]])-Таблица1[[#This Row],[Столбец1]])))</f>
        <v>0</v>
      </c>
      <c r="AN485" s="778">
        <f t="array" ref="AN485">IF(AQ485=1,SUM(P485,U485:V485,AA485:AB485,AG485:AH485),
IF(AQ485=2,SUM(Q485:R485,W485:X485,AC485:AD485,AI485:AJ485),
IF(AQ485=3,SUM(S485:T485,Y485:Z485,AE485:AF485,AK485:AL485),
SUM(IFERROR(WEEKDAY($H$2:$AL$2,2)&gt;5,)*H485:AL485))))+Таблица1[[#This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85" s="292" t="b">
        <f>IF(AR485&lt;=3,(IF((G485="5/24"),((база!$M$6*Таблица1[[#This Row],[сумма]]*Таблица1[[#This Row],[коэф]])),
IF((G485="4/24"),((база!$M$5*Таблица1[[#This Row],[сумма]]*Таблица1[[#This Row],[коэф]])),
IF((G485="3/24"),((база!$M$4*Таблица1[[#This Row],[сумма]]*Таблица1[[#This Row],[коэф]])),
IF((G485="5/16"),((база!$L$6*Таблица1[[#This Row],[сумма]]*Таблица1[[#This Row],[коэф]])),
IF((G485="4/16"),((база!$L$5*Таблица1[[#This Row],[сумма]]*Таблица1[[#This Row],[коэф]])),
IF((G485="3/16"),((база!$L$4*Таблица1[[#This Row],[сумма]]*Таблица1[[#This Row],[коэф]])),
IF((G485="4/4"),((база!$I$5*Таблица1[[#This Row],[сумма]]*Таблица1[[#This Row],[коэф]])),
IF(OR(G485="2/4",G485="3/4"),((база!$I$4*Таблица1[[#This Row],[сумма]]*Таблица1[[#This Row],[коэф]])),
IF((G485="5/8"),((база!$J$6*Таблица1[[#This Row],[сумма]]*Таблица1[[#This Row],[коэф]])),
IF((G485="4/8"),((база!$J$5*Таблица1[[#This Row],[сумма]]*Таблица1[[#This Row],[коэф]])),
IF(OR(G485="3/8",G485="2/8"),((база!$J$4*Таблица1[[#This Row],[сумма]]*Таблица1[[#This Row],[коэф]])))))))))))))),
(IF((G485="5/24"),((база!$M$6*Таблица1[[#This Row],[сумма]]*Таблица1[[#This Row],[коэф]])),
IF(OR(G485="4/24",G485="3/24"),((база!$M$5*Таблица1[[#This Row],[сумма]]*Таблица1[[#This Row],[коэф]])),
IF((G485="5/16"),((база!$L$6*Таблица1[[#This Row],[сумма]]*Таблица1[[#This Row],[коэф]])),
IF(OR(G485="4/16",G485="3/16"),((база!$L$5*Таблица1[[#This Row],[сумма]]*Таблица1[[#This Row],[коэф]])),
IF(OR(G485="2/4",G485="3/4",G485="4/4"),((база!$I$5*Таблица1[[#This Row],[сумма]]*Таблица1[[#This Row],[коэф]])),
IF((G485="5/8"),((база!$J$6*Таблица1[[#This Row],[сумма]]*Таблица1[[#This Row],[коэф]])),
IF(OR(G485="4/8",G485="3/8",G485="2/8"),((база!$J$5*Таблица1[[#This Row],[сумма]]*Таблица1[[#This Row],[коэф]])))))))))))</f>
        <v>0</v>
      </c>
      <c r="AP485" s="730" t="b">
        <f>IF(AR485&lt;=3,(IF((G485="5/24"),((база!$M$6*2*Таблица1[[#This Row],[Столбец1]]*Таблица1[[#This Row],[коэф]])),
IF((G485="4/24"),((база!$M$5*2*Таблица1[[#This Row],[Столбец1]]*Таблица1[[#This Row],[коэф]])),
IF((G485="3/24"),((база!$M$4*2*Таблица1[[#This Row],[Столбец1]]*Таблица1[[#This Row],[коэф]])),
IF((G485="5/16"),((база!$L$6*2*Таблица1[[#This Row],[Столбец1]]*Таблица1[[#This Row],[коэф]])),
IF((G485="4/16"),((база!$L$5*2*Таблица1[[#This Row],[Столбец1]]*Таблица1[[#This Row],[коэф]])),
IF((G485="3/16"),((база!$L$4*2*Таблица1[[#This Row],[Столбец1]]*Таблица1[[#This Row],[коэф]])),
IF((G485="4/4"),((база!$I$5*2*Таблица1[[#This Row],[Столбец1]]*Таблица1[[#This Row],[коэф]])),
IF(OR(G485="2/4",G485="3/4"),((база!$I$4*2*Таблица1[[#This Row],[Столбец1]]*Таблица1[[#This Row],[коэф]])),
IF((G485="5/8"),((база!$J$6*2*Таблица1[[#This Row],[Столбец1]]*Таблица1[[#This Row],[коэф]])),
IF((G485="4/8"),((база!$J$5*2*Таблица1[[#This Row],[Столбец1]]*Таблица1[[#This Row],[коэф]])),
IF(OR(G485="3/8",G485="2/8"),((база!$J$4*2*Таблица1[[#This Row],[Столбец1]]*Таблица1[[#This Row],[коэф]])))))))))))))),
(IF((G485="5/24"),((база!$M$6*2*Таблица1[[#This Row],[Столбец1]]*Таблица1[[#This Row],[коэф]])),
IF(OR(G485="4/24",G485="3/24"),((база!$M$5*2*Таблица1[[#This Row],[Столбец1]]*Таблица1[[#This Row],[коэф]])),
IF((G485="5/16"),((база!$L$6*2*Таблица1[[#This Row],[Столбец1]]*Таблица1[[#This Row],[коэф]])),
IF(OR(G485="4/16",G485="3/16"),((база!$L$5*2*Таблица1[[#This Row],[Столбец1]]*Таблица1[[#This Row],[коэф]])),
IF(OR(G485="2/4",G485="3/4",G485="4/4"),((база!$I$5*2*Таблица1[[#This Row],[Столбец1]]*Таблица1[[#This Row],[коэф]])),
IF((G485="5/8"),((база!$J$6*2*Таблица1[[#This Row],[Столбец1]]*Таблица1[[#This Row],[коэф]])),
IF(OR(G485="4/8",G485="3/8",G485="2/8"),((база!$J$5*2*Таблица1[[#This Row],[Столбец1]]*Таблица1[[#This Row],[коэф]])))))))))))</f>
        <v>0</v>
      </c>
      <c r="AQ485" s="712" t="str">
        <f>IFERROR(INDEX(база!T:T, MATCH(F485,база!Q:Q,0)),"")</f>
        <v/>
      </c>
      <c r="AR485" s="208" t="str">
        <f>IFERROR(INDEX(база!D:D, MATCH(F485,база!B:B,0)),"")</f>
        <v/>
      </c>
      <c r="AS485" s="758" t="str">
        <f>IFERROR(INDEX(база!E:E, MATCH(F485,база!B:B,0)),"")</f>
        <v/>
      </c>
    </row>
    <row r="486" spans="1:45" s="46" customFormat="1" ht="15">
      <c r="A486" s="66" t="str">
        <f t="shared" si="9"/>
        <v>январь</v>
      </c>
      <c r="B486" s="231">
        <v>2024</v>
      </c>
      <c r="C486" s="299"/>
      <c r="D486" s="61"/>
      <c r="E486" s="211"/>
      <c r="F486" s="680"/>
      <c r="G486" s="47"/>
      <c r="H486" s="563"/>
      <c r="I486" s="563"/>
      <c r="J486" s="563"/>
      <c r="K486" s="563"/>
      <c r="L486" s="563"/>
      <c r="M486" s="563"/>
      <c r="N486" s="563"/>
      <c r="O486" s="563"/>
      <c r="P486" s="300"/>
      <c r="Q486" s="563"/>
      <c r="R486" s="563"/>
      <c r="S486" s="563"/>
      <c r="T486" s="563"/>
      <c r="U486" s="563"/>
      <c r="V486" s="563"/>
      <c r="W486" s="563"/>
      <c r="X486" s="563"/>
      <c r="Y486" s="563"/>
      <c r="Z486" s="563"/>
      <c r="AA486" s="563"/>
      <c r="AB486" s="563"/>
      <c r="AC486" s="563"/>
      <c r="AD486" s="48"/>
      <c r="AE486" s="48"/>
      <c r="AF486" s="258"/>
      <c r="AG486" s="48"/>
      <c r="AH486" s="48"/>
      <c r="AI486" s="258"/>
      <c r="AJ486" s="258"/>
      <c r="AK486" s="258"/>
      <c r="AL486" s="258"/>
      <c r="AM486" s="212">
        <f>IF(AQ486=1,SUM(Q486:T486,W486:Z486,AC486:AF486,AI486:AL486),
IF(AQ486=2,SUM(P486,S486:V486,Y486:AB486,AE486:AH486,AK486:AL486),
IF(AQ486=3,SUM(P486:R486,U486:X486,AA486:AD486,AG486:AJ486),SUM(Таблица1[[#This Row],[1]:[31]])-Таблица1[[#This Row],[Столбец1]])))</f>
        <v>0</v>
      </c>
      <c r="AN486" s="778">
        <f t="array" ref="AN486">IF(AQ486=1,SUM(P486,U486:V486,AA486:AB486,AG486:AH486),
IF(AQ486=2,SUM(Q486:R486,W486:X486,AC486:AD486,AI486:AJ486),
IF(AQ486=3,SUM(S486:T486,Y486:Z486,AE486:AF486,AK486:AL486),
SUM(IFERROR(WEEKDAY($H$2:$AL$2,2)&gt;5,)*H486:AL486))))+Таблица1[[#This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86" s="292" t="b">
        <f>IF(AR486&lt;=3,(IF((G486="5/24"),((база!$M$6*Таблица1[[#This Row],[сумма]]*Таблица1[[#This Row],[коэф]])),
IF((G486="4/24"),((база!$M$5*Таблица1[[#This Row],[сумма]]*Таблица1[[#This Row],[коэф]])),
IF((G486="3/24"),((база!$M$4*Таблица1[[#This Row],[сумма]]*Таблица1[[#This Row],[коэф]])),
IF((G486="5/16"),((база!$L$6*Таблица1[[#This Row],[сумма]]*Таблица1[[#This Row],[коэф]])),
IF((G486="4/16"),((база!$L$5*Таблица1[[#This Row],[сумма]]*Таблица1[[#This Row],[коэф]])),
IF((G486="3/16"),((база!$L$4*Таблица1[[#This Row],[сумма]]*Таблица1[[#This Row],[коэф]])),
IF((G486="4/4"),((база!$I$5*Таблица1[[#This Row],[сумма]]*Таблица1[[#This Row],[коэф]])),
IF(OR(G486="2/4",G486="3/4"),((база!$I$4*Таблица1[[#This Row],[сумма]]*Таблица1[[#This Row],[коэф]])),
IF((G486="5/8"),((база!$J$6*Таблица1[[#This Row],[сумма]]*Таблица1[[#This Row],[коэф]])),
IF((G486="4/8"),((база!$J$5*Таблица1[[#This Row],[сумма]]*Таблица1[[#This Row],[коэф]])),
IF(OR(G486="3/8",G486="2/8"),((база!$J$4*Таблица1[[#This Row],[сумма]]*Таблица1[[#This Row],[коэф]])))))))))))))),
(IF((G486="5/24"),((база!$M$6*Таблица1[[#This Row],[сумма]]*Таблица1[[#This Row],[коэф]])),
IF(OR(G486="4/24",G486="3/24"),((база!$M$5*Таблица1[[#This Row],[сумма]]*Таблица1[[#This Row],[коэф]])),
IF((G486="5/16"),((база!$L$6*Таблица1[[#This Row],[сумма]]*Таблица1[[#This Row],[коэф]])),
IF(OR(G486="4/16",G486="3/16"),((база!$L$5*Таблица1[[#This Row],[сумма]]*Таблица1[[#This Row],[коэф]])),
IF(OR(G486="2/4",G486="3/4",G486="4/4"),((база!$I$5*Таблица1[[#This Row],[сумма]]*Таблица1[[#This Row],[коэф]])),
IF((G486="5/8"),((база!$J$6*Таблица1[[#This Row],[сумма]]*Таблица1[[#This Row],[коэф]])),
IF(OR(G486="4/8",G486="3/8",G486="2/8"),((база!$J$5*Таблица1[[#This Row],[сумма]]*Таблица1[[#This Row],[коэф]])))))))))))</f>
        <v>0</v>
      </c>
      <c r="AP486" s="730" t="b">
        <f>IF(AR486&lt;=3,(IF((G486="5/24"),((база!$M$6*2*Таблица1[[#This Row],[Столбец1]]*Таблица1[[#This Row],[коэф]])),
IF((G486="4/24"),((база!$M$5*2*Таблица1[[#This Row],[Столбец1]]*Таблица1[[#This Row],[коэф]])),
IF((G486="3/24"),((база!$M$4*2*Таблица1[[#This Row],[Столбец1]]*Таблица1[[#This Row],[коэф]])),
IF((G486="5/16"),((база!$L$6*2*Таблица1[[#This Row],[Столбец1]]*Таблица1[[#This Row],[коэф]])),
IF((G486="4/16"),((база!$L$5*2*Таблица1[[#This Row],[Столбец1]]*Таблица1[[#This Row],[коэф]])),
IF((G486="3/16"),((база!$L$4*2*Таблица1[[#This Row],[Столбец1]]*Таблица1[[#This Row],[коэф]])),
IF((G486="4/4"),((база!$I$5*2*Таблица1[[#This Row],[Столбец1]]*Таблица1[[#This Row],[коэф]])),
IF(OR(G486="2/4",G486="3/4"),((база!$I$4*2*Таблица1[[#This Row],[Столбец1]]*Таблица1[[#This Row],[коэф]])),
IF((G486="5/8"),((база!$J$6*2*Таблица1[[#This Row],[Столбец1]]*Таблица1[[#This Row],[коэф]])),
IF((G486="4/8"),((база!$J$5*2*Таблица1[[#This Row],[Столбец1]]*Таблица1[[#This Row],[коэф]])),
IF(OR(G486="3/8",G486="2/8"),((база!$J$4*2*Таблица1[[#This Row],[Столбец1]]*Таблица1[[#This Row],[коэф]])))))))))))))),
(IF((G486="5/24"),((база!$M$6*2*Таблица1[[#This Row],[Столбец1]]*Таблица1[[#This Row],[коэф]])),
IF(OR(G486="4/24",G486="3/24"),((база!$M$5*2*Таблица1[[#This Row],[Столбец1]]*Таблица1[[#This Row],[коэф]])),
IF((G486="5/16"),((база!$L$6*2*Таблица1[[#This Row],[Столбец1]]*Таблица1[[#This Row],[коэф]])),
IF(OR(G486="4/16",G486="3/16"),((база!$L$5*2*Таблица1[[#This Row],[Столбец1]]*Таблица1[[#This Row],[коэф]])),
IF(OR(G486="2/4",G486="3/4",G486="4/4"),((база!$I$5*2*Таблица1[[#This Row],[Столбец1]]*Таблица1[[#This Row],[коэф]])),
IF((G486="5/8"),((база!$J$6*2*Таблица1[[#This Row],[Столбец1]]*Таблица1[[#This Row],[коэф]])),
IF(OR(G486="4/8",G486="3/8",G486="2/8"),((база!$J$5*2*Таблица1[[#This Row],[Столбец1]]*Таблица1[[#This Row],[коэф]])))))))))))</f>
        <v>0</v>
      </c>
      <c r="AQ486" s="712" t="str">
        <f>IFERROR(INDEX(база!T:T, MATCH(F486,база!Q:Q,0)),"")</f>
        <v/>
      </c>
      <c r="AR486" s="208" t="str">
        <f>IFERROR(INDEX(база!D:D, MATCH(F486,база!B:B,0)),"")</f>
        <v/>
      </c>
      <c r="AS486" s="758" t="str">
        <f>IFERROR(INDEX(база!E:E, MATCH(F486,база!B:B,0)),"")</f>
        <v/>
      </c>
    </row>
    <row r="487" spans="1:45" s="46" customFormat="1" ht="15">
      <c r="A487" s="66" t="str">
        <f t="shared" si="9"/>
        <v>январь</v>
      </c>
      <c r="B487" s="231">
        <v>2024</v>
      </c>
      <c r="C487" s="299"/>
      <c r="D487" s="61"/>
      <c r="E487" s="211"/>
      <c r="F487" s="680"/>
      <c r="G487" s="47"/>
      <c r="H487" s="563"/>
      <c r="I487" s="563"/>
      <c r="J487" s="563"/>
      <c r="K487" s="563"/>
      <c r="L487" s="563"/>
      <c r="M487" s="563"/>
      <c r="N487" s="563"/>
      <c r="O487" s="563"/>
      <c r="P487" s="300"/>
      <c r="Q487" s="563"/>
      <c r="R487" s="563"/>
      <c r="S487" s="563"/>
      <c r="T487" s="563"/>
      <c r="U487" s="563"/>
      <c r="V487" s="563"/>
      <c r="W487" s="563"/>
      <c r="X487" s="563"/>
      <c r="Y487" s="563"/>
      <c r="Z487" s="563"/>
      <c r="AA487" s="563"/>
      <c r="AB487" s="563"/>
      <c r="AC487" s="563"/>
      <c r="AD487" s="563"/>
      <c r="AE487" s="48"/>
      <c r="AF487" s="258"/>
      <c r="AG487" s="48"/>
      <c r="AH487" s="48"/>
      <c r="AI487" s="48"/>
      <c r="AJ487" s="48"/>
      <c r="AK487" s="48"/>
      <c r="AL487" s="51"/>
      <c r="AM487" s="212">
        <f>IF(AQ487=1,SUM(Q487:T487,W487:Z487,AC487:AF487,AI487:AL487),
IF(AQ487=2,SUM(P487,S487:V487,Y487:AB487,AE487:AH487,AK487:AL487),
IF(AQ487=3,SUM(P487:R487,U487:X487,AA487:AD487,AG487:AJ487),SUM(Таблица1[[#This Row],[1]:[31]])-Таблица1[[#This Row],[Столбец1]])))</f>
        <v>0</v>
      </c>
      <c r="AN487" s="778">
        <f t="array" ref="AN487">IF(AQ487=1,SUM(P487,U487:V487,AA487:AB487,AG487:AH487),
IF(AQ487=2,SUM(Q487:R487,W487:X487,AC487:AD487,AI487:AJ487),
IF(AQ487=3,SUM(S487:T487,Y487:Z487,AE487:AF487,AK487:AL487),
SUM(IFERROR(WEEKDAY($H$2:$AL$2,2)&gt;5,)*H487:AL487))))+Таблица1[[#This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87" s="292" t="b">
        <f>IF(AR487&lt;=3,(IF((G487="5/24"),((база!$M$6*Таблица1[[#This Row],[сумма]]*Таблица1[[#This Row],[коэф]])),
IF((G487="4/24"),((база!$M$5*Таблица1[[#This Row],[сумма]]*Таблица1[[#This Row],[коэф]])),
IF((G487="3/24"),((база!$M$4*Таблица1[[#This Row],[сумма]]*Таблица1[[#This Row],[коэф]])),
IF((G487="5/16"),((база!$L$6*Таблица1[[#This Row],[сумма]]*Таблица1[[#This Row],[коэф]])),
IF((G487="4/16"),((база!$L$5*Таблица1[[#This Row],[сумма]]*Таблица1[[#This Row],[коэф]])),
IF((G487="3/16"),((база!$L$4*Таблица1[[#This Row],[сумма]]*Таблица1[[#This Row],[коэф]])),
IF((G487="4/4"),((база!$I$5*Таблица1[[#This Row],[сумма]]*Таблица1[[#This Row],[коэф]])),
IF(OR(G487="2/4",G487="3/4"),((база!$I$4*Таблица1[[#This Row],[сумма]]*Таблица1[[#This Row],[коэф]])),
IF((G487="5/8"),((база!$J$6*Таблица1[[#This Row],[сумма]]*Таблица1[[#This Row],[коэф]])),
IF((G487="4/8"),((база!$J$5*Таблица1[[#This Row],[сумма]]*Таблица1[[#This Row],[коэф]])),
IF(OR(G487="3/8",G487="2/8"),((база!$J$4*Таблица1[[#This Row],[сумма]]*Таблица1[[#This Row],[коэф]])))))))))))))),
(IF((G487="5/24"),((база!$M$6*Таблица1[[#This Row],[сумма]]*Таблица1[[#This Row],[коэф]])),
IF(OR(G487="4/24",G487="3/24"),((база!$M$5*Таблица1[[#This Row],[сумма]]*Таблица1[[#This Row],[коэф]])),
IF((G487="5/16"),((база!$L$6*Таблица1[[#This Row],[сумма]]*Таблица1[[#This Row],[коэф]])),
IF(OR(G487="4/16",G487="3/16"),((база!$L$5*Таблица1[[#This Row],[сумма]]*Таблица1[[#This Row],[коэф]])),
IF(OR(G487="2/4",G487="3/4",G487="4/4"),((база!$I$5*Таблица1[[#This Row],[сумма]]*Таблица1[[#This Row],[коэф]])),
IF((G487="5/8"),((база!$J$6*Таблица1[[#This Row],[сумма]]*Таблица1[[#This Row],[коэф]])),
IF(OR(G487="4/8",G487="3/8",G487="2/8"),((база!$J$5*Таблица1[[#This Row],[сумма]]*Таблица1[[#This Row],[коэф]])))))))))))</f>
        <v>0</v>
      </c>
      <c r="AP487" s="730" t="b">
        <f>IF(AR487&lt;=3,(IF((G487="5/24"),((база!$M$6*2*Таблица1[[#This Row],[Столбец1]]*Таблица1[[#This Row],[коэф]])),
IF((G487="4/24"),((база!$M$5*2*Таблица1[[#This Row],[Столбец1]]*Таблица1[[#This Row],[коэф]])),
IF((G487="3/24"),((база!$M$4*2*Таблица1[[#This Row],[Столбец1]]*Таблица1[[#This Row],[коэф]])),
IF((G487="5/16"),((база!$L$6*2*Таблица1[[#This Row],[Столбец1]]*Таблица1[[#This Row],[коэф]])),
IF((G487="4/16"),((база!$L$5*2*Таблица1[[#This Row],[Столбец1]]*Таблица1[[#This Row],[коэф]])),
IF((G487="3/16"),((база!$L$4*2*Таблица1[[#This Row],[Столбец1]]*Таблица1[[#This Row],[коэф]])),
IF((G487="4/4"),((база!$I$5*2*Таблица1[[#This Row],[Столбец1]]*Таблица1[[#This Row],[коэф]])),
IF(OR(G487="2/4",G487="3/4"),((база!$I$4*2*Таблица1[[#This Row],[Столбец1]]*Таблица1[[#This Row],[коэф]])),
IF((G487="5/8"),((база!$J$6*2*Таблица1[[#This Row],[Столбец1]]*Таблица1[[#This Row],[коэф]])),
IF((G487="4/8"),((база!$J$5*2*Таблица1[[#This Row],[Столбец1]]*Таблица1[[#This Row],[коэф]])),
IF(OR(G487="3/8",G487="2/8"),((база!$J$4*2*Таблица1[[#This Row],[Столбец1]]*Таблица1[[#This Row],[коэф]])))))))))))))),
(IF((G487="5/24"),((база!$M$6*2*Таблица1[[#This Row],[Столбец1]]*Таблица1[[#This Row],[коэф]])),
IF(OR(G487="4/24",G487="3/24"),((база!$M$5*2*Таблица1[[#This Row],[Столбец1]]*Таблица1[[#This Row],[коэф]])),
IF((G487="5/16"),((база!$L$6*2*Таблица1[[#This Row],[Столбец1]]*Таблица1[[#This Row],[коэф]])),
IF(OR(G487="4/16",G487="3/16"),((база!$L$5*2*Таблица1[[#This Row],[Столбец1]]*Таблица1[[#This Row],[коэф]])),
IF(OR(G487="2/4",G487="3/4",G487="4/4"),((база!$I$5*2*Таблица1[[#This Row],[Столбец1]]*Таблица1[[#This Row],[коэф]])),
IF((G487="5/8"),((база!$J$6*2*Таблица1[[#This Row],[Столбец1]]*Таблица1[[#This Row],[коэф]])),
IF(OR(G487="4/8",G487="3/8",G487="2/8"),((база!$J$5*2*Таблица1[[#This Row],[Столбец1]]*Таблица1[[#This Row],[коэф]])))))))))))</f>
        <v>0</v>
      </c>
      <c r="AQ487" s="712" t="str">
        <f>IFERROR(INDEX(база!T:T, MATCH(F487,база!Q:Q,0)),"")</f>
        <v/>
      </c>
      <c r="AR487" s="208" t="str">
        <f>IFERROR(INDEX(база!D:D, MATCH(F487,база!B:B,0)),"")</f>
        <v/>
      </c>
      <c r="AS487" s="758" t="str">
        <f>IFERROR(INDEX(база!E:E, MATCH(F487,база!B:B,0)),"")</f>
        <v/>
      </c>
    </row>
    <row r="488" spans="1:45" s="46" customFormat="1" ht="15">
      <c r="A488" s="66" t="str">
        <f t="shared" si="9"/>
        <v>январь</v>
      </c>
      <c r="B488" s="231">
        <v>2024</v>
      </c>
      <c r="C488" s="299"/>
      <c r="D488" s="61"/>
      <c r="E488" s="211"/>
      <c r="F488" s="680"/>
      <c r="G488" s="47"/>
      <c r="H488" s="563"/>
      <c r="I488" s="563"/>
      <c r="J488" s="563"/>
      <c r="K488" s="563"/>
      <c r="L488" s="563"/>
      <c r="M488" s="563"/>
      <c r="N488" s="563"/>
      <c r="O488" s="563"/>
      <c r="P488" s="300"/>
      <c r="Q488" s="563"/>
      <c r="R488" s="563"/>
      <c r="S488" s="563"/>
      <c r="T488" s="563"/>
      <c r="U488" s="563"/>
      <c r="V488" s="563"/>
      <c r="W488" s="563"/>
      <c r="X488" s="563"/>
      <c r="Y488" s="563"/>
      <c r="Z488" s="563"/>
      <c r="AA488" s="563"/>
      <c r="AB488" s="563"/>
      <c r="AC488" s="563"/>
      <c r="AD488" s="48"/>
      <c r="AE488" s="48"/>
      <c r="AF488" s="258"/>
      <c r="AG488" s="48"/>
      <c r="AH488" s="48"/>
      <c r="AI488" s="258"/>
      <c r="AJ488" s="258"/>
      <c r="AK488" s="258"/>
      <c r="AL488" s="258"/>
      <c r="AM488" s="212">
        <f>IF(AQ488=1,SUM(Q488:T488,W488:Z488,AC488:AF488,AI488:AL488),
IF(AQ488=2,SUM(P488,S488:V488,Y488:AB488,AE488:AH488,AK488:AL488),
IF(AQ488=3,SUM(P488:R488,U488:X488,AA488:AD488,AG488:AJ488),SUM(Таблица1[[#This Row],[1]:[31]])-Таблица1[[#This Row],[Столбец1]])))</f>
        <v>0</v>
      </c>
      <c r="AN488" s="778">
        <f t="array" ref="AN488">IF(AQ488=1,SUM(P488,U488:V488,AA488:AB488,AG488:AH488),
IF(AQ488=2,SUM(Q488:R488,W488:X488,AC488:AD488,AI488:AJ488),
IF(AQ488=3,SUM(S488:T488,Y488:Z488,AE488:AF488,AK488:AL488),
SUM(IFERROR(WEEKDAY($H$2:$AL$2,2)&gt;5,)*H488:AL488))))+Таблица1[[#This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88" s="292" t="b">
        <f>IF(AR488&lt;=3,(IF((G488="5/24"),((база!$M$6*Таблица1[[#This Row],[сумма]]*Таблица1[[#This Row],[коэф]])),
IF((G488="4/24"),((база!$M$5*Таблица1[[#This Row],[сумма]]*Таблица1[[#This Row],[коэф]])),
IF((G488="3/24"),((база!$M$4*Таблица1[[#This Row],[сумма]]*Таблица1[[#This Row],[коэф]])),
IF((G488="5/16"),((база!$L$6*Таблица1[[#This Row],[сумма]]*Таблица1[[#This Row],[коэф]])),
IF((G488="4/16"),((база!$L$5*Таблица1[[#This Row],[сумма]]*Таблица1[[#This Row],[коэф]])),
IF((G488="3/16"),((база!$L$4*Таблица1[[#This Row],[сумма]]*Таблица1[[#This Row],[коэф]])),
IF((G488="4/4"),((база!$I$5*Таблица1[[#This Row],[сумма]]*Таблица1[[#This Row],[коэф]])),
IF(OR(G488="2/4",G488="3/4"),((база!$I$4*Таблица1[[#This Row],[сумма]]*Таблица1[[#This Row],[коэф]])),
IF((G488="5/8"),((база!$J$6*Таблица1[[#This Row],[сумма]]*Таблица1[[#This Row],[коэф]])),
IF((G488="4/8"),((база!$J$5*Таблица1[[#This Row],[сумма]]*Таблица1[[#This Row],[коэф]])),
IF(OR(G488="3/8",G488="2/8"),((база!$J$4*Таблица1[[#This Row],[сумма]]*Таблица1[[#This Row],[коэф]])))))))))))))),
(IF((G488="5/24"),((база!$M$6*Таблица1[[#This Row],[сумма]]*Таблица1[[#This Row],[коэф]])),
IF(OR(G488="4/24",G488="3/24"),((база!$M$5*Таблица1[[#This Row],[сумма]]*Таблица1[[#This Row],[коэф]])),
IF((G488="5/16"),((база!$L$6*Таблица1[[#This Row],[сумма]]*Таблица1[[#This Row],[коэф]])),
IF(OR(G488="4/16",G488="3/16"),((база!$L$5*Таблица1[[#This Row],[сумма]]*Таблица1[[#This Row],[коэф]])),
IF(OR(G488="2/4",G488="3/4",G488="4/4"),((база!$I$5*Таблица1[[#This Row],[сумма]]*Таблица1[[#This Row],[коэф]])),
IF((G488="5/8"),((база!$J$6*Таблица1[[#This Row],[сумма]]*Таблица1[[#This Row],[коэф]])),
IF(OR(G488="4/8",G488="3/8",G488="2/8"),((база!$J$5*Таблица1[[#This Row],[сумма]]*Таблица1[[#This Row],[коэф]])))))))))))</f>
        <v>0</v>
      </c>
      <c r="AP488" s="730" t="b">
        <f>IF(AR488&lt;=3,(IF((G488="5/24"),((база!$M$6*2*Таблица1[[#This Row],[Столбец1]]*Таблица1[[#This Row],[коэф]])),
IF((G488="4/24"),((база!$M$5*2*Таблица1[[#This Row],[Столбец1]]*Таблица1[[#This Row],[коэф]])),
IF((G488="3/24"),((база!$M$4*2*Таблица1[[#This Row],[Столбец1]]*Таблица1[[#This Row],[коэф]])),
IF((G488="5/16"),((база!$L$6*2*Таблица1[[#This Row],[Столбец1]]*Таблица1[[#This Row],[коэф]])),
IF((G488="4/16"),((база!$L$5*2*Таблица1[[#This Row],[Столбец1]]*Таблица1[[#This Row],[коэф]])),
IF((G488="3/16"),((база!$L$4*2*Таблица1[[#This Row],[Столбец1]]*Таблица1[[#This Row],[коэф]])),
IF((G488="4/4"),((база!$I$5*2*Таблица1[[#This Row],[Столбец1]]*Таблица1[[#This Row],[коэф]])),
IF(OR(G488="2/4",G488="3/4"),((база!$I$4*2*Таблица1[[#This Row],[Столбец1]]*Таблица1[[#This Row],[коэф]])),
IF((G488="5/8"),((база!$J$6*2*Таблица1[[#This Row],[Столбец1]]*Таблица1[[#This Row],[коэф]])),
IF((G488="4/8"),((база!$J$5*2*Таблица1[[#This Row],[Столбец1]]*Таблица1[[#This Row],[коэф]])),
IF(OR(G488="3/8",G488="2/8"),((база!$J$4*2*Таблица1[[#This Row],[Столбец1]]*Таблица1[[#This Row],[коэф]])))))))))))))),
(IF((G488="5/24"),((база!$M$6*2*Таблица1[[#This Row],[Столбец1]]*Таблица1[[#This Row],[коэф]])),
IF(OR(G488="4/24",G488="3/24"),((база!$M$5*2*Таблица1[[#This Row],[Столбец1]]*Таблица1[[#This Row],[коэф]])),
IF((G488="5/16"),((база!$L$6*2*Таблица1[[#This Row],[Столбец1]]*Таблица1[[#This Row],[коэф]])),
IF(OR(G488="4/16",G488="3/16"),((база!$L$5*2*Таблица1[[#This Row],[Столбец1]]*Таблица1[[#This Row],[коэф]])),
IF(OR(G488="2/4",G488="3/4",G488="4/4"),((база!$I$5*2*Таблица1[[#This Row],[Столбец1]]*Таблица1[[#This Row],[коэф]])),
IF((G488="5/8"),((база!$J$6*2*Таблица1[[#This Row],[Столбец1]]*Таблица1[[#This Row],[коэф]])),
IF(OR(G488="4/8",G488="3/8",G488="2/8"),((база!$J$5*2*Таблица1[[#This Row],[Столбец1]]*Таблица1[[#This Row],[коэф]])))))))))))</f>
        <v>0</v>
      </c>
      <c r="AQ488" s="712" t="str">
        <f>IFERROR(INDEX(база!T:T, MATCH(F488,база!Q:Q,0)),"")</f>
        <v/>
      </c>
      <c r="AR488" s="208" t="str">
        <f>IFERROR(INDEX(база!D:D, MATCH(F488,база!B:B,0)),"")</f>
        <v/>
      </c>
      <c r="AS488" s="758" t="str">
        <f>IFERROR(INDEX(база!E:E, MATCH(F488,база!B:B,0)),"")</f>
        <v/>
      </c>
    </row>
    <row r="489" spans="1:45" s="46" customFormat="1" ht="15">
      <c r="A489" s="66" t="str">
        <f t="shared" si="9"/>
        <v>январь</v>
      </c>
      <c r="B489" s="231">
        <v>2024</v>
      </c>
      <c r="C489" s="299"/>
      <c r="D489" s="61"/>
      <c r="E489" s="211"/>
      <c r="F489" s="680"/>
      <c r="G489" s="47"/>
      <c r="H489" s="563"/>
      <c r="I489" s="563"/>
      <c r="J489" s="563"/>
      <c r="K489" s="563"/>
      <c r="L489" s="563"/>
      <c r="M489" s="563"/>
      <c r="N489" s="563"/>
      <c r="O489" s="563"/>
      <c r="P489" s="300"/>
      <c r="Q489" s="563"/>
      <c r="R489" s="563"/>
      <c r="S489" s="563"/>
      <c r="T489" s="563"/>
      <c r="U489" s="563"/>
      <c r="V489" s="563"/>
      <c r="W489" s="563"/>
      <c r="X489" s="563"/>
      <c r="Y489" s="563"/>
      <c r="Z489" s="563"/>
      <c r="AA489" s="563"/>
      <c r="AB489" s="563"/>
      <c r="AC489" s="563"/>
      <c r="AD489" s="48"/>
      <c r="AE489" s="48"/>
      <c r="AF489" s="258"/>
      <c r="AG489" s="48"/>
      <c r="AH489" s="48"/>
      <c r="AI489" s="48"/>
      <c r="AJ489" s="48"/>
      <c r="AK489" s="48"/>
      <c r="AL489" s="51"/>
      <c r="AM489" s="212">
        <f>IF(AQ489=1,SUM(Q489:T489,W489:Z489,AC489:AF489,AI489:AL489),
IF(AQ489=2,SUM(P489,S489:V489,Y489:AB489,AE489:AH489,AK489:AL489),
IF(AQ489=3,SUM(P489:R489,U489:X489,AA489:AD489,AG489:AJ489),SUM(Таблица1[[#This Row],[1]:[31]])-Таблица1[[#This Row],[Столбец1]])))</f>
        <v>0</v>
      </c>
      <c r="AN489" s="778">
        <f t="array" ref="AN489">IF(AQ489=1,SUM(P489,U489:V489,AA489:AB489,AG489:AH489),
IF(AQ489=2,SUM(Q489:R489,W489:X489,AC489:AD489,AI489:AJ489),
IF(AQ489=3,SUM(S489:T489,Y489:Z489,AE489:AF489,AK489:AL489),
SUM(IFERROR(WEEKDAY($H$2:$AL$2,2)&gt;5,)*H489:AL489))))+Таблица1[[#This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89" s="292" t="b">
        <f>IF(AR489&lt;=3,(IF((G489="5/24"),((база!$M$6*Таблица1[[#This Row],[сумма]]*Таблица1[[#This Row],[коэф]])),
IF((G489="4/24"),((база!$M$5*Таблица1[[#This Row],[сумма]]*Таблица1[[#This Row],[коэф]])),
IF((G489="3/24"),((база!$M$4*Таблица1[[#This Row],[сумма]]*Таблица1[[#This Row],[коэф]])),
IF((G489="5/16"),((база!$L$6*Таблица1[[#This Row],[сумма]]*Таблица1[[#This Row],[коэф]])),
IF((G489="4/16"),((база!$L$5*Таблица1[[#This Row],[сумма]]*Таблица1[[#This Row],[коэф]])),
IF((G489="3/16"),((база!$L$4*Таблица1[[#This Row],[сумма]]*Таблица1[[#This Row],[коэф]])),
IF((G489="4/4"),((база!$I$5*Таблица1[[#This Row],[сумма]]*Таблица1[[#This Row],[коэф]])),
IF(OR(G489="2/4",G489="3/4"),((база!$I$4*Таблица1[[#This Row],[сумма]]*Таблица1[[#This Row],[коэф]])),
IF((G489="5/8"),((база!$J$6*Таблица1[[#This Row],[сумма]]*Таблица1[[#This Row],[коэф]])),
IF((G489="4/8"),((база!$J$5*Таблица1[[#This Row],[сумма]]*Таблица1[[#This Row],[коэф]])),
IF(OR(G489="3/8",G489="2/8"),((база!$J$4*Таблица1[[#This Row],[сумма]]*Таблица1[[#This Row],[коэф]])))))))))))))),
(IF((G489="5/24"),((база!$M$6*Таблица1[[#This Row],[сумма]]*Таблица1[[#This Row],[коэф]])),
IF(OR(G489="4/24",G489="3/24"),((база!$M$5*Таблица1[[#This Row],[сумма]]*Таблица1[[#This Row],[коэф]])),
IF((G489="5/16"),((база!$L$6*Таблица1[[#This Row],[сумма]]*Таблица1[[#This Row],[коэф]])),
IF(OR(G489="4/16",G489="3/16"),((база!$L$5*Таблица1[[#This Row],[сумма]]*Таблица1[[#This Row],[коэф]])),
IF(OR(G489="2/4",G489="3/4",G489="4/4"),((база!$I$5*Таблица1[[#This Row],[сумма]]*Таблица1[[#This Row],[коэф]])),
IF((G489="5/8"),((база!$J$6*Таблица1[[#This Row],[сумма]]*Таблица1[[#This Row],[коэф]])),
IF(OR(G489="4/8",G489="3/8",G489="2/8"),((база!$J$5*Таблица1[[#This Row],[сумма]]*Таблица1[[#This Row],[коэф]])))))))))))</f>
        <v>0</v>
      </c>
      <c r="AP489" s="730" t="b">
        <f>IF(AR489&lt;=3,(IF((G489="5/24"),((база!$M$6*2*Таблица1[[#This Row],[Столбец1]]*Таблица1[[#This Row],[коэф]])),
IF((G489="4/24"),((база!$M$5*2*Таблица1[[#This Row],[Столбец1]]*Таблица1[[#This Row],[коэф]])),
IF((G489="3/24"),((база!$M$4*2*Таблица1[[#This Row],[Столбец1]]*Таблица1[[#This Row],[коэф]])),
IF((G489="5/16"),((база!$L$6*2*Таблица1[[#This Row],[Столбец1]]*Таблица1[[#This Row],[коэф]])),
IF((G489="4/16"),((база!$L$5*2*Таблица1[[#This Row],[Столбец1]]*Таблица1[[#This Row],[коэф]])),
IF((G489="3/16"),((база!$L$4*2*Таблица1[[#This Row],[Столбец1]]*Таблица1[[#This Row],[коэф]])),
IF((G489="4/4"),((база!$I$5*2*Таблица1[[#This Row],[Столбец1]]*Таблица1[[#This Row],[коэф]])),
IF(OR(G489="2/4",G489="3/4"),((база!$I$4*2*Таблица1[[#This Row],[Столбец1]]*Таблица1[[#This Row],[коэф]])),
IF((G489="5/8"),((база!$J$6*2*Таблица1[[#This Row],[Столбец1]]*Таблица1[[#This Row],[коэф]])),
IF((G489="4/8"),((база!$J$5*2*Таблица1[[#This Row],[Столбец1]]*Таблица1[[#This Row],[коэф]])),
IF(OR(G489="3/8",G489="2/8"),((база!$J$4*2*Таблица1[[#This Row],[Столбец1]]*Таблица1[[#This Row],[коэф]])))))))))))))),
(IF((G489="5/24"),((база!$M$6*2*Таблица1[[#This Row],[Столбец1]]*Таблица1[[#This Row],[коэф]])),
IF(OR(G489="4/24",G489="3/24"),((база!$M$5*2*Таблица1[[#This Row],[Столбец1]]*Таблица1[[#This Row],[коэф]])),
IF((G489="5/16"),((база!$L$6*2*Таблица1[[#This Row],[Столбец1]]*Таблица1[[#This Row],[коэф]])),
IF(OR(G489="4/16",G489="3/16"),((база!$L$5*2*Таблица1[[#This Row],[Столбец1]]*Таблица1[[#This Row],[коэф]])),
IF(OR(G489="2/4",G489="3/4",G489="4/4"),((база!$I$5*2*Таблица1[[#This Row],[Столбец1]]*Таблица1[[#This Row],[коэф]])),
IF((G489="5/8"),((база!$J$6*2*Таблица1[[#This Row],[Столбец1]]*Таблица1[[#This Row],[коэф]])),
IF(OR(G489="4/8",G489="3/8",G489="2/8"),((база!$J$5*2*Таблица1[[#This Row],[Столбец1]]*Таблица1[[#This Row],[коэф]])))))))))))</f>
        <v>0</v>
      </c>
      <c r="AQ489" s="712" t="str">
        <f>IFERROR(INDEX(база!T:T, MATCH(F489,база!Q:Q,0)),"")</f>
        <v/>
      </c>
      <c r="AR489" s="208" t="str">
        <f>IFERROR(INDEX(база!D:D, MATCH(F489,база!B:B,0)),"")</f>
        <v/>
      </c>
      <c r="AS489" s="758" t="str">
        <f>IFERROR(INDEX(база!E:E, MATCH(F489,база!B:B,0)),"")</f>
        <v/>
      </c>
    </row>
    <row r="490" spans="1:45" s="46" customFormat="1" ht="15">
      <c r="A490" s="66" t="str">
        <f t="shared" si="9"/>
        <v>январь</v>
      </c>
      <c r="B490" s="231">
        <v>2024</v>
      </c>
      <c r="C490" s="299"/>
      <c r="D490" s="61"/>
      <c r="E490" s="211"/>
      <c r="F490" s="680"/>
      <c r="G490" s="47"/>
      <c r="H490" s="563"/>
      <c r="I490" s="563"/>
      <c r="J490" s="563"/>
      <c r="K490" s="563"/>
      <c r="L490" s="563"/>
      <c r="M490" s="563"/>
      <c r="N490" s="563"/>
      <c r="O490" s="563"/>
      <c r="P490" s="300"/>
      <c r="Q490" s="563"/>
      <c r="R490" s="563"/>
      <c r="S490" s="563"/>
      <c r="T490" s="563"/>
      <c r="U490" s="563"/>
      <c r="V490" s="563"/>
      <c r="W490" s="563"/>
      <c r="X490" s="563"/>
      <c r="Y490" s="563"/>
      <c r="Z490" s="563"/>
      <c r="AA490" s="563"/>
      <c r="AB490" s="563"/>
      <c r="AC490" s="563"/>
      <c r="AD490" s="48"/>
      <c r="AE490" s="48"/>
      <c r="AF490" s="48"/>
      <c r="AG490" s="48"/>
      <c r="AH490" s="48"/>
      <c r="AI490" s="258"/>
      <c r="AJ490" s="258"/>
      <c r="AK490" s="258"/>
      <c r="AL490" s="258"/>
      <c r="AM490" s="212">
        <f>IF(AQ490=1,SUM(Q490:T490,W490:Z490,AC490:AF490,AI490:AL490),
IF(AQ490=2,SUM(P490,S490:V490,Y490:AB490,AE490:AH490,AK490:AL490),
IF(AQ490=3,SUM(P490:R490,U490:X490,AA490:AD490,AG490:AJ490),SUM(Таблица1[[#This Row],[1]:[31]])-Таблица1[[#This Row],[Столбец1]])))</f>
        <v>0</v>
      </c>
      <c r="AN490" s="778">
        <f t="array" ref="AN490">IF(AQ490=1,SUM(P490,U490:V490,AA490:AB490,AG490:AH490),
IF(AQ490=2,SUM(Q490:R490,W490:X490,AC490:AD490,AI490:AJ490),
IF(AQ490=3,SUM(S490:T490,Y490:Z490,AE490:AF490,AK490:AL490),
SUM(IFERROR(WEEKDAY($H$2:$AL$2,2)&gt;5,)*H490:AL490))))+Таблица1[[#This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90" s="292" t="b">
        <f>IF(AR490&lt;=3,(IF((G490="5/24"),((база!$M$6*Таблица1[[#This Row],[сумма]]*Таблица1[[#This Row],[коэф]])),
IF((G490="4/24"),((база!$M$5*Таблица1[[#This Row],[сумма]]*Таблица1[[#This Row],[коэф]])),
IF((G490="3/24"),((база!$M$4*Таблица1[[#This Row],[сумма]]*Таблица1[[#This Row],[коэф]])),
IF((G490="5/16"),((база!$L$6*Таблица1[[#This Row],[сумма]]*Таблица1[[#This Row],[коэф]])),
IF((G490="4/16"),((база!$L$5*Таблица1[[#This Row],[сумма]]*Таблица1[[#This Row],[коэф]])),
IF((G490="3/16"),((база!$L$4*Таблица1[[#This Row],[сумма]]*Таблица1[[#This Row],[коэф]])),
IF((G490="4/4"),((база!$I$5*Таблица1[[#This Row],[сумма]]*Таблица1[[#This Row],[коэф]])),
IF(OR(G490="2/4",G490="3/4"),((база!$I$4*Таблица1[[#This Row],[сумма]]*Таблица1[[#This Row],[коэф]])),
IF((G490="5/8"),((база!$J$6*Таблица1[[#This Row],[сумма]]*Таблица1[[#This Row],[коэф]])),
IF((G490="4/8"),((база!$J$5*Таблица1[[#This Row],[сумма]]*Таблица1[[#This Row],[коэф]])),
IF(OR(G490="3/8",G490="2/8"),((база!$J$4*Таблица1[[#This Row],[сумма]]*Таблица1[[#This Row],[коэф]])))))))))))))),
(IF((G490="5/24"),((база!$M$6*Таблица1[[#This Row],[сумма]]*Таблица1[[#This Row],[коэф]])),
IF(OR(G490="4/24",G490="3/24"),((база!$M$5*Таблица1[[#This Row],[сумма]]*Таблица1[[#This Row],[коэф]])),
IF((G490="5/16"),((база!$L$6*Таблица1[[#This Row],[сумма]]*Таблица1[[#This Row],[коэф]])),
IF(OR(G490="4/16",G490="3/16"),((база!$L$5*Таблица1[[#This Row],[сумма]]*Таблица1[[#This Row],[коэф]])),
IF(OR(G490="2/4",G490="3/4",G490="4/4"),((база!$I$5*Таблица1[[#This Row],[сумма]]*Таблица1[[#This Row],[коэф]])),
IF((G490="5/8"),((база!$J$6*Таблица1[[#This Row],[сумма]]*Таблица1[[#This Row],[коэф]])),
IF(OR(G490="4/8",G490="3/8",G490="2/8"),((база!$J$5*Таблица1[[#This Row],[сумма]]*Таблица1[[#This Row],[коэф]])))))))))))</f>
        <v>0</v>
      </c>
      <c r="AP490" s="730" t="b">
        <f>IF(AR490&lt;=3,(IF((G490="5/24"),((база!$M$6*2*Таблица1[[#This Row],[Столбец1]]*Таблица1[[#This Row],[коэф]])),
IF((G490="4/24"),((база!$M$5*2*Таблица1[[#This Row],[Столбец1]]*Таблица1[[#This Row],[коэф]])),
IF((G490="3/24"),((база!$M$4*2*Таблица1[[#This Row],[Столбец1]]*Таблица1[[#This Row],[коэф]])),
IF((G490="5/16"),((база!$L$6*2*Таблица1[[#This Row],[Столбец1]]*Таблица1[[#This Row],[коэф]])),
IF((G490="4/16"),((база!$L$5*2*Таблица1[[#This Row],[Столбец1]]*Таблица1[[#This Row],[коэф]])),
IF((G490="3/16"),((база!$L$4*2*Таблица1[[#This Row],[Столбец1]]*Таблица1[[#This Row],[коэф]])),
IF((G490="4/4"),((база!$I$5*2*Таблица1[[#This Row],[Столбец1]]*Таблица1[[#This Row],[коэф]])),
IF(OR(G490="2/4",G490="3/4"),((база!$I$4*2*Таблица1[[#This Row],[Столбец1]]*Таблица1[[#This Row],[коэф]])),
IF((G490="5/8"),((база!$J$6*2*Таблица1[[#This Row],[Столбец1]]*Таблица1[[#This Row],[коэф]])),
IF((G490="4/8"),((база!$J$5*2*Таблица1[[#This Row],[Столбец1]]*Таблица1[[#This Row],[коэф]])),
IF(OR(G490="3/8",G490="2/8"),((база!$J$4*2*Таблица1[[#This Row],[Столбец1]]*Таблица1[[#This Row],[коэф]])))))))))))))),
(IF((G490="5/24"),((база!$M$6*2*Таблица1[[#This Row],[Столбец1]]*Таблица1[[#This Row],[коэф]])),
IF(OR(G490="4/24",G490="3/24"),((база!$M$5*2*Таблица1[[#This Row],[Столбец1]]*Таблица1[[#This Row],[коэф]])),
IF((G490="5/16"),((база!$L$6*2*Таблица1[[#This Row],[Столбец1]]*Таблица1[[#This Row],[коэф]])),
IF(OR(G490="4/16",G490="3/16"),((база!$L$5*2*Таблица1[[#This Row],[Столбец1]]*Таблица1[[#This Row],[коэф]])),
IF(OR(G490="2/4",G490="3/4",G490="4/4"),((база!$I$5*2*Таблица1[[#This Row],[Столбец1]]*Таблица1[[#This Row],[коэф]])),
IF((G490="5/8"),((база!$J$6*2*Таблица1[[#This Row],[Столбец1]]*Таблица1[[#This Row],[коэф]])),
IF(OR(G490="4/8",G490="3/8",G490="2/8"),((база!$J$5*2*Таблица1[[#This Row],[Столбец1]]*Таблица1[[#This Row],[коэф]])))))))))))</f>
        <v>0</v>
      </c>
      <c r="AQ490" s="712" t="str">
        <f>IFERROR(INDEX(база!T:T, MATCH(F490,база!Q:Q,0)),"")</f>
        <v/>
      </c>
      <c r="AR490" s="208" t="str">
        <f>IFERROR(INDEX(база!D:D, MATCH(F490,база!B:B,0)),"")</f>
        <v/>
      </c>
      <c r="AS490" s="758" t="str">
        <f>IFERROR(INDEX(база!E:E, MATCH(F490,база!B:B,0)),"")</f>
        <v/>
      </c>
    </row>
    <row r="491" spans="1:45" s="46" customFormat="1" ht="15">
      <c r="A491" s="66" t="str">
        <f t="shared" si="9"/>
        <v>январь</v>
      </c>
      <c r="B491" s="231">
        <v>2024</v>
      </c>
      <c r="C491" s="299"/>
      <c r="D491" s="61"/>
      <c r="E491" s="211"/>
      <c r="F491" s="680"/>
      <c r="G491" s="47"/>
      <c r="H491" s="563"/>
      <c r="I491" s="563"/>
      <c r="J491" s="563"/>
      <c r="K491" s="563"/>
      <c r="L491" s="563"/>
      <c r="M491" s="563"/>
      <c r="N491" s="563"/>
      <c r="O491" s="563"/>
      <c r="P491" s="300"/>
      <c r="Q491" s="563"/>
      <c r="R491" s="563"/>
      <c r="S491" s="563"/>
      <c r="T491" s="563"/>
      <c r="U491" s="563"/>
      <c r="V491" s="563"/>
      <c r="W491" s="563"/>
      <c r="X491" s="563"/>
      <c r="Y491" s="563"/>
      <c r="Z491" s="563"/>
      <c r="AA491" s="563"/>
      <c r="AB491" s="563"/>
      <c r="AC491" s="563"/>
      <c r="AD491" s="48"/>
      <c r="AE491" s="48"/>
      <c r="AF491" s="258"/>
      <c r="AG491" s="48"/>
      <c r="AH491" s="48"/>
      <c r="AI491" s="48"/>
      <c r="AJ491" s="48"/>
      <c r="AK491" s="48"/>
      <c r="AL491" s="48"/>
      <c r="AM491" s="212">
        <f>IF(AQ491=1,SUM(Q491:T491,W491:Z491,AC491:AF491,AI491:AL491),
IF(AQ491=2,SUM(P491,S491:V491,Y491:AB491,AE491:AH491,AK491:AL491),
IF(AQ491=3,SUM(P491:R491,U491:X491,AA491:AD491,AG491:AJ491),SUM(Таблица1[[#This Row],[1]:[31]])-Таблица1[[#This Row],[Столбец1]])))</f>
        <v>0</v>
      </c>
      <c r="AN491" s="778">
        <f t="array" ref="AN491">IF(AQ491=1,SUM(P491,U491:V491,AA491:AB491,AG491:AH491),
IF(AQ491=2,SUM(Q491:R491,W491:X491,AC491:AD491,AI491:AJ491),
IF(AQ491=3,SUM(S491:T491,Y491:Z491,AE491:AF491,AK491:AL491),
SUM(IFERROR(WEEKDAY($H$2:$AL$2,2)&gt;5,)*H491:AL491))))+Таблица1[[#This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91" s="292" t="b">
        <f>IF(AR491&lt;=3,(IF((G491="5/24"),((база!$M$6*Таблица1[[#This Row],[сумма]]*Таблица1[[#This Row],[коэф]])),
IF((G491="4/24"),((база!$M$5*Таблица1[[#This Row],[сумма]]*Таблица1[[#This Row],[коэф]])),
IF((G491="3/24"),((база!$M$4*Таблица1[[#This Row],[сумма]]*Таблица1[[#This Row],[коэф]])),
IF((G491="5/16"),((база!$L$6*Таблица1[[#This Row],[сумма]]*Таблица1[[#This Row],[коэф]])),
IF((G491="4/16"),((база!$L$5*Таблица1[[#This Row],[сумма]]*Таблица1[[#This Row],[коэф]])),
IF((G491="3/16"),((база!$L$4*Таблица1[[#This Row],[сумма]]*Таблица1[[#This Row],[коэф]])),
IF((G491="4/4"),((база!$I$5*Таблица1[[#This Row],[сумма]]*Таблица1[[#This Row],[коэф]])),
IF(OR(G491="2/4",G491="3/4"),((база!$I$4*Таблица1[[#This Row],[сумма]]*Таблица1[[#This Row],[коэф]])),
IF((G491="5/8"),((база!$J$6*Таблица1[[#This Row],[сумма]]*Таблица1[[#This Row],[коэф]])),
IF((G491="4/8"),((база!$J$5*Таблица1[[#This Row],[сумма]]*Таблица1[[#This Row],[коэф]])),
IF(OR(G491="3/8",G491="2/8"),((база!$J$4*Таблица1[[#This Row],[сумма]]*Таблица1[[#This Row],[коэф]])))))))))))))),
(IF((G491="5/24"),((база!$M$6*Таблица1[[#This Row],[сумма]]*Таблица1[[#This Row],[коэф]])),
IF(OR(G491="4/24",G491="3/24"),((база!$M$5*Таблица1[[#This Row],[сумма]]*Таблица1[[#This Row],[коэф]])),
IF((G491="5/16"),((база!$L$6*Таблица1[[#This Row],[сумма]]*Таблица1[[#This Row],[коэф]])),
IF(OR(G491="4/16",G491="3/16"),((база!$L$5*Таблица1[[#This Row],[сумма]]*Таблица1[[#This Row],[коэф]])),
IF(OR(G491="2/4",G491="3/4",G491="4/4"),((база!$I$5*Таблица1[[#This Row],[сумма]]*Таблица1[[#This Row],[коэф]])),
IF((G491="5/8"),((база!$J$6*Таблица1[[#This Row],[сумма]]*Таблица1[[#This Row],[коэф]])),
IF(OR(G491="4/8",G491="3/8",G491="2/8"),((база!$J$5*Таблица1[[#This Row],[сумма]]*Таблица1[[#This Row],[коэф]])))))))))))</f>
        <v>0</v>
      </c>
      <c r="AP491" s="730" t="b">
        <f>IF(AR491&lt;=3,(IF((G491="5/24"),((база!$M$6*2*Таблица1[[#This Row],[Столбец1]]*Таблица1[[#This Row],[коэф]])),
IF((G491="4/24"),((база!$M$5*2*Таблица1[[#This Row],[Столбец1]]*Таблица1[[#This Row],[коэф]])),
IF((G491="3/24"),((база!$M$4*2*Таблица1[[#This Row],[Столбец1]]*Таблица1[[#This Row],[коэф]])),
IF((G491="5/16"),((база!$L$6*2*Таблица1[[#This Row],[Столбец1]]*Таблица1[[#This Row],[коэф]])),
IF((G491="4/16"),((база!$L$5*2*Таблица1[[#This Row],[Столбец1]]*Таблица1[[#This Row],[коэф]])),
IF((G491="3/16"),((база!$L$4*2*Таблица1[[#This Row],[Столбец1]]*Таблица1[[#This Row],[коэф]])),
IF((G491="4/4"),((база!$I$5*2*Таблица1[[#This Row],[Столбец1]]*Таблица1[[#This Row],[коэф]])),
IF(OR(G491="2/4",G491="3/4"),((база!$I$4*2*Таблица1[[#This Row],[Столбец1]]*Таблица1[[#This Row],[коэф]])),
IF((G491="5/8"),((база!$J$6*2*Таблица1[[#This Row],[Столбец1]]*Таблица1[[#This Row],[коэф]])),
IF((G491="4/8"),((база!$J$5*2*Таблица1[[#This Row],[Столбец1]]*Таблица1[[#This Row],[коэф]])),
IF(OR(G491="3/8",G491="2/8"),((база!$J$4*2*Таблица1[[#This Row],[Столбец1]]*Таблица1[[#This Row],[коэф]])))))))))))))),
(IF((G491="5/24"),((база!$M$6*2*Таблица1[[#This Row],[Столбец1]]*Таблица1[[#This Row],[коэф]])),
IF(OR(G491="4/24",G491="3/24"),((база!$M$5*2*Таблица1[[#This Row],[Столбец1]]*Таблица1[[#This Row],[коэф]])),
IF((G491="5/16"),((база!$L$6*2*Таблица1[[#This Row],[Столбец1]]*Таблица1[[#This Row],[коэф]])),
IF(OR(G491="4/16",G491="3/16"),((база!$L$5*2*Таблица1[[#This Row],[Столбец1]]*Таблица1[[#This Row],[коэф]])),
IF(OR(G491="2/4",G491="3/4",G491="4/4"),((база!$I$5*2*Таблица1[[#This Row],[Столбец1]]*Таблица1[[#This Row],[коэф]])),
IF((G491="5/8"),((база!$J$6*2*Таблица1[[#This Row],[Столбец1]]*Таблица1[[#This Row],[коэф]])),
IF(OR(G491="4/8",G491="3/8",G491="2/8"),((база!$J$5*2*Таблица1[[#This Row],[Столбец1]]*Таблица1[[#This Row],[коэф]])))))))))))</f>
        <v>0</v>
      </c>
      <c r="AQ491" s="712" t="str">
        <f>IFERROR(INDEX(база!T:T, MATCH(F491,база!Q:Q,0)),"")</f>
        <v/>
      </c>
      <c r="AR491" s="208" t="str">
        <f>IFERROR(INDEX(база!D:D, MATCH(F491,база!B:B,0)),"")</f>
        <v/>
      </c>
      <c r="AS491" s="758" t="str">
        <f>IFERROR(INDEX(база!E:E, MATCH(F491,база!B:B,0)),"")</f>
        <v/>
      </c>
    </row>
    <row r="492" spans="1:45" s="46" customFormat="1" ht="15">
      <c r="A492" s="66" t="str">
        <f t="shared" si="9"/>
        <v>январь</v>
      </c>
      <c r="B492" s="231">
        <v>2024</v>
      </c>
      <c r="C492" s="299"/>
      <c r="D492" s="61"/>
      <c r="E492" s="211"/>
      <c r="F492" s="680"/>
      <c r="G492" s="47"/>
      <c r="H492" s="563"/>
      <c r="I492" s="563"/>
      <c r="J492" s="563"/>
      <c r="K492" s="563"/>
      <c r="L492" s="563"/>
      <c r="M492" s="563"/>
      <c r="N492" s="563"/>
      <c r="O492" s="563"/>
      <c r="P492" s="300"/>
      <c r="Q492" s="563"/>
      <c r="R492" s="563"/>
      <c r="S492" s="563"/>
      <c r="T492" s="563"/>
      <c r="U492" s="563"/>
      <c r="V492" s="563"/>
      <c r="W492" s="563"/>
      <c r="X492" s="563"/>
      <c r="Y492" s="563"/>
      <c r="Z492" s="563"/>
      <c r="AA492" s="563"/>
      <c r="AB492" s="563"/>
      <c r="AC492" s="563"/>
      <c r="AD492" s="48"/>
      <c r="AE492" s="48"/>
      <c r="AF492" s="258"/>
      <c r="AG492" s="48"/>
      <c r="AH492" s="48"/>
      <c r="AI492" s="258"/>
      <c r="AJ492" s="258"/>
      <c r="AK492" s="258"/>
      <c r="AL492" s="258"/>
      <c r="AM492" s="212">
        <f>IF(AQ492=1,SUM(Q492:T492,W492:Z492,AC492:AF492,AI492:AL492),
IF(AQ492=2,SUM(P492,S492:V492,Y492:AB492,AE492:AH492,AK492:AL492),
IF(AQ492=3,SUM(P492:R492,U492:X492,AA492:AD492,AG492:AJ492),SUM(Таблица1[[#This Row],[1]:[31]])-Таблица1[[#This Row],[Столбец1]])))</f>
        <v>0</v>
      </c>
      <c r="AN492" s="778">
        <f t="array" ref="AN492">IF(AQ492=1,SUM(P492,U492:V492,AA492:AB492,AG492:AH492),
IF(AQ492=2,SUM(Q492:R492,W492:X492,AC492:AD492,AI492:AJ492),
IF(AQ492=3,SUM(S492:T492,Y492:Z492,AE492:AF492,AK492:AL492),
SUM(IFERROR(WEEKDAY($H$2:$AL$2,2)&gt;5,)*H492:AL492))))+Таблица1[[#This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92" s="292" t="b">
        <f>IF(AR492&lt;=3,(IF((G492="5/24"),((база!$M$6*Таблица1[[#This Row],[сумма]]*Таблица1[[#This Row],[коэф]])),
IF((G492="4/24"),((база!$M$5*Таблица1[[#This Row],[сумма]]*Таблица1[[#This Row],[коэф]])),
IF((G492="3/24"),((база!$M$4*Таблица1[[#This Row],[сумма]]*Таблица1[[#This Row],[коэф]])),
IF((G492="5/16"),((база!$L$6*Таблица1[[#This Row],[сумма]]*Таблица1[[#This Row],[коэф]])),
IF((G492="4/16"),((база!$L$5*Таблица1[[#This Row],[сумма]]*Таблица1[[#This Row],[коэф]])),
IF((G492="3/16"),((база!$L$4*Таблица1[[#This Row],[сумма]]*Таблица1[[#This Row],[коэф]])),
IF((G492="4/4"),((база!$I$5*Таблица1[[#This Row],[сумма]]*Таблица1[[#This Row],[коэф]])),
IF(OR(G492="2/4",G492="3/4"),((база!$I$4*Таблица1[[#This Row],[сумма]]*Таблица1[[#This Row],[коэф]])),
IF((G492="5/8"),((база!$J$6*Таблица1[[#This Row],[сумма]]*Таблица1[[#This Row],[коэф]])),
IF((G492="4/8"),((база!$J$5*Таблица1[[#This Row],[сумма]]*Таблица1[[#This Row],[коэф]])),
IF(OR(G492="3/8",G492="2/8"),((база!$J$4*Таблица1[[#This Row],[сумма]]*Таблица1[[#This Row],[коэф]])))))))))))))),
(IF((G492="5/24"),((база!$M$6*Таблица1[[#This Row],[сумма]]*Таблица1[[#This Row],[коэф]])),
IF(OR(G492="4/24",G492="3/24"),((база!$M$5*Таблица1[[#This Row],[сумма]]*Таблица1[[#This Row],[коэф]])),
IF((G492="5/16"),((база!$L$6*Таблица1[[#This Row],[сумма]]*Таблица1[[#This Row],[коэф]])),
IF(OR(G492="4/16",G492="3/16"),((база!$L$5*Таблица1[[#This Row],[сумма]]*Таблица1[[#This Row],[коэф]])),
IF(OR(G492="2/4",G492="3/4",G492="4/4"),((база!$I$5*Таблица1[[#This Row],[сумма]]*Таблица1[[#This Row],[коэф]])),
IF((G492="5/8"),((база!$J$6*Таблица1[[#This Row],[сумма]]*Таблица1[[#This Row],[коэф]])),
IF(OR(G492="4/8",G492="3/8",G492="2/8"),((база!$J$5*Таблица1[[#This Row],[сумма]]*Таблица1[[#This Row],[коэф]])))))))))))</f>
        <v>0</v>
      </c>
      <c r="AP492" s="730" t="b">
        <f>IF(AR492&lt;=3,(IF((G492="5/24"),((база!$M$6*2*Таблица1[[#This Row],[Столбец1]]*Таблица1[[#This Row],[коэф]])),
IF((G492="4/24"),((база!$M$5*2*Таблица1[[#This Row],[Столбец1]]*Таблица1[[#This Row],[коэф]])),
IF((G492="3/24"),((база!$M$4*2*Таблица1[[#This Row],[Столбец1]]*Таблица1[[#This Row],[коэф]])),
IF((G492="5/16"),((база!$L$6*2*Таблица1[[#This Row],[Столбец1]]*Таблица1[[#This Row],[коэф]])),
IF((G492="4/16"),((база!$L$5*2*Таблица1[[#This Row],[Столбец1]]*Таблица1[[#This Row],[коэф]])),
IF((G492="3/16"),((база!$L$4*2*Таблица1[[#This Row],[Столбец1]]*Таблица1[[#This Row],[коэф]])),
IF((G492="4/4"),((база!$I$5*2*Таблица1[[#This Row],[Столбец1]]*Таблица1[[#This Row],[коэф]])),
IF(OR(G492="2/4",G492="3/4"),((база!$I$4*2*Таблица1[[#This Row],[Столбец1]]*Таблица1[[#This Row],[коэф]])),
IF((G492="5/8"),((база!$J$6*2*Таблица1[[#This Row],[Столбец1]]*Таблица1[[#This Row],[коэф]])),
IF((G492="4/8"),((база!$J$5*2*Таблица1[[#This Row],[Столбец1]]*Таблица1[[#This Row],[коэф]])),
IF(OR(G492="3/8",G492="2/8"),((база!$J$4*2*Таблица1[[#This Row],[Столбец1]]*Таблица1[[#This Row],[коэф]])))))))))))))),
(IF((G492="5/24"),((база!$M$6*2*Таблица1[[#This Row],[Столбец1]]*Таблица1[[#This Row],[коэф]])),
IF(OR(G492="4/24",G492="3/24"),((база!$M$5*2*Таблица1[[#This Row],[Столбец1]]*Таблица1[[#This Row],[коэф]])),
IF((G492="5/16"),((база!$L$6*2*Таблица1[[#This Row],[Столбец1]]*Таблица1[[#This Row],[коэф]])),
IF(OR(G492="4/16",G492="3/16"),((база!$L$5*2*Таблица1[[#This Row],[Столбец1]]*Таблица1[[#This Row],[коэф]])),
IF(OR(G492="2/4",G492="3/4",G492="4/4"),((база!$I$5*2*Таблица1[[#This Row],[Столбец1]]*Таблица1[[#This Row],[коэф]])),
IF((G492="5/8"),((база!$J$6*2*Таблица1[[#This Row],[Столбец1]]*Таблица1[[#This Row],[коэф]])),
IF(OR(G492="4/8",G492="3/8",G492="2/8"),((база!$J$5*2*Таблица1[[#This Row],[Столбец1]]*Таблица1[[#This Row],[коэф]])))))))))))</f>
        <v>0</v>
      </c>
      <c r="AQ492" s="712" t="str">
        <f>IFERROR(INDEX(база!T:T, MATCH(F492,база!Q:Q,0)),"")</f>
        <v/>
      </c>
      <c r="AR492" s="208" t="str">
        <f>IFERROR(INDEX(база!D:D, MATCH(F492,база!B:B,0)),"")</f>
        <v/>
      </c>
      <c r="AS492" s="758" t="str">
        <f>IFERROR(INDEX(база!E:E, MATCH(F492,база!B:B,0)),"")</f>
        <v/>
      </c>
    </row>
    <row r="493" spans="1:45" s="46" customFormat="1" ht="15">
      <c r="A493" s="66" t="str">
        <f t="shared" si="9"/>
        <v>январь</v>
      </c>
      <c r="B493" s="231">
        <v>2024</v>
      </c>
      <c r="C493" s="299"/>
      <c r="D493" s="61"/>
      <c r="E493" s="211"/>
      <c r="F493" s="680"/>
      <c r="G493" s="47"/>
      <c r="H493" s="563"/>
      <c r="I493" s="563"/>
      <c r="J493" s="563"/>
      <c r="K493" s="563"/>
      <c r="L493" s="563"/>
      <c r="M493" s="563"/>
      <c r="N493" s="563"/>
      <c r="O493" s="563"/>
      <c r="P493" s="300"/>
      <c r="Q493" s="563"/>
      <c r="R493" s="563"/>
      <c r="S493" s="563"/>
      <c r="T493" s="563"/>
      <c r="U493" s="563"/>
      <c r="V493" s="563"/>
      <c r="W493" s="563"/>
      <c r="X493" s="563"/>
      <c r="Y493" s="563"/>
      <c r="Z493" s="563"/>
      <c r="AA493" s="563"/>
      <c r="AB493" s="563"/>
      <c r="AC493" s="563"/>
      <c r="AD493" s="48"/>
      <c r="AE493" s="48"/>
      <c r="AF493" s="258"/>
      <c r="AG493" s="48"/>
      <c r="AH493" s="48"/>
      <c r="AI493" s="48"/>
      <c r="AJ493" s="48"/>
      <c r="AK493" s="48"/>
      <c r="AL493" s="51"/>
      <c r="AM493" s="212">
        <f>IF(AQ493=1,SUM(Q493:T493,W493:Z493,AC493:AF493,AI493:AL493),
IF(AQ493=2,SUM(P493,S493:V493,Y493:AB493,AE493:AH493,AK493:AL493),
IF(AQ493=3,SUM(P493:R493,U493:X493,AA493:AD493,AG493:AJ493),SUM(Таблица1[[#This Row],[1]:[31]])-Таблица1[[#This Row],[Столбец1]])))</f>
        <v>0</v>
      </c>
      <c r="AN493" s="778">
        <f t="array" ref="AN493">IF(AQ493=1,SUM(P493,U493:V493,AA493:AB493,AG493:AH493),
IF(AQ493=2,SUM(Q493:R493,W493:X493,AC493:AD493,AI493:AJ493),
IF(AQ493=3,SUM(S493:T493,Y493:Z493,AE493:AF493,AK493:AL493),
SUM(IFERROR(WEEKDAY($H$2:$AL$2,2)&gt;5,)*H493:AL493))))+Таблица1[[#This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93" s="292" t="b">
        <f>IF(AR493&lt;=3,(IF((G493="5/24"),((база!$M$6*Таблица1[[#This Row],[сумма]]*Таблица1[[#This Row],[коэф]])),
IF((G493="4/24"),((база!$M$5*Таблица1[[#This Row],[сумма]]*Таблица1[[#This Row],[коэф]])),
IF((G493="3/24"),((база!$M$4*Таблица1[[#This Row],[сумма]]*Таблица1[[#This Row],[коэф]])),
IF((G493="5/16"),((база!$L$6*Таблица1[[#This Row],[сумма]]*Таблица1[[#This Row],[коэф]])),
IF((G493="4/16"),((база!$L$5*Таблица1[[#This Row],[сумма]]*Таблица1[[#This Row],[коэф]])),
IF((G493="3/16"),((база!$L$4*Таблица1[[#This Row],[сумма]]*Таблица1[[#This Row],[коэф]])),
IF((G493="4/4"),((база!$I$5*Таблица1[[#This Row],[сумма]]*Таблица1[[#This Row],[коэф]])),
IF(OR(G493="2/4",G493="3/4"),((база!$I$4*Таблица1[[#This Row],[сумма]]*Таблица1[[#This Row],[коэф]])),
IF((G493="5/8"),((база!$J$6*Таблица1[[#This Row],[сумма]]*Таблица1[[#This Row],[коэф]])),
IF((G493="4/8"),((база!$J$5*Таблица1[[#This Row],[сумма]]*Таблица1[[#This Row],[коэф]])),
IF(OR(G493="3/8",G493="2/8"),((база!$J$4*Таблица1[[#This Row],[сумма]]*Таблица1[[#This Row],[коэф]])))))))))))))),
(IF((G493="5/24"),((база!$M$6*Таблица1[[#This Row],[сумма]]*Таблица1[[#This Row],[коэф]])),
IF(OR(G493="4/24",G493="3/24"),((база!$M$5*Таблица1[[#This Row],[сумма]]*Таблица1[[#This Row],[коэф]])),
IF((G493="5/16"),((база!$L$6*Таблица1[[#This Row],[сумма]]*Таблица1[[#This Row],[коэф]])),
IF(OR(G493="4/16",G493="3/16"),((база!$L$5*Таблица1[[#This Row],[сумма]]*Таблица1[[#This Row],[коэф]])),
IF(OR(G493="2/4",G493="3/4",G493="4/4"),((база!$I$5*Таблица1[[#This Row],[сумма]]*Таблица1[[#This Row],[коэф]])),
IF((G493="5/8"),((база!$J$6*Таблица1[[#This Row],[сумма]]*Таблица1[[#This Row],[коэф]])),
IF(OR(G493="4/8",G493="3/8",G493="2/8"),((база!$J$5*Таблица1[[#This Row],[сумма]]*Таблица1[[#This Row],[коэф]])))))))))))</f>
        <v>0</v>
      </c>
      <c r="AP493" s="730" t="b">
        <f>IF(AR493&lt;=3,(IF((G493="5/24"),((база!$M$6*2*Таблица1[[#This Row],[Столбец1]]*Таблица1[[#This Row],[коэф]])),
IF((G493="4/24"),((база!$M$5*2*Таблица1[[#This Row],[Столбец1]]*Таблица1[[#This Row],[коэф]])),
IF((G493="3/24"),((база!$M$4*2*Таблица1[[#This Row],[Столбец1]]*Таблица1[[#This Row],[коэф]])),
IF((G493="5/16"),((база!$L$6*2*Таблица1[[#This Row],[Столбец1]]*Таблица1[[#This Row],[коэф]])),
IF((G493="4/16"),((база!$L$5*2*Таблица1[[#This Row],[Столбец1]]*Таблица1[[#This Row],[коэф]])),
IF((G493="3/16"),((база!$L$4*2*Таблица1[[#This Row],[Столбец1]]*Таблица1[[#This Row],[коэф]])),
IF((G493="4/4"),((база!$I$5*2*Таблица1[[#This Row],[Столбец1]]*Таблица1[[#This Row],[коэф]])),
IF(OR(G493="2/4",G493="3/4"),((база!$I$4*2*Таблица1[[#This Row],[Столбец1]]*Таблица1[[#This Row],[коэф]])),
IF((G493="5/8"),((база!$J$6*2*Таблица1[[#This Row],[Столбец1]]*Таблица1[[#This Row],[коэф]])),
IF((G493="4/8"),((база!$J$5*2*Таблица1[[#This Row],[Столбец1]]*Таблица1[[#This Row],[коэф]])),
IF(OR(G493="3/8",G493="2/8"),((база!$J$4*2*Таблица1[[#This Row],[Столбец1]]*Таблица1[[#This Row],[коэф]])))))))))))))),
(IF((G493="5/24"),((база!$M$6*2*Таблица1[[#This Row],[Столбец1]]*Таблица1[[#This Row],[коэф]])),
IF(OR(G493="4/24",G493="3/24"),((база!$M$5*2*Таблица1[[#This Row],[Столбец1]]*Таблица1[[#This Row],[коэф]])),
IF((G493="5/16"),((база!$L$6*2*Таблица1[[#This Row],[Столбец1]]*Таблица1[[#This Row],[коэф]])),
IF(OR(G493="4/16",G493="3/16"),((база!$L$5*2*Таблица1[[#This Row],[Столбец1]]*Таблица1[[#This Row],[коэф]])),
IF(OR(G493="2/4",G493="3/4",G493="4/4"),((база!$I$5*2*Таблица1[[#This Row],[Столбец1]]*Таблица1[[#This Row],[коэф]])),
IF((G493="5/8"),((база!$J$6*2*Таблица1[[#This Row],[Столбец1]]*Таблица1[[#This Row],[коэф]])),
IF(OR(G493="4/8",G493="3/8",G493="2/8"),((база!$J$5*2*Таблица1[[#This Row],[Столбец1]]*Таблица1[[#This Row],[коэф]])))))))))))</f>
        <v>0</v>
      </c>
      <c r="AQ493" s="712" t="str">
        <f>IFERROR(INDEX(база!T:T, MATCH(F493,база!Q:Q,0)),"")</f>
        <v/>
      </c>
      <c r="AR493" s="208" t="str">
        <f>IFERROR(INDEX(база!D:D, MATCH(F493,база!B:B,0)),"")</f>
        <v/>
      </c>
      <c r="AS493" s="758" t="str">
        <f>IFERROR(INDEX(база!E:E, MATCH(F493,база!B:B,0)),"")</f>
        <v/>
      </c>
    </row>
    <row r="494" spans="1:45" s="46" customFormat="1" ht="15">
      <c r="A494" s="66" t="str">
        <f t="shared" si="9"/>
        <v>январь</v>
      </c>
      <c r="B494" s="231">
        <v>2024</v>
      </c>
      <c r="C494" s="299"/>
      <c r="D494" s="61"/>
      <c r="E494" s="211"/>
      <c r="F494" s="680"/>
      <c r="G494" s="47"/>
      <c r="H494" s="563"/>
      <c r="I494" s="563"/>
      <c r="J494" s="563"/>
      <c r="K494" s="563"/>
      <c r="L494" s="563"/>
      <c r="M494" s="563"/>
      <c r="N494" s="563"/>
      <c r="O494" s="563"/>
      <c r="P494" s="300"/>
      <c r="Q494" s="563"/>
      <c r="R494" s="563"/>
      <c r="S494" s="563"/>
      <c r="T494" s="563"/>
      <c r="U494" s="563"/>
      <c r="V494" s="563"/>
      <c r="W494" s="563"/>
      <c r="X494" s="563"/>
      <c r="Y494" s="563"/>
      <c r="Z494" s="563"/>
      <c r="AA494" s="563"/>
      <c r="AB494" s="563"/>
      <c r="AC494" s="563"/>
      <c r="AD494" s="48"/>
      <c r="AE494" s="48"/>
      <c r="AF494" s="258"/>
      <c r="AG494" s="48"/>
      <c r="AH494" s="48"/>
      <c r="AI494" s="258"/>
      <c r="AJ494" s="258"/>
      <c r="AK494" s="258"/>
      <c r="AL494" s="258"/>
      <c r="AM494" s="212">
        <f>IF(AQ494=1,SUM(Q494:T494,W494:Z494,AC494:AF494,AI494:AL494),
IF(AQ494=2,SUM(P494,S494:V494,Y494:AB494,AE494:AH494,AK494:AL494),
IF(AQ494=3,SUM(P494:R494,U494:X494,AA494:AD494,AG494:AJ494),SUM(Таблица1[[#This Row],[1]:[31]])-Таблица1[[#This Row],[Столбец1]])))</f>
        <v>0</v>
      </c>
      <c r="AN494" s="778">
        <f t="array" ref="AN494">IF(AQ494=1,SUM(P494,U494:V494,AA494:AB494,AG494:AH494),
IF(AQ494=2,SUM(Q494:R494,W494:X494,AC494:AD494,AI494:AJ494),
IF(AQ494=3,SUM(S494:T494,Y494:Z494,AE494:AF494,AK494:AL494),
SUM(IFERROR(WEEKDAY($H$2:$AL$2,2)&gt;5,)*H494:AL494))))+Таблица1[[#This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94" s="292" t="b">
        <f>IF(AR494&lt;=3,(IF((G494="5/24"),((база!$M$6*Таблица1[[#This Row],[сумма]]*Таблица1[[#This Row],[коэф]])),
IF((G494="4/24"),((база!$M$5*Таблица1[[#This Row],[сумма]]*Таблица1[[#This Row],[коэф]])),
IF((G494="3/24"),((база!$M$4*Таблица1[[#This Row],[сумма]]*Таблица1[[#This Row],[коэф]])),
IF((G494="5/16"),((база!$L$6*Таблица1[[#This Row],[сумма]]*Таблица1[[#This Row],[коэф]])),
IF((G494="4/16"),((база!$L$5*Таблица1[[#This Row],[сумма]]*Таблица1[[#This Row],[коэф]])),
IF((G494="3/16"),((база!$L$4*Таблица1[[#This Row],[сумма]]*Таблица1[[#This Row],[коэф]])),
IF((G494="4/4"),((база!$I$5*Таблица1[[#This Row],[сумма]]*Таблица1[[#This Row],[коэф]])),
IF(OR(G494="2/4",G494="3/4"),((база!$I$4*Таблица1[[#This Row],[сумма]]*Таблица1[[#This Row],[коэф]])),
IF((G494="5/8"),((база!$J$6*Таблица1[[#This Row],[сумма]]*Таблица1[[#This Row],[коэф]])),
IF((G494="4/8"),((база!$J$5*Таблица1[[#This Row],[сумма]]*Таблица1[[#This Row],[коэф]])),
IF(OR(G494="3/8",G494="2/8"),((база!$J$4*Таблица1[[#This Row],[сумма]]*Таблица1[[#This Row],[коэф]])))))))))))))),
(IF((G494="5/24"),((база!$M$6*Таблица1[[#This Row],[сумма]]*Таблица1[[#This Row],[коэф]])),
IF(OR(G494="4/24",G494="3/24"),((база!$M$5*Таблица1[[#This Row],[сумма]]*Таблица1[[#This Row],[коэф]])),
IF((G494="5/16"),((база!$L$6*Таблица1[[#This Row],[сумма]]*Таблица1[[#This Row],[коэф]])),
IF(OR(G494="4/16",G494="3/16"),((база!$L$5*Таблица1[[#This Row],[сумма]]*Таблица1[[#This Row],[коэф]])),
IF(OR(G494="2/4",G494="3/4",G494="4/4"),((база!$I$5*Таблица1[[#This Row],[сумма]]*Таблица1[[#This Row],[коэф]])),
IF((G494="5/8"),((база!$J$6*Таблица1[[#This Row],[сумма]]*Таблица1[[#This Row],[коэф]])),
IF(OR(G494="4/8",G494="3/8",G494="2/8"),((база!$J$5*Таблица1[[#This Row],[сумма]]*Таблица1[[#This Row],[коэф]])))))))))))</f>
        <v>0</v>
      </c>
      <c r="AP494" s="730" t="b">
        <f>IF(AR494&lt;=3,(IF((G494="5/24"),((база!$M$6*2*Таблица1[[#This Row],[Столбец1]]*Таблица1[[#This Row],[коэф]])),
IF((G494="4/24"),((база!$M$5*2*Таблица1[[#This Row],[Столбец1]]*Таблица1[[#This Row],[коэф]])),
IF((G494="3/24"),((база!$M$4*2*Таблица1[[#This Row],[Столбец1]]*Таблица1[[#This Row],[коэф]])),
IF((G494="5/16"),((база!$L$6*2*Таблица1[[#This Row],[Столбец1]]*Таблица1[[#This Row],[коэф]])),
IF((G494="4/16"),((база!$L$5*2*Таблица1[[#This Row],[Столбец1]]*Таблица1[[#This Row],[коэф]])),
IF((G494="3/16"),((база!$L$4*2*Таблица1[[#This Row],[Столбец1]]*Таблица1[[#This Row],[коэф]])),
IF((G494="4/4"),((база!$I$5*2*Таблица1[[#This Row],[Столбец1]]*Таблица1[[#This Row],[коэф]])),
IF(OR(G494="2/4",G494="3/4"),((база!$I$4*2*Таблица1[[#This Row],[Столбец1]]*Таблица1[[#This Row],[коэф]])),
IF((G494="5/8"),((база!$J$6*2*Таблица1[[#This Row],[Столбец1]]*Таблица1[[#This Row],[коэф]])),
IF((G494="4/8"),((база!$J$5*2*Таблица1[[#This Row],[Столбец1]]*Таблица1[[#This Row],[коэф]])),
IF(OR(G494="3/8",G494="2/8"),((база!$J$4*2*Таблица1[[#This Row],[Столбец1]]*Таблица1[[#This Row],[коэф]])))))))))))))),
(IF((G494="5/24"),((база!$M$6*2*Таблица1[[#This Row],[Столбец1]]*Таблица1[[#This Row],[коэф]])),
IF(OR(G494="4/24",G494="3/24"),((база!$M$5*2*Таблица1[[#This Row],[Столбец1]]*Таблица1[[#This Row],[коэф]])),
IF((G494="5/16"),((база!$L$6*2*Таблица1[[#This Row],[Столбец1]]*Таблица1[[#This Row],[коэф]])),
IF(OR(G494="4/16",G494="3/16"),((база!$L$5*2*Таблица1[[#This Row],[Столбец1]]*Таблица1[[#This Row],[коэф]])),
IF(OR(G494="2/4",G494="3/4",G494="4/4"),((база!$I$5*2*Таблица1[[#This Row],[Столбец1]]*Таблица1[[#This Row],[коэф]])),
IF((G494="5/8"),((база!$J$6*2*Таблица1[[#This Row],[Столбец1]]*Таблица1[[#This Row],[коэф]])),
IF(OR(G494="4/8",G494="3/8",G494="2/8"),((база!$J$5*2*Таблица1[[#This Row],[Столбец1]]*Таблица1[[#This Row],[коэф]])))))))))))</f>
        <v>0</v>
      </c>
      <c r="AQ494" s="712" t="str">
        <f>IFERROR(INDEX(база!T:T, MATCH(F494,база!Q:Q,0)),"")</f>
        <v/>
      </c>
      <c r="AR494" s="208" t="str">
        <f>IFERROR(INDEX(база!D:D, MATCH(F494,база!B:B,0)),"")</f>
        <v/>
      </c>
      <c r="AS494" s="758" t="str">
        <f>IFERROR(INDEX(база!E:E, MATCH(F494,база!B:B,0)),"")</f>
        <v/>
      </c>
    </row>
    <row r="495" spans="1:45" s="46" customFormat="1" ht="15">
      <c r="A495" s="66" t="str">
        <f t="shared" si="9"/>
        <v>январь</v>
      </c>
      <c r="B495" s="231">
        <v>2024</v>
      </c>
      <c r="C495" s="299"/>
      <c r="D495" s="61"/>
      <c r="E495" s="211"/>
      <c r="F495" s="680"/>
      <c r="G495" s="47"/>
      <c r="H495" s="563"/>
      <c r="I495" s="563"/>
      <c r="J495" s="563"/>
      <c r="K495" s="563"/>
      <c r="L495" s="563"/>
      <c r="M495" s="563"/>
      <c r="N495" s="563"/>
      <c r="O495" s="563"/>
      <c r="P495" s="300"/>
      <c r="Q495" s="563"/>
      <c r="R495" s="563"/>
      <c r="S495" s="563"/>
      <c r="T495" s="563"/>
      <c r="U495" s="563"/>
      <c r="V495" s="563"/>
      <c r="W495" s="563"/>
      <c r="X495" s="563"/>
      <c r="Y495" s="563"/>
      <c r="Z495" s="563"/>
      <c r="AA495" s="563"/>
      <c r="AB495" s="563"/>
      <c r="AC495" s="563"/>
      <c r="AD495" s="48"/>
      <c r="AE495" s="48"/>
      <c r="AF495" s="258"/>
      <c r="AG495" s="48"/>
      <c r="AH495" s="48"/>
      <c r="AI495" s="48"/>
      <c r="AJ495" s="48"/>
      <c r="AK495" s="48"/>
      <c r="AL495" s="51"/>
      <c r="AM495" s="212">
        <f>IF(AQ495=1,SUM(Q495:T495,W495:Z495,AC495:AF495,AI495:AL495),
IF(AQ495=2,SUM(P495,S495:V495,Y495:AB495,AE495:AH495,AK495:AL495),
IF(AQ495=3,SUM(P495:R495,U495:X495,AA495:AD495,AG495:AJ495),SUM(Таблица1[[#This Row],[1]:[31]])-Таблица1[[#This Row],[Столбец1]])))</f>
        <v>0</v>
      </c>
      <c r="AN495" s="778">
        <f t="array" ref="AN495">IF(AQ495=1,SUM(P495,U495:V495,AA495:AB495,AG495:AH495),
IF(AQ495=2,SUM(Q495:R495,W495:X495,AC495:AD495,AI495:AJ495),
IF(AQ495=3,SUM(S495:T495,Y495:Z495,AE495:AF495,AK495:AL495),
SUM(IFERROR(WEEKDAY($H$2:$AL$2,2)&gt;5,)*H495:AL495))))+Таблица1[[#This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95" s="292" t="b">
        <f>IF(AR495&lt;=3,(IF((G495="5/24"),((база!$M$6*Таблица1[[#This Row],[сумма]]*Таблица1[[#This Row],[коэф]])),
IF((G495="4/24"),((база!$M$5*Таблица1[[#This Row],[сумма]]*Таблица1[[#This Row],[коэф]])),
IF((G495="3/24"),((база!$M$4*Таблица1[[#This Row],[сумма]]*Таблица1[[#This Row],[коэф]])),
IF((G495="5/16"),((база!$L$6*Таблица1[[#This Row],[сумма]]*Таблица1[[#This Row],[коэф]])),
IF((G495="4/16"),((база!$L$5*Таблица1[[#This Row],[сумма]]*Таблица1[[#This Row],[коэф]])),
IF((G495="3/16"),((база!$L$4*Таблица1[[#This Row],[сумма]]*Таблица1[[#This Row],[коэф]])),
IF((G495="4/4"),((база!$I$5*Таблица1[[#This Row],[сумма]]*Таблица1[[#This Row],[коэф]])),
IF(OR(G495="2/4",G495="3/4"),((база!$I$4*Таблица1[[#This Row],[сумма]]*Таблица1[[#This Row],[коэф]])),
IF((G495="5/8"),((база!$J$6*Таблица1[[#This Row],[сумма]]*Таблица1[[#This Row],[коэф]])),
IF((G495="4/8"),((база!$J$5*Таблица1[[#This Row],[сумма]]*Таблица1[[#This Row],[коэф]])),
IF(OR(G495="3/8",G495="2/8"),((база!$J$4*Таблица1[[#This Row],[сумма]]*Таблица1[[#This Row],[коэф]])))))))))))))),
(IF((G495="5/24"),((база!$M$6*Таблица1[[#This Row],[сумма]]*Таблица1[[#This Row],[коэф]])),
IF(OR(G495="4/24",G495="3/24"),((база!$M$5*Таблица1[[#This Row],[сумма]]*Таблица1[[#This Row],[коэф]])),
IF((G495="5/16"),((база!$L$6*Таблица1[[#This Row],[сумма]]*Таблица1[[#This Row],[коэф]])),
IF(OR(G495="4/16",G495="3/16"),((база!$L$5*Таблица1[[#This Row],[сумма]]*Таблица1[[#This Row],[коэф]])),
IF(OR(G495="2/4",G495="3/4",G495="4/4"),((база!$I$5*Таблица1[[#This Row],[сумма]]*Таблица1[[#This Row],[коэф]])),
IF((G495="5/8"),((база!$J$6*Таблица1[[#This Row],[сумма]]*Таблица1[[#This Row],[коэф]])),
IF(OR(G495="4/8",G495="3/8",G495="2/8"),((база!$J$5*Таблица1[[#This Row],[сумма]]*Таблица1[[#This Row],[коэф]])))))))))))</f>
        <v>0</v>
      </c>
      <c r="AP495" s="730" t="b">
        <f>IF(AR495&lt;=3,(IF((G495="5/24"),((база!$M$6*2*Таблица1[[#This Row],[Столбец1]]*Таблица1[[#This Row],[коэф]])),
IF((G495="4/24"),((база!$M$5*2*Таблица1[[#This Row],[Столбец1]]*Таблица1[[#This Row],[коэф]])),
IF((G495="3/24"),((база!$M$4*2*Таблица1[[#This Row],[Столбец1]]*Таблица1[[#This Row],[коэф]])),
IF((G495="5/16"),((база!$L$6*2*Таблица1[[#This Row],[Столбец1]]*Таблица1[[#This Row],[коэф]])),
IF((G495="4/16"),((база!$L$5*2*Таблица1[[#This Row],[Столбец1]]*Таблица1[[#This Row],[коэф]])),
IF((G495="3/16"),((база!$L$4*2*Таблица1[[#This Row],[Столбец1]]*Таблица1[[#This Row],[коэф]])),
IF((G495="4/4"),((база!$I$5*2*Таблица1[[#This Row],[Столбец1]]*Таблица1[[#This Row],[коэф]])),
IF(OR(G495="2/4",G495="3/4"),((база!$I$4*2*Таблица1[[#This Row],[Столбец1]]*Таблица1[[#This Row],[коэф]])),
IF((G495="5/8"),((база!$J$6*2*Таблица1[[#This Row],[Столбец1]]*Таблица1[[#This Row],[коэф]])),
IF((G495="4/8"),((база!$J$5*2*Таблица1[[#This Row],[Столбец1]]*Таблица1[[#This Row],[коэф]])),
IF(OR(G495="3/8",G495="2/8"),((база!$J$4*2*Таблица1[[#This Row],[Столбец1]]*Таблица1[[#This Row],[коэф]])))))))))))))),
(IF((G495="5/24"),((база!$M$6*2*Таблица1[[#This Row],[Столбец1]]*Таблица1[[#This Row],[коэф]])),
IF(OR(G495="4/24",G495="3/24"),((база!$M$5*2*Таблица1[[#This Row],[Столбец1]]*Таблица1[[#This Row],[коэф]])),
IF((G495="5/16"),((база!$L$6*2*Таблица1[[#This Row],[Столбец1]]*Таблица1[[#This Row],[коэф]])),
IF(OR(G495="4/16",G495="3/16"),((база!$L$5*2*Таблица1[[#This Row],[Столбец1]]*Таблица1[[#This Row],[коэф]])),
IF(OR(G495="2/4",G495="3/4",G495="4/4"),((база!$I$5*2*Таблица1[[#This Row],[Столбец1]]*Таблица1[[#This Row],[коэф]])),
IF((G495="5/8"),((база!$J$6*2*Таблица1[[#This Row],[Столбец1]]*Таблица1[[#This Row],[коэф]])),
IF(OR(G495="4/8",G495="3/8",G495="2/8"),((база!$J$5*2*Таблица1[[#This Row],[Столбец1]]*Таблица1[[#This Row],[коэф]])))))))))))</f>
        <v>0</v>
      </c>
      <c r="AQ495" s="712" t="str">
        <f>IFERROR(INDEX(база!T:T, MATCH(F495,база!Q:Q,0)),"")</f>
        <v/>
      </c>
      <c r="AR495" s="208" t="str">
        <f>IFERROR(INDEX(база!D:D, MATCH(F495,база!B:B,0)),"")</f>
        <v/>
      </c>
      <c r="AS495" s="758" t="str">
        <f>IFERROR(INDEX(база!E:E, MATCH(F495,база!B:B,0)),"")</f>
        <v/>
      </c>
    </row>
    <row r="496" spans="1:45" s="46" customFormat="1" ht="15">
      <c r="A496" s="66" t="str">
        <f t="shared" si="9"/>
        <v>январь</v>
      </c>
      <c r="B496" s="231">
        <v>2024</v>
      </c>
      <c r="C496" s="299"/>
      <c r="D496" s="61"/>
      <c r="E496" s="211"/>
      <c r="F496" s="680"/>
      <c r="G496" s="47"/>
      <c r="H496" s="563"/>
      <c r="I496" s="563"/>
      <c r="J496" s="563"/>
      <c r="K496" s="563"/>
      <c r="L496" s="563"/>
      <c r="M496" s="563"/>
      <c r="N496" s="563"/>
      <c r="O496" s="563"/>
      <c r="P496" s="300"/>
      <c r="Q496" s="563"/>
      <c r="R496" s="563"/>
      <c r="S496" s="563"/>
      <c r="T496" s="563"/>
      <c r="U496" s="563"/>
      <c r="V496" s="563"/>
      <c r="W496" s="563"/>
      <c r="X496" s="563"/>
      <c r="Y496" s="563"/>
      <c r="Z496" s="563"/>
      <c r="AA496" s="563"/>
      <c r="AB496" s="563"/>
      <c r="AC496" s="563"/>
      <c r="AD496" s="48"/>
      <c r="AE496" s="48"/>
      <c r="AF496" s="258"/>
      <c r="AG496" s="48"/>
      <c r="AH496" s="48"/>
      <c r="AI496" s="258"/>
      <c r="AJ496" s="258"/>
      <c r="AK496" s="258"/>
      <c r="AL496" s="258"/>
      <c r="AM496" s="212">
        <f>IF(AQ496=1,SUM(Q496:T496,W496:Z496,AC496:AF496,AI496:AL496),
IF(AQ496=2,SUM(P496,S496:V496,Y496:AB496,AE496:AH496,AK496:AL496),
IF(AQ496=3,SUM(P496:R496,U496:X496,AA496:AD496,AG496:AJ496),SUM(Таблица1[[#This Row],[1]:[31]])-Таблица1[[#This Row],[Столбец1]])))</f>
        <v>0</v>
      </c>
      <c r="AN496" s="778">
        <f t="array" ref="AN496">IF(AQ496=1,SUM(P496,U496:V496,AA496:AB496,AG496:AH496),
IF(AQ496=2,SUM(Q496:R496,W496:X496,AC496:AD496,AI496:AJ496),
IF(AQ496=3,SUM(S496:T496,Y496:Z496,AE496:AF496,AK496:AL496),
SUM(IFERROR(WEEKDAY($H$2:$AL$2,2)&gt;5,)*H496:AL496))))+Таблица1[[#This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96" s="292" t="b">
        <f>IF(AR496&lt;=3,(IF((G496="5/24"),((база!$M$6*Таблица1[[#This Row],[сумма]]*Таблица1[[#This Row],[коэф]])),
IF((G496="4/24"),((база!$M$5*Таблица1[[#This Row],[сумма]]*Таблица1[[#This Row],[коэф]])),
IF((G496="3/24"),((база!$M$4*Таблица1[[#This Row],[сумма]]*Таблица1[[#This Row],[коэф]])),
IF((G496="5/16"),((база!$L$6*Таблица1[[#This Row],[сумма]]*Таблица1[[#This Row],[коэф]])),
IF((G496="4/16"),((база!$L$5*Таблица1[[#This Row],[сумма]]*Таблица1[[#This Row],[коэф]])),
IF((G496="3/16"),((база!$L$4*Таблица1[[#This Row],[сумма]]*Таблица1[[#This Row],[коэф]])),
IF((G496="4/4"),((база!$I$5*Таблица1[[#This Row],[сумма]]*Таблица1[[#This Row],[коэф]])),
IF(OR(G496="2/4",G496="3/4"),((база!$I$4*Таблица1[[#This Row],[сумма]]*Таблица1[[#This Row],[коэф]])),
IF((G496="5/8"),((база!$J$6*Таблица1[[#This Row],[сумма]]*Таблица1[[#This Row],[коэф]])),
IF((G496="4/8"),((база!$J$5*Таблица1[[#This Row],[сумма]]*Таблица1[[#This Row],[коэф]])),
IF(OR(G496="3/8",G496="2/8"),((база!$J$4*Таблица1[[#This Row],[сумма]]*Таблица1[[#This Row],[коэф]])))))))))))))),
(IF((G496="5/24"),((база!$M$6*Таблица1[[#This Row],[сумма]]*Таблица1[[#This Row],[коэф]])),
IF(OR(G496="4/24",G496="3/24"),((база!$M$5*Таблица1[[#This Row],[сумма]]*Таблица1[[#This Row],[коэф]])),
IF((G496="5/16"),((база!$L$6*Таблица1[[#This Row],[сумма]]*Таблица1[[#This Row],[коэф]])),
IF(OR(G496="4/16",G496="3/16"),((база!$L$5*Таблица1[[#This Row],[сумма]]*Таблица1[[#This Row],[коэф]])),
IF(OR(G496="2/4",G496="3/4",G496="4/4"),((база!$I$5*Таблица1[[#This Row],[сумма]]*Таблица1[[#This Row],[коэф]])),
IF((G496="5/8"),((база!$J$6*Таблица1[[#This Row],[сумма]]*Таблица1[[#This Row],[коэф]])),
IF(OR(G496="4/8",G496="3/8",G496="2/8"),((база!$J$5*Таблица1[[#This Row],[сумма]]*Таблица1[[#This Row],[коэф]])))))))))))</f>
        <v>0</v>
      </c>
      <c r="AP496" s="730" t="b">
        <f>IF(AR496&lt;=3,(IF((G496="5/24"),((база!$M$6*2*Таблица1[[#This Row],[Столбец1]]*Таблица1[[#This Row],[коэф]])),
IF((G496="4/24"),((база!$M$5*2*Таблица1[[#This Row],[Столбец1]]*Таблица1[[#This Row],[коэф]])),
IF((G496="3/24"),((база!$M$4*2*Таблица1[[#This Row],[Столбец1]]*Таблица1[[#This Row],[коэф]])),
IF((G496="5/16"),((база!$L$6*2*Таблица1[[#This Row],[Столбец1]]*Таблица1[[#This Row],[коэф]])),
IF((G496="4/16"),((база!$L$5*2*Таблица1[[#This Row],[Столбец1]]*Таблица1[[#This Row],[коэф]])),
IF((G496="3/16"),((база!$L$4*2*Таблица1[[#This Row],[Столбец1]]*Таблица1[[#This Row],[коэф]])),
IF((G496="4/4"),((база!$I$5*2*Таблица1[[#This Row],[Столбец1]]*Таблица1[[#This Row],[коэф]])),
IF(OR(G496="2/4",G496="3/4"),((база!$I$4*2*Таблица1[[#This Row],[Столбец1]]*Таблица1[[#This Row],[коэф]])),
IF((G496="5/8"),((база!$J$6*2*Таблица1[[#This Row],[Столбец1]]*Таблица1[[#This Row],[коэф]])),
IF((G496="4/8"),((база!$J$5*2*Таблица1[[#This Row],[Столбец1]]*Таблица1[[#This Row],[коэф]])),
IF(OR(G496="3/8",G496="2/8"),((база!$J$4*2*Таблица1[[#This Row],[Столбец1]]*Таблица1[[#This Row],[коэф]])))))))))))))),
(IF((G496="5/24"),((база!$M$6*2*Таблица1[[#This Row],[Столбец1]]*Таблица1[[#This Row],[коэф]])),
IF(OR(G496="4/24",G496="3/24"),((база!$M$5*2*Таблица1[[#This Row],[Столбец1]]*Таблица1[[#This Row],[коэф]])),
IF((G496="5/16"),((база!$L$6*2*Таблица1[[#This Row],[Столбец1]]*Таблица1[[#This Row],[коэф]])),
IF(OR(G496="4/16",G496="3/16"),((база!$L$5*2*Таблица1[[#This Row],[Столбец1]]*Таблица1[[#This Row],[коэф]])),
IF(OR(G496="2/4",G496="3/4",G496="4/4"),((база!$I$5*2*Таблица1[[#This Row],[Столбец1]]*Таблица1[[#This Row],[коэф]])),
IF((G496="5/8"),((база!$J$6*2*Таблица1[[#This Row],[Столбец1]]*Таблица1[[#This Row],[коэф]])),
IF(OR(G496="4/8",G496="3/8",G496="2/8"),((база!$J$5*2*Таблица1[[#This Row],[Столбец1]]*Таблица1[[#This Row],[коэф]])))))))))))</f>
        <v>0</v>
      </c>
      <c r="AQ496" s="712" t="str">
        <f>IFERROR(INDEX(база!T:T, MATCH(F496,база!Q:Q,0)),"")</f>
        <v/>
      </c>
      <c r="AR496" s="208" t="str">
        <f>IFERROR(INDEX(база!D:D, MATCH(F496,база!B:B,0)),"")</f>
        <v/>
      </c>
      <c r="AS496" s="758" t="str">
        <f>IFERROR(INDEX(база!E:E, MATCH(F496,база!B:B,0)),"")</f>
        <v/>
      </c>
    </row>
    <row r="497" spans="1:45" s="46" customFormat="1" ht="15">
      <c r="A497" s="66" t="str">
        <f t="shared" si="9"/>
        <v>январь</v>
      </c>
      <c r="B497" s="231">
        <v>2024</v>
      </c>
      <c r="C497" s="299"/>
      <c r="D497" s="61"/>
      <c r="E497" s="211"/>
      <c r="F497" s="680"/>
      <c r="G497" s="47"/>
      <c r="H497" s="563"/>
      <c r="I497" s="563"/>
      <c r="J497" s="563"/>
      <c r="K497" s="563"/>
      <c r="L497" s="563"/>
      <c r="M497" s="563"/>
      <c r="N497" s="563"/>
      <c r="O497" s="563"/>
      <c r="P497" s="300"/>
      <c r="Q497" s="563"/>
      <c r="R497" s="563"/>
      <c r="S497" s="563"/>
      <c r="T497" s="563"/>
      <c r="U497" s="563"/>
      <c r="V497" s="563"/>
      <c r="W497" s="563"/>
      <c r="X497" s="563"/>
      <c r="Y497" s="563"/>
      <c r="Z497" s="563"/>
      <c r="AA497" s="563"/>
      <c r="AB497" s="563"/>
      <c r="AC497" s="563"/>
      <c r="AD497" s="48"/>
      <c r="AE497" s="48"/>
      <c r="AF497" s="258"/>
      <c r="AG497" s="48"/>
      <c r="AH497" s="48"/>
      <c r="AI497" s="48"/>
      <c r="AJ497" s="48"/>
      <c r="AK497" s="48"/>
      <c r="AL497" s="51"/>
      <c r="AM497" s="212">
        <f>IF(AQ497=1,SUM(Q497:T497,W497:Z497,AC497:AF497,AI497:AL497),
IF(AQ497=2,SUM(P497,S497:V497,Y497:AB497,AE497:AH497,AK497:AL497),
IF(AQ497=3,SUM(P497:R497,U497:X497,AA497:AD497,AG497:AJ497),SUM(Таблица1[[#This Row],[1]:[31]])-Таблица1[[#This Row],[Столбец1]])))</f>
        <v>0</v>
      </c>
      <c r="AN497" s="778">
        <f t="array" ref="AN497">IF(AQ497=1,SUM(P497,U497:V497,AA497:AB497,AG497:AH497),
IF(AQ497=2,SUM(Q497:R497,W497:X497,AC497:AD497,AI497:AJ497),
IF(AQ497=3,SUM(S497:T497,Y497:Z497,AE497:AF497,AK497:AL497),
SUM(IFERROR(WEEKDAY($H$2:$AL$2,2)&gt;5,)*H497:AL497))))+Таблица1[[#This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97" s="292" t="b">
        <f>IF(AR497&lt;=3,(IF((G497="5/24"),((база!$M$6*Таблица1[[#This Row],[сумма]]*Таблица1[[#This Row],[коэф]])),
IF((G497="4/24"),((база!$M$5*Таблица1[[#This Row],[сумма]]*Таблица1[[#This Row],[коэф]])),
IF((G497="3/24"),((база!$M$4*Таблица1[[#This Row],[сумма]]*Таблица1[[#This Row],[коэф]])),
IF((G497="5/16"),((база!$L$6*Таблица1[[#This Row],[сумма]]*Таблица1[[#This Row],[коэф]])),
IF((G497="4/16"),((база!$L$5*Таблица1[[#This Row],[сумма]]*Таблица1[[#This Row],[коэф]])),
IF((G497="3/16"),((база!$L$4*Таблица1[[#This Row],[сумма]]*Таблица1[[#This Row],[коэф]])),
IF((G497="4/4"),((база!$I$5*Таблица1[[#This Row],[сумма]]*Таблица1[[#This Row],[коэф]])),
IF(OR(G497="2/4",G497="3/4"),((база!$I$4*Таблица1[[#This Row],[сумма]]*Таблица1[[#This Row],[коэф]])),
IF((G497="5/8"),((база!$J$6*Таблица1[[#This Row],[сумма]]*Таблица1[[#This Row],[коэф]])),
IF((G497="4/8"),((база!$J$5*Таблица1[[#This Row],[сумма]]*Таблица1[[#This Row],[коэф]])),
IF(OR(G497="3/8",G497="2/8"),((база!$J$4*Таблица1[[#This Row],[сумма]]*Таблица1[[#This Row],[коэф]])))))))))))))),
(IF((G497="5/24"),((база!$M$6*Таблица1[[#This Row],[сумма]]*Таблица1[[#This Row],[коэф]])),
IF(OR(G497="4/24",G497="3/24"),((база!$M$5*Таблица1[[#This Row],[сумма]]*Таблица1[[#This Row],[коэф]])),
IF((G497="5/16"),((база!$L$6*Таблица1[[#This Row],[сумма]]*Таблица1[[#This Row],[коэф]])),
IF(OR(G497="4/16",G497="3/16"),((база!$L$5*Таблица1[[#This Row],[сумма]]*Таблица1[[#This Row],[коэф]])),
IF(OR(G497="2/4",G497="3/4",G497="4/4"),((база!$I$5*Таблица1[[#This Row],[сумма]]*Таблица1[[#This Row],[коэф]])),
IF((G497="5/8"),((база!$J$6*Таблица1[[#This Row],[сумма]]*Таблица1[[#This Row],[коэф]])),
IF(OR(G497="4/8",G497="3/8",G497="2/8"),((база!$J$5*Таблица1[[#This Row],[сумма]]*Таблица1[[#This Row],[коэф]])))))))))))</f>
        <v>0</v>
      </c>
      <c r="AP497" s="730" t="b">
        <f>IF(AR497&lt;=3,(IF((G497="5/24"),((база!$M$6*2*Таблица1[[#This Row],[Столбец1]]*Таблица1[[#This Row],[коэф]])),
IF((G497="4/24"),((база!$M$5*2*Таблица1[[#This Row],[Столбец1]]*Таблица1[[#This Row],[коэф]])),
IF((G497="3/24"),((база!$M$4*2*Таблица1[[#This Row],[Столбец1]]*Таблица1[[#This Row],[коэф]])),
IF((G497="5/16"),((база!$L$6*2*Таблица1[[#This Row],[Столбец1]]*Таблица1[[#This Row],[коэф]])),
IF((G497="4/16"),((база!$L$5*2*Таблица1[[#This Row],[Столбец1]]*Таблица1[[#This Row],[коэф]])),
IF((G497="3/16"),((база!$L$4*2*Таблица1[[#This Row],[Столбец1]]*Таблица1[[#This Row],[коэф]])),
IF((G497="4/4"),((база!$I$5*2*Таблица1[[#This Row],[Столбец1]]*Таблица1[[#This Row],[коэф]])),
IF(OR(G497="2/4",G497="3/4"),((база!$I$4*2*Таблица1[[#This Row],[Столбец1]]*Таблица1[[#This Row],[коэф]])),
IF((G497="5/8"),((база!$J$6*2*Таблица1[[#This Row],[Столбец1]]*Таблица1[[#This Row],[коэф]])),
IF((G497="4/8"),((база!$J$5*2*Таблица1[[#This Row],[Столбец1]]*Таблица1[[#This Row],[коэф]])),
IF(OR(G497="3/8",G497="2/8"),((база!$J$4*2*Таблица1[[#This Row],[Столбец1]]*Таблица1[[#This Row],[коэф]])))))))))))))),
(IF((G497="5/24"),((база!$M$6*2*Таблица1[[#This Row],[Столбец1]]*Таблица1[[#This Row],[коэф]])),
IF(OR(G497="4/24",G497="3/24"),((база!$M$5*2*Таблица1[[#This Row],[Столбец1]]*Таблица1[[#This Row],[коэф]])),
IF((G497="5/16"),((база!$L$6*2*Таблица1[[#This Row],[Столбец1]]*Таблица1[[#This Row],[коэф]])),
IF(OR(G497="4/16",G497="3/16"),((база!$L$5*2*Таблица1[[#This Row],[Столбец1]]*Таблица1[[#This Row],[коэф]])),
IF(OR(G497="2/4",G497="3/4",G497="4/4"),((база!$I$5*2*Таблица1[[#This Row],[Столбец1]]*Таблица1[[#This Row],[коэф]])),
IF((G497="5/8"),((база!$J$6*2*Таблица1[[#This Row],[Столбец1]]*Таблица1[[#This Row],[коэф]])),
IF(OR(G497="4/8",G497="3/8",G497="2/8"),((база!$J$5*2*Таблица1[[#This Row],[Столбец1]]*Таблица1[[#This Row],[коэф]])))))))))))</f>
        <v>0</v>
      </c>
      <c r="AQ497" s="712" t="str">
        <f>IFERROR(INDEX(база!T:T, MATCH(F497,база!Q:Q,0)),"")</f>
        <v/>
      </c>
      <c r="AR497" s="208" t="str">
        <f>IFERROR(INDEX(база!D:D, MATCH(F497,база!B:B,0)),"")</f>
        <v/>
      </c>
      <c r="AS497" s="758" t="str">
        <f>IFERROR(INDEX(база!E:E, MATCH(F497,база!B:B,0)),"")</f>
        <v/>
      </c>
    </row>
    <row r="498" spans="1:45" s="46" customFormat="1" ht="15">
      <c r="A498" s="66" t="str">
        <f t="shared" si="9"/>
        <v>январь</v>
      </c>
      <c r="B498" s="231">
        <v>2024</v>
      </c>
      <c r="C498" s="299"/>
      <c r="D498" s="61"/>
      <c r="E498" s="211"/>
      <c r="F498" s="680"/>
      <c r="G498" s="47"/>
      <c r="H498" s="563"/>
      <c r="I498" s="563"/>
      <c r="J498" s="563"/>
      <c r="K498" s="563"/>
      <c r="L498" s="563"/>
      <c r="M498" s="563"/>
      <c r="N498" s="563"/>
      <c r="O498" s="563"/>
      <c r="P498" s="300"/>
      <c r="Q498" s="563"/>
      <c r="R498" s="563"/>
      <c r="S498" s="563"/>
      <c r="T498" s="563"/>
      <c r="U498" s="563"/>
      <c r="V498" s="563"/>
      <c r="W498" s="563"/>
      <c r="X498" s="563"/>
      <c r="Y498" s="563"/>
      <c r="Z498" s="563"/>
      <c r="AA498" s="563"/>
      <c r="AB498" s="563"/>
      <c r="AC498" s="563"/>
      <c r="AD498" s="48"/>
      <c r="AE498" s="48"/>
      <c r="AF498" s="258"/>
      <c r="AG498" s="48"/>
      <c r="AH498" s="48"/>
      <c r="AI498" s="258"/>
      <c r="AJ498" s="258"/>
      <c r="AK498" s="258"/>
      <c r="AL498" s="258"/>
      <c r="AM498" s="212">
        <f>IF(AQ498=1,SUM(Q498:T498,W498:Z498,AC498:AF498,AI498:AL498),
IF(AQ498=2,SUM(P498,S498:V498,Y498:AB498,AE498:AH498,AK498:AL498),
IF(AQ498=3,SUM(P498:R498,U498:X498,AA498:AD498,AG498:AJ498),SUM(Таблица1[[#This Row],[1]:[31]])-Таблица1[[#This Row],[Столбец1]])))</f>
        <v>0</v>
      </c>
      <c r="AN498" s="778">
        <f t="array" ref="AN498">IF(AQ498=1,SUM(P498,U498:V498,AA498:AB498,AG498:AH498),
IF(AQ498=2,SUM(Q498:R498,W498:X498,AC498:AD498,AI498:AJ498),
IF(AQ498=3,SUM(S498:T498,Y498:Z498,AE498:AF498,AK498:AL498),
SUM(IFERROR(WEEKDAY($H$2:$AL$2,2)&gt;5,)*H498:AL498))))+Таблица1[[#This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98" s="292" t="b">
        <f>IF(AR498&lt;=3,(IF((G498="5/24"),((база!$M$6*Таблица1[[#This Row],[сумма]]*Таблица1[[#This Row],[коэф]])),
IF((G498="4/24"),((база!$M$5*Таблица1[[#This Row],[сумма]]*Таблица1[[#This Row],[коэф]])),
IF((G498="3/24"),((база!$M$4*Таблица1[[#This Row],[сумма]]*Таблица1[[#This Row],[коэф]])),
IF((G498="5/16"),((база!$L$6*Таблица1[[#This Row],[сумма]]*Таблица1[[#This Row],[коэф]])),
IF((G498="4/16"),((база!$L$5*Таблица1[[#This Row],[сумма]]*Таблица1[[#This Row],[коэф]])),
IF((G498="3/16"),((база!$L$4*Таблица1[[#This Row],[сумма]]*Таблица1[[#This Row],[коэф]])),
IF((G498="4/4"),((база!$I$5*Таблица1[[#This Row],[сумма]]*Таблица1[[#This Row],[коэф]])),
IF(OR(G498="2/4",G498="3/4"),((база!$I$4*Таблица1[[#This Row],[сумма]]*Таблица1[[#This Row],[коэф]])),
IF((G498="5/8"),((база!$J$6*Таблица1[[#This Row],[сумма]]*Таблица1[[#This Row],[коэф]])),
IF((G498="4/8"),((база!$J$5*Таблица1[[#This Row],[сумма]]*Таблица1[[#This Row],[коэф]])),
IF(OR(G498="3/8",G498="2/8"),((база!$J$4*Таблица1[[#This Row],[сумма]]*Таблица1[[#This Row],[коэф]])))))))))))))),
(IF((G498="5/24"),((база!$M$6*Таблица1[[#This Row],[сумма]]*Таблица1[[#This Row],[коэф]])),
IF(OR(G498="4/24",G498="3/24"),((база!$M$5*Таблица1[[#This Row],[сумма]]*Таблица1[[#This Row],[коэф]])),
IF((G498="5/16"),((база!$L$6*Таблица1[[#This Row],[сумма]]*Таблица1[[#This Row],[коэф]])),
IF(OR(G498="4/16",G498="3/16"),((база!$L$5*Таблица1[[#This Row],[сумма]]*Таблица1[[#This Row],[коэф]])),
IF(OR(G498="2/4",G498="3/4",G498="4/4"),((база!$I$5*Таблица1[[#This Row],[сумма]]*Таблица1[[#This Row],[коэф]])),
IF((G498="5/8"),((база!$J$6*Таблица1[[#This Row],[сумма]]*Таблица1[[#This Row],[коэф]])),
IF(OR(G498="4/8",G498="3/8",G498="2/8"),((база!$J$5*Таблица1[[#This Row],[сумма]]*Таблица1[[#This Row],[коэф]])))))))))))</f>
        <v>0</v>
      </c>
      <c r="AP498" s="730" t="b">
        <f>IF(AR498&lt;=3,(IF((G498="5/24"),((база!$M$6*2*Таблица1[[#This Row],[Столбец1]]*Таблица1[[#This Row],[коэф]])),
IF((G498="4/24"),((база!$M$5*2*Таблица1[[#This Row],[Столбец1]]*Таблица1[[#This Row],[коэф]])),
IF((G498="3/24"),((база!$M$4*2*Таблица1[[#This Row],[Столбец1]]*Таблица1[[#This Row],[коэф]])),
IF((G498="5/16"),((база!$L$6*2*Таблица1[[#This Row],[Столбец1]]*Таблица1[[#This Row],[коэф]])),
IF((G498="4/16"),((база!$L$5*2*Таблица1[[#This Row],[Столбец1]]*Таблица1[[#This Row],[коэф]])),
IF((G498="3/16"),((база!$L$4*2*Таблица1[[#This Row],[Столбец1]]*Таблица1[[#This Row],[коэф]])),
IF((G498="4/4"),((база!$I$5*2*Таблица1[[#This Row],[Столбец1]]*Таблица1[[#This Row],[коэф]])),
IF(OR(G498="2/4",G498="3/4"),((база!$I$4*2*Таблица1[[#This Row],[Столбец1]]*Таблица1[[#This Row],[коэф]])),
IF((G498="5/8"),((база!$J$6*2*Таблица1[[#This Row],[Столбец1]]*Таблица1[[#This Row],[коэф]])),
IF((G498="4/8"),((база!$J$5*2*Таблица1[[#This Row],[Столбец1]]*Таблица1[[#This Row],[коэф]])),
IF(OR(G498="3/8",G498="2/8"),((база!$J$4*2*Таблица1[[#This Row],[Столбец1]]*Таблица1[[#This Row],[коэф]])))))))))))))),
(IF((G498="5/24"),((база!$M$6*2*Таблица1[[#This Row],[Столбец1]]*Таблица1[[#This Row],[коэф]])),
IF(OR(G498="4/24",G498="3/24"),((база!$M$5*2*Таблица1[[#This Row],[Столбец1]]*Таблица1[[#This Row],[коэф]])),
IF((G498="5/16"),((база!$L$6*2*Таблица1[[#This Row],[Столбец1]]*Таблица1[[#This Row],[коэф]])),
IF(OR(G498="4/16",G498="3/16"),((база!$L$5*2*Таблица1[[#This Row],[Столбец1]]*Таблица1[[#This Row],[коэф]])),
IF(OR(G498="2/4",G498="3/4",G498="4/4"),((база!$I$5*2*Таблица1[[#This Row],[Столбец1]]*Таблица1[[#This Row],[коэф]])),
IF((G498="5/8"),((база!$J$6*2*Таблица1[[#This Row],[Столбец1]]*Таблица1[[#This Row],[коэф]])),
IF(OR(G498="4/8",G498="3/8",G498="2/8"),((база!$J$5*2*Таблица1[[#This Row],[Столбец1]]*Таблица1[[#This Row],[коэф]])))))))))))</f>
        <v>0</v>
      </c>
      <c r="AQ498" s="712" t="str">
        <f>IFERROR(INDEX(база!T:T, MATCH(F498,база!Q:Q,0)),"")</f>
        <v/>
      </c>
      <c r="AR498" s="208" t="str">
        <f>IFERROR(INDEX(база!D:D, MATCH(F498,база!B:B,0)),"")</f>
        <v/>
      </c>
      <c r="AS498" s="758" t="str">
        <f>IFERROR(INDEX(база!E:E, MATCH(F498,база!B:B,0)),"")</f>
        <v/>
      </c>
    </row>
    <row r="499" spans="1:45" s="46" customFormat="1" ht="15">
      <c r="A499" s="66" t="str">
        <f t="shared" si="9"/>
        <v>январь</v>
      </c>
      <c r="B499" s="231">
        <v>2024</v>
      </c>
      <c r="C499" s="299"/>
      <c r="D499" s="61"/>
      <c r="E499" s="211"/>
      <c r="F499" s="680"/>
      <c r="G499" s="47"/>
      <c r="H499" s="563"/>
      <c r="I499" s="563"/>
      <c r="J499" s="563"/>
      <c r="K499" s="563"/>
      <c r="L499" s="563"/>
      <c r="M499" s="563"/>
      <c r="N499" s="563"/>
      <c r="O499" s="563"/>
      <c r="P499" s="300"/>
      <c r="Q499" s="563"/>
      <c r="R499" s="563"/>
      <c r="S499" s="563"/>
      <c r="T499" s="563"/>
      <c r="U499" s="563"/>
      <c r="V499" s="563"/>
      <c r="W499" s="563"/>
      <c r="X499" s="563"/>
      <c r="Y499" s="563"/>
      <c r="Z499" s="563"/>
      <c r="AA499" s="563"/>
      <c r="AB499" s="563"/>
      <c r="AC499" s="563"/>
      <c r="AD499" s="48"/>
      <c r="AE499" s="48"/>
      <c r="AF499" s="258"/>
      <c r="AG499" s="48"/>
      <c r="AH499" s="48"/>
      <c r="AI499" s="48"/>
      <c r="AJ499" s="48"/>
      <c r="AK499" s="48"/>
      <c r="AL499" s="51"/>
      <c r="AM499" s="212">
        <f>IF(AQ499=1,SUM(Q499:T499,W499:Z499,AC499:AF499,AI499:AL499),
IF(AQ499=2,SUM(P499,S499:V499,Y499:AB499,AE499:AH499,AK499:AL499),
IF(AQ499=3,SUM(P499:R499,U499:X499,AA499:AD499,AG499:AJ499),SUM(Таблица1[[#This Row],[1]:[31]])-Таблица1[[#This Row],[Столбец1]])))</f>
        <v>0</v>
      </c>
      <c r="AN499" s="778">
        <f t="array" ref="AN499">IF(AQ499=1,SUM(P499,U499:V499,AA499:AB499,AG499:AH499),
IF(AQ499=2,SUM(Q499:R499,W499:X499,AC499:AD499,AI499:AJ499),
IF(AQ499=3,SUM(S499:T499,Y499:Z499,AE499:AF499,AK499:AL499),
SUM(IFERROR(WEEKDAY($H$2:$AL$2,2)&gt;5,)*H499:AL499))))+Таблица1[[#This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499" s="292" t="b">
        <f>IF(AR499&lt;=3,(IF((G499="5/24"),((база!$M$6*Таблица1[[#This Row],[сумма]]*Таблица1[[#This Row],[коэф]])),
IF((G499="4/24"),((база!$M$5*Таблица1[[#This Row],[сумма]]*Таблица1[[#This Row],[коэф]])),
IF((G499="3/24"),((база!$M$4*Таблица1[[#This Row],[сумма]]*Таблица1[[#This Row],[коэф]])),
IF((G499="5/16"),((база!$L$6*Таблица1[[#This Row],[сумма]]*Таблица1[[#This Row],[коэф]])),
IF((G499="4/16"),((база!$L$5*Таблица1[[#This Row],[сумма]]*Таблица1[[#This Row],[коэф]])),
IF((G499="3/16"),((база!$L$4*Таблица1[[#This Row],[сумма]]*Таблица1[[#This Row],[коэф]])),
IF((G499="4/4"),((база!$I$5*Таблица1[[#This Row],[сумма]]*Таблица1[[#This Row],[коэф]])),
IF(OR(G499="2/4",G499="3/4"),((база!$I$4*Таблица1[[#This Row],[сумма]]*Таблица1[[#This Row],[коэф]])),
IF((G499="5/8"),((база!$J$6*Таблица1[[#This Row],[сумма]]*Таблица1[[#This Row],[коэф]])),
IF((G499="4/8"),((база!$J$5*Таблица1[[#This Row],[сумма]]*Таблица1[[#This Row],[коэф]])),
IF(OR(G499="3/8",G499="2/8"),((база!$J$4*Таблица1[[#This Row],[сумма]]*Таблица1[[#This Row],[коэф]])))))))))))))),
(IF((G499="5/24"),((база!$M$6*Таблица1[[#This Row],[сумма]]*Таблица1[[#This Row],[коэф]])),
IF(OR(G499="4/24",G499="3/24"),((база!$M$5*Таблица1[[#This Row],[сумма]]*Таблица1[[#This Row],[коэф]])),
IF((G499="5/16"),((база!$L$6*Таблица1[[#This Row],[сумма]]*Таблица1[[#This Row],[коэф]])),
IF(OR(G499="4/16",G499="3/16"),((база!$L$5*Таблица1[[#This Row],[сумма]]*Таблица1[[#This Row],[коэф]])),
IF(OR(G499="2/4",G499="3/4",G499="4/4"),((база!$I$5*Таблица1[[#This Row],[сумма]]*Таблица1[[#This Row],[коэф]])),
IF((G499="5/8"),((база!$J$6*Таблица1[[#This Row],[сумма]]*Таблица1[[#This Row],[коэф]])),
IF(OR(G499="4/8",G499="3/8",G499="2/8"),((база!$J$5*Таблица1[[#This Row],[сумма]]*Таблица1[[#This Row],[коэф]])))))))))))</f>
        <v>0</v>
      </c>
      <c r="AP499" s="730" t="b">
        <f>IF(AR499&lt;=3,(IF((G499="5/24"),((база!$M$6*2*Таблица1[[#This Row],[Столбец1]]*Таблица1[[#This Row],[коэф]])),
IF((G499="4/24"),((база!$M$5*2*Таблица1[[#This Row],[Столбец1]]*Таблица1[[#This Row],[коэф]])),
IF((G499="3/24"),((база!$M$4*2*Таблица1[[#This Row],[Столбец1]]*Таблица1[[#This Row],[коэф]])),
IF((G499="5/16"),((база!$L$6*2*Таблица1[[#This Row],[Столбец1]]*Таблица1[[#This Row],[коэф]])),
IF((G499="4/16"),((база!$L$5*2*Таблица1[[#This Row],[Столбец1]]*Таблица1[[#This Row],[коэф]])),
IF((G499="3/16"),((база!$L$4*2*Таблица1[[#This Row],[Столбец1]]*Таблица1[[#This Row],[коэф]])),
IF((G499="4/4"),((база!$I$5*2*Таблица1[[#This Row],[Столбец1]]*Таблица1[[#This Row],[коэф]])),
IF(OR(G499="2/4",G499="3/4"),((база!$I$4*2*Таблица1[[#This Row],[Столбец1]]*Таблица1[[#This Row],[коэф]])),
IF((G499="5/8"),((база!$J$6*2*Таблица1[[#This Row],[Столбец1]]*Таблица1[[#This Row],[коэф]])),
IF((G499="4/8"),((база!$J$5*2*Таблица1[[#This Row],[Столбец1]]*Таблица1[[#This Row],[коэф]])),
IF(OR(G499="3/8",G499="2/8"),((база!$J$4*2*Таблица1[[#This Row],[Столбец1]]*Таблица1[[#This Row],[коэф]])))))))))))))),
(IF((G499="5/24"),((база!$M$6*2*Таблица1[[#This Row],[Столбец1]]*Таблица1[[#This Row],[коэф]])),
IF(OR(G499="4/24",G499="3/24"),((база!$M$5*2*Таблица1[[#This Row],[Столбец1]]*Таблица1[[#This Row],[коэф]])),
IF((G499="5/16"),((база!$L$6*2*Таблица1[[#This Row],[Столбец1]]*Таблица1[[#This Row],[коэф]])),
IF(OR(G499="4/16",G499="3/16"),((база!$L$5*2*Таблица1[[#This Row],[Столбец1]]*Таблица1[[#This Row],[коэф]])),
IF(OR(G499="2/4",G499="3/4",G499="4/4"),((база!$I$5*2*Таблица1[[#This Row],[Столбец1]]*Таблица1[[#This Row],[коэф]])),
IF((G499="5/8"),((база!$J$6*2*Таблица1[[#This Row],[Столбец1]]*Таблица1[[#This Row],[коэф]])),
IF(OR(G499="4/8",G499="3/8",G499="2/8"),((база!$J$5*2*Таблица1[[#This Row],[Столбец1]]*Таблица1[[#This Row],[коэф]])))))))))))</f>
        <v>0</v>
      </c>
      <c r="AQ499" s="712" t="str">
        <f>IFERROR(INDEX(база!T:T, MATCH(F499,база!Q:Q,0)),"")</f>
        <v/>
      </c>
      <c r="AR499" s="208" t="str">
        <f>IFERROR(INDEX(база!D:D, MATCH(F499,база!B:B,0)),"")</f>
        <v/>
      </c>
      <c r="AS499" s="758" t="str">
        <f>IFERROR(INDEX(база!E:E, MATCH(F499,база!B:B,0)),"")</f>
        <v/>
      </c>
    </row>
    <row r="500" spans="1:45" s="46" customFormat="1" ht="15">
      <c r="A500" s="66" t="str">
        <f t="shared" si="9"/>
        <v>январь</v>
      </c>
      <c r="B500" s="231">
        <v>2024</v>
      </c>
      <c r="C500" s="299"/>
      <c r="D500" s="61"/>
      <c r="E500" s="211"/>
      <c r="F500" s="680"/>
      <c r="G500" s="47"/>
      <c r="H500" s="563"/>
      <c r="I500" s="563"/>
      <c r="J500" s="563"/>
      <c r="K500" s="563"/>
      <c r="L500" s="563"/>
      <c r="M500" s="563"/>
      <c r="N500" s="563"/>
      <c r="O500" s="563"/>
      <c r="P500" s="300"/>
      <c r="Q500" s="563"/>
      <c r="R500" s="563"/>
      <c r="S500" s="563"/>
      <c r="T500" s="563"/>
      <c r="U500" s="563"/>
      <c r="V500" s="563"/>
      <c r="W500" s="563"/>
      <c r="X500" s="563"/>
      <c r="Y500" s="563"/>
      <c r="Z500" s="563"/>
      <c r="AA500" s="563"/>
      <c r="AB500" s="563"/>
      <c r="AC500" s="563"/>
      <c r="AD500" s="48"/>
      <c r="AE500" s="48"/>
      <c r="AF500" s="258"/>
      <c r="AG500" s="48"/>
      <c r="AH500" s="48"/>
      <c r="AI500" s="258"/>
      <c r="AJ500" s="258"/>
      <c r="AK500" s="258"/>
      <c r="AL500" s="258"/>
      <c r="AM500" s="212">
        <f>IF(AQ500=1,SUM(Q500:T500,W500:Z500,AC500:AF500,AI500:AL500),
IF(AQ500=2,SUM(P500,S500:V500,Y500:AB500,AE500:AH500,AK500:AL500),
IF(AQ500=3,SUM(P500:R500,U500:X500,AA500:AD500,AG500:AJ500),SUM(Таблица1[[#This Row],[1]:[31]])-Таблица1[[#This Row],[Столбец1]])))</f>
        <v>0</v>
      </c>
      <c r="AN500" s="778">
        <f t="array" ref="AN500">IF(AQ500=1,SUM(P500,U500:V500,AA500:AB500,AG500:AH500),
IF(AQ500=2,SUM(Q500:R500,W500:X500,AC500:AD500,AI500:AJ500),
IF(AQ500=3,SUM(S500:T500,Y500:Z500,AE500:AF500,AK500:AL500),
SUM(IFERROR(WEEKDAY($H$2:$AL$2,2)&gt;5,)*H500:AL500))))+Таблица1[[#This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00" s="292" t="b">
        <f>IF(AR500&lt;=3,(IF((G500="5/24"),((база!$M$6*Таблица1[[#This Row],[сумма]]*Таблица1[[#This Row],[коэф]])),
IF((G500="4/24"),((база!$M$5*Таблица1[[#This Row],[сумма]]*Таблица1[[#This Row],[коэф]])),
IF((G500="3/24"),((база!$M$4*Таблица1[[#This Row],[сумма]]*Таблица1[[#This Row],[коэф]])),
IF((G500="5/16"),((база!$L$6*Таблица1[[#This Row],[сумма]]*Таблица1[[#This Row],[коэф]])),
IF((G500="4/16"),((база!$L$5*Таблица1[[#This Row],[сумма]]*Таблица1[[#This Row],[коэф]])),
IF((G500="3/16"),((база!$L$4*Таблица1[[#This Row],[сумма]]*Таблица1[[#This Row],[коэф]])),
IF((G500="4/4"),((база!$I$5*Таблица1[[#This Row],[сумма]]*Таблица1[[#This Row],[коэф]])),
IF(OR(G500="2/4",G500="3/4"),((база!$I$4*Таблица1[[#This Row],[сумма]]*Таблица1[[#This Row],[коэф]])),
IF((G500="5/8"),((база!$J$6*Таблица1[[#This Row],[сумма]]*Таблица1[[#This Row],[коэф]])),
IF((G500="4/8"),((база!$J$5*Таблица1[[#This Row],[сумма]]*Таблица1[[#This Row],[коэф]])),
IF(OR(G500="3/8",G500="2/8"),((база!$J$4*Таблица1[[#This Row],[сумма]]*Таблица1[[#This Row],[коэф]])))))))))))))),
(IF((G500="5/24"),((база!$M$6*Таблица1[[#This Row],[сумма]]*Таблица1[[#This Row],[коэф]])),
IF(OR(G500="4/24",G500="3/24"),((база!$M$5*Таблица1[[#This Row],[сумма]]*Таблица1[[#This Row],[коэф]])),
IF((G500="5/16"),((база!$L$6*Таблица1[[#This Row],[сумма]]*Таблица1[[#This Row],[коэф]])),
IF(OR(G500="4/16",G500="3/16"),((база!$L$5*Таблица1[[#This Row],[сумма]]*Таблица1[[#This Row],[коэф]])),
IF(OR(G500="2/4",G500="3/4",G500="4/4"),((база!$I$5*Таблица1[[#This Row],[сумма]]*Таблица1[[#This Row],[коэф]])),
IF((G500="5/8"),((база!$J$6*Таблица1[[#This Row],[сумма]]*Таблица1[[#This Row],[коэф]])),
IF(OR(G500="4/8",G500="3/8",G500="2/8"),((база!$J$5*Таблица1[[#This Row],[сумма]]*Таблица1[[#This Row],[коэф]])))))))))))</f>
        <v>0</v>
      </c>
      <c r="AP500" s="730" t="b">
        <f>IF(AR500&lt;=3,(IF((G500="5/24"),((база!$M$6*2*Таблица1[[#This Row],[Столбец1]]*Таблица1[[#This Row],[коэф]])),
IF((G500="4/24"),((база!$M$5*2*Таблица1[[#This Row],[Столбец1]]*Таблица1[[#This Row],[коэф]])),
IF((G500="3/24"),((база!$M$4*2*Таблица1[[#This Row],[Столбец1]]*Таблица1[[#This Row],[коэф]])),
IF((G500="5/16"),((база!$L$6*2*Таблица1[[#This Row],[Столбец1]]*Таблица1[[#This Row],[коэф]])),
IF((G500="4/16"),((база!$L$5*2*Таблица1[[#This Row],[Столбец1]]*Таблица1[[#This Row],[коэф]])),
IF((G500="3/16"),((база!$L$4*2*Таблица1[[#This Row],[Столбец1]]*Таблица1[[#This Row],[коэф]])),
IF((G500="4/4"),((база!$I$5*2*Таблица1[[#This Row],[Столбец1]]*Таблица1[[#This Row],[коэф]])),
IF(OR(G500="2/4",G500="3/4"),((база!$I$4*2*Таблица1[[#This Row],[Столбец1]]*Таблица1[[#This Row],[коэф]])),
IF((G500="5/8"),((база!$J$6*2*Таблица1[[#This Row],[Столбец1]]*Таблица1[[#This Row],[коэф]])),
IF((G500="4/8"),((база!$J$5*2*Таблица1[[#This Row],[Столбец1]]*Таблица1[[#This Row],[коэф]])),
IF(OR(G500="3/8",G500="2/8"),((база!$J$4*2*Таблица1[[#This Row],[Столбец1]]*Таблица1[[#This Row],[коэф]])))))))))))))),
(IF((G500="5/24"),((база!$M$6*2*Таблица1[[#This Row],[Столбец1]]*Таблица1[[#This Row],[коэф]])),
IF(OR(G500="4/24",G500="3/24"),((база!$M$5*2*Таблица1[[#This Row],[Столбец1]]*Таблица1[[#This Row],[коэф]])),
IF((G500="5/16"),((база!$L$6*2*Таблица1[[#This Row],[Столбец1]]*Таблица1[[#This Row],[коэф]])),
IF(OR(G500="4/16",G500="3/16"),((база!$L$5*2*Таблица1[[#This Row],[Столбец1]]*Таблица1[[#This Row],[коэф]])),
IF(OR(G500="2/4",G500="3/4",G500="4/4"),((база!$I$5*2*Таблица1[[#This Row],[Столбец1]]*Таблица1[[#This Row],[коэф]])),
IF((G500="5/8"),((база!$J$6*2*Таблица1[[#This Row],[Столбец1]]*Таблица1[[#This Row],[коэф]])),
IF(OR(G500="4/8",G500="3/8",G500="2/8"),((база!$J$5*2*Таблица1[[#This Row],[Столбец1]]*Таблица1[[#This Row],[коэф]])))))))))))</f>
        <v>0</v>
      </c>
      <c r="AQ500" s="712" t="str">
        <f>IFERROR(INDEX(база!T:T, MATCH(F500,база!Q:Q,0)),"")</f>
        <v/>
      </c>
      <c r="AR500" s="208" t="str">
        <f>IFERROR(INDEX(база!D:D, MATCH(F500,база!B:B,0)),"")</f>
        <v/>
      </c>
      <c r="AS500" s="758" t="str">
        <f>IFERROR(INDEX(база!E:E, MATCH(F500,база!B:B,0)),"")</f>
        <v/>
      </c>
    </row>
    <row r="501" spans="1:45" s="46" customFormat="1" ht="15">
      <c r="A501" s="66" t="str">
        <f t="shared" si="9"/>
        <v>январь</v>
      </c>
      <c r="B501" s="231">
        <v>2024</v>
      </c>
      <c r="C501" s="299"/>
      <c r="D501" s="61"/>
      <c r="E501" s="211"/>
      <c r="F501" s="680"/>
      <c r="G501" s="47"/>
      <c r="H501" s="563"/>
      <c r="I501" s="563"/>
      <c r="J501" s="563"/>
      <c r="K501" s="563"/>
      <c r="L501" s="563"/>
      <c r="M501" s="563"/>
      <c r="N501" s="563"/>
      <c r="O501" s="563"/>
      <c r="P501" s="300"/>
      <c r="Q501" s="563"/>
      <c r="R501" s="563"/>
      <c r="S501" s="563"/>
      <c r="T501" s="563"/>
      <c r="U501" s="563"/>
      <c r="V501" s="563"/>
      <c r="W501" s="563"/>
      <c r="X501" s="563"/>
      <c r="Y501" s="563"/>
      <c r="Z501" s="563"/>
      <c r="AA501" s="563"/>
      <c r="AB501" s="563"/>
      <c r="AC501" s="563"/>
      <c r="AD501" s="48"/>
      <c r="AE501" s="48"/>
      <c r="AF501" s="258"/>
      <c r="AG501" s="48"/>
      <c r="AH501" s="48"/>
      <c r="AI501" s="48"/>
      <c r="AJ501" s="48"/>
      <c r="AK501" s="48"/>
      <c r="AL501" s="51"/>
      <c r="AM501" s="212">
        <f>IF(AQ501=1,SUM(Q501:T501,W501:Z501,AC501:AF501,AI501:AL501),
IF(AQ501=2,SUM(P501,S501:V501,Y501:AB501,AE501:AH501,AK501:AL501),
IF(AQ501=3,SUM(P501:R501,U501:X501,AA501:AD501,AG501:AJ501),SUM(Таблица1[[#This Row],[1]:[31]])-Таблица1[[#This Row],[Столбец1]])))</f>
        <v>0</v>
      </c>
      <c r="AN501" s="778">
        <f t="array" ref="AN501">IF(AQ501=1,SUM(P501,U501:V501,AA501:AB501,AG501:AH501),
IF(AQ501=2,SUM(Q501:R501,W501:X501,AC501:AD501,AI501:AJ501),
IF(AQ501=3,SUM(S501:T501,Y501:Z501,AE501:AF501,AK501:AL501),
SUM(IFERROR(WEEKDAY($H$2:$AL$2,2)&gt;5,)*H501:AL501))))+Таблица1[[#This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01" s="292" t="b">
        <f>IF(AR501&lt;=3,(IF((G501="5/24"),((база!$M$6*Таблица1[[#This Row],[сумма]]*Таблица1[[#This Row],[коэф]])),
IF((G501="4/24"),((база!$M$5*Таблица1[[#This Row],[сумма]]*Таблица1[[#This Row],[коэф]])),
IF((G501="3/24"),((база!$M$4*Таблица1[[#This Row],[сумма]]*Таблица1[[#This Row],[коэф]])),
IF((G501="5/16"),((база!$L$6*Таблица1[[#This Row],[сумма]]*Таблица1[[#This Row],[коэф]])),
IF((G501="4/16"),((база!$L$5*Таблица1[[#This Row],[сумма]]*Таблица1[[#This Row],[коэф]])),
IF((G501="3/16"),((база!$L$4*Таблица1[[#This Row],[сумма]]*Таблица1[[#This Row],[коэф]])),
IF((G501="4/4"),((база!$I$5*Таблица1[[#This Row],[сумма]]*Таблица1[[#This Row],[коэф]])),
IF(OR(G501="2/4",G501="3/4"),((база!$I$4*Таблица1[[#This Row],[сумма]]*Таблица1[[#This Row],[коэф]])),
IF((G501="5/8"),((база!$J$6*Таблица1[[#This Row],[сумма]]*Таблица1[[#This Row],[коэф]])),
IF((G501="4/8"),((база!$J$5*Таблица1[[#This Row],[сумма]]*Таблица1[[#This Row],[коэф]])),
IF(OR(G501="3/8",G501="2/8"),((база!$J$4*Таблица1[[#This Row],[сумма]]*Таблица1[[#This Row],[коэф]])))))))))))))),
(IF((G501="5/24"),((база!$M$6*Таблица1[[#This Row],[сумма]]*Таблица1[[#This Row],[коэф]])),
IF(OR(G501="4/24",G501="3/24"),((база!$M$5*Таблица1[[#This Row],[сумма]]*Таблица1[[#This Row],[коэф]])),
IF((G501="5/16"),((база!$L$6*Таблица1[[#This Row],[сумма]]*Таблица1[[#This Row],[коэф]])),
IF(OR(G501="4/16",G501="3/16"),((база!$L$5*Таблица1[[#This Row],[сумма]]*Таблица1[[#This Row],[коэф]])),
IF(OR(G501="2/4",G501="3/4",G501="4/4"),((база!$I$5*Таблица1[[#This Row],[сумма]]*Таблица1[[#This Row],[коэф]])),
IF((G501="5/8"),((база!$J$6*Таблица1[[#This Row],[сумма]]*Таблица1[[#This Row],[коэф]])),
IF(OR(G501="4/8",G501="3/8",G501="2/8"),((база!$J$5*Таблица1[[#This Row],[сумма]]*Таблица1[[#This Row],[коэф]])))))))))))</f>
        <v>0</v>
      </c>
      <c r="AP501" s="730" t="b">
        <f>IF(AR501&lt;=3,(IF((G501="5/24"),((база!$M$6*2*Таблица1[[#This Row],[Столбец1]]*Таблица1[[#This Row],[коэф]])),
IF((G501="4/24"),((база!$M$5*2*Таблица1[[#This Row],[Столбец1]]*Таблица1[[#This Row],[коэф]])),
IF((G501="3/24"),((база!$M$4*2*Таблица1[[#This Row],[Столбец1]]*Таблица1[[#This Row],[коэф]])),
IF((G501="5/16"),((база!$L$6*2*Таблица1[[#This Row],[Столбец1]]*Таблица1[[#This Row],[коэф]])),
IF((G501="4/16"),((база!$L$5*2*Таблица1[[#This Row],[Столбец1]]*Таблица1[[#This Row],[коэф]])),
IF((G501="3/16"),((база!$L$4*2*Таблица1[[#This Row],[Столбец1]]*Таблица1[[#This Row],[коэф]])),
IF((G501="4/4"),((база!$I$5*2*Таблица1[[#This Row],[Столбец1]]*Таблица1[[#This Row],[коэф]])),
IF(OR(G501="2/4",G501="3/4"),((база!$I$4*2*Таблица1[[#This Row],[Столбец1]]*Таблица1[[#This Row],[коэф]])),
IF((G501="5/8"),((база!$J$6*2*Таблица1[[#This Row],[Столбец1]]*Таблица1[[#This Row],[коэф]])),
IF((G501="4/8"),((база!$J$5*2*Таблица1[[#This Row],[Столбец1]]*Таблица1[[#This Row],[коэф]])),
IF(OR(G501="3/8",G501="2/8"),((база!$J$4*2*Таблица1[[#This Row],[Столбец1]]*Таблица1[[#This Row],[коэф]])))))))))))))),
(IF((G501="5/24"),((база!$M$6*2*Таблица1[[#This Row],[Столбец1]]*Таблица1[[#This Row],[коэф]])),
IF(OR(G501="4/24",G501="3/24"),((база!$M$5*2*Таблица1[[#This Row],[Столбец1]]*Таблица1[[#This Row],[коэф]])),
IF((G501="5/16"),((база!$L$6*2*Таблица1[[#This Row],[Столбец1]]*Таблица1[[#This Row],[коэф]])),
IF(OR(G501="4/16",G501="3/16"),((база!$L$5*2*Таблица1[[#This Row],[Столбец1]]*Таблица1[[#This Row],[коэф]])),
IF(OR(G501="2/4",G501="3/4",G501="4/4"),((база!$I$5*2*Таблица1[[#This Row],[Столбец1]]*Таблица1[[#This Row],[коэф]])),
IF((G501="5/8"),((база!$J$6*2*Таблица1[[#This Row],[Столбец1]]*Таблица1[[#This Row],[коэф]])),
IF(OR(G501="4/8",G501="3/8",G501="2/8"),((база!$J$5*2*Таблица1[[#This Row],[Столбец1]]*Таблица1[[#This Row],[коэф]])))))))))))</f>
        <v>0</v>
      </c>
      <c r="AQ501" s="712" t="str">
        <f>IFERROR(INDEX(база!T:T, MATCH(F501,база!Q:Q,0)),"")</f>
        <v/>
      </c>
      <c r="AR501" s="208" t="str">
        <f>IFERROR(INDEX(база!D:D, MATCH(F501,база!B:B,0)),"")</f>
        <v/>
      </c>
      <c r="AS501" s="758" t="str">
        <f>IFERROR(INDEX(база!E:E, MATCH(F501,база!B:B,0)),"")</f>
        <v/>
      </c>
    </row>
    <row r="502" spans="1:45" s="46" customFormat="1" ht="15">
      <c r="A502" s="66" t="str">
        <f t="shared" si="9"/>
        <v>январь</v>
      </c>
      <c r="B502" s="231">
        <v>2024</v>
      </c>
      <c r="C502" s="299"/>
      <c r="D502" s="61"/>
      <c r="E502" s="211"/>
      <c r="F502" s="680"/>
      <c r="G502" s="47"/>
      <c r="H502" s="563"/>
      <c r="I502" s="563"/>
      <c r="J502" s="563"/>
      <c r="K502" s="563"/>
      <c r="L502" s="563"/>
      <c r="M502" s="563"/>
      <c r="N502" s="563"/>
      <c r="O502" s="563"/>
      <c r="P502" s="300"/>
      <c r="Q502" s="563"/>
      <c r="R502" s="563"/>
      <c r="S502" s="563"/>
      <c r="T502" s="563"/>
      <c r="U502" s="563"/>
      <c r="V502" s="563"/>
      <c r="W502" s="563"/>
      <c r="X502" s="563"/>
      <c r="Y502" s="563"/>
      <c r="Z502" s="563"/>
      <c r="AA502" s="563"/>
      <c r="AB502" s="563"/>
      <c r="AC502" s="563"/>
      <c r="AD502" s="48"/>
      <c r="AE502" s="48"/>
      <c r="AF502" s="258"/>
      <c r="AG502" s="48"/>
      <c r="AH502" s="48"/>
      <c r="AI502" s="258"/>
      <c r="AJ502" s="258"/>
      <c r="AK502" s="258"/>
      <c r="AL502" s="258"/>
      <c r="AM502" s="212">
        <f>IF(AQ502=1,SUM(Q502:T502,W502:Z502,AC502:AF502,AI502:AL502),
IF(AQ502=2,SUM(P502,S502:V502,Y502:AB502,AE502:AH502,AK502:AL502),
IF(AQ502=3,SUM(P502:R502,U502:X502,AA502:AD502,AG502:AJ502),SUM(Таблица1[[#This Row],[1]:[31]])-Таблица1[[#This Row],[Столбец1]])))</f>
        <v>0</v>
      </c>
      <c r="AN502" s="778">
        <f t="array" ref="AN502">IF(AQ502=1,SUM(P502,U502:V502,AA502:AB502,AG502:AH502),
IF(AQ502=2,SUM(Q502:R502,W502:X502,AC502:AD502,AI502:AJ502),
IF(AQ502=3,SUM(S502:T502,Y502:Z502,AE502:AF502,AK502:AL502),
SUM(IFERROR(WEEKDAY($H$2:$AL$2,2)&gt;5,)*H502:AL502))))+Таблица1[[#This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02" s="292" t="b">
        <f>IF(AR502&lt;=3,(IF((G502="5/24"),((база!$M$6*Таблица1[[#This Row],[сумма]]*Таблица1[[#This Row],[коэф]])),
IF((G502="4/24"),((база!$M$5*Таблица1[[#This Row],[сумма]]*Таблица1[[#This Row],[коэф]])),
IF((G502="3/24"),((база!$M$4*Таблица1[[#This Row],[сумма]]*Таблица1[[#This Row],[коэф]])),
IF((G502="5/16"),((база!$L$6*Таблица1[[#This Row],[сумма]]*Таблица1[[#This Row],[коэф]])),
IF((G502="4/16"),((база!$L$5*Таблица1[[#This Row],[сумма]]*Таблица1[[#This Row],[коэф]])),
IF((G502="3/16"),((база!$L$4*Таблица1[[#This Row],[сумма]]*Таблица1[[#This Row],[коэф]])),
IF((G502="4/4"),((база!$I$5*Таблица1[[#This Row],[сумма]]*Таблица1[[#This Row],[коэф]])),
IF(OR(G502="2/4",G502="3/4"),((база!$I$4*Таблица1[[#This Row],[сумма]]*Таблица1[[#This Row],[коэф]])),
IF((G502="5/8"),((база!$J$6*Таблица1[[#This Row],[сумма]]*Таблица1[[#This Row],[коэф]])),
IF((G502="4/8"),((база!$J$5*Таблица1[[#This Row],[сумма]]*Таблица1[[#This Row],[коэф]])),
IF(OR(G502="3/8",G502="2/8"),((база!$J$4*Таблица1[[#This Row],[сумма]]*Таблица1[[#This Row],[коэф]])))))))))))))),
(IF((G502="5/24"),((база!$M$6*Таблица1[[#This Row],[сумма]]*Таблица1[[#This Row],[коэф]])),
IF(OR(G502="4/24",G502="3/24"),((база!$M$5*Таблица1[[#This Row],[сумма]]*Таблица1[[#This Row],[коэф]])),
IF((G502="5/16"),((база!$L$6*Таблица1[[#This Row],[сумма]]*Таблица1[[#This Row],[коэф]])),
IF(OR(G502="4/16",G502="3/16"),((база!$L$5*Таблица1[[#This Row],[сумма]]*Таблица1[[#This Row],[коэф]])),
IF(OR(G502="2/4",G502="3/4",G502="4/4"),((база!$I$5*Таблица1[[#This Row],[сумма]]*Таблица1[[#This Row],[коэф]])),
IF((G502="5/8"),((база!$J$6*Таблица1[[#This Row],[сумма]]*Таблица1[[#This Row],[коэф]])),
IF(OR(G502="4/8",G502="3/8",G502="2/8"),((база!$J$5*Таблица1[[#This Row],[сумма]]*Таблица1[[#This Row],[коэф]])))))))))))</f>
        <v>0</v>
      </c>
      <c r="AP502" s="730" t="b">
        <f>IF(AR502&lt;=3,(IF((G502="5/24"),((база!$M$6*2*Таблица1[[#This Row],[Столбец1]]*Таблица1[[#This Row],[коэф]])),
IF((G502="4/24"),((база!$M$5*2*Таблица1[[#This Row],[Столбец1]]*Таблица1[[#This Row],[коэф]])),
IF((G502="3/24"),((база!$M$4*2*Таблица1[[#This Row],[Столбец1]]*Таблица1[[#This Row],[коэф]])),
IF((G502="5/16"),((база!$L$6*2*Таблица1[[#This Row],[Столбец1]]*Таблица1[[#This Row],[коэф]])),
IF((G502="4/16"),((база!$L$5*2*Таблица1[[#This Row],[Столбец1]]*Таблица1[[#This Row],[коэф]])),
IF((G502="3/16"),((база!$L$4*2*Таблица1[[#This Row],[Столбец1]]*Таблица1[[#This Row],[коэф]])),
IF((G502="4/4"),((база!$I$5*2*Таблица1[[#This Row],[Столбец1]]*Таблица1[[#This Row],[коэф]])),
IF(OR(G502="2/4",G502="3/4"),((база!$I$4*2*Таблица1[[#This Row],[Столбец1]]*Таблица1[[#This Row],[коэф]])),
IF((G502="5/8"),((база!$J$6*2*Таблица1[[#This Row],[Столбец1]]*Таблица1[[#This Row],[коэф]])),
IF((G502="4/8"),((база!$J$5*2*Таблица1[[#This Row],[Столбец1]]*Таблица1[[#This Row],[коэф]])),
IF(OR(G502="3/8",G502="2/8"),((база!$J$4*2*Таблица1[[#This Row],[Столбец1]]*Таблица1[[#This Row],[коэф]])))))))))))))),
(IF((G502="5/24"),((база!$M$6*2*Таблица1[[#This Row],[Столбец1]]*Таблица1[[#This Row],[коэф]])),
IF(OR(G502="4/24",G502="3/24"),((база!$M$5*2*Таблица1[[#This Row],[Столбец1]]*Таблица1[[#This Row],[коэф]])),
IF((G502="5/16"),((база!$L$6*2*Таблица1[[#This Row],[Столбец1]]*Таблица1[[#This Row],[коэф]])),
IF(OR(G502="4/16",G502="3/16"),((база!$L$5*2*Таблица1[[#This Row],[Столбец1]]*Таблица1[[#This Row],[коэф]])),
IF(OR(G502="2/4",G502="3/4",G502="4/4"),((база!$I$5*2*Таблица1[[#This Row],[Столбец1]]*Таблица1[[#This Row],[коэф]])),
IF((G502="5/8"),((база!$J$6*2*Таблица1[[#This Row],[Столбец1]]*Таблица1[[#This Row],[коэф]])),
IF(OR(G502="4/8",G502="3/8",G502="2/8"),((база!$J$5*2*Таблица1[[#This Row],[Столбец1]]*Таблица1[[#This Row],[коэф]])))))))))))</f>
        <v>0</v>
      </c>
      <c r="AQ502" s="712" t="str">
        <f>IFERROR(INDEX(база!T:T, MATCH(F502,база!Q:Q,0)),"")</f>
        <v/>
      </c>
      <c r="AR502" s="208" t="str">
        <f>IFERROR(INDEX(база!D:D, MATCH(F502,база!B:B,0)),"")</f>
        <v/>
      </c>
      <c r="AS502" s="758" t="str">
        <f>IFERROR(INDEX(база!E:E, MATCH(F502,база!B:B,0)),"")</f>
        <v/>
      </c>
    </row>
    <row r="503" spans="1:45" s="46" customFormat="1" ht="15">
      <c r="A503" s="66" t="str">
        <f t="shared" si="9"/>
        <v>январь</v>
      </c>
      <c r="B503" s="231">
        <v>2024</v>
      </c>
      <c r="C503" s="299"/>
      <c r="D503" s="61"/>
      <c r="E503" s="211"/>
      <c r="F503" s="680"/>
      <c r="G503" s="47"/>
      <c r="H503" s="563"/>
      <c r="I503" s="563"/>
      <c r="J503" s="563"/>
      <c r="K503" s="563"/>
      <c r="L503" s="563"/>
      <c r="M503" s="563"/>
      <c r="N503" s="563"/>
      <c r="O503" s="563"/>
      <c r="P503" s="300"/>
      <c r="Q503" s="563"/>
      <c r="R503" s="563"/>
      <c r="S503" s="563"/>
      <c r="T503" s="563"/>
      <c r="U503" s="563"/>
      <c r="V503" s="563"/>
      <c r="W503" s="563"/>
      <c r="X503" s="563"/>
      <c r="Y503" s="563"/>
      <c r="Z503" s="563"/>
      <c r="AA503" s="563"/>
      <c r="AB503" s="563"/>
      <c r="AC503" s="563"/>
      <c r="AD503" s="48"/>
      <c r="AE503" s="48"/>
      <c r="AF503" s="258"/>
      <c r="AG503" s="48"/>
      <c r="AH503" s="48"/>
      <c r="AI503" s="48"/>
      <c r="AJ503" s="48"/>
      <c r="AK503" s="48"/>
      <c r="AL503" s="51"/>
      <c r="AM503" s="212">
        <f>IF(AQ503=1,SUM(Q503:T503,W503:Z503,AC503:AF503,AI503:AL503),
IF(AQ503=2,SUM(P503,S503:V503,Y503:AB503,AE503:AH503,AK503:AL503),
IF(AQ503=3,SUM(P503:R503,U503:X503,AA503:AD503,AG503:AJ503),SUM(Таблица1[[#This Row],[1]:[31]])-Таблица1[[#This Row],[Столбец1]])))</f>
        <v>0</v>
      </c>
      <c r="AN503" s="778">
        <f t="array" ref="AN503">IF(AQ503=1,SUM(P503,U503:V503,AA503:AB503,AG503:AH503),
IF(AQ503=2,SUM(Q503:R503,W503:X503,AC503:AD503,AI503:AJ503),
IF(AQ503=3,SUM(S503:T503,Y503:Z503,AE503:AF503,AK503:AL503),
SUM(IFERROR(WEEKDAY($H$2:$AL$2,2)&gt;5,)*H503:AL503))))+Таблица1[[#This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03" s="292" t="b">
        <f>IF(AR503&lt;=3,(IF((G503="5/24"),((база!$M$6*Таблица1[[#This Row],[сумма]]*Таблица1[[#This Row],[коэф]])),
IF((G503="4/24"),((база!$M$5*Таблица1[[#This Row],[сумма]]*Таблица1[[#This Row],[коэф]])),
IF((G503="3/24"),((база!$M$4*Таблица1[[#This Row],[сумма]]*Таблица1[[#This Row],[коэф]])),
IF((G503="5/16"),((база!$L$6*Таблица1[[#This Row],[сумма]]*Таблица1[[#This Row],[коэф]])),
IF((G503="4/16"),((база!$L$5*Таблица1[[#This Row],[сумма]]*Таблица1[[#This Row],[коэф]])),
IF((G503="3/16"),((база!$L$4*Таблица1[[#This Row],[сумма]]*Таблица1[[#This Row],[коэф]])),
IF((G503="4/4"),((база!$I$5*Таблица1[[#This Row],[сумма]]*Таблица1[[#This Row],[коэф]])),
IF(OR(G503="2/4",G503="3/4"),((база!$I$4*Таблица1[[#This Row],[сумма]]*Таблица1[[#This Row],[коэф]])),
IF((G503="5/8"),((база!$J$6*Таблица1[[#This Row],[сумма]]*Таблица1[[#This Row],[коэф]])),
IF((G503="4/8"),((база!$J$5*Таблица1[[#This Row],[сумма]]*Таблица1[[#This Row],[коэф]])),
IF(OR(G503="3/8",G503="2/8"),((база!$J$4*Таблица1[[#This Row],[сумма]]*Таблица1[[#This Row],[коэф]])))))))))))))),
(IF((G503="5/24"),((база!$M$6*Таблица1[[#This Row],[сумма]]*Таблица1[[#This Row],[коэф]])),
IF(OR(G503="4/24",G503="3/24"),((база!$M$5*Таблица1[[#This Row],[сумма]]*Таблица1[[#This Row],[коэф]])),
IF((G503="5/16"),((база!$L$6*Таблица1[[#This Row],[сумма]]*Таблица1[[#This Row],[коэф]])),
IF(OR(G503="4/16",G503="3/16"),((база!$L$5*Таблица1[[#This Row],[сумма]]*Таблица1[[#This Row],[коэф]])),
IF(OR(G503="2/4",G503="3/4",G503="4/4"),((база!$I$5*Таблица1[[#This Row],[сумма]]*Таблица1[[#This Row],[коэф]])),
IF((G503="5/8"),((база!$J$6*Таблица1[[#This Row],[сумма]]*Таблица1[[#This Row],[коэф]])),
IF(OR(G503="4/8",G503="3/8",G503="2/8"),((база!$J$5*Таблица1[[#This Row],[сумма]]*Таблица1[[#This Row],[коэф]])))))))))))</f>
        <v>0</v>
      </c>
      <c r="AP503" s="730" t="b">
        <f>IF(AR503&lt;=3,(IF((G503="5/24"),((база!$M$6*2*Таблица1[[#This Row],[Столбец1]]*Таблица1[[#This Row],[коэф]])),
IF((G503="4/24"),((база!$M$5*2*Таблица1[[#This Row],[Столбец1]]*Таблица1[[#This Row],[коэф]])),
IF((G503="3/24"),((база!$M$4*2*Таблица1[[#This Row],[Столбец1]]*Таблица1[[#This Row],[коэф]])),
IF((G503="5/16"),((база!$L$6*2*Таблица1[[#This Row],[Столбец1]]*Таблица1[[#This Row],[коэф]])),
IF((G503="4/16"),((база!$L$5*2*Таблица1[[#This Row],[Столбец1]]*Таблица1[[#This Row],[коэф]])),
IF((G503="3/16"),((база!$L$4*2*Таблица1[[#This Row],[Столбец1]]*Таблица1[[#This Row],[коэф]])),
IF((G503="4/4"),((база!$I$5*2*Таблица1[[#This Row],[Столбец1]]*Таблица1[[#This Row],[коэф]])),
IF(OR(G503="2/4",G503="3/4"),((база!$I$4*2*Таблица1[[#This Row],[Столбец1]]*Таблица1[[#This Row],[коэф]])),
IF((G503="5/8"),((база!$J$6*2*Таблица1[[#This Row],[Столбец1]]*Таблица1[[#This Row],[коэф]])),
IF((G503="4/8"),((база!$J$5*2*Таблица1[[#This Row],[Столбец1]]*Таблица1[[#This Row],[коэф]])),
IF(OR(G503="3/8",G503="2/8"),((база!$J$4*2*Таблица1[[#This Row],[Столбец1]]*Таблица1[[#This Row],[коэф]])))))))))))))),
(IF((G503="5/24"),((база!$M$6*2*Таблица1[[#This Row],[Столбец1]]*Таблица1[[#This Row],[коэф]])),
IF(OR(G503="4/24",G503="3/24"),((база!$M$5*2*Таблица1[[#This Row],[Столбец1]]*Таблица1[[#This Row],[коэф]])),
IF((G503="5/16"),((база!$L$6*2*Таблица1[[#This Row],[Столбец1]]*Таблица1[[#This Row],[коэф]])),
IF(OR(G503="4/16",G503="3/16"),((база!$L$5*2*Таблица1[[#This Row],[Столбец1]]*Таблица1[[#This Row],[коэф]])),
IF(OR(G503="2/4",G503="3/4",G503="4/4"),((база!$I$5*2*Таблица1[[#This Row],[Столбец1]]*Таблица1[[#This Row],[коэф]])),
IF((G503="5/8"),((база!$J$6*2*Таблица1[[#This Row],[Столбец1]]*Таблица1[[#This Row],[коэф]])),
IF(OR(G503="4/8",G503="3/8",G503="2/8"),((база!$J$5*2*Таблица1[[#This Row],[Столбец1]]*Таблица1[[#This Row],[коэф]])))))))))))</f>
        <v>0</v>
      </c>
      <c r="AQ503" s="712" t="str">
        <f>IFERROR(INDEX(база!T:T, MATCH(F503,база!Q:Q,0)),"")</f>
        <v/>
      </c>
      <c r="AR503" s="208" t="str">
        <f>IFERROR(INDEX(база!D:D, MATCH(F503,база!B:B,0)),"")</f>
        <v/>
      </c>
      <c r="AS503" s="758" t="str">
        <f>IFERROR(INDEX(база!E:E, MATCH(F503,база!B:B,0)),"")</f>
        <v/>
      </c>
    </row>
    <row r="504" spans="1:45" s="46" customFormat="1" ht="15">
      <c r="A504" s="66" t="str">
        <f t="shared" si="9"/>
        <v>январь</v>
      </c>
      <c r="B504" s="231">
        <v>2024</v>
      </c>
      <c r="C504" s="299"/>
      <c r="D504" s="61"/>
      <c r="E504" s="211"/>
      <c r="F504" s="680"/>
      <c r="G504" s="47"/>
      <c r="H504" s="563"/>
      <c r="I504" s="563"/>
      <c r="J504" s="563"/>
      <c r="K504" s="563"/>
      <c r="L504" s="563"/>
      <c r="M504" s="563"/>
      <c r="N504" s="563"/>
      <c r="O504" s="563"/>
      <c r="P504" s="300"/>
      <c r="Q504" s="563"/>
      <c r="R504" s="563"/>
      <c r="S504" s="563"/>
      <c r="T504" s="563"/>
      <c r="U504" s="563"/>
      <c r="V504" s="563"/>
      <c r="W504" s="563"/>
      <c r="X504" s="563"/>
      <c r="Y504" s="563"/>
      <c r="Z504" s="563"/>
      <c r="AA504" s="563"/>
      <c r="AB504" s="563"/>
      <c r="AC504" s="563"/>
      <c r="AD504" s="48"/>
      <c r="AE504" s="48"/>
      <c r="AF504" s="258"/>
      <c r="AG504" s="48"/>
      <c r="AH504" s="48"/>
      <c r="AI504" s="258"/>
      <c r="AJ504" s="258"/>
      <c r="AK504" s="258"/>
      <c r="AL504" s="258"/>
      <c r="AM504" s="212">
        <f>IF(AQ504=1,SUM(Q504:T504,W504:Z504,AC504:AF504,AI504:AL504),
IF(AQ504=2,SUM(P504,S504:V504,Y504:AB504,AE504:AH504,AK504:AL504),
IF(AQ504=3,SUM(P504:R504,U504:X504,AA504:AD504,AG504:AJ504),SUM(Таблица1[[#This Row],[1]:[31]])-Таблица1[[#This Row],[Столбец1]])))</f>
        <v>0</v>
      </c>
      <c r="AN504" s="778">
        <f t="array" ref="AN504">IF(AQ504=1,SUM(P504,U504:V504,AA504:AB504,AG504:AH504),
IF(AQ504=2,SUM(Q504:R504,W504:X504,AC504:AD504,AI504:AJ504),
IF(AQ504=3,SUM(S504:T504,Y504:Z504,AE504:AF504,AK504:AL504),
SUM(IFERROR(WEEKDAY($H$2:$AL$2,2)&gt;5,)*H504:AL504))))+Таблица1[[#This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04" s="292" t="b">
        <f>IF(AR504&lt;=3,(IF((G504="5/24"),((база!$M$6*Таблица1[[#This Row],[сумма]]*Таблица1[[#This Row],[коэф]])),
IF((G504="4/24"),((база!$M$5*Таблица1[[#This Row],[сумма]]*Таблица1[[#This Row],[коэф]])),
IF((G504="3/24"),((база!$M$4*Таблица1[[#This Row],[сумма]]*Таблица1[[#This Row],[коэф]])),
IF((G504="5/16"),((база!$L$6*Таблица1[[#This Row],[сумма]]*Таблица1[[#This Row],[коэф]])),
IF((G504="4/16"),((база!$L$5*Таблица1[[#This Row],[сумма]]*Таблица1[[#This Row],[коэф]])),
IF((G504="3/16"),((база!$L$4*Таблица1[[#This Row],[сумма]]*Таблица1[[#This Row],[коэф]])),
IF((G504="4/4"),((база!$I$5*Таблица1[[#This Row],[сумма]]*Таблица1[[#This Row],[коэф]])),
IF(OR(G504="2/4",G504="3/4"),((база!$I$4*Таблица1[[#This Row],[сумма]]*Таблица1[[#This Row],[коэф]])),
IF((G504="5/8"),((база!$J$6*Таблица1[[#This Row],[сумма]]*Таблица1[[#This Row],[коэф]])),
IF((G504="4/8"),((база!$J$5*Таблица1[[#This Row],[сумма]]*Таблица1[[#This Row],[коэф]])),
IF(OR(G504="3/8",G504="2/8"),((база!$J$4*Таблица1[[#This Row],[сумма]]*Таблица1[[#This Row],[коэф]])))))))))))))),
(IF((G504="5/24"),((база!$M$6*Таблица1[[#This Row],[сумма]]*Таблица1[[#This Row],[коэф]])),
IF(OR(G504="4/24",G504="3/24"),((база!$M$5*Таблица1[[#This Row],[сумма]]*Таблица1[[#This Row],[коэф]])),
IF((G504="5/16"),((база!$L$6*Таблица1[[#This Row],[сумма]]*Таблица1[[#This Row],[коэф]])),
IF(OR(G504="4/16",G504="3/16"),((база!$L$5*Таблица1[[#This Row],[сумма]]*Таблица1[[#This Row],[коэф]])),
IF(OR(G504="2/4",G504="3/4",G504="4/4"),((база!$I$5*Таблица1[[#This Row],[сумма]]*Таблица1[[#This Row],[коэф]])),
IF((G504="5/8"),((база!$J$6*Таблица1[[#This Row],[сумма]]*Таблица1[[#This Row],[коэф]])),
IF(OR(G504="4/8",G504="3/8",G504="2/8"),((база!$J$5*Таблица1[[#This Row],[сумма]]*Таблица1[[#This Row],[коэф]])))))))))))</f>
        <v>0</v>
      </c>
      <c r="AP504" s="730" t="b">
        <f>IF(AR504&lt;=3,(IF((G504="5/24"),((база!$M$6*2*Таблица1[[#This Row],[Столбец1]]*Таблица1[[#This Row],[коэф]])),
IF((G504="4/24"),((база!$M$5*2*Таблица1[[#This Row],[Столбец1]]*Таблица1[[#This Row],[коэф]])),
IF((G504="3/24"),((база!$M$4*2*Таблица1[[#This Row],[Столбец1]]*Таблица1[[#This Row],[коэф]])),
IF((G504="5/16"),((база!$L$6*2*Таблица1[[#This Row],[Столбец1]]*Таблица1[[#This Row],[коэф]])),
IF((G504="4/16"),((база!$L$5*2*Таблица1[[#This Row],[Столбец1]]*Таблица1[[#This Row],[коэф]])),
IF((G504="3/16"),((база!$L$4*2*Таблица1[[#This Row],[Столбец1]]*Таблица1[[#This Row],[коэф]])),
IF((G504="4/4"),((база!$I$5*2*Таблица1[[#This Row],[Столбец1]]*Таблица1[[#This Row],[коэф]])),
IF(OR(G504="2/4",G504="3/4"),((база!$I$4*2*Таблица1[[#This Row],[Столбец1]]*Таблица1[[#This Row],[коэф]])),
IF((G504="5/8"),((база!$J$6*2*Таблица1[[#This Row],[Столбец1]]*Таблица1[[#This Row],[коэф]])),
IF((G504="4/8"),((база!$J$5*2*Таблица1[[#This Row],[Столбец1]]*Таблица1[[#This Row],[коэф]])),
IF(OR(G504="3/8",G504="2/8"),((база!$J$4*2*Таблица1[[#This Row],[Столбец1]]*Таблица1[[#This Row],[коэф]])))))))))))))),
(IF((G504="5/24"),((база!$M$6*2*Таблица1[[#This Row],[Столбец1]]*Таблица1[[#This Row],[коэф]])),
IF(OR(G504="4/24",G504="3/24"),((база!$M$5*2*Таблица1[[#This Row],[Столбец1]]*Таблица1[[#This Row],[коэф]])),
IF((G504="5/16"),((база!$L$6*2*Таблица1[[#This Row],[Столбец1]]*Таблица1[[#This Row],[коэф]])),
IF(OR(G504="4/16",G504="3/16"),((база!$L$5*2*Таблица1[[#This Row],[Столбец1]]*Таблица1[[#This Row],[коэф]])),
IF(OR(G504="2/4",G504="3/4",G504="4/4"),((база!$I$5*2*Таблица1[[#This Row],[Столбец1]]*Таблица1[[#This Row],[коэф]])),
IF((G504="5/8"),((база!$J$6*2*Таблица1[[#This Row],[Столбец1]]*Таблица1[[#This Row],[коэф]])),
IF(OR(G504="4/8",G504="3/8",G504="2/8"),((база!$J$5*2*Таблица1[[#This Row],[Столбец1]]*Таблица1[[#This Row],[коэф]])))))))))))</f>
        <v>0</v>
      </c>
      <c r="AQ504" s="712" t="str">
        <f>IFERROR(INDEX(база!T:T, MATCH(F504,база!Q:Q,0)),"")</f>
        <v/>
      </c>
      <c r="AR504" s="208" t="str">
        <f>IFERROR(INDEX(база!D:D, MATCH(F504,база!B:B,0)),"")</f>
        <v/>
      </c>
      <c r="AS504" s="758" t="str">
        <f>IFERROR(INDEX(база!E:E, MATCH(F504,база!B:B,0)),"")</f>
        <v/>
      </c>
    </row>
    <row r="505" spans="1:45" s="46" customFormat="1" ht="15">
      <c r="A505" s="66" t="str">
        <f t="shared" si="9"/>
        <v>январь</v>
      </c>
      <c r="B505" s="231">
        <v>2024</v>
      </c>
      <c r="C505" s="299"/>
      <c r="D505" s="61"/>
      <c r="E505" s="211"/>
      <c r="F505" s="680"/>
      <c r="G505" s="47"/>
      <c r="H505" s="563"/>
      <c r="I505" s="563"/>
      <c r="J505" s="563"/>
      <c r="K505" s="563"/>
      <c r="L505" s="563"/>
      <c r="M505" s="563"/>
      <c r="N505" s="563"/>
      <c r="O505" s="563"/>
      <c r="P505" s="300"/>
      <c r="Q505" s="563"/>
      <c r="R505" s="563"/>
      <c r="S505" s="563"/>
      <c r="T505" s="563"/>
      <c r="U505" s="563"/>
      <c r="V505" s="563"/>
      <c r="W505" s="563"/>
      <c r="X505" s="563"/>
      <c r="Y505" s="563"/>
      <c r="Z505" s="563"/>
      <c r="AA505" s="563"/>
      <c r="AB505" s="563"/>
      <c r="AC505" s="563"/>
      <c r="AD505" s="48"/>
      <c r="AE505" s="48"/>
      <c r="AF505" s="258"/>
      <c r="AG505" s="48"/>
      <c r="AH505" s="48"/>
      <c r="AI505" s="48"/>
      <c r="AJ505" s="48"/>
      <c r="AK505" s="48"/>
      <c r="AL505" s="51"/>
      <c r="AM505" s="212">
        <f>IF(AQ505=1,SUM(Q505:T505,W505:Z505,AC505:AF505,AI505:AL505),
IF(AQ505=2,SUM(P505,S505:V505,Y505:AB505,AE505:AH505,AK505:AL505),
IF(AQ505=3,SUM(P505:R505,U505:X505,AA505:AD505,AG505:AJ505),SUM(Таблица1[[#This Row],[1]:[31]])-Таблица1[[#This Row],[Столбец1]])))</f>
        <v>0</v>
      </c>
      <c r="AN505" s="778">
        <f t="array" ref="AN505">IF(AQ505=1,SUM(P505,U505:V505,AA505:AB505,AG505:AH505),
IF(AQ505=2,SUM(Q505:R505,W505:X505,AC505:AD505,AI505:AJ505),
IF(AQ505=3,SUM(S505:T505,Y505:Z505,AE505:AF505,AK505:AL505),
SUM(IFERROR(WEEKDAY($H$2:$AL$2,2)&gt;5,)*H505:AL505))))+Таблица1[[#This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05" s="292" t="b">
        <f>IF(AR505&lt;=3,(IF((G505="5/24"),((база!$M$6*Таблица1[[#This Row],[сумма]]*Таблица1[[#This Row],[коэф]])),
IF((G505="4/24"),((база!$M$5*Таблица1[[#This Row],[сумма]]*Таблица1[[#This Row],[коэф]])),
IF((G505="3/24"),((база!$M$4*Таблица1[[#This Row],[сумма]]*Таблица1[[#This Row],[коэф]])),
IF((G505="5/16"),((база!$L$6*Таблица1[[#This Row],[сумма]]*Таблица1[[#This Row],[коэф]])),
IF((G505="4/16"),((база!$L$5*Таблица1[[#This Row],[сумма]]*Таблица1[[#This Row],[коэф]])),
IF((G505="3/16"),((база!$L$4*Таблица1[[#This Row],[сумма]]*Таблица1[[#This Row],[коэф]])),
IF((G505="4/4"),((база!$I$5*Таблица1[[#This Row],[сумма]]*Таблица1[[#This Row],[коэф]])),
IF(OR(G505="2/4",G505="3/4"),((база!$I$4*Таблица1[[#This Row],[сумма]]*Таблица1[[#This Row],[коэф]])),
IF((G505="5/8"),((база!$J$6*Таблица1[[#This Row],[сумма]]*Таблица1[[#This Row],[коэф]])),
IF((G505="4/8"),((база!$J$5*Таблица1[[#This Row],[сумма]]*Таблица1[[#This Row],[коэф]])),
IF(OR(G505="3/8",G505="2/8"),((база!$J$4*Таблица1[[#This Row],[сумма]]*Таблица1[[#This Row],[коэф]])))))))))))))),
(IF((G505="5/24"),((база!$M$6*Таблица1[[#This Row],[сумма]]*Таблица1[[#This Row],[коэф]])),
IF(OR(G505="4/24",G505="3/24"),((база!$M$5*Таблица1[[#This Row],[сумма]]*Таблица1[[#This Row],[коэф]])),
IF((G505="5/16"),((база!$L$6*Таблица1[[#This Row],[сумма]]*Таблица1[[#This Row],[коэф]])),
IF(OR(G505="4/16",G505="3/16"),((база!$L$5*Таблица1[[#This Row],[сумма]]*Таблица1[[#This Row],[коэф]])),
IF(OR(G505="2/4",G505="3/4",G505="4/4"),((база!$I$5*Таблица1[[#This Row],[сумма]]*Таблица1[[#This Row],[коэф]])),
IF((G505="5/8"),((база!$J$6*Таблица1[[#This Row],[сумма]]*Таблица1[[#This Row],[коэф]])),
IF(OR(G505="4/8",G505="3/8",G505="2/8"),((база!$J$5*Таблица1[[#This Row],[сумма]]*Таблица1[[#This Row],[коэф]])))))))))))</f>
        <v>0</v>
      </c>
      <c r="AP505" s="730" t="b">
        <f>IF(AR505&lt;=3,(IF((G505="5/24"),((база!$M$6*2*Таблица1[[#This Row],[Столбец1]]*Таблица1[[#This Row],[коэф]])),
IF((G505="4/24"),((база!$M$5*2*Таблица1[[#This Row],[Столбец1]]*Таблица1[[#This Row],[коэф]])),
IF((G505="3/24"),((база!$M$4*2*Таблица1[[#This Row],[Столбец1]]*Таблица1[[#This Row],[коэф]])),
IF((G505="5/16"),((база!$L$6*2*Таблица1[[#This Row],[Столбец1]]*Таблица1[[#This Row],[коэф]])),
IF((G505="4/16"),((база!$L$5*2*Таблица1[[#This Row],[Столбец1]]*Таблица1[[#This Row],[коэф]])),
IF((G505="3/16"),((база!$L$4*2*Таблица1[[#This Row],[Столбец1]]*Таблица1[[#This Row],[коэф]])),
IF((G505="4/4"),((база!$I$5*2*Таблица1[[#This Row],[Столбец1]]*Таблица1[[#This Row],[коэф]])),
IF(OR(G505="2/4",G505="3/4"),((база!$I$4*2*Таблица1[[#This Row],[Столбец1]]*Таблица1[[#This Row],[коэф]])),
IF((G505="5/8"),((база!$J$6*2*Таблица1[[#This Row],[Столбец1]]*Таблица1[[#This Row],[коэф]])),
IF((G505="4/8"),((база!$J$5*2*Таблица1[[#This Row],[Столбец1]]*Таблица1[[#This Row],[коэф]])),
IF(OR(G505="3/8",G505="2/8"),((база!$J$4*2*Таблица1[[#This Row],[Столбец1]]*Таблица1[[#This Row],[коэф]])))))))))))))),
(IF((G505="5/24"),((база!$M$6*2*Таблица1[[#This Row],[Столбец1]]*Таблица1[[#This Row],[коэф]])),
IF(OR(G505="4/24",G505="3/24"),((база!$M$5*2*Таблица1[[#This Row],[Столбец1]]*Таблица1[[#This Row],[коэф]])),
IF((G505="5/16"),((база!$L$6*2*Таблица1[[#This Row],[Столбец1]]*Таблица1[[#This Row],[коэф]])),
IF(OR(G505="4/16",G505="3/16"),((база!$L$5*2*Таблица1[[#This Row],[Столбец1]]*Таблица1[[#This Row],[коэф]])),
IF(OR(G505="2/4",G505="3/4",G505="4/4"),((база!$I$5*2*Таблица1[[#This Row],[Столбец1]]*Таблица1[[#This Row],[коэф]])),
IF((G505="5/8"),((база!$J$6*2*Таблица1[[#This Row],[Столбец1]]*Таблица1[[#This Row],[коэф]])),
IF(OR(G505="4/8",G505="3/8",G505="2/8"),((база!$J$5*2*Таблица1[[#This Row],[Столбец1]]*Таблица1[[#This Row],[коэф]])))))))))))</f>
        <v>0</v>
      </c>
      <c r="AQ505" s="712" t="str">
        <f>IFERROR(INDEX(база!T:T, MATCH(F505,база!Q:Q,0)),"")</f>
        <v/>
      </c>
      <c r="AR505" s="208" t="str">
        <f>IFERROR(INDEX(база!D:D, MATCH(F505,база!B:B,0)),"")</f>
        <v/>
      </c>
      <c r="AS505" s="758" t="str">
        <f>IFERROR(INDEX(база!E:E, MATCH(F505,база!B:B,0)),"")</f>
        <v/>
      </c>
    </row>
    <row r="506" spans="1:45" s="46" customFormat="1" ht="15">
      <c r="A506" s="66" t="str">
        <f t="shared" si="9"/>
        <v>январь</v>
      </c>
      <c r="B506" s="231">
        <v>2024</v>
      </c>
      <c r="C506" s="299"/>
      <c r="D506" s="61"/>
      <c r="E506" s="211"/>
      <c r="F506" s="680"/>
      <c r="G506" s="47"/>
      <c r="H506" s="563"/>
      <c r="I506" s="563"/>
      <c r="J506" s="563"/>
      <c r="K506" s="563"/>
      <c r="L506" s="563"/>
      <c r="M506" s="563"/>
      <c r="N506" s="563"/>
      <c r="O506" s="563"/>
      <c r="P506" s="300"/>
      <c r="Q506" s="563"/>
      <c r="R506" s="563"/>
      <c r="S506" s="563"/>
      <c r="T506" s="563"/>
      <c r="U506" s="563"/>
      <c r="V506" s="563"/>
      <c r="W506" s="563"/>
      <c r="X506" s="563"/>
      <c r="Y506" s="563"/>
      <c r="Z506" s="563"/>
      <c r="AA506" s="563"/>
      <c r="AB506" s="563"/>
      <c r="AC506" s="563"/>
      <c r="AD506" s="48"/>
      <c r="AE506" s="48"/>
      <c r="AF506" s="258"/>
      <c r="AG506" s="48"/>
      <c r="AH506" s="48"/>
      <c r="AI506" s="258"/>
      <c r="AJ506" s="258"/>
      <c r="AK506" s="258"/>
      <c r="AL506" s="258"/>
      <c r="AM506" s="212">
        <f>IF(AQ506=1,SUM(Q506:T506,W506:Z506,AC506:AF506,AI506:AL506),
IF(AQ506=2,SUM(P506,S506:V506,Y506:AB506,AE506:AH506,AK506:AL506),
IF(AQ506=3,SUM(P506:R506,U506:X506,AA506:AD506,AG506:AJ506),SUM(Таблица1[[#This Row],[1]:[31]])-Таблица1[[#This Row],[Столбец1]])))</f>
        <v>0</v>
      </c>
      <c r="AN506" s="778">
        <f t="array" ref="AN506">IF(AQ506=1,SUM(P506,U506:V506,AA506:AB506,AG506:AH506),
IF(AQ506=2,SUM(Q506:R506,W506:X506,AC506:AD506,AI506:AJ506),
IF(AQ506=3,SUM(S506:T506,Y506:Z506,AE506:AF506,AK506:AL506),
SUM(IFERROR(WEEKDAY($H$2:$AL$2,2)&gt;5,)*H506:AL506))))+Таблица1[[#This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06" s="292" t="b">
        <f>IF(AR506&lt;=3,(IF((G506="5/24"),((база!$M$6*Таблица1[[#This Row],[сумма]]*Таблица1[[#This Row],[коэф]])),
IF((G506="4/24"),((база!$M$5*Таблица1[[#This Row],[сумма]]*Таблица1[[#This Row],[коэф]])),
IF((G506="3/24"),((база!$M$4*Таблица1[[#This Row],[сумма]]*Таблица1[[#This Row],[коэф]])),
IF((G506="5/16"),((база!$L$6*Таблица1[[#This Row],[сумма]]*Таблица1[[#This Row],[коэф]])),
IF((G506="4/16"),((база!$L$5*Таблица1[[#This Row],[сумма]]*Таблица1[[#This Row],[коэф]])),
IF((G506="3/16"),((база!$L$4*Таблица1[[#This Row],[сумма]]*Таблица1[[#This Row],[коэф]])),
IF((G506="4/4"),((база!$I$5*Таблица1[[#This Row],[сумма]]*Таблица1[[#This Row],[коэф]])),
IF(OR(G506="2/4",G506="3/4"),((база!$I$4*Таблица1[[#This Row],[сумма]]*Таблица1[[#This Row],[коэф]])),
IF((G506="5/8"),((база!$J$6*Таблица1[[#This Row],[сумма]]*Таблица1[[#This Row],[коэф]])),
IF((G506="4/8"),((база!$J$5*Таблица1[[#This Row],[сумма]]*Таблица1[[#This Row],[коэф]])),
IF(OR(G506="3/8",G506="2/8"),((база!$J$4*Таблица1[[#This Row],[сумма]]*Таблица1[[#This Row],[коэф]])))))))))))))),
(IF((G506="5/24"),((база!$M$6*Таблица1[[#This Row],[сумма]]*Таблица1[[#This Row],[коэф]])),
IF(OR(G506="4/24",G506="3/24"),((база!$M$5*Таблица1[[#This Row],[сумма]]*Таблица1[[#This Row],[коэф]])),
IF((G506="5/16"),((база!$L$6*Таблица1[[#This Row],[сумма]]*Таблица1[[#This Row],[коэф]])),
IF(OR(G506="4/16",G506="3/16"),((база!$L$5*Таблица1[[#This Row],[сумма]]*Таблица1[[#This Row],[коэф]])),
IF(OR(G506="2/4",G506="3/4",G506="4/4"),((база!$I$5*Таблица1[[#This Row],[сумма]]*Таблица1[[#This Row],[коэф]])),
IF((G506="5/8"),((база!$J$6*Таблица1[[#This Row],[сумма]]*Таблица1[[#This Row],[коэф]])),
IF(OR(G506="4/8",G506="3/8",G506="2/8"),((база!$J$5*Таблица1[[#This Row],[сумма]]*Таблица1[[#This Row],[коэф]])))))))))))</f>
        <v>0</v>
      </c>
      <c r="AP506" s="730" t="b">
        <f>IF(AR506&lt;=3,(IF((G506="5/24"),((база!$M$6*2*Таблица1[[#This Row],[Столбец1]]*Таблица1[[#This Row],[коэф]])),
IF((G506="4/24"),((база!$M$5*2*Таблица1[[#This Row],[Столбец1]]*Таблица1[[#This Row],[коэф]])),
IF((G506="3/24"),((база!$M$4*2*Таблица1[[#This Row],[Столбец1]]*Таблица1[[#This Row],[коэф]])),
IF((G506="5/16"),((база!$L$6*2*Таблица1[[#This Row],[Столбец1]]*Таблица1[[#This Row],[коэф]])),
IF((G506="4/16"),((база!$L$5*2*Таблица1[[#This Row],[Столбец1]]*Таблица1[[#This Row],[коэф]])),
IF((G506="3/16"),((база!$L$4*2*Таблица1[[#This Row],[Столбец1]]*Таблица1[[#This Row],[коэф]])),
IF((G506="4/4"),((база!$I$5*2*Таблица1[[#This Row],[Столбец1]]*Таблица1[[#This Row],[коэф]])),
IF(OR(G506="2/4",G506="3/4"),((база!$I$4*2*Таблица1[[#This Row],[Столбец1]]*Таблица1[[#This Row],[коэф]])),
IF((G506="5/8"),((база!$J$6*2*Таблица1[[#This Row],[Столбец1]]*Таблица1[[#This Row],[коэф]])),
IF((G506="4/8"),((база!$J$5*2*Таблица1[[#This Row],[Столбец1]]*Таблица1[[#This Row],[коэф]])),
IF(OR(G506="3/8",G506="2/8"),((база!$J$4*2*Таблица1[[#This Row],[Столбец1]]*Таблица1[[#This Row],[коэф]])))))))))))))),
(IF((G506="5/24"),((база!$M$6*2*Таблица1[[#This Row],[Столбец1]]*Таблица1[[#This Row],[коэф]])),
IF(OR(G506="4/24",G506="3/24"),((база!$M$5*2*Таблица1[[#This Row],[Столбец1]]*Таблица1[[#This Row],[коэф]])),
IF((G506="5/16"),((база!$L$6*2*Таблица1[[#This Row],[Столбец1]]*Таблица1[[#This Row],[коэф]])),
IF(OR(G506="4/16",G506="3/16"),((база!$L$5*2*Таблица1[[#This Row],[Столбец1]]*Таблица1[[#This Row],[коэф]])),
IF(OR(G506="2/4",G506="3/4",G506="4/4"),((база!$I$5*2*Таблица1[[#This Row],[Столбец1]]*Таблица1[[#This Row],[коэф]])),
IF((G506="5/8"),((база!$J$6*2*Таблица1[[#This Row],[Столбец1]]*Таблица1[[#This Row],[коэф]])),
IF(OR(G506="4/8",G506="3/8",G506="2/8"),((база!$J$5*2*Таблица1[[#This Row],[Столбец1]]*Таблица1[[#This Row],[коэф]])))))))))))</f>
        <v>0</v>
      </c>
      <c r="AQ506" s="712" t="str">
        <f>IFERROR(INDEX(база!T:T, MATCH(F506,база!Q:Q,0)),"")</f>
        <v/>
      </c>
      <c r="AR506" s="208" t="str">
        <f>IFERROR(INDEX(база!D:D, MATCH(F506,база!B:B,0)),"")</f>
        <v/>
      </c>
      <c r="AS506" s="758" t="str">
        <f>IFERROR(INDEX(база!E:E, MATCH(F506,база!B:B,0)),"")</f>
        <v/>
      </c>
    </row>
    <row r="507" spans="1:45" s="46" customFormat="1" ht="15">
      <c r="A507" s="66" t="str">
        <f t="shared" si="9"/>
        <v>январь</v>
      </c>
      <c r="B507" s="231">
        <v>2024</v>
      </c>
      <c r="C507" s="299"/>
      <c r="D507" s="61"/>
      <c r="E507" s="211"/>
      <c r="F507" s="680"/>
      <c r="G507" s="47"/>
      <c r="H507" s="563"/>
      <c r="I507" s="563"/>
      <c r="J507" s="563"/>
      <c r="K507" s="563"/>
      <c r="L507" s="563"/>
      <c r="M507" s="563"/>
      <c r="N507" s="563"/>
      <c r="O507" s="563"/>
      <c r="P507" s="300"/>
      <c r="Q507" s="563"/>
      <c r="R507" s="563"/>
      <c r="S507" s="563"/>
      <c r="T507" s="563"/>
      <c r="U507" s="563"/>
      <c r="V507" s="563"/>
      <c r="W507" s="563"/>
      <c r="X507" s="563"/>
      <c r="Y507" s="563"/>
      <c r="Z507" s="563"/>
      <c r="AA507" s="563"/>
      <c r="AB507" s="563"/>
      <c r="AC507" s="563"/>
      <c r="AD507" s="48"/>
      <c r="AE507" s="48"/>
      <c r="AF507" s="258"/>
      <c r="AG507" s="48"/>
      <c r="AH507" s="48"/>
      <c r="AI507" s="48"/>
      <c r="AJ507" s="48"/>
      <c r="AK507" s="48"/>
      <c r="AL507" s="51"/>
      <c r="AM507" s="212">
        <f>IF(AQ507=1,SUM(Q507:T507,W507:Z507,AC507:AF507,AI507:AL507),
IF(AQ507=2,SUM(P507,S507:V507,Y507:AB507,AE507:AH507,AK507:AL507),
IF(AQ507=3,SUM(P507:R507,U507:X507,AA507:AD507,AG507:AJ507),SUM(Таблица1[[#This Row],[1]:[31]])-Таблица1[[#This Row],[Столбец1]])))</f>
        <v>0</v>
      </c>
      <c r="AN507" s="778">
        <f t="array" ref="AN507">IF(AQ507=1,SUM(P507,U507:V507,AA507:AB507,AG507:AH507),
IF(AQ507=2,SUM(Q507:R507,W507:X507,AC507:AD507,AI507:AJ507),
IF(AQ507=3,SUM(S507:T507,Y507:Z507,AE507:AF507,AK507:AL507),
SUM(IFERROR(WEEKDAY($H$2:$AL$2,2)&gt;5,)*H507:AL507))))+Таблица1[[#This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07" s="292" t="b">
        <f>IF(AR507&lt;=3,(IF((G507="5/24"),((база!$M$6*Таблица1[[#This Row],[сумма]]*Таблица1[[#This Row],[коэф]])),
IF((G507="4/24"),((база!$M$5*Таблица1[[#This Row],[сумма]]*Таблица1[[#This Row],[коэф]])),
IF((G507="3/24"),((база!$M$4*Таблица1[[#This Row],[сумма]]*Таблица1[[#This Row],[коэф]])),
IF((G507="5/16"),((база!$L$6*Таблица1[[#This Row],[сумма]]*Таблица1[[#This Row],[коэф]])),
IF((G507="4/16"),((база!$L$5*Таблица1[[#This Row],[сумма]]*Таблица1[[#This Row],[коэф]])),
IF((G507="3/16"),((база!$L$4*Таблица1[[#This Row],[сумма]]*Таблица1[[#This Row],[коэф]])),
IF((G507="4/4"),((база!$I$5*Таблица1[[#This Row],[сумма]]*Таблица1[[#This Row],[коэф]])),
IF(OR(G507="2/4",G507="3/4"),((база!$I$4*Таблица1[[#This Row],[сумма]]*Таблица1[[#This Row],[коэф]])),
IF((G507="5/8"),((база!$J$6*Таблица1[[#This Row],[сумма]]*Таблица1[[#This Row],[коэф]])),
IF((G507="4/8"),((база!$J$5*Таблица1[[#This Row],[сумма]]*Таблица1[[#This Row],[коэф]])),
IF(OR(G507="3/8",G507="2/8"),((база!$J$4*Таблица1[[#This Row],[сумма]]*Таблица1[[#This Row],[коэф]])))))))))))))),
(IF((G507="5/24"),((база!$M$6*Таблица1[[#This Row],[сумма]]*Таблица1[[#This Row],[коэф]])),
IF(OR(G507="4/24",G507="3/24"),((база!$M$5*Таблица1[[#This Row],[сумма]]*Таблица1[[#This Row],[коэф]])),
IF((G507="5/16"),((база!$L$6*Таблица1[[#This Row],[сумма]]*Таблица1[[#This Row],[коэф]])),
IF(OR(G507="4/16",G507="3/16"),((база!$L$5*Таблица1[[#This Row],[сумма]]*Таблица1[[#This Row],[коэф]])),
IF(OR(G507="2/4",G507="3/4",G507="4/4"),((база!$I$5*Таблица1[[#This Row],[сумма]]*Таблица1[[#This Row],[коэф]])),
IF((G507="5/8"),((база!$J$6*Таблица1[[#This Row],[сумма]]*Таблица1[[#This Row],[коэф]])),
IF(OR(G507="4/8",G507="3/8",G507="2/8"),((база!$J$5*Таблица1[[#This Row],[сумма]]*Таблица1[[#This Row],[коэф]])))))))))))</f>
        <v>0</v>
      </c>
      <c r="AP507" s="730" t="b">
        <f>IF(AR507&lt;=3,(IF((G507="5/24"),((база!$M$6*2*Таблица1[[#This Row],[Столбец1]]*Таблица1[[#This Row],[коэф]])),
IF((G507="4/24"),((база!$M$5*2*Таблица1[[#This Row],[Столбец1]]*Таблица1[[#This Row],[коэф]])),
IF((G507="3/24"),((база!$M$4*2*Таблица1[[#This Row],[Столбец1]]*Таблица1[[#This Row],[коэф]])),
IF((G507="5/16"),((база!$L$6*2*Таблица1[[#This Row],[Столбец1]]*Таблица1[[#This Row],[коэф]])),
IF((G507="4/16"),((база!$L$5*2*Таблица1[[#This Row],[Столбец1]]*Таблица1[[#This Row],[коэф]])),
IF((G507="3/16"),((база!$L$4*2*Таблица1[[#This Row],[Столбец1]]*Таблица1[[#This Row],[коэф]])),
IF((G507="4/4"),((база!$I$5*2*Таблица1[[#This Row],[Столбец1]]*Таблица1[[#This Row],[коэф]])),
IF(OR(G507="2/4",G507="3/4"),((база!$I$4*2*Таблица1[[#This Row],[Столбец1]]*Таблица1[[#This Row],[коэф]])),
IF((G507="5/8"),((база!$J$6*2*Таблица1[[#This Row],[Столбец1]]*Таблица1[[#This Row],[коэф]])),
IF((G507="4/8"),((база!$J$5*2*Таблица1[[#This Row],[Столбец1]]*Таблица1[[#This Row],[коэф]])),
IF(OR(G507="3/8",G507="2/8"),((база!$J$4*2*Таблица1[[#This Row],[Столбец1]]*Таблица1[[#This Row],[коэф]])))))))))))))),
(IF((G507="5/24"),((база!$M$6*2*Таблица1[[#This Row],[Столбец1]]*Таблица1[[#This Row],[коэф]])),
IF(OR(G507="4/24",G507="3/24"),((база!$M$5*2*Таблица1[[#This Row],[Столбец1]]*Таблица1[[#This Row],[коэф]])),
IF((G507="5/16"),((база!$L$6*2*Таблица1[[#This Row],[Столбец1]]*Таблица1[[#This Row],[коэф]])),
IF(OR(G507="4/16",G507="3/16"),((база!$L$5*2*Таблица1[[#This Row],[Столбец1]]*Таблица1[[#This Row],[коэф]])),
IF(OR(G507="2/4",G507="3/4",G507="4/4"),((база!$I$5*2*Таблица1[[#This Row],[Столбец1]]*Таблица1[[#This Row],[коэф]])),
IF((G507="5/8"),((база!$J$6*2*Таблица1[[#This Row],[Столбец1]]*Таблица1[[#This Row],[коэф]])),
IF(OR(G507="4/8",G507="3/8",G507="2/8"),((база!$J$5*2*Таблица1[[#This Row],[Столбец1]]*Таблица1[[#This Row],[коэф]])))))))))))</f>
        <v>0</v>
      </c>
      <c r="AQ507" s="712" t="str">
        <f>IFERROR(INDEX(база!T:T, MATCH(F507,база!Q:Q,0)),"")</f>
        <v/>
      </c>
      <c r="AR507" s="208" t="str">
        <f>IFERROR(INDEX(база!D:D, MATCH(F507,база!B:B,0)),"")</f>
        <v/>
      </c>
      <c r="AS507" s="758" t="str">
        <f>IFERROR(INDEX(база!E:E, MATCH(F507,база!B:B,0)),"")</f>
        <v/>
      </c>
    </row>
    <row r="508" spans="1:45" s="46" customFormat="1" ht="15">
      <c r="A508" s="66" t="str">
        <f t="shared" si="9"/>
        <v>январь</v>
      </c>
      <c r="B508" s="231">
        <v>2024</v>
      </c>
      <c r="C508" s="60"/>
      <c r="D508" s="61"/>
      <c r="E508" s="211"/>
      <c r="F508" s="680"/>
      <c r="G508" s="47"/>
      <c r="H508" s="563"/>
      <c r="I508" s="563"/>
      <c r="J508" s="563"/>
      <c r="K508" s="563"/>
      <c r="L508" s="563"/>
      <c r="M508" s="563"/>
      <c r="N508" s="563"/>
      <c r="O508" s="563"/>
      <c r="P508" s="300"/>
      <c r="Q508" s="563"/>
      <c r="R508" s="563"/>
      <c r="S508" s="563"/>
      <c r="T508" s="563"/>
      <c r="U508" s="563"/>
      <c r="V508" s="563"/>
      <c r="W508" s="563"/>
      <c r="X508" s="563"/>
      <c r="Y508" s="563"/>
      <c r="Z508" s="563"/>
      <c r="AA508" s="563"/>
      <c r="AB508" s="563"/>
      <c r="AC508" s="563"/>
      <c r="AD508" s="48"/>
      <c r="AE508" s="48"/>
      <c r="AF508" s="258"/>
      <c r="AG508" s="48"/>
      <c r="AH508" s="48"/>
      <c r="AI508" s="258"/>
      <c r="AJ508" s="258"/>
      <c r="AK508" s="258"/>
      <c r="AL508" s="258"/>
      <c r="AM508" s="212">
        <f>IF(AQ508=1,SUM(Q508:T508,W508:Z508,AC508:AF508,AI508:AL508),
IF(AQ508=2,SUM(P508,S508:V508,Y508:AB508,AE508:AH508,AK508:AL508),
IF(AQ508=3,SUM(P508:R508,U508:X508,AA508:AD508,AG508:AJ508),SUM(Таблица1[[#This Row],[1]:[31]])-Таблица1[[#This Row],[Столбец1]])))</f>
        <v>0</v>
      </c>
      <c r="AN508" s="778">
        <f t="array" ref="AN508">IF(AQ508=1,SUM(P508,U508:V508,AA508:AB508,AG508:AH508),
IF(AQ508=2,SUM(Q508:R508,W508:X508,AC508:AD508,AI508:AJ508),
IF(AQ508=3,SUM(S508:T508,Y508:Z508,AE508:AF508,AK508:AL508),
SUM(IFERROR(WEEKDAY($H$2:$AL$2,2)&gt;5,)*H508:AL508))))+Таблица1[[#This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08" s="292" t="b">
        <f>IF(AR508&lt;=3,(IF((G508="5/24"),((база!$M$6*Таблица1[[#This Row],[сумма]]*Таблица1[[#This Row],[коэф]])),
IF((G508="4/24"),((база!$M$5*Таблица1[[#This Row],[сумма]]*Таблица1[[#This Row],[коэф]])),
IF((G508="3/24"),((база!$M$4*Таблица1[[#This Row],[сумма]]*Таблица1[[#This Row],[коэф]])),
IF((G508="5/16"),((база!$L$6*Таблица1[[#This Row],[сумма]]*Таблица1[[#This Row],[коэф]])),
IF((G508="4/16"),((база!$L$5*Таблица1[[#This Row],[сумма]]*Таблица1[[#This Row],[коэф]])),
IF((G508="3/16"),((база!$L$4*Таблица1[[#This Row],[сумма]]*Таблица1[[#This Row],[коэф]])),
IF((G508="4/4"),((база!$I$5*Таблица1[[#This Row],[сумма]]*Таблица1[[#This Row],[коэф]])),
IF(OR(G508="2/4",G508="3/4"),((база!$I$4*Таблица1[[#This Row],[сумма]]*Таблица1[[#This Row],[коэф]])),
IF((G508="5/8"),((база!$J$6*Таблица1[[#This Row],[сумма]]*Таблица1[[#This Row],[коэф]])),
IF((G508="4/8"),((база!$J$5*Таблица1[[#This Row],[сумма]]*Таблица1[[#This Row],[коэф]])),
IF(OR(G508="3/8",G508="2/8"),((база!$J$4*Таблица1[[#This Row],[сумма]]*Таблица1[[#This Row],[коэф]])))))))))))))),
(IF((G508="5/24"),((база!$M$6*Таблица1[[#This Row],[сумма]]*Таблица1[[#This Row],[коэф]])),
IF(OR(G508="4/24",G508="3/24"),((база!$M$5*Таблица1[[#This Row],[сумма]]*Таблица1[[#This Row],[коэф]])),
IF((G508="5/16"),((база!$L$6*Таблица1[[#This Row],[сумма]]*Таблица1[[#This Row],[коэф]])),
IF(OR(G508="4/16",G508="3/16"),((база!$L$5*Таблица1[[#This Row],[сумма]]*Таблица1[[#This Row],[коэф]])),
IF(OR(G508="2/4",G508="3/4",G508="4/4"),((база!$I$5*Таблица1[[#This Row],[сумма]]*Таблица1[[#This Row],[коэф]])),
IF((G508="5/8"),((база!$J$6*Таблица1[[#This Row],[сумма]]*Таблица1[[#This Row],[коэф]])),
IF(OR(G508="4/8",G508="3/8",G508="2/8"),((база!$J$5*Таблица1[[#This Row],[сумма]]*Таблица1[[#This Row],[коэф]])))))))))))</f>
        <v>0</v>
      </c>
      <c r="AP508" s="730" t="b">
        <f>IF(AR508&lt;=3,(IF((G508="5/24"),((база!$M$6*2*Таблица1[[#This Row],[Столбец1]]*Таблица1[[#This Row],[коэф]])),
IF((G508="4/24"),((база!$M$5*2*Таблица1[[#This Row],[Столбец1]]*Таблица1[[#This Row],[коэф]])),
IF((G508="3/24"),((база!$M$4*2*Таблица1[[#This Row],[Столбец1]]*Таблица1[[#This Row],[коэф]])),
IF((G508="5/16"),((база!$L$6*2*Таблица1[[#This Row],[Столбец1]]*Таблица1[[#This Row],[коэф]])),
IF((G508="4/16"),((база!$L$5*2*Таблица1[[#This Row],[Столбец1]]*Таблица1[[#This Row],[коэф]])),
IF((G508="3/16"),((база!$L$4*2*Таблица1[[#This Row],[Столбец1]]*Таблица1[[#This Row],[коэф]])),
IF((G508="4/4"),((база!$I$5*2*Таблица1[[#This Row],[Столбец1]]*Таблица1[[#This Row],[коэф]])),
IF(OR(G508="2/4",G508="3/4"),((база!$I$4*2*Таблица1[[#This Row],[Столбец1]]*Таблица1[[#This Row],[коэф]])),
IF((G508="5/8"),((база!$J$6*2*Таблица1[[#This Row],[Столбец1]]*Таблица1[[#This Row],[коэф]])),
IF((G508="4/8"),((база!$J$5*2*Таблица1[[#This Row],[Столбец1]]*Таблица1[[#This Row],[коэф]])),
IF(OR(G508="3/8",G508="2/8"),((база!$J$4*2*Таблица1[[#This Row],[Столбец1]]*Таблица1[[#This Row],[коэф]])))))))))))))),
(IF((G508="5/24"),((база!$M$6*2*Таблица1[[#This Row],[Столбец1]]*Таблица1[[#This Row],[коэф]])),
IF(OR(G508="4/24",G508="3/24"),((база!$M$5*2*Таблица1[[#This Row],[Столбец1]]*Таблица1[[#This Row],[коэф]])),
IF((G508="5/16"),((база!$L$6*2*Таблица1[[#This Row],[Столбец1]]*Таблица1[[#This Row],[коэф]])),
IF(OR(G508="4/16",G508="3/16"),((база!$L$5*2*Таблица1[[#This Row],[Столбец1]]*Таблица1[[#This Row],[коэф]])),
IF(OR(G508="2/4",G508="3/4",G508="4/4"),((база!$I$5*2*Таблица1[[#This Row],[Столбец1]]*Таблица1[[#This Row],[коэф]])),
IF((G508="5/8"),((база!$J$6*2*Таблица1[[#This Row],[Столбец1]]*Таблица1[[#This Row],[коэф]])),
IF(OR(G508="4/8",G508="3/8",G508="2/8"),((база!$J$5*2*Таблица1[[#This Row],[Столбец1]]*Таблица1[[#This Row],[коэф]])))))))))))</f>
        <v>0</v>
      </c>
      <c r="AQ508" s="712" t="str">
        <f>IFERROR(INDEX(база!T:T, MATCH(F508,база!Q:Q,0)),"")</f>
        <v/>
      </c>
      <c r="AR508" s="208" t="str">
        <f>IFERROR(INDEX(база!D:D, MATCH(F508,база!B:B,0)),"")</f>
        <v/>
      </c>
      <c r="AS508" s="758" t="str">
        <f>IFERROR(INDEX(база!E:E, MATCH(F508,база!B:B,0)),"")</f>
        <v/>
      </c>
    </row>
    <row r="509" spans="1:45" s="46" customFormat="1" ht="15">
      <c r="A509" s="66" t="str">
        <f t="shared" si="9"/>
        <v>январь</v>
      </c>
      <c r="B509" s="231">
        <v>2024</v>
      </c>
      <c r="C509" s="299"/>
      <c r="D509" s="61"/>
      <c r="E509" s="211"/>
      <c r="F509" s="680"/>
      <c r="G509" s="47"/>
      <c r="H509" s="563"/>
      <c r="I509" s="563"/>
      <c r="J509" s="563"/>
      <c r="K509" s="563"/>
      <c r="L509" s="563"/>
      <c r="M509" s="563"/>
      <c r="N509" s="563"/>
      <c r="O509" s="563"/>
      <c r="P509" s="300"/>
      <c r="Q509" s="563"/>
      <c r="R509" s="563"/>
      <c r="S509" s="563"/>
      <c r="T509" s="563"/>
      <c r="U509" s="563"/>
      <c r="V509" s="563"/>
      <c r="W509" s="563"/>
      <c r="X509" s="563"/>
      <c r="Y509" s="563"/>
      <c r="Z509" s="563"/>
      <c r="AA509" s="563"/>
      <c r="AB509" s="563"/>
      <c r="AC509" s="563"/>
      <c r="AD509" s="48"/>
      <c r="AE509" s="48"/>
      <c r="AF509" s="258"/>
      <c r="AG509" s="48"/>
      <c r="AH509" s="48"/>
      <c r="AI509" s="48"/>
      <c r="AJ509" s="48"/>
      <c r="AK509" s="48"/>
      <c r="AL509" s="51"/>
      <c r="AM509" s="212">
        <f>IF(AQ509=1,SUM(Q509:T509,W509:Z509,AC509:AF509,AI509:AL509),
IF(AQ509=2,SUM(P509,S509:V509,Y509:AB509,AE509:AH509,AK509:AL509),
IF(AQ509=3,SUM(P509:R509,U509:X509,AA509:AD509,AG509:AJ509),SUM(Таблица1[[#This Row],[1]:[31]])-Таблица1[[#This Row],[Столбец1]])))</f>
        <v>0</v>
      </c>
      <c r="AN509" s="778">
        <f t="array" ref="AN509">IF(AQ509=1,SUM(P509,U509:V509,AA509:AB509,AG509:AH509),
IF(AQ509=2,SUM(Q509:R509,W509:X509,AC509:AD509,AI509:AJ509),
IF(AQ509=3,SUM(S509:T509,Y509:Z509,AE509:AF509,AK509:AL509),
SUM(IFERROR(WEEKDAY($H$2:$AL$2,2)&gt;5,)*H509:AL509))))+Таблица1[[#This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09" s="292" t="b">
        <f>IF(AR509&lt;=3,(IF((G509="5/24"),((база!$M$6*Таблица1[[#This Row],[сумма]]*Таблица1[[#This Row],[коэф]])),
IF((G509="4/24"),((база!$M$5*Таблица1[[#This Row],[сумма]]*Таблица1[[#This Row],[коэф]])),
IF((G509="3/24"),((база!$M$4*Таблица1[[#This Row],[сумма]]*Таблица1[[#This Row],[коэф]])),
IF((G509="5/16"),((база!$L$6*Таблица1[[#This Row],[сумма]]*Таблица1[[#This Row],[коэф]])),
IF((G509="4/16"),((база!$L$5*Таблица1[[#This Row],[сумма]]*Таблица1[[#This Row],[коэф]])),
IF((G509="3/16"),((база!$L$4*Таблица1[[#This Row],[сумма]]*Таблица1[[#This Row],[коэф]])),
IF((G509="4/4"),((база!$I$5*Таблица1[[#This Row],[сумма]]*Таблица1[[#This Row],[коэф]])),
IF(OR(G509="2/4",G509="3/4"),((база!$I$4*Таблица1[[#This Row],[сумма]]*Таблица1[[#This Row],[коэф]])),
IF((G509="5/8"),((база!$J$6*Таблица1[[#This Row],[сумма]]*Таблица1[[#This Row],[коэф]])),
IF((G509="4/8"),((база!$J$5*Таблица1[[#This Row],[сумма]]*Таблица1[[#This Row],[коэф]])),
IF(OR(G509="3/8",G509="2/8"),((база!$J$4*Таблица1[[#This Row],[сумма]]*Таблица1[[#This Row],[коэф]])))))))))))))),
(IF((G509="5/24"),((база!$M$6*Таблица1[[#This Row],[сумма]]*Таблица1[[#This Row],[коэф]])),
IF(OR(G509="4/24",G509="3/24"),((база!$M$5*Таблица1[[#This Row],[сумма]]*Таблица1[[#This Row],[коэф]])),
IF((G509="5/16"),((база!$L$6*Таблица1[[#This Row],[сумма]]*Таблица1[[#This Row],[коэф]])),
IF(OR(G509="4/16",G509="3/16"),((база!$L$5*Таблица1[[#This Row],[сумма]]*Таблица1[[#This Row],[коэф]])),
IF(OR(G509="2/4",G509="3/4",G509="4/4"),((база!$I$5*Таблица1[[#This Row],[сумма]]*Таблица1[[#This Row],[коэф]])),
IF((G509="5/8"),((база!$J$6*Таблица1[[#This Row],[сумма]]*Таблица1[[#This Row],[коэф]])),
IF(OR(G509="4/8",G509="3/8",G509="2/8"),((база!$J$5*Таблица1[[#This Row],[сумма]]*Таблица1[[#This Row],[коэф]])))))))))))</f>
        <v>0</v>
      </c>
      <c r="AP509" s="730" t="b">
        <f>IF(AR509&lt;=3,(IF((G509="5/24"),((база!$M$6*2*Таблица1[[#This Row],[Столбец1]]*Таблица1[[#This Row],[коэф]])),
IF((G509="4/24"),((база!$M$5*2*Таблица1[[#This Row],[Столбец1]]*Таблица1[[#This Row],[коэф]])),
IF((G509="3/24"),((база!$M$4*2*Таблица1[[#This Row],[Столбец1]]*Таблица1[[#This Row],[коэф]])),
IF((G509="5/16"),((база!$L$6*2*Таблица1[[#This Row],[Столбец1]]*Таблица1[[#This Row],[коэф]])),
IF((G509="4/16"),((база!$L$5*2*Таблица1[[#This Row],[Столбец1]]*Таблица1[[#This Row],[коэф]])),
IF((G509="3/16"),((база!$L$4*2*Таблица1[[#This Row],[Столбец1]]*Таблица1[[#This Row],[коэф]])),
IF((G509="4/4"),((база!$I$5*2*Таблица1[[#This Row],[Столбец1]]*Таблица1[[#This Row],[коэф]])),
IF(OR(G509="2/4",G509="3/4"),((база!$I$4*2*Таблица1[[#This Row],[Столбец1]]*Таблица1[[#This Row],[коэф]])),
IF((G509="5/8"),((база!$J$6*2*Таблица1[[#This Row],[Столбец1]]*Таблица1[[#This Row],[коэф]])),
IF((G509="4/8"),((база!$J$5*2*Таблица1[[#This Row],[Столбец1]]*Таблица1[[#This Row],[коэф]])),
IF(OR(G509="3/8",G509="2/8"),((база!$J$4*2*Таблица1[[#This Row],[Столбец1]]*Таблица1[[#This Row],[коэф]])))))))))))))),
(IF((G509="5/24"),((база!$M$6*2*Таблица1[[#This Row],[Столбец1]]*Таблица1[[#This Row],[коэф]])),
IF(OR(G509="4/24",G509="3/24"),((база!$M$5*2*Таблица1[[#This Row],[Столбец1]]*Таблица1[[#This Row],[коэф]])),
IF((G509="5/16"),((база!$L$6*2*Таблица1[[#This Row],[Столбец1]]*Таблица1[[#This Row],[коэф]])),
IF(OR(G509="4/16",G509="3/16"),((база!$L$5*2*Таблица1[[#This Row],[Столбец1]]*Таблица1[[#This Row],[коэф]])),
IF(OR(G509="2/4",G509="3/4",G509="4/4"),((база!$I$5*2*Таблица1[[#This Row],[Столбец1]]*Таблица1[[#This Row],[коэф]])),
IF((G509="5/8"),((база!$J$6*2*Таблица1[[#This Row],[Столбец1]]*Таблица1[[#This Row],[коэф]])),
IF(OR(G509="4/8",G509="3/8",G509="2/8"),((база!$J$5*2*Таблица1[[#This Row],[Столбец1]]*Таблица1[[#This Row],[коэф]])))))))))))</f>
        <v>0</v>
      </c>
      <c r="AQ509" s="712" t="str">
        <f>IFERROR(INDEX(база!T:T, MATCH(F509,база!Q:Q,0)),"")</f>
        <v/>
      </c>
      <c r="AR509" s="208" t="str">
        <f>IFERROR(INDEX(база!D:D, MATCH(F509,база!B:B,0)),"")</f>
        <v/>
      </c>
      <c r="AS509" s="758" t="str">
        <f>IFERROR(INDEX(база!E:E, MATCH(F509,база!B:B,0)),"")</f>
        <v/>
      </c>
    </row>
    <row r="510" spans="1:45" s="46" customFormat="1" ht="15">
      <c r="A510" s="66" t="str">
        <f t="shared" si="9"/>
        <v>январь</v>
      </c>
      <c r="B510" s="231">
        <v>2024</v>
      </c>
      <c r="C510" s="299"/>
      <c r="D510" s="61"/>
      <c r="E510" s="211"/>
      <c r="F510" s="680"/>
      <c r="G510" s="47"/>
      <c r="H510" s="563"/>
      <c r="I510" s="563"/>
      <c r="J510" s="563"/>
      <c r="K510" s="563"/>
      <c r="L510" s="563"/>
      <c r="M510" s="563"/>
      <c r="N510" s="563"/>
      <c r="O510" s="563"/>
      <c r="P510" s="300"/>
      <c r="Q510" s="563"/>
      <c r="R510" s="563"/>
      <c r="S510" s="563"/>
      <c r="T510" s="563"/>
      <c r="U510" s="563"/>
      <c r="V510" s="563"/>
      <c r="W510" s="563"/>
      <c r="X510" s="563"/>
      <c r="Y510" s="563"/>
      <c r="Z510" s="563"/>
      <c r="AA510" s="563"/>
      <c r="AB510" s="563"/>
      <c r="AC510" s="563"/>
      <c r="AD510" s="48"/>
      <c r="AE510" s="48"/>
      <c r="AF510" s="258"/>
      <c r="AG510" s="48"/>
      <c r="AH510" s="48"/>
      <c r="AI510" s="258"/>
      <c r="AJ510" s="258"/>
      <c r="AK510" s="258"/>
      <c r="AL510" s="258"/>
      <c r="AM510" s="212">
        <f>IF(AQ510=1,SUM(Q510:T510,W510:Z510,AC510:AF510,AI510:AL510),
IF(AQ510=2,SUM(P510,S510:V510,Y510:AB510,AE510:AH510,AK510:AL510),
IF(AQ510=3,SUM(P510:R510,U510:X510,AA510:AD510,AG510:AJ510),SUM(Таблица1[[#This Row],[1]:[31]])-Таблица1[[#This Row],[Столбец1]])))</f>
        <v>0</v>
      </c>
      <c r="AN510" s="778">
        <f t="array" ref="AN510">IF(AQ510=1,SUM(P510,U510:V510,AA510:AB510,AG510:AH510),
IF(AQ510=2,SUM(Q510:R510,W510:X510,AC510:AD510,AI510:AJ510),
IF(AQ510=3,SUM(S510:T510,Y510:Z510,AE510:AF510,AK510:AL510),
SUM(IFERROR(WEEKDAY($H$2:$AL$2,2)&gt;5,)*H510:AL510))))+Таблица1[[#This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10" s="292" t="b">
        <f>IF(AR510&lt;=3,(IF((G510="5/24"),((база!$M$6*Таблица1[[#This Row],[сумма]]*Таблица1[[#This Row],[коэф]])),
IF((G510="4/24"),((база!$M$5*Таблица1[[#This Row],[сумма]]*Таблица1[[#This Row],[коэф]])),
IF((G510="3/24"),((база!$M$4*Таблица1[[#This Row],[сумма]]*Таблица1[[#This Row],[коэф]])),
IF((G510="5/16"),((база!$L$6*Таблица1[[#This Row],[сумма]]*Таблица1[[#This Row],[коэф]])),
IF((G510="4/16"),((база!$L$5*Таблица1[[#This Row],[сумма]]*Таблица1[[#This Row],[коэф]])),
IF((G510="3/16"),((база!$L$4*Таблица1[[#This Row],[сумма]]*Таблица1[[#This Row],[коэф]])),
IF((G510="4/4"),((база!$I$5*Таблица1[[#This Row],[сумма]]*Таблица1[[#This Row],[коэф]])),
IF(OR(G510="2/4",G510="3/4"),((база!$I$4*Таблица1[[#This Row],[сумма]]*Таблица1[[#This Row],[коэф]])),
IF((G510="5/8"),((база!$J$6*Таблица1[[#This Row],[сумма]]*Таблица1[[#This Row],[коэф]])),
IF((G510="4/8"),((база!$J$5*Таблица1[[#This Row],[сумма]]*Таблица1[[#This Row],[коэф]])),
IF(OR(G510="3/8",G510="2/8"),((база!$J$4*Таблица1[[#This Row],[сумма]]*Таблица1[[#This Row],[коэф]])))))))))))))),
(IF((G510="5/24"),((база!$M$6*Таблица1[[#This Row],[сумма]]*Таблица1[[#This Row],[коэф]])),
IF(OR(G510="4/24",G510="3/24"),((база!$M$5*Таблица1[[#This Row],[сумма]]*Таблица1[[#This Row],[коэф]])),
IF((G510="5/16"),((база!$L$6*Таблица1[[#This Row],[сумма]]*Таблица1[[#This Row],[коэф]])),
IF(OR(G510="4/16",G510="3/16"),((база!$L$5*Таблица1[[#This Row],[сумма]]*Таблица1[[#This Row],[коэф]])),
IF(OR(G510="2/4",G510="3/4",G510="4/4"),((база!$I$5*Таблица1[[#This Row],[сумма]]*Таблица1[[#This Row],[коэф]])),
IF((G510="5/8"),((база!$J$6*Таблица1[[#This Row],[сумма]]*Таблица1[[#This Row],[коэф]])),
IF(OR(G510="4/8",G510="3/8",G510="2/8"),((база!$J$5*Таблица1[[#This Row],[сумма]]*Таблица1[[#This Row],[коэф]])))))))))))</f>
        <v>0</v>
      </c>
      <c r="AP510" s="730" t="b">
        <f>IF(AR510&lt;=3,(IF((G510="5/24"),((база!$M$6*2*Таблица1[[#This Row],[Столбец1]]*Таблица1[[#This Row],[коэф]])),
IF((G510="4/24"),((база!$M$5*2*Таблица1[[#This Row],[Столбец1]]*Таблица1[[#This Row],[коэф]])),
IF((G510="3/24"),((база!$M$4*2*Таблица1[[#This Row],[Столбец1]]*Таблица1[[#This Row],[коэф]])),
IF((G510="5/16"),((база!$L$6*2*Таблица1[[#This Row],[Столбец1]]*Таблица1[[#This Row],[коэф]])),
IF((G510="4/16"),((база!$L$5*2*Таблица1[[#This Row],[Столбец1]]*Таблица1[[#This Row],[коэф]])),
IF((G510="3/16"),((база!$L$4*2*Таблица1[[#This Row],[Столбец1]]*Таблица1[[#This Row],[коэф]])),
IF((G510="4/4"),((база!$I$5*2*Таблица1[[#This Row],[Столбец1]]*Таблица1[[#This Row],[коэф]])),
IF(OR(G510="2/4",G510="3/4"),((база!$I$4*2*Таблица1[[#This Row],[Столбец1]]*Таблица1[[#This Row],[коэф]])),
IF((G510="5/8"),((база!$J$6*2*Таблица1[[#This Row],[Столбец1]]*Таблица1[[#This Row],[коэф]])),
IF((G510="4/8"),((база!$J$5*2*Таблица1[[#This Row],[Столбец1]]*Таблица1[[#This Row],[коэф]])),
IF(OR(G510="3/8",G510="2/8"),((база!$J$4*2*Таблица1[[#This Row],[Столбец1]]*Таблица1[[#This Row],[коэф]])))))))))))))),
(IF((G510="5/24"),((база!$M$6*2*Таблица1[[#This Row],[Столбец1]]*Таблица1[[#This Row],[коэф]])),
IF(OR(G510="4/24",G510="3/24"),((база!$M$5*2*Таблица1[[#This Row],[Столбец1]]*Таблица1[[#This Row],[коэф]])),
IF((G510="5/16"),((база!$L$6*2*Таблица1[[#This Row],[Столбец1]]*Таблица1[[#This Row],[коэф]])),
IF(OR(G510="4/16",G510="3/16"),((база!$L$5*2*Таблица1[[#This Row],[Столбец1]]*Таблица1[[#This Row],[коэф]])),
IF(OR(G510="2/4",G510="3/4",G510="4/4"),((база!$I$5*2*Таблица1[[#This Row],[Столбец1]]*Таблица1[[#This Row],[коэф]])),
IF((G510="5/8"),((база!$J$6*2*Таблица1[[#This Row],[Столбец1]]*Таблица1[[#This Row],[коэф]])),
IF(OR(G510="4/8",G510="3/8",G510="2/8"),((база!$J$5*2*Таблица1[[#This Row],[Столбец1]]*Таблица1[[#This Row],[коэф]])))))))))))</f>
        <v>0</v>
      </c>
      <c r="AQ510" s="712" t="str">
        <f>IFERROR(INDEX(база!T:T, MATCH(F510,база!Q:Q,0)),"")</f>
        <v/>
      </c>
      <c r="AR510" s="208" t="str">
        <f>IFERROR(INDEX(база!D:D, MATCH(F510,база!B:B,0)),"")</f>
        <v/>
      </c>
      <c r="AS510" s="758" t="str">
        <f>IFERROR(INDEX(база!E:E, MATCH(F510,база!B:B,0)),"")</f>
        <v/>
      </c>
    </row>
    <row r="511" spans="1:45" s="46" customFormat="1" ht="15">
      <c r="A511" s="66" t="str">
        <f t="shared" si="9"/>
        <v>январь</v>
      </c>
      <c r="B511" s="231">
        <v>2024</v>
      </c>
      <c r="C511" s="299"/>
      <c r="D511" s="61"/>
      <c r="E511" s="211"/>
      <c r="F511" s="680"/>
      <c r="G511" s="47"/>
      <c r="H511" s="563"/>
      <c r="I511" s="563"/>
      <c r="J511" s="563"/>
      <c r="K511" s="563"/>
      <c r="L511" s="563"/>
      <c r="M511" s="563"/>
      <c r="N511" s="563"/>
      <c r="O511" s="563"/>
      <c r="P511" s="300"/>
      <c r="Q511" s="563"/>
      <c r="R511" s="563"/>
      <c r="S511" s="563"/>
      <c r="T511" s="563"/>
      <c r="U511" s="563"/>
      <c r="V511" s="563"/>
      <c r="W511" s="563"/>
      <c r="X511" s="563"/>
      <c r="Y511" s="563"/>
      <c r="Z511" s="563"/>
      <c r="AA511" s="563"/>
      <c r="AB511" s="563"/>
      <c r="AC511" s="563"/>
      <c r="AD511" s="48"/>
      <c r="AE511" s="48"/>
      <c r="AF511" s="258"/>
      <c r="AG511" s="48"/>
      <c r="AH511" s="48"/>
      <c r="AI511" s="48"/>
      <c r="AJ511" s="48"/>
      <c r="AK511" s="48"/>
      <c r="AL511" s="51"/>
      <c r="AM511" s="212">
        <f>IF(AQ511=1,SUM(Q511:T511,W511:Z511,AC511:AF511,AI511:AL511),
IF(AQ511=2,SUM(P511,S511:V511,Y511:AB511,AE511:AH511,AK511:AL511),
IF(AQ511=3,SUM(P511:R511,U511:X511,AA511:AD511,AG511:AJ511),SUM(Таблица1[[#This Row],[1]:[31]])-Таблица1[[#This Row],[Столбец1]])))</f>
        <v>0</v>
      </c>
      <c r="AN511" s="778">
        <f t="array" ref="AN511">IF(AQ511=1,SUM(P511,U511:V511,AA511:AB511,AG511:AH511),
IF(AQ511=2,SUM(Q511:R511,W511:X511,AC511:AD511,AI511:AJ511),
IF(AQ511=3,SUM(S511:T511,Y511:Z511,AE511:AF511,AK511:AL511),
SUM(IFERROR(WEEKDAY($H$2:$AL$2,2)&gt;5,)*H511:AL511))))+Таблица1[[#This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11" s="292" t="b">
        <f>IF(AR511&lt;=3,(IF((G511="5/24"),((база!$M$6*Таблица1[[#This Row],[сумма]]*Таблица1[[#This Row],[коэф]])),
IF((G511="4/24"),((база!$M$5*Таблица1[[#This Row],[сумма]]*Таблица1[[#This Row],[коэф]])),
IF((G511="3/24"),((база!$M$4*Таблица1[[#This Row],[сумма]]*Таблица1[[#This Row],[коэф]])),
IF((G511="5/16"),((база!$L$6*Таблица1[[#This Row],[сумма]]*Таблица1[[#This Row],[коэф]])),
IF((G511="4/16"),((база!$L$5*Таблица1[[#This Row],[сумма]]*Таблица1[[#This Row],[коэф]])),
IF((G511="3/16"),((база!$L$4*Таблица1[[#This Row],[сумма]]*Таблица1[[#This Row],[коэф]])),
IF((G511="4/4"),((база!$I$5*Таблица1[[#This Row],[сумма]]*Таблица1[[#This Row],[коэф]])),
IF(OR(G511="2/4",G511="3/4"),((база!$I$4*Таблица1[[#This Row],[сумма]]*Таблица1[[#This Row],[коэф]])),
IF((G511="5/8"),((база!$J$6*Таблица1[[#This Row],[сумма]]*Таблица1[[#This Row],[коэф]])),
IF((G511="4/8"),((база!$J$5*Таблица1[[#This Row],[сумма]]*Таблица1[[#This Row],[коэф]])),
IF(OR(G511="3/8",G511="2/8"),((база!$J$4*Таблица1[[#This Row],[сумма]]*Таблица1[[#This Row],[коэф]])))))))))))))),
(IF((G511="5/24"),((база!$M$6*Таблица1[[#This Row],[сумма]]*Таблица1[[#This Row],[коэф]])),
IF(OR(G511="4/24",G511="3/24"),((база!$M$5*Таблица1[[#This Row],[сумма]]*Таблица1[[#This Row],[коэф]])),
IF((G511="5/16"),((база!$L$6*Таблица1[[#This Row],[сумма]]*Таблица1[[#This Row],[коэф]])),
IF(OR(G511="4/16",G511="3/16"),((база!$L$5*Таблица1[[#This Row],[сумма]]*Таблица1[[#This Row],[коэф]])),
IF(OR(G511="2/4",G511="3/4",G511="4/4"),((база!$I$5*Таблица1[[#This Row],[сумма]]*Таблица1[[#This Row],[коэф]])),
IF((G511="5/8"),((база!$J$6*Таблица1[[#This Row],[сумма]]*Таблица1[[#This Row],[коэф]])),
IF(OR(G511="4/8",G511="3/8",G511="2/8"),((база!$J$5*Таблица1[[#This Row],[сумма]]*Таблица1[[#This Row],[коэф]])))))))))))</f>
        <v>0</v>
      </c>
      <c r="AP511" s="730" t="b">
        <f>IF(AR511&lt;=3,(IF((G511="5/24"),((база!$M$6*2*Таблица1[[#This Row],[Столбец1]]*Таблица1[[#This Row],[коэф]])),
IF((G511="4/24"),((база!$M$5*2*Таблица1[[#This Row],[Столбец1]]*Таблица1[[#This Row],[коэф]])),
IF((G511="3/24"),((база!$M$4*2*Таблица1[[#This Row],[Столбец1]]*Таблица1[[#This Row],[коэф]])),
IF((G511="5/16"),((база!$L$6*2*Таблица1[[#This Row],[Столбец1]]*Таблица1[[#This Row],[коэф]])),
IF((G511="4/16"),((база!$L$5*2*Таблица1[[#This Row],[Столбец1]]*Таблица1[[#This Row],[коэф]])),
IF((G511="3/16"),((база!$L$4*2*Таблица1[[#This Row],[Столбец1]]*Таблица1[[#This Row],[коэф]])),
IF((G511="4/4"),((база!$I$5*2*Таблица1[[#This Row],[Столбец1]]*Таблица1[[#This Row],[коэф]])),
IF(OR(G511="2/4",G511="3/4"),((база!$I$4*2*Таблица1[[#This Row],[Столбец1]]*Таблица1[[#This Row],[коэф]])),
IF((G511="5/8"),((база!$J$6*2*Таблица1[[#This Row],[Столбец1]]*Таблица1[[#This Row],[коэф]])),
IF((G511="4/8"),((база!$J$5*2*Таблица1[[#This Row],[Столбец1]]*Таблица1[[#This Row],[коэф]])),
IF(OR(G511="3/8",G511="2/8"),((база!$J$4*2*Таблица1[[#This Row],[Столбец1]]*Таблица1[[#This Row],[коэф]])))))))))))))),
(IF((G511="5/24"),((база!$M$6*2*Таблица1[[#This Row],[Столбец1]]*Таблица1[[#This Row],[коэф]])),
IF(OR(G511="4/24",G511="3/24"),((база!$M$5*2*Таблица1[[#This Row],[Столбец1]]*Таблица1[[#This Row],[коэф]])),
IF((G511="5/16"),((база!$L$6*2*Таблица1[[#This Row],[Столбец1]]*Таблица1[[#This Row],[коэф]])),
IF(OR(G511="4/16",G511="3/16"),((база!$L$5*2*Таблица1[[#This Row],[Столбец1]]*Таблица1[[#This Row],[коэф]])),
IF(OR(G511="2/4",G511="3/4",G511="4/4"),((база!$I$5*2*Таблица1[[#This Row],[Столбец1]]*Таблица1[[#This Row],[коэф]])),
IF((G511="5/8"),((база!$J$6*2*Таблица1[[#This Row],[Столбец1]]*Таблица1[[#This Row],[коэф]])),
IF(OR(G511="4/8",G511="3/8",G511="2/8"),((база!$J$5*2*Таблица1[[#This Row],[Столбец1]]*Таблица1[[#This Row],[коэф]])))))))))))</f>
        <v>0</v>
      </c>
      <c r="AQ511" s="712" t="str">
        <f>IFERROR(INDEX(база!T:T, MATCH(F511,база!Q:Q,0)),"")</f>
        <v/>
      </c>
      <c r="AR511" s="208" t="str">
        <f>IFERROR(INDEX(база!D:D, MATCH(F511,база!B:B,0)),"")</f>
        <v/>
      </c>
      <c r="AS511" s="758" t="str">
        <f>IFERROR(INDEX(база!E:E, MATCH(F511,база!B:B,0)),"")</f>
        <v/>
      </c>
    </row>
    <row r="512" spans="1:45" s="46" customFormat="1" ht="15">
      <c r="A512" s="66" t="str">
        <f t="shared" si="9"/>
        <v>январь</v>
      </c>
      <c r="B512" s="231">
        <v>2024</v>
      </c>
      <c r="C512" s="299"/>
      <c r="D512" s="61"/>
      <c r="E512" s="211"/>
      <c r="F512" s="680"/>
      <c r="G512" s="47"/>
      <c r="H512" s="563"/>
      <c r="I512" s="563"/>
      <c r="J512" s="563"/>
      <c r="K512" s="563"/>
      <c r="L512" s="563"/>
      <c r="M512" s="563"/>
      <c r="N512" s="563"/>
      <c r="O512" s="563"/>
      <c r="P512" s="300"/>
      <c r="Q512" s="563"/>
      <c r="R512" s="563"/>
      <c r="S512" s="563"/>
      <c r="T512" s="563"/>
      <c r="U512" s="563"/>
      <c r="V512" s="563"/>
      <c r="W512" s="563"/>
      <c r="X512" s="563"/>
      <c r="Y512" s="563"/>
      <c r="Z512" s="563"/>
      <c r="AA512" s="563"/>
      <c r="AB512" s="563"/>
      <c r="AC512" s="563"/>
      <c r="AD512" s="48"/>
      <c r="AE512" s="48"/>
      <c r="AF512" s="258"/>
      <c r="AG512" s="48"/>
      <c r="AH512" s="48"/>
      <c r="AI512" s="258"/>
      <c r="AJ512" s="258"/>
      <c r="AK512" s="258"/>
      <c r="AL512" s="258"/>
      <c r="AM512" s="212">
        <f>IF(AQ512=1,SUM(Q512:T512,W512:Z512,AC512:AF512,AI512:AL512),
IF(AQ512=2,SUM(P512,S512:V512,Y512:AB512,AE512:AH512,AK512:AL512),
IF(AQ512=3,SUM(P512:R512,U512:X512,AA512:AD512,AG512:AJ512),SUM(Таблица1[[#This Row],[1]:[31]])-Таблица1[[#This Row],[Столбец1]])))</f>
        <v>0</v>
      </c>
      <c r="AN512" s="778">
        <f t="array" ref="AN512">IF(AQ512=1,SUM(P512,U512:V512,AA512:AB512,AG512:AH512),
IF(AQ512=2,SUM(Q512:R512,W512:X512,AC512:AD512,AI512:AJ512),
IF(AQ512=3,SUM(S512:T512,Y512:Z512,AE512:AF512,AK512:AL512),
SUM(IFERROR(WEEKDAY($H$2:$AL$2,2)&gt;5,)*H512:AL512))))+Таблица1[[#This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12" s="292" t="b">
        <f>IF(AR512&lt;=3,(IF((G512="5/24"),((база!$M$6*Таблица1[[#This Row],[сумма]]*Таблица1[[#This Row],[коэф]])),
IF((G512="4/24"),((база!$M$5*Таблица1[[#This Row],[сумма]]*Таблица1[[#This Row],[коэф]])),
IF((G512="3/24"),((база!$M$4*Таблица1[[#This Row],[сумма]]*Таблица1[[#This Row],[коэф]])),
IF((G512="5/16"),((база!$L$6*Таблица1[[#This Row],[сумма]]*Таблица1[[#This Row],[коэф]])),
IF((G512="4/16"),((база!$L$5*Таблица1[[#This Row],[сумма]]*Таблица1[[#This Row],[коэф]])),
IF((G512="3/16"),((база!$L$4*Таблица1[[#This Row],[сумма]]*Таблица1[[#This Row],[коэф]])),
IF((G512="4/4"),((база!$I$5*Таблица1[[#This Row],[сумма]]*Таблица1[[#This Row],[коэф]])),
IF(OR(G512="2/4",G512="3/4"),((база!$I$4*Таблица1[[#This Row],[сумма]]*Таблица1[[#This Row],[коэф]])),
IF((G512="5/8"),((база!$J$6*Таблица1[[#This Row],[сумма]]*Таблица1[[#This Row],[коэф]])),
IF((G512="4/8"),((база!$J$5*Таблица1[[#This Row],[сумма]]*Таблица1[[#This Row],[коэф]])),
IF(OR(G512="3/8",G512="2/8"),((база!$J$4*Таблица1[[#This Row],[сумма]]*Таблица1[[#This Row],[коэф]])))))))))))))),
(IF((G512="5/24"),((база!$M$6*Таблица1[[#This Row],[сумма]]*Таблица1[[#This Row],[коэф]])),
IF(OR(G512="4/24",G512="3/24"),((база!$M$5*Таблица1[[#This Row],[сумма]]*Таблица1[[#This Row],[коэф]])),
IF((G512="5/16"),((база!$L$6*Таблица1[[#This Row],[сумма]]*Таблица1[[#This Row],[коэф]])),
IF(OR(G512="4/16",G512="3/16"),((база!$L$5*Таблица1[[#This Row],[сумма]]*Таблица1[[#This Row],[коэф]])),
IF(OR(G512="2/4",G512="3/4",G512="4/4"),((база!$I$5*Таблица1[[#This Row],[сумма]]*Таблица1[[#This Row],[коэф]])),
IF((G512="5/8"),((база!$J$6*Таблица1[[#This Row],[сумма]]*Таблица1[[#This Row],[коэф]])),
IF(OR(G512="4/8",G512="3/8",G512="2/8"),((база!$J$5*Таблица1[[#This Row],[сумма]]*Таблица1[[#This Row],[коэф]])))))))))))</f>
        <v>0</v>
      </c>
      <c r="AP512" s="730" t="b">
        <f>IF(AR512&lt;=3,(IF((G512="5/24"),((база!$M$6*2*Таблица1[[#This Row],[Столбец1]]*Таблица1[[#This Row],[коэф]])),
IF((G512="4/24"),((база!$M$5*2*Таблица1[[#This Row],[Столбец1]]*Таблица1[[#This Row],[коэф]])),
IF((G512="3/24"),((база!$M$4*2*Таблица1[[#This Row],[Столбец1]]*Таблица1[[#This Row],[коэф]])),
IF((G512="5/16"),((база!$L$6*2*Таблица1[[#This Row],[Столбец1]]*Таблица1[[#This Row],[коэф]])),
IF((G512="4/16"),((база!$L$5*2*Таблица1[[#This Row],[Столбец1]]*Таблица1[[#This Row],[коэф]])),
IF((G512="3/16"),((база!$L$4*2*Таблица1[[#This Row],[Столбец1]]*Таблица1[[#This Row],[коэф]])),
IF((G512="4/4"),((база!$I$5*2*Таблица1[[#This Row],[Столбец1]]*Таблица1[[#This Row],[коэф]])),
IF(OR(G512="2/4",G512="3/4"),((база!$I$4*2*Таблица1[[#This Row],[Столбец1]]*Таблица1[[#This Row],[коэф]])),
IF((G512="5/8"),((база!$J$6*2*Таблица1[[#This Row],[Столбец1]]*Таблица1[[#This Row],[коэф]])),
IF((G512="4/8"),((база!$J$5*2*Таблица1[[#This Row],[Столбец1]]*Таблица1[[#This Row],[коэф]])),
IF(OR(G512="3/8",G512="2/8"),((база!$J$4*2*Таблица1[[#This Row],[Столбец1]]*Таблица1[[#This Row],[коэф]])))))))))))))),
(IF((G512="5/24"),((база!$M$6*2*Таблица1[[#This Row],[Столбец1]]*Таблица1[[#This Row],[коэф]])),
IF(OR(G512="4/24",G512="3/24"),((база!$M$5*2*Таблица1[[#This Row],[Столбец1]]*Таблица1[[#This Row],[коэф]])),
IF((G512="5/16"),((база!$L$6*2*Таблица1[[#This Row],[Столбец1]]*Таблица1[[#This Row],[коэф]])),
IF(OR(G512="4/16",G512="3/16"),((база!$L$5*2*Таблица1[[#This Row],[Столбец1]]*Таблица1[[#This Row],[коэф]])),
IF(OR(G512="2/4",G512="3/4",G512="4/4"),((база!$I$5*2*Таблица1[[#This Row],[Столбец1]]*Таблица1[[#This Row],[коэф]])),
IF((G512="5/8"),((база!$J$6*2*Таблица1[[#This Row],[Столбец1]]*Таблица1[[#This Row],[коэф]])),
IF(OR(G512="4/8",G512="3/8",G512="2/8"),((база!$J$5*2*Таблица1[[#This Row],[Столбец1]]*Таблица1[[#This Row],[коэф]])))))))))))</f>
        <v>0</v>
      </c>
      <c r="AQ512" s="712" t="str">
        <f>IFERROR(INDEX(база!T:T, MATCH(F512,база!Q:Q,0)),"")</f>
        <v/>
      </c>
      <c r="AR512" s="208" t="str">
        <f>IFERROR(INDEX(база!D:D, MATCH(F512,база!B:B,0)),"")</f>
        <v/>
      </c>
      <c r="AS512" s="758" t="str">
        <f>IFERROR(INDEX(база!E:E, MATCH(F512,база!B:B,0)),"")</f>
        <v/>
      </c>
    </row>
    <row r="513" spans="1:45" s="46" customFormat="1" ht="15">
      <c r="A513" s="66" t="str">
        <f t="shared" si="9"/>
        <v>январь</v>
      </c>
      <c r="B513" s="231">
        <v>2024</v>
      </c>
      <c r="C513" s="299"/>
      <c r="D513" s="61"/>
      <c r="E513" s="211"/>
      <c r="F513" s="680"/>
      <c r="G513" s="47"/>
      <c r="H513" s="563"/>
      <c r="I513" s="563"/>
      <c r="J513" s="563"/>
      <c r="K513" s="563"/>
      <c r="L513" s="563"/>
      <c r="M513" s="563"/>
      <c r="N513" s="563"/>
      <c r="O513" s="563"/>
      <c r="P513" s="300"/>
      <c r="Q513" s="563"/>
      <c r="R513" s="563"/>
      <c r="S513" s="563"/>
      <c r="T513" s="563"/>
      <c r="U513" s="563"/>
      <c r="V513" s="563"/>
      <c r="W513" s="563"/>
      <c r="X513" s="563"/>
      <c r="Y513" s="563"/>
      <c r="Z513" s="563"/>
      <c r="AA513" s="563"/>
      <c r="AB513" s="563"/>
      <c r="AC513" s="563"/>
      <c r="AD513" s="48"/>
      <c r="AE513" s="48"/>
      <c r="AF513" s="258"/>
      <c r="AG513" s="48"/>
      <c r="AH513" s="48"/>
      <c r="AI513" s="48"/>
      <c r="AJ513" s="48"/>
      <c r="AK513" s="48"/>
      <c r="AL513" s="51"/>
      <c r="AM513" s="212">
        <f>IF(AQ513=1,SUM(Q513:T513,W513:Z513,AC513:AF513,AI513:AL513),
IF(AQ513=2,SUM(P513,S513:V513,Y513:AB513,AE513:AH513,AK513:AL513),
IF(AQ513=3,SUM(P513:R513,U513:X513,AA513:AD513,AG513:AJ513),SUM(Таблица1[[#This Row],[1]:[31]])-Таблица1[[#This Row],[Столбец1]])))</f>
        <v>0</v>
      </c>
      <c r="AN513" s="778">
        <f t="array" ref="AN513">IF(AQ513=1,SUM(P513,U513:V513,AA513:AB513,AG513:AH513),
IF(AQ513=2,SUM(Q513:R513,W513:X513,AC513:AD513,AI513:AJ513),
IF(AQ513=3,SUM(S513:T513,Y513:Z513,AE513:AF513,AK513:AL513),
SUM(IFERROR(WEEKDAY($H$2:$AL$2,2)&gt;5,)*H513:AL513))))+Таблица1[[#This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13" s="292" t="b">
        <f>IF(AR513&lt;=3,(IF((G513="5/24"),((база!$M$6*Таблица1[[#This Row],[сумма]]*Таблица1[[#This Row],[коэф]])),
IF((G513="4/24"),((база!$M$5*Таблица1[[#This Row],[сумма]]*Таблица1[[#This Row],[коэф]])),
IF((G513="3/24"),((база!$M$4*Таблица1[[#This Row],[сумма]]*Таблица1[[#This Row],[коэф]])),
IF((G513="5/16"),((база!$L$6*Таблица1[[#This Row],[сумма]]*Таблица1[[#This Row],[коэф]])),
IF((G513="4/16"),((база!$L$5*Таблица1[[#This Row],[сумма]]*Таблица1[[#This Row],[коэф]])),
IF((G513="3/16"),((база!$L$4*Таблица1[[#This Row],[сумма]]*Таблица1[[#This Row],[коэф]])),
IF((G513="4/4"),((база!$I$5*Таблица1[[#This Row],[сумма]]*Таблица1[[#This Row],[коэф]])),
IF(OR(G513="2/4",G513="3/4"),((база!$I$4*Таблица1[[#This Row],[сумма]]*Таблица1[[#This Row],[коэф]])),
IF((G513="5/8"),((база!$J$6*Таблица1[[#This Row],[сумма]]*Таблица1[[#This Row],[коэф]])),
IF((G513="4/8"),((база!$J$5*Таблица1[[#This Row],[сумма]]*Таблица1[[#This Row],[коэф]])),
IF(OR(G513="3/8",G513="2/8"),((база!$J$4*Таблица1[[#This Row],[сумма]]*Таблица1[[#This Row],[коэф]])))))))))))))),
(IF((G513="5/24"),((база!$M$6*Таблица1[[#This Row],[сумма]]*Таблица1[[#This Row],[коэф]])),
IF(OR(G513="4/24",G513="3/24"),((база!$M$5*Таблица1[[#This Row],[сумма]]*Таблица1[[#This Row],[коэф]])),
IF((G513="5/16"),((база!$L$6*Таблица1[[#This Row],[сумма]]*Таблица1[[#This Row],[коэф]])),
IF(OR(G513="4/16",G513="3/16"),((база!$L$5*Таблица1[[#This Row],[сумма]]*Таблица1[[#This Row],[коэф]])),
IF(OR(G513="2/4",G513="3/4",G513="4/4"),((база!$I$5*Таблица1[[#This Row],[сумма]]*Таблица1[[#This Row],[коэф]])),
IF((G513="5/8"),((база!$J$6*Таблица1[[#This Row],[сумма]]*Таблица1[[#This Row],[коэф]])),
IF(OR(G513="4/8",G513="3/8",G513="2/8"),((база!$J$5*Таблица1[[#This Row],[сумма]]*Таблица1[[#This Row],[коэф]])))))))))))</f>
        <v>0</v>
      </c>
      <c r="AP513" s="730" t="b">
        <f>IF(AR513&lt;=3,(IF((G513="5/24"),((база!$M$6*2*Таблица1[[#This Row],[Столбец1]]*Таблица1[[#This Row],[коэф]])),
IF((G513="4/24"),((база!$M$5*2*Таблица1[[#This Row],[Столбец1]]*Таблица1[[#This Row],[коэф]])),
IF((G513="3/24"),((база!$M$4*2*Таблица1[[#This Row],[Столбец1]]*Таблица1[[#This Row],[коэф]])),
IF((G513="5/16"),((база!$L$6*2*Таблица1[[#This Row],[Столбец1]]*Таблица1[[#This Row],[коэф]])),
IF((G513="4/16"),((база!$L$5*2*Таблица1[[#This Row],[Столбец1]]*Таблица1[[#This Row],[коэф]])),
IF((G513="3/16"),((база!$L$4*2*Таблица1[[#This Row],[Столбец1]]*Таблица1[[#This Row],[коэф]])),
IF((G513="4/4"),((база!$I$5*2*Таблица1[[#This Row],[Столбец1]]*Таблица1[[#This Row],[коэф]])),
IF(OR(G513="2/4",G513="3/4"),((база!$I$4*2*Таблица1[[#This Row],[Столбец1]]*Таблица1[[#This Row],[коэф]])),
IF((G513="5/8"),((база!$J$6*2*Таблица1[[#This Row],[Столбец1]]*Таблица1[[#This Row],[коэф]])),
IF((G513="4/8"),((база!$J$5*2*Таблица1[[#This Row],[Столбец1]]*Таблица1[[#This Row],[коэф]])),
IF(OR(G513="3/8",G513="2/8"),((база!$J$4*2*Таблица1[[#This Row],[Столбец1]]*Таблица1[[#This Row],[коэф]])))))))))))))),
(IF((G513="5/24"),((база!$M$6*2*Таблица1[[#This Row],[Столбец1]]*Таблица1[[#This Row],[коэф]])),
IF(OR(G513="4/24",G513="3/24"),((база!$M$5*2*Таблица1[[#This Row],[Столбец1]]*Таблица1[[#This Row],[коэф]])),
IF((G513="5/16"),((база!$L$6*2*Таблица1[[#This Row],[Столбец1]]*Таблица1[[#This Row],[коэф]])),
IF(OR(G513="4/16",G513="3/16"),((база!$L$5*2*Таблица1[[#This Row],[Столбец1]]*Таблица1[[#This Row],[коэф]])),
IF(OR(G513="2/4",G513="3/4",G513="4/4"),((база!$I$5*2*Таблица1[[#This Row],[Столбец1]]*Таблица1[[#This Row],[коэф]])),
IF((G513="5/8"),((база!$J$6*2*Таблица1[[#This Row],[Столбец1]]*Таблица1[[#This Row],[коэф]])),
IF(OR(G513="4/8",G513="3/8",G513="2/8"),((база!$J$5*2*Таблица1[[#This Row],[Столбец1]]*Таблица1[[#This Row],[коэф]])))))))))))</f>
        <v>0</v>
      </c>
      <c r="AQ513" s="712" t="str">
        <f>IFERROR(INDEX(база!T:T, MATCH(F513,база!Q:Q,0)),"")</f>
        <v/>
      </c>
      <c r="AR513" s="208" t="str">
        <f>IFERROR(INDEX(база!D:D, MATCH(F513,база!B:B,0)),"")</f>
        <v/>
      </c>
      <c r="AS513" s="758" t="str">
        <f>IFERROR(INDEX(база!E:E, MATCH(F513,база!B:B,0)),"")</f>
        <v/>
      </c>
    </row>
    <row r="514" spans="1:45" s="46" customFormat="1" ht="15">
      <c r="A514" s="66" t="str">
        <f t="shared" si="9"/>
        <v>январь</v>
      </c>
      <c r="B514" s="231">
        <v>2024</v>
      </c>
      <c r="C514" s="299"/>
      <c r="D514" s="61"/>
      <c r="E514" s="211"/>
      <c r="F514" s="680"/>
      <c r="G514" s="47"/>
      <c r="H514" s="563"/>
      <c r="I514" s="563"/>
      <c r="J514" s="563"/>
      <c r="K514" s="563"/>
      <c r="L514" s="563"/>
      <c r="M514" s="563"/>
      <c r="N514" s="563"/>
      <c r="O514" s="563"/>
      <c r="P514" s="300"/>
      <c r="Q514" s="563"/>
      <c r="R514" s="563"/>
      <c r="S514" s="563"/>
      <c r="T514" s="563"/>
      <c r="U514" s="563"/>
      <c r="V514" s="563"/>
      <c r="W514" s="563"/>
      <c r="X514" s="563"/>
      <c r="Y514" s="563"/>
      <c r="Z514" s="563"/>
      <c r="AA514" s="563"/>
      <c r="AB514" s="563"/>
      <c r="AC514" s="563"/>
      <c r="AD514" s="48"/>
      <c r="AE514" s="48"/>
      <c r="AF514" s="258"/>
      <c r="AG514" s="48"/>
      <c r="AH514" s="48"/>
      <c r="AI514" s="258"/>
      <c r="AJ514" s="258"/>
      <c r="AK514" s="258"/>
      <c r="AL514" s="258"/>
      <c r="AM514" s="212">
        <f>IF(AQ514=1,SUM(Q514:T514,W514:Z514,AC514:AF514,AI514:AL514),
IF(AQ514=2,SUM(P514,S514:V514,Y514:AB514,AE514:AH514,AK514:AL514),
IF(AQ514=3,SUM(P514:R514,U514:X514,AA514:AD514,AG514:AJ514),SUM(Таблица1[[#This Row],[1]:[31]])-Таблица1[[#This Row],[Столбец1]])))</f>
        <v>0</v>
      </c>
      <c r="AN514" s="778">
        <f t="array" ref="AN514">IF(AQ514=1,SUM(P514,U514:V514,AA514:AB514,AG514:AH514),
IF(AQ514=2,SUM(Q514:R514,W514:X514,AC514:AD514,AI514:AJ514),
IF(AQ514=3,SUM(S514:T514,Y514:Z514,AE514:AF514,AK514:AL514),
SUM(IFERROR(WEEKDAY($H$2:$AL$2,2)&gt;5,)*H514:AL514))))+Таблица1[[#This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14" s="292" t="b">
        <f>IF(AR514&lt;=3,(IF((G514="5/24"),((база!$M$6*Таблица1[[#This Row],[сумма]]*Таблица1[[#This Row],[коэф]])),
IF((G514="4/24"),((база!$M$5*Таблица1[[#This Row],[сумма]]*Таблица1[[#This Row],[коэф]])),
IF((G514="3/24"),((база!$M$4*Таблица1[[#This Row],[сумма]]*Таблица1[[#This Row],[коэф]])),
IF((G514="5/16"),((база!$L$6*Таблица1[[#This Row],[сумма]]*Таблица1[[#This Row],[коэф]])),
IF((G514="4/16"),((база!$L$5*Таблица1[[#This Row],[сумма]]*Таблица1[[#This Row],[коэф]])),
IF((G514="3/16"),((база!$L$4*Таблица1[[#This Row],[сумма]]*Таблица1[[#This Row],[коэф]])),
IF((G514="4/4"),((база!$I$5*Таблица1[[#This Row],[сумма]]*Таблица1[[#This Row],[коэф]])),
IF(OR(G514="2/4",G514="3/4"),((база!$I$4*Таблица1[[#This Row],[сумма]]*Таблица1[[#This Row],[коэф]])),
IF((G514="5/8"),((база!$J$6*Таблица1[[#This Row],[сумма]]*Таблица1[[#This Row],[коэф]])),
IF((G514="4/8"),((база!$J$5*Таблица1[[#This Row],[сумма]]*Таблица1[[#This Row],[коэф]])),
IF(OR(G514="3/8",G514="2/8"),((база!$J$4*Таблица1[[#This Row],[сумма]]*Таблица1[[#This Row],[коэф]])))))))))))))),
(IF((G514="5/24"),((база!$M$6*Таблица1[[#This Row],[сумма]]*Таблица1[[#This Row],[коэф]])),
IF(OR(G514="4/24",G514="3/24"),((база!$M$5*Таблица1[[#This Row],[сумма]]*Таблица1[[#This Row],[коэф]])),
IF((G514="5/16"),((база!$L$6*Таблица1[[#This Row],[сумма]]*Таблица1[[#This Row],[коэф]])),
IF(OR(G514="4/16",G514="3/16"),((база!$L$5*Таблица1[[#This Row],[сумма]]*Таблица1[[#This Row],[коэф]])),
IF(OR(G514="2/4",G514="3/4",G514="4/4"),((база!$I$5*Таблица1[[#This Row],[сумма]]*Таблица1[[#This Row],[коэф]])),
IF((G514="5/8"),((база!$J$6*Таблица1[[#This Row],[сумма]]*Таблица1[[#This Row],[коэф]])),
IF(OR(G514="4/8",G514="3/8",G514="2/8"),((база!$J$5*Таблица1[[#This Row],[сумма]]*Таблица1[[#This Row],[коэф]])))))))))))</f>
        <v>0</v>
      </c>
      <c r="AP514" s="730" t="b">
        <f>IF(AR514&lt;=3,(IF((G514="5/24"),((база!$M$6*2*Таблица1[[#This Row],[Столбец1]]*Таблица1[[#This Row],[коэф]])),
IF((G514="4/24"),((база!$M$5*2*Таблица1[[#This Row],[Столбец1]]*Таблица1[[#This Row],[коэф]])),
IF((G514="3/24"),((база!$M$4*2*Таблица1[[#This Row],[Столбец1]]*Таблица1[[#This Row],[коэф]])),
IF((G514="5/16"),((база!$L$6*2*Таблица1[[#This Row],[Столбец1]]*Таблица1[[#This Row],[коэф]])),
IF((G514="4/16"),((база!$L$5*2*Таблица1[[#This Row],[Столбец1]]*Таблица1[[#This Row],[коэф]])),
IF((G514="3/16"),((база!$L$4*2*Таблица1[[#This Row],[Столбец1]]*Таблица1[[#This Row],[коэф]])),
IF((G514="4/4"),((база!$I$5*2*Таблица1[[#This Row],[Столбец1]]*Таблица1[[#This Row],[коэф]])),
IF(OR(G514="2/4",G514="3/4"),((база!$I$4*2*Таблица1[[#This Row],[Столбец1]]*Таблица1[[#This Row],[коэф]])),
IF((G514="5/8"),((база!$J$6*2*Таблица1[[#This Row],[Столбец1]]*Таблица1[[#This Row],[коэф]])),
IF((G514="4/8"),((база!$J$5*2*Таблица1[[#This Row],[Столбец1]]*Таблица1[[#This Row],[коэф]])),
IF(OR(G514="3/8",G514="2/8"),((база!$J$4*2*Таблица1[[#This Row],[Столбец1]]*Таблица1[[#This Row],[коэф]])))))))))))))),
(IF((G514="5/24"),((база!$M$6*2*Таблица1[[#This Row],[Столбец1]]*Таблица1[[#This Row],[коэф]])),
IF(OR(G514="4/24",G514="3/24"),((база!$M$5*2*Таблица1[[#This Row],[Столбец1]]*Таблица1[[#This Row],[коэф]])),
IF((G514="5/16"),((база!$L$6*2*Таблица1[[#This Row],[Столбец1]]*Таблица1[[#This Row],[коэф]])),
IF(OR(G514="4/16",G514="3/16"),((база!$L$5*2*Таблица1[[#This Row],[Столбец1]]*Таблица1[[#This Row],[коэф]])),
IF(OR(G514="2/4",G514="3/4",G514="4/4"),((база!$I$5*2*Таблица1[[#This Row],[Столбец1]]*Таблица1[[#This Row],[коэф]])),
IF((G514="5/8"),((база!$J$6*2*Таблица1[[#This Row],[Столбец1]]*Таблица1[[#This Row],[коэф]])),
IF(OR(G514="4/8",G514="3/8",G514="2/8"),((база!$J$5*2*Таблица1[[#This Row],[Столбец1]]*Таблица1[[#This Row],[коэф]])))))))))))</f>
        <v>0</v>
      </c>
      <c r="AQ514" s="712" t="str">
        <f>IFERROR(INDEX(база!T:T, MATCH(F514,база!Q:Q,0)),"")</f>
        <v/>
      </c>
      <c r="AR514" s="208" t="str">
        <f>IFERROR(INDEX(база!D:D, MATCH(F514,база!B:B,0)),"")</f>
        <v/>
      </c>
      <c r="AS514" s="758" t="str">
        <f>IFERROR(INDEX(база!E:E, MATCH(F514,база!B:B,0)),"")</f>
        <v/>
      </c>
    </row>
    <row r="515" spans="1:45" s="46" customFormat="1" ht="15">
      <c r="A515" s="66" t="str">
        <f t="shared" si="9"/>
        <v>январь</v>
      </c>
      <c r="B515" s="231">
        <v>2024</v>
      </c>
      <c r="C515" s="299"/>
      <c r="D515" s="61"/>
      <c r="E515" s="211"/>
      <c r="F515" s="736"/>
      <c r="G515" s="47"/>
      <c r="H515" s="563"/>
      <c r="I515" s="563"/>
      <c r="J515" s="563"/>
      <c r="K515" s="563"/>
      <c r="L515" s="563"/>
      <c r="M515" s="563"/>
      <c r="N515" s="563"/>
      <c r="O515" s="563"/>
      <c r="P515" s="563"/>
      <c r="Q515" s="563"/>
      <c r="R515" s="563"/>
      <c r="S515" s="563"/>
      <c r="T515" s="563"/>
      <c r="U515" s="563"/>
      <c r="V515" s="563"/>
      <c r="W515" s="563"/>
      <c r="X515" s="563"/>
      <c r="Y515" s="563"/>
      <c r="Z515" s="563"/>
      <c r="AA515" s="563"/>
      <c r="AB515" s="563"/>
      <c r="AC515" s="563"/>
      <c r="AD515" s="563"/>
      <c r="AE515" s="563"/>
      <c r="AF515" s="563"/>
      <c r="AG515" s="563"/>
      <c r="AH515" s="48"/>
      <c r="AI515" s="48"/>
      <c r="AJ515" s="48"/>
      <c r="AK515" s="48"/>
      <c r="AL515" s="258"/>
      <c r="AM515" s="212">
        <f>IF(AQ515=1,SUM(Q515:T515,W515:Z515,AC515:AF515,AI515:AL515),
IF(AQ515=2,SUM(P515,S515:V515,Y515:AB515,AE515:AH515,AK515:AL515),
IF(AQ515=3,SUM(P515:R515,U515:X515,AA515:AD515,AG515:AJ515),SUM(Таблица1[[#This Row],[1]:[31]])-Таблица1[[#This Row],[Столбец1]])))</f>
        <v>0</v>
      </c>
      <c r="AN515" s="778">
        <f t="array" ref="AN515">IF(AQ515=1,SUM(P515,U515:V515,AA515:AB515,AG515:AH515),
IF(AQ515=2,SUM(Q515:R515,W515:X515,AC515:AD515,AI515:AJ515),
IF(AQ515=3,SUM(S515:T515,Y515:Z515,AE515:AF515,AK515:AL515),
SUM(IFERROR(WEEKDAY($H$2:$AL$2,2)&gt;5,)*H515:AL515))))+Таблица1[[#This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15" s="292" t="b">
        <f>IF(AR515&lt;=3,(IF((G515="5/24"),((база!$M$6*Таблица1[[#This Row],[сумма]]*Таблица1[[#This Row],[коэф]])),
IF((G515="4/24"),((база!$M$5*Таблица1[[#This Row],[сумма]]*Таблица1[[#This Row],[коэф]])),
IF((G515="3/24"),((база!$M$4*Таблица1[[#This Row],[сумма]]*Таблица1[[#This Row],[коэф]])),
IF((G515="5/16"),((база!$L$6*Таблица1[[#This Row],[сумма]]*Таблица1[[#This Row],[коэф]])),
IF((G515="4/16"),((база!$L$5*Таблица1[[#This Row],[сумма]]*Таблица1[[#This Row],[коэф]])),
IF((G515="3/16"),((база!$L$4*Таблица1[[#This Row],[сумма]]*Таблица1[[#This Row],[коэф]])),
IF((G515="4/4"),((база!$I$5*Таблица1[[#This Row],[сумма]]*Таблица1[[#This Row],[коэф]])),
IF(OR(G515="2/4",G515="3/4"),((база!$I$4*Таблица1[[#This Row],[сумма]]*Таблица1[[#This Row],[коэф]])),
IF((G515="5/8"),((база!$J$6*Таблица1[[#This Row],[сумма]]*Таблица1[[#This Row],[коэф]])),
IF((G515="4/8"),((база!$J$5*Таблица1[[#This Row],[сумма]]*Таблица1[[#This Row],[коэф]])),
IF(OR(G515="3/8",G515="2/8"),((база!$J$4*Таблица1[[#This Row],[сумма]]*Таблица1[[#This Row],[коэф]])))))))))))))),
(IF((G515="5/24"),((база!$M$6*Таблица1[[#This Row],[сумма]]*Таблица1[[#This Row],[коэф]])),
IF(OR(G515="4/24",G515="3/24"),((база!$M$5*Таблица1[[#This Row],[сумма]]*Таблица1[[#This Row],[коэф]])),
IF((G515="5/16"),((база!$L$6*Таблица1[[#This Row],[сумма]]*Таблица1[[#This Row],[коэф]])),
IF(OR(G515="4/16",G515="3/16"),((база!$L$5*Таблица1[[#This Row],[сумма]]*Таблица1[[#This Row],[коэф]])),
IF(OR(G515="2/4",G515="3/4",G515="4/4"),((база!$I$5*Таблица1[[#This Row],[сумма]]*Таблица1[[#This Row],[коэф]])),
IF((G515="5/8"),((база!$J$6*Таблица1[[#This Row],[сумма]]*Таблица1[[#This Row],[коэф]])),
IF(OR(G515="4/8",G515="3/8",G515="2/8"),((база!$J$5*Таблица1[[#This Row],[сумма]]*Таблица1[[#This Row],[коэф]])))))))))))</f>
        <v>0</v>
      </c>
      <c r="AP515" s="730" t="b">
        <f>IF(AR515&lt;=3,(IF((G515="5/24"),((база!$M$6*2*Таблица1[[#This Row],[Столбец1]]*Таблица1[[#This Row],[коэф]])),
IF((G515="4/24"),((база!$M$5*2*Таблица1[[#This Row],[Столбец1]]*Таблица1[[#This Row],[коэф]])),
IF((G515="3/24"),((база!$M$4*2*Таблица1[[#This Row],[Столбец1]]*Таблица1[[#This Row],[коэф]])),
IF((G515="5/16"),((база!$L$6*2*Таблица1[[#This Row],[Столбец1]]*Таблица1[[#This Row],[коэф]])),
IF((G515="4/16"),((база!$L$5*2*Таблица1[[#This Row],[Столбец1]]*Таблица1[[#This Row],[коэф]])),
IF((G515="3/16"),((база!$L$4*2*Таблица1[[#This Row],[Столбец1]]*Таблица1[[#This Row],[коэф]])),
IF((G515="4/4"),((база!$I$5*2*Таблица1[[#This Row],[Столбец1]]*Таблица1[[#This Row],[коэф]])),
IF(OR(G515="2/4",G515="3/4"),((база!$I$4*2*Таблица1[[#This Row],[Столбец1]]*Таблица1[[#This Row],[коэф]])),
IF((G515="5/8"),((база!$J$6*2*Таблица1[[#This Row],[Столбец1]]*Таблица1[[#This Row],[коэф]])),
IF((G515="4/8"),((база!$J$5*2*Таблица1[[#This Row],[Столбец1]]*Таблица1[[#This Row],[коэф]])),
IF(OR(G515="3/8",G515="2/8"),((база!$J$4*2*Таблица1[[#This Row],[Столбец1]]*Таблица1[[#This Row],[коэф]])))))))))))))),
(IF((G515="5/24"),((база!$M$6*2*Таблица1[[#This Row],[Столбец1]]*Таблица1[[#This Row],[коэф]])),
IF(OR(G515="4/24",G515="3/24"),((база!$M$5*2*Таблица1[[#This Row],[Столбец1]]*Таблица1[[#This Row],[коэф]])),
IF((G515="5/16"),((база!$L$6*2*Таблица1[[#This Row],[Столбец1]]*Таблица1[[#This Row],[коэф]])),
IF(OR(G515="4/16",G515="3/16"),((база!$L$5*2*Таблица1[[#This Row],[Столбец1]]*Таблица1[[#This Row],[коэф]])),
IF(OR(G515="2/4",G515="3/4",G515="4/4"),((база!$I$5*2*Таблица1[[#This Row],[Столбец1]]*Таблица1[[#This Row],[коэф]])),
IF((G515="5/8"),((база!$J$6*2*Таблица1[[#This Row],[Столбец1]]*Таблица1[[#This Row],[коэф]])),
IF(OR(G515="4/8",G515="3/8",G515="2/8"),((база!$J$5*2*Таблица1[[#This Row],[Столбец1]]*Таблица1[[#This Row],[коэф]])))))))))))</f>
        <v>0</v>
      </c>
      <c r="AQ515" s="712" t="str">
        <f>IFERROR(INDEX(база!T:T, MATCH(F515,база!Q:Q,0)),"")</f>
        <v/>
      </c>
      <c r="AR515" s="208" t="str">
        <f>IFERROR(INDEX(база!D:D, MATCH(F515,база!B:B,0)),"")</f>
        <v/>
      </c>
      <c r="AS515" s="758" t="str">
        <f>IFERROR(INDEX(база!E:E, MATCH(F515,база!B:B,0)),"")</f>
        <v/>
      </c>
    </row>
    <row r="516" spans="1:45" s="46" customFormat="1" ht="15">
      <c r="A516" s="66" t="str">
        <f t="shared" si="9"/>
        <v>январь</v>
      </c>
      <c r="B516" s="231">
        <v>2024</v>
      </c>
      <c r="C516" s="299"/>
      <c r="D516" s="61"/>
      <c r="E516" s="211"/>
      <c r="F516" s="680"/>
      <c r="G516" s="47"/>
      <c r="H516" s="563"/>
      <c r="I516" s="563"/>
      <c r="J516" s="563"/>
      <c r="K516" s="563"/>
      <c r="L516" s="563"/>
      <c r="M516" s="563"/>
      <c r="N516" s="563"/>
      <c r="O516" s="563"/>
      <c r="P516" s="300"/>
      <c r="Q516" s="563"/>
      <c r="R516" s="563"/>
      <c r="S516" s="563"/>
      <c r="T516" s="563"/>
      <c r="U516" s="563"/>
      <c r="V516" s="563"/>
      <c r="W516" s="563"/>
      <c r="X516" s="563"/>
      <c r="Y516" s="563"/>
      <c r="Z516" s="563"/>
      <c r="AA516" s="563"/>
      <c r="AB516" s="563"/>
      <c r="AC516" s="563"/>
      <c r="AD516" s="48"/>
      <c r="AE516" s="48"/>
      <c r="AF516" s="258"/>
      <c r="AG516" s="48"/>
      <c r="AH516" s="48"/>
      <c r="AI516" s="258"/>
      <c r="AJ516" s="258"/>
      <c r="AK516" s="258"/>
      <c r="AL516" s="258"/>
      <c r="AM516" s="212">
        <f>IF(AQ516=1,SUM(Q516:T516,W516:Z516,AC516:AF516,AI516:AL516),
IF(AQ516=2,SUM(P516,S516:V516,Y516:AB516,AE516:AH516,AK516:AL516),
IF(AQ516=3,SUM(P516:R516,U516:X516,AA516:AD516,AG516:AJ516),SUM(Таблица1[[#This Row],[1]:[31]])-Таблица1[[#This Row],[Столбец1]])))</f>
        <v>0</v>
      </c>
      <c r="AN516" s="778">
        <f t="array" ref="AN516">IF(AQ516=1,SUM(P516,U516:V516,AA516:AB516,AG516:AH516),
IF(AQ516=2,SUM(Q516:R516,W516:X516,AC516:AD516,AI516:AJ516),
IF(AQ516=3,SUM(S516:T516,Y516:Z516,AE516:AF516,AK516:AL516),
SUM(IFERROR(WEEKDAY($H$2:$AL$2,2)&gt;5,)*H516:AL516))))+Таблица1[[#This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16" s="292" t="b">
        <f>IF(AR516&lt;=3,(IF((G516="5/24"),((база!$M$6*Таблица1[[#This Row],[сумма]]*Таблица1[[#This Row],[коэф]])),
IF((G516="4/24"),((база!$M$5*Таблица1[[#This Row],[сумма]]*Таблица1[[#This Row],[коэф]])),
IF((G516="3/24"),((база!$M$4*Таблица1[[#This Row],[сумма]]*Таблица1[[#This Row],[коэф]])),
IF((G516="5/16"),((база!$L$6*Таблица1[[#This Row],[сумма]]*Таблица1[[#This Row],[коэф]])),
IF((G516="4/16"),((база!$L$5*Таблица1[[#This Row],[сумма]]*Таблица1[[#This Row],[коэф]])),
IF((G516="3/16"),((база!$L$4*Таблица1[[#This Row],[сумма]]*Таблица1[[#This Row],[коэф]])),
IF((G516="4/4"),((база!$I$5*Таблица1[[#This Row],[сумма]]*Таблица1[[#This Row],[коэф]])),
IF(OR(G516="2/4",G516="3/4"),((база!$I$4*Таблица1[[#This Row],[сумма]]*Таблица1[[#This Row],[коэф]])),
IF((G516="5/8"),((база!$J$6*Таблица1[[#This Row],[сумма]]*Таблица1[[#This Row],[коэф]])),
IF((G516="4/8"),((база!$J$5*Таблица1[[#This Row],[сумма]]*Таблица1[[#This Row],[коэф]])),
IF(OR(G516="3/8",G516="2/8"),((база!$J$4*Таблица1[[#This Row],[сумма]]*Таблица1[[#This Row],[коэф]])))))))))))))),
(IF((G516="5/24"),((база!$M$6*Таблица1[[#This Row],[сумма]]*Таблица1[[#This Row],[коэф]])),
IF(OR(G516="4/24",G516="3/24"),((база!$M$5*Таблица1[[#This Row],[сумма]]*Таблица1[[#This Row],[коэф]])),
IF((G516="5/16"),((база!$L$6*Таблица1[[#This Row],[сумма]]*Таблица1[[#This Row],[коэф]])),
IF(OR(G516="4/16",G516="3/16"),((база!$L$5*Таблица1[[#This Row],[сумма]]*Таблица1[[#This Row],[коэф]])),
IF(OR(G516="2/4",G516="3/4",G516="4/4"),((база!$I$5*Таблица1[[#This Row],[сумма]]*Таблица1[[#This Row],[коэф]])),
IF((G516="5/8"),((база!$J$6*Таблица1[[#This Row],[сумма]]*Таблица1[[#This Row],[коэф]])),
IF(OR(G516="4/8",G516="3/8",G516="2/8"),((база!$J$5*Таблица1[[#This Row],[сумма]]*Таблица1[[#This Row],[коэф]])))))))))))</f>
        <v>0</v>
      </c>
      <c r="AP516" s="730" t="b">
        <f>IF(AR516&lt;=3,(IF((G516="5/24"),((база!$M$6*2*Таблица1[[#This Row],[Столбец1]]*Таблица1[[#This Row],[коэф]])),
IF((G516="4/24"),((база!$M$5*2*Таблица1[[#This Row],[Столбец1]]*Таблица1[[#This Row],[коэф]])),
IF((G516="3/24"),((база!$M$4*2*Таблица1[[#This Row],[Столбец1]]*Таблица1[[#This Row],[коэф]])),
IF((G516="5/16"),((база!$L$6*2*Таблица1[[#This Row],[Столбец1]]*Таблица1[[#This Row],[коэф]])),
IF((G516="4/16"),((база!$L$5*2*Таблица1[[#This Row],[Столбец1]]*Таблица1[[#This Row],[коэф]])),
IF((G516="3/16"),((база!$L$4*2*Таблица1[[#This Row],[Столбец1]]*Таблица1[[#This Row],[коэф]])),
IF((G516="4/4"),((база!$I$5*2*Таблица1[[#This Row],[Столбец1]]*Таблица1[[#This Row],[коэф]])),
IF(OR(G516="2/4",G516="3/4"),((база!$I$4*2*Таблица1[[#This Row],[Столбец1]]*Таблица1[[#This Row],[коэф]])),
IF((G516="5/8"),((база!$J$6*2*Таблица1[[#This Row],[Столбец1]]*Таблица1[[#This Row],[коэф]])),
IF((G516="4/8"),((база!$J$5*2*Таблица1[[#This Row],[Столбец1]]*Таблица1[[#This Row],[коэф]])),
IF(OR(G516="3/8",G516="2/8"),((база!$J$4*2*Таблица1[[#This Row],[Столбец1]]*Таблица1[[#This Row],[коэф]])))))))))))))),
(IF((G516="5/24"),((база!$M$6*2*Таблица1[[#This Row],[Столбец1]]*Таблица1[[#This Row],[коэф]])),
IF(OR(G516="4/24",G516="3/24"),((база!$M$5*2*Таблица1[[#This Row],[Столбец1]]*Таблица1[[#This Row],[коэф]])),
IF((G516="5/16"),((база!$L$6*2*Таблица1[[#This Row],[Столбец1]]*Таблица1[[#This Row],[коэф]])),
IF(OR(G516="4/16",G516="3/16"),((база!$L$5*2*Таблица1[[#This Row],[Столбец1]]*Таблица1[[#This Row],[коэф]])),
IF(OR(G516="2/4",G516="3/4",G516="4/4"),((база!$I$5*2*Таблица1[[#This Row],[Столбец1]]*Таблица1[[#This Row],[коэф]])),
IF((G516="5/8"),((база!$J$6*2*Таблица1[[#This Row],[Столбец1]]*Таблица1[[#This Row],[коэф]])),
IF(OR(G516="4/8",G516="3/8",G516="2/8"),((база!$J$5*2*Таблица1[[#This Row],[Столбец1]]*Таблица1[[#This Row],[коэф]])))))))))))</f>
        <v>0</v>
      </c>
      <c r="AQ516" s="712" t="str">
        <f>IFERROR(INDEX(база!T:T, MATCH(F516,база!Q:Q,0)),"")</f>
        <v/>
      </c>
      <c r="AR516" s="208" t="str">
        <f>IFERROR(INDEX(база!D:D, MATCH(F516,база!B:B,0)),"")</f>
        <v/>
      </c>
      <c r="AS516" s="758" t="str">
        <f>IFERROR(INDEX(база!E:E, MATCH(F516,база!B:B,0)),"")</f>
        <v/>
      </c>
    </row>
    <row r="517" spans="1:45" s="46" customFormat="1" ht="15">
      <c r="A517" s="66" t="str">
        <f t="shared" si="9"/>
        <v>январь</v>
      </c>
      <c r="B517" s="231">
        <v>2024</v>
      </c>
      <c r="C517" s="299"/>
      <c r="D517" s="61"/>
      <c r="E517" s="211"/>
      <c r="F517" s="680"/>
      <c r="G517" s="47"/>
      <c r="H517" s="563"/>
      <c r="I517" s="563"/>
      <c r="J517" s="563"/>
      <c r="K517" s="563"/>
      <c r="L517" s="563"/>
      <c r="M517" s="563"/>
      <c r="N517" s="563"/>
      <c r="O517" s="563"/>
      <c r="P517" s="300"/>
      <c r="Q517" s="563"/>
      <c r="R517" s="563"/>
      <c r="S517" s="563"/>
      <c r="T517" s="563"/>
      <c r="U517" s="563"/>
      <c r="V517" s="563"/>
      <c r="W517" s="563"/>
      <c r="X517" s="563"/>
      <c r="Y517" s="563"/>
      <c r="Z517" s="563"/>
      <c r="AA517" s="563"/>
      <c r="AB517" s="563"/>
      <c r="AC517" s="563"/>
      <c r="AD517" s="48"/>
      <c r="AE517" s="48"/>
      <c r="AF517" s="258"/>
      <c r="AG517" s="48"/>
      <c r="AH517" s="48"/>
      <c r="AI517" s="48"/>
      <c r="AJ517" s="48"/>
      <c r="AK517" s="48"/>
      <c r="AL517" s="258"/>
      <c r="AM517" s="212">
        <f>IF(AQ517=1,SUM(Q517:T517,W517:Z517,AC517:AF517,AI517:AL517),
IF(AQ517=2,SUM(P517,S517:V517,Y517:AB517,AE517:AH517,AK517:AL517),
IF(AQ517=3,SUM(P517:R517,U517:X517,AA517:AD517,AG517:AJ517),SUM(Таблица1[[#This Row],[1]:[31]])-Таблица1[[#This Row],[Столбец1]])))</f>
        <v>0</v>
      </c>
      <c r="AN517" s="778">
        <f t="array" ref="AN517">IF(AQ517=1,SUM(P517,U517:V517,AA517:AB517,AG517:AH517),
IF(AQ517=2,SUM(Q517:R517,W517:X517,AC517:AD517,AI517:AJ517),
IF(AQ517=3,SUM(S517:T517,Y517:Z517,AE517:AF517,AK517:AL517),
SUM(IFERROR(WEEKDAY($H$2:$AL$2,2)&gt;5,)*H517:AL517))))+Таблица1[[#This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17" s="292" t="b">
        <f>IF(AR517&lt;=3,(IF((G517="5/24"),((база!$M$6*Таблица1[[#This Row],[сумма]]*Таблица1[[#This Row],[коэф]])),
IF((G517="4/24"),((база!$M$5*Таблица1[[#This Row],[сумма]]*Таблица1[[#This Row],[коэф]])),
IF((G517="3/24"),((база!$M$4*Таблица1[[#This Row],[сумма]]*Таблица1[[#This Row],[коэф]])),
IF((G517="5/16"),((база!$L$6*Таблица1[[#This Row],[сумма]]*Таблица1[[#This Row],[коэф]])),
IF((G517="4/16"),((база!$L$5*Таблица1[[#This Row],[сумма]]*Таблица1[[#This Row],[коэф]])),
IF((G517="3/16"),((база!$L$4*Таблица1[[#This Row],[сумма]]*Таблица1[[#This Row],[коэф]])),
IF((G517="4/4"),((база!$I$5*Таблица1[[#This Row],[сумма]]*Таблица1[[#This Row],[коэф]])),
IF(OR(G517="2/4",G517="3/4"),((база!$I$4*Таблица1[[#This Row],[сумма]]*Таблица1[[#This Row],[коэф]])),
IF((G517="5/8"),((база!$J$6*Таблица1[[#This Row],[сумма]]*Таблица1[[#This Row],[коэф]])),
IF((G517="4/8"),((база!$J$5*Таблица1[[#This Row],[сумма]]*Таблица1[[#This Row],[коэф]])),
IF(OR(G517="3/8",G517="2/8"),((база!$J$4*Таблица1[[#This Row],[сумма]]*Таблица1[[#This Row],[коэф]])))))))))))))),
(IF((G517="5/24"),((база!$M$6*Таблица1[[#This Row],[сумма]]*Таблица1[[#This Row],[коэф]])),
IF(OR(G517="4/24",G517="3/24"),((база!$M$5*Таблица1[[#This Row],[сумма]]*Таблица1[[#This Row],[коэф]])),
IF((G517="5/16"),((база!$L$6*Таблица1[[#This Row],[сумма]]*Таблица1[[#This Row],[коэф]])),
IF(OR(G517="4/16",G517="3/16"),((база!$L$5*Таблица1[[#This Row],[сумма]]*Таблица1[[#This Row],[коэф]])),
IF(OR(G517="2/4",G517="3/4",G517="4/4"),((база!$I$5*Таблица1[[#This Row],[сумма]]*Таблица1[[#This Row],[коэф]])),
IF((G517="5/8"),((база!$J$6*Таблица1[[#This Row],[сумма]]*Таблица1[[#This Row],[коэф]])),
IF(OR(G517="4/8",G517="3/8",G517="2/8"),((база!$J$5*Таблица1[[#This Row],[сумма]]*Таблица1[[#This Row],[коэф]])))))))))))</f>
        <v>0</v>
      </c>
      <c r="AP517" s="730" t="b">
        <f>IF(AR517&lt;=3,(IF((G517="5/24"),((база!$M$6*2*Таблица1[[#This Row],[Столбец1]]*Таблица1[[#This Row],[коэф]])),
IF((G517="4/24"),((база!$M$5*2*Таблица1[[#This Row],[Столбец1]]*Таблица1[[#This Row],[коэф]])),
IF((G517="3/24"),((база!$M$4*2*Таблица1[[#This Row],[Столбец1]]*Таблица1[[#This Row],[коэф]])),
IF((G517="5/16"),((база!$L$6*2*Таблица1[[#This Row],[Столбец1]]*Таблица1[[#This Row],[коэф]])),
IF((G517="4/16"),((база!$L$5*2*Таблица1[[#This Row],[Столбец1]]*Таблица1[[#This Row],[коэф]])),
IF((G517="3/16"),((база!$L$4*2*Таблица1[[#This Row],[Столбец1]]*Таблица1[[#This Row],[коэф]])),
IF((G517="4/4"),((база!$I$5*2*Таблица1[[#This Row],[Столбец1]]*Таблица1[[#This Row],[коэф]])),
IF(OR(G517="2/4",G517="3/4"),((база!$I$4*2*Таблица1[[#This Row],[Столбец1]]*Таблица1[[#This Row],[коэф]])),
IF((G517="5/8"),((база!$J$6*2*Таблица1[[#This Row],[Столбец1]]*Таблица1[[#This Row],[коэф]])),
IF((G517="4/8"),((база!$J$5*2*Таблица1[[#This Row],[Столбец1]]*Таблица1[[#This Row],[коэф]])),
IF(OR(G517="3/8",G517="2/8"),((база!$J$4*2*Таблица1[[#This Row],[Столбец1]]*Таблица1[[#This Row],[коэф]])))))))))))))),
(IF((G517="5/24"),((база!$M$6*2*Таблица1[[#This Row],[Столбец1]]*Таблица1[[#This Row],[коэф]])),
IF(OR(G517="4/24",G517="3/24"),((база!$M$5*2*Таблица1[[#This Row],[Столбец1]]*Таблица1[[#This Row],[коэф]])),
IF((G517="5/16"),((база!$L$6*2*Таблица1[[#This Row],[Столбец1]]*Таблица1[[#This Row],[коэф]])),
IF(OR(G517="4/16",G517="3/16"),((база!$L$5*2*Таблица1[[#This Row],[Столбец1]]*Таблица1[[#This Row],[коэф]])),
IF(OR(G517="2/4",G517="3/4",G517="4/4"),((база!$I$5*2*Таблица1[[#This Row],[Столбец1]]*Таблица1[[#This Row],[коэф]])),
IF((G517="5/8"),((база!$J$6*2*Таблица1[[#This Row],[Столбец1]]*Таблица1[[#This Row],[коэф]])),
IF(OR(G517="4/8",G517="3/8",G517="2/8"),((база!$J$5*2*Таблица1[[#This Row],[Столбец1]]*Таблица1[[#This Row],[коэф]])))))))))))</f>
        <v>0</v>
      </c>
      <c r="AQ517" s="712" t="str">
        <f>IFERROR(INDEX(база!T:T, MATCH(F517,база!Q:Q,0)),"")</f>
        <v/>
      </c>
      <c r="AR517" s="208" t="str">
        <f>IFERROR(INDEX(база!D:D, MATCH(F517,база!B:B,0)),"")</f>
        <v/>
      </c>
      <c r="AS517" s="758" t="str">
        <f>IFERROR(INDEX(база!E:E, MATCH(F517,база!B:B,0)),"")</f>
        <v/>
      </c>
    </row>
    <row r="518" spans="1:45" s="46" customFormat="1" ht="15">
      <c r="A518" s="66" t="str">
        <f t="shared" si="9"/>
        <v>январь</v>
      </c>
      <c r="B518" s="231">
        <v>2024</v>
      </c>
      <c r="C518" s="299"/>
      <c r="D518" s="61"/>
      <c r="E518" s="211"/>
      <c r="F518" s="680"/>
      <c r="G518" s="47"/>
      <c r="H518" s="563"/>
      <c r="I518" s="563"/>
      <c r="J518" s="563"/>
      <c r="K518" s="563"/>
      <c r="L518" s="563"/>
      <c r="M518" s="563"/>
      <c r="N518" s="563"/>
      <c r="O518" s="563"/>
      <c r="P518" s="300"/>
      <c r="Q518" s="563"/>
      <c r="R518" s="563"/>
      <c r="S518" s="563"/>
      <c r="T518" s="563"/>
      <c r="U518" s="563"/>
      <c r="V518" s="563"/>
      <c r="W518" s="563"/>
      <c r="X518" s="563"/>
      <c r="Y518" s="563"/>
      <c r="Z518" s="563"/>
      <c r="AA518" s="563"/>
      <c r="AB518" s="563"/>
      <c r="AC518" s="563"/>
      <c r="AD518" s="48"/>
      <c r="AE518" s="48"/>
      <c r="AF518" s="258"/>
      <c r="AG518" s="48"/>
      <c r="AH518" s="48"/>
      <c r="AI518" s="258"/>
      <c r="AJ518" s="258"/>
      <c r="AK518" s="258"/>
      <c r="AL518" s="258"/>
      <c r="AM518" s="212">
        <f>IF(AQ518=1,SUM(Q518:T518,W518:Z518,AC518:AF518,AI518:AL518),
IF(AQ518=2,SUM(P518,S518:V518,Y518:AB518,AE518:AH518,AK518:AL518),
IF(AQ518=3,SUM(P518:R518,U518:X518,AA518:AD518,AG518:AJ518),SUM(Таблица1[[#This Row],[1]:[31]])-Таблица1[[#This Row],[Столбец1]])))</f>
        <v>0</v>
      </c>
      <c r="AN518" s="778">
        <f t="array" ref="AN518">IF(AQ518=1,SUM(P518,U518:V518,AA518:AB518,AG518:AH518),
IF(AQ518=2,SUM(Q518:R518,W518:X518,AC518:AD518,AI518:AJ518),
IF(AQ518=3,SUM(S518:T518,Y518:Z518,AE518:AF518,AK518:AL518),
SUM(IFERROR(WEEKDAY($H$2:$AL$2,2)&gt;5,)*H518:AL518))))+Таблица1[[#This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18" s="292" t="b">
        <f>IF(AR518&lt;=3,(IF((G518="5/24"),((база!$M$6*Таблица1[[#This Row],[сумма]]*Таблица1[[#This Row],[коэф]])),
IF((G518="4/24"),((база!$M$5*Таблица1[[#This Row],[сумма]]*Таблица1[[#This Row],[коэф]])),
IF((G518="3/24"),((база!$M$4*Таблица1[[#This Row],[сумма]]*Таблица1[[#This Row],[коэф]])),
IF((G518="5/16"),((база!$L$6*Таблица1[[#This Row],[сумма]]*Таблица1[[#This Row],[коэф]])),
IF((G518="4/16"),((база!$L$5*Таблица1[[#This Row],[сумма]]*Таблица1[[#This Row],[коэф]])),
IF((G518="3/16"),((база!$L$4*Таблица1[[#This Row],[сумма]]*Таблица1[[#This Row],[коэф]])),
IF((G518="4/4"),((база!$I$5*Таблица1[[#This Row],[сумма]]*Таблица1[[#This Row],[коэф]])),
IF(OR(G518="2/4",G518="3/4"),((база!$I$4*Таблица1[[#This Row],[сумма]]*Таблица1[[#This Row],[коэф]])),
IF((G518="5/8"),((база!$J$6*Таблица1[[#This Row],[сумма]]*Таблица1[[#This Row],[коэф]])),
IF((G518="4/8"),((база!$J$5*Таблица1[[#This Row],[сумма]]*Таблица1[[#This Row],[коэф]])),
IF(OR(G518="3/8",G518="2/8"),((база!$J$4*Таблица1[[#This Row],[сумма]]*Таблица1[[#This Row],[коэф]])))))))))))))),
(IF((G518="5/24"),((база!$M$6*Таблица1[[#This Row],[сумма]]*Таблица1[[#This Row],[коэф]])),
IF(OR(G518="4/24",G518="3/24"),((база!$M$5*Таблица1[[#This Row],[сумма]]*Таблица1[[#This Row],[коэф]])),
IF((G518="5/16"),((база!$L$6*Таблица1[[#This Row],[сумма]]*Таблица1[[#This Row],[коэф]])),
IF(OR(G518="4/16",G518="3/16"),((база!$L$5*Таблица1[[#This Row],[сумма]]*Таблица1[[#This Row],[коэф]])),
IF(OR(G518="2/4",G518="3/4",G518="4/4"),((база!$I$5*Таблица1[[#This Row],[сумма]]*Таблица1[[#This Row],[коэф]])),
IF((G518="5/8"),((база!$J$6*Таблица1[[#This Row],[сумма]]*Таблица1[[#This Row],[коэф]])),
IF(OR(G518="4/8",G518="3/8",G518="2/8"),((база!$J$5*Таблица1[[#This Row],[сумма]]*Таблица1[[#This Row],[коэф]])))))))))))</f>
        <v>0</v>
      </c>
      <c r="AP518" s="730" t="b">
        <f>IF(AR518&lt;=3,(IF((G518="5/24"),((база!$M$6*2*Таблица1[[#This Row],[Столбец1]]*Таблица1[[#This Row],[коэф]])),
IF((G518="4/24"),((база!$M$5*2*Таблица1[[#This Row],[Столбец1]]*Таблица1[[#This Row],[коэф]])),
IF((G518="3/24"),((база!$M$4*2*Таблица1[[#This Row],[Столбец1]]*Таблица1[[#This Row],[коэф]])),
IF((G518="5/16"),((база!$L$6*2*Таблица1[[#This Row],[Столбец1]]*Таблица1[[#This Row],[коэф]])),
IF((G518="4/16"),((база!$L$5*2*Таблица1[[#This Row],[Столбец1]]*Таблица1[[#This Row],[коэф]])),
IF((G518="3/16"),((база!$L$4*2*Таблица1[[#This Row],[Столбец1]]*Таблица1[[#This Row],[коэф]])),
IF((G518="4/4"),((база!$I$5*2*Таблица1[[#This Row],[Столбец1]]*Таблица1[[#This Row],[коэф]])),
IF(OR(G518="2/4",G518="3/4"),((база!$I$4*2*Таблица1[[#This Row],[Столбец1]]*Таблица1[[#This Row],[коэф]])),
IF((G518="5/8"),((база!$J$6*2*Таблица1[[#This Row],[Столбец1]]*Таблица1[[#This Row],[коэф]])),
IF((G518="4/8"),((база!$J$5*2*Таблица1[[#This Row],[Столбец1]]*Таблица1[[#This Row],[коэф]])),
IF(OR(G518="3/8",G518="2/8"),((база!$J$4*2*Таблица1[[#This Row],[Столбец1]]*Таблица1[[#This Row],[коэф]])))))))))))))),
(IF((G518="5/24"),((база!$M$6*2*Таблица1[[#This Row],[Столбец1]]*Таблица1[[#This Row],[коэф]])),
IF(OR(G518="4/24",G518="3/24"),((база!$M$5*2*Таблица1[[#This Row],[Столбец1]]*Таблица1[[#This Row],[коэф]])),
IF((G518="5/16"),((база!$L$6*2*Таблица1[[#This Row],[Столбец1]]*Таблица1[[#This Row],[коэф]])),
IF(OR(G518="4/16",G518="3/16"),((база!$L$5*2*Таблица1[[#This Row],[Столбец1]]*Таблица1[[#This Row],[коэф]])),
IF(OR(G518="2/4",G518="3/4",G518="4/4"),((база!$I$5*2*Таблица1[[#This Row],[Столбец1]]*Таблица1[[#This Row],[коэф]])),
IF((G518="5/8"),((база!$J$6*2*Таблица1[[#This Row],[Столбец1]]*Таблица1[[#This Row],[коэф]])),
IF(OR(G518="4/8",G518="3/8",G518="2/8"),((база!$J$5*2*Таблица1[[#This Row],[Столбец1]]*Таблица1[[#This Row],[коэф]])))))))))))</f>
        <v>0</v>
      </c>
      <c r="AQ518" s="712" t="str">
        <f>IFERROR(INDEX(база!T:T, MATCH(F518,база!Q:Q,0)),"")</f>
        <v/>
      </c>
      <c r="AR518" s="208" t="str">
        <f>IFERROR(INDEX(база!D:D, MATCH(F518,база!B:B,0)),"")</f>
        <v/>
      </c>
      <c r="AS518" s="758" t="str">
        <f>IFERROR(INDEX(база!E:E, MATCH(F518,база!B:B,0)),"")</f>
        <v/>
      </c>
    </row>
    <row r="519" spans="1:45" s="46" customFormat="1" ht="15">
      <c r="A519" s="66" t="str">
        <f t="shared" si="9"/>
        <v>январь</v>
      </c>
      <c r="B519" s="231">
        <v>2024</v>
      </c>
      <c r="C519" s="299"/>
      <c r="D519" s="61"/>
      <c r="E519" s="211"/>
      <c r="F519" s="680"/>
      <c r="G519" s="47"/>
      <c r="H519" s="563"/>
      <c r="I519" s="563"/>
      <c r="J519" s="563"/>
      <c r="K519" s="563"/>
      <c r="L519" s="563"/>
      <c r="M519" s="563"/>
      <c r="N519" s="563"/>
      <c r="O519" s="563"/>
      <c r="P519" s="300"/>
      <c r="Q519" s="563"/>
      <c r="R519" s="563"/>
      <c r="S519" s="563"/>
      <c r="T519" s="563"/>
      <c r="U519" s="563"/>
      <c r="V519" s="563"/>
      <c r="W519" s="563"/>
      <c r="X519" s="563"/>
      <c r="Y519" s="563"/>
      <c r="Z519" s="563"/>
      <c r="AA519" s="563"/>
      <c r="AB519" s="563"/>
      <c r="AC519" s="563"/>
      <c r="AD519" s="48"/>
      <c r="AE519" s="48"/>
      <c r="AF519" s="258"/>
      <c r="AG519" s="48"/>
      <c r="AH519" s="48"/>
      <c r="AI519" s="48"/>
      <c r="AJ519" s="48"/>
      <c r="AK519" s="48"/>
      <c r="AL519" s="51"/>
      <c r="AM519" s="212">
        <f>IF(AQ519=1,SUM(Q519:T519,W519:Z519,AC519:AF519,AI519:AL519),
IF(AQ519=2,SUM(P519,S519:V519,Y519:AB519,AE519:AH519,AK519:AL519),
IF(AQ519=3,SUM(P519:R519,U519:X519,AA519:AD519,AG519:AJ519),SUM(Таблица1[[#This Row],[1]:[31]])-Таблица1[[#This Row],[Столбец1]])))</f>
        <v>0</v>
      </c>
      <c r="AN519" s="778">
        <f t="array" ref="AN519">IF(AQ519=1,SUM(P519,U519:V519,AA519:AB519,AG519:AH519),
IF(AQ519=2,SUM(Q519:R519,W519:X519,AC519:AD519,AI519:AJ519),
IF(AQ519=3,SUM(S519:T519,Y519:Z519,AE519:AF519,AK519:AL519),
SUM(IFERROR(WEEKDAY($H$2:$AL$2,2)&gt;5,)*H519:AL519))))+Таблица1[[#This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19" s="292" t="b">
        <f>IF(AR519&lt;=3,(IF((G519="5/24"),((база!$M$6*Таблица1[[#This Row],[сумма]]*Таблица1[[#This Row],[коэф]])),
IF((G519="4/24"),((база!$M$5*Таблица1[[#This Row],[сумма]]*Таблица1[[#This Row],[коэф]])),
IF((G519="3/24"),((база!$M$4*Таблица1[[#This Row],[сумма]]*Таблица1[[#This Row],[коэф]])),
IF((G519="5/16"),((база!$L$6*Таблица1[[#This Row],[сумма]]*Таблица1[[#This Row],[коэф]])),
IF((G519="4/16"),((база!$L$5*Таблица1[[#This Row],[сумма]]*Таблица1[[#This Row],[коэф]])),
IF((G519="3/16"),((база!$L$4*Таблица1[[#This Row],[сумма]]*Таблица1[[#This Row],[коэф]])),
IF((G519="4/4"),((база!$I$5*Таблица1[[#This Row],[сумма]]*Таблица1[[#This Row],[коэф]])),
IF(OR(G519="2/4",G519="3/4"),((база!$I$4*Таблица1[[#This Row],[сумма]]*Таблица1[[#This Row],[коэф]])),
IF((G519="5/8"),((база!$J$6*Таблица1[[#This Row],[сумма]]*Таблица1[[#This Row],[коэф]])),
IF((G519="4/8"),((база!$J$5*Таблица1[[#This Row],[сумма]]*Таблица1[[#This Row],[коэф]])),
IF(OR(G519="3/8",G519="2/8"),((база!$J$4*Таблица1[[#This Row],[сумма]]*Таблица1[[#This Row],[коэф]])))))))))))))),
(IF((G519="5/24"),((база!$M$6*Таблица1[[#This Row],[сумма]]*Таблица1[[#This Row],[коэф]])),
IF(OR(G519="4/24",G519="3/24"),((база!$M$5*Таблица1[[#This Row],[сумма]]*Таблица1[[#This Row],[коэф]])),
IF((G519="5/16"),((база!$L$6*Таблица1[[#This Row],[сумма]]*Таблица1[[#This Row],[коэф]])),
IF(OR(G519="4/16",G519="3/16"),((база!$L$5*Таблица1[[#This Row],[сумма]]*Таблица1[[#This Row],[коэф]])),
IF(OR(G519="2/4",G519="3/4",G519="4/4"),((база!$I$5*Таблица1[[#This Row],[сумма]]*Таблица1[[#This Row],[коэф]])),
IF((G519="5/8"),((база!$J$6*Таблица1[[#This Row],[сумма]]*Таблица1[[#This Row],[коэф]])),
IF(OR(G519="4/8",G519="3/8",G519="2/8"),((база!$J$5*Таблица1[[#This Row],[сумма]]*Таблица1[[#This Row],[коэф]])))))))))))</f>
        <v>0</v>
      </c>
      <c r="AP519" s="730" t="b">
        <f>IF(AR519&lt;=3,(IF((G519="5/24"),((база!$M$6*2*Таблица1[[#This Row],[Столбец1]]*Таблица1[[#This Row],[коэф]])),
IF((G519="4/24"),((база!$M$5*2*Таблица1[[#This Row],[Столбец1]]*Таблица1[[#This Row],[коэф]])),
IF((G519="3/24"),((база!$M$4*2*Таблица1[[#This Row],[Столбец1]]*Таблица1[[#This Row],[коэф]])),
IF((G519="5/16"),((база!$L$6*2*Таблица1[[#This Row],[Столбец1]]*Таблица1[[#This Row],[коэф]])),
IF((G519="4/16"),((база!$L$5*2*Таблица1[[#This Row],[Столбец1]]*Таблица1[[#This Row],[коэф]])),
IF((G519="3/16"),((база!$L$4*2*Таблица1[[#This Row],[Столбец1]]*Таблица1[[#This Row],[коэф]])),
IF((G519="4/4"),((база!$I$5*2*Таблица1[[#This Row],[Столбец1]]*Таблица1[[#This Row],[коэф]])),
IF(OR(G519="2/4",G519="3/4"),((база!$I$4*2*Таблица1[[#This Row],[Столбец1]]*Таблица1[[#This Row],[коэф]])),
IF((G519="5/8"),((база!$J$6*2*Таблица1[[#This Row],[Столбец1]]*Таблица1[[#This Row],[коэф]])),
IF((G519="4/8"),((база!$J$5*2*Таблица1[[#This Row],[Столбец1]]*Таблица1[[#This Row],[коэф]])),
IF(OR(G519="3/8",G519="2/8"),((база!$J$4*2*Таблица1[[#This Row],[Столбец1]]*Таблица1[[#This Row],[коэф]])))))))))))))),
(IF((G519="5/24"),((база!$M$6*2*Таблица1[[#This Row],[Столбец1]]*Таблица1[[#This Row],[коэф]])),
IF(OR(G519="4/24",G519="3/24"),((база!$M$5*2*Таблица1[[#This Row],[Столбец1]]*Таблица1[[#This Row],[коэф]])),
IF((G519="5/16"),((база!$L$6*2*Таблица1[[#This Row],[Столбец1]]*Таблица1[[#This Row],[коэф]])),
IF(OR(G519="4/16",G519="3/16"),((база!$L$5*2*Таблица1[[#This Row],[Столбец1]]*Таблица1[[#This Row],[коэф]])),
IF(OR(G519="2/4",G519="3/4",G519="4/4"),((база!$I$5*2*Таблица1[[#This Row],[Столбец1]]*Таблица1[[#This Row],[коэф]])),
IF((G519="5/8"),((база!$J$6*2*Таблица1[[#This Row],[Столбец1]]*Таблица1[[#This Row],[коэф]])),
IF(OR(G519="4/8",G519="3/8",G519="2/8"),((база!$J$5*2*Таблица1[[#This Row],[Столбец1]]*Таблица1[[#This Row],[коэф]])))))))))))</f>
        <v>0</v>
      </c>
      <c r="AQ519" s="712" t="str">
        <f>IFERROR(INDEX(база!T:T, MATCH(F519,база!Q:Q,0)),"")</f>
        <v/>
      </c>
      <c r="AR519" s="208" t="str">
        <f>IFERROR(INDEX(база!D:D, MATCH(F519,база!B:B,0)),"")</f>
        <v/>
      </c>
      <c r="AS519" s="758" t="str">
        <f>IFERROR(INDEX(база!E:E, MATCH(F519,база!B:B,0)),"")</f>
        <v/>
      </c>
    </row>
    <row r="520" spans="1:45" s="46" customFormat="1" ht="15">
      <c r="A520" s="66" t="str">
        <f t="shared" si="9"/>
        <v>январь</v>
      </c>
      <c r="B520" s="231">
        <v>2024</v>
      </c>
      <c r="C520" s="299"/>
      <c r="D520" s="61"/>
      <c r="E520" s="211"/>
      <c r="F520" s="680"/>
      <c r="G520" s="47"/>
      <c r="H520" s="563"/>
      <c r="I520" s="563"/>
      <c r="J520" s="563"/>
      <c r="K520" s="563"/>
      <c r="L520" s="563"/>
      <c r="M520" s="563"/>
      <c r="N520" s="563"/>
      <c r="O520" s="563"/>
      <c r="P520" s="300"/>
      <c r="Q520" s="563"/>
      <c r="R520" s="563"/>
      <c r="S520" s="563"/>
      <c r="T520" s="563"/>
      <c r="U520" s="563"/>
      <c r="V520" s="563"/>
      <c r="W520" s="563"/>
      <c r="X520" s="563"/>
      <c r="Y520" s="563"/>
      <c r="Z520" s="563"/>
      <c r="AA520" s="563"/>
      <c r="AB520" s="563"/>
      <c r="AC520" s="563"/>
      <c r="AD520" s="48"/>
      <c r="AE520" s="48"/>
      <c r="AF520" s="258"/>
      <c r="AG520" s="48"/>
      <c r="AH520" s="48"/>
      <c r="AI520" s="258"/>
      <c r="AJ520" s="258"/>
      <c r="AK520" s="258"/>
      <c r="AL520" s="258"/>
      <c r="AM520" s="212">
        <f>IF(AQ520=1,SUM(Q520:T520,W520:Z520,AC520:AF520,AI520:AL520),
IF(AQ520=2,SUM(P520,S520:V520,Y520:AB520,AE520:AH520,AK520:AL520),
IF(AQ520=3,SUM(P520:R520,U520:X520,AA520:AD520,AG520:AJ520),SUM(Таблица1[[#This Row],[1]:[31]])-Таблица1[[#This Row],[Столбец1]])))</f>
        <v>0</v>
      </c>
      <c r="AN520" s="778">
        <f t="array" ref="AN520">IF(AQ520=1,SUM(P520,U520:V520,AA520:AB520,AG520:AH520),
IF(AQ520=2,SUM(Q520:R520,W520:X520,AC520:AD520,AI520:AJ520),
IF(AQ520=3,SUM(S520:T520,Y520:Z520,AE520:AF520,AK520:AL520),
SUM(IFERROR(WEEKDAY($H$2:$AL$2,2)&gt;5,)*H520:AL520))))+Таблица1[[#This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20" s="292" t="b">
        <f>IF(AR520&lt;=3,(IF((G520="5/24"),((база!$M$6*Таблица1[[#This Row],[сумма]]*Таблица1[[#This Row],[коэф]])),
IF((G520="4/24"),((база!$M$5*Таблица1[[#This Row],[сумма]]*Таблица1[[#This Row],[коэф]])),
IF((G520="3/24"),((база!$M$4*Таблица1[[#This Row],[сумма]]*Таблица1[[#This Row],[коэф]])),
IF((G520="5/16"),((база!$L$6*Таблица1[[#This Row],[сумма]]*Таблица1[[#This Row],[коэф]])),
IF((G520="4/16"),((база!$L$5*Таблица1[[#This Row],[сумма]]*Таблица1[[#This Row],[коэф]])),
IF((G520="3/16"),((база!$L$4*Таблица1[[#This Row],[сумма]]*Таблица1[[#This Row],[коэф]])),
IF((G520="4/4"),((база!$I$5*Таблица1[[#This Row],[сумма]]*Таблица1[[#This Row],[коэф]])),
IF(OR(G520="2/4",G520="3/4"),((база!$I$4*Таблица1[[#This Row],[сумма]]*Таблица1[[#This Row],[коэф]])),
IF((G520="5/8"),((база!$J$6*Таблица1[[#This Row],[сумма]]*Таблица1[[#This Row],[коэф]])),
IF((G520="4/8"),((база!$J$5*Таблица1[[#This Row],[сумма]]*Таблица1[[#This Row],[коэф]])),
IF(OR(G520="3/8",G520="2/8"),((база!$J$4*Таблица1[[#This Row],[сумма]]*Таблица1[[#This Row],[коэф]])))))))))))))),
(IF((G520="5/24"),((база!$M$6*Таблица1[[#This Row],[сумма]]*Таблица1[[#This Row],[коэф]])),
IF(OR(G520="4/24",G520="3/24"),((база!$M$5*Таблица1[[#This Row],[сумма]]*Таблица1[[#This Row],[коэф]])),
IF((G520="5/16"),((база!$L$6*Таблица1[[#This Row],[сумма]]*Таблица1[[#This Row],[коэф]])),
IF(OR(G520="4/16",G520="3/16"),((база!$L$5*Таблица1[[#This Row],[сумма]]*Таблица1[[#This Row],[коэф]])),
IF(OR(G520="2/4",G520="3/4",G520="4/4"),((база!$I$5*Таблица1[[#This Row],[сумма]]*Таблица1[[#This Row],[коэф]])),
IF((G520="5/8"),((база!$J$6*Таблица1[[#This Row],[сумма]]*Таблица1[[#This Row],[коэф]])),
IF(OR(G520="4/8",G520="3/8",G520="2/8"),((база!$J$5*Таблица1[[#This Row],[сумма]]*Таблица1[[#This Row],[коэф]])))))))))))</f>
        <v>0</v>
      </c>
      <c r="AP520" s="730" t="b">
        <f>IF(AR520&lt;=3,(IF((G520="5/24"),((база!$M$6*2*Таблица1[[#This Row],[Столбец1]]*Таблица1[[#This Row],[коэф]])),
IF((G520="4/24"),((база!$M$5*2*Таблица1[[#This Row],[Столбец1]]*Таблица1[[#This Row],[коэф]])),
IF((G520="3/24"),((база!$M$4*2*Таблица1[[#This Row],[Столбец1]]*Таблица1[[#This Row],[коэф]])),
IF((G520="5/16"),((база!$L$6*2*Таблица1[[#This Row],[Столбец1]]*Таблица1[[#This Row],[коэф]])),
IF((G520="4/16"),((база!$L$5*2*Таблица1[[#This Row],[Столбец1]]*Таблица1[[#This Row],[коэф]])),
IF((G520="3/16"),((база!$L$4*2*Таблица1[[#This Row],[Столбец1]]*Таблица1[[#This Row],[коэф]])),
IF((G520="4/4"),((база!$I$5*2*Таблица1[[#This Row],[Столбец1]]*Таблица1[[#This Row],[коэф]])),
IF(OR(G520="2/4",G520="3/4"),((база!$I$4*2*Таблица1[[#This Row],[Столбец1]]*Таблица1[[#This Row],[коэф]])),
IF((G520="5/8"),((база!$J$6*2*Таблица1[[#This Row],[Столбец1]]*Таблица1[[#This Row],[коэф]])),
IF((G520="4/8"),((база!$J$5*2*Таблица1[[#This Row],[Столбец1]]*Таблица1[[#This Row],[коэф]])),
IF(OR(G520="3/8",G520="2/8"),((база!$J$4*2*Таблица1[[#This Row],[Столбец1]]*Таблица1[[#This Row],[коэф]])))))))))))))),
(IF((G520="5/24"),((база!$M$6*2*Таблица1[[#This Row],[Столбец1]]*Таблица1[[#This Row],[коэф]])),
IF(OR(G520="4/24",G520="3/24"),((база!$M$5*2*Таблица1[[#This Row],[Столбец1]]*Таблица1[[#This Row],[коэф]])),
IF((G520="5/16"),((база!$L$6*2*Таблица1[[#This Row],[Столбец1]]*Таблица1[[#This Row],[коэф]])),
IF(OR(G520="4/16",G520="3/16"),((база!$L$5*2*Таблица1[[#This Row],[Столбец1]]*Таблица1[[#This Row],[коэф]])),
IF(OR(G520="2/4",G520="3/4",G520="4/4"),((база!$I$5*2*Таблица1[[#This Row],[Столбец1]]*Таблица1[[#This Row],[коэф]])),
IF((G520="5/8"),((база!$J$6*2*Таблица1[[#This Row],[Столбец1]]*Таблица1[[#This Row],[коэф]])),
IF(OR(G520="4/8",G520="3/8",G520="2/8"),((база!$J$5*2*Таблица1[[#This Row],[Столбец1]]*Таблица1[[#This Row],[коэф]])))))))))))</f>
        <v>0</v>
      </c>
      <c r="AQ520" s="712" t="str">
        <f>IFERROR(INDEX(база!T:T, MATCH(F520,база!Q:Q,0)),"")</f>
        <v/>
      </c>
      <c r="AR520" s="208" t="str">
        <f>IFERROR(INDEX(база!D:D, MATCH(F520,база!B:B,0)),"")</f>
        <v/>
      </c>
      <c r="AS520" s="758" t="str">
        <f>IFERROR(INDEX(база!E:E, MATCH(F520,база!B:B,0)),"")</f>
        <v/>
      </c>
    </row>
    <row r="521" spans="1:45" s="46" customFormat="1" ht="15">
      <c r="A521" s="66" t="str">
        <f t="shared" si="9"/>
        <v>январь</v>
      </c>
      <c r="B521" s="231">
        <v>2024</v>
      </c>
      <c r="C521" s="299"/>
      <c r="D521" s="61"/>
      <c r="E521" s="211"/>
      <c r="F521" s="680"/>
      <c r="G521" s="47"/>
      <c r="H521" s="563"/>
      <c r="I521" s="563"/>
      <c r="J521" s="563"/>
      <c r="K521" s="563"/>
      <c r="L521" s="563"/>
      <c r="M521" s="563"/>
      <c r="N521" s="563"/>
      <c r="O521" s="563"/>
      <c r="P521" s="300"/>
      <c r="Q521" s="563"/>
      <c r="R521" s="563"/>
      <c r="S521" s="563"/>
      <c r="T521" s="563"/>
      <c r="U521" s="563"/>
      <c r="V521" s="563"/>
      <c r="W521" s="563"/>
      <c r="X521" s="563"/>
      <c r="Y521" s="563"/>
      <c r="Z521" s="563"/>
      <c r="AA521" s="563"/>
      <c r="AB521" s="563"/>
      <c r="AC521" s="563"/>
      <c r="AD521" s="48"/>
      <c r="AE521" s="48"/>
      <c r="AF521" s="258"/>
      <c r="AG521" s="48"/>
      <c r="AH521" s="48"/>
      <c r="AI521" s="48"/>
      <c r="AJ521" s="48"/>
      <c r="AK521" s="48"/>
      <c r="AL521" s="51"/>
      <c r="AM521" s="212">
        <f>IF(AQ521=1,SUM(Q521:T521,W521:Z521,AC521:AF521,AI521:AL521),
IF(AQ521=2,SUM(P521,S521:V521,Y521:AB521,AE521:AH521,AK521:AL521),
IF(AQ521=3,SUM(P521:R521,U521:X521,AA521:AD521,AG521:AJ521),SUM(Таблица1[[#This Row],[1]:[31]])-Таблица1[[#This Row],[Столбец1]])))</f>
        <v>0</v>
      </c>
      <c r="AN521" s="778">
        <f t="array" ref="AN521">IF(AQ521=1,SUM(P521,U521:V521,AA521:AB521,AG521:AH521),
IF(AQ521=2,SUM(Q521:R521,W521:X521,AC521:AD521,AI521:AJ521),
IF(AQ521=3,SUM(S521:T521,Y521:Z521,AE521:AF521,AK521:AL521),
SUM(IFERROR(WEEKDAY($H$2:$AL$2,2)&gt;5,)*H521:AL521))))+Таблица1[[#This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21" s="292" t="b">
        <f>IF(AR521&lt;=3,(IF((G521="5/24"),((база!$M$6*Таблица1[[#This Row],[сумма]]*Таблица1[[#This Row],[коэф]])),
IF((G521="4/24"),((база!$M$5*Таблица1[[#This Row],[сумма]]*Таблица1[[#This Row],[коэф]])),
IF((G521="3/24"),((база!$M$4*Таблица1[[#This Row],[сумма]]*Таблица1[[#This Row],[коэф]])),
IF((G521="5/16"),((база!$L$6*Таблица1[[#This Row],[сумма]]*Таблица1[[#This Row],[коэф]])),
IF((G521="4/16"),((база!$L$5*Таблица1[[#This Row],[сумма]]*Таблица1[[#This Row],[коэф]])),
IF((G521="3/16"),((база!$L$4*Таблица1[[#This Row],[сумма]]*Таблица1[[#This Row],[коэф]])),
IF((G521="4/4"),((база!$I$5*Таблица1[[#This Row],[сумма]]*Таблица1[[#This Row],[коэф]])),
IF(OR(G521="2/4",G521="3/4"),((база!$I$4*Таблица1[[#This Row],[сумма]]*Таблица1[[#This Row],[коэф]])),
IF((G521="5/8"),((база!$J$6*Таблица1[[#This Row],[сумма]]*Таблица1[[#This Row],[коэф]])),
IF((G521="4/8"),((база!$J$5*Таблица1[[#This Row],[сумма]]*Таблица1[[#This Row],[коэф]])),
IF(OR(G521="3/8",G521="2/8"),((база!$J$4*Таблица1[[#This Row],[сумма]]*Таблица1[[#This Row],[коэф]])))))))))))))),
(IF((G521="5/24"),((база!$M$6*Таблица1[[#This Row],[сумма]]*Таблица1[[#This Row],[коэф]])),
IF(OR(G521="4/24",G521="3/24"),((база!$M$5*Таблица1[[#This Row],[сумма]]*Таблица1[[#This Row],[коэф]])),
IF((G521="5/16"),((база!$L$6*Таблица1[[#This Row],[сумма]]*Таблица1[[#This Row],[коэф]])),
IF(OR(G521="4/16",G521="3/16"),((база!$L$5*Таблица1[[#This Row],[сумма]]*Таблица1[[#This Row],[коэф]])),
IF(OR(G521="2/4",G521="3/4",G521="4/4"),((база!$I$5*Таблица1[[#This Row],[сумма]]*Таблица1[[#This Row],[коэф]])),
IF((G521="5/8"),((база!$J$6*Таблица1[[#This Row],[сумма]]*Таблица1[[#This Row],[коэф]])),
IF(OR(G521="4/8",G521="3/8",G521="2/8"),((база!$J$5*Таблица1[[#This Row],[сумма]]*Таблица1[[#This Row],[коэф]])))))))))))</f>
        <v>0</v>
      </c>
      <c r="AP521" s="730" t="b">
        <f>IF(AR521&lt;=3,(IF((G521="5/24"),((база!$M$6*2*Таблица1[[#This Row],[Столбец1]]*Таблица1[[#This Row],[коэф]])),
IF((G521="4/24"),((база!$M$5*2*Таблица1[[#This Row],[Столбец1]]*Таблица1[[#This Row],[коэф]])),
IF((G521="3/24"),((база!$M$4*2*Таблица1[[#This Row],[Столбец1]]*Таблица1[[#This Row],[коэф]])),
IF((G521="5/16"),((база!$L$6*2*Таблица1[[#This Row],[Столбец1]]*Таблица1[[#This Row],[коэф]])),
IF((G521="4/16"),((база!$L$5*2*Таблица1[[#This Row],[Столбец1]]*Таблица1[[#This Row],[коэф]])),
IF((G521="3/16"),((база!$L$4*2*Таблица1[[#This Row],[Столбец1]]*Таблица1[[#This Row],[коэф]])),
IF((G521="4/4"),((база!$I$5*2*Таблица1[[#This Row],[Столбец1]]*Таблица1[[#This Row],[коэф]])),
IF(OR(G521="2/4",G521="3/4"),((база!$I$4*2*Таблица1[[#This Row],[Столбец1]]*Таблица1[[#This Row],[коэф]])),
IF((G521="5/8"),((база!$J$6*2*Таблица1[[#This Row],[Столбец1]]*Таблица1[[#This Row],[коэф]])),
IF((G521="4/8"),((база!$J$5*2*Таблица1[[#This Row],[Столбец1]]*Таблица1[[#This Row],[коэф]])),
IF(OR(G521="3/8",G521="2/8"),((база!$J$4*2*Таблица1[[#This Row],[Столбец1]]*Таблица1[[#This Row],[коэф]])))))))))))))),
(IF((G521="5/24"),((база!$M$6*2*Таблица1[[#This Row],[Столбец1]]*Таблица1[[#This Row],[коэф]])),
IF(OR(G521="4/24",G521="3/24"),((база!$M$5*2*Таблица1[[#This Row],[Столбец1]]*Таблица1[[#This Row],[коэф]])),
IF((G521="5/16"),((база!$L$6*2*Таблица1[[#This Row],[Столбец1]]*Таблица1[[#This Row],[коэф]])),
IF(OR(G521="4/16",G521="3/16"),((база!$L$5*2*Таблица1[[#This Row],[Столбец1]]*Таблица1[[#This Row],[коэф]])),
IF(OR(G521="2/4",G521="3/4",G521="4/4"),((база!$I$5*2*Таблица1[[#This Row],[Столбец1]]*Таблица1[[#This Row],[коэф]])),
IF((G521="5/8"),((база!$J$6*2*Таблица1[[#This Row],[Столбец1]]*Таблица1[[#This Row],[коэф]])),
IF(OR(G521="4/8",G521="3/8",G521="2/8"),((база!$J$5*2*Таблица1[[#This Row],[Столбец1]]*Таблица1[[#This Row],[коэф]])))))))))))</f>
        <v>0</v>
      </c>
      <c r="AQ521" s="712" t="str">
        <f>IFERROR(INDEX(база!T:T, MATCH(F521,база!Q:Q,0)),"")</f>
        <v/>
      </c>
      <c r="AR521" s="208" t="str">
        <f>IFERROR(INDEX(база!D:D, MATCH(F521,база!B:B,0)),"")</f>
        <v/>
      </c>
      <c r="AS521" s="758" t="str">
        <f>IFERROR(INDEX(база!E:E, MATCH(F521,база!B:B,0)),"")</f>
        <v/>
      </c>
    </row>
    <row r="522" spans="1:45" s="46" customFormat="1" ht="15">
      <c r="A522" s="66" t="str">
        <f t="shared" ref="A522:A585" si="10">A521</f>
        <v>январь</v>
      </c>
      <c r="B522" s="231">
        <v>2024</v>
      </c>
      <c r="C522" s="299"/>
      <c r="D522" s="61"/>
      <c r="E522" s="211"/>
      <c r="F522" s="680"/>
      <c r="G522" s="47"/>
      <c r="H522" s="563"/>
      <c r="I522" s="563"/>
      <c r="J522" s="563"/>
      <c r="K522" s="563"/>
      <c r="L522" s="563"/>
      <c r="M522" s="563"/>
      <c r="N522" s="563"/>
      <c r="O522" s="563"/>
      <c r="P522" s="300"/>
      <c r="Q522" s="563"/>
      <c r="R522" s="563"/>
      <c r="S522" s="563"/>
      <c r="T522" s="563"/>
      <c r="U522" s="563"/>
      <c r="V522" s="563"/>
      <c r="W522" s="563"/>
      <c r="X522" s="563"/>
      <c r="Y522" s="563"/>
      <c r="Z522" s="563"/>
      <c r="AA522" s="563"/>
      <c r="AB522" s="563"/>
      <c r="AC522" s="563"/>
      <c r="AD522" s="48"/>
      <c r="AE522" s="48"/>
      <c r="AF522" s="258"/>
      <c r="AG522" s="48"/>
      <c r="AH522" s="48"/>
      <c r="AI522" s="258"/>
      <c r="AJ522" s="258"/>
      <c r="AK522" s="258"/>
      <c r="AL522" s="258"/>
      <c r="AM522" s="212">
        <f>IF(AQ522=1,SUM(Q522:T522,W522:Z522,AC522:AF522,AI522:AL522),
IF(AQ522=2,SUM(P522,S522:V522,Y522:AB522,AE522:AH522,AK522:AL522),
IF(AQ522=3,SUM(P522:R522,U522:X522,AA522:AD522,AG522:AJ522),SUM(Таблица1[[#This Row],[1]:[31]])-Таблица1[[#This Row],[Столбец1]])))</f>
        <v>0</v>
      </c>
      <c r="AN522" s="778">
        <f t="array" ref="AN522">IF(AQ522=1,SUM(P522,U522:V522,AA522:AB522,AG522:AH522),
IF(AQ522=2,SUM(Q522:R522,W522:X522,AC522:AD522,AI522:AJ522),
IF(AQ522=3,SUM(S522:T522,Y522:Z522,AE522:AF522,AK522:AL522),
SUM(IFERROR(WEEKDAY($H$2:$AL$2,2)&gt;5,)*H522:AL522))))+Таблица1[[#This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22" s="292" t="b">
        <f>IF(AR522&lt;=3,(IF((G522="5/24"),((база!$M$6*Таблица1[[#This Row],[сумма]]*Таблица1[[#This Row],[коэф]])),
IF((G522="4/24"),((база!$M$5*Таблица1[[#This Row],[сумма]]*Таблица1[[#This Row],[коэф]])),
IF((G522="3/24"),((база!$M$4*Таблица1[[#This Row],[сумма]]*Таблица1[[#This Row],[коэф]])),
IF((G522="5/16"),((база!$L$6*Таблица1[[#This Row],[сумма]]*Таблица1[[#This Row],[коэф]])),
IF((G522="4/16"),((база!$L$5*Таблица1[[#This Row],[сумма]]*Таблица1[[#This Row],[коэф]])),
IF((G522="3/16"),((база!$L$4*Таблица1[[#This Row],[сумма]]*Таблица1[[#This Row],[коэф]])),
IF((G522="4/4"),((база!$I$5*Таблица1[[#This Row],[сумма]]*Таблица1[[#This Row],[коэф]])),
IF(OR(G522="2/4",G522="3/4"),((база!$I$4*Таблица1[[#This Row],[сумма]]*Таблица1[[#This Row],[коэф]])),
IF((G522="5/8"),((база!$J$6*Таблица1[[#This Row],[сумма]]*Таблица1[[#This Row],[коэф]])),
IF((G522="4/8"),((база!$J$5*Таблица1[[#This Row],[сумма]]*Таблица1[[#This Row],[коэф]])),
IF(OR(G522="3/8",G522="2/8"),((база!$J$4*Таблица1[[#This Row],[сумма]]*Таблица1[[#This Row],[коэф]])))))))))))))),
(IF((G522="5/24"),((база!$M$6*Таблица1[[#This Row],[сумма]]*Таблица1[[#This Row],[коэф]])),
IF(OR(G522="4/24",G522="3/24"),((база!$M$5*Таблица1[[#This Row],[сумма]]*Таблица1[[#This Row],[коэф]])),
IF((G522="5/16"),((база!$L$6*Таблица1[[#This Row],[сумма]]*Таблица1[[#This Row],[коэф]])),
IF(OR(G522="4/16",G522="3/16"),((база!$L$5*Таблица1[[#This Row],[сумма]]*Таблица1[[#This Row],[коэф]])),
IF(OR(G522="2/4",G522="3/4",G522="4/4"),((база!$I$5*Таблица1[[#This Row],[сумма]]*Таблица1[[#This Row],[коэф]])),
IF((G522="5/8"),((база!$J$6*Таблица1[[#This Row],[сумма]]*Таблица1[[#This Row],[коэф]])),
IF(OR(G522="4/8",G522="3/8",G522="2/8"),((база!$J$5*Таблица1[[#This Row],[сумма]]*Таблица1[[#This Row],[коэф]])))))))))))</f>
        <v>0</v>
      </c>
      <c r="AP522" s="730" t="b">
        <f>IF(AR522&lt;=3,(IF((G522="5/24"),((база!$M$6*2*Таблица1[[#This Row],[Столбец1]]*Таблица1[[#This Row],[коэф]])),
IF((G522="4/24"),((база!$M$5*2*Таблица1[[#This Row],[Столбец1]]*Таблица1[[#This Row],[коэф]])),
IF((G522="3/24"),((база!$M$4*2*Таблица1[[#This Row],[Столбец1]]*Таблица1[[#This Row],[коэф]])),
IF((G522="5/16"),((база!$L$6*2*Таблица1[[#This Row],[Столбец1]]*Таблица1[[#This Row],[коэф]])),
IF((G522="4/16"),((база!$L$5*2*Таблица1[[#This Row],[Столбец1]]*Таблица1[[#This Row],[коэф]])),
IF((G522="3/16"),((база!$L$4*2*Таблица1[[#This Row],[Столбец1]]*Таблица1[[#This Row],[коэф]])),
IF((G522="4/4"),((база!$I$5*2*Таблица1[[#This Row],[Столбец1]]*Таблица1[[#This Row],[коэф]])),
IF(OR(G522="2/4",G522="3/4"),((база!$I$4*2*Таблица1[[#This Row],[Столбец1]]*Таблица1[[#This Row],[коэф]])),
IF((G522="5/8"),((база!$J$6*2*Таблица1[[#This Row],[Столбец1]]*Таблица1[[#This Row],[коэф]])),
IF((G522="4/8"),((база!$J$5*2*Таблица1[[#This Row],[Столбец1]]*Таблица1[[#This Row],[коэф]])),
IF(OR(G522="3/8",G522="2/8"),((база!$J$4*2*Таблица1[[#This Row],[Столбец1]]*Таблица1[[#This Row],[коэф]])))))))))))))),
(IF((G522="5/24"),((база!$M$6*2*Таблица1[[#This Row],[Столбец1]]*Таблица1[[#This Row],[коэф]])),
IF(OR(G522="4/24",G522="3/24"),((база!$M$5*2*Таблица1[[#This Row],[Столбец1]]*Таблица1[[#This Row],[коэф]])),
IF((G522="5/16"),((база!$L$6*2*Таблица1[[#This Row],[Столбец1]]*Таблица1[[#This Row],[коэф]])),
IF(OR(G522="4/16",G522="3/16"),((база!$L$5*2*Таблица1[[#This Row],[Столбец1]]*Таблица1[[#This Row],[коэф]])),
IF(OR(G522="2/4",G522="3/4",G522="4/4"),((база!$I$5*2*Таблица1[[#This Row],[Столбец1]]*Таблица1[[#This Row],[коэф]])),
IF((G522="5/8"),((база!$J$6*2*Таблица1[[#This Row],[Столбец1]]*Таблица1[[#This Row],[коэф]])),
IF(OR(G522="4/8",G522="3/8",G522="2/8"),((база!$J$5*2*Таблица1[[#This Row],[Столбец1]]*Таблица1[[#This Row],[коэф]])))))))))))</f>
        <v>0</v>
      </c>
      <c r="AQ522" s="712" t="str">
        <f>IFERROR(INDEX(база!T:T, MATCH(F522,база!Q:Q,0)),"")</f>
        <v/>
      </c>
      <c r="AR522" s="208" t="str">
        <f>IFERROR(INDEX(база!D:D, MATCH(F522,база!B:B,0)),"")</f>
        <v/>
      </c>
      <c r="AS522" s="758" t="str">
        <f>IFERROR(INDEX(база!E:E, MATCH(F522,база!B:B,0)),"")</f>
        <v/>
      </c>
    </row>
    <row r="523" spans="1:45" s="46" customFormat="1" ht="15">
      <c r="A523" s="66" t="str">
        <f t="shared" si="10"/>
        <v>январь</v>
      </c>
      <c r="B523" s="231">
        <v>2024</v>
      </c>
      <c r="C523" s="299"/>
      <c r="D523" s="61"/>
      <c r="E523" s="211"/>
      <c r="F523" s="680"/>
      <c r="G523" s="47"/>
      <c r="H523" s="563"/>
      <c r="I523" s="563"/>
      <c r="J523" s="563"/>
      <c r="K523" s="563"/>
      <c r="L523" s="563"/>
      <c r="M523" s="563"/>
      <c r="N523" s="563"/>
      <c r="O523" s="563"/>
      <c r="P523" s="300"/>
      <c r="Q523" s="563"/>
      <c r="R523" s="563"/>
      <c r="S523" s="563"/>
      <c r="T523" s="563"/>
      <c r="U523" s="563"/>
      <c r="V523" s="563"/>
      <c r="W523" s="563"/>
      <c r="X523" s="563"/>
      <c r="Y523" s="563"/>
      <c r="Z523" s="563"/>
      <c r="AA523" s="563"/>
      <c r="AB523" s="563"/>
      <c r="AC523" s="563"/>
      <c r="AD523" s="48"/>
      <c r="AE523" s="48"/>
      <c r="AF523" s="258"/>
      <c r="AG523" s="48"/>
      <c r="AH523" s="48"/>
      <c r="AI523" s="48"/>
      <c r="AJ523" s="48"/>
      <c r="AK523" s="48"/>
      <c r="AL523" s="51"/>
      <c r="AM523" s="212">
        <f>IF(AQ523=1,SUM(Q523:T523,W523:Z523,AC523:AF523,AI523:AL523),
IF(AQ523=2,SUM(P523,S523:V523,Y523:AB523,AE523:AH523,AK523:AL523),
IF(AQ523=3,SUM(P523:R523,U523:X523,AA523:AD523,AG523:AJ523),SUM(Таблица1[[#This Row],[1]:[31]])-Таблица1[[#This Row],[Столбец1]])))</f>
        <v>0</v>
      </c>
      <c r="AN523" s="778">
        <f t="array" ref="AN523">IF(AQ523=1,SUM(P523,U523:V523,AA523:AB523,AG523:AH523),
IF(AQ523=2,SUM(Q523:R523,W523:X523,AC523:AD523,AI523:AJ523),
IF(AQ523=3,SUM(S523:T523,Y523:Z523,AE523:AF523,AK523:AL523),
SUM(IFERROR(WEEKDAY($H$2:$AL$2,2)&gt;5,)*H523:AL523))))+Таблица1[[#This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23" s="292" t="b">
        <f>IF(AR523&lt;=3,(IF((G523="5/24"),((база!$M$6*Таблица1[[#This Row],[сумма]]*Таблица1[[#This Row],[коэф]])),
IF((G523="4/24"),((база!$M$5*Таблица1[[#This Row],[сумма]]*Таблица1[[#This Row],[коэф]])),
IF((G523="3/24"),((база!$M$4*Таблица1[[#This Row],[сумма]]*Таблица1[[#This Row],[коэф]])),
IF((G523="5/16"),((база!$L$6*Таблица1[[#This Row],[сумма]]*Таблица1[[#This Row],[коэф]])),
IF((G523="4/16"),((база!$L$5*Таблица1[[#This Row],[сумма]]*Таблица1[[#This Row],[коэф]])),
IF((G523="3/16"),((база!$L$4*Таблица1[[#This Row],[сумма]]*Таблица1[[#This Row],[коэф]])),
IF((G523="4/4"),((база!$I$5*Таблица1[[#This Row],[сумма]]*Таблица1[[#This Row],[коэф]])),
IF(OR(G523="2/4",G523="3/4"),((база!$I$4*Таблица1[[#This Row],[сумма]]*Таблица1[[#This Row],[коэф]])),
IF((G523="5/8"),((база!$J$6*Таблица1[[#This Row],[сумма]]*Таблица1[[#This Row],[коэф]])),
IF((G523="4/8"),((база!$J$5*Таблица1[[#This Row],[сумма]]*Таблица1[[#This Row],[коэф]])),
IF(OR(G523="3/8",G523="2/8"),((база!$J$4*Таблица1[[#This Row],[сумма]]*Таблица1[[#This Row],[коэф]])))))))))))))),
(IF((G523="5/24"),((база!$M$6*Таблица1[[#This Row],[сумма]]*Таблица1[[#This Row],[коэф]])),
IF(OR(G523="4/24",G523="3/24"),((база!$M$5*Таблица1[[#This Row],[сумма]]*Таблица1[[#This Row],[коэф]])),
IF((G523="5/16"),((база!$L$6*Таблица1[[#This Row],[сумма]]*Таблица1[[#This Row],[коэф]])),
IF(OR(G523="4/16",G523="3/16"),((база!$L$5*Таблица1[[#This Row],[сумма]]*Таблица1[[#This Row],[коэф]])),
IF(OR(G523="2/4",G523="3/4",G523="4/4"),((база!$I$5*Таблица1[[#This Row],[сумма]]*Таблица1[[#This Row],[коэф]])),
IF((G523="5/8"),((база!$J$6*Таблица1[[#This Row],[сумма]]*Таблица1[[#This Row],[коэф]])),
IF(OR(G523="4/8",G523="3/8",G523="2/8"),((база!$J$5*Таблица1[[#This Row],[сумма]]*Таблица1[[#This Row],[коэф]])))))))))))</f>
        <v>0</v>
      </c>
      <c r="AP523" s="730" t="b">
        <f>IF(AR523&lt;=3,(IF((G523="5/24"),((база!$M$6*2*Таблица1[[#This Row],[Столбец1]]*Таблица1[[#This Row],[коэф]])),
IF((G523="4/24"),((база!$M$5*2*Таблица1[[#This Row],[Столбец1]]*Таблица1[[#This Row],[коэф]])),
IF((G523="3/24"),((база!$M$4*2*Таблица1[[#This Row],[Столбец1]]*Таблица1[[#This Row],[коэф]])),
IF((G523="5/16"),((база!$L$6*2*Таблица1[[#This Row],[Столбец1]]*Таблица1[[#This Row],[коэф]])),
IF((G523="4/16"),((база!$L$5*2*Таблица1[[#This Row],[Столбец1]]*Таблица1[[#This Row],[коэф]])),
IF((G523="3/16"),((база!$L$4*2*Таблица1[[#This Row],[Столбец1]]*Таблица1[[#This Row],[коэф]])),
IF((G523="4/4"),((база!$I$5*2*Таблица1[[#This Row],[Столбец1]]*Таблица1[[#This Row],[коэф]])),
IF(OR(G523="2/4",G523="3/4"),((база!$I$4*2*Таблица1[[#This Row],[Столбец1]]*Таблица1[[#This Row],[коэф]])),
IF((G523="5/8"),((база!$J$6*2*Таблица1[[#This Row],[Столбец1]]*Таблица1[[#This Row],[коэф]])),
IF((G523="4/8"),((база!$J$5*2*Таблица1[[#This Row],[Столбец1]]*Таблица1[[#This Row],[коэф]])),
IF(OR(G523="3/8",G523="2/8"),((база!$J$4*2*Таблица1[[#This Row],[Столбец1]]*Таблица1[[#This Row],[коэф]])))))))))))))),
(IF((G523="5/24"),((база!$M$6*2*Таблица1[[#This Row],[Столбец1]]*Таблица1[[#This Row],[коэф]])),
IF(OR(G523="4/24",G523="3/24"),((база!$M$5*2*Таблица1[[#This Row],[Столбец1]]*Таблица1[[#This Row],[коэф]])),
IF((G523="5/16"),((база!$L$6*2*Таблица1[[#This Row],[Столбец1]]*Таблица1[[#This Row],[коэф]])),
IF(OR(G523="4/16",G523="3/16"),((база!$L$5*2*Таблица1[[#This Row],[Столбец1]]*Таблица1[[#This Row],[коэф]])),
IF(OR(G523="2/4",G523="3/4",G523="4/4"),((база!$I$5*2*Таблица1[[#This Row],[Столбец1]]*Таблица1[[#This Row],[коэф]])),
IF((G523="5/8"),((база!$J$6*2*Таблица1[[#This Row],[Столбец1]]*Таблица1[[#This Row],[коэф]])),
IF(OR(G523="4/8",G523="3/8",G523="2/8"),((база!$J$5*2*Таблица1[[#This Row],[Столбец1]]*Таблица1[[#This Row],[коэф]])))))))))))</f>
        <v>0</v>
      </c>
      <c r="AQ523" s="712" t="str">
        <f>IFERROR(INDEX(база!T:T, MATCH(F523,база!Q:Q,0)),"")</f>
        <v/>
      </c>
      <c r="AR523" s="208" t="str">
        <f>IFERROR(INDEX(база!D:D, MATCH(F523,база!B:B,0)),"")</f>
        <v/>
      </c>
      <c r="AS523" s="758" t="str">
        <f>IFERROR(INDEX(база!E:E, MATCH(F523,база!B:B,0)),"")</f>
        <v/>
      </c>
    </row>
    <row r="524" spans="1:45" s="46" customFormat="1" ht="15">
      <c r="A524" s="66" t="str">
        <f t="shared" si="10"/>
        <v>январь</v>
      </c>
      <c r="B524" s="231">
        <v>2024</v>
      </c>
      <c r="C524" s="299"/>
      <c r="D524" s="61"/>
      <c r="E524" s="211"/>
      <c r="F524" s="680"/>
      <c r="G524" s="47"/>
      <c r="H524" s="563"/>
      <c r="I524" s="563"/>
      <c r="J524" s="563"/>
      <c r="K524" s="563"/>
      <c r="L524" s="563"/>
      <c r="M524" s="563"/>
      <c r="N524" s="563"/>
      <c r="O524" s="563"/>
      <c r="P524" s="300"/>
      <c r="Q524" s="563"/>
      <c r="R524" s="563"/>
      <c r="S524" s="563"/>
      <c r="T524" s="563"/>
      <c r="U524" s="563"/>
      <c r="V524" s="563"/>
      <c r="W524" s="563"/>
      <c r="X524" s="563"/>
      <c r="Y524" s="563"/>
      <c r="Z524" s="563"/>
      <c r="AA524" s="563"/>
      <c r="AB524" s="563"/>
      <c r="AC524" s="563"/>
      <c r="AD524" s="48"/>
      <c r="AE524" s="48"/>
      <c r="AF524" s="258"/>
      <c r="AG524" s="48"/>
      <c r="AH524" s="48"/>
      <c r="AI524" s="48"/>
      <c r="AJ524" s="48"/>
      <c r="AK524" s="48"/>
      <c r="AL524" s="51"/>
      <c r="AM524" s="212">
        <f>IF(AQ524=1,SUM(Q524:T524,W524:Z524,AC524:AF524,AI524:AL524),
IF(AQ524=2,SUM(P524,S524:V524,Y524:AB524,AE524:AH524,AK524:AL524),
IF(AQ524=3,SUM(P524:R524,U524:X524,AA524:AD524,AG524:AJ524),SUM(Таблица1[[#This Row],[1]:[31]])-Таблица1[[#This Row],[Столбец1]])))</f>
        <v>0</v>
      </c>
      <c r="AN524" s="778">
        <f t="array" ref="AN524">IF(AQ524=1,SUM(P524,U524:V524,AA524:AB524,AG524:AH524),
IF(AQ524=2,SUM(Q524:R524,W524:X524,AC524:AD524,AI524:AJ524),
IF(AQ524=3,SUM(S524:T524,Y524:Z524,AE524:AF524,AK524:AL524),
SUM(IFERROR(WEEKDAY($H$2:$AL$2,2)&gt;5,)*H524:AL524))))+Таблица1[[#This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24" s="292" t="b">
        <f>IF(AR524&lt;=3,(IF((G524="5/24"),((база!$M$6*Таблица1[[#This Row],[сумма]]*Таблица1[[#This Row],[коэф]])),
IF((G524="4/24"),((база!$M$5*Таблица1[[#This Row],[сумма]]*Таблица1[[#This Row],[коэф]])),
IF((G524="3/24"),((база!$M$4*Таблица1[[#This Row],[сумма]]*Таблица1[[#This Row],[коэф]])),
IF((G524="5/16"),((база!$L$6*Таблица1[[#This Row],[сумма]]*Таблица1[[#This Row],[коэф]])),
IF((G524="4/16"),((база!$L$5*Таблица1[[#This Row],[сумма]]*Таблица1[[#This Row],[коэф]])),
IF((G524="3/16"),((база!$L$4*Таблица1[[#This Row],[сумма]]*Таблица1[[#This Row],[коэф]])),
IF((G524="4/4"),((база!$I$5*Таблица1[[#This Row],[сумма]]*Таблица1[[#This Row],[коэф]])),
IF(OR(G524="2/4",G524="3/4"),((база!$I$4*Таблица1[[#This Row],[сумма]]*Таблица1[[#This Row],[коэф]])),
IF((G524="5/8"),((база!$J$6*Таблица1[[#This Row],[сумма]]*Таблица1[[#This Row],[коэф]])),
IF((G524="4/8"),((база!$J$5*Таблица1[[#This Row],[сумма]]*Таблица1[[#This Row],[коэф]])),
IF(OR(G524="3/8",G524="2/8"),((база!$J$4*Таблица1[[#This Row],[сумма]]*Таблица1[[#This Row],[коэф]])))))))))))))),
(IF((G524="5/24"),((база!$M$6*Таблица1[[#This Row],[сумма]]*Таблица1[[#This Row],[коэф]])),
IF(OR(G524="4/24",G524="3/24"),((база!$M$5*Таблица1[[#This Row],[сумма]]*Таблица1[[#This Row],[коэф]])),
IF((G524="5/16"),((база!$L$6*Таблица1[[#This Row],[сумма]]*Таблица1[[#This Row],[коэф]])),
IF(OR(G524="4/16",G524="3/16"),((база!$L$5*Таблица1[[#This Row],[сумма]]*Таблица1[[#This Row],[коэф]])),
IF(OR(G524="2/4",G524="3/4",G524="4/4"),((база!$I$5*Таблица1[[#This Row],[сумма]]*Таблица1[[#This Row],[коэф]])),
IF((G524="5/8"),((база!$J$6*Таблица1[[#This Row],[сумма]]*Таблица1[[#This Row],[коэф]])),
IF(OR(G524="4/8",G524="3/8",G524="2/8"),((база!$J$5*Таблица1[[#This Row],[сумма]]*Таблица1[[#This Row],[коэф]])))))))))))</f>
        <v>0</v>
      </c>
      <c r="AP524" s="730" t="b">
        <f>IF(AR524&lt;=3,(IF((G524="5/24"),((база!$M$6*2*Таблица1[[#This Row],[Столбец1]]*Таблица1[[#This Row],[коэф]])),
IF((G524="4/24"),((база!$M$5*2*Таблица1[[#This Row],[Столбец1]]*Таблица1[[#This Row],[коэф]])),
IF((G524="3/24"),((база!$M$4*2*Таблица1[[#This Row],[Столбец1]]*Таблица1[[#This Row],[коэф]])),
IF((G524="5/16"),((база!$L$6*2*Таблица1[[#This Row],[Столбец1]]*Таблица1[[#This Row],[коэф]])),
IF((G524="4/16"),((база!$L$5*2*Таблица1[[#This Row],[Столбец1]]*Таблица1[[#This Row],[коэф]])),
IF((G524="3/16"),((база!$L$4*2*Таблица1[[#This Row],[Столбец1]]*Таблица1[[#This Row],[коэф]])),
IF((G524="4/4"),((база!$I$5*2*Таблица1[[#This Row],[Столбец1]]*Таблица1[[#This Row],[коэф]])),
IF(OR(G524="2/4",G524="3/4"),((база!$I$4*2*Таблица1[[#This Row],[Столбец1]]*Таблица1[[#This Row],[коэф]])),
IF((G524="5/8"),((база!$J$6*2*Таблица1[[#This Row],[Столбец1]]*Таблица1[[#This Row],[коэф]])),
IF((G524="4/8"),((база!$J$5*2*Таблица1[[#This Row],[Столбец1]]*Таблица1[[#This Row],[коэф]])),
IF(OR(G524="3/8",G524="2/8"),((база!$J$4*2*Таблица1[[#This Row],[Столбец1]]*Таблица1[[#This Row],[коэф]])))))))))))))),
(IF((G524="5/24"),((база!$M$6*2*Таблица1[[#This Row],[Столбец1]]*Таблица1[[#This Row],[коэф]])),
IF(OR(G524="4/24",G524="3/24"),((база!$M$5*2*Таблица1[[#This Row],[Столбец1]]*Таблица1[[#This Row],[коэф]])),
IF((G524="5/16"),((база!$L$6*2*Таблица1[[#This Row],[Столбец1]]*Таблица1[[#This Row],[коэф]])),
IF(OR(G524="4/16",G524="3/16"),((база!$L$5*2*Таблица1[[#This Row],[Столбец1]]*Таблица1[[#This Row],[коэф]])),
IF(OR(G524="2/4",G524="3/4",G524="4/4"),((база!$I$5*2*Таблица1[[#This Row],[Столбец1]]*Таблица1[[#This Row],[коэф]])),
IF((G524="5/8"),((база!$J$6*2*Таблица1[[#This Row],[Столбец1]]*Таблица1[[#This Row],[коэф]])),
IF(OR(G524="4/8",G524="3/8",G524="2/8"),((база!$J$5*2*Таблица1[[#This Row],[Столбец1]]*Таблица1[[#This Row],[коэф]])))))))))))</f>
        <v>0</v>
      </c>
      <c r="AQ524" s="712" t="str">
        <f>IFERROR(INDEX(база!T:T, MATCH(F524,база!Q:Q,0)),"")</f>
        <v/>
      </c>
      <c r="AR524" s="208" t="str">
        <f>IFERROR(INDEX(база!D:D, MATCH(F524,база!B:B,0)),"")</f>
        <v/>
      </c>
      <c r="AS524" s="758" t="str">
        <f>IFERROR(INDEX(база!E:E, MATCH(F524,база!B:B,0)),"")</f>
        <v/>
      </c>
    </row>
    <row r="525" spans="1:45" s="46" customFormat="1" ht="15">
      <c r="A525" s="66" t="str">
        <f t="shared" si="10"/>
        <v>январь</v>
      </c>
      <c r="B525" s="231">
        <v>2024</v>
      </c>
      <c r="C525" s="299"/>
      <c r="D525" s="61"/>
      <c r="E525" s="211"/>
      <c r="F525" s="680"/>
      <c r="G525" s="47"/>
      <c r="H525" s="563"/>
      <c r="I525" s="563"/>
      <c r="J525" s="563"/>
      <c r="K525" s="563"/>
      <c r="L525" s="563"/>
      <c r="M525" s="563"/>
      <c r="N525" s="563"/>
      <c r="O525" s="563"/>
      <c r="P525" s="300"/>
      <c r="Q525" s="563"/>
      <c r="R525" s="563"/>
      <c r="S525" s="563"/>
      <c r="T525" s="563"/>
      <c r="U525" s="563"/>
      <c r="V525" s="563"/>
      <c r="W525" s="563"/>
      <c r="X525" s="563"/>
      <c r="Y525" s="563"/>
      <c r="Z525" s="563"/>
      <c r="AA525" s="563"/>
      <c r="AB525" s="563"/>
      <c r="AC525" s="563"/>
      <c r="AD525" s="48"/>
      <c r="AE525" s="48"/>
      <c r="AF525" s="258"/>
      <c r="AG525" s="48"/>
      <c r="AH525" s="48"/>
      <c r="AI525" s="258"/>
      <c r="AJ525" s="258"/>
      <c r="AK525" s="258"/>
      <c r="AL525" s="258"/>
      <c r="AM525" s="212">
        <f>IF(AQ525=1,SUM(Q525:T525,W525:Z525,AC525:AF525,AI525:AL525),
IF(AQ525=2,SUM(P525,S525:V525,Y525:AB525,AE525:AH525,AK525:AL525),
IF(AQ525=3,SUM(P525:R525,U525:X525,AA525:AD525,AG525:AJ525),SUM(Таблица1[[#This Row],[1]:[31]])-Таблица1[[#This Row],[Столбец1]])))</f>
        <v>0</v>
      </c>
      <c r="AN525" s="778">
        <f t="array" ref="AN525">IF(AQ525=1,SUM(P525,U525:V525,AA525:AB525,AG525:AH525),
IF(AQ525=2,SUM(Q525:R525,W525:X525,AC525:AD525,AI525:AJ525),
IF(AQ525=3,SUM(S525:T525,Y525:Z525,AE525:AF525,AK525:AL525),
SUM(IFERROR(WEEKDAY($H$2:$AL$2,2)&gt;5,)*H525:AL525))))+Таблица1[[#This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25" s="292" t="b">
        <f>IF(AR525&lt;=3,(IF((G525="5/24"),((база!$M$6*Таблица1[[#This Row],[сумма]]*Таблица1[[#This Row],[коэф]])),
IF((G525="4/24"),((база!$M$5*Таблица1[[#This Row],[сумма]]*Таблица1[[#This Row],[коэф]])),
IF((G525="3/24"),((база!$M$4*Таблица1[[#This Row],[сумма]]*Таблица1[[#This Row],[коэф]])),
IF((G525="5/16"),((база!$L$6*Таблица1[[#This Row],[сумма]]*Таблица1[[#This Row],[коэф]])),
IF((G525="4/16"),((база!$L$5*Таблица1[[#This Row],[сумма]]*Таблица1[[#This Row],[коэф]])),
IF((G525="3/16"),((база!$L$4*Таблица1[[#This Row],[сумма]]*Таблица1[[#This Row],[коэф]])),
IF((G525="4/4"),((база!$I$5*Таблица1[[#This Row],[сумма]]*Таблица1[[#This Row],[коэф]])),
IF(OR(G525="2/4",G525="3/4"),((база!$I$4*Таблица1[[#This Row],[сумма]]*Таблица1[[#This Row],[коэф]])),
IF((G525="5/8"),((база!$J$6*Таблица1[[#This Row],[сумма]]*Таблица1[[#This Row],[коэф]])),
IF((G525="4/8"),((база!$J$5*Таблица1[[#This Row],[сумма]]*Таблица1[[#This Row],[коэф]])),
IF(OR(G525="3/8",G525="2/8"),((база!$J$4*Таблица1[[#This Row],[сумма]]*Таблица1[[#This Row],[коэф]])))))))))))))),
(IF((G525="5/24"),((база!$M$6*Таблица1[[#This Row],[сумма]]*Таблица1[[#This Row],[коэф]])),
IF(OR(G525="4/24",G525="3/24"),((база!$M$5*Таблица1[[#This Row],[сумма]]*Таблица1[[#This Row],[коэф]])),
IF((G525="5/16"),((база!$L$6*Таблица1[[#This Row],[сумма]]*Таблица1[[#This Row],[коэф]])),
IF(OR(G525="4/16",G525="3/16"),((база!$L$5*Таблица1[[#This Row],[сумма]]*Таблица1[[#This Row],[коэф]])),
IF(OR(G525="2/4",G525="3/4",G525="4/4"),((база!$I$5*Таблица1[[#This Row],[сумма]]*Таблица1[[#This Row],[коэф]])),
IF((G525="5/8"),((база!$J$6*Таблица1[[#This Row],[сумма]]*Таблица1[[#This Row],[коэф]])),
IF(OR(G525="4/8",G525="3/8",G525="2/8"),((база!$J$5*Таблица1[[#This Row],[сумма]]*Таблица1[[#This Row],[коэф]])))))))))))</f>
        <v>0</v>
      </c>
      <c r="AP525" s="730" t="b">
        <f>IF(AR525&lt;=3,(IF((G525="5/24"),((база!$M$6*2*Таблица1[[#This Row],[Столбец1]]*Таблица1[[#This Row],[коэф]])),
IF((G525="4/24"),((база!$M$5*2*Таблица1[[#This Row],[Столбец1]]*Таблица1[[#This Row],[коэф]])),
IF((G525="3/24"),((база!$M$4*2*Таблица1[[#This Row],[Столбец1]]*Таблица1[[#This Row],[коэф]])),
IF((G525="5/16"),((база!$L$6*2*Таблица1[[#This Row],[Столбец1]]*Таблица1[[#This Row],[коэф]])),
IF((G525="4/16"),((база!$L$5*2*Таблица1[[#This Row],[Столбец1]]*Таблица1[[#This Row],[коэф]])),
IF((G525="3/16"),((база!$L$4*2*Таблица1[[#This Row],[Столбец1]]*Таблица1[[#This Row],[коэф]])),
IF((G525="4/4"),((база!$I$5*2*Таблица1[[#This Row],[Столбец1]]*Таблица1[[#This Row],[коэф]])),
IF(OR(G525="2/4",G525="3/4"),((база!$I$4*2*Таблица1[[#This Row],[Столбец1]]*Таблица1[[#This Row],[коэф]])),
IF((G525="5/8"),((база!$J$6*2*Таблица1[[#This Row],[Столбец1]]*Таблица1[[#This Row],[коэф]])),
IF((G525="4/8"),((база!$J$5*2*Таблица1[[#This Row],[Столбец1]]*Таблица1[[#This Row],[коэф]])),
IF(OR(G525="3/8",G525="2/8"),((база!$J$4*2*Таблица1[[#This Row],[Столбец1]]*Таблица1[[#This Row],[коэф]])))))))))))))),
(IF((G525="5/24"),((база!$M$6*2*Таблица1[[#This Row],[Столбец1]]*Таблица1[[#This Row],[коэф]])),
IF(OR(G525="4/24",G525="3/24"),((база!$M$5*2*Таблица1[[#This Row],[Столбец1]]*Таблица1[[#This Row],[коэф]])),
IF((G525="5/16"),((база!$L$6*2*Таблица1[[#This Row],[Столбец1]]*Таблица1[[#This Row],[коэф]])),
IF(OR(G525="4/16",G525="3/16"),((база!$L$5*2*Таблица1[[#This Row],[Столбец1]]*Таблица1[[#This Row],[коэф]])),
IF(OR(G525="2/4",G525="3/4",G525="4/4"),((база!$I$5*2*Таблица1[[#This Row],[Столбец1]]*Таблица1[[#This Row],[коэф]])),
IF((G525="5/8"),((база!$J$6*2*Таблица1[[#This Row],[Столбец1]]*Таблица1[[#This Row],[коэф]])),
IF(OR(G525="4/8",G525="3/8",G525="2/8"),((база!$J$5*2*Таблица1[[#This Row],[Столбец1]]*Таблица1[[#This Row],[коэф]])))))))))))</f>
        <v>0</v>
      </c>
      <c r="AQ525" s="712" t="str">
        <f>IFERROR(INDEX(база!T:T, MATCH(F525,база!Q:Q,0)),"")</f>
        <v/>
      </c>
      <c r="AR525" s="208" t="str">
        <f>IFERROR(INDEX(база!D:D, MATCH(F525,база!B:B,0)),"")</f>
        <v/>
      </c>
      <c r="AS525" s="758" t="str">
        <f>IFERROR(INDEX(база!E:E, MATCH(F525,база!B:B,0)),"")</f>
        <v/>
      </c>
    </row>
    <row r="526" spans="1:45" s="46" customFormat="1" ht="15">
      <c r="A526" s="66" t="str">
        <f t="shared" si="10"/>
        <v>январь</v>
      </c>
      <c r="B526" s="231">
        <v>2024</v>
      </c>
      <c r="C526" s="299"/>
      <c r="D526" s="61"/>
      <c r="E526" s="211"/>
      <c r="F526" s="680"/>
      <c r="G526" s="47"/>
      <c r="H526" s="563"/>
      <c r="I526" s="563"/>
      <c r="J526" s="563"/>
      <c r="K526" s="563"/>
      <c r="L526" s="563"/>
      <c r="M526" s="563"/>
      <c r="N526" s="563"/>
      <c r="O526" s="563"/>
      <c r="P526" s="300"/>
      <c r="Q526" s="563"/>
      <c r="R526" s="563"/>
      <c r="S526" s="563"/>
      <c r="T526" s="563"/>
      <c r="U526" s="563"/>
      <c r="V526" s="563"/>
      <c r="W526" s="563"/>
      <c r="X526" s="563"/>
      <c r="Y526" s="563"/>
      <c r="Z526" s="563"/>
      <c r="AA526" s="563"/>
      <c r="AB526" s="563"/>
      <c r="AC526" s="563"/>
      <c r="AD526" s="48"/>
      <c r="AE526" s="48"/>
      <c r="AF526" s="258"/>
      <c r="AG526" s="48"/>
      <c r="AH526" s="48"/>
      <c r="AI526" s="48"/>
      <c r="AJ526" s="48"/>
      <c r="AK526" s="48"/>
      <c r="AL526" s="51"/>
      <c r="AM526" s="212">
        <f>IF(AQ526=1,SUM(Q526:T526,W526:Z526,AC526:AF526,AI526:AL526),
IF(AQ526=2,SUM(P526,S526:V526,Y526:AB526,AE526:AH526,AK526:AL526),
IF(AQ526=3,SUM(P526:R526,U526:X526,AA526:AD526,AG526:AJ526),SUM(Таблица1[[#This Row],[1]:[31]])-Таблица1[[#This Row],[Столбец1]])))</f>
        <v>0</v>
      </c>
      <c r="AN526" s="778">
        <f t="array" ref="AN526">IF(AQ526=1,SUM(P526,U526:V526,AA526:AB526,AG526:AH526),
IF(AQ526=2,SUM(Q526:R526,W526:X526,AC526:AD526,AI526:AJ526),
IF(AQ526=3,SUM(S526:T526,Y526:Z526,AE526:AF526,AK526:AL526),
SUM(IFERROR(WEEKDAY($H$2:$AL$2,2)&gt;5,)*H526:AL526))))+Таблица1[[#This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26" s="292" t="b">
        <f>IF(AR526&lt;=3,(IF((G526="5/24"),((база!$M$6*Таблица1[[#This Row],[сумма]]*Таблица1[[#This Row],[коэф]])),
IF((G526="4/24"),((база!$M$5*Таблица1[[#This Row],[сумма]]*Таблица1[[#This Row],[коэф]])),
IF((G526="3/24"),((база!$M$4*Таблица1[[#This Row],[сумма]]*Таблица1[[#This Row],[коэф]])),
IF((G526="5/16"),((база!$L$6*Таблица1[[#This Row],[сумма]]*Таблица1[[#This Row],[коэф]])),
IF((G526="4/16"),((база!$L$5*Таблица1[[#This Row],[сумма]]*Таблица1[[#This Row],[коэф]])),
IF((G526="3/16"),((база!$L$4*Таблица1[[#This Row],[сумма]]*Таблица1[[#This Row],[коэф]])),
IF((G526="4/4"),((база!$I$5*Таблица1[[#This Row],[сумма]]*Таблица1[[#This Row],[коэф]])),
IF(OR(G526="2/4",G526="3/4"),((база!$I$4*Таблица1[[#This Row],[сумма]]*Таблица1[[#This Row],[коэф]])),
IF((G526="5/8"),((база!$J$6*Таблица1[[#This Row],[сумма]]*Таблица1[[#This Row],[коэф]])),
IF((G526="4/8"),((база!$J$5*Таблица1[[#This Row],[сумма]]*Таблица1[[#This Row],[коэф]])),
IF(OR(G526="3/8",G526="2/8"),((база!$J$4*Таблица1[[#This Row],[сумма]]*Таблица1[[#This Row],[коэф]])))))))))))))),
(IF((G526="5/24"),((база!$M$6*Таблица1[[#This Row],[сумма]]*Таблица1[[#This Row],[коэф]])),
IF(OR(G526="4/24",G526="3/24"),((база!$M$5*Таблица1[[#This Row],[сумма]]*Таблица1[[#This Row],[коэф]])),
IF((G526="5/16"),((база!$L$6*Таблица1[[#This Row],[сумма]]*Таблица1[[#This Row],[коэф]])),
IF(OR(G526="4/16",G526="3/16"),((база!$L$5*Таблица1[[#This Row],[сумма]]*Таблица1[[#This Row],[коэф]])),
IF(OR(G526="2/4",G526="3/4",G526="4/4"),((база!$I$5*Таблица1[[#This Row],[сумма]]*Таблица1[[#This Row],[коэф]])),
IF((G526="5/8"),((база!$J$6*Таблица1[[#This Row],[сумма]]*Таблица1[[#This Row],[коэф]])),
IF(OR(G526="4/8",G526="3/8",G526="2/8"),((база!$J$5*Таблица1[[#This Row],[сумма]]*Таблица1[[#This Row],[коэф]])))))))))))</f>
        <v>0</v>
      </c>
      <c r="AP526" s="730" t="b">
        <f>IF(AR526&lt;=3,(IF((G526="5/24"),((база!$M$6*2*Таблица1[[#This Row],[Столбец1]]*Таблица1[[#This Row],[коэф]])),
IF((G526="4/24"),((база!$M$5*2*Таблица1[[#This Row],[Столбец1]]*Таблица1[[#This Row],[коэф]])),
IF((G526="3/24"),((база!$M$4*2*Таблица1[[#This Row],[Столбец1]]*Таблица1[[#This Row],[коэф]])),
IF((G526="5/16"),((база!$L$6*2*Таблица1[[#This Row],[Столбец1]]*Таблица1[[#This Row],[коэф]])),
IF((G526="4/16"),((база!$L$5*2*Таблица1[[#This Row],[Столбец1]]*Таблица1[[#This Row],[коэф]])),
IF((G526="3/16"),((база!$L$4*2*Таблица1[[#This Row],[Столбец1]]*Таблица1[[#This Row],[коэф]])),
IF((G526="4/4"),((база!$I$5*2*Таблица1[[#This Row],[Столбец1]]*Таблица1[[#This Row],[коэф]])),
IF(OR(G526="2/4",G526="3/4"),((база!$I$4*2*Таблица1[[#This Row],[Столбец1]]*Таблица1[[#This Row],[коэф]])),
IF((G526="5/8"),((база!$J$6*2*Таблица1[[#This Row],[Столбец1]]*Таблица1[[#This Row],[коэф]])),
IF((G526="4/8"),((база!$J$5*2*Таблица1[[#This Row],[Столбец1]]*Таблица1[[#This Row],[коэф]])),
IF(OR(G526="3/8",G526="2/8"),((база!$J$4*2*Таблица1[[#This Row],[Столбец1]]*Таблица1[[#This Row],[коэф]])))))))))))))),
(IF((G526="5/24"),((база!$M$6*2*Таблица1[[#This Row],[Столбец1]]*Таблица1[[#This Row],[коэф]])),
IF(OR(G526="4/24",G526="3/24"),((база!$M$5*2*Таблица1[[#This Row],[Столбец1]]*Таблица1[[#This Row],[коэф]])),
IF((G526="5/16"),((база!$L$6*2*Таблица1[[#This Row],[Столбец1]]*Таблица1[[#This Row],[коэф]])),
IF(OR(G526="4/16",G526="3/16"),((база!$L$5*2*Таблица1[[#This Row],[Столбец1]]*Таблица1[[#This Row],[коэф]])),
IF(OR(G526="2/4",G526="3/4",G526="4/4"),((база!$I$5*2*Таблица1[[#This Row],[Столбец1]]*Таблица1[[#This Row],[коэф]])),
IF((G526="5/8"),((база!$J$6*2*Таблица1[[#This Row],[Столбец1]]*Таблица1[[#This Row],[коэф]])),
IF(OR(G526="4/8",G526="3/8",G526="2/8"),((база!$J$5*2*Таблица1[[#This Row],[Столбец1]]*Таблица1[[#This Row],[коэф]])))))))))))</f>
        <v>0</v>
      </c>
      <c r="AQ526" s="712" t="str">
        <f>IFERROR(INDEX(база!T:T, MATCH(F526,база!Q:Q,0)),"")</f>
        <v/>
      </c>
      <c r="AR526" s="208" t="str">
        <f>IFERROR(INDEX(база!D:D, MATCH(F526,база!B:B,0)),"")</f>
        <v/>
      </c>
      <c r="AS526" s="758" t="str">
        <f>IFERROR(INDEX(база!E:E, MATCH(F526,база!B:B,0)),"")</f>
        <v/>
      </c>
    </row>
    <row r="527" spans="1:45" s="46" customFormat="1" ht="15">
      <c r="A527" s="66" t="str">
        <f t="shared" si="10"/>
        <v>январь</v>
      </c>
      <c r="B527" s="231">
        <v>2024</v>
      </c>
      <c r="C527" s="299"/>
      <c r="D527" s="61"/>
      <c r="E527" s="211"/>
      <c r="F527" s="680"/>
      <c r="G527" s="47"/>
      <c r="H527" s="563"/>
      <c r="I527" s="563"/>
      <c r="J527" s="563"/>
      <c r="K527" s="563"/>
      <c r="L527" s="563"/>
      <c r="M527" s="563"/>
      <c r="N527" s="563"/>
      <c r="O527" s="563"/>
      <c r="P527" s="300"/>
      <c r="Q527" s="563"/>
      <c r="R527" s="563"/>
      <c r="S527" s="563"/>
      <c r="T527" s="563"/>
      <c r="U527" s="563"/>
      <c r="V527" s="563"/>
      <c r="W527" s="563"/>
      <c r="X527" s="563"/>
      <c r="Y527" s="563"/>
      <c r="Z527" s="563"/>
      <c r="AA527" s="563"/>
      <c r="AB527" s="563"/>
      <c r="AC527" s="563"/>
      <c r="AD527" s="48"/>
      <c r="AE527" s="48"/>
      <c r="AF527" s="258"/>
      <c r="AG527" s="48"/>
      <c r="AH527" s="48"/>
      <c r="AI527" s="258"/>
      <c r="AJ527" s="258"/>
      <c r="AK527" s="258"/>
      <c r="AL527" s="258"/>
      <c r="AM527" s="212">
        <f>IF(AQ527=1,SUM(Q527:T527,W527:Z527,AC527:AF527,AI527:AL527),
IF(AQ527=2,SUM(P527,S527:V527,Y527:AB527,AE527:AH527,AK527:AL527),
IF(AQ527=3,SUM(P527:R527,U527:X527,AA527:AD527,AG527:AJ527),SUM(Таблица1[[#This Row],[1]:[31]])-Таблица1[[#This Row],[Столбец1]])))</f>
        <v>0</v>
      </c>
      <c r="AN527" s="778">
        <f t="array" ref="AN527">IF(AQ527=1,SUM(P527,U527:V527,AA527:AB527,AG527:AH527),
IF(AQ527=2,SUM(Q527:R527,W527:X527,AC527:AD527,AI527:AJ527),
IF(AQ527=3,SUM(S527:T527,Y527:Z527,AE527:AF527,AK527:AL527),
SUM(IFERROR(WEEKDAY($H$2:$AL$2,2)&gt;5,)*H527:AL527))))+Таблица1[[#This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27" s="292" t="b">
        <f>IF(AR527&lt;=3,(IF((G527="5/24"),((база!$M$6*Таблица1[[#This Row],[сумма]]*Таблица1[[#This Row],[коэф]])),
IF((G527="4/24"),((база!$M$5*Таблица1[[#This Row],[сумма]]*Таблица1[[#This Row],[коэф]])),
IF((G527="3/24"),((база!$M$4*Таблица1[[#This Row],[сумма]]*Таблица1[[#This Row],[коэф]])),
IF((G527="5/16"),((база!$L$6*Таблица1[[#This Row],[сумма]]*Таблица1[[#This Row],[коэф]])),
IF((G527="4/16"),((база!$L$5*Таблица1[[#This Row],[сумма]]*Таблица1[[#This Row],[коэф]])),
IF((G527="3/16"),((база!$L$4*Таблица1[[#This Row],[сумма]]*Таблица1[[#This Row],[коэф]])),
IF((G527="4/4"),((база!$I$5*Таблица1[[#This Row],[сумма]]*Таблица1[[#This Row],[коэф]])),
IF(OR(G527="2/4",G527="3/4"),((база!$I$4*Таблица1[[#This Row],[сумма]]*Таблица1[[#This Row],[коэф]])),
IF((G527="5/8"),((база!$J$6*Таблица1[[#This Row],[сумма]]*Таблица1[[#This Row],[коэф]])),
IF((G527="4/8"),((база!$J$5*Таблица1[[#This Row],[сумма]]*Таблица1[[#This Row],[коэф]])),
IF(OR(G527="3/8",G527="2/8"),((база!$J$4*Таблица1[[#This Row],[сумма]]*Таблица1[[#This Row],[коэф]])))))))))))))),
(IF((G527="5/24"),((база!$M$6*Таблица1[[#This Row],[сумма]]*Таблица1[[#This Row],[коэф]])),
IF(OR(G527="4/24",G527="3/24"),((база!$M$5*Таблица1[[#This Row],[сумма]]*Таблица1[[#This Row],[коэф]])),
IF((G527="5/16"),((база!$L$6*Таблица1[[#This Row],[сумма]]*Таблица1[[#This Row],[коэф]])),
IF(OR(G527="4/16",G527="3/16"),((база!$L$5*Таблица1[[#This Row],[сумма]]*Таблица1[[#This Row],[коэф]])),
IF(OR(G527="2/4",G527="3/4",G527="4/4"),((база!$I$5*Таблица1[[#This Row],[сумма]]*Таблица1[[#This Row],[коэф]])),
IF((G527="5/8"),((база!$J$6*Таблица1[[#This Row],[сумма]]*Таблица1[[#This Row],[коэф]])),
IF(OR(G527="4/8",G527="3/8",G527="2/8"),((база!$J$5*Таблица1[[#This Row],[сумма]]*Таблица1[[#This Row],[коэф]])))))))))))</f>
        <v>0</v>
      </c>
      <c r="AP527" s="730" t="b">
        <f>IF(AR527&lt;=3,(IF((G527="5/24"),((база!$M$6*2*Таблица1[[#This Row],[Столбец1]]*Таблица1[[#This Row],[коэф]])),
IF((G527="4/24"),((база!$M$5*2*Таблица1[[#This Row],[Столбец1]]*Таблица1[[#This Row],[коэф]])),
IF((G527="3/24"),((база!$M$4*2*Таблица1[[#This Row],[Столбец1]]*Таблица1[[#This Row],[коэф]])),
IF((G527="5/16"),((база!$L$6*2*Таблица1[[#This Row],[Столбец1]]*Таблица1[[#This Row],[коэф]])),
IF((G527="4/16"),((база!$L$5*2*Таблица1[[#This Row],[Столбец1]]*Таблица1[[#This Row],[коэф]])),
IF((G527="3/16"),((база!$L$4*2*Таблица1[[#This Row],[Столбец1]]*Таблица1[[#This Row],[коэф]])),
IF((G527="4/4"),((база!$I$5*2*Таблица1[[#This Row],[Столбец1]]*Таблица1[[#This Row],[коэф]])),
IF(OR(G527="2/4",G527="3/4"),((база!$I$4*2*Таблица1[[#This Row],[Столбец1]]*Таблица1[[#This Row],[коэф]])),
IF((G527="5/8"),((база!$J$6*2*Таблица1[[#This Row],[Столбец1]]*Таблица1[[#This Row],[коэф]])),
IF((G527="4/8"),((база!$J$5*2*Таблица1[[#This Row],[Столбец1]]*Таблица1[[#This Row],[коэф]])),
IF(OR(G527="3/8",G527="2/8"),((база!$J$4*2*Таблица1[[#This Row],[Столбец1]]*Таблица1[[#This Row],[коэф]])))))))))))))),
(IF((G527="5/24"),((база!$M$6*2*Таблица1[[#This Row],[Столбец1]]*Таблица1[[#This Row],[коэф]])),
IF(OR(G527="4/24",G527="3/24"),((база!$M$5*2*Таблица1[[#This Row],[Столбец1]]*Таблица1[[#This Row],[коэф]])),
IF((G527="5/16"),((база!$L$6*2*Таблица1[[#This Row],[Столбец1]]*Таблица1[[#This Row],[коэф]])),
IF(OR(G527="4/16",G527="3/16"),((база!$L$5*2*Таблица1[[#This Row],[Столбец1]]*Таблица1[[#This Row],[коэф]])),
IF(OR(G527="2/4",G527="3/4",G527="4/4"),((база!$I$5*2*Таблица1[[#This Row],[Столбец1]]*Таблица1[[#This Row],[коэф]])),
IF((G527="5/8"),((база!$J$6*2*Таблица1[[#This Row],[Столбец1]]*Таблица1[[#This Row],[коэф]])),
IF(OR(G527="4/8",G527="3/8",G527="2/8"),((база!$J$5*2*Таблица1[[#This Row],[Столбец1]]*Таблица1[[#This Row],[коэф]])))))))))))</f>
        <v>0</v>
      </c>
      <c r="AQ527" s="712" t="str">
        <f>IFERROR(INDEX(база!T:T, MATCH(F527,база!Q:Q,0)),"")</f>
        <v/>
      </c>
      <c r="AR527" s="208" t="str">
        <f>IFERROR(INDEX(база!D:D, MATCH(F527,база!B:B,0)),"")</f>
        <v/>
      </c>
      <c r="AS527" s="758" t="str">
        <f>IFERROR(INDEX(база!E:E, MATCH(F527,база!B:B,0)),"")</f>
        <v/>
      </c>
    </row>
    <row r="528" spans="1:45" s="46" customFormat="1" ht="15">
      <c r="A528" s="66" t="str">
        <f t="shared" si="10"/>
        <v>январь</v>
      </c>
      <c r="B528" s="231">
        <v>2024</v>
      </c>
      <c r="C528" s="299"/>
      <c r="D528" s="61"/>
      <c r="E528" s="211"/>
      <c r="F528" s="680"/>
      <c r="G528" s="47"/>
      <c r="H528" s="563"/>
      <c r="I528" s="563"/>
      <c r="J528" s="563"/>
      <c r="K528" s="563"/>
      <c r="L528" s="563"/>
      <c r="M528" s="563"/>
      <c r="N528" s="563"/>
      <c r="O528" s="563"/>
      <c r="P528" s="300"/>
      <c r="Q528" s="563"/>
      <c r="R528" s="563"/>
      <c r="S528" s="563"/>
      <c r="T528" s="563"/>
      <c r="U528" s="563"/>
      <c r="V528" s="563"/>
      <c r="W528" s="563"/>
      <c r="X528" s="563"/>
      <c r="Y528" s="563"/>
      <c r="Z528" s="563"/>
      <c r="AA528" s="563"/>
      <c r="AB528" s="563"/>
      <c r="AC528" s="563"/>
      <c r="AD528" s="48"/>
      <c r="AE528" s="48"/>
      <c r="AF528" s="258"/>
      <c r="AG528" s="48"/>
      <c r="AH528" s="48"/>
      <c r="AI528" s="48"/>
      <c r="AJ528" s="48"/>
      <c r="AK528" s="48"/>
      <c r="AL528" s="51"/>
      <c r="AM528" s="212">
        <f>IF(AQ528=1,SUM(Q528:T528,W528:Z528,AC528:AF528,AI528:AL528),
IF(AQ528=2,SUM(P528,S528:V528,Y528:AB528,AE528:AH528,AK528:AL528),
IF(AQ528=3,SUM(P528:R528,U528:X528,AA528:AD528,AG528:AJ528),SUM(Таблица1[[#This Row],[1]:[31]])-Таблица1[[#This Row],[Столбец1]])))</f>
        <v>0</v>
      </c>
      <c r="AN528" s="778">
        <f t="array" ref="AN528">IF(AQ528=1,SUM(P528,U528:V528,AA528:AB528,AG528:AH528),
IF(AQ528=2,SUM(Q528:R528,W528:X528,AC528:AD528,AI528:AJ528),
IF(AQ528=3,SUM(S528:T528,Y528:Z528,AE528:AF528,AK528:AL528),
SUM(IFERROR(WEEKDAY($H$2:$AL$2,2)&gt;5,)*H528:AL528))))+Таблица1[[#This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28" s="292" t="b">
        <f>IF(AR528&lt;=3,(IF((G528="5/24"),((база!$M$6*Таблица1[[#This Row],[сумма]]*Таблица1[[#This Row],[коэф]])),
IF((G528="4/24"),((база!$M$5*Таблица1[[#This Row],[сумма]]*Таблица1[[#This Row],[коэф]])),
IF((G528="3/24"),((база!$M$4*Таблица1[[#This Row],[сумма]]*Таблица1[[#This Row],[коэф]])),
IF((G528="5/16"),((база!$L$6*Таблица1[[#This Row],[сумма]]*Таблица1[[#This Row],[коэф]])),
IF((G528="4/16"),((база!$L$5*Таблица1[[#This Row],[сумма]]*Таблица1[[#This Row],[коэф]])),
IF((G528="3/16"),((база!$L$4*Таблица1[[#This Row],[сумма]]*Таблица1[[#This Row],[коэф]])),
IF((G528="4/4"),((база!$I$5*Таблица1[[#This Row],[сумма]]*Таблица1[[#This Row],[коэф]])),
IF(OR(G528="2/4",G528="3/4"),((база!$I$4*Таблица1[[#This Row],[сумма]]*Таблица1[[#This Row],[коэф]])),
IF((G528="5/8"),((база!$J$6*Таблица1[[#This Row],[сумма]]*Таблица1[[#This Row],[коэф]])),
IF((G528="4/8"),((база!$J$5*Таблица1[[#This Row],[сумма]]*Таблица1[[#This Row],[коэф]])),
IF(OR(G528="3/8",G528="2/8"),((база!$J$4*Таблица1[[#This Row],[сумма]]*Таблица1[[#This Row],[коэф]])))))))))))))),
(IF((G528="5/24"),((база!$M$6*Таблица1[[#This Row],[сумма]]*Таблица1[[#This Row],[коэф]])),
IF(OR(G528="4/24",G528="3/24"),((база!$M$5*Таблица1[[#This Row],[сумма]]*Таблица1[[#This Row],[коэф]])),
IF((G528="5/16"),((база!$L$6*Таблица1[[#This Row],[сумма]]*Таблица1[[#This Row],[коэф]])),
IF(OR(G528="4/16",G528="3/16"),((база!$L$5*Таблица1[[#This Row],[сумма]]*Таблица1[[#This Row],[коэф]])),
IF(OR(G528="2/4",G528="3/4",G528="4/4"),((база!$I$5*Таблица1[[#This Row],[сумма]]*Таблица1[[#This Row],[коэф]])),
IF((G528="5/8"),((база!$J$6*Таблица1[[#This Row],[сумма]]*Таблица1[[#This Row],[коэф]])),
IF(OR(G528="4/8",G528="3/8",G528="2/8"),((база!$J$5*Таблица1[[#This Row],[сумма]]*Таблица1[[#This Row],[коэф]])))))))))))</f>
        <v>0</v>
      </c>
      <c r="AP528" s="730" t="b">
        <f>IF(AR528&lt;=3,(IF((G528="5/24"),((база!$M$6*2*Таблица1[[#This Row],[Столбец1]]*Таблица1[[#This Row],[коэф]])),
IF((G528="4/24"),((база!$M$5*2*Таблица1[[#This Row],[Столбец1]]*Таблица1[[#This Row],[коэф]])),
IF((G528="3/24"),((база!$M$4*2*Таблица1[[#This Row],[Столбец1]]*Таблица1[[#This Row],[коэф]])),
IF((G528="5/16"),((база!$L$6*2*Таблица1[[#This Row],[Столбец1]]*Таблица1[[#This Row],[коэф]])),
IF((G528="4/16"),((база!$L$5*2*Таблица1[[#This Row],[Столбец1]]*Таблица1[[#This Row],[коэф]])),
IF((G528="3/16"),((база!$L$4*2*Таблица1[[#This Row],[Столбец1]]*Таблица1[[#This Row],[коэф]])),
IF((G528="4/4"),((база!$I$5*2*Таблица1[[#This Row],[Столбец1]]*Таблица1[[#This Row],[коэф]])),
IF(OR(G528="2/4",G528="3/4"),((база!$I$4*2*Таблица1[[#This Row],[Столбец1]]*Таблица1[[#This Row],[коэф]])),
IF((G528="5/8"),((база!$J$6*2*Таблица1[[#This Row],[Столбец1]]*Таблица1[[#This Row],[коэф]])),
IF((G528="4/8"),((база!$J$5*2*Таблица1[[#This Row],[Столбец1]]*Таблица1[[#This Row],[коэф]])),
IF(OR(G528="3/8",G528="2/8"),((база!$J$4*2*Таблица1[[#This Row],[Столбец1]]*Таблица1[[#This Row],[коэф]])))))))))))))),
(IF((G528="5/24"),((база!$M$6*2*Таблица1[[#This Row],[Столбец1]]*Таблица1[[#This Row],[коэф]])),
IF(OR(G528="4/24",G528="3/24"),((база!$M$5*2*Таблица1[[#This Row],[Столбец1]]*Таблица1[[#This Row],[коэф]])),
IF((G528="5/16"),((база!$L$6*2*Таблица1[[#This Row],[Столбец1]]*Таблица1[[#This Row],[коэф]])),
IF(OR(G528="4/16",G528="3/16"),((база!$L$5*2*Таблица1[[#This Row],[Столбец1]]*Таблица1[[#This Row],[коэф]])),
IF(OR(G528="2/4",G528="3/4",G528="4/4"),((база!$I$5*2*Таблица1[[#This Row],[Столбец1]]*Таблица1[[#This Row],[коэф]])),
IF((G528="5/8"),((база!$J$6*2*Таблица1[[#This Row],[Столбец1]]*Таблица1[[#This Row],[коэф]])),
IF(OR(G528="4/8",G528="3/8",G528="2/8"),((база!$J$5*2*Таблица1[[#This Row],[Столбец1]]*Таблица1[[#This Row],[коэф]])))))))))))</f>
        <v>0</v>
      </c>
      <c r="AQ528" s="712" t="str">
        <f>IFERROR(INDEX(база!T:T, MATCH(F528,база!Q:Q,0)),"")</f>
        <v/>
      </c>
      <c r="AR528" s="208" t="str">
        <f>IFERROR(INDEX(база!D:D, MATCH(F528,база!B:B,0)),"")</f>
        <v/>
      </c>
      <c r="AS528" s="758" t="str">
        <f>IFERROR(INDEX(база!E:E, MATCH(F528,база!B:B,0)),"")</f>
        <v/>
      </c>
    </row>
    <row r="529" spans="1:45" s="46" customFormat="1" ht="15">
      <c r="A529" s="66" t="str">
        <f t="shared" si="10"/>
        <v>январь</v>
      </c>
      <c r="B529" s="231">
        <v>2024</v>
      </c>
      <c r="C529" s="299"/>
      <c r="D529" s="61"/>
      <c r="E529" s="211"/>
      <c r="F529" s="680"/>
      <c r="G529" s="47"/>
      <c r="H529" s="563"/>
      <c r="I529" s="563"/>
      <c r="J529" s="563"/>
      <c r="K529" s="563"/>
      <c r="L529" s="563"/>
      <c r="M529" s="563"/>
      <c r="N529" s="563"/>
      <c r="O529" s="563"/>
      <c r="P529" s="300"/>
      <c r="Q529" s="563"/>
      <c r="R529" s="563"/>
      <c r="S529" s="563"/>
      <c r="T529" s="563"/>
      <c r="U529" s="563"/>
      <c r="V529" s="563"/>
      <c r="W529" s="563"/>
      <c r="X529" s="563"/>
      <c r="Y529" s="563"/>
      <c r="Z529" s="563"/>
      <c r="AA529" s="563"/>
      <c r="AB529" s="563"/>
      <c r="AC529" s="563"/>
      <c r="AD529" s="48"/>
      <c r="AE529" s="48"/>
      <c r="AF529" s="258"/>
      <c r="AG529" s="48"/>
      <c r="AH529" s="48"/>
      <c r="AI529" s="258"/>
      <c r="AJ529" s="258"/>
      <c r="AK529" s="258"/>
      <c r="AL529" s="258"/>
      <c r="AM529" s="212">
        <f>IF(AQ529=1,SUM(Q529:T529,W529:Z529,AC529:AF529,AI529:AL529),
IF(AQ529=2,SUM(P529,S529:V529,Y529:AB529,AE529:AH529,AK529:AL529),
IF(AQ529=3,SUM(P529:R529,U529:X529,AA529:AD529,AG529:AJ529),SUM(Таблица1[[#This Row],[1]:[31]])-Таблица1[[#This Row],[Столбец1]])))</f>
        <v>0</v>
      </c>
      <c r="AN529" s="778">
        <f t="array" ref="AN529">IF(AQ529=1,SUM(P529,U529:V529,AA529:AB529,AG529:AH529),
IF(AQ529=2,SUM(Q529:R529,W529:X529,AC529:AD529,AI529:AJ529),
IF(AQ529=3,SUM(S529:T529,Y529:Z529,AE529:AF529,AK529:AL529),
SUM(IFERROR(WEEKDAY($H$2:$AL$2,2)&gt;5,)*H529:AL529))))+Таблица1[[#This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29" s="292" t="b">
        <f>IF(AR529&lt;=3,(IF((G529="5/24"),((база!$M$6*Таблица1[[#This Row],[сумма]]*Таблица1[[#This Row],[коэф]])),
IF((G529="4/24"),((база!$M$5*Таблица1[[#This Row],[сумма]]*Таблица1[[#This Row],[коэф]])),
IF((G529="3/24"),((база!$M$4*Таблица1[[#This Row],[сумма]]*Таблица1[[#This Row],[коэф]])),
IF((G529="5/16"),((база!$L$6*Таблица1[[#This Row],[сумма]]*Таблица1[[#This Row],[коэф]])),
IF((G529="4/16"),((база!$L$5*Таблица1[[#This Row],[сумма]]*Таблица1[[#This Row],[коэф]])),
IF((G529="3/16"),((база!$L$4*Таблица1[[#This Row],[сумма]]*Таблица1[[#This Row],[коэф]])),
IF((G529="4/4"),((база!$I$5*Таблица1[[#This Row],[сумма]]*Таблица1[[#This Row],[коэф]])),
IF(OR(G529="2/4",G529="3/4"),((база!$I$4*Таблица1[[#This Row],[сумма]]*Таблица1[[#This Row],[коэф]])),
IF((G529="5/8"),((база!$J$6*Таблица1[[#This Row],[сумма]]*Таблица1[[#This Row],[коэф]])),
IF((G529="4/8"),((база!$J$5*Таблица1[[#This Row],[сумма]]*Таблица1[[#This Row],[коэф]])),
IF(OR(G529="3/8",G529="2/8"),((база!$J$4*Таблица1[[#This Row],[сумма]]*Таблица1[[#This Row],[коэф]])))))))))))))),
(IF((G529="5/24"),((база!$M$6*Таблица1[[#This Row],[сумма]]*Таблица1[[#This Row],[коэф]])),
IF(OR(G529="4/24",G529="3/24"),((база!$M$5*Таблица1[[#This Row],[сумма]]*Таблица1[[#This Row],[коэф]])),
IF((G529="5/16"),((база!$L$6*Таблица1[[#This Row],[сумма]]*Таблица1[[#This Row],[коэф]])),
IF(OR(G529="4/16",G529="3/16"),((база!$L$5*Таблица1[[#This Row],[сумма]]*Таблица1[[#This Row],[коэф]])),
IF(OR(G529="2/4",G529="3/4",G529="4/4"),((база!$I$5*Таблица1[[#This Row],[сумма]]*Таблица1[[#This Row],[коэф]])),
IF((G529="5/8"),((база!$J$6*Таблица1[[#This Row],[сумма]]*Таблица1[[#This Row],[коэф]])),
IF(OR(G529="4/8",G529="3/8",G529="2/8"),((база!$J$5*Таблица1[[#This Row],[сумма]]*Таблица1[[#This Row],[коэф]])))))))))))</f>
        <v>0</v>
      </c>
      <c r="AP529" s="730" t="b">
        <f>IF(AR529&lt;=3,(IF((G529="5/24"),((база!$M$6*2*Таблица1[[#This Row],[Столбец1]]*Таблица1[[#This Row],[коэф]])),
IF((G529="4/24"),((база!$M$5*2*Таблица1[[#This Row],[Столбец1]]*Таблица1[[#This Row],[коэф]])),
IF((G529="3/24"),((база!$M$4*2*Таблица1[[#This Row],[Столбец1]]*Таблица1[[#This Row],[коэф]])),
IF((G529="5/16"),((база!$L$6*2*Таблица1[[#This Row],[Столбец1]]*Таблица1[[#This Row],[коэф]])),
IF((G529="4/16"),((база!$L$5*2*Таблица1[[#This Row],[Столбец1]]*Таблица1[[#This Row],[коэф]])),
IF((G529="3/16"),((база!$L$4*2*Таблица1[[#This Row],[Столбец1]]*Таблица1[[#This Row],[коэф]])),
IF((G529="4/4"),((база!$I$5*2*Таблица1[[#This Row],[Столбец1]]*Таблица1[[#This Row],[коэф]])),
IF(OR(G529="2/4",G529="3/4"),((база!$I$4*2*Таблица1[[#This Row],[Столбец1]]*Таблица1[[#This Row],[коэф]])),
IF((G529="5/8"),((база!$J$6*2*Таблица1[[#This Row],[Столбец1]]*Таблица1[[#This Row],[коэф]])),
IF((G529="4/8"),((база!$J$5*2*Таблица1[[#This Row],[Столбец1]]*Таблица1[[#This Row],[коэф]])),
IF(OR(G529="3/8",G529="2/8"),((база!$J$4*2*Таблица1[[#This Row],[Столбец1]]*Таблица1[[#This Row],[коэф]])))))))))))))),
(IF((G529="5/24"),((база!$M$6*2*Таблица1[[#This Row],[Столбец1]]*Таблица1[[#This Row],[коэф]])),
IF(OR(G529="4/24",G529="3/24"),((база!$M$5*2*Таблица1[[#This Row],[Столбец1]]*Таблица1[[#This Row],[коэф]])),
IF((G529="5/16"),((база!$L$6*2*Таблица1[[#This Row],[Столбец1]]*Таблица1[[#This Row],[коэф]])),
IF(OR(G529="4/16",G529="3/16"),((база!$L$5*2*Таблица1[[#This Row],[Столбец1]]*Таблица1[[#This Row],[коэф]])),
IF(OR(G529="2/4",G529="3/4",G529="4/4"),((база!$I$5*2*Таблица1[[#This Row],[Столбец1]]*Таблица1[[#This Row],[коэф]])),
IF((G529="5/8"),((база!$J$6*2*Таблица1[[#This Row],[Столбец1]]*Таблица1[[#This Row],[коэф]])),
IF(OR(G529="4/8",G529="3/8",G529="2/8"),((база!$J$5*2*Таблица1[[#This Row],[Столбец1]]*Таблица1[[#This Row],[коэф]])))))))))))</f>
        <v>0</v>
      </c>
      <c r="AQ529" s="712" t="str">
        <f>IFERROR(INDEX(база!T:T, MATCH(F529,база!Q:Q,0)),"")</f>
        <v/>
      </c>
      <c r="AR529" s="208" t="str">
        <f>IFERROR(INDEX(база!D:D, MATCH(F529,база!B:B,0)),"")</f>
        <v/>
      </c>
      <c r="AS529" s="758" t="str">
        <f>IFERROR(INDEX(база!E:E, MATCH(F529,база!B:B,0)),"")</f>
        <v/>
      </c>
    </row>
    <row r="530" spans="1:45" s="46" customFormat="1" ht="15">
      <c r="A530" s="66" t="str">
        <f t="shared" si="10"/>
        <v>январь</v>
      </c>
      <c r="B530" s="231">
        <v>2024</v>
      </c>
      <c r="C530" s="299"/>
      <c r="D530" s="61"/>
      <c r="E530" s="211"/>
      <c r="F530" s="680"/>
      <c r="G530" s="47"/>
      <c r="H530" s="563"/>
      <c r="I530" s="563"/>
      <c r="J530" s="563"/>
      <c r="K530" s="563"/>
      <c r="L530" s="563"/>
      <c r="M530" s="563"/>
      <c r="N530" s="563"/>
      <c r="O530" s="563"/>
      <c r="P530" s="300"/>
      <c r="Q530" s="563"/>
      <c r="R530" s="563"/>
      <c r="S530" s="563"/>
      <c r="T530" s="563"/>
      <c r="U530" s="563"/>
      <c r="V530" s="563"/>
      <c r="W530" s="563"/>
      <c r="X530" s="563"/>
      <c r="Y530" s="563"/>
      <c r="Z530" s="563"/>
      <c r="AA530" s="563"/>
      <c r="AB530" s="563"/>
      <c r="AC530" s="563"/>
      <c r="AD530" s="48"/>
      <c r="AE530" s="48"/>
      <c r="AF530" s="258"/>
      <c r="AG530" s="48"/>
      <c r="AH530" s="48"/>
      <c r="AI530" s="48"/>
      <c r="AJ530" s="48"/>
      <c r="AK530" s="48"/>
      <c r="AL530" s="51"/>
      <c r="AM530" s="212">
        <f>IF(AQ530=1,SUM(Q530:T530,W530:Z530,AC530:AF530,AI530:AL530),
IF(AQ530=2,SUM(P530,S530:V530,Y530:AB530,AE530:AH530,AK530:AL530),
IF(AQ530=3,SUM(P530:R530,U530:X530,AA530:AD530,AG530:AJ530),SUM(Таблица1[[#This Row],[1]:[31]])-Таблица1[[#This Row],[Столбец1]])))</f>
        <v>0</v>
      </c>
      <c r="AN530" s="778">
        <f t="array" ref="AN530">IF(AQ530=1,SUM(P530,U530:V530,AA530:AB530,AG530:AH530),
IF(AQ530=2,SUM(Q530:R530,W530:X530,AC530:AD530,AI530:AJ530),
IF(AQ530=3,SUM(S530:T530,Y530:Z530,AE530:AF530,AK530:AL530),
SUM(IFERROR(WEEKDAY($H$2:$AL$2,2)&gt;5,)*H530:AL530))))+Таблица1[[#This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30" s="292" t="b">
        <f>IF(AR530&lt;=3,(IF((G530="5/24"),((база!$M$6*Таблица1[[#This Row],[сумма]]*Таблица1[[#This Row],[коэф]])),
IF((G530="4/24"),((база!$M$5*Таблица1[[#This Row],[сумма]]*Таблица1[[#This Row],[коэф]])),
IF((G530="3/24"),((база!$M$4*Таблица1[[#This Row],[сумма]]*Таблица1[[#This Row],[коэф]])),
IF((G530="5/16"),((база!$L$6*Таблица1[[#This Row],[сумма]]*Таблица1[[#This Row],[коэф]])),
IF((G530="4/16"),((база!$L$5*Таблица1[[#This Row],[сумма]]*Таблица1[[#This Row],[коэф]])),
IF((G530="3/16"),((база!$L$4*Таблица1[[#This Row],[сумма]]*Таблица1[[#This Row],[коэф]])),
IF((G530="4/4"),((база!$I$5*Таблица1[[#This Row],[сумма]]*Таблица1[[#This Row],[коэф]])),
IF(OR(G530="2/4",G530="3/4"),((база!$I$4*Таблица1[[#This Row],[сумма]]*Таблица1[[#This Row],[коэф]])),
IF((G530="5/8"),((база!$J$6*Таблица1[[#This Row],[сумма]]*Таблица1[[#This Row],[коэф]])),
IF((G530="4/8"),((база!$J$5*Таблица1[[#This Row],[сумма]]*Таблица1[[#This Row],[коэф]])),
IF(OR(G530="3/8",G530="2/8"),((база!$J$4*Таблица1[[#This Row],[сумма]]*Таблица1[[#This Row],[коэф]])))))))))))))),
(IF((G530="5/24"),((база!$M$6*Таблица1[[#This Row],[сумма]]*Таблица1[[#This Row],[коэф]])),
IF(OR(G530="4/24",G530="3/24"),((база!$M$5*Таблица1[[#This Row],[сумма]]*Таблица1[[#This Row],[коэф]])),
IF((G530="5/16"),((база!$L$6*Таблица1[[#This Row],[сумма]]*Таблица1[[#This Row],[коэф]])),
IF(OR(G530="4/16",G530="3/16"),((база!$L$5*Таблица1[[#This Row],[сумма]]*Таблица1[[#This Row],[коэф]])),
IF(OR(G530="2/4",G530="3/4",G530="4/4"),((база!$I$5*Таблица1[[#This Row],[сумма]]*Таблица1[[#This Row],[коэф]])),
IF((G530="5/8"),((база!$J$6*Таблица1[[#This Row],[сумма]]*Таблица1[[#This Row],[коэф]])),
IF(OR(G530="4/8",G530="3/8",G530="2/8"),((база!$J$5*Таблица1[[#This Row],[сумма]]*Таблица1[[#This Row],[коэф]])))))))))))</f>
        <v>0</v>
      </c>
      <c r="AP530" s="730" t="b">
        <f>IF(AR530&lt;=3,(IF((G530="5/24"),((база!$M$6*2*Таблица1[[#This Row],[Столбец1]]*Таблица1[[#This Row],[коэф]])),
IF((G530="4/24"),((база!$M$5*2*Таблица1[[#This Row],[Столбец1]]*Таблица1[[#This Row],[коэф]])),
IF((G530="3/24"),((база!$M$4*2*Таблица1[[#This Row],[Столбец1]]*Таблица1[[#This Row],[коэф]])),
IF((G530="5/16"),((база!$L$6*2*Таблица1[[#This Row],[Столбец1]]*Таблица1[[#This Row],[коэф]])),
IF((G530="4/16"),((база!$L$5*2*Таблица1[[#This Row],[Столбец1]]*Таблица1[[#This Row],[коэф]])),
IF((G530="3/16"),((база!$L$4*2*Таблица1[[#This Row],[Столбец1]]*Таблица1[[#This Row],[коэф]])),
IF((G530="4/4"),((база!$I$5*2*Таблица1[[#This Row],[Столбец1]]*Таблица1[[#This Row],[коэф]])),
IF(OR(G530="2/4",G530="3/4"),((база!$I$4*2*Таблица1[[#This Row],[Столбец1]]*Таблица1[[#This Row],[коэф]])),
IF((G530="5/8"),((база!$J$6*2*Таблица1[[#This Row],[Столбец1]]*Таблица1[[#This Row],[коэф]])),
IF((G530="4/8"),((база!$J$5*2*Таблица1[[#This Row],[Столбец1]]*Таблица1[[#This Row],[коэф]])),
IF(OR(G530="3/8",G530="2/8"),((база!$J$4*2*Таблица1[[#This Row],[Столбец1]]*Таблица1[[#This Row],[коэф]])))))))))))))),
(IF((G530="5/24"),((база!$M$6*2*Таблица1[[#This Row],[Столбец1]]*Таблица1[[#This Row],[коэф]])),
IF(OR(G530="4/24",G530="3/24"),((база!$M$5*2*Таблица1[[#This Row],[Столбец1]]*Таблица1[[#This Row],[коэф]])),
IF((G530="5/16"),((база!$L$6*2*Таблица1[[#This Row],[Столбец1]]*Таблица1[[#This Row],[коэф]])),
IF(OR(G530="4/16",G530="3/16"),((база!$L$5*2*Таблица1[[#This Row],[Столбец1]]*Таблица1[[#This Row],[коэф]])),
IF(OR(G530="2/4",G530="3/4",G530="4/4"),((база!$I$5*2*Таблица1[[#This Row],[Столбец1]]*Таблица1[[#This Row],[коэф]])),
IF((G530="5/8"),((база!$J$6*2*Таблица1[[#This Row],[Столбец1]]*Таблица1[[#This Row],[коэф]])),
IF(OR(G530="4/8",G530="3/8",G530="2/8"),((база!$J$5*2*Таблица1[[#This Row],[Столбец1]]*Таблица1[[#This Row],[коэф]])))))))))))</f>
        <v>0</v>
      </c>
      <c r="AQ530" s="712" t="str">
        <f>IFERROR(INDEX(база!T:T, MATCH(F530,база!Q:Q,0)),"")</f>
        <v/>
      </c>
      <c r="AR530" s="208" t="str">
        <f>IFERROR(INDEX(база!D:D, MATCH(F530,база!B:B,0)),"")</f>
        <v/>
      </c>
      <c r="AS530" s="758" t="str">
        <f>IFERROR(INDEX(база!E:E, MATCH(F530,база!B:B,0)),"")</f>
        <v/>
      </c>
    </row>
    <row r="531" spans="1:45" s="46" customFormat="1" ht="15">
      <c r="A531" s="66" t="str">
        <f t="shared" si="10"/>
        <v>январь</v>
      </c>
      <c r="B531" s="231">
        <v>2024</v>
      </c>
      <c r="C531" s="60"/>
      <c r="D531" s="61"/>
      <c r="E531" s="211"/>
      <c r="F531" s="680"/>
      <c r="G531" s="47"/>
      <c r="H531" s="563"/>
      <c r="I531" s="563"/>
      <c r="J531" s="563"/>
      <c r="K531" s="563"/>
      <c r="L531" s="563"/>
      <c r="M531" s="563"/>
      <c r="N531" s="563"/>
      <c r="O531" s="563"/>
      <c r="P531" s="300"/>
      <c r="Q531" s="563"/>
      <c r="R531" s="563"/>
      <c r="S531" s="563"/>
      <c r="T531" s="563"/>
      <c r="U531" s="563"/>
      <c r="V531" s="563"/>
      <c r="W531" s="563"/>
      <c r="X531" s="563"/>
      <c r="Y531" s="563"/>
      <c r="Z531" s="563"/>
      <c r="AA531" s="563"/>
      <c r="AB531" s="563"/>
      <c r="AC531" s="563"/>
      <c r="AD531" s="48"/>
      <c r="AE531" s="48"/>
      <c r="AF531" s="258"/>
      <c r="AG531" s="48"/>
      <c r="AH531" s="48"/>
      <c r="AI531" s="258"/>
      <c r="AJ531" s="258"/>
      <c r="AK531" s="258"/>
      <c r="AL531" s="258"/>
      <c r="AM531" s="212">
        <f>IF(AQ531=1,SUM(Q531:T531,W531:Z531,AC531:AF531,AI531:AL531),
IF(AQ531=2,SUM(P531,S531:V531,Y531:AB531,AE531:AH531,AK531:AL531),
IF(AQ531=3,SUM(P531:R531,U531:X531,AA531:AD531,AG531:AJ531),SUM(Таблица1[[#This Row],[1]:[31]])-Таблица1[[#This Row],[Столбец1]])))</f>
        <v>0</v>
      </c>
      <c r="AN531" s="778">
        <f t="array" ref="AN531">IF(AQ531=1,SUM(P531,U531:V531,AA531:AB531,AG531:AH531),
IF(AQ531=2,SUM(Q531:R531,W531:X531,AC531:AD531,AI531:AJ531),
IF(AQ531=3,SUM(S531:T531,Y531:Z531,AE531:AF531,AK531:AL531),
SUM(IFERROR(WEEKDAY($H$2:$AL$2,2)&gt;5,)*H531:AL531))))+Таблица1[[#This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31" s="292" t="b">
        <f>IF(AR531&lt;=3,(IF((G531="5/24"),((база!$M$6*Таблица1[[#This Row],[сумма]]*Таблица1[[#This Row],[коэф]])),
IF((G531="4/24"),((база!$M$5*Таблица1[[#This Row],[сумма]]*Таблица1[[#This Row],[коэф]])),
IF((G531="3/24"),((база!$M$4*Таблица1[[#This Row],[сумма]]*Таблица1[[#This Row],[коэф]])),
IF((G531="5/16"),((база!$L$6*Таблица1[[#This Row],[сумма]]*Таблица1[[#This Row],[коэф]])),
IF((G531="4/16"),((база!$L$5*Таблица1[[#This Row],[сумма]]*Таблица1[[#This Row],[коэф]])),
IF((G531="3/16"),((база!$L$4*Таблица1[[#This Row],[сумма]]*Таблица1[[#This Row],[коэф]])),
IF((G531="4/4"),((база!$I$5*Таблица1[[#This Row],[сумма]]*Таблица1[[#This Row],[коэф]])),
IF(OR(G531="2/4",G531="3/4"),((база!$I$4*Таблица1[[#This Row],[сумма]]*Таблица1[[#This Row],[коэф]])),
IF((G531="5/8"),((база!$J$6*Таблица1[[#This Row],[сумма]]*Таблица1[[#This Row],[коэф]])),
IF((G531="4/8"),((база!$J$5*Таблица1[[#This Row],[сумма]]*Таблица1[[#This Row],[коэф]])),
IF(OR(G531="3/8",G531="2/8"),((база!$J$4*Таблица1[[#This Row],[сумма]]*Таблица1[[#This Row],[коэф]])))))))))))))),
(IF((G531="5/24"),((база!$M$6*Таблица1[[#This Row],[сумма]]*Таблица1[[#This Row],[коэф]])),
IF(OR(G531="4/24",G531="3/24"),((база!$M$5*Таблица1[[#This Row],[сумма]]*Таблица1[[#This Row],[коэф]])),
IF((G531="5/16"),((база!$L$6*Таблица1[[#This Row],[сумма]]*Таблица1[[#This Row],[коэф]])),
IF(OR(G531="4/16",G531="3/16"),((база!$L$5*Таблица1[[#This Row],[сумма]]*Таблица1[[#This Row],[коэф]])),
IF(OR(G531="2/4",G531="3/4",G531="4/4"),((база!$I$5*Таблица1[[#This Row],[сумма]]*Таблица1[[#This Row],[коэф]])),
IF((G531="5/8"),((база!$J$6*Таблица1[[#This Row],[сумма]]*Таблица1[[#This Row],[коэф]])),
IF(OR(G531="4/8",G531="3/8",G531="2/8"),((база!$J$5*Таблица1[[#This Row],[сумма]]*Таблица1[[#This Row],[коэф]])))))))))))</f>
        <v>0</v>
      </c>
      <c r="AP531" s="730" t="b">
        <f>IF(AR531&lt;=3,(IF((G531="5/24"),((база!$M$6*2*Таблица1[[#This Row],[Столбец1]]*Таблица1[[#This Row],[коэф]])),
IF((G531="4/24"),((база!$M$5*2*Таблица1[[#This Row],[Столбец1]]*Таблица1[[#This Row],[коэф]])),
IF((G531="3/24"),((база!$M$4*2*Таблица1[[#This Row],[Столбец1]]*Таблица1[[#This Row],[коэф]])),
IF((G531="5/16"),((база!$L$6*2*Таблица1[[#This Row],[Столбец1]]*Таблица1[[#This Row],[коэф]])),
IF((G531="4/16"),((база!$L$5*2*Таблица1[[#This Row],[Столбец1]]*Таблица1[[#This Row],[коэф]])),
IF((G531="3/16"),((база!$L$4*2*Таблица1[[#This Row],[Столбец1]]*Таблица1[[#This Row],[коэф]])),
IF((G531="4/4"),((база!$I$5*2*Таблица1[[#This Row],[Столбец1]]*Таблица1[[#This Row],[коэф]])),
IF(OR(G531="2/4",G531="3/4"),((база!$I$4*2*Таблица1[[#This Row],[Столбец1]]*Таблица1[[#This Row],[коэф]])),
IF((G531="5/8"),((база!$J$6*2*Таблица1[[#This Row],[Столбец1]]*Таблица1[[#This Row],[коэф]])),
IF((G531="4/8"),((база!$J$5*2*Таблица1[[#This Row],[Столбец1]]*Таблица1[[#This Row],[коэф]])),
IF(OR(G531="3/8",G531="2/8"),((база!$J$4*2*Таблица1[[#This Row],[Столбец1]]*Таблица1[[#This Row],[коэф]])))))))))))))),
(IF((G531="5/24"),((база!$M$6*2*Таблица1[[#This Row],[Столбец1]]*Таблица1[[#This Row],[коэф]])),
IF(OR(G531="4/24",G531="3/24"),((база!$M$5*2*Таблица1[[#This Row],[Столбец1]]*Таблица1[[#This Row],[коэф]])),
IF((G531="5/16"),((база!$L$6*2*Таблица1[[#This Row],[Столбец1]]*Таблица1[[#This Row],[коэф]])),
IF(OR(G531="4/16",G531="3/16"),((база!$L$5*2*Таблица1[[#This Row],[Столбец1]]*Таблица1[[#This Row],[коэф]])),
IF(OR(G531="2/4",G531="3/4",G531="4/4"),((база!$I$5*2*Таблица1[[#This Row],[Столбец1]]*Таблица1[[#This Row],[коэф]])),
IF((G531="5/8"),((база!$J$6*2*Таблица1[[#This Row],[Столбец1]]*Таблица1[[#This Row],[коэф]])),
IF(OR(G531="4/8",G531="3/8",G531="2/8"),((база!$J$5*2*Таблица1[[#This Row],[Столбец1]]*Таблица1[[#This Row],[коэф]])))))))))))</f>
        <v>0</v>
      </c>
      <c r="AQ531" s="712" t="str">
        <f>IFERROR(INDEX(база!T:T, MATCH(F531,база!Q:Q,0)),"")</f>
        <v/>
      </c>
      <c r="AR531" s="208" t="str">
        <f>IFERROR(INDEX(база!D:D, MATCH(F531,база!B:B,0)),"")</f>
        <v/>
      </c>
      <c r="AS531" s="758" t="str">
        <f>IFERROR(INDEX(база!E:E, MATCH(F531,база!B:B,0)),"")</f>
        <v/>
      </c>
    </row>
    <row r="532" spans="1:45" s="46" customFormat="1" ht="15">
      <c r="A532" s="66" t="str">
        <f t="shared" si="10"/>
        <v>январь</v>
      </c>
      <c r="B532" s="231">
        <v>2024</v>
      </c>
      <c r="C532" s="299"/>
      <c r="D532" s="61"/>
      <c r="E532" s="211"/>
      <c r="F532" s="735"/>
      <c r="G532" s="47"/>
      <c r="H532" s="563"/>
      <c r="I532" s="563"/>
      <c r="J532" s="563"/>
      <c r="K532" s="563"/>
      <c r="L532" s="563"/>
      <c r="M532" s="563"/>
      <c r="N532" s="563"/>
      <c r="O532" s="563"/>
      <c r="P532" s="300"/>
      <c r="Q532" s="563"/>
      <c r="R532" s="563"/>
      <c r="S532" s="563"/>
      <c r="T532" s="563"/>
      <c r="U532" s="563"/>
      <c r="V532" s="563"/>
      <c r="W532" s="563"/>
      <c r="X532" s="563"/>
      <c r="Y532" s="563"/>
      <c r="Z532" s="563"/>
      <c r="AA532" s="563"/>
      <c r="AB532" s="563"/>
      <c r="AC532" s="563"/>
      <c r="AD532" s="48"/>
      <c r="AE532" s="48"/>
      <c r="AF532" s="258"/>
      <c r="AG532" s="48"/>
      <c r="AH532" s="48"/>
      <c r="AI532" s="48"/>
      <c r="AJ532" s="48"/>
      <c r="AK532" s="48"/>
      <c r="AL532" s="51"/>
      <c r="AM532" s="212">
        <f>IF(AQ532=1,SUM(Q532:T532,W532:Z532,AC532:AF532,AI532:AL532),
IF(AQ532=2,SUM(P532,S532:V532,Y532:AB532,AE532:AH532,AK532:AL532),
IF(AQ532=3,SUM(P532:R532,U532:X532,AA532:AD532,AG532:AJ532),SUM(Таблица1[[#This Row],[1]:[31]])-Таблица1[[#This Row],[Столбец1]])))</f>
        <v>0</v>
      </c>
      <c r="AN532" s="778">
        <f t="array" ref="AN532">IF(AQ532=1,SUM(P532,U532:V532,AA532:AB532,AG532:AH532),
IF(AQ532=2,SUM(Q532:R532,W532:X532,AC532:AD532,AI532:AJ532),
IF(AQ532=3,SUM(S532:T532,Y532:Z532,AE532:AF532,AK532:AL532),
SUM(IFERROR(WEEKDAY($H$2:$AL$2,2)&gt;5,)*H532:AL532))))+Таблица1[[#This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32" s="292" t="b">
        <f>IF(AR532&lt;=3,(IF((G532="5/24"),((база!$M$6*Таблица1[[#This Row],[сумма]]*Таблица1[[#This Row],[коэф]])),
IF((G532="4/24"),((база!$M$5*Таблица1[[#This Row],[сумма]]*Таблица1[[#This Row],[коэф]])),
IF((G532="3/24"),((база!$M$4*Таблица1[[#This Row],[сумма]]*Таблица1[[#This Row],[коэф]])),
IF((G532="5/16"),((база!$L$6*Таблица1[[#This Row],[сумма]]*Таблица1[[#This Row],[коэф]])),
IF((G532="4/16"),((база!$L$5*Таблица1[[#This Row],[сумма]]*Таблица1[[#This Row],[коэф]])),
IF((G532="3/16"),((база!$L$4*Таблица1[[#This Row],[сумма]]*Таблица1[[#This Row],[коэф]])),
IF((G532="4/4"),((база!$I$5*Таблица1[[#This Row],[сумма]]*Таблица1[[#This Row],[коэф]])),
IF(OR(G532="2/4",G532="3/4"),((база!$I$4*Таблица1[[#This Row],[сумма]]*Таблица1[[#This Row],[коэф]])),
IF((G532="5/8"),((база!$J$6*Таблица1[[#This Row],[сумма]]*Таблица1[[#This Row],[коэф]])),
IF((G532="4/8"),((база!$J$5*Таблица1[[#This Row],[сумма]]*Таблица1[[#This Row],[коэф]])),
IF(OR(G532="3/8",G532="2/8"),((база!$J$4*Таблица1[[#This Row],[сумма]]*Таблица1[[#This Row],[коэф]])))))))))))))),
(IF((G532="5/24"),((база!$M$6*Таблица1[[#This Row],[сумма]]*Таблица1[[#This Row],[коэф]])),
IF(OR(G532="4/24",G532="3/24"),((база!$M$5*Таблица1[[#This Row],[сумма]]*Таблица1[[#This Row],[коэф]])),
IF((G532="5/16"),((база!$L$6*Таблица1[[#This Row],[сумма]]*Таблица1[[#This Row],[коэф]])),
IF(OR(G532="4/16",G532="3/16"),((база!$L$5*Таблица1[[#This Row],[сумма]]*Таблица1[[#This Row],[коэф]])),
IF(OR(G532="2/4",G532="3/4",G532="4/4"),((база!$I$5*Таблица1[[#This Row],[сумма]]*Таблица1[[#This Row],[коэф]])),
IF((G532="5/8"),((база!$J$6*Таблица1[[#This Row],[сумма]]*Таблица1[[#This Row],[коэф]])),
IF(OR(G532="4/8",G532="3/8",G532="2/8"),((база!$J$5*Таблица1[[#This Row],[сумма]]*Таблица1[[#This Row],[коэф]])))))))))))</f>
        <v>0</v>
      </c>
      <c r="AP532" s="730" t="b">
        <f>IF(AR532&lt;=3,(IF((G532="5/24"),((база!$M$6*2*Таблица1[[#This Row],[Столбец1]]*Таблица1[[#This Row],[коэф]])),
IF((G532="4/24"),((база!$M$5*2*Таблица1[[#This Row],[Столбец1]]*Таблица1[[#This Row],[коэф]])),
IF((G532="3/24"),((база!$M$4*2*Таблица1[[#This Row],[Столбец1]]*Таблица1[[#This Row],[коэф]])),
IF((G532="5/16"),((база!$L$6*2*Таблица1[[#This Row],[Столбец1]]*Таблица1[[#This Row],[коэф]])),
IF((G532="4/16"),((база!$L$5*2*Таблица1[[#This Row],[Столбец1]]*Таблица1[[#This Row],[коэф]])),
IF((G532="3/16"),((база!$L$4*2*Таблица1[[#This Row],[Столбец1]]*Таблица1[[#This Row],[коэф]])),
IF((G532="4/4"),((база!$I$5*2*Таблица1[[#This Row],[Столбец1]]*Таблица1[[#This Row],[коэф]])),
IF(OR(G532="2/4",G532="3/4"),((база!$I$4*2*Таблица1[[#This Row],[Столбец1]]*Таблица1[[#This Row],[коэф]])),
IF((G532="5/8"),((база!$J$6*2*Таблица1[[#This Row],[Столбец1]]*Таблица1[[#This Row],[коэф]])),
IF((G532="4/8"),((база!$J$5*2*Таблица1[[#This Row],[Столбец1]]*Таблица1[[#This Row],[коэф]])),
IF(OR(G532="3/8",G532="2/8"),((база!$J$4*2*Таблица1[[#This Row],[Столбец1]]*Таблица1[[#This Row],[коэф]])))))))))))))),
(IF((G532="5/24"),((база!$M$6*2*Таблица1[[#This Row],[Столбец1]]*Таблица1[[#This Row],[коэф]])),
IF(OR(G532="4/24",G532="3/24"),((база!$M$5*2*Таблица1[[#This Row],[Столбец1]]*Таблица1[[#This Row],[коэф]])),
IF((G532="5/16"),((база!$L$6*2*Таблица1[[#This Row],[Столбец1]]*Таблица1[[#This Row],[коэф]])),
IF(OR(G532="4/16",G532="3/16"),((база!$L$5*2*Таблица1[[#This Row],[Столбец1]]*Таблица1[[#This Row],[коэф]])),
IF(OR(G532="2/4",G532="3/4",G532="4/4"),((база!$I$5*2*Таблица1[[#This Row],[Столбец1]]*Таблица1[[#This Row],[коэф]])),
IF((G532="5/8"),((база!$J$6*2*Таблица1[[#This Row],[Столбец1]]*Таблица1[[#This Row],[коэф]])),
IF(OR(G532="4/8",G532="3/8",G532="2/8"),((база!$J$5*2*Таблица1[[#This Row],[Столбец1]]*Таблица1[[#This Row],[коэф]])))))))))))</f>
        <v>0</v>
      </c>
      <c r="AQ532" s="712" t="str">
        <f>IFERROR(INDEX(база!T:T, MATCH(F533,база!Q:Q,0)),"")</f>
        <v/>
      </c>
      <c r="AR532" s="208" t="str">
        <f>IFERROR(INDEX(база!D:D, MATCH(F533,база!B:B,0)),"")</f>
        <v/>
      </c>
      <c r="AS532" s="758" t="str">
        <f>IFERROR(INDEX(база!E:E, MATCH(F532,база!B:B,0)),"")</f>
        <v/>
      </c>
    </row>
    <row r="533" spans="1:45" s="46" customFormat="1" ht="15">
      <c r="A533" s="66" t="str">
        <f t="shared" si="10"/>
        <v>январь</v>
      </c>
      <c r="B533" s="231">
        <v>2024</v>
      </c>
      <c r="C533" s="299"/>
      <c r="D533" s="61"/>
      <c r="E533" s="211"/>
      <c r="F533" s="680"/>
      <c r="G533" s="47"/>
      <c r="H533" s="563"/>
      <c r="I533" s="563"/>
      <c r="J533" s="563"/>
      <c r="K533" s="563"/>
      <c r="L533" s="563"/>
      <c r="M533" s="563"/>
      <c r="N533" s="563"/>
      <c r="O533" s="563"/>
      <c r="P533" s="300"/>
      <c r="Q533" s="563"/>
      <c r="R533" s="563"/>
      <c r="S533" s="563"/>
      <c r="T533" s="563"/>
      <c r="U533" s="563"/>
      <c r="V533" s="563"/>
      <c r="W533" s="563"/>
      <c r="X533" s="563"/>
      <c r="Y533" s="563"/>
      <c r="Z533" s="563"/>
      <c r="AA533" s="563"/>
      <c r="AB533" s="563"/>
      <c r="AC533" s="563"/>
      <c r="AD533" s="48"/>
      <c r="AE533" s="48"/>
      <c r="AF533" s="258"/>
      <c r="AG533" s="48"/>
      <c r="AH533" s="48"/>
      <c r="AI533" s="258"/>
      <c r="AJ533" s="258"/>
      <c r="AK533" s="258"/>
      <c r="AL533" s="258"/>
      <c r="AM533" s="212">
        <f>IF(AQ533=1,SUM(Q533:T533,W533:Z533,AC533:AF533,AI533:AL533),
IF(AQ533=2,SUM(P533,S533:V533,Y533:AB533,AE533:AH533,AK533:AL533),
IF(AQ533=3,SUM(P533:R533,U533:X533,AA533:AD533,AG533:AJ533),SUM(Таблица1[[#This Row],[1]:[31]])-Таблица1[[#This Row],[Столбец1]])))</f>
        <v>0</v>
      </c>
      <c r="AN533" s="778">
        <f t="array" ref="AN533">IF(AQ533=1,SUM(P533,U533:V533,AA533:AB533,AG533:AH533),
IF(AQ533=2,SUM(Q533:R533,W533:X533,AC533:AD533,AI533:AJ533),
IF(AQ533=3,SUM(S533:T533,Y533:Z533,AE533:AF533,AK533:AL533),
SUM(IFERROR(WEEKDAY($H$2:$AL$2,2)&gt;5,)*H533:AL533))))+Таблица1[[#This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33" s="292" t="b">
        <f>IF(AR533&lt;=3,(IF((G533="5/24"),((база!$M$6*Таблица1[[#This Row],[сумма]]*Таблица1[[#This Row],[коэф]])),
IF((G533="4/24"),((база!$M$5*Таблица1[[#This Row],[сумма]]*Таблица1[[#This Row],[коэф]])),
IF((G533="3/24"),((база!$M$4*Таблица1[[#This Row],[сумма]]*Таблица1[[#This Row],[коэф]])),
IF((G533="5/16"),((база!$L$6*Таблица1[[#This Row],[сумма]]*Таблица1[[#This Row],[коэф]])),
IF((G533="4/16"),((база!$L$5*Таблица1[[#This Row],[сумма]]*Таблица1[[#This Row],[коэф]])),
IF((G533="3/16"),((база!$L$4*Таблица1[[#This Row],[сумма]]*Таблица1[[#This Row],[коэф]])),
IF((G533="4/4"),((база!$I$5*Таблица1[[#This Row],[сумма]]*Таблица1[[#This Row],[коэф]])),
IF(OR(G533="2/4",G533="3/4"),((база!$I$4*Таблица1[[#This Row],[сумма]]*Таблица1[[#This Row],[коэф]])),
IF((G533="5/8"),((база!$J$6*Таблица1[[#This Row],[сумма]]*Таблица1[[#This Row],[коэф]])),
IF((G533="4/8"),((база!$J$5*Таблица1[[#This Row],[сумма]]*Таблица1[[#This Row],[коэф]])),
IF(OR(G533="3/8",G533="2/8"),((база!$J$4*Таблица1[[#This Row],[сумма]]*Таблица1[[#This Row],[коэф]])))))))))))))),
(IF((G533="5/24"),((база!$M$6*Таблица1[[#This Row],[сумма]]*Таблица1[[#This Row],[коэф]])),
IF(OR(G533="4/24",G533="3/24"),((база!$M$5*Таблица1[[#This Row],[сумма]]*Таблица1[[#This Row],[коэф]])),
IF((G533="5/16"),((база!$L$6*Таблица1[[#This Row],[сумма]]*Таблица1[[#This Row],[коэф]])),
IF(OR(G533="4/16",G533="3/16"),((база!$L$5*Таблица1[[#This Row],[сумма]]*Таблица1[[#This Row],[коэф]])),
IF(OR(G533="2/4",G533="3/4",G533="4/4"),((база!$I$5*Таблица1[[#This Row],[сумма]]*Таблица1[[#This Row],[коэф]])),
IF((G533="5/8"),((база!$J$6*Таблица1[[#This Row],[сумма]]*Таблица1[[#This Row],[коэф]])),
IF(OR(G533="4/8",G533="3/8",G533="2/8"),((база!$J$5*Таблица1[[#This Row],[сумма]]*Таблица1[[#This Row],[коэф]])))))))))))</f>
        <v>0</v>
      </c>
      <c r="AP533" s="730" t="b">
        <f>IF(AR533&lt;=3,(IF((G533="5/24"),((база!$M$6*2*Таблица1[[#This Row],[Столбец1]]*Таблица1[[#This Row],[коэф]])),
IF((G533="4/24"),((база!$M$5*2*Таблица1[[#This Row],[Столбец1]]*Таблица1[[#This Row],[коэф]])),
IF((G533="3/24"),((база!$M$4*2*Таблица1[[#This Row],[Столбец1]]*Таблица1[[#This Row],[коэф]])),
IF((G533="5/16"),((база!$L$6*2*Таблица1[[#This Row],[Столбец1]]*Таблица1[[#This Row],[коэф]])),
IF((G533="4/16"),((база!$L$5*2*Таблица1[[#This Row],[Столбец1]]*Таблица1[[#This Row],[коэф]])),
IF((G533="3/16"),((база!$L$4*2*Таблица1[[#This Row],[Столбец1]]*Таблица1[[#This Row],[коэф]])),
IF((G533="4/4"),((база!$I$5*2*Таблица1[[#This Row],[Столбец1]]*Таблица1[[#This Row],[коэф]])),
IF(OR(G533="2/4",G533="3/4"),((база!$I$4*2*Таблица1[[#This Row],[Столбец1]]*Таблица1[[#This Row],[коэф]])),
IF((G533="5/8"),((база!$J$6*2*Таблица1[[#This Row],[Столбец1]]*Таблица1[[#This Row],[коэф]])),
IF((G533="4/8"),((база!$J$5*2*Таблица1[[#This Row],[Столбец1]]*Таблица1[[#This Row],[коэф]])),
IF(OR(G533="3/8",G533="2/8"),((база!$J$4*2*Таблица1[[#This Row],[Столбец1]]*Таблица1[[#This Row],[коэф]])))))))))))))),
(IF((G533="5/24"),((база!$M$6*2*Таблица1[[#This Row],[Столбец1]]*Таблица1[[#This Row],[коэф]])),
IF(OR(G533="4/24",G533="3/24"),((база!$M$5*2*Таблица1[[#This Row],[Столбец1]]*Таблица1[[#This Row],[коэф]])),
IF((G533="5/16"),((база!$L$6*2*Таблица1[[#This Row],[Столбец1]]*Таблица1[[#This Row],[коэф]])),
IF(OR(G533="4/16",G533="3/16"),((база!$L$5*2*Таблица1[[#This Row],[Столбец1]]*Таблица1[[#This Row],[коэф]])),
IF(OR(G533="2/4",G533="3/4",G533="4/4"),((база!$I$5*2*Таблица1[[#This Row],[Столбец1]]*Таблица1[[#This Row],[коэф]])),
IF((G533="5/8"),((база!$J$6*2*Таблица1[[#This Row],[Столбец1]]*Таблица1[[#This Row],[коэф]])),
IF(OR(G533="4/8",G533="3/8",G533="2/8"),((база!$J$5*2*Таблица1[[#This Row],[Столбец1]]*Таблица1[[#This Row],[коэф]])))))))))))</f>
        <v>0</v>
      </c>
      <c r="AQ533" s="712" t="str">
        <f>IFERROR(INDEX(база!T:T, MATCH(#REF!,база!Q:Q,0)),"")</f>
        <v/>
      </c>
      <c r="AR533" s="208" t="str">
        <f>IFERROR(INDEX(база!D:D, MATCH(#REF!,база!B:B,0)),"")</f>
        <v/>
      </c>
      <c r="AS533" s="758" t="str">
        <f>IFERROR(INDEX(база!E:E, MATCH(F533,база!B:B,0)),"")</f>
        <v/>
      </c>
    </row>
    <row r="534" spans="1:45" s="46" customFormat="1" ht="15">
      <c r="A534" s="66" t="str">
        <f t="shared" si="10"/>
        <v>январь</v>
      </c>
      <c r="B534" s="231">
        <v>2024</v>
      </c>
      <c r="C534" s="299"/>
      <c r="D534" s="61"/>
      <c r="E534" s="211"/>
      <c r="F534" s="680"/>
      <c r="G534" s="47"/>
      <c r="H534" s="563"/>
      <c r="I534" s="563"/>
      <c r="J534" s="563"/>
      <c r="K534" s="563"/>
      <c r="L534" s="563"/>
      <c r="M534" s="563"/>
      <c r="N534" s="563"/>
      <c r="O534" s="563"/>
      <c r="P534" s="300"/>
      <c r="Q534" s="563"/>
      <c r="R534" s="563"/>
      <c r="S534" s="563"/>
      <c r="T534" s="563"/>
      <c r="U534" s="563"/>
      <c r="V534" s="563"/>
      <c r="W534" s="563"/>
      <c r="X534" s="563"/>
      <c r="Y534" s="563"/>
      <c r="Z534" s="563"/>
      <c r="AA534" s="563"/>
      <c r="AB534" s="563"/>
      <c r="AC534" s="563"/>
      <c r="AD534" s="48"/>
      <c r="AE534" s="48"/>
      <c r="AF534" s="258"/>
      <c r="AG534" s="48"/>
      <c r="AH534" s="48"/>
      <c r="AI534" s="48"/>
      <c r="AJ534" s="48"/>
      <c r="AK534" s="48"/>
      <c r="AL534" s="51"/>
      <c r="AM534" s="212">
        <f>IF(AQ534=1,SUM(Q534:T534,W534:Z534,AC534:AF534,AI534:AL534),
IF(AQ534=2,SUM(P534,S534:V534,Y534:AB534,AE534:AH534,AK534:AL534),
IF(AQ534=3,SUM(P534:R534,U534:X534,AA534:AD534,AG534:AJ534),SUM(Таблица1[[#This Row],[1]:[31]])-Таблица1[[#This Row],[Столбец1]])))</f>
        <v>0</v>
      </c>
      <c r="AN534" s="778">
        <f t="array" ref="AN534">IF(AQ534=1,SUM(P534,U534:V534,AA534:AB534,AG534:AH534),
IF(AQ534=2,SUM(Q534:R534,W534:X534,AC534:AD534,AI534:AJ534),
IF(AQ534=3,SUM(S534:T534,Y534:Z534,AE534:AF534,AK534:AL534),
SUM(IFERROR(WEEKDAY($H$2:$AL$2,2)&gt;5,)*H534:AL534))))+Таблица1[[#This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34" s="292" t="b">
        <f>IF(AR534&lt;=3,(IF((G534="5/24"),((база!$M$6*Таблица1[[#This Row],[сумма]]*Таблица1[[#This Row],[коэф]])),
IF((G534="4/24"),((база!$M$5*Таблица1[[#This Row],[сумма]]*Таблица1[[#This Row],[коэф]])),
IF((G534="3/24"),((база!$M$4*Таблица1[[#This Row],[сумма]]*Таблица1[[#This Row],[коэф]])),
IF((G534="5/16"),((база!$L$6*Таблица1[[#This Row],[сумма]]*Таблица1[[#This Row],[коэф]])),
IF((G534="4/16"),((база!$L$5*Таблица1[[#This Row],[сумма]]*Таблица1[[#This Row],[коэф]])),
IF((G534="3/16"),((база!$L$4*Таблица1[[#This Row],[сумма]]*Таблица1[[#This Row],[коэф]])),
IF((G534="4/4"),((база!$I$5*Таблица1[[#This Row],[сумма]]*Таблица1[[#This Row],[коэф]])),
IF(OR(G534="2/4",G534="3/4"),((база!$I$4*Таблица1[[#This Row],[сумма]]*Таблица1[[#This Row],[коэф]])),
IF((G534="5/8"),((база!$J$6*Таблица1[[#This Row],[сумма]]*Таблица1[[#This Row],[коэф]])),
IF((G534="4/8"),((база!$J$5*Таблица1[[#This Row],[сумма]]*Таблица1[[#This Row],[коэф]])),
IF(OR(G534="3/8",G534="2/8"),((база!$J$4*Таблица1[[#This Row],[сумма]]*Таблица1[[#This Row],[коэф]])))))))))))))),
(IF((G534="5/24"),((база!$M$6*Таблица1[[#This Row],[сумма]]*Таблица1[[#This Row],[коэф]])),
IF(OR(G534="4/24",G534="3/24"),((база!$M$5*Таблица1[[#This Row],[сумма]]*Таблица1[[#This Row],[коэф]])),
IF((G534="5/16"),((база!$L$6*Таблица1[[#This Row],[сумма]]*Таблица1[[#This Row],[коэф]])),
IF(OR(G534="4/16",G534="3/16"),((база!$L$5*Таблица1[[#This Row],[сумма]]*Таблица1[[#This Row],[коэф]])),
IF(OR(G534="2/4",G534="3/4",G534="4/4"),((база!$I$5*Таблица1[[#This Row],[сумма]]*Таблица1[[#This Row],[коэф]])),
IF((G534="5/8"),((база!$J$6*Таблица1[[#This Row],[сумма]]*Таблица1[[#This Row],[коэф]])),
IF(OR(G534="4/8",G534="3/8",G534="2/8"),((база!$J$5*Таблица1[[#This Row],[сумма]]*Таблица1[[#This Row],[коэф]])))))))))))</f>
        <v>0</v>
      </c>
      <c r="AP534" s="730" t="b">
        <f>IF(AR534&lt;=3,(IF((G534="5/24"),((база!$M$6*2*Таблица1[[#This Row],[Столбец1]]*Таблица1[[#This Row],[коэф]])),
IF((G534="4/24"),((база!$M$5*2*Таблица1[[#This Row],[Столбец1]]*Таблица1[[#This Row],[коэф]])),
IF((G534="3/24"),((база!$M$4*2*Таблица1[[#This Row],[Столбец1]]*Таблица1[[#This Row],[коэф]])),
IF((G534="5/16"),((база!$L$6*2*Таблица1[[#This Row],[Столбец1]]*Таблица1[[#This Row],[коэф]])),
IF((G534="4/16"),((база!$L$5*2*Таблица1[[#This Row],[Столбец1]]*Таблица1[[#This Row],[коэф]])),
IF((G534="3/16"),((база!$L$4*2*Таблица1[[#This Row],[Столбец1]]*Таблица1[[#This Row],[коэф]])),
IF((G534="4/4"),((база!$I$5*2*Таблица1[[#This Row],[Столбец1]]*Таблица1[[#This Row],[коэф]])),
IF(OR(G534="2/4",G534="3/4"),((база!$I$4*2*Таблица1[[#This Row],[Столбец1]]*Таблица1[[#This Row],[коэф]])),
IF((G534="5/8"),((база!$J$6*2*Таблица1[[#This Row],[Столбец1]]*Таблица1[[#This Row],[коэф]])),
IF((G534="4/8"),((база!$J$5*2*Таблица1[[#This Row],[Столбец1]]*Таблица1[[#This Row],[коэф]])),
IF(OR(G534="3/8",G534="2/8"),((база!$J$4*2*Таблица1[[#This Row],[Столбец1]]*Таблица1[[#This Row],[коэф]])))))))))))))),
(IF((G534="5/24"),((база!$M$6*2*Таблица1[[#This Row],[Столбец1]]*Таблица1[[#This Row],[коэф]])),
IF(OR(G534="4/24",G534="3/24"),((база!$M$5*2*Таблица1[[#This Row],[Столбец1]]*Таблица1[[#This Row],[коэф]])),
IF((G534="5/16"),((база!$L$6*2*Таблица1[[#This Row],[Столбец1]]*Таблица1[[#This Row],[коэф]])),
IF(OR(G534="4/16",G534="3/16"),((база!$L$5*2*Таблица1[[#This Row],[Столбец1]]*Таблица1[[#This Row],[коэф]])),
IF(OR(G534="2/4",G534="3/4",G534="4/4"),((база!$I$5*2*Таблица1[[#This Row],[Столбец1]]*Таблица1[[#This Row],[коэф]])),
IF((G534="5/8"),((база!$J$6*2*Таблица1[[#This Row],[Столбец1]]*Таблица1[[#This Row],[коэф]])),
IF(OR(G534="4/8",G534="3/8",G534="2/8"),((база!$J$5*2*Таблица1[[#This Row],[Столбец1]]*Таблица1[[#This Row],[коэф]])))))))))))</f>
        <v>0</v>
      </c>
      <c r="AQ534" s="712" t="str">
        <f>IFERROR(INDEX(база!T:T, MATCH(F534,база!Q:Q,0)),"")</f>
        <v/>
      </c>
      <c r="AR534" s="208" t="str">
        <f>IFERROR(INDEX(база!D:D, MATCH(F534,база!B:B,0)),"")</f>
        <v/>
      </c>
      <c r="AS534" s="758" t="str">
        <f>IFERROR(INDEX(база!E:E, MATCH(F534,база!B:B,0)),"")</f>
        <v/>
      </c>
    </row>
    <row r="535" spans="1:45" s="46" customFormat="1" ht="15">
      <c r="A535" s="66" t="str">
        <f t="shared" si="10"/>
        <v>январь</v>
      </c>
      <c r="B535" s="231">
        <v>2024</v>
      </c>
      <c r="C535" s="299"/>
      <c r="D535" s="61"/>
      <c r="E535" s="211"/>
      <c r="F535" s="680"/>
      <c r="G535" s="47"/>
      <c r="H535" s="563"/>
      <c r="I535" s="563"/>
      <c r="J535" s="563"/>
      <c r="K535" s="563"/>
      <c r="L535" s="563"/>
      <c r="M535" s="563"/>
      <c r="N535" s="563"/>
      <c r="O535" s="563"/>
      <c r="P535" s="300"/>
      <c r="Q535" s="563"/>
      <c r="R535" s="563"/>
      <c r="S535" s="563"/>
      <c r="T535" s="563"/>
      <c r="U535" s="563"/>
      <c r="V535" s="563"/>
      <c r="W535" s="563"/>
      <c r="X535" s="563"/>
      <c r="Y535" s="563"/>
      <c r="Z535" s="563"/>
      <c r="AA535" s="563"/>
      <c r="AB535" s="563"/>
      <c r="AC535" s="563"/>
      <c r="AD535" s="48"/>
      <c r="AE535" s="48"/>
      <c r="AF535" s="258"/>
      <c r="AG535" s="48"/>
      <c r="AH535" s="48"/>
      <c r="AI535" s="258"/>
      <c r="AJ535" s="258"/>
      <c r="AK535" s="258"/>
      <c r="AL535" s="258"/>
      <c r="AM535" s="212">
        <f>IF(AQ535=1,SUM(Q535:T535,W535:Z535,AC535:AF535,AI535:AL535),
IF(AQ535=2,SUM(P535,S535:V535,Y535:AB535,AE535:AH535,AK535:AL535),
IF(AQ535=3,SUM(P535:R535,U535:X535,AA535:AD535,AG535:AJ535),SUM(Таблица1[[#This Row],[1]:[31]])-Таблица1[[#This Row],[Столбец1]])))</f>
        <v>0</v>
      </c>
      <c r="AN535" s="778">
        <f t="array" ref="AN535">IF(AQ535=1,SUM(P535,U535:V535,AA535:AB535,AG535:AH535),
IF(AQ535=2,SUM(Q535:R535,W535:X535,AC535:AD535,AI535:AJ535),
IF(AQ535=3,SUM(S535:T535,Y535:Z535,AE535:AF535,AK535:AL535),
SUM(IFERROR(WEEKDAY($H$2:$AL$2,2)&gt;5,)*H535:AL535))))+Таблица1[[#This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35" s="292" t="b">
        <f>IF(AR535&lt;=3,(IF((G535="5/24"),((база!$M$6*Таблица1[[#This Row],[сумма]]*Таблица1[[#This Row],[коэф]])),
IF((G535="4/24"),((база!$M$5*Таблица1[[#This Row],[сумма]]*Таблица1[[#This Row],[коэф]])),
IF((G535="3/24"),((база!$M$4*Таблица1[[#This Row],[сумма]]*Таблица1[[#This Row],[коэф]])),
IF((G535="5/16"),((база!$L$6*Таблица1[[#This Row],[сумма]]*Таблица1[[#This Row],[коэф]])),
IF((G535="4/16"),((база!$L$5*Таблица1[[#This Row],[сумма]]*Таблица1[[#This Row],[коэф]])),
IF((G535="3/16"),((база!$L$4*Таблица1[[#This Row],[сумма]]*Таблица1[[#This Row],[коэф]])),
IF((G535="4/4"),((база!$I$5*Таблица1[[#This Row],[сумма]]*Таблица1[[#This Row],[коэф]])),
IF(OR(G535="2/4",G535="3/4"),((база!$I$4*Таблица1[[#This Row],[сумма]]*Таблица1[[#This Row],[коэф]])),
IF((G535="5/8"),((база!$J$6*Таблица1[[#This Row],[сумма]]*Таблица1[[#This Row],[коэф]])),
IF((G535="4/8"),((база!$J$5*Таблица1[[#This Row],[сумма]]*Таблица1[[#This Row],[коэф]])),
IF(OR(G535="3/8",G535="2/8"),((база!$J$4*Таблица1[[#This Row],[сумма]]*Таблица1[[#This Row],[коэф]])))))))))))))),
(IF((G535="5/24"),((база!$M$6*Таблица1[[#This Row],[сумма]]*Таблица1[[#This Row],[коэф]])),
IF(OR(G535="4/24",G535="3/24"),((база!$M$5*Таблица1[[#This Row],[сумма]]*Таблица1[[#This Row],[коэф]])),
IF((G535="5/16"),((база!$L$6*Таблица1[[#This Row],[сумма]]*Таблица1[[#This Row],[коэф]])),
IF(OR(G535="4/16",G535="3/16"),((база!$L$5*Таблица1[[#This Row],[сумма]]*Таблица1[[#This Row],[коэф]])),
IF(OR(G535="2/4",G535="3/4",G535="4/4"),((база!$I$5*Таблица1[[#This Row],[сумма]]*Таблица1[[#This Row],[коэф]])),
IF((G535="5/8"),((база!$J$6*Таблица1[[#This Row],[сумма]]*Таблица1[[#This Row],[коэф]])),
IF(OR(G535="4/8",G535="3/8",G535="2/8"),((база!$J$5*Таблица1[[#This Row],[сумма]]*Таблица1[[#This Row],[коэф]])))))))))))</f>
        <v>0</v>
      </c>
      <c r="AP535" s="730" t="b">
        <f>IF(AR535&lt;=3,(IF((G535="5/24"),((база!$M$6*2*Таблица1[[#This Row],[Столбец1]]*Таблица1[[#This Row],[коэф]])),
IF((G535="4/24"),((база!$M$5*2*Таблица1[[#This Row],[Столбец1]]*Таблица1[[#This Row],[коэф]])),
IF((G535="3/24"),((база!$M$4*2*Таблица1[[#This Row],[Столбец1]]*Таблица1[[#This Row],[коэф]])),
IF((G535="5/16"),((база!$L$6*2*Таблица1[[#This Row],[Столбец1]]*Таблица1[[#This Row],[коэф]])),
IF((G535="4/16"),((база!$L$5*2*Таблица1[[#This Row],[Столбец1]]*Таблица1[[#This Row],[коэф]])),
IF((G535="3/16"),((база!$L$4*2*Таблица1[[#This Row],[Столбец1]]*Таблица1[[#This Row],[коэф]])),
IF((G535="4/4"),((база!$I$5*2*Таблица1[[#This Row],[Столбец1]]*Таблица1[[#This Row],[коэф]])),
IF(OR(G535="2/4",G535="3/4"),((база!$I$4*2*Таблица1[[#This Row],[Столбец1]]*Таблица1[[#This Row],[коэф]])),
IF((G535="5/8"),((база!$J$6*2*Таблица1[[#This Row],[Столбец1]]*Таблица1[[#This Row],[коэф]])),
IF((G535="4/8"),((база!$J$5*2*Таблица1[[#This Row],[Столбец1]]*Таблица1[[#This Row],[коэф]])),
IF(OR(G535="3/8",G535="2/8"),((база!$J$4*2*Таблица1[[#This Row],[Столбец1]]*Таблица1[[#This Row],[коэф]])))))))))))))),
(IF((G535="5/24"),((база!$M$6*2*Таблица1[[#This Row],[Столбец1]]*Таблица1[[#This Row],[коэф]])),
IF(OR(G535="4/24",G535="3/24"),((база!$M$5*2*Таблица1[[#This Row],[Столбец1]]*Таблица1[[#This Row],[коэф]])),
IF((G535="5/16"),((база!$L$6*2*Таблица1[[#This Row],[Столбец1]]*Таблица1[[#This Row],[коэф]])),
IF(OR(G535="4/16",G535="3/16"),((база!$L$5*2*Таблица1[[#This Row],[Столбец1]]*Таблица1[[#This Row],[коэф]])),
IF(OR(G535="2/4",G535="3/4",G535="4/4"),((база!$I$5*2*Таблица1[[#This Row],[Столбец1]]*Таблица1[[#This Row],[коэф]])),
IF((G535="5/8"),((база!$J$6*2*Таблица1[[#This Row],[Столбец1]]*Таблица1[[#This Row],[коэф]])),
IF(OR(G535="4/8",G535="3/8",G535="2/8"),((база!$J$5*2*Таблица1[[#This Row],[Столбец1]]*Таблица1[[#This Row],[коэф]])))))))))))</f>
        <v>0</v>
      </c>
      <c r="AQ535" s="712" t="str">
        <f>IFERROR(INDEX(база!T:T, MATCH(F535,база!Q:Q,0)),"")</f>
        <v/>
      </c>
      <c r="AR535" s="208" t="str">
        <f>IFERROR(INDEX(база!D:D, MATCH(F535,база!B:B,0)),"")</f>
        <v/>
      </c>
      <c r="AS535" s="758" t="str">
        <f>IFERROR(INDEX(база!E:E, MATCH(F535,база!B:B,0)),"")</f>
        <v/>
      </c>
    </row>
    <row r="536" spans="1:45" s="46" customFormat="1" ht="15">
      <c r="A536" s="66" t="str">
        <f t="shared" si="10"/>
        <v>январь</v>
      </c>
      <c r="B536" s="231">
        <v>2024</v>
      </c>
      <c r="C536" s="299"/>
      <c r="D536" s="61"/>
      <c r="E536" s="211"/>
      <c r="F536" s="680"/>
      <c r="G536" s="47"/>
      <c r="H536" s="563"/>
      <c r="I536" s="563"/>
      <c r="J536" s="563"/>
      <c r="K536" s="563"/>
      <c r="L536" s="563"/>
      <c r="M536" s="563"/>
      <c r="N536" s="563"/>
      <c r="O536" s="563"/>
      <c r="P536" s="300"/>
      <c r="Q536" s="563"/>
      <c r="R536" s="563"/>
      <c r="S536" s="563"/>
      <c r="T536" s="563"/>
      <c r="U536" s="563"/>
      <c r="V536" s="563"/>
      <c r="W536" s="563"/>
      <c r="X536" s="563"/>
      <c r="Y536" s="563"/>
      <c r="Z536" s="563"/>
      <c r="AA536" s="563"/>
      <c r="AB536" s="563"/>
      <c r="AC536" s="563"/>
      <c r="AD536" s="48"/>
      <c r="AE536" s="48"/>
      <c r="AF536" s="258"/>
      <c r="AG536" s="48"/>
      <c r="AH536" s="48"/>
      <c r="AI536" s="48"/>
      <c r="AJ536" s="48"/>
      <c r="AK536" s="48"/>
      <c r="AL536" s="51"/>
      <c r="AM536" s="212">
        <f>IF(AQ536=1,SUM(Q536:T536,W536:Z536,AC536:AF536,AI536:AL536),
IF(AQ536=2,SUM(P536,S536:V536,Y536:AB536,AE536:AH536,AK536:AL536),
IF(AQ536=3,SUM(P536:R536,U536:X536,AA536:AD536,AG536:AJ536),SUM(Таблица1[[#This Row],[1]:[31]])-Таблица1[[#This Row],[Столбец1]])))</f>
        <v>0</v>
      </c>
      <c r="AN536" s="778">
        <f t="array" ref="AN536">IF(AQ536=1,SUM(P536,U536:V536,AA536:AB536,AG536:AH536),
IF(AQ536=2,SUM(Q536:R536,W536:X536,AC536:AD536,AI536:AJ536),
IF(AQ536=3,SUM(S536:T536,Y536:Z536,AE536:AF536,AK536:AL536),
SUM(IFERROR(WEEKDAY($H$2:$AL$2,2)&gt;5,)*H536:AL536))))+Таблица1[[#This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36" s="292" t="b">
        <f>IF(AR536&lt;=3,(IF((G536="5/24"),((база!$M$6*Таблица1[[#This Row],[сумма]]*Таблица1[[#This Row],[коэф]])),
IF((G536="4/24"),((база!$M$5*Таблица1[[#This Row],[сумма]]*Таблица1[[#This Row],[коэф]])),
IF((G536="3/24"),((база!$M$4*Таблица1[[#This Row],[сумма]]*Таблица1[[#This Row],[коэф]])),
IF((G536="5/16"),((база!$L$6*Таблица1[[#This Row],[сумма]]*Таблица1[[#This Row],[коэф]])),
IF((G536="4/16"),((база!$L$5*Таблица1[[#This Row],[сумма]]*Таблица1[[#This Row],[коэф]])),
IF((G536="3/16"),((база!$L$4*Таблица1[[#This Row],[сумма]]*Таблица1[[#This Row],[коэф]])),
IF((G536="4/4"),((база!$I$5*Таблица1[[#This Row],[сумма]]*Таблица1[[#This Row],[коэф]])),
IF(OR(G536="2/4",G536="3/4"),((база!$I$4*Таблица1[[#This Row],[сумма]]*Таблица1[[#This Row],[коэф]])),
IF((G536="5/8"),((база!$J$6*Таблица1[[#This Row],[сумма]]*Таблица1[[#This Row],[коэф]])),
IF((G536="4/8"),((база!$J$5*Таблица1[[#This Row],[сумма]]*Таблица1[[#This Row],[коэф]])),
IF(OR(G536="3/8",G536="2/8"),((база!$J$4*Таблица1[[#This Row],[сумма]]*Таблица1[[#This Row],[коэф]])))))))))))))),
(IF((G536="5/24"),((база!$M$6*Таблица1[[#This Row],[сумма]]*Таблица1[[#This Row],[коэф]])),
IF(OR(G536="4/24",G536="3/24"),((база!$M$5*Таблица1[[#This Row],[сумма]]*Таблица1[[#This Row],[коэф]])),
IF((G536="5/16"),((база!$L$6*Таблица1[[#This Row],[сумма]]*Таблица1[[#This Row],[коэф]])),
IF(OR(G536="4/16",G536="3/16"),((база!$L$5*Таблица1[[#This Row],[сумма]]*Таблица1[[#This Row],[коэф]])),
IF(OR(G536="2/4",G536="3/4",G536="4/4"),((база!$I$5*Таблица1[[#This Row],[сумма]]*Таблица1[[#This Row],[коэф]])),
IF((G536="5/8"),((база!$J$6*Таблица1[[#This Row],[сумма]]*Таблица1[[#This Row],[коэф]])),
IF(OR(G536="4/8",G536="3/8",G536="2/8"),((база!$J$5*Таблица1[[#This Row],[сумма]]*Таблица1[[#This Row],[коэф]])))))))))))</f>
        <v>0</v>
      </c>
      <c r="AP536" s="730" t="b">
        <f>IF(AR536&lt;=3,(IF((G536="5/24"),((база!$M$6*2*Таблица1[[#This Row],[Столбец1]]*Таблица1[[#This Row],[коэф]])),
IF((G536="4/24"),((база!$M$5*2*Таблица1[[#This Row],[Столбец1]]*Таблица1[[#This Row],[коэф]])),
IF((G536="3/24"),((база!$M$4*2*Таблица1[[#This Row],[Столбец1]]*Таблица1[[#This Row],[коэф]])),
IF((G536="5/16"),((база!$L$6*2*Таблица1[[#This Row],[Столбец1]]*Таблица1[[#This Row],[коэф]])),
IF((G536="4/16"),((база!$L$5*2*Таблица1[[#This Row],[Столбец1]]*Таблица1[[#This Row],[коэф]])),
IF((G536="3/16"),((база!$L$4*2*Таблица1[[#This Row],[Столбец1]]*Таблица1[[#This Row],[коэф]])),
IF((G536="4/4"),((база!$I$5*2*Таблица1[[#This Row],[Столбец1]]*Таблица1[[#This Row],[коэф]])),
IF(OR(G536="2/4",G536="3/4"),((база!$I$4*2*Таблица1[[#This Row],[Столбец1]]*Таблица1[[#This Row],[коэф]])),
IF((G536="5/8"),((база!$J$6*2*Таблица1[[#This Row],[Столбец1]]*Таблица1[[#This Row],[коэф]])),
IF((G536="4/8"),((база!$J$5*2*Таблица1[[#This Row],[Столбец1]]*Таблица1[[#This Row],[коэф]])),
IF(OR(G536="3/8",G536="2/8"),((база!$J$4*2*Таблица1[[#This Row],[Столбец1]]*Таблица1[[#This Row],[коэф]])))))))))))))),
(IF((G536="5/24"),((база!$M$6*2*Таблица1[[#This Row],[Столбец1]]*Таблица1[[#This Row],[коэф]])),
IF(OR(G536="4/24",G536="3/24"),((база!$M$5*2*Таблица1[[#This Row],[Столбец1]]*Таблица1[[#This Row],[коэф]])),
IF((G536="5/16"),((база!$L$6*2*Таблица1[[#This Row],[Столбец1]]*Таблица1[[#This Row],[коэф]])),
IF(OR(G536="4/16",G536="3/16"),((база!$L$5*2*Таблица1[[#This Row],[Столбец1]]*Таблица1[[#This Row],[коэф]])),
IF(OR(G536="2/4",G536="3/4",G536="4/4"),((база!$I$5*2*Таблица1[[#This Row],[Столбец1]]*Таблица1[[#This Row],[коэф]])),
IF((G536="5/8"),((база!$J$6*2*Таблица1[[#This Row],[Столбец1]]*Таблица1[[#This Row],[коэф]])),
IF(OR(G536="4/8",G536="3/8",G536="2/8"),((база!$J$5*2*Таблица1[[#This Row],[Столбец1]]*Таблица1[[#This Row],[коэф]])))))))))))</f>
        <v>0</v>
      </c>
      <c r="AQ536" s="712" t="str">
        <f>IFERROR(INDEX(база!T:T, MATCH(F536,база!Q:Q,0)),"")</f>
        <v/>
      </c>
      <c r="AR536" s="208" t="str">
        <f>IFERROR(INDEX(база!D:D, MATCH(F536,база!B:B,0)),"")</f>
        <v/>
      </c>
      <c r="AS536" s="758" t="str">
        <f>IFERROR(INDEX(база!E:E, MATCH(F536,база!B:B,0)),"")</f>
        <v/>
      </c>
    </row>
    <row r="537" spans="1:45" s="46" customFormat="1" ht="15">
      <c r="A537" s="66" t="str">
        <f t="shared" si="10"/>
        <v>январь</v>
      </c>
      <c r="B537" s="231">
        <v>2024</v>
      </c>
      <c r="C537" s="299"/>
      <c r="D537" s="61"/>
      <c r="E537" s="211"/>
      <c r="F537" s="680"/>
      <c r="G537" s="47"/>
      <c r="H537" s="563"/>
      <c r="I537" s="563"/>
      <c r="J537" s="563"/>
      <c r="K537" s="563"/>
      <c r="L537" s="563"/>
      <c r="M537" s="563"/>
      <c r="N537" s="563"/>
      <c r="O537" s="563"/>
      <c r="P537" s="300"/>
      <c r="Q537" s="563"/>
      <c r="R537" s="563"/>
      <c r="S537" s="563"/>
      <c r="T537" s="563"/>
      <c r="U537" s="563"/>
      <c r="V537" s="563"/>
      <c r="W537" s="563"/>
      <c r="X537" s="563"/>
      <c r="Y537" s="563"/>
      <c r="Z537" s="563"/>
      <c r="AA537" s="563"/>
      <c r="AB537" s="563"/>
      <c r="AC537" s="563"/>
      <c r="AD537" s="48"/>
      <c r="AE537" s="48"/>
      <c r="AF537" s="258"/>
      <c r="AG537" s="48"/>
      <c r="AH537" s="48"/>
      <c r="AI537" s="258"/>
      <c r="AJ537" s="258"/>
      <c r="AK537" s="258"/>
      <c r="AL537" s="258"/>
      <c r="AM537" s="212">
        <f>IF(AQ537=1,SUM(Q537:T537,W537:Z537,AC537:AF537,AI537:AL537),
IF(AQ537=2,SUM(P537,S537:V537,Y537:AB537,AE537:AH537,AK537:AL537),
IF(AQ537=3,SUM(P537:R537,U537:X537,AA537:AD537,AG537:AJ537),SUM(Таблица1[[#This Row],[1]:[31]])-Таблица1[[#This Row],[Столбец1]])))</f>
        <v>0</v>
      </c>
      <c r="AN537" s="778">
        <f t="array" ref="AN537">IF(AQ537=1,SUM(P537,U537:V537,AA537:AB537,AG537:AH537),
IF(AQ537=2,SUM(Q537:R537,W537:X537,AC537:AD537,AI537:AJ537),
IF(AQ537=3,SUM(S537:T537,Y537:Z537,AE537:AF537,AK537:AL537),
SUM(IFERROR(WEEKDAY($H$2:$AL$2,2)&gt;5,)*H537:AL537))))+Таблица1[[#This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37" s="292" t="b">
        <f>IF(AR537&lt;=3,(IF((G537="5/24"),((база!$M$6*Таблица1[[#This Row],[сумма]]*Таблица1[[#This Row],[коэф]])),
IF((G537="4/24"),((база!$M$5*Таблица1[[#This Row],[сумма]]*Таблица1[[#This Row],[коэф]])),
IF((G537="3/24"),((база!$M$4*Таблица1[[#This Row],[сумма]]*Таблица1[[#This Row],[коэф]])),
IF((G537="5/16"),((база!$L$6*Таблица1[[#This Row],[сумма]]*Таблица1[[#This Row],[коэф]])),
IF((G537="4/16"),((база!$L$5*Таблица1[[#This Row],[сумма]]*Таблица1[[#This Row],[коэф]])),
IF((G537="3/16"),((база!$L$4*Таблица1[[#This Row],[сумма]]*Таблица1[[#This Row],[коэф]])),
IF((G537="4/4"),((база!$I$5*Таблица1[[#This Row],[сумма]]*Таблица1[[#This Row],[коэф]])),
IF(OR(G537="2/4",G537="3/4"),((база!$I$4*Таблица1[[#This Row],[сумма]]*Таблица1[[#This Row],[коэф]])),
IF((G537="5/8"),((база!$J$6*Таблица1[[#This Row],[сумма]]*Таблица1[[#This Row],[коэф]])),
IF((G537="4/8"),((база!$J$5*Таблица1[[#This Row],[сумма]]*Таблица1[[#This Row],[коэф]])),
IF(OR(G537="3/8",G537="2/8"),((база!$J$4*Таблица1[[#This Row],[сумма]]*Таблица1[[#This Row],[коэф]])))))))))))))),
(IF((G537="5/24"),((база!$M$6*Таблица1[[#This Row],[сумма]]*Таблица1[[#This Row],[коэф]])),
IF(OR(G537="4/24",G537="3/24"),((база!$M$5*Таблица1[[#This Row],[сумма]]*Таблица1[[#This Row],[коэф]])),
IF((G537="5/16"),((база!$L$6*Таблица1[[#This Row],[сумма]]*Таблица1[[#This Row],[коэф]])),
IF(OR(G537="4/16",G537="3/16"),((база!$L$5*Таблица1[[#This Row],[сумма]]*Таблица1[[#This Row],[коэф]])),
IF(OR(G537="2/4",G537="3/4",G537="4/4"),((база!$I$5*Таблица1[[#This Row],[сумма]]*Таблица1[[#This Row],[коэф]])),
IF((G537="5/8"),((база!$J$6*Таблица1[[#This Row],[сумма]]*Таблица1[[#This Row],[коэф]])),
IF(OR(G537="4/8",G537="3/8",G537="2/8"),((база!$J$5*Таблица1[[#This Row],[сумма]]*Таблица1[[#This Row],[коэф]])))))))))))</f>
        <v>0</v>
      </c>
      <c r="AP537" s="730" t="b">
        <f>IF(AR537&lt;=3,(IF((G537="5/24"),((база!$M$6*2*Таблица1[[#This Row],[Столбец1]]*Таблица1[[#This Row],[коэф]])),
IF((G537="4/24"),((база!$M$5*2*Таблица1[[#This Row],[Столбец1]]*Таблица1[[#This Row],[коэф]])),
IF((G537="3/24"),((база!$M$4*2*Таблица1[[#This Row],[Столбец1]]*Таблица1[[#This Row],[коэф]])),
IF((G537="5/16"),((база!$L$6*2*Таблица1[[#This Row],[Столбец1]]*Таблица1[[#This Row],[коэф]])),
IF((G537="4/16"),((база!$L$5*2*Таблица1[[#This Row],[Столбец1]]*Таблица1[[#This Row],[коэф]])),
IF((G537="3/16"),((база!$L$4*2*Таблица1[[#This Row],[Столбец1]]*Таблица1[[#This Row],[коэф]])),
IF((G537="4/4"),((база!$I$5*2*Таблица1[[#This Row],[Столбец1]]*Таблица1[[#This Row],[коэф]])),
IF(OR(G537="2/4",G537="3/4"),((база!$I$4*2*Таблица1[[#This Row],[Столбец1]]*Таблица1[[#This Row],[коэф]])),
IF((G537="5/8"),((база!$J$6*2*Таблица1[[#This Row],[Столбец1]]*Таблица1[[#This Row],[коэф]])),
IF((G537="4/8"),((база!$J$5*2*Таблица1[[#This Row],[Столбец1]]*Таблица1[[#This Row],[коэф]])),
IF(OR(G537="3/8",G537="2/8"),((база!$J$4*2*Таблица1[[#This Row],[Столбец1]]*Таблица1[[#This Row],[коэф]])))))))))))))),
(IF((G537="5/24"),((база!$M$6*2*Таблица1[[#This Row],[Столбец1]]*Таблица1[[#This Row],[коэф]])),
IF(OR(G537="4/24",G537="3/24"),((база!$M$5*2*Таблица1[[#This Row],[Столбец1]]*Таблица1[[#This Row],[коэф]])),
IF((G537="5/16"),((база!$L$6*2*Таблица1[[#This Row],[Столбец1]]*Таблица1[[#This Row],[коэф]])),
IF(OR(G537="4/16",G537="3/16"),((база!$L$5*2*Таблица1[[#This Row],[Столбец1]]*Таблица1[[#This Row],[коэф]])),
IF(OR(G537="2/4",G537="3/4",G537="4/4"),((база!$I$5*2*Таблица1[[#This Row],[Столбец1]]*Таблица1[[#This Row],[коэф]])),
IF((G537="5/8"),((база!$J$6*2*Таблица1[[#This Row],[Столбец1]]*Таблица1[[#This Row],[коэф]])),
IF(OR(G537="4/8",G537="3/8",G537="2/8"),((база!$J$5*2*Таблица1[[#This Row],[Столбец1]]*Таблица1[[#This Row],[коэф]])))))))))))</f>
        <v>0</v>
      </c>
      <c r="AQ537" s="712" t="str">
        <f>IFERROR(INDEX(база!T:T, MATCH(F537,база!Q:Q,0)),"")</f>
        <v/>
      </c>
      <c r="AR537" s="208" t="str">
        <f>IFERROR(INDEX(база!D:D, MATCH(F537,база!B:B,0)),"")</f>
        <v/>
      </c>
      <c r="AS537" s="758" t="str">
        <f>IFERROR(INDEX(база!E:E, MATCH(F537,база!B:B,0)),"")</f>
        <v/>
      </c>
    </row>
    <row r="538" spans="1:45" s="46" customFormat="1" ht="15">
      <c r="A538" s="66" t="str">
        <f t="shared" si="10"/>
        <v>январь</v>
      </c>
      <c r="B538" s="231">
        <v>2024</v>
      </c>
      <c r="C538" s="299"/>
      <c r="D538" s="61"/>
      <c r="E538" s="211"/>
      <c r="F538" s="680"/>
      <c r="G538" s="47"/>
      <c r="H538" s="563"/>
      <c r="I538" s="563"/>
      <c r="J538" s="563"/>
      <c r="K538" s="563"/>
      <c r="L538" s="563"/>
      <c r="M538" s="563"/>
      <c r="N538" s="563"/>
      <c r="O538" s="563"/>
      <c r="P538" s="300"/>
      <c r="Q538" s="563"/>
      <c r="R538" s="563"/>
      <c r="S538" s="563"/>
      <c r="T538" s="563"/>
      <c r="U538" s="563"/>
      <c r="V538" s="563"/>
      <c r="W538" s="563"/>
      <c r="X538" s="563"/>
      <c r="Y538" s="563"/>
      <c r="Z538" s="563"/>
      <c r="AA538" s="563"/>
      <c r="AB538" s="563"/>
      <c r="AC538" s="563"/>
      <c r="AD538" s="48"/>
      <c r="AE538" s="48"/>
      <c r="AF538" s="258"/>
      <c r="AG538" s="48"/>
      <c r="AH538" s="48"/>
      <c r="AI538" s="48"/>
      <c r="AJ538" s="48"/>
      <c r="AK538" s="48"/>
      <c r="AL538" s="51"/>
      <c r="AM538" s="212">
        <f>IF(AQ538=1,SUM(Q538:T538,W538:Z538,AC538:AF538,AI538:AL538),
IF(AQ538=2,SUM(P538,S538:V538,Y538:AB538,AE538:AH538,AK538:AL538),
IF(AQ538=3,SUM(P538:R538,U538:X538,AA538:AD538,AG538:AJ538),SUM(Таблица1[[#This Row],[1]:[31]])-Таблица1[[#This Row],[Столбец1]])))</f>
        <v>0</v>
      </c>
      <c r="AN538" s="778">
        <f t="array" ref="AN538">IF(AQ538=1,SUM(P538,U538:V538,AA538:AB538,AG538:AH538),
IF(AQ538=2,SUM(Q538:R538,W538:X538,AC538:AD538,AI538:AJ538),
IF(AQ538=3,SUM(S538:T538,Y538:Z538,AE538:AF538,AK538:AL538),
SUM(IFERROR(WEEKDAY($H$2:$AL$2,2)&gt;5,)*H538:AL538))))+Таблица1[[#This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38" s="292" t="b">
        <f>IF(AR538&lt;=3,(IF((G538="5/24"),((база!$M$6*Таблица1[[#This Row],[сумма]]*Таблица1[[#This Row],[коэф]])),
IF((G538="4/24"),((база!$M$5*Таблица1[[#This Row],[сумма]]*Таблица1[[#This Row],[коэф]])),
IF((G538="3/24"),((база!$M$4*Таблица1[[#This Row],[сумма]]*Таблица1[[#This Row],[коэф]])),
IF((G538="5/16"),((база!$L$6*Таблица1[[#This Row],[сумма]]*Таблица1[[#This Row],[коэф]])),
IF((G538="4/16"),((база!$L$5*Таблица1[[#This Row],[сумма]]*Таблица1[[#This Row],[коэф]])),
IF((G538="3/16"),((база!$L$4*Таблица1[[#This Row],[сумма]]*Таблица1[[#This Row],[коэф]])),
IF((G538="4/4"),((база!$I$5*Таблица1[[#This Row],[сумма]]*Таблица1[[#This Row],[коэф]])),
IF(OR(G538="2/4",G538="3/4"),((база!$I$4*Таблица1[[#This Row],[сумма]]*Таблица1[[#This Row],[коэф]])),
IF((G538="5/8"),((база!$J$6*Таблица1[[#This Row],[сумма]]*Таблица1[[#This Row],[коэф]])),
IF((G538="4/8"),((база!$J$5*Таблица1[[#This Row],[сумма]]*Таблица1[[#This Row],[коэф]])),
IF(OR(G538="3/8",G538="2/8"),((база!$J$4*Таблица1[[#This Row],[сумма]]*Таблица1[[#This Row],[коэф]])))))))))))))),
(IF((G538="5/24"),((база!$M$6*Таблица1[[#This Row],[сумма]]*Таблица1[[#This Row],[коэф]])),
IF(OR(G538="4/24",G538="3/24"),((база!$M$5*Таблица1[[#This Row],[сумма]]*Таблица1[[#This Row],[коэф]])),
IF((G538="5/16"),((база!$L$6*Таблица1[[#This Row],[сумма]]*Таблица1[[#This Row],[коэф]])),
IF(OR(G538="4/16",G538="3/16"),((база!$L$5*Таблица1[[#This Row],[сумма]]*Таблица1[[#This Row],[коэф]])),
IF(OR(G538="2/4",G538="3/4",G538="4/4"),((база!$I$5*Таблица1[[#This Row],[сумма]]*Таблица1[[#This Row],[коэф]])),
IF((G538="5/8"),((база!$J$6*Таблица1[[#This Row],[сумма]]*Таблица1[[#This Row],[коэф]])),
IF(OR(G538="4/8",G538="3/8",G538="2/8"),((база!$J$5*Таблица1[[#This Row],[сумма]]*Таблица1[[#This Row],[коэф]])))))))))))</f>
        <v>0</v>
      </c>
      <c r="AP538" s="730" t="b">
        <f>IF(AR538&lt;=3,(IF((G538="5/24"),((база!$M$6*2*Таблица1[[#This Row],[Столбец1]]*Таблица1[[#This Row],[коэф]])),
IF((G538="4/24"),((база!$M$5*2*Таблица1[[#This Row],[Столбец1]]*Таблица1[[#This Row],[коэф]])),
IF((G538="3/24"),((база!$M$4*2*Таблица1[[#This Row],[Столбец1]]*Таблица1[[#This Row],[коэф]])),
IF((G538="5/16"),((база!$L$6*2*Таблица1[[#This Row],[Столбец1]]*Таблица1[[#This Row],[коэф]])),
IF((G538="4/16"),((база!$L$5*2*Таблица1[[#This Row],[Столбец1]]*Таблица1[[#This Row],[коэф]])),
IF((G538="3/16"),((база!$L$4*2*Таблица1[[#This Row],[Столбец1]]*Таблица1[[#This Row],[коэф]])),
IF((G538="4/4"),((база!$I$5*2*Таблица1[[#This Row],[Столбец1]]*Таблица1[[#This Row],[коэф]])),
IF(OR(G538="2/4",G538="3/4"),((база!$I$4*2*Таблица1[[#This Row],[Столбец1]]*Таблица1[[#This Row],[коэф]])),
IF((G538="5/8"),((база!$J$6*2*Таблица1[[#This Row],[Столбец1]]*Таблица1[[#This Row],[коэф]])),
IF((G538="4/8"),((база!$J$5*2*Таблица1[[#This Row],[Столбец1]]*Таблица1[[#This Row],[коэф]])),
IF(OR(G538="3/8",G538="2/8"),((база!$J$4*2*Таблица1[[#This Row],[Столбец1]]*Таблица1[[#This Row],[коэф]])))))))))))))),
(IF((G538="5/24"),((база!$M$6*2*Таблица1[[#This Row],[Столбец1]]*Таблица1[[#This Row],[коэф]])),
IF(OR(G538="4/24",G538="3/24"),((база!$M$5*2*Таблица1[[#This Row],[Столбец1]]*Таблица1[[#This Row],[коэф]])),
IF((G538="5/16"),((база!$L$6*2*Таблица1[[#This Row],[Столбец1]]*Таблица1[[#This Row],[коэф]])),
IF(OR(G538="4/16",G538="3/16"),((база!$L$5*2*Таблица1[[#This Row],[Столбец1]]*Таблица1[[#This Row],[коэф]])),
IF(OR(G538="2/4",G538="3/4",G538="4/4"),((база!$I$5*2*Таблица1[[#This Row],[Столбец1]]*Таблица1[[#This Row],[коэф]])),
IF((G538="5/8"),((база!$J$6*2*Таблица1[[#This Row],[Столбец1]]*Таблица1[[#This Row],[коэф]])),
IF(OR(G538="4/8",G538="3/8",G538="2/8"),((база!$J$5*2*Таблица1[[#This Row],[Столбец1]]*Таблица1[[#This Row],[коэф]])))))))))))</f>
        <v>0</v>
      </c>
      <c r="AQ538" s="712" t="str">
        <f>IFERROR(INDEX(база!T:T, MATCH(F538,база!Q:Q,0)),"")</f>
        <v/>
      </c>
      <c r="AR538" s="208" t="str">
        <f>IFERROR(INDEX(база!D:D, MATCH(F538,база!B:B,0)),"")</f>
        <v/>
      </c>
      <c r="AS538" s="758" t="str">
        <f>IFERROR(INDEX(база!E:E, MATCH(F538,база!B:B,0)),"")</f>
        <v/>
      </c>
    </row>
    <row r="539" spans="1:45" s="46" customFormat="1" ht="15">
      <c r="A539" s="66" t="str">
        <f t="shared" si="10"/>
        <v>январь</v>
      </c>
      <c r="B539" s="231">
        <v>2024</v>
      </c>
      <c r="C539" s="299"/>
      <c r="D539" s="61"/>
      <c r="E539" s="211"/>
      <c r="F539" s="680"/>
      <c r="G539" s="47"/>
      <c r="H539" s="563"/>
      <c r="I539" s="563"/>
      <c r="J539" s="563"/>
      <c r="K539" s="563"/>
      <c r="L539" s="563"/>
      <c r="M539" s="563"/>
      <c r="N539" s="563"/>
      <c r="O539" s="563"/>
      <c r="P539" s="300"/>
      <c r="Q539" s="563"/>
      <c r="R539" s="563"/>
      <c r="S539" s="563"/>
      <c r="T539" s="563"/>
      <c r="U539" s="563"/>
      <c r="V539" s="563"/>
      <c r="W539" s="563"/>
      <c r="X539" s="563"/>
      <c r="Y539" s="563"/>
      <c r="Z539" s="563"/>
      <c r="AA539" s="563"/>
      <c r="AB539" s="563"/>
      <c r="AC539" s="563"/>
      <c r="AD539" s="48"/>
      <c r="AE539" s="48"/>
      <c r="AF539" s="258"/>
      <c r="AG539" s="48"/>
      <c r="AH539" s="48"/>
      <c r="AI539" s="258"/>
      <c r="AJ539" s="258"/>
      <c r="AK539" s="258"/>
      <c r="AL539" s="258"/>
      <c r="AM539" s="212">
        <f>IF(AQ539=1,SUM(Q539:T539,W539:Z539,AC539:AF539,AI539:AL539),
IF(AQ539=2,SUM(P539,S539:V539,Y539:AB539,AE539:AH539,AK539:AL539),
IF(AQ539=3,SUM(P539:R539,U539:X539,AA539:AD539,AG539:AJ539),SUM(Таблица1[[#This Row],[1]:[31]])-Таблица1[[#This Row],[Столбец1]])))</f>
        <v>0</v>
      </c>
      <c r="AN539" s="778">
        <f t="array" ref="AN539">IF(AQ539=1,SUM(P539,U539:V539,AA539:AB539,AG539:AH539),
IF(AQ539=2,SUM(Q539:R539,W539:X539,AC539:AD539,AI539:AJ539),
IF(AQ539=3,SUM(S539:T539,Y539:Z539,AE539:AF539,AK539:AL539),
SUM(IFERROR(WEEKDAY($H$2:$AL$2,2)&gt;5,)*H539:AL539))))+Таблица1[[#This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39" s="292" t="b">
        <f>IF(AR539&lt;=3,(IF((G539="5/24"),((база!$M$6*Таблица1[[#This Row],[сумма]]*Таблица1[[#This Row],[коэф]])),
IF((G539="4/24"),((база!$M$5*Таблица1[[#This Row],[сумма]]*Таблица1[[#This Row],[коэф]])),
IF((G539="3/24"),((база!$M$4*Таблица1[[#This Row],[сумма]]*Таблица1[[#This Row],[коэф]])),
IF((G539="5/16"),((база!$L$6*Таблица1[[#This Row],[сумма]]*Таблица1[[#This Row],[коэф]])),
IF((G539="4/16"),((база!$L$5*Таблица1[[#This Row],[сумма]]*Таблица1[[#This Row],[коэф]])),
IF((G539="3/16"),((база!$L$4*Таблица1[[#This Row],[сумма]]*Таблица1[[#This Row],[коэф]])),
IF((G539="4/4"),((база!$I$5*Таблица1[[#This Row],[сумма]]*Таблица1[[#This Row],[коэф]])),
IF(OR(G539="2/4",G539="3/4"),((база!$I$4*Таблица1[[#This Row],[сумма]]*Таблица1[[#This Row],[коэф]])),
IF((G539="5/8"),((база!$J$6*Таблица1[[#This Row],[сумма]]*Таблица1[[#This Row],[коэф]])),
IF((G539="4/8"),((база!$J$5*Таблица1[[#This Row],[сумма]]*Таблица1[[#This Row],[коэф]])),
IF(OR(G539="3/8",G539="2/8"),((база!$J$4*Таблица1[[#This Row],[сумма]]*Таблица1[[#This Row],[коэф]])))))))))))))),
(IF((G539="5/24"),((база!$M$6*Таблица1[[#This Row],[сумма]]*Таблица1[[#This Row],[коэф]])),
IF(OR(G539="4/24",G539="3/24"),((база!$M$5*Таблица1[[#This Row],[сумма]]*Таблица1[[#This Row],[коэф]])),
IF((G539="5/16"),((база!$L$6*Таблица1[[#This Row],[сумма]]*Таблица1[[#This Row],[коэф]])),
IF(OR(G539="4/16",G539="3/16"),((база!$L$5*Таблица1[[#This Row],[сумма]]*Таблица1[[#This Row],[коэф]])),
IF(OR(G539="2/4",G539="3/4",G539="4/4"),((база!$I$5*Таблица1[[#This Row],[сумма]]*Таблица1[[#This Row],[коэф]])),
IF((G539="5/8"),((база!$J$6*Таблица1[[#This Row],[сумма]]*Таблица1[[#This Row],[коэф]])),
IF(OR(G539="4/8",G539="3/8",G539="2/8"),((база!$J$5*Таблица1[[#This Row],[сумма]]*Таблица1[[#This Row],[коэф]])))))))))))</f>
        <v>0</v>
      </c>
      <c r="AP539" s="730" t="b">
        <f>IF(AR539&lt;=3,(IF((G539="5/24"),((база!$M$6*2*Таблица1[[#This Row],[Столбец1]]*Таблица1[[#This Row],[коэф]])),
IF((G539="4/24"),((база!$M$5*2*Таблица1[[#This Row],[Столбец1]]*Таблица1[[#This Row],[коэф]])),
IF((G539="3/24"),((база!$M$4*2*Таблица1[[#This Row],[Столбец1]]*Таблица1[[#This Row],[коэф]])),
IF((G539="5/16"),((база!$L$6*2*Таблица1[[#This Row],[Столбец1]]*Таблица1[[#This Row],[коэф]])),
IF((G539="4/16"),((база!$L$5*2*Таблица1[[#This Row],[Столбец1]]*Таблица1[[#This Row],[коэф]])),
IF((G539="3/16"),((база!$L$4*2*Таблица1[[#This Row],[Столбец1]]*Таблица1[[#This Row],[коэф]])),
IF((G539="4/4"),((база!$I$5*2*Таблица1[[#This Row],[Столбец1]]*Таблица1[[#This Row],[коэф]])),
IF(OR(G539="2/4",G539="3/4"),((база!$I$4*2*Таблица1[[#This Row],[Столбец1]]*Таблица1[[#This Row],[коэф]])),
IF((G539="5/8"),((база!$J$6*2*Таблица1[[#This Row],[Столбец1]]*Таблица1[[#This Row],[коэф]])),
IF((G539="4/8"),((база!$J$5*2*Таблица1[[#This Row],[Столбец1]]*Таблица1[[#This Row],[коэф]])),
IF(OR(G539="3/8",G539="2/8"),((база!$J$4*2*Таблица1[[#This Row],[Столбец1]]*Таблица1[[#This Row],[коэф]])))))))))))))),
(IF((G539="5/24"),((база!$M$6*2*Таблица1[[#This Row],[Столбец1]]*Таблица1[[#This Row],[коэф]])),
IF(OR(G539="4/24",G539="3/24"),((база!$M$5*2*Таблица1[[#This Row],[Столбец1]]*Таблица1[[#This Row],[коэф]])),
IF((G539="5/16"),((база!$L$6*2*Таблица1[[#This Row],[Столбец1]]*Таблица1[[#This Row],[коэф]])),
IF(OR(G539="4/16",G539="3/16"),((база!$L$5*2*Таблица1[[#This Row],[Столбец1]]*Таблица1[[#This Row],[коэф]])),
IF(OR(G539="2/4",G539="3/4",G539="4/4"),((база!$I$5*2*Таблица1[[#This Row],[Столбец1]]*Таблица1[[#This Row],[коэф]])),
IF((G539="5/8"),((база!$J$6*2*Таблица1[[#This Row],[Столбец1]]*Таблица1[[#This Row],[коэф]])),
IF(OR(G539="4/8",G539="3/8",G539="2/8"),((база!$J$5*2*Таблица1[[#This Row],[Столбец1]]*Таблица1[[#This Row],[коэф]])))))))))))</f>
        <v>0</v>
      </c>
      <c r="AQ539" s="712" t="str">
        <f>IFERROR(INDEX(база!T:T, MATCH(F539,база!Q:Q,0)),"")</f>
        <v/>
      </c>
      <c r="AR539" s="208" t="str">
        <f>IFERROR(INDEX(база!D:D, MATCH(F539,база!B:B,0)),"")</f>
        <v/>
      </c>
      <c r="AS539" s="758" t="str">
        <f>IFERROR(INDEX(база!E:E, MATCH(F539,база!B:B,0)),"")</f>
        <v/>
      </c>
    </row>
    <row r="540" spans="1:45" s="46" customFormat="1" ht="15">
      <c r="A540" s="66" t="str">
        <f t="shared" si="10"/>
        <v>январь</v>
      </c>
      <c r="B540" s="231">
        <v>2024</v>
      </c>
      <c r="C540" s="299"/>
      <c r="D540" s="61"/>
      <c r="E540" s="211"/>
      <c r="F540" s="680"/>
      <c r="G540" s="47"/>
      <c r="H540" s="563"/>
      <c r="I540" s="563"/>
      <c r="J540" s="563"/>
      <c r="K540" s="563"/>
      <c r="L540" s="563"/>
      <c r="M540" s="563"/>
      <c r="N540" s="563"/>
      <c r="O540" s="563"/>
      <c r="P540" s="300"/>
      <c r="Q540" s="563"/>
      <c r="R540" s="563"/>
      <c r="S540" s="563"/>
      <c r="T540" s="563"/>
      <c r="U540" s="563"/>
      <c r="V540" s="563"/>
      <c r="W540" s="563"/>
      <c r="X540" s="563"/>
      <c r="Y540" s="563"/>
      <c r="Z540" s="563"/>
      <c r="AA540" s="563"/>
      <c r="AB540" s="563"/>
      <c r="AC540" s="563"/>
      <c r="AD540" s="48"/>
      <c r="AE540" s="48"/>
      <c r="AF540" s="258"/>
      <c r="AG540" s="48"/>
      <c r="AH540" s="48"/>
      <c r="AI540" s="48"/>
      <c r="AJ540" s="48"/>
      <c r="AK540" s="48"/>
      <c r="AL540" s="51"/>
      <c r="AM540" s="212">
        <f>IF(AQ540=1,SUM(Q540:T540,W540:Z540,AC540:AF540,AI540:AL540),
IF(AQ540=2,SUM(P540,S540:V540,Y540:AB540,AE540:AH540,AK540:AL540),
IF(AQ540=3,SUM(P540:R540,U540:X540,AA540:AD540,AG540:AJ540),SUM(Таблица1[[#This Row],[1]:[31]])-Таблица1[[#This Row],[Столбец1]])))</f>
        <v>0</v>
      </c>
      <c r="AN540" s="778">
        <f t="array" ref="AN540">IF(AQ540=1,SUM(P540,U540:V540,AA540:AB540,AG540:AH540),
IF(AQ540=2,SUM(Q540:R540,W540:X540,AC540:AD540,AI540:AJ540),
IF(AQ540=3,SUM(S540:T540,Y540:Z540,AE540:AF540,AK540:AL540),
SUM(IFERROR(WEEKDAY($H$2:$AL$2,2)&gt;5,)*H540:AL540))))+Таблица1[[#This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40" s="292" t="b">
        <f>IF(AR540&lt;=3,(IF((G540="5/24"),((база!$M$6*Таблица1[[#This Row],[сумма]]*Таблица1[[#This Row],[коэф]])),
IF((G540="4/24"),((база!$M$5*Таблица1[[#This Row],[сумма]]*Таблица1[[#This Row],[коэф]])),
IF((G540="3/24"),((база!$M$4*Таблица1[[#This Row],[сумма]]*Таблица1[[#This Row],[коэф]])),
IF((G540="5/16"),((база!$L$6*Таблица1[[#This Row],[сумма]]*Таблица1[[#This Row],[коэф]])),
IF((G540="4/16"),((база!$L$5*Таблица1[[#This Row],[сумма]]*Таблица1[[#This Row],[коэф]])),
IF((G540="3/16"),((база!$L$4*Таблица1[[#This Row],[сумма]]*Таблица1[[#This Row],[коэф]])),
IF((G540="4/4"),((база!$I$5*Таблица1[[#This Row],[сумма]]*Таблица1[[#This Row],[коэф]])),
IF(OR(G540="2/4",G540="3/4"),((база!$I$4*Таблица1[[#This Row],[сумма]]*Таблица1[[#This Row],[коэф]])),
IF((G540="5/8"),((база!$J$6*Таблица1[[#This Row],[сумма]]*Таблица1[[#This Row],[коэф]])),
IF((G540="4/8"),((база!$J$5*Таблица1[[#This Row],[сумма]]*Таблица1[[#This Row],[коэф]])),
IF(OR(G540="3/8",G540="2/8"),((база!$J$4*Таблица1[[#This Row],[сумма]]*Таблица1[[#This Row],[коэф]])))))))))))))),
(IF((G540="5/24"),((база!$M$6*Таблица1[[#This Row],[сумма]]*Таблица1[[#This Row],[коэф]])),
IF(OR(G540="4/24",G540="3/24"),((база!$M$5*Таблица1[[#This Row],[сумма]]*Таблица1[[#This Row],[коэф]])),
IF((G540="5/16"),((база!$L$6*Таблица1[[#This Row],[сумма]]*Таблица1[[#This Row],[коэф]])),
IF(OR(G540="4/16",G540="3/16"),((база!$L$5*Таблица1[[#This Row],[сумма]]*Таблица1[[#This Row],[коэф]])),
IF(OR(G540="2/4",G540="3/4",G540="4/4"),((база!$I$5*Таблица1[[#This Row],[сумма]]*Таблица1[[#This Row],[коэф]])),
IF((G540="5/8"),((база!$J$6*Таблица1[[#This Row],[сумма]]*Таблица1[[#This Row],[коэф]])),
IF(OR(G540="4/8",G540="3/8",G540="2/8"),((база!$J$5*Таблица1[[#This Row],[сумма]]*Таблица1[[#This Row],[коэф]])))))))))))</f>
        <v>0</v>
      </c>
      <c r="AP540" s="730" t="b">
        <f>IF(AR540&lt;=3,(IF((G540="5/24"),((база!$M$6*2*Таблица1[[#This Row],[Столбец1]]*Таблица1[[#This Row],[коэф]])),
IF((G540="4/24"),((база!$M$5*2*Таблица1[[#This Row],[Столбец1]]*Таблица1[[#This Row],[коэф]])),
IF((G540="3/24"),((база!$M$4*2*Таблица1[[#This Row],[Столбец1]]*Таблица1[[#This Row],[коэф]])),
IF((G540="5/16"),((база!$L$6*2*Таблица1[[#This Row],[Столбец1]]*Таблица1[[#This Row],[коэф]])),
IF((G540="4/16"),((база!$L$5*2*Таблица1[[#This Row],[Столбец1]]*Таблица1[[#This Row],[коэф]])),
IF((G540="3/16"),((база!$L$4*2*Таблица1[[#This Row],[Столбец1]]*Таблица1[[#This Row],[коэф]])),
IF((G540="4/4"),((база!$I$5*2*Таблица1[[#This Row],[Столбец1]]*Таблица1[[#This Row],[коэф]])),
IF(OR(G540="2/4",G540="3/4"),((база!$I$4*2*Таблица1[[#This Row],[Столбец1]]*Таблица1[[#This Row],[коэф]])),
IF((G540="5/8"),((база!$J$6*2*Таблица1[[#This Row],[Столбец1]]*Таблица1[[#This Row],[коэф]])),
IF((G540="4/8"),((база!$J$5*2*Таблица1[[#This Row],[Столбец1]]*Таблица1[[#This Row],[коэф]])),
IF(OR(G540="3/8",G540="2/8"),((база!$J$4*2*Таблица1[[#This Row],[Столбец1]]*Таблица1[[#This Row],[коэф]])))))))))))))),
(IF((G540="5/24"),((база!$M$6*2*Таблица1[[#This Row],[Столбец1]]*Таблица1[[#This Row],[коэф]])),
IF(OR(G540="4/24",G540="3/24"),((база!$M$5*2*Таблица1[[#This Row],[Столбец1]]*Таблица1[[#This Row],[коэф]])),
IF((G540="5/16"),((база!$L$6*2*Таблица1[[#This Row],[Столбец1]]*Таблица1[[#This Row],[коэф]])),
IF(OR(G540="4/16",G540="3/16"),((база!$L$5*2*Таблица1[[#This Row],[Столбец1]]*Таблица1[[#This Row],[коэф]])),
IF(OR(G540="2/4",G540="3/4",G540="4/4"),((база!$I$5*2*Таблица1[[#This Row],[Столбец1]]*Таблица1[[#This Row],[коэф]])),
IF((G540="5/8"),((база!$J$6*2*Таблица1[[#This Row],[Столбец1]]*Таблица1[[#This Row],[коэф]])),
IF(OR(G540="4/8",G540="3/8",G540="2/8"),((база!$J$5*2*Таблица1[[#This Row],[Столбец1]]*Таблица1[[#This Row],[коэф]])))))))))))</f>
        <v>0</v>
      </c>
      <c r="AQ540" s="712" t="str">
        <f>IFERROR(INDEX(база!T:T, MATCH(F540,база!Q:Q,0)),"")</f>
        <v/>
      </c>
      <c r="AR540" s="208" t="str">
        <f>IFERROR(INDEX(база!D:D, MATCH(F540,база!B:B,0)),"")</f>
        <v/>
      </c>
      <c r="AS540" s="758" t="str">
        <f>IFERROR(INDEX(база!E:E, MATCH(F540,база!B:B,0)),"")</f>
        <v/>
      </c>
    </row>
    <row r="541" spans="1:45" s="46" customFormat="1" ht="15">
      <c r="A541" s="66" t="str">
        <f t="shared" si="10"/>
        <v>январь</v>
      </c>
      <c r="B541" s="231">
        <v>2024</v>
      </c>
      <c r="C541" s="299"/>
      <c r="D541" s="61"/>
      <c r="E541" s="211"/>
      <c r="F541" s="680"/>
      <c r="G541" s="47"/>
      <c r="H541" s="563"/>
      <c r="I541" s="563"/>
      <c r="J541" s="563"/>
      <c r="K541" s="563"/>
      <c r="L541" s="563"/>
      <c r="M541" s="563"/>
      <c r="N541" s="563"/>
      <c r="O541" s="563"/>
      <c r="P541" s="300"/>
      <c r="Q541" s="563"/>
      <c r="R541" s="563"/>
      <c r="S541" s="563"/>
      <c r="T541" s="563"/>
      <c r="U541" s="563"/>
      <c r="V541" s="563"/>
      <c r="W541" s="563"/>
      <c r="X541" s="563"/>
      <c r="Y541" s="563"/>
      <c r="Z541" s="563"/>
      <c r="AA541" s="563"/>
      <c r="AB541" s="563"/>
      <c r="AC541" s="563"/>
      <c r="AD541" s="48"/>
      <c r="AE541" s="48"/>
      <c r="AF541" s="258"/>
      <c r="AG541" s="48"/>
      <c r="AH541" s="48"/>
      <c r="AI541" s="258"/>
      <c r="AJ541" s="258"/>
      <c r="AK541" s="258"/>
      <c r="AL541" s="258"/>
      <c r="AM541" s="212">
        <f>IF(AQ541=1,SUM(Q541:T541,W541:Z541,AC541:AF541,AI541:AL541),
IF(AQ541=2,SUM(P541,S541:V541,Y541:AB541,AE541:AH541,AK541:AL541),
IF(AQ541=3,SUM(P541:R541,U541:X541,AA541:AD541,AG541:AJ541),SUM(Таблица1[[#This Row],[1]:[31]])-Таблица1[[#This Row],[Столбец1]])))</f>
        <v>0</v>
      </c>
      <c r="AN541" s="778">
        <f t="array" ref="AN541">IF(AQ541=1,SUM(P541,U541:V541,AA541:AB541,AG541:AH541),
IF(AQ541=2,SUM(Q541:R541,W541:X541,AC541:AD541,AI541:AJ541),
IF(AQ541=3,SUM(S541:T541,Y541:Z541,AE541:AF541,AK541:AL541),
SUM(IFERROR(WEEKDAY($H$2:$AL$2,2)&gt;5,)*H541:AL541))))+Таблица1[[#This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41" s="292" t="b">
        <f>IF(AR541&lt;=3,(IF((G541="5/24"),((база!$M$6*Таблица1[[#This Row],[сумма]]*Таблица1[[#This Row],[коэф]])),
IF((G541="4/24"),((база!$M$5*Таблица1[[#This Row],[сумма]]*Таблица1[[#This Row],[коэф]])),
IF((G541="3/24"),((база!$M$4*Таблица1[[#This Row],[сумма]]*Таблица1[[#This Row],[коэф]])),
IF((G541="5/16"),((база!$L$6*Таблица1[[#This Row],[сумма]]*Таблица1[[#This Row],[коэф]])),
IF((G541="4/16"),((база!$L$5*Таблица1[[#This Row],[сумма]]*Таблица1[[#This Row],[коэф]])),
IF((G541="3/16"),((база!$L$4*Таблица1[[#This Row],[сумма]]*Таблица1[[#This Row],[коэф]])),
IF((G541="4/4"),((база!$I$5*Таблица1[[#This Row],[сумма]]*Таблица1[[#This Row],[коэф]])),
IF(OR(G541="2/4",G541="3/4"),((база!$I$4*Таблица1[[#This Row],[сумма]]*Таблица1[[#This Row],[коэф]])),
IF((G541="5/8"),((база!$J$6*Таблица1[[#This Row],[сумма]]*Таблица1[[#This Row],[коэф]])),
IF((G541="4/8"),((база!$J$5*Таблица1[[#This Row],[сумма]]*Таблица1[[#This Row],[коэф]])),
IF(OR(G541="3/8",G541="2/8"),((база!$J$4*Таблица1[[#This Row],[сумма]]*Таблица1[[#This Row],[коэф]])))))))))))))),
(IF((G541="5/24"),((база!$M$6*Таблица1[[#This Row],[сумма]]*Таблица1[[#This Row],[коэф]])),
IF(OR(G541="4/24",G541="3/24"),((база!$M$5*Таблица1[[#This Row],[сумма]]*Таблица1[[#This Row],[коэф]])),
IF((G541="5/16"),((база!$L$6*Таблица1[[#This Row],[сумма]]*Таблица1[[#This Row],[коэф]])),
IF(OR(G541="4/16",G541="3/16"),((база!$L$5*Таблица1[[#This Row],[сумма]]*Таблица1[[#This Row],[коэф]])),
IF(OR(G541="2/4",G541="3/4",G541="4/4"),((база!$I$5*Таблица1[[#This Row],[сумма]]*Таблица1[[#This Row],[коэф]])),
IF((G541="5/8"),((база!$J$6*Таблица1[[#This Row],[сумма]]*Таблица1[[#This Row],[коэф]])),
IF(OR(G541="4/8",G541="3/8",G541="2/8"),((база!$J$5*Таблица1[[#This Row],[сумма]]*Таблица1[[#This Row],[коэф]])))))))))))</f>
        <v>0</v>
      </c>
      <c r="AP541" s="730" t="b">
        <f>IF(AR541&lt;=3,(IF((G541="5/24"),((база!$M$6*2*Таблица1[[#This Row],[Столбец1]]*Таблица1[[#This Row],[коэф]])),
IF((G541="4/24"),((база!$M$5*2*Таблица1[[#This Row],[Столбец1]]*Таблица1[[#This Row],[коэф]])),
IF((G541="3/24"),((база!$M$4*2*Таблица1[[#This Row],[Столбец1]]*Таблица1[[#This Row],[коэф]])),
IF((G541="5/16"),((база!$L$6*2*Таблица1[[#This Row],[Столбец1]]*Таблица1[[#This Row],[коэф]])),
IF((G541="4/16"),((база!$L$5*2*Таблица1[[#This Row],[Столбец1]]*Таблица1[[#This Row],[коэф]])),
IF((G541="3/16"),((база!$L$4*2*Таблица1[[#This Row],[Столбец1]]*Таблица1[[#This Row],[коэф]])),
IF((G541="4/4"),((база!$I$5*2*Таблица1[[#This Row],[Столбец1]]*Таблица1[[#This Row],[коэф]])),
IF(OR(G541="2/4",G541="3/4"),((база!$I$4*2*Таблица1[[#This Row],[Столбец1]]*Таблица1[[#This Row],[коэф]])),
IF((G541="5/8"),((база!$J$6*2*Таблица1[[#This Row],[Столбец1]]*Таблица1[[#This Row],[коэф]])),
IF((G541="4/8"),((база!$J$5*2*Таблица1[[#This Row],[Столбец1]]*Таблица1[[#This Row],[коэф]])),
IF(OR(G541="3/8",G541="2/8"),((база!$J$4*2*Таблица1[[#This Row],[Столбец1]]*Таблица1[[#This Row],[коэф]])))))))))))))),
(IF((G541="5/24"),((база!$M$6*2*Таблица1[[#This Row],[Столбец1]]*Таблица1[[#This Row],[коэф]])),
IF(OR(G541="4/24",G541="3/24"),((база!$M$5*2*Таблица1[[#This Row],[Столбец1]]*Таблица1[[#This Row],[коэф]])),
IF((G541="5/16"),((база!$L$6*2*Таблица1[[#This Row],[Столбец1]]*Таблица1[[#This Row],[коэф]])),
IF(OR(G541="4/16",G541="3/16"),((база!$L$5*2*Таблица1[[#This Row],[Столбец1]]*Таблица1[[#This Row],[коэф]])),
IF(OR(G541="2/4",G541="3/4",G541="4/4"),((база!$I$5*2*Таблица1[[#This Row],[Столбец1]]*Таблица1[[#This Row],[коэф]])),
IF((G541="5/8"),((база!$J$6*2*Таблица1[[#This Row],[Столбец1]]*Таблица1[[#This Row],[коэф]])),
IF(OR(G541="4/8",G541="3/8",G541="2/8"),((база!$J$5*2*Таблица1[[#This Row],[Столбец1]]*Таблица1[[#This Row],[коэф]])))))))))))</f>
        <v>0</v>
      </c>
      <c r="AQ541" s="712" t="str">
        <f>IFERROR(INDEX(база!T:T, MATCH(F541,база!Q:Q,0)),"")</f>
        <v/>
      </c>
      <c r="AR541" s="208" t="str">
        <f>IFERROR(INDEX(база!D:D, MATCH(F541,база!B:B,0)),"")</f>
        <v/>
      </c>
      <c r="AS541" s="758" t="str">
        <f>IFERROR(INDEX(база!E:E, MATCH(F541,база!B:B,0)),"")</f>
        <v/>
      </c>
    </row>
    <row r="542" spans="1:45" s="46" customFormat="1" ht="15">
      <c r="A542" s="66" t="str">
        <f t="shared" si="10"/>
        <v>январь</v>
      </c>
      <c r="B542" s="231">
        <v>2024</v>
      </c>
      <c r="C542" s="299"/>
      <c r="D542" s="61"/>
      <c r="E542" s="211"/>
      <c r="F542" s="680"/>
      <c r="G542" s="47"/>
      <c r="H542" s="563"/>
      <c r="I542" s="563"/>
      <c r="J542" s="563"/>
      <c r="K542" s="563"/>
      <c r="L542" s="563"/>
      <c r="M542" s="563"/>
      <c r="N542" s="563"/>
      <c r="O542" s="563"/>
      <c r="P542" s="300"/>
      <c r="Q542" s="563"/>
      <c r="R542" s="563"/>
      <c r="S542" s="563"/>
      <c r="T542" s="563"/>
      <c r="U542" s="563"/>
      <c r="V542" s="563"/>
      <c r="W542" s="563"/>
      <c r="X542" s="563"/>
      <c r="Y542" s="563"/>
      <c r="Z542" s="563"/>
      <c r="AA542" s="563"/>
      <c r="AB542" s="563"/>
      <c r="AC542" s="563"/>
      <c r="AD542" s="48"/>
      <c r="AE542" s="48"/>
      <c r="AF542" s="258"/>
      <c r="AG542" s="48"/>
      <c r="AH542" s="48"/>
      <c r="AI542" s="48"/>
      <c r="AJ542" s="48"/>
      <c r="AK542" s="48"/>
      <c r="AL542" s="51"/>
      <c r="AM542" s="212">
        <f>IF(AQ542=1,SUM(Q542:T542,W542:Z542,AC542:AF542,AI542:AL542),
IF(AQ542=2,SUM(P542,S542:V542,Y542:AB542,AE542:AH542,AK542:AL542),
IF(AQ542=3,SUM(P542:R542,U542:X542,AA542:AD542,AG542:AJ542),SUM(Таблица1[[#This Row],[1]:[31]])-Таблица1[[#This Row],[Столбец1]])))</f>
        <v>0</v>
      </c>
      <c r="AN542" s="778">
        <f t="array" ref="AN542">IF(AQ542=1,SUM(P542,U542:V542,AA542:AB542,AG542:AH542),
IF(AQ542=2,SUM(Q542:R542,W542:X542,AC542:AD542,AI542:AJ542),
IF(AQ542=3,SUM(S542:T542,Y542:Z542,AE542:AF542,AK542:AL542),
SUM(IFERROR(WEEKDAY($H$2:$AL$2,2)&gt;5,)*H542:AL542))))+Таблица1[[#This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42" s="292" t="b">
        <f>IF(AR542&lt;=3,(IF((G542="5/24"),((база!$M$6*Таблица1[[#This Row],[сумма]]*Таблица1[[#This Row],[коэф]])),
IF((G542="4/24"),((база!$M$5*Таблица1[[#This Row],[сумма]]*Таблица1[[#This Row],[коэф]])),
IF((G542="3/24"),((база!$M$4*Таблица1[[#This Row],[сумма]]*Таблица1[[#This Row],[коэф]])),
IF((G542="5/16"),((база!$L$6*Таблица1[[#This Row],[сумма]]*Таблица1[[#This Row],[коэф]])),
IF((G542="4/16"),((база!$L$5*Таблица1[[#This Row],[сумма]]*Таблица1[[#This Row],[коэф]])),
IF((G542="3/16"),((база!$L$4*Таблица1[[#This Row],[сумма]]*Таблица1[[#This Row],[коэф]])),
IF((G542="4/4"),((база!$I$5*Таблица1[[#This Row],[сумма]]*Таблица1[[#This Row],[коэф]])),
IF(OR(G542="2/4",G542="3/4"),((база!$I$4*Таблица1[[#This Row],[сумма]]*Таблица1[[#This Row],[коэф]])),
IF((G542="5/8"),((база!$J$6*Таблица1[[#This Row],[сумма]]*Таблица1[[#This Row],[коэф]])),
IF((G542="4/8"),((база!$J$5*Таблица1[[#This Row],[сумма]]*Таблица1[[#This Row],[коэф]])),
IF(OR(G542="3/8",G542="2/8"),((база!$J$4*Таблица1[[#This Row],[сумма]]*Таблица1[[#This Row],[коэф]])))))))))))))),
(IF((G542="5/24"),((база!$M$6*Таблица1[[#This Row],[сумма]]*Таблица1[[#This Row],[коэф]])),
IF(OR(G542="4/24",G542="3/24"),((база!$M$5*Таблица1[[#This Row],[сумма]]*Таблица1[[#This Row],[коэф]])),
IF((G542="5/16"),((база!$L$6*Таблица1[[#This Row],[сумма]]*Таблица1[[#This Row],[коэф]])),
IF(OR(G542="4/16",G542="3/16"),((база!$L$5*Таблица1[[#This Row],[сумма]]*Таблица1[[#This Row],[коэф]])),
IF(OR(G542="2/4",G542="3/4",G542="4/4"),((база!$I$5*Таблица1[[#This Row],[сумма]]*Таблица1[[#This Row],[коэф]])),
IF((G542="5/8"),((база!$J$6*Таблица1[[#This Row],[сумма]]*Таблица1[[#This Row],[коэф]])),
IF(OR(G542="4/8",G542="3/8",G542="2/8"),((база!$J$5*Таблица1[[#This Row],[сумма]]*Таблица1[[#This Row],[коэф]])))))))))))</f>
        <v>0</v>
      </c>
      <c r="AP542" s="730" t="b">
        <f>IF(AR542&lt;=3,(IF((G542="5/24"),((база!$M$6*2*Таблица1[[#This Row],[Столбец1]]*Таблица1[[#This Row],[коэф]])),
IF((G542="4/24"),((база!$M$5*2*Таблица1[[#This Row],[Столбец1]]*Таблица1[[#This Row],[коэф]])),
IF((G542="3/24"),((база!$M$4*2*Таблица1[[#This Row],[Столбец1]]*Таблица1[[#This Row],[коэф]])),
IF((G542="5/16"),((база!$L$6*2*Таблица1[[#This Row],[Столбец1]]*Таблица1[[#This Row],[коэф]])),
IF((G542="4/16"),((база!$L$5*2*Таблица1[[#This Row],[Столбец1]]*Таблица1[[#This Row],[коэф]])),
IF((G542="3/16"),((база!$L$4*2*Таблица1[[#This Row],[Столбец1]]*Таблица1[[#This Row],[коэф]])),
IF((G542="4/4"),((база!$I$5*2*Таблица1[[#This Row],[Столбец1]]*Таблица1[[#This Row],[коэф]])),
IF(OR(G542="2/4",G542="3/4"),((база!$I$4*2*Таблица1[[#This Row],[Столбец1]]*Таблица1[[#This Row],[коэф]])),
IF((G542="5/8"),((база!$J$6*2*Таблица1[[#This Row],[Столбец1]]*Таблица1[[#This Row],[коэф]])),
IF((G542="4/8"),((база!$J$5*2*Таблица1[[#This Row],[Столбец1]]*Таблица1[[#This Row],[коэф]])),
IF(OR(G542="3/8",G542="2/8"),((база!$J$4*2*Таблица1[[#This Row],[Столбец1]]*Таблица1[[#This Row],[коэф]])))))))))))))),
(IF((G542="5/24"),((база!$M$6*2*Таблица1[[#This Row],[Столбец1]]*Таблица1[[#This Row],[коэф]])),
IF(OR(G542="4/24",G542="3/24"),((база!$M$5*2*Таблица1[[#This Row],[Столбец1]]*Таблица1[[#This Row],[коэф]])),
IF((G542="5/16"),((база!$L$6*2*Таблица1[[#This Row],[Столбец1]]*Таблица1[[#This Row],[коэф]])),
IF(OR(G542="4/16",G542="3/16"),((база!$L$5*2*Таблица1[[#This Row],[Столбец1]]*Таблица1[[#This Row],[коэф]])),
IF(OR(G542="2/4",G542="3/4",G542="4/4"),((база!$I$5*2*Таблица1[[#This Row],[Столбец1]]*Таблица1[[#This Row],[коэф]])),
IF((G542="5/8"),((база!$J$6*2*Таблица1[[#This Row],[Столбец1]]*Таблица1[[#This Row],[коэф]])),
IF(OR(G542="4/8",G542="3/8",G542="2/8"),((база!$J$5*2*Таблица1[[#This Row],[Столбец1]]*Таблица1[[#This Row],[коэф]])))))))))))</f>
        <v>0</v>
      </c>
      <c r="AQ542" s="712" t="str">
        <f>IFERROR(INDEX(база!T:T, MATCH(F542,база!Q:Q,0)),"")</f>
        <v/>
      </c>
      <c r="AR542" s="208" t="str">
        <f>IFERROR(INDEX(база!D:D, MATCH(F542,база!B:B,0)),"")</f>
        <v/>
      </c>
      <c r="AS542" s="758" t="str">
        <f>IFERROR(INDEX(база!E:E, MATCH(F542,база!B:B,0)),"")</f>
        <v/>
      </c>
    </row>
    <row r="543" spans="1:45" s="46" customFormat="1" ht="15">
      <c r="A543" s="66" t="str">
        <f t="shared" si="10"/>
        <v>январь</v>
      </c>
      <c r="B543" s="231">
        <v>2024</v>
      </c>
      <c r="C543" s="299"/>
      <c r="D543" s="61"/>
      <c r="E543" s="211"/>
      <c r="F543" s="680"/>
      <c r="G543" s="47"/>
      <c r="H543" s="563"/>
      <c r="I543" s="563"/>
      <c r="J543" s="563"/>
      <c r="K543" s="563"/>
      <c r="L543" s="563"/>
      <c r="M543" s="563"/>
      <c r="N543" s="563"/>
      <c r="O543" s="563"/>
      <c r="P543" s="300"/>
      <c r="Q543" s="563"/>
      <c r="R543" s="563"/>
      <c r="S543" s="563"/>
      <c r="T543" s="563"/>
      <c r="U543" s="563"/>
      <c r="V543" s="563"/>
      <c r="W543" s="563"/>
      <c r="X543" s="563"/>
      <c r="Y543" s="563"/>
      <c r="Z543" s="563"/>
      <c r="AA543" s="563"/>
      <c r="AB543" s="563"/>
      <c r="AC543" s="563"/>
      <c r="AD543" s="48"/>
      <c r="AE543" s="48"/>
      <c r="AF543" s="258"/>
      <c r="AG543" s="48"/>
      <c r="AH543" s="48"/>
      <c r="AI543" s="258"/>
      <c r="AJ543" s="258"/>
      <c r="AK543" s="258"/>
      <c r="AL543" s="258"/>
      <c r="AM543" s="212">
        <f>IF(AQ543=1,SUM(Q543:T543,W543:Z543,AC543:AF543,AI543:AL543),
IF(AQ543=2,SUM(P543,S543:V543,Y543:AB543,AE543:AH543,AK543:AL543),
IF(AQ543=3,SUM(P543:R543,U543:X543,AA543:AD543,AG543:AJ543),SUM(Таблица1[[#This Row],[1]:[31]])-Таблица1[[#This Row],[Столбец1]])))</f>
        <v>0</v>
      </c>
      <c r="AN543" s="778">
        <f t="array" ref="AN543">IF(AQ543=1,SUM(P543,U543:V543,AA543:AB543,AG543:AH543),
IF(AQ543=2,SUM(Q543:R543,W543:X543,AC543:AD543,AI543:AJ543),
IF(AQ543=3,SUM(S543:T543,Y543:Z543,AE543:AF543,AK543:AL543),
SUM(IFERROR(WEEKDAY($H$2:$AL$2,2)&gt;5,)*H543:AL543))))+Таблица1[[#This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43" s="292" t="b">
        <f>IF(AR543&lt;=3,(IF((G543="5/24"),((база!$M$6*Таблица1[[#This Row],[сумма]]*Таблица1[[#This Row],[коэф]])),
IF((G543="4/24"),((база!$M$5*Таблица1[[#This Row],[сумма]]*Таблица1[[#This Row],[коэф]])),
IF((G543="3/24"),((база!$M$4*Таблица1[[#This Row],[сумма]]*Таблица1[[#This Row],[коэф]])),
IF((G543="5/16"),((база!$L$6*Таблица1[[#This Row],[сумма]]*Таблица1[[#This Row],[коэф]])),
IF((G543="4/16"),((база!$L$5*Таблица1[[#This Row],[сумма]]*Таблица1[[#This Row],[коэф]])),
IF((G543="3/16"),((база!$L$4*Таблица1[[#This Row],[сумма]]*Таблица1[[#This Row],[коэф]])),
IF((G543="4/4"),((база!$I$5*Таблица1[[#This Row],[сумма]]*Таблица1[[#This Row],[коэф]])),
IF(OR(G543="2/4",G543="3/4"),((база!$I$4*Таблица1[[#This Row],[сумма]]*Таблица1[[#This Row],[коэф]])),
IF((G543="5/8"),((база!$J$6*Таблица1[[#This Row],[сумма]]*Таблица1[[#This Row],[коэф]])),
IF((G543="4/8"),((база!$J$5*Таблица1[[#This Row],[сумма]]*Таблица1[[#This Row],[коэф]])),
IF(OR(G543="3/8",G543="2/8"),((база!$J$4*Таблица1[[#This Row],[сумма]]*Таблица1[[#This Row],[коэф]])))))))))))))),
(IF((G543="5/24"),((база!$M$6*Таблица1[[#This Row],[сумма]]*Таблица1[[#This Row],[коэф]])),
IF(OR(G543="4/24",G543="3/24"),((база!$M$5*Таблица1[[#This Row],[сумма]]*Таблица1[[#This Row],[коэф]])),
IF((G543="5/16"),((база!$L$6*Таблица1[[#This Row],[сумма]]*Таблица1[[#This Row],[коэф]])),
IF(OR(G543="4/16",G543="3/16"),((база!$L$5*Таблица1[[#This Row],[сумма]]*Таблица1[[#This Row],[коэф]])),
IF(OR(G543="2/4",G543="3/4",G543="4/4"),((база!$I$5*Таблица1[[#This Row],[сумма]]*Таблица1[[#This Row],[коэф]])),
IF((G543="5/8"),((база!$J$6*Таблица1[[#This Row],[сумма]]*Таблица1[[#This Row],[коэф]])),
IF(OR(G543="4/8",G543="3/8",G543="2/8"),((база!$J$5*Таблица1[[#This Row],[сумма]]*Таблица1[[#This Row],[коэф]])))))))))))</f>
        <v>0</v>
      </c>
      <c r="AP543" s="730" t="b">
        <f>IF(AR543&lt;=3,(IF((G543="5/24"),((база!$M$6*2*Таблица1[[#This Row],[Столбец1]]*Таблица1[[#This Row],[коэф]])),
IF((G543="4/24"),((база!$M$5*2*Таблица1[[#This Row],[Столбец1]]*Таблица1[[#This Row],[коэф]])),
IF((G543="3/24"),((база!$M$4*2*Таблица1[[#This Row],[Столбец1]]*Таблица1[[#This Row],[коэф]])),
IF((G543="5/16"),((база!$L$6*2*Таблица1[[#This Row],[Столбец1]]*Таблица1[[#This Row],[коэф]])),
IF((G543="4/16"),((база!$L$5*2*Таблица1[[#This Row],[Столбец1]]*Таблица1[[#This Row],[коэф]])),
IF((G543="3/16"),((база!$L$4*2*Таблица1[[#This Row],[Столбец1]]*Таблица1[[#This Row],[коэф]])),
IF((G543="4/4"),((база!$I$5*2*Таблица1[[#This Row],[Столбец1]]*Таблица1[[#This Row],[коэф]])),
IF(OR(G543="2/4",G543="3/4"),((база!$I$4*2*Таблица1[[#This Row],[Столбец1]]*Таблица1[[#This Row],[коэф]])),
IF((G543="5/8"),((база!$J$6*2*Таблица1[[#This Row],[Столбец1]]*Таблица1[[#This Row],[коэф]])),
IF((G543="4/8"),((база!$J$5*2*Таблица1[[#This Row],[Столбец1]]*Таблица1[[#This Row],[коэф]])),
IF(OR(G543="3/8",G543="2/8"),((база!$J$4*2*Таблица1[[#This Row],[Столбец1]]*Таблица1[[#This Row],[коэф]])))))))))))))),
(IF((G543="5/24"),((база!$M$6*2*Таблица1[[#This Row],[Столбец1]]*Таблица1[[#This Row],[коэф]])),
IF(OR(G543="4/24",G543="3/24"),((база!$M$5*2*Таблица1[[#This Row],[Столбец1]]*Таблица1[[#This Row],[коэф]])),
IF((G543="5/16"),((база!$L$6*2*Таблица1[[#This Row],[Столбец1]]*Таблица1[[#This Row],[коэф]])),
IF(OR(G543="4/16",G543="3/16"),((база!$L$5*2*Таблица1[[#This Row],[Столбец1]]*Таблица1[[#This Row],[коэф]])),
IF(OR(G543="2/4",G543="3/4",G543="4/4"),((база!$I$5*2*Таблица1[[#This Row],[Столбец1]]*Таблица1[[#This Row],[коэф]])),
IF((G543="5/8"),((база!$J$6*2*Таблица1[[#This Row],[Столбец1]]*Таблица1[[#This Row],[коэф]])),
IF(OR(G543="4/8",G543="3/8",G543="2/8"),((база!$J$5*2*Таблица1[[#This Row],[Столбец1]]*Таблица1[[#This Row],[коэф]])))))))))))</f>
        <v>0</v>
      </c>
      <c r="AQ543" s="712" t="str">
        <f>IFERROR(INDEX(база!T:T, MATCH(F543,база!Q:Q,0)),"")</f>
        <v/>
      </c>
      <c r="AR543" s="208" t="str">
        <f>IFERROR(INDEX(база!D:D, MATCH(F543,база!B:B,0)),"")</f>
        <v/>
      </c>
      <c r="AS543" s="758" t="str">
        <f>IFERROR(INDEX(база!E:E, MATCH(F543,база!B:B,0)),"")</f>
        <v/>
      </c>
    </row>
    <row r="544" spans="1:45" s="46" customFormat="1" ht="15">
      <c r="A544" s="66" t="str">
        <f t="shared" si="10"/>
        <v>январь</v>
      </c>
      <c r="B544" s="231">
        <v>2024</v>
      </c>
      <c r="C544" s="299"/>
      <c r="D544" s="61"/>
      <c r="E544" s="211"/>
      <c r="F544" s="680"/>
      <c r="G544" s="47"/>
      <c r="H544" s="563"/>
      <c r="I544" s="563"/>
      <c r="J544" s="563"/>
      <c r="K544" s="563"/>
      <c r="L544" s="563"/>
      <c r="M544" s="563"/>
      <c r="N544" s="563"/>
      <c r="O544" s="563"/>
      <c r="P544" s="300"/>
      <c r="Q544" s="563"/>
      <c r="R544" s="563"/>
      <c r="S544" s="563"/>
      <c r="T544" s="563"/>
      <c r="U544" s="563"/>
      <c r="V544" s="563"/>
      <c r="W544" s="563"/>
      <c r="X544" s="563"/>
      <c r="Y544" s="563"/>
      <c r="Z544" s="563"/>
      <c r="AA544" s="563"/>
      <c r="AB544" s="563"/>
      <c r="AC544" s="563"/>
      <c r="AD544" s="48"/>
      <c r="AE544" s="48"/>
      <c r="AF544" s="258"/>
      <c r="AG544" s="48"/>
      <c r="AH544" s="48"/>
      <c r="AI544" s="48"/>
      <c r="AJ544" s="48"/>
      <c r="AK544" s="48"/>
      <c r="AL544" s="51"/>
      <c r="AM544" s="212">
        <f>IF(AQ544=1,SUM(Q544:T544,W544:Z544,AC544:AF544,AI544:AL544),
IF(AQ544=2,SUM(P544,S544:V544,Y544:AB544,AE544:AH544,AK544:AL544),
IF(AQ544=3,SUM(P544:R544,U544:X544,AA544:AD544,AG544:AJ544),SUM(Таблица1[[#This Row],[1]:[31]])-Таблица1[[#This Row],[Столбец1]])))</f>
        <v>0</v>
      </c>
      <c r="AN544" s="778">
        <f t="array" ref="AN544">IF(AQ544=1,SUM(P544,U544:V544,AA544:AB544,AG544:AH544),
IF(AQ544=2,SUM(Q544:R544,W544:X544,AC544:AD544,AI544:AJ544),
IF(AQ544=3,SUM(S544:T544,Y544:Z544,AE544:AF544,AK544:AL544),
SUM(IFERROR(WEEKDAY($H$2:$AL$2,2)&gt;5,)*H544:AL544))))+Таблица1[[#This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44" s="292" t="b">
        <f>IF(AR544&lt;=3,(IF((G544="5/24"),((база!$M$6*Таблица1[[#This Row],[сумма]]*Таблица1[[#This Row],[коэф]])),
IF((G544="4/24"),((база!$M$5*Таблица1[[#This Row],[сумма]]*Таблица1[[#This Row],[коэф]])),
IF((G544="3/24"),((база!$M$4*Таблица1[[#This Row],[сумма]]*Таблица1[[#This Row],[коэф]])),
IF((G544="5/16"),((база!$L$6*Таблица1[[#This Row],[сумма]]*Таблица1[[#This Row],[коэф]])),
IF((G544="4/16"),((база!$L$5*Таблица1[[#This Row],[сумма]]*Таблица1[[#This Row],[коэф]])),
IF((G544="3/16"),((база!$L$4*Таблица1[[#This Row],[сумма]]*Таблица1[[#This Row],[коэф]])),
IF((G544="4/4"),((база!$I$5*Таблица1[[#This Row],[сумма]]*Таблица1[[#This Row],[коэф]])),
IF(OR(G544="2/4",G544="3/4"),((база!$I$4*Таблица1[[#This Row],[сумма]]*Таблица1[[#This Row],[коэф]])),
IF((G544="5/8"),((база!$J$6*Таблица1[[#This Row],[сумма]]*Таблица1[[#This Row],[коэф]])),
IF((G544="4/8"),((база!$J$5*Таблица1[[#This Row],[сумма]]*Таблица1[[#This Row],[коэф]])),
IF(OR(G544="3/8",G544="2/8"),((база!$J$4*Таблица1[[#This Row],[сумма]]*Таблица1[[#This Row],[коэф]])))))))))))))),
(IF((G544="5/24"),((база!$M$6*Таблица1[[#This Row],[сумма]]*Таблица1[[#This Row],[коэф]])),
IF(OR(G544="4/24",G544="3/24"),((база!$M$5*Таблица1[[#This Row],[сумма]]*Таблица1[[#This Row],[коэф]])),
IF((G544="5/16"),((база!$L$6*Таблица1[[#This Row],[сумма]]*Таблица1[[#This Row],[коэф]])),
IF(OR(G544="4/16",G544="3/16"),((база!$L$5*Таблица1[[#This Row],[сумма]]*Таблица1[[#This Row],[коэф]])),
IF(OR(G544="2/4",G544="3/4",G544="4/4"),((база!$I$5*Таблица1[[#This Row],[сумма]]*Таблица1[[#This Row],[коэф]])),
IF((G544="5/8"),((база!$J$6*Таблица1[[#This Row],[сумма]]*Таблица1[[#This Row],[коэф]])),
IF(OR(G544="4/8",G544="3/8",G544="2/8"),((база!$J$5*Таблица1[[#This Row],[сумма]]*Таблица1[[#This Row],[коэф]])))))))))))</f>
        <v>0</v>
      </c>
      <c r="AP544" s="730" t="b">
        <f>IF(AR544&lt;=3,(IF((G544="5/24"),((база!$M$6*2*Таблица1[[#This Row],[Столбец1]]*Таблица1[[#This Row],[коэф]])),
IF((G544="4/24"),((база!$M$5*2*Таблица1[[#This Row],[Столбец1]]*Таблица1[[#This Row],[коэф]])),
IF((G544="3/24"),((база!$M$4*2*Таблица1[[#This Row],[Столбец1]]*Таблица1[[#This Row],[коэф]])),
IF((G544="5/16"),((база!$L$6*2*Таблица1[[#This Row],[Столбец1]]*Таблица1[[#This Row],[коэф]])),
IF((G544="4/16"),((база!$L$5*2*Таблица1[[#This Row],[Столбец1]]*Таблица1[[#This Row],[коэф]])),
IF((G544="3/16"),((база!$L$4*2*Таблица1[[#This Row],[Столбец1]]*Таблица1[[#This Row],[коэф]])),
IF((G544="4/4"),((база!$I$5*2*Таблица1[[#This Row],[Столбец1]]*Таблица1[[#This Row],[коэф]])),
IF(OR(G544="2/4",G544="3/4"),((база!$I$4*2*Таблица1[[#This Row],[Столбец1]]*Таблица1[[#This Row],[коэф]])),
IF((G544="5/8"),((база!$J$6*2*Таблица1[[#This Row],[Столбец1]]*Таблица1[[#This Row],[коэф]])),
IF((G544="4/8"),((база!$J$5*2*Таблица1[[#This Row],[Столбец1]]*Таблица1[[#This Row],[коэф]])),
IF(OR(G544="3/8",G544="2/8"),((база!$J$4*2*Таблица1[[#This Row],[Столбец1]]*Таблица1[[#This Row],[коэф]])))))))))))))),
(IF((G544="5/24"),((база!$M$6*2*Таблица1[[#This Row],[Столбец1]]*Таблица1[[#This Row],[коэф]])),
IF(OR(G544="4/24",G544="3/24"),((база!$M$5*2*Таблица1[[#This Row],[Столбец1]]*Таблица1[[#This Row],[коэф]])),
IF((G544="5/16"),((база!$L$6*2*Таблица1[[#This Row],[Столбец1]]*Таблица1[[#This Row],[коэф]])),
IF(OR(G544="4/16",G544="3/16"),((база!$L$5*2*Таблица1[[#This Row],[Столбец1]]*Таблица1[[#This Row],[коэф]])),
IF(OR(G544="2/4",G544="3/4",G544="4/4"),((база!$I$5*2*Таблица1[[#This Row],[Столбец1]]*Таблица1[[#This Row],[коэф]])),
IF((G544="5/8"),((база!$J$6*2*Таблица1[[#This Row],[Столбец1]]*Таблица1[[#This Row],[коэф]])),
IF(OR(G544="4/8",G544="3/8",G544="2/8"),((база!$J$5*2*Таблица1[[#This Row],[Столбец1]]*Таблица1[[#This Row],[коэф]])))))))))))</f>
        <v>0</v>
      </c>
      <c r="AQ544" s="712" t="str">
        <f>IFERROR(INDEX(база!T:T, MATCH(F544,база!Q:Q,0)),"")</f>
        <v/>
      </c>
      <c r="AR544" s="208" t="str">
        <f>IFERROR(INDEX(база!D:D, MATCH(F544,база!B:B,0)),"")</f>
        <v/>
      </c>
      <c r="AS544" s="758" t="str">
        <f>IFERROR(INDEX(база!E:E, MATCH(F544,база!B:B,0)),"")</f>
        <v/>
      </c>
    </row>
    <row r="545" spans="1:45" s="46" customFormat="1" ht="15">
      <c r="A545" s="66" t="str">
        <f t="shared" si="10"/>
        <v>январь</v>
      </c>
      <c r="B545" s="231">
        <v>2024</v>
      </c>
      <c r="C545" s="299"/>
      <c r="D545" s="61"/>
      <c r="E545" s="211"/>
      <c r="F545" s="680"/>
      <c r="G545" s="47"/>
      <c r="H545" s="563"/>
      <c r="I545" s="563"/>
      <c r="J545" s="563"/>
      <c r="K545" s="563"/>
      <c r="L545" s="563"/>
      <c r="M545" s="563"/>
      <c r="N545" s="563"/>
      <c r="O545" s="563"/>
      <c r="P545" s="300"/>
      <c r="Q545" s="563"/>
      <c r="R545" s="563"/>
      <c r="S545" s="563"/>
      <c r="T545" s="563"/>
      <c r="U545" s="563"/>
      <c r="V545" s="563"/>
      <c r="W545" s="563"/>
      <c r="X545" s="563"/>
      <c r="Y545" s="563"/>
      <c r="Z545" s="563"/>
      <c r="AA545" s="563"/>
      <c r="AB545" s="563"/>
      <c r="AC545" s="563"/>
      <c r="AD545" s="48"/>
      <c r="AE545" s="48"/>
      <c r="AF545" s="258"/>
      <c r="AG545" s="48"/>
      <c r="AH545" s="48"/>
      <c r="AI545" s="258"/>
      <c r="AJ545" s="258"/>
      <c r="AK545" s="258"/>
      <c r="AL545" s="258"/>
      <c r="AM545" s="212">
        <f>IF(AQ545=1,SUM(Q545:T545,W545:Z545,AC545:AF545,AI545:AL545),
IF(AQ545=2,SUM(P545,S545:V545,Y545:AB545,AE545:AH545,AK545:AL545),
IF(AQ545=3,SUM(P545:R545,U545:X545,AA545:AD545,AG545:AJ545),SUM(Таблица1[[#This Row],[1]:[31]])-Таблица1[[#This Row],[Столбец1]])))</f>
        <v>0</v>
      </c>
      <c r="AN545" s="778">
        <f t="array" ref="AN545">IF(AQ545=1,SUM(P545,U545:V545,AA545:AB545,AG545:AH545),
IF(AQ545=2,SUM(Q545:R545,W545:X545,AC545:AD545,AI545:AJ545),
IF(AQ545=3,SUM(S545:T545,Y545:Z545,AE545:AF545,AK545:AL545),
SUM(IFERROR(WEEKDAY($H$2:$AL$2,2)&gt;5,)*H545:AL545))))+Таблица1[[#This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45" s="292" t="b">
        <f>IF(AR545&lt;=3,(IF((G545="5/24"),((база!$M$6*Таблица1[[#This Row],[сумма]]*Таблица1[[#This Row],[коэф]])),
IF((G545="4/24"),((база!$M$5*Таблица1[[#This Row],[сумма]]*Таблица1[[#This Row],[коэф]])),
IF((G545="3/24"),((база!$M$4*Таблица1[[#This Row],[сумма]]*Таблица1[[#This Row],[коэф]])),
IF((G545="5/16"),((база!$L$6*Таблица1[[#This Row],[сумма]]*Таблица1[[#This Row],[коэф]])),
IF((G545="4/16"),((база!$L$5*Таблица1[[#This Row],[сумма]]*Таблица1[[#This Row],[коэф]])),
IF((G545="3/16"),((база!$L$4*Таблица1[[#This Row],[сумма]]*Таблица1[[#This Row],[коэф]])),
IF((G545="4/4"),((база!$I$5*Таблица1[[#This Row],[сумма]]*Таблица1[[#This Row],[коэф]])),
IF(OR(G545="2/4",G545="3/4"),((база!$I$4*Таблица1[[#This Row],[сумма]]*Таблица1[[#This Row],[коэф]])),
IF((G545="5/8"),((база!$J$6*Таблица1[[#This Row],[сумма]]*Таблица1[[#This Row],[коэф]])),
IF((G545="4/8"),((база!$J$5*Таблица1[[#This Row],[сумма]]*Таблица1[[#This Row],[коэф]])),
IF(OR(G545="3/8",G545="2/8"),((база!$J$4*Таблица1[[#This Row],[сумма]]*Таблица1[[#This Row],[коэф]])))))))))))))),
(IF((G545="5/24"),((база!$M$6*Таблица1[[#This Row],[сумма]]*Таблица1[[#This Row],[коэф]])),
IF(OR(G545="4/24",G545="3/24"),((база!$M$5*Таблица1[[#This Row],[сумма]]*Таблица1[[#This Row],[коэф]])),
IF((G545="5/16"),((база!$L$6*Таблица1[[#This Row],[сумма]]*Таблица1[[#This Row],[коэф]])),
IF(OR(G545="4/16",G545="3/16"),((база!$L$5*Таблица1[[#This Row],[сумма]]*Таблица1[[#This Row],[коэф]])),
IF(OR(G545="2/4",G545="3/4",G545="4/4"),((база!$I$5*Таблица1[[#This Row],[сумма]]*Таблица1[[#This Row],[коэф]])),
IF((G545="5/8"),((база!$J$6*Таблица1[[#This Row],[сумма]]*Таблица1[[#This Row],[коэф]])),
IF(OR(G545="4/8",G545="3/8",G545="2/8"),((база!$J$5*Таблица1[[#This Row],[сумма]]*Таблица1[[#This Row],[коэф]])))))))))))</f>
        <v>0</v>
      </c>
      <c r="AP545" s="730" t="b">
        <f>IF(AR545&lt;=3,(IF((G545="5/24"),((база!$M$6*2*Таблица1[[#This Row],[Столбец1]]*Таблица1[[#This Row],[коэф]])),
IF((G545="4/24"),((база!$M$5*2*Таблица1[[#This Row],[Столбец1]]*Таблица1[[#This Row],[коэф]])),
IF((G545="3/24"),((база!$M$4*2*Таблица1[[#This Row],[Столбец1]]*Таблица1[[#This Row],[коэф]])),
IF((G545="5/16"),((база!$L$6*2*Таблица1[[#This Row],[Столбец1]]*Таблица1[[#This Row],[коэф]])),
IF((G545="4/16"),((база!$L$5*2*Таблица1[[#This Row],[Столбец1]]*Таблица1[[#This Row],[коэф]])),
IF((G545="3/16"),((база!$L$4*2*Таблица1[[#This Row],[Столбец1]]*Таблица1[[#This Row],[коэф]])),
IF((G545="4/4"),((база!$I$5*2*Таблица1[[#This Row],[Столбец1]]*Таблица1[[#This Row],[коэф]])),
IF(OR(G545="2/4",G545="3/4"),((база!$I$4*2*Таблица1[[#This Row],[Столбец1]]*Таблица1[[#This Row],[коэф]])),
IF((G545="5/8"),((база!$J$6*2*Таблица1[[#This Row],[Столбец1]]*Таблица1[[#This Row],[коэф]])),
IF((G545="4/8"),((база!$J$5*2*Таблица1[[#This Row],[Столбец1]]*Таблица1[[#This Row],[коэф]])),
IF(OR(G545="3/8",G545="2/8"),((база!$J$4*2*Таблица1[[#This Row],[Столбец1]]*Таблица1[[#This Row],[коэф]])))))))))))))),
(IF((G545="5/24"),((база!$M$6*2*Таблица1[[#This Row],[Столбец1]]*Таблица1[[#This Row],[коэф]])),
IF(OR(G545="4/24",G545="3/24"),((база!$M$5*2*Таблица1[[#This Row],[Столбец1]]*Таблица1[[#This Row],[коэф]])),
IF((G545="5/16"),((база!$L$6*2*Таблица1[[#This Row],[Столбец1]]*Таблица1[[#This Row],[коэф]])),
IF(OR(G545="4/16",G545="3/16"),((база!$L$5*2*Таблица1[[#This Row],[Столбец1]]*Таблица1[[#This Row],[коэф]])),
IF(OR(G545="2/4",G545="3/4",G545="4/4"),((база!$I$5*2*Таблица1[[#This Row],[Столбец1]]*Таблица1[[#This Row],[коэф]])),
IF((G545="5/8"),((база!$J$6*2*Таблица1[[#This Row],[Столбец1]]*Таблица1[[#This Row],[коэф]])),
IF(OR(G545="4/8",G545="3/8",G545="2/8"),((база!$J$5*2*Таблица1[[#This Row],[Столбец1]]*Таблица1[[#This Row],[коэф]])))))))))))</f>
        <v>0</v>
      </c>
      <c r="AQ545" s="712" t="str">
        <f>IFERROR(INDEX(база!T:T, MATCH(F545,база!Q:Q,0)),"")</f>
        <v/>
      </c>
      <c r="AR545" s="208" t="str">
        <f>IFERROR(INDEX(база!D:D, MATCH(F545,база!B:B,0)),"")</f>
        <v/>
      </c>
      <c r="AS545" s="758" t="str">
        <f>IFERROR(INDEX(база!E:E, MATCH(F545,база!B:B,0)),"")</f>
        <v/>
      </c>
    </row>
    <row r="546" spans="1:45" s="46" customFormat="1" ht="15">
      <c r="A546" s="66" t="str">
        <f t="shared" si="10"/>
        <v>январь</v>
      </c>
      <c r="B546" s="231">
        <v>2024</v>
      </c>
      <c r="C546" s="299"/>
      <c r="D546" s="61"/>
      <c r="E546" s="211"/>
      <c r="F546" s="680"/>
      <c r="G546" s="47"/>
      <c r="H546" s="563"/>
      <c r="I546" s="563"/>
      <c r="J546" s="563"/>
      <c r="K546" s="563"/>
      <c r="L546" s="563"/>
      <c r="M546" s="563"/>
      <c r="N546" s="563"/>
      <c r="O546" s="563"/>
      <c r="P546" s="300"/>
      <c r="Q546" s="563"/>
      <c r="R546" s="563"/>
      <c r="S546" s="563"/>
      <c r="T546" s="563"/>
      <c r="U546" s="563"/>
      <c r="V546" s="563"/>
      <c r="W546" s="563"/>
      <c r="X546" s="563"/>
      <c r="Y546" s="563"/>
      <c r="Z546" s="563"/>
      <c r="AA546" s="563"/>
      <c r="AB546" s="563"/>
      <c r="AC546" s="563"/>
      <c r="AD546" s="48"/>
      <c r="AE546" s="48"/>
      <c r="AF546" s="258"/>
      <c r="AG546" s="48"/>
      <c r="AH546" s="48"/>
      <c r="AI546" s="48"/>
      <c r="AJ546" s="48"/>
      <c r="AK546" s="48"/>
      <c r="AL546" s="51"/>
      <c r="AM546" s="212">
        <f>IF(AQ546=1,SUM(Q546:T546,W546:Z546,AC546:AF546,AI546:AL546),
IF(AQ546=2,SUM(P546,S546:V546,Y546:AB546,AE546:AH546,AK546:AL546),
IF(AQ546=3,SUM(P546:R546,U546:X546,AA546:AD546,AG546:AJ546),SUM(Таблица1[[#This Row],[1]:[31]])-Таблица1[[#This Row],[Столбец1]])))</f>
        <v>0</v>
      </c>
      <c r="AN546" s="778">
        <f t="array" ref="AN546">IF(AQ546=1,SUM(P546,U546:V546,AA546:AB546,AG546:AH546),
IF(AQ546=2,SUM(Q546:R546,W546:X546,AC546:AD546,AI546:AJ546),
IF(AQ546=3,SUM(S546:T546,Y546:Z546,AE546:AF546,AK546:AL546),
SUM(IFERROR(WEEKDAY($H$2:$AL$2,2)&gt;5,)*H546:AL546))))+Таблица1[[#This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46" s="292" t="b">
        <f>IF(AR546&lt;=3,(IF((G546="5/24"),((база!$M$6*Таблица1[[#This Row],[сумма]]*Таблица1[[#This Row],[коэф]])),
IF((G546="4/24"),((база!$M$5*Таблица1[[#This Row],[сумма]]*Таблица1[[#This Row],[коэф]])),
IF((G546="3/24"),((база!$M$4*Таблица1[[#This Row],[сумма]]*Таблица1[[#This Row],[коэф]])),
IF((G546="5/16"),((база!$L$6*Таблица1[[#This Row],[сумма]]*Таблица1[[#This Row],[коэф]])),
IF((G546="4/16"),((база!$L$5*Таблица1[[#This Row],[сумма]]*Таблица1[[#This Row],[коэф]])),
IF((G546="3/16"),((база!$L$4*Таблица1[[#This Row],[сумма]]*Таблица1[[#This Row],[коэф]])),
IF((G546="4/4"),((база!$I$5*Таблица1[[#This Row],[сумма]]*Таблица1[[#This Row],[коэф]])),
IF(OR(G546="2/4",G546="3/4"),((база!$I$4*Таблица1[[#This Row],[сумма]]*Таблица1[[#This Row],[коэф]])),
IF((G546="5/8"),((база!$J$6*Таблица1[[#This Row],[сумма]]*Таблица1[[#This Row],[коэф]])),
IF((G546="4/8"),((база!$J$5*Таблица1[[#This Row],[сумма]]*Таблица1[[#This Row],[коэф]])),
IF(OR(G546="3/8",G546="2/8"),((база!$J$4*Таблица1[[#This Row],[сумма]]*Таблица1[[#This Row],[коэф]])))))))))))))),
(IF((G546="5/24"),((база!$M$6*Таблица1[[#This Row],[сумма]]*Таблица1[[#This Row],[коэф]])),
IF(OR(G546="4/24",G546="3/24"),((база!$M$5*Таблица1[[#This Row],[сумма]]*Таблица1[[#This Row],[коэф]])),
IF((G546="5/16"),((база!$L$6*Таблица1[[#This Row],[сумма]]*Таблица1[[#This Row],[коэф]])),
IF(OR(G546="4/16",G546="3/16"),((база!$L$5*Таблица1[[#This Row],[сумма]]*Таблица1[[#This Row],[коэф]])),
IF(OR(G546="2/4",G546="3/4",G546="4/4"),((база!$I$5*Таблица1[[#This Row],[сумма]]*Таблица1[[#This Row],[коэф]])),
IF((G546="5/8"),((база!$J$6*Таблица1[[#This Row],[сумма]]*Таблица1[[#This Row],[коэф]])),
IF(OR(G546="4/8",G546="3/8",G546="2/8"),((база!$J$5*Таблица1[[#This Row],[сумма]]*Таблица1[[#This Row],[коэф]])))))))))))</f>
        <v>0</v>
      </c>
      <c r="AP546" s="730" t="b">
        <f>IF(AR546&lt;=3,(IF((G546="5/24"),((база!$M$6*2*Таблица1[[#This Row],[Столбец1]]*Таблица1[[#This Row],[коэф]])),
IF((G546="4/24"),((база!$M$5*2*Таблица1[[#This Row],[Столбец1]]*Таблица1[[#This Row],[коэф]])),
IF((G546="3/24"),((база!$M$4*2*Таблица1[[#This Row],[Столбец1]]*Таблица1[[#This Row],[коэф]])),
IF((G546="5/16"),((база!$L$6*2*Таблица1[[#This Row],[Столбец1]]*Таблица1[[#This Row],[коэф]])),
IF((G546="4/16"),((база!$L$5*2*Таблица1[[#This Row],[Столбец1]]*Таблица1[[#This Row],[коэф]])),
IF((G546="3/16"),((база!$L$4*2*Таблица1[[#This Row],[Столбец1]]*Таблица1[[#This Row],[коэф]])),
IF((G546="4/4"),((база!$I$5*2*Таблица1[[#This Row],[Столбец1]]*Таблица1[[#This Row],[коэф]])),
IF(OR(G546="2/4",G546="3/4"),((база!$I$4*2*Таблица1[[#This Row],[Столбец1]]*Таблица1[[#This Row],[коэф]])),
IF((G546="5/8"),((база!$J$6*2*Таблица1[[#This Row],[Столбец1]]*Таблица1[[#This Row],[коэф]])),
IF((G546="4/8"),((база!$J$5*2*Таблица1[[#This Row],[Столбец1]]*Таблица1[[#This Row],[коэф]])),
IF(OR(G546="3/8",G546="2/8"),((база!$J$4*2*Таблица1[[#This Row],[Столбец1]]*Таблица1[[#This Row],[коэф]])))))))))))))),
(IF((G546="5/24"),((база!$M$6*2*Таблица1[[#This Row],[Столбец1]]*Таблица1[[#This Row],[коэф]])),
IF(OR(G546="4/24",G546="3/24"),((база!$M$5*2*Таблица1[[#This Row],[Столбец1]]*Таблица1[[#This Row],[коэф]])),
IF((G546="5/16"),((база!$L$6*2*Таблица1[[#This Row],[Столбец1]]*Таблица1[[#This Row],[коэф]])),
IF(OR(G546="4/16",G546="3/16"),((база!$L$5*2*Таблица1[[#This Row],[Столбец1]]*Таблица1[[#This Row],[коэф]])),
IF(OR(G546="2/4",G546="3/4",G546="4/4"),((база!$I$5*2*Таблица1[[#This Row],[Столбец1]]*Таблица1[[#This Row],[коэф]])),
IF((G546="5/8"),((база!$J$6*2*Таблица1[[#This Row],[Столбец1]]*Таблица1[[#This Row],[коэф]])),
IF(OR(G546="4/8",G546="3/8",G546="2/8"),((база!$J$5*2*Таблица1[[#This Row],[Столбец1]]*Таблица1[[#This Row],[коэф]])))))))))))</f>
        <v>0</v>
      </c>
      <c r="AQ546" s="712" t="str">
        <f>IFERROR(INDEX(база!T:T, MATCH(F546,база!Q:Q,0)),"")</f>
        <v/>
      </c>
      <c r="AR546" s="208" t="str">
        <f>IFERROR(INDEX(база!D:D, MATCH(F546,база!B:B,0)),"")</f>
        <v/>
      </c>
      <c r="AS546" s="758" t="str">
        <f>IFERROR(INDEX(база!E:E, MATCH(F546,база!B:B,0)),"")</f>
        <v/>
      </c>
    </row>
    <row r="547" spans="1:45" s="46" customFormat="1" ht="15">
      <c r="A547" s="66" t="str">
        <f t="shared" si="10"/>
        <v>январь</v>
      </c>
      <c r="B547" s="231">
        <v>2024</v>
      </c>
      <c r="C547" s="60"/>
      <c r="D547" s="61"/>
      <c r="E547" s="211"/>
      <c r="F547" s="680"/>
      <c r="G547" s="47"/>
      <c r="H547" s="563"/>
      <c r="I547" s="563"/>
      <c r="J547" s="563"/>
      <c r="K547" s="563"/>
      <c r="L547" s="563"/>
      <c r="M547" s="563"/>
      <c r="N547" s="563"/>
      <c r="O547" s="563"/>
      <c r="P547" s="300"/>
      <c r="Q547" s="563"/>
      <c r="R547" s="563"/>
      <c r="S547" s="563"/>
      <c r="T547" s="563"/>
      <c r="U547" s="563"/>
      <c r="V547" s="563"/>
      <c r="W547" s="563"/>
      <c r="X547" s="563"/>
      <c r="Y547" s="563"/>
      <c r="Z547" s="563"/>
      <c r="AA547" s="563"/>
      <c r="AB547" s="563"/>
      <c r="AC547" s="563"/>
      <c r="AD547" s="48"/>
      <c r="AE547" s="48"/>
      <c r="AF547" s="258"/>
      <c r="AG547" s="48"/>
      <c r="AH547" s="48"/>
      <c r="AI547" s="258"/>
      <c r="AJ547" s="258"/>
      <c r="AK547" s="258"/>
      <c r="AL547" s="258"/>
      <c r="AM547" s="212">
        <f>IF(AQ547=1,SUM(Q547:T547,W547:Z547,AC547:AF547,AI547:AL547),
IF(AQ547=2,SUM(P547,S547:V547,Y547:AB547,AE547:AH547,AK547:AL547),
IF(AQ547=3,SUM(P547:R547,U547:X547,AA547:AD547,AG547:AJ547),SUM(Таблица1[[#This Row],[1]:[31]])-Таблица1[[#This Row],[Столбец1]])))</f>
        <v>0</v>
      </c>
      <c r="AN547" s="778">
        <f t="array" ref="AN547">IF(AQ547=1,SUM(P547,U547:V547,AA547:AB547,AG547:AH547),
IF(AQ547=2,SUM(Q547:R547,W547:X547,AC547:AD547,AI547:AJ547),
IF(AQ547=3,SUM(S547:T547,Y547:Z547,AE547:AF547,AK547:AL547),
SUM(IFERROR(WEEKDAY($H$2:$AL$2,2)&gt;5,)*H547:AL547))))+Таблица1[[#This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47" s="292" t="b">
        <f>IF(AR547&lt;=3,(IF((G547="5/24"),((база!$M$6*Таблица1[[#This Row],[сумма]]*Таблица1[[#This Row],[коэф]])),
IF((G547="4/24"),((база!$M$5*Таблица1[[#This Row],[сумма]]*Таблица1[[#This Row],[коэф]])),
IF((G547="3/24"),((база!$M$4*Таблица1[[#This Row],[сумма]]*Таблица1[[#This Row],[коэф]])),
IF((G547="5/16"),((база!$L$6*Таблица1[[#This Row],[сумма]]*Таблица1[[#This Row],[коэф]])),
IF((G547="4/16"),((база!$L$5*Таблица1[[#This Row],[сумма]]*Таблица1[[#This Row],[коэф]])),
IF((G547="3/16"),((база!$L$4*Таблица1[[#This Row],[сумма]]*Таблица1[[#This Row],[коэф]])),
IF((G547="4/4"),((база!$I$5*Таблица1[[#This Row],[сумма]]*Таблица1[[#This Row],[коэф]])),
IF(OR(G547="2/4",G547="3/4"),((база!$I$4*Таблица1[[#This Row],[сумма]]*Таблица1[[#This Row],[коэф]])),
IF((G547="5/8"),((база!$J$6*Таблица1[[#This Row],[сумма]]*Таблица1[[#This Row],[коэф]])),
IF((G547="4/8"),((база!$J$5*Таблица1[[#This Row],[сумма]]*Таблица1[[#This Row],[коэф]])),
IF(OR(G547="3/8",G547="2/8"),((база!$J$4*Таблица1[[#This Row],[сумма]]*Таблица1[[#This Row],[коэф]])))))))))))))),
(IF((G547="5/24"),((база!$M$6*Таблица1[[#This Row],[сумма]]*Таблица1[[#This Row],[коэф]])),
IF(OR(G547="4/24",G547="3/24"),((база!$M$5*Таблица1[[#This Row],[сумма]]*Таблица1[[#This Row],[коэф]])),
IF((G547="5/16"),((база!$L$6*Таблица1[[#This Row],[сумма]]*Таблица1[[#This Row],[коэф]])),
IF(OR(G547="4/16",G547="3/16"),((база!$L$5*Таблица1[[#This Row],[сумма]]*Таблица1[[#This Row],[коэф]])),
IF(OR(G547="2/4",G547="3/4",G547="4/4"),((база!$I$5*Таблица1[[#This Row],[сумма]]*Таблица1[[#This Row],[коэф]])),
IF((G547="5/8"),((база!$J$6*Таблица1[[#This Row],[сумма]]*Таблица1[[#This Row],[коэф]])),
IF(OR(G547="4/8",G547="3/8",G547="2/8"),((база!$J$5*Таблица1[[#This Row],[сумма]]*Таблица1[[#This Row],[коэф]])))))))))))</f>
        <v>0</v>
      </c>
      <c r="AP547" s="730" t="b">
        <f>IF(AR547&lt;=3,(IF((G547="5/24"),((база!$M$6*2*Таблица1[[#This Row],[Столбец1]]*Таблица1[[#This Row],[коэф]])),
IF((G547="4/24"),((база!$M$5*2*Таблица1[[#This Row],[Столбец1]]*Таблица1[[#This Row],[коэф]])),
IF((G547="3/24"),((база!$M$4*2*Таблица1[[#This Row],[Столбец1]]*Таблица1[[#This Row],[коэф]])),
IF((G547="5/16"),((база!$L$6*2*Таблица1[[#This Row],[Столбец1]]*Таблица1[[#This Row],[коэф]])),
IF((G547="4/16"),((база!$L$5*2*Таблица1[[#This Row],[Столбец1]]*Таблица1[[#This Row],[коэф]])),
IF((G547="3/16"),((база!$L$4*2*Таблица1[[#This Row],[Столбец1]]*Таблица1[[#This Row],[коэф]])),
IF((G547="4/4"),((база!$I$5*2*Таблица1[[#This Row],[Столбец1]]*Таблица1[[#This Row],[коэф]])),
IF(OR(G547="2/4",G547="3/4"),((база!$I$4*2*Таблица1[[#This Row],[Столбец1]]*Таблица1[[#This Row],[коэф]])),
IF((G547="5/8"),((база!$J$6*2*Таблица1[[#This Row],[Столбец1]]*Таблица1[[#This Row],[коэф]])),
IF((G547="4/8"),((база!$J$5*2*Таблица1[[#This Row],[Столбец1]]*Таблица1[[#This Row],[коэф]])),
IF(OR(G547="3/8",G547="2/8"),((база!$J$4*2*Таблица1[[#This Row],[Столбец1]]*Таблица1[[#This Row],[коэф]])))))))))))))),
(IF((G547="5/24"),((база!$M$6*2*Таблица1[[#This Row],[Столбец1]]*Таблица1[[#This Row],[коэф]])),
IF(OR(G547="4/24",G547="3/24"),((база!$M$5*2*Таблица1[[#This Row],[Столбец1]]*Таблица1[[#This Row],[коэф]])),
IF((G547="5/16"),((база!$L$6*2*Таблица1[[#This Row],[Столбец1]]*Таблица1[[#This Row],[коэф]])),
IF(OR(G547="4/16",G547="3/16"),((база!$L$5*2*Таблица1[[#This Row],[Столбец1]]*Таблица1[[#This Row],[коэф]])),
IF(OR(G547="2/4",G547="3/4",G547="4/4"),((база!$I$5*2*Таблица1[[#This Row],[Столбец1]]*Таблица1[[#This Row],[коэф]])),
IF((G547="5/8"),((база!$J$6*2*Таблица1[[#This Row],[Столбец1]]*Таблица1[[#This Row],[коэф]])),
IF(OR(G547="4/8",G547="3/8",G547="2/8"),((база!$J$5*2*Таблица1[[#This Row],[Столбец1]]*Таблица1[[#This Row],[коэф]])))))))))))</f>
        <v>0</v>
      </c>
      <c r="AQ547" s="712" t="str">
        <f>IFERROR(INDEX(база!T:T, MATCH(F547,база!Q:Q,0)),"")</f>
        <v/>
      </c>
      <c r="AR547" s="208" t="str">
        <f>IFERROR(INDEX(база!D:D, MATCH(F547,база!B:B,0)),"")</f>
        <v/>
      </c>
      <c r="AS547" s="758" t="str">
        <f>IFERROR(INDEX(база!E:E, MATCH(F547,база!B:B,0)),"")</f>
        <v/>
      </c>
    </row>
    <row r="548" spans="1:45" s="46" customFormat="1" ht="15">
      <c r="A548" s="66" t="str">
        <f t="shared" si="10"/>
        <v>январь</v>
      </c>
      <c r="B548" s="231">
        <v>2024</v>
      </c>
      <c r="C548" s="60"/>
      <c r="D548" s="61"/>
      <c r="E548" s="211"/>
      <c r="F548" s="680"/>
      <c r="G548" s="47"/>
      <c r="H548" s="563"/>
      <c r="I548" s="563"/>
      <c r="J548" s="563"/>
      <c r="K548" s="563"/>
      <c r="L548" s="563"/>
      <c r="M548" s="563"/>
      <c r="N548" s="563"/>
      <c r="O548" s="563"/>
      <c r="P548" s="300"/>
      <c r="Q548" s="563"/>
      <c r="R548" s="563"/>
      <c r="S548" s="563"/>
      <c r="T548" s="563"/>
      <c r="U548" s="563"/>
      <c r="V548" s="563"/>
      <c r="W548" s="563"/>
      <c r="X548" s="563"/>
      <c r="Y548" s="563"/>
      <c r="Z548" s="563"/>
      <c r="AA548" s="563"/>
      <c r="AB548" s="563"/>
      <c r="AC548" s="563"/>
      <c r="AD548" s="48"/>
      <c r="AE548" s="48"/>
      <c r="AF548" s="258"/>
      <c r="AG548" s="48"/>
      <c r="AH548" s="48"/>
      <c r="AI548" s="48"/>
      <c r="AJ548" s="48"/>
      <c r="AK548" s="48"/>
      <c r="AL548" s="51"/>
      <c r="AM548" s="212">
        <f>IF(AQ548=1,SUM(Q548:T548,W548:Z548,AC548:AF548,AI548:AL548),
IF(AQ548=2,SUM(P548,S548:V548,Y548:AB548,AE548:AH548,AK548:AL548),
IF(AQ548=3,SUM(P548:R548,U548:X548,AA548:AD548,AG548:AJ548),SUM(Таблица1[[#This Row],[1]:[31]])-Таблица1[[#This Row],[Столбец1]])))</f>
        <v>0</v>
      </c>
      <c r="AN548" s="778">
        <f t="array" ref="AN548">IF(AQ548=1,SUM(P548,U548:V548,AA548:AB548,AG548:AH548),
IF(AQ548=2,SUM(Q548:R548,W548:X548,AC548:AD548,AI548:AJ548),
IF(AQ548=3,SUM(S548:T548,Y548:Z548,AE548:AF548,AK548:AL548),
SUM(IFERROR(WEEKDAY($H$2:$AL$2,2)&gt;5,)*H548:AL548))))+Таблица1[[#This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48" s="292" t="b">
        <f>IF(AR548&lt;=3,(IF((G548="5/24"),((база!$M$6*Таблица1[[#This Row],[сумма]]*Таблица1[[#This Row],[коэф]])),
IF((G548="4/24"),((база!$M$5*Таблица1[[#This Row],[сумма]]*Таблица1[[#This Row],[коэф]])),
IF((G548="3/24"),((база!$M$4*Таблица1[[#This Row],[сумма]]*Таблица1[[#This Row],[коэф]])),
IF((G548="5/16"),((база!$L$6*Таблица1[[#This Row],[сумма]]*Таблица1[[#This Row],[коэф]])),
IF((G548="4/16"),((база!$L$5*Таблица1[[#This Row],[сумма]]*Таблица1[[#This Row],[коэф]])),
IF((G548="3/16"),((база!$L$4*Таблица1[[#This Row],[сумма]]*Таблица1[[#This Row],[коэф]])),
IF((G548="4/4"),((база!$I$5*Таблица1[[#This Row],[сумма]]*Таблица1[[#This Row],[коэф]])),
IF(OR(G548="2/4",G548="3/4"),((база!$I$4*Таблица1[[#This Row],[сумма]]*Таблица1[[#This Row],[коэф]])),
IF((G548="5/8"),((база!$J$6*Таблица1[[#This Row],[сумма]]*Таблица1[[#This Row],[коэф]])),
IF((G548="4/8"),((база!$J$5*Таблица1[[#This Row],[сумма]]*Таблица1[[#This Row],[коэф]])),
IF(OR(G548="3/8",G548="2/8"),((база!$J$4*Таблица1[[#This Row],[сумма]]*Таблица1[[#This Row],[коэф]])))))))))))))),
(IF((G548="5/24"),((база!$M$6*Таблица1[[#This Row],[сумма]]*Таблица1[[#This Row],[коэф]])),
IF(OR(G548="4/24",G548="3/24"),((база!$M$5*Таблица1[[#This Row],[сумма]]*Таблица1[[#This Row],[коэф]])),
IF((G548="5/16"),((база!$L$6*Таблица1[[#This Row],[сумма]]*Таблица1[[#This Row],[коэф]])),
IF(OR(G548="4/16",G548="3/16"),((база!$L$5*Таблица1[[#This Row],[сумма]]*Таблица1[[#This Row],[коэф]])),
IF(OR(G548="2/4",G548="3/4",G548="4/4"),((база!$I$5*Таблица1[[#This Row],[сумма]]*Таблица1[[#This Row],[коэф]])),
IF((G548="5/8"),((база!$J$6*Таблица1[[#This Row],[сумма]]*Таблица1[[#This Row],[коэф]])),
IF(OR(G548="4/8",G548="3/8",G548="2/8"),((база!$J$5*Таблица1[[#This Row],[сумма]]*Таблица1[[#This Row],[коэф]])))))))))))</f>
        <v>0</v>
      </c>
      <c r="AP548" s="730" t="b">
        <f>IF(AR548&lt;=3,(IF((G548="5/24"),((база!$M$6*2*Таблица1[[#This Row],[Столбец1]]*Таблица1[[#This Row],[коэф]])),
IF((G548="4/24"),((база!$M$5*2*Таблица1[[#This Row],[Столбец1]]*Таблица1[[#This Row],[коэф]])),
IF((G548="3/24"),((база!$M$4*2*Таблица1[[#This Row],[Столбец1]]*Таблица1[[#This Row],[коэф]])),
IF((G548="5/16"),((база!$L$6*2*Таблица1[[#This Row],[Столбец1]]*Таблица1[[#This Row],[коэф]])),
IF((G548="4/16"),((база!$L$5*2*Таблица1[[#This Row],[Столбец1]]*Таблица1[[#This Row],[коэф]])),
IF((G548="3/16"),((база!$L$4*2*Таблица1[[#This Row],[Столбец1]]*Таблица1[[#This Row],[коэф]])),
IF((G548="4/4"),((база!$I$5*2*Таблица1[[#This Row],[Столбец1]]*Таблица1[[#This Row],[коэф]])),
IF(OR(G548="2/4",G548="3/4"),((база!$I$4*2*Таблица1[[#This Row],[Столбец1]]*Таблица1[[#This Row],[коэф]])),
IF((G548="5/8"),((база!$J$6*2*Таблица1[[#This Row],[Столбец1]]*Таблица1[[#This Row],[коэф]])),
IF((G548="4/8"),((база!$J$5*2*Таблица1[[#This Row],[Столбец1]]*Таблица1[[#This Row],[коэф]])),
IF(OR(G548="3/8",G548="2/8"),((база!$J$4*2*Таблица1[[#This Row],[Столбец1]]*Таблица1[[#This Row],[коэф]])))))))))))))),
(IF((G548="5/24"),((база!$M$6*2*Таблица1[[#This Row],[Столбец1]]*Таблица1[[#This Row],[коэф]])),
IF(OR(G548="4/24",G548="3/24"),((база!$M$5*2*Таблица1[[#This Row],[Столбец1]]*Таблица1[[#This Row],[коэф]])),
IF((G548="5/16"),((база!$L$6*2*Таблица1[[#This Row],[Столбец1]]*Таблица1[[#This Row],[коэф]])),
IF(OR(G548="4/16",G548="3/16"),((база!$L$5*2*Таблица1[[#This Row],[Столбец1]]*Таблица1[[#This Row],[коэф]])),
IF(OR(G548="2/4",G548="3/4",G548="4/4"),((база!$I$5*2*Таблица1[[#This Row],[Столбец1]]*Таблица1[[#This Row],[коэф]])),
IF((G548="5/8"),((база!$J$6*2*Таблица1[[#This Row],[Столбец1]]*Таблица1[[#This Row],[коэф]])),
IF(OR(G548="4/8",G548="3/8",G548="2/8"),((база!$J$5*2*Таблица1[[#This Row],[Столбец1]]*Таблица1[[#This Row],[коэф]])))))))))))</f>
        <v>0</v>
      </c>
      <c r="AQ548" s="712" t="str">
        <f>IFERROR(INDEX(база!T:T, MATCH(F548,база!Q:Q,0)),"")</f>
        <v/>
      </c>
      <c r="AR548" s="208" t="str">
        <f>IFERROR(INDEX(база!D:D, MATCH(F548,база!B:B,0)),"")</f>
        <v/>
      </c>
      <c r="AS548" s="758" t="str">
        <f>IFERROR(INDEX(база!E:E, MATCH(F548,база!B:B,0)),"")</f>
        <v/>
      </c>
    </row>
    <row r="549" spans="1:45" s="46" customFormat="1" ht="15">
      <c r="A549" s="66" t="str">
        <f t="shared" si="10"/>
        <v>январь</v>
      </c>
      <c r="B549" s="231">
        <v>2024</v>
      </c>
      <c r="C549" s="299"/>
      <c r="D549" s="61"/>
      <c r="E549" s="211"/>
      <c r="F549" s="680"/>
      <c r="G549" s="47"/>
      <c r="H549" s="563"/>
      <c r="I549" s="563"/>
      <c r="J549" s="563"/>
      <c r="K549" s="563"/>
      <c r="L549" s="563"/>
      <c r="M549" s="563"/>
      <c r="N549" s="563"/>
      <c r="O549" s="563"/>
      <c r="P549" s="300"/>
      <c r="Q549" s="563"/>
      <c r="R549" s="563"/>
      <c r="S549" s="563"/>
      <c r="T549" s="563"/>
      <c r="U549" s="563"/>
      <c r="V549" s="563"/>
      <c r="W549" s="563"/>
      <c r="X549" s="563"/>
      <c r="Y549" s="563"/>
      <c r="Z549" s="563"/>
      <c r="AA549" s="563"/>
      <c r="AB549" s="563"/>
      <c r="AC549" s="563"/>
      <c r="AD549" s="48"/>
      <c r="AE549" s="48"/>
      <c r="AF549" s="258"/>
      <c r="AG549" s="48"/>
      <c r="AH549" s="48"/>
      <c r="AI549" s="258"/>
      <c r="AJ549" s="258"/>
      <c r="AK549" s="258"/>
      <c r="AL549" s="258"/>
      <c r="AM549" s="212">
        <f>IF(AQ549=1,SUM(Q549:T549,W549:Z549,AC549:AF549,AI549:AL549),
IF(AQ549=2,SUM(P549,S549:V549,Y549:AB549,AE549:AH549,AK549:AL549),
IF(AQ549=3,SUM(P549:R549,U549:X549,AA549:AD549,AG549:AJ549),SUM(Таблица1[[#This Row],[1]:[31]])-Таблица1[[#This Row],[Столбец1]])))</f>
        <v>0</v>
      </c>
      <c r="AN549" s="778">
        <f t="array" ref="AN549">IF(AQ549=1,SUM(P549,U549:V549,AA549:AB549,AG549:AH549),
IF(AQ549=2,SUM(Q549:R549,W549:X549,AC549:AD549,AI549:AJ549),
IF(AQ549=3,SUM(S549:T549,Y549:Z549,AE549:AF549,AK549:AL549),
SUM(IFERROR(WEEKDAY($H$2:$AL$2,2)&gt;5,)*H549:AL549))))+Таблица1[[#This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49" s="292" t="b">
        <f>IF(AR549&lt;=3,(IF((G549="5/24"),((база!$M$6*Таблица1[[#This Row],[сумма]]*Таблица1[[#This Row],[коэф]])),
IF((G549="4/24"),((база!$M$5*Таблица1[[#This Row],[сумма]]*Таблица1[[#This Row],[коэф]])),
IF((G549="3/24"),((база!$M$4*Таблица1[[#This Row],[сумма]]*Таблица1[[#This Row],[коэф]])),
IF((G549="5/16"),((база!$L$6*Таблица1[[#This Row],[сумма]]*Таблица1[[#This Row],[коэф]])),
IF((G549="4/16"),((база!$L$5*Таблица1[[#This Row],[сумма]]*Таблица1[[#This Row],[коэф]])),
IF((G549="3/16"),((база!$L$4*Таблица1[[#This Row],[сумма]]*Таблица1[[#This Row],[коэф]])),
IF((G549="4/4"),((база!$I$5*Таблица1[[#This Row],[сумма]]*Таблица1[[#This Row],[коэф]])),
IF(OR(G549="2/4",G549="3/4"),((база!$I$4*Таблица1[[#This Row],[сумма]]*Таблица1[[#This Row],[коэф]])),
IF((G549="5/8"),((база!$J$6*Таблица1[[#This Row],[сумма]]*Таблица1[[#This Row],[коэф]])),
IF((G549="4/8"),((база!$J$5*Таблица1[[#This Row],[сумма]]*Таблица1[[#This Row],[коэф]])),
IF(OR(G549="3/8",G549="2/8"),((база!$J$4*Таблица1[[#This Row],[сумма]]*Таблица1[[#This Row],[коэф]])))))))))))))),
(IF((G549="5/24"),((база!$M$6*Таблица1[[#This Row],[сумма]]*Таблица1[[#This Row],[коэф]])),
IF(OR(G549="4/24",G549="3/24"),((база!$M$5*Таблица1[[#This Row],[сумма]]*Таблица1[[#This Row],[коэф]])),
IF((G549="5/16"),((база!$L$6*Таблица1[[#This Row],[сумма]]*Таблица1[[#This Row],[коэф]])),
IF(OR(G549="4/16",G549="3/16"),((база!$L$5*Таблица1[[#This Row],[сумма]]*Таблица1[[#This Row],[коэф]])),
IF(OR(G549="2/4",G549="3/4",G549="4/4"),((база!$I$5*Таблица1[[#This Row],[сумма]]*Таблица1[[#This Row],[коэф]])),
IF((G549="5/8"),((база!$J$6*Таблица1[[#This Row],[сумма]]*Таблица1[[#This Row],[коэф]])),
IF(OR(G549="4/8",G549="3/8",G549="2/8"),((база!$J$5*Таблица1[[#This Row],[сумма]]*Таблица1[[#This Row],[коэф]])))))))))))</f>
        <v>0</v>
      </c>
      <c r="AP549" s="730" t="b">
        <f>IF(AR549&lt;=3,(IF((G549="5/24"),((база!$M$6*2*Таблица1[[#This Row],[Столбец1]]*Таблица1[[#This Row],[коэф]])),
IF((G549="4/24"),((база!$M$5*2*Таблица1[[#This Row],[Столбец1]]*Таблица1[[#This Row],[коэф]])),
IF((G549="3/24"),((база!$M$4*2*Таблица1[[#This Row],[Столбец1]]*Таблица1[[#This Row],[коэф]])),
IF((G549="5/16"),((база!$L$6*2*Таблица1[[#This Row],[Столбец1]]*Таблица1[[#This Row],[коэф]])),
IF((G549="4/16"),((база!$L$5*2*Таблица1[[#This Row],[Столбец1]]*Таблица1[[#This Row],[коэф]])),
IF((G549="3/16"),((база!$L$4*2*Таблица1[[#This Row],[Столбец1]]*Таблица1[[#This Row],[коэф]])),
IF((G549="4/4"),((база!$I$5*2*Таблица1[[#This Row],[Столбец1]]*Таблица1[[#This Row],[коэф]])),
IF(OR(G549="2/4",G549="3/4"),((база!$I$4*2*Таблица1[[#This Row],[Столбец1]]*Таблица1[[#This Row],[коэф]])),
IF((G549="5/8"),((база!$J$6*2*Таблица1[[#This Row],[Столбец1]]*Таблица1[[#This Row],[коэф]])),
IF((G549="4/8"),((база!$J$5*2*Таблица1[[#This Row],[Столбец1]]*Таблица1[[#This Row],[коэф]])),
IF(OR(G549="3/8",G549="2/8"),((база!$J$4*2*Таблица1[[#This Row],[Столбец1]]*Таблица1[[#This Row],[коэф]])))))))))))))),
(IF((G549="5/24"),((база!$M$6*2*Таблица1[[#This Row],[Столбец1]]*Таблица1[[#This Row],[коэф]])),
IF(OR(G549="4/24",G549="3/24"),((база!$M$5*2*Таблица1[[#This Row],[Столбец1]]*Таблица1[[#This Row],[коэф]])),
IF((G549="5/16"),((база!$L$6*2*Таблица1[[#This Row],[Столбец1]]*Таблица1[[#This Row],[коэф]])),
IF(OR(G549="4/16",G549="3/16"),((база!$L$5*2*Таблица1[[#This Row],[Столбец1]]*Таблица1[[#This Row],[коэф]])),
IF(OR(G549="2/4",G549="3/4",G549="4/4"),((база!$I$5*2*Таблица1[[#This Row],[Столбец1]]*Таблица1[[#This Row],[коэф]])),
IF((G549="5/8"),((база!$J$6*2*Таблица1[[#This Row],[Столбец1]]*Таблица1[[#This Row],[коэф]])),
IF(OR(G549="4/8",G549="3/8",G549="2/8"),((база!$J$5*2*Таблица1[[#This Row],[Столбец1]]*Таблица1[[#This Row],[коэф]])))))))))))</f>
        <v>0</v>
      </c>
      <c r="AQ549" s="712" t="str">
        <f>IFERROR(INDEX(база!T:T, MATCH(F549,база!Q:Q,0)),"")</f>
        <v/>
      </c>
      <c r="AR549" s="208" t="str">
        <f>IFERROR(INDEX(база!D:D, MATCH(F549,база!B:B,0)),"")</f>
        <v/>
      </c>
      <c r="AS549" s="758" t="str">
        <f>IFERROR(INDEX(база!E:E, MATCH(F549,база!B:B,0)),"")</f>
        <v/>
      </c>
    </row>
    <row r="550" spans="1:45" s="46" customFormat="1" ht="15">
      <c r="A550" s="66" t="str">
        <f t="shared" si="10"/>
        <v>январь</v>
      </c>
      <c r="B550" s="231">
        <v>2024</v>
      </c>
      <c r="C550" s="299"/>
      <c r="D550" s="61"/>
      <c r="E550" s="211"/>
      <c r="F550" s="680"/>
      <c r="G550" s="47"/>
      <c r="H550" s="563"/>
      <c r="I550" s="563"/>
      <c r="J550" s="563"/>
      <c r="K550" s="563"/>
      <c r="L550" s="563"/>
      <c r="M550" s="563"/>
      <c r="N550" s="563"/>
      <c r="O550" s="563"/>
      <c r="P550" s="300"/>
      <c r="Q550" s="563"/>
      <c r="R550" s="563"/>
      <c r="S550" s="563"/>
      <c r="T550" s="563"/>
      <c r="U550" s="563"/>
      <c r="V550" s="563"/>
      <c r="W550" s="563"/>
      <c r="X550" s="563"/>
      <c r="Y550" s="563"/>
      <c r="Z550" s="563"/>
      <c r="AA550" s="563"/>
      <c r="AB550" s="563"/>
      <c r="AC550" s="563"/>
      <c r="AD550" s="48"/>
      <c r="AE550" s="48"/>
      <c r="AF550" s="258"/>
      <c r="AG550" s="48"/>
      <c r="AH550" s="48"/>
      <c r="AI550" s="48"/>
      <c r="AJ550" s="48"/>
      <c r="AK550" s="48"/>
      <c r="AL550" s="51"/>
      <c r="AM550" s="212">
        <f>IF(AQ550=1,SUM(Q550:T550,W550:Z550,AC550:AF550,AI550:AL550),
IF(AQ550=2,SUM(P550,S550:V550,Y550:AB550,AE550:AH550,AK550:AL550),
IF(AQ550=3,SUM(P550:R550,U550:X550,AA550:AD550,AG550:AJ550),SUM(Таблица1[[#This Row],[1]:[31]])-Таблица1[[#This Row],[Столбец1]])))</f>
        <v>0</v>
      </c>
      <c r="AN550" s="778">
        <f t="array" ref="AN550">IF(AQ550=1,SUM(P550,U550:V550,AA550:AB550,AG550:AH550),
IF(AQ550=2,SUM(Q550:R550,W550:X550,AC550:AD550,AI550:AJ550),
IF(AQ550=3,SUM(S550:T550,Y550:Z550,AE550:AF550,AK550:AL550),
SUM(IFERROR(WEEKDAY($H$2:$AL$2,2)&gt;5,)*H550:AL550))))+Таблица1[[#This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50" s="292" t="b">
        <f>IF(AR550&lt;=3,(IF((G550="5/24"),((база!$M$6*Таблица1[[#This Row],[сумма]]*Таблица1[[#This Row],[коэф]])),
IF((G550="4/24"),((база!$M$5*Таблица1[[#This Row],[сумма]]*Таблица1[[#This Row],[коэф]])),
IF((G550="3/24"),((база!$M$4*Таблица1[[#This Row],[сумма]]*Таблица1[[#This Row],[коэф]])),
IF((G550="5/16"),((база!$L$6*Таблица1[[#This Row],[сумма]]*Таблица1[[#This Row],[коэф]])),
IF((G550="4/16"),((база!$L$5*Таблица1[[#This Row],[сумма]]*Таблица1[[#This Row],[коэф]])),
IF((G550="3/16"),((база!$L$4*Таблица1[[#This Row],[сумма]]*Таблица1[[#This Row],[коэф]])),
IF((G550="4/4"),((база!$I$5*Таблица1[[#This Row],[сумма]]*Таблица1[[#This Row],[коэф]])),
IF(OR(G550="2/4",G550="3/4"),((база!$I$4*Таблица1[[#This Row],[сумма]]*Таблица1[[#This Row],[коэф]])),
IF((G550="5/8"),((база!$J$6*Таблица1[[#This Row],[сумма]]*Таблица1[[#This Row],[коэф]])),
IF((G550="4/8"),((база!$J$5*Таблица1[[#This Row],[сумма]]*Таблица1[[#This Row],[коэф]])),
IF(OR(G550="3/8",G550="2/8"),((база!$J$4*Таблица1[[#This Row],[сумма]]*Таблица1[[#This Row],[коэф]])))))))))))))),
(IF((G550="5/24"),((база!$M$6*Таблица1[[#This Row],[сумма]]*Таблица1[[#This Row],[коэф]])),
IF(OR(G550="4/24",G550="3/24"),((база!$M$5*Таблица1[[#This Row],[сумма]]*Таблица1[[#This Row],[коэф]])),
IF((G550="5/16"),((база!$L$6*Таблица1[[#This Row],[сумма]]*Таблица1[[#This Row],[коэф]])),
IF(OR(G550="4/16",G550="3/16"),((база!$L$5*Таблица1[[#This Row],[сумма]]*Таблица1[[#This Row],[коэф]])),
IF(OR(G550="2/4",G550="3/4",G550="4/4"),((база!$I$5*Таблица1[[#This Row],[сумма]]*Таблица1[[#This Row],[коэф]])),
IF((G550="5/8"),((база!$J$6*Таблица1[[#This Row],[сумма]]*Таблица1[[#This Row],[коэф]])),
IF(OR(G550="4/8",G550="3/8",G550="2/8"),((база!$J$5*Таблица1[[#This Row],[сумма]]*Таблица1[[#This Row],[коэф]])))))))))))</f>
        <v>0</v>
      </c>
      <c r="AP550" s="730" t="b">
        <f>IF(AR550&lt;=3,(IF((G550="5/24"),((база!$M$6*2*Таблица1[[#This Row],[Столбец1]]*Таблица1[[#This Row],[коэф]])),
IF((G550="4/24"),((база!$M$5*2*Таблица1[[#This Row],[Столбец1]]*Таблица1[[#This Row],[коэф]])),
IF((G550="3/24"),((база!$M$4*2*Таблица1[[#This Row],[Столбец1]]*Таблица1[[#This Row],[коэф]])),
IF((G550="5/16"),((база!$L$6*2*Таблица1[[#This Row],[Столбец1]]*Таблица1[[#This Row],[коэф]])),
IF((G550="4/16"),((база!$L$5*2*Таблица1[[#This Row],[Столбец1]]*Таблица1[[#This Row],[коэф]])),
IF((G550="3/16"),((база!$L$4*2*Таблица1[[#This Row],[Столбец1]]*Таблица1[[#This Row],[коэф]])),
IF((G550="4/4"),((база!$I$5*2*Таблица1[[#This Row],[Столбец1]]*Таблица1[[#This Row],[коэф]])),
IF(OR(G550="2/4",G550="3/4"),((база!$I$4*2*Таблица1[[#This Row],[Столбец1]]*Таблица1[[#This Row],[коэф]])),
IF((G550="5/8"),((база!$J$6*2*Таблица1[[#This Row],[Столбец1]]*Таблица1[[#This Row],[коэф]])),
IF((G550="4/8"),((база!$J$5*2*Таблица1[[#This Row],[Столбец1]]*Таблица1[[#This Row],[коэф]])),
IF(OR(G550="3/8",G550="2/8"),((база!$J$4*2*Таблица1[[#This Row],[Столбец1]]*Таблица1[[#This Row],[коэф]])))))))))))))),
(IF((G550="5/24"),((база!$M$6*2*Таблица1[[#This Row],[Столбец1]]*Таблица1[[#This Row],[коэф]])),
IF(OR(G550="4/24",G550="3/24"),((база!$M$5*2*Таблица1[[#This Row],[Столбец1]]*Таблица1[[#This Row],[коэф]])),
IF((G550="5/16"),((база!$L$6*2*Таблица1[[#This Row],[Столбец1]]*Таблица1[[#This Row],[коэф]])),
IF(OR(G550="4/16",G550="3/16"),((база!$L$5*2*Таблица1[[#This Row],[Столбец1]]*Таблица1[[#This Row],[коэф]])),
IF(OR(G550="2/4",G550="3/4",G550="4/4"),((база!$I$5*2*Таблица1[[#This Row],[Столбец1]]*Таблица1[[#This Row],[коэф]])),
IF((G550="5/8"),((база!$J$6*2*Таблица1[[#This Row],[Столбец1]]*Таблица1[[#This Row],[коэф]])),
IF(OR(G550="4/8",G550="3/8",G550="2/8"),((база!$J$5*2*Таблица1[[#This Row],[Столбец1]]*Таблица1[[#This Row],[коэф]])))))))))))</f>
        <v>0</v>
      </c>
      <c r="AQ550" s="712" t="str">
        <f>IFERROR(INDEX(база!T:T, MATCH(F550,база!Q:Q,0)),"")</f>
        <v/>
      </c>
      <c r="AR550" s="208" t="str">
        <f>IFERROR(INDEX(база!D:D, MATCH(F550,база!B:B,0)),"")</f>
        <v/>
      </c>
      <c r="AS550" s="758" t="str">
        <f>IFERROR(INDEX(база!E:E, MATCH(F550,база!B:B,0)),"")</f>
        <v/>
      </c>
    </row>
    <row r="551" spans="1:45" s="46" customFormat="1" ht="15">
      <c r="A551" s="66" t="str">
        <f t="shared" si="10"/>
        <v>январь</v>
      </c>
      <c r="B551" s="231">
        <v>2024</v>
      </c>
      <c r="C551" s="299"/>
      <c r="D551" s="61"/>
      <c r="E551" s="211"/>
      <c r="F551" s="680"/>
      <c r="G551" s="47"/>
      <c r="H551" s="563"/>
      <c r="I551" s="563"/>
      <c r="J551" s="563"/>
      <c r="K551" s="563"/>
      <c r="L551" s="563"/>
      <c r="M551" s="563"/>
      <c r="N551" s="563"/>
      <c r="O551" s="563"/>
      <c r="P551" s="300"/>
      <c r="Q551" s="563"/>
      <c r="R551" s="563"/>
      <c r="S551" s="563"/>
      <c r="T551" s="563"/>
      <c r="U551" s="563"/>
      <c r="V551" s="563"/>
      <c r="W551" s="563"/>
      <c r="X551" s="563"/>
      <c r="Y551" s="563"/>
      <c r="Z551" s="563"/>
      <c r="AA551" s="563"/>
      <c r="AB551" s="563"/>
      <c r="AC551" s="563"/>
      <c r="AD551" s="48"/>
      <c r="AE551" s="48"/>
      <c r="AF551" s="258"/>
      <c r="AG551" s="48"/>
      <c r="AH551" s="48"/>
      <c r="AI551" s="258"/>
      <c r="AJ551" s="258"/>
      <c r="AK551" s="258"/>
      <c r="AL551" s="258"/>
      <c r="AM551" s="212">
        <f>IF(AQ551=1,SUM(Q551:T551,W551:Z551,AC551:AF551,AI551:AL551),
IF(AQ551=2,SUM(P551,S551:V551,Y551:AB551,AE551:AH551,AK551:AL551),
IF(AQ551=3,SUM(P551:R551,U551:X551,AA551:AD551,AG551:AJ551),SUM(Таблица1[[#This Row],[1]:[31]])-Таблица1[[#This Row],[Столбец1]])))</f>
        <v>0</v>
      </c>
      <c r="AN551" s="778">
        <f t="array" ref="AN551">IF(AQ551=1,SUM(P551,U551:V551,AA551:AB551,AG551:AH551),
IF(AQ551=2,SUM(Q551:R551,W551:X551,AC551:AD551,AI551:AJ551),
IF(AQ551=3,SUM(S551:T551,Y551:Z551,AE551:AF551,AK551:AL551),
SUM(IFERROR(WEEKDAY($H$2:$AL$2,2)&gt;5,)*H551:AL551))))+Таблица1[[#This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51" s="292" t="b">
        <f>IF(AR551&lt;=3,(IF((G551="5/24"),((база!$M$6*Таблица1[[#This Row],[сумма]]*Таблица1[[#This Row],[коэф]])),
IF((G551="4/24"),((база!$M$5*Таблица1[[#This Row],[сумма]]*Таблица1[[#This Row],[коэф]])),
IF((G551="3/24"),((база!$M$4*Таблица1[[#This Row],[сумма]]*Таблица1[[#This Row],[коэф]])),
IF((G551="5/16"),((база!$L$6*Таблица1[[#This Row],[сумма]]*Таблица1[[#This Row],[коэф]])),
IF((G551="4/16"),((база!$L$5*Таблица1[[#This Row],[сумма]]*Таблица1[[#This Row],[коэф]])),
IF((G551="3/16"),((база!$L$4*Таблица1[[#This Row],[сумма]]*Таблица1[[#This Row],[коэф]])),
IF((G551="4/4"),((база!$I$5*Таблица1[[#This Row],[сумма]]*Таблица1[[#This Row],[коэф]])),
IF(OR(G551="2/4",G551="3/4"),((база!$I$4*Таблица1[[#This Row],[сумма]]*Таблица1[[#This Row],[коэф]])),
IF((G551="5/8"),((база!$J$6*Таблица1[[#This Row],[сумма]]*Таблица1[[#This Row],[коэф]])),
IF((G551="4/8"),((база!$J$5*Таблица1[[#This Row],[сумма]]*Таблица1[[#This Row],[коэф]])),
IF(OR(G551="3/8",G551="2/8"),((база!$J$4*Таблица1[[#This Row],[сумма]]*Таблица1[[#This Row],[коэф]])))))))))))))),
(IF((G551="5/24"),((база!$M$6*Таблица1[[#This Row],[сумма]]*Таблица1[[#This Row],[коэф]])),
IF(OR(G551="4/24",G551="3/24"),((база!$M$5*Таблица1[[#This Row],[сумма]]*Таблица1[[#This Row],[коэф]])),
IF((G551="5/16"),((база!$L$6*Таблица1[[#This Row],[сумма]]*Таблица1[[#This Row],[коэф]])),
IF(OR(G551="4/16",G551="3/16"),((база!$L$5*Таблица1[[#This Row],[сумма]]*Таблица1[[#This Row],[коэф]])),
IF(OR(G551="2/4",G551="3/4",G551="4/4"),((база!$I$5*Таблица1[[#This Row],[сумма]]*Таблица1[[#This Row],[коэф]])),
IF((G551="5/8"),((база!$J$6*Таблица1[[#This Row],[сумма]]*Таблица1[[#This Row],[коэф]])),
IF(OR(G551="4/8",G551="3/8",G551="2/8"),((база!$J$5*Таблица1[[#This Row],[сумма]]*Таблица1[[#This Row],[коэф]])))))))))))</f>
        <v>0</v>
      </c>
      <c r="AP551" s="730" t="b">
        <f>IF(AR551&lt;=3,(IF((G551="5/24"),((база!$M$6*2*Таблица1[[#This Row],[Столбец1]]*Таблица1[[#This Row],[коэф]])),
IF((G551="4/24"),((база!$M$5*2*Таблица1[[#This Row],[Столбец1]]*Таблица1[[#This Row],[коэф]])),
IF((G551="3/24"),((база!$M$4*2*Таблица1[[#This Row],[Столбец1]]*Таблица1[[#This Row],[коэф]])),
IF((G551="5/16"),((база!$L$6*2*Таблица1[[#This Row],[Столбец1]]*Таблица1[[#This Row],[коэф]])),
IF((G551="4/16"),((база!$L$5*2*Таблица1[[#This Row],[Столбец1]]*Таблица1[[#This Row],[коэф]])),
IF((G551="3/16"),((база!$L$4*2*Таблица1[[#This Row],[Столбец1]]*Таблица1[[#This Row],[коэф]])),
IF((G551="4/4"),((база!$I$5*2*Таблица1[[#This Row],[Столбец1]]*Таблица1[[#This Row],[коэф]])),
IF(OR(G551="2/4",G551="3/4"),((база!$I$4*2*Таблица1[[#This Row],[Столбец1]]*Таблица1[[#This Row],[коэф]])),
IF((G551="5/8"),((база!$J$6*2*Таблица1[[#This Row],[Столбец1]]*Таблица1[[#This Row],[коэф]])),
IF((G551="4/8"),((база!$J$5*2*Таблица1[[#This Row],[Столбец1]]*Таблица1[[#This Row],[коэф]])),
IF(OR(G551="3/8",G551="2/8"),((база!$J$4*2*Таблица1[[#This Row],[Столбец1]]*Таблица1[[#This Row],[коэф]])))))))))))))),
(IF((G551="5/24"),((база!$M$6*2*Таблица1[[#This Row],[Столбец1]]*Таблица1[[#This Row],[коэф]])),
IF(OR(G551="4/24",G551="3/24"),((база!$M$5*2*Таблица1[[#This Row],[Столбец1]]*Таблица1[[#This Row],[коэф]])),
IF((G551="5/16"),((база!$L$6*2*Таблица1[[#This Row],[Столбец1]]*Таблица1[[#This Row],[коэф]])),
IF(OR(G551="4/16",G551="3/16"),((база!$L$5*2*Таблица1[[#This Row],[Столбец1]]*Таблица1[[#This Row],[коэф]])),
IF(OR(G551="2/4",G551="3/4",G551="4/4"),((база!$I$5*2*Таблица1[[#This Row],[Столбец1]]*Таблица1[[#This Row],[коэф]])),
IF((G551="5/8"),((база!$J$6*2*Таблица1[[#This Row],[Столбец1]]*Таблица1[[#This Row],[коэф]])),
IF(OR(G551="4/8",G551="3/8",G551="2/8"),((база!$J$5*2*Таблица1[[#This Row],[Столбец1]]*Таблица1[[#This Row],[коэф]])))))))))))</f>
        <v>0</v>
      </c>
      <c r="AQ551" s="712" t="str">
        <f>IFERROR(INDEX(база!T:T, MATCH(F551,база!Q:Q,0)),"")</f>
        <v/>
      </c>
      <c r="AR551" s="208" t="str">
        <f>IFERROR(INDEX(база!D:D, MATCH(F551,база!B:B,0)),"")</f>
        <v/>
      </c>
      <c r="AS551" s="758" t="str">
        <f>IFERROR(INDEX(база!E:E, MATCH(F551,база!B:B,0)),"")</f>
        <v/>
      </c>
    </row>
    <row r="552" spans="1:45" s="46" customFormat="1" ht="15">
      <c r="A552" s="66" t="str">
        <f t="shared" si="10"/>
        <v>январь</v>
      </c>
      <c r="B552" s="231">
        <v>2024</v>
      </c>
      <c r="C552" s="299"/>
      <c r="D552" s="61"/>
      <c r="E552" s="211"/>
      <c r="F552" s="680"/>
      <c r="G552" s="47"/>
      <c r="H552" s="563"/>
      <c r="I552" s="563"/>
      <c r="J552" s="563"/>
      <c r="K552" s="563"/>
      <c r="L552" s="563"/>
      <c r="M552" s="563"/>
      <c r="N552" s="563"/>
      <c r="O552" s="563"/>
      <c r="P552" s="300"/>
      <c r="Q552" s="563"/>
      <c r="R552" s="563"/>
      <c r="S552" s="563"/>
      <c r="T552" s="563"/>
      <c r="U552" s="563"/>
      <c r="V552" s="563"/>
      <c r="W552" s="563"/>
      <c r="X552" s="563"/>
      <c r="Y552" s="563"/>
      <c r="Z552" s="563"/>
      <c r="AA552" s="563"/>
      <c r="AB552" s="563"/>
      <c r="AC552" s="563"/>
      <c r="AD552" s="48"/>
      <c r="AE552" s="48"/>
      <c r="AF552" s="258"/>
      <c r="AG552" s="48"/>
      <c r="AH552" s="48"/>
      <c r="AI552" s="48"/>
      <c r="AJ552" s="48"/>
      <c r="AK552" s="48"/>
      <c r="AL552" s="51"/>
      <c r="AM552" s="212">
        <f>IF(AQ552=1,SUM(Q552:T552,W552:Z552,AC552:AF552,AI552:AL552),
IF(AQ552=2,SUM(P552,S552:V552,Y552:AB552,AE552:AH552,AK552:AL552),
IF(AQ552=3,SUM(P552:R552,U552:X552,AA552:AD552,AG552:AJ552),SUM(Таблица1[[#This Row],[1]:[31]])-Таблица1[[#This Row],[Столбец1]])))</f>
        <v>0</v>
      </c>
      <c r="AN552" s="778">
        <f t="array" ref="AN552">IF(AQ552=1,SUM(P552,U552:V552,AA552:AB552,AG552:AH552),
IF(AQ552=2,SUM(Q552:R552,W552:X552,AC552:AD552,AI552:AJ552),
IF(AQ552=3,SUM(S552:T552,Y552:Z552,AE552:AF552,AK552:AL552),
SUM(IFERROR(WEEKDAY($H$2:$AL$2,2)&gt;5,)*H552:AL552))))+Таблица1[[#This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52" s="292" t="b">
        <f>IF(AR552&lt;=3,(IF((G552="5/24"),((база!$M$6*Таблица1[[#This Row],[сумма]]*Таблица1[[#This Row],[коэф]])),
IF((G552="4/24"),((база!$M$5*Таблица1[[#This Row],[сумма]]*Таблица1[[#This Row],[коэф]])),
IF((G552="3/24"),((база!$M$4*Таблица1[[#This Row],[сумма]]*Таблица1[[#This Row],[коэф]])),
IF((G552="5/16"),((база!$L$6*Таблица1[[#This Row],[сумма]]*Таблица1[[#This Row],[коэф]])),
IF((G552="4/16"),((база!$L$5*Таблица1[[#This Row],[сумма]]*Таблица1[[#This Row],[коэф]])),
IF((G552="3/16"),((база!$L$4*Таблица1[[#This Row],[сумма]]*Таблица1[[#This Row],[коэф]])),
IF((G552="4/4"),((база!$I$5*Таблица1[[#This Row],[сумма]]*Таблица1[[#This Row],[коэф]])),
IF(OR(G552="2/4",G552="3/4"),((база!$I$4*Таблица1[[#This Row],[сумма]]*Таблица1[[#This Row],[коэф]])),
IF((G552="5/8"),((база!$J$6*Таблица1[[#This Row],[сумма]]*Таблица1[[#This Row],[коэф]])),
IF((G552="4/8"),((база!$J$5*Таблица1[[#This Row],[сумма]]*Таблица1[[#This Row],[коэф]])),
IF(OR(G552="3/8",G552="2/8"),((база!$J$4*Таблица1[[#This Row],[сумма]]*Таблица1[[#This Row],[коэф]])))))))))))))),
(IF((G552="5/24"),((база!$M$6*Таблица1[[#This Row],[сумма]]*Таблица1[[#This Row],[коэф]])),
IF(OR(G552="4/24",G552="3/24"),((база!$M$5*Таблица1[[#This Row],[сумма]]*Таблица1[[#This Row],[коэф]])),
IF((G552="5/16"),((база!$L$6*Таблица1[[#This Row],[сумма]]*Таблица1[[#This Row],[коэф]])),
IF(OR(G552="4/16",G552="3/16"),((база!$L$5*Таблица1[[#This Row],[сумма]]*Таблица1[[#This Row],[коэф]])),
IF(OR(G552="2/4",G552="3/4",G552="4/4"),((база!$I$5*Таблица1[[#This Row],[сумма]]*Таблица1[[#This Row],[коэф]])),
IF((G552="5/8"),((база!$J$6*Таблица1[[#This Row],[сумма]]*Таблица1[[#This Row],[коэф]])),
IF(OR(G552="4/8",G552="3/8",G552="2/8"),((база!$J$5*Таблица1[[#This Row],[сумма]]*Таблица1[[#This Row],[коэф]])))))))))))</f>
        <v>0</v>
      </c>
      <c r="AP552" s="730" t="b">
        <f>IF(AR552&lt;=3,(IF((G552="5/24"),((база!$M$6*2*Таблица1[[#This Row],[Столбец1]]*Таблица1[[#This Row],[коэф]])),
IF((G552="4/24"),((база!$M$5*2*Таблица1[[#This Row],[Столбец1]]*Таблица1[[#This Row],[коэф]])),
IF((G552="3/24"),((база!$M$4*2*Таблица1[[#This Row],[Столбец1]]*Таблица1[[#This Row],[коэф]])),
IF((G552="5/16"),((база!$L$6*2*Таблица1[[#This Row],[Столбец1]]*Таблица1[[#This Row],[коэф]])),
IF((G552="4/16"),((база!$L$5*2*Таблица1[[#This Row],[Столбец1]]*Таблица1[[#This Row],[коэф]])),
IF((G552="3/16"),((база!$L$4*2*Таблица1[[#This Row],[Столбец1]]*Таблица1[[#This Row],[коэф]])),
IF((G552="4/4"),((база!$I$5*2*Таблица1[[#This Row],[Столбец1]]*Таблица1[[#This Row],[коэф]])),
IF(OR(G552="2/4",G552="3/4"),((база!$I$4*2*Таблица1[[#This Row],[Столбец1]]*Таблица1[[#This Row],[коэф]])),
IF((G552="5/8"),((база!$J$6*2*Таблица1[[#This Row],[Столбец1]]*Таблица1[[#This Row],[коэф]])),
IF((G552="4/8"),((база!$J$5*2*Таблица1[[#This Row],[Столбец1]]*Таблица1[[#This Row],[коэф]])),
IF(OR(G552="3/8",G552="2/8"),((база!$J$4*2*Таблица1[[#This Row],[Столбец1]]*Таблица1[[#This Row],[коэф]])))))))))))))),
(IF((G552="5/24"),((база!$M$6*2*Таблица1[[#This Row],[Столбец1]]*Таблица1[[#This Row],[коэф]])),
IF(OR(G552="4/24",G552="3/24"),((база!$M$5*2*Таблица1[[#This Row],[Столбец1]]*Таблица1[[#This Row],[коэф]])),
IF((G552="5/16"),((база!$L$6*2*Таблица1[[#This Row],[Столбец1]]*Таблица1[[#This Row],[коэф]])),
IF(OR(G552="4/16",G552="3/16"),((база!$L$5*2*Таблица1[[#This Row],[Столбец1]]*Таблица1[[#This Row],[коэф]])),
IF(OR(G552="2/4",G552="3/4",G552="4/4"),((база!$I$5*2*Таблица1[[#This Row],[Столбец1]]*Таблица1[[#This Row],[коэф]])),
IF((G552="5/8"),((база!$J$6*2*Таблица1[[#This Row],[Столбец1]]*Таблица1[[#This Row],[коэф]])),
IF(OR(G552="4/8",G552="3/8",G552="2/8"),((база!$J$5*2*Таблица1[[#This Row],[Столбец1]]*Таблица1[[#This Row],[коэф]])))))))))))</f>
        <v>0</v>
      </c>
      <c r="AQ552" s="712" t="str">
        <f>IFERROR(INDEX(база!T:T, MATCH(F552,база!Q:Q,0)),"")</f>
        <v/>
      </c>
      <c r="AR552" s="208" t="str">
        <f>IFERROR(INDEX(база!D:D, MATCH(F552,база!B:B,0)),"")</f>
        <v/>
      </c>
      <c r="AS552" s="758" t="str">
        <f>IFERROR(INDEX(база!E:E, MATCH(F552,база!B:B,0)),"")</f>
        <v/>
      </c>
    </row>
    <row r="553" spans="1:45" s="46" customFormat="1" ht="15">
      <c r="A553" s="66" t="str">
        <f t="shared" si="10"/>
        <v>январь</v>
      </c>
      <c r="B553" s="231">
        <v>2024</v>
      </c>
      <c r="C553" s="299"/>
      <c r="D553" s="61"/>
      <c r="E553" s="211"/>
      <c r="F553" s="680"/>
      <c r="G553" s="47"/>
      <c r="H553" s="563"/>
      <c r="I553" s="563"/>
      <c r="J553" s="563"/>
      <c r="K553" s="563"/>
      <c r="L553" s="563"/>
      <c r="M553" s="563"/>
      <c r="N553" s="563"/>
      <c r="O553" s="563"/>
      <c r="P553" s="300"/>
      <c r="Q553" s="563"/>
      <c r="R553" s="563"/>
      <c r="S553" s="563"/>
      <c r="T553" s="563"/>
      <c r="U553" s="563"/>
      <c r="V553" s="563"/>
      <c r="W553" s="563"/>
      <c r="X553" s="563"/>
      <c r="Y553" s="563"/>
      <c r="Z553" s="563"/>
      <c r="AA553" s="563"/>
      <c r="AB553" s="563"/>
      <c r="AC553" s="563"/>
      <c r="AD553" s="48"/>
      <c r="AE553" s="48"/>
      <c r="AF553" s="258"/>
      <c r="AG553" s="48"/>
      <c r="AH553" s="48"/>
      <c r="AI553" s="258"/>
      <c r="AJ553" s="258"/>
      <c r="AK553" s="258"/>
      <c r="AL553" s="258"/>
      <c r="AM553" s="212">
        <f>IF(AQ553=1,SUM(Q553:T553,W553:Z553,AC553:AF553,AI553:AL553),
IF(AQ553=2,SUM(P553,S553:V553,Y553:AB553,AE553:AH553,AK553:AL553),
IF(AQ553=3,SUM(P553:R553,U553:X553,AA553:AD553,AG553:AJ553),SUM(Таблица1[[#This Row],[1]:[31]])-Таблица1[[#This Row],[Столбец1]])))</f>
        <v>0</v>
      </c>
      <c r="AN553" s="778">
        <f t="array" ref="AN553">IF(AQ553=1,SUM(P553,U553:V553,AA553:AB553,AG553:AH553),
IF(AQ553=2,SUM(Q553:R553,W553:X553,AC553:AD553,AI553:AJ553),
IF(AQ553=3,SUM(S553:T553,Y553:Z553,AE553:AF553,AK553:AL553),
SUM(IFERROR(WEEKDAY($H$2:$AL$2,2)&gt;5,)*H553:AL553))))+Таблица1[[#This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53" s="292" t="b">
        <f>IF(AR553&lt;=3,(IF((G553="5/24"),((база!$M$6*Таблица1[[#This Row],[сумма]]*Таблица1[[#This Row],[коэф]])),
IF((G553="4/24"),((база!$M$5*Таблица1[[#This Row],[сумма]]*Таблица1[[#This Row],[коэф]])),
IF((G553="3/24"),((база!$M$4*Таблица1[[#This Row],[сумма]]*Таблица1[[#This Row],[коэф]])),
IF((G553="5/16"),((база!$L$6*Таблица1[[#This Row],[сумма]]*Таблица1[[#This Row],[коэф]])),
IF((G553="4/16"),((база!$L$5*Таблица1[[#This Row],[сумма]]*Таблица1[[#This Row],[коэф]])),
IF((G553="3/16"),((база!$L$4*Таблица1[[#This Row],[сумма]]*Таблица1[[#This Row],[коэф]])),
IF((G553="4/4"),((база!$I$5*Таблица1[[#This Row],[сумма]]*Таблица1[[#This Row],[коэф]])),
IF(OR(G553="2/4",G553="3/4"),((база!$I$4*Таблица1[[#This Row],[сумма]]*Таблица1[[#This Row],[коэф]])),
IF((G553="5/8"),((база!$J$6*Таблица1[[#This Row],[сумма]]*Таблица1[[#This Row],[коэф]])),
IF((G553="4/8"),((база!$J$5*Таблица1[[#This Row],[сумма]]*Таблица1[[#This Row],[коэф]])),
IF(OR(G553="3/8",G553="2/8"),((база!$J$4*Таблица1[[#This Row],[сумма]]*Таблица1[[#This Row],[коэф]])))))))))))))),
(IF((G553="5/24"),((база!$M$6*Таблица1[[#This Row],[сумма]]*Таблица1[[#This Row],[коэф]])),
IF(OR(G553="4/24",G553="3/24"),((база!$M$5*Таблица1[[#This Row],[сумма]]*Таблица1[[#This Row],[коэф]])),
IF((G553="5/16"),((база!$L$6*Таблица1[[#This Row],[сумма]]*Таблица1[[#This Row],[коэф]])),
IF(OR(G553="4/16",G553="3/16"),((база!$L$5*Таблица1[[#This Row],[сумма]]*Таблица1[[#This Row],[коэф]])),
IF(OR(G553="2/4",G553="3/4",G553="4/4"),((база!$I$5*Таблица1[[#This Row],[сумма]]*Таблица1[[#This Row],[коэф]])),
IF((G553="5/8"),((база!$J$6*Таблица1[[#This Row],[сумма]]*Таблица1[[#This Row],[коэф]])),
IF(OR(G553="4/8",G553="3/8",G553="2/8"),((база!$J$5*Таблица1[[#This Row],[сумма]]*Таблица1[[#This Row],[коэф]])))))))))))</f>
        <v>0</v>
      </c>
      <c r="AP553" s="730" t="b">
        <f>IF(AR553&lt;=3,(IF((G553="5/24"),((база!$M$6*2*Таблица1[[#This Row],[Столбец1]]*Таблица1[[#This Row],[коэф]])),
IF((G553="4/24"),((база!$M$5*2*Таблица1[[#This Row],[Столбец1]]*Таблица1[[#This Row],[коэф]])),
IF((G553="3/24"),((база!$M$4*2*Таблица1[[#This Row],[Столбец1]]*Таблица1[[#This Row],[коэф]])),
IF((G553="5/16"),((база!$L$6*2*Таблица1[[#This Row],[Столбец1]]*Таблица1[[#This Row],[коэф]])),
IF((G553="4/16"),((база!$L$5*2*Таблица1[[#This Row],[Столбец1]]*Таблица1[[#This Row],[коэф]])),
IF((G553="3/16"),((база!$L$4*2*Таблица1[[#This Row],[Столбец1]]*Таблица1[[#This Row],[коэф]])),
IF((G553="4/4"),((база!$I$5*2*Таблица1[[#This Row],[Столбец1]]*Таблица1[[#This Row],[коэф]])),
IF(OR(G553="2/4",G553="3/4"),((база!$I$4*2*Таблица1[[#This Row],[Столбец1]]*Таблица1[[#This Row],[коэф]])),
IF((G553="5/8"),((база!$J$6*2*Таблица1[[#This Row],[Столбец1]]*Таблица1[[#This Row],[коэф]])),
IF((G553="4/8"),((база!$J$5*2*Таблица1[[#This Row],[Столбец1]]*Таблица1[[#This Row],[коэф]])),
IF(OR(G553="3/8",G553="2/8"),((база!$J$4*2*Таблица1[[#This Row],[Столбец1]]*Таблица1[[#This Row],[коэф]])))))))))))))),
(IF((G553="5/24"),((база!$M$6*2*Таблица1[[#This Row],[Столбец1]]*Таблица1[[#This Row],[коэф]])),
IF(OR(G553="4/24",G553="3/24"),((база!$M$5*2*Таблица1[[#This Row],[Столбец1]]*Таблица1[[#This Row],[коэф]])),
IF((G553="5/16"),((база!$L$6*2*Таблица1[[#This Row],[Столбец1]]*Таблица1[[#This Row],[коэф]])),
IF(OR(G553="4/16",G553="3/16"),((база!$L$5*2*Таблица1[[#This Row],[Столбец1]]*Таблица1[[#This Row],[коэф]])),
IF(OR(G553="2/4",G553="3/4",G553="4/4"),((база!$I$5*2*Таблица1[[#This Row],[Столбец1]]*Таблица1[[#This Row],[коэф]])),
IF((G553="5/8"),((база!$J$6*2*Таблица1[[#This Row],[Столбец1]]*Таблица1[[#This Row],[коэф]])),
IF(OR(G553="4/8",G553="3/8",G553="2/8"),((база!$J$5*2*Таблица1[[#This Row],[Столбец1]]*Таблица1[[#This Row],[коэф]])))))))))))</f>
        <v>0</v>
      </c>
      <c r="AQ553" s="712" t="str">
        <f>IFERROR(INDEX(база!T:T, MATCH(F553,база!Q:Q,0)),"")</f>
        <v/>
      </c>
      <c r="AR553" s="208" t="str">
        <f>IFERROR(INDEX(база!D:D, MATCH(F553,база!B:B,0)),"")</f>
        <v/>
      </c>
      <c r="AS553" s="758" t="str">
        <f>IFERROR(INDEX(база!E:E, MATCH(F553,база!B:B,0)),"")</f>
        <v/>
      </c>
    </row>
    <row r="554" spans="1:45" s="46" customFormat="1" ht="15">
      <c r="A554" s="66" t="str">
        <f t="shared" si="10"/>
        <v>январь</v>
      </c>
      <c r="B554" s="231">
        <v>2024</v>
      </c>
      <c r="C554" s="299"/>
      <c r="D554" s="61"/>
      <c r="E554" s="211"/>
      <c r="F554" s="680"/>
      <c r="G554" s="47"/>
      <c r="H554" s="563"/>
      <c r="I554" s="563"/>
      <c r="J554" s="563"/>
      <c r="K554" s="563"/>
      <c r="L554" s="563"/>
      <c r="M554" s="563"/>
      <c r="N554" s="563"/>
      <c r="O554" s="563"/>
      <c r="P554" s="300"/>
      <c r="Q554" s="563"/>
      <c r="R554" s="563"/>
      <c r="S554" s="563"/>
      <c r="T554" s="563"/>
      <c r="U554" s="563"/>
      <c r="V554" s="563"/>
      <c r="W554" s="563"/>
      <c r="X554" s="563"/>
      <c r="Y554" s="563"/>
      <c r="Z554" s="563"/>
      <c r="AA554" s="563"/>
      <c r="AB554" s="563"/>
      <c r="AC554" s="563"/>
      <c r="AD554" s="48"/>
      <c r="AE554" s="48"/>
      <c r="AF554" s="258"/>
      <c r="AG554" s="48"/>
      <c r="AH554" s="48"/>
      <c r="AI554" s="48"/>
      <c r="AJ554" s="48"/>
      <c r="AK554" s="48"/>
      <c r="AL554" s="51"/>
      <c r="AM554" s="212">
        <f>IF(AQ554=1,SUM(Q554:T554,W554:Z554,AC554:AF554,AI554:AL554),
IF(AQ554=2,SUM(P554,S554:V554,Y554:AB554,AE554:AH554,AK554:AL554),
IF(AQ554=3,SUM(P554:R554,U554:X554,AA554:AD554,AG554:AJ554),SUM(Таблица1[[#This Row],[1]:[31]])-Таблица1[[#This Row],[Столбец1]])))</f>
        <v>0</v>
      </c>
      <c r="AN554" s="778">
        <f t="array" ref="AN554">IF(AQ554=1,SUM(P554,U554:V554,AA554:AB554,AG554:AH554),
IF(AQ554=2,SUM(Q554:R554,W554:X554,AC554:AD554,AI554:AJ554),
IF(AQ554=3,SUM(S554:T554,Y554:Z554,AE554:AF554,AK554:AL554),
SUM(IFERROR(WEEKDAY($H$2:$AL$2,2)&gt;5,)*H554:AL554))))+Таблица1[[#This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54" s="292" t="b">
        <f>IF(AR554&lt;=3,(IF((G554="5/24"),((база!$M$6*Таблица1[[#This Row],[сумма]]*Таблица1[[#This Row],[коэф]])),
IF((G554="4/24"),((база!$M$5*Таблица1[[#This Row],[сумма]]*Таблица1[[#This Row],[коэф]])),
IF((G554="3/24"),((база!$M$4*Таблица1[[#This Row],[сумма]]*Таблица1[[#This Row],[коэф]])),
IF((G554="5/16"),((база!$L$6*Таблица1[[#This Row],[сумма]]*Таблица1[[#This Row],[коэф]])),
IF((G554="4/16"),((база!$L$5*Таблица1[[#This Row],[сумма]]*Таблица1[[#This Row],[коэф]])),
IF((G554="3/16"),((база!$L$4*Таблица1[[#This Row],[сумма]]*Таблица1[[#This Row],[коэф]])),
IF((G554="4/4"),((база!$I$5*Таблица1[[#This Row],[сумма]]*Таблица1[[#This Row],[коэф]])),
IF(OR(G554="2/4",G554="3/4"),((база!$I$4*Таблица1[[#This Row],[сумма]]*Таблица1[[#This Row],[коэф]])),
IF((G554="5/8"),((база!$J$6*Таблица1[[#This Row],[сумма]]*Таблица1[[#This Row],[коэф]])),
IF((G554="4/8"),((база!$J$5*Таблица1[[#This Row],[сумма]]*Таблица1[[#This Row],[коэф]])),
IF(OR(G554="3/8",G554="2/8"),((база!$J$4*Таблица1[[#This Row],[сумма]]*Таблица1[[#This Row],[коэф]])))))))))))))),
(IF((G554="5/24"),((база!$M$6*Таблица1[[#This Row],[сумма]]*Таблица1[[#This Row],[коэф]])),
IF(OR(G554="4/24",G554="3/24"),((база!$M$5*Таблица1[[#This Row],[сумма]]*Таблица1[[#This Row],[коэф]])),
IF((G554="5/16"),((база!$L$6*Таблица1[[#This Row],[сумма]]*Таблица1[[#This Row],[коэф]])),
IF(OR(G554="4/16",G554="3/16"),((база!$L$5*Таблица1[[#This Row],[сумма]]*Таблица1[[#This Row],[коэф]])),
IF(OR(G554="2/4",G554="3/4",G554="4/4"),((база!$I$5*Таблица1[[#This Row],[сумма]]*Таблица1[[#This Row],[коэф]])),
IF((G554="5/8"),((база!$J$6*Таблица1[[#This Row],[сумма]]*Таблица1[[#This Row],[коэф]])),
IF(OR(G554="4/8",G554="3/8",G554="2/8"),((база!$J$5*Таблица1[[#This Row],[сумма]]*Таблица1[[#This Row],[коэф]])))))))))))</f>
        <v>0</v>
      </c>
      <c r="AP554" s="730" t="b">
        <f>IF(AR554&lt;=3,(IF((G554="5/24"),((база!$M$6*2*Таблица1[[#This Row],[Столбец1]]*Таблица1[[#This Row],[коэф]])),
IF((G554="4/24"),((база!$M$5*2*Таблица1[[#This Row],[Столбец1]]*Таблица1[[#This Row],[коэф]])),
IF((G554="3/24"),((база!$M$4*2*Таблица1[[#This Row],[Столбец1]]*Таблица1[[#This Row],[коэф]])),
IF((G554="5/16"),((база!$L$6*2*Таблица1[[#This Row],[Столбец1]]*Таблица1[[#This Row],[коэф]])),
IF((G554="4/16"),((база!$L$5*2*Таблица1[[#This Row],[Столбец1]]*Таблица1[[#This Row],[коэф]])),
IF((G554="3/16"),((база!$L$4*2*Таблица1[[#This Row],[Столбец1]]*Таблица1[[#This Row],[коэф]])),
IF((G554="4/4"),((база!$I$5*2*Таблица1[[#This Row],[Столбец1]]*Таблица1[[#This Row],[коэф]])),
IF(OR(G554="2/4",G554="3/4"),((база!$I$4*2*Таблица1[[#This Row],[Столбец1]]*Таблица1[[#This Row],[коэф]])),
IF((G554="5/8"),((база!$J$6*2*Таблица1[[#This Row],[Столбец1]]*Таблица1[[#This Row],[коэф]])),
IF((G554="4/8"),((база!$J$5*2*Таблица1[[#This Row],[Столбец1]]*Таблица1[[#This Row],[коэф]])),
IF(OR(G554="3/8",G554="2/8"),((база!$J$4*2*Таблица1[[#This Row],[Столбец1]]*Таблица1[[#This Row],[коэф]])))))))))))))),
(IF((G554="5/24"),((база!$M$6*2*Таблица1[[#This Row],[Столбец1]]*Таблица1[[#This Row],[коэф]])),
IF(OR(G554="4/24",G554="3/24"),((база!$M$5*2*Таблица1[[#This Row],[Столбец1]]*Таблица1[[#This Row],[коэф]])),
IF((G554="5/16"),((база!$L$6*2*Таблица1[[#This Row],[Столбец1]]*Таблица1[[#This Row],[коэф]])),
IF(OR(G554="4/16",G554="3/16"),((база!$L$5*2*Таблица1[[#This Row],[Столбец1]]*Таблица1[[#This Row],[коэф]])),
IF(OR(G554="2/4",G554="3/4",G554="4/4"),((база!$I$5*2*Таблица1[[#This Row],[Столбец1]]*Таблица1[[#This Row],[коэф]])),
IF((G554="5/8"),((база!$J$6*2*Таблица1[[#This Row],[Столбец1]]*Таблица1[[#This Row],[коэф]])),
IF(OR(G554="4/8",G554="3/8",G554="2/8"),((база!$J$5*2*Таблица1[[#This Row],[Столбец1]]*Таблица1[[#This Row],[коэф]])))))))))))</f>
        <v>0</v>
      </c>
      <c r="AQ554" s="712" t="str">
        <f>IFERROR(INDEX(база!T:T, MATCH(F554,база!Q:Q,0)),"")</f>
        <v/>
      </c>
      <c r="AR554" s="208" t="str">
        <f>IFERROR(INDEX(база!D:D, MATCH(F554,база!B:B,0)),"")</f>
        <v/>
      </c>
      <c r="AS554" s="758" t="str">
        <f>IFERROR(INDEX(база!E:E, MATCH(F554,база!B:B,0)),"")</f>
        <v/>
      </c>
    </row>
    <row r="555" spans="1:45" s="46" customFormat="1" ht="15">
      <c r="A555" s="66" t="str">
        <f t="shared" si="10"/>
        <v>январь</v>
      </c>
      <c r="B555" s="231">
        <v>2024</v>
      </c>
      <c r="C555" s="299"/>
      <c r="D555" s="61"/>
      <c r="E555" s="211"/>
      <c r="F555" s="680"/>
      <c r="G555" s="47"/>
      <c r="H555" s="563"/>
      <c r="I555" s="563"/>
      <c r="J555" s="563"/>
      <c r="K555" s="563"/>
      <c r="L555" s="563"/>
      <c r="M555" s="563"/>
      <c r="N555" s="563"/>
      <c r="O555" s="563"/>
      <c r="P555" s="300"/>
      <c r="Q555" s="563"/>
      <c r="R555" s="563"/>
      <c r="S555" s="563"/>
      <c r="T555" s="563"/>
      <c r="U555" s="563"/>
      <c r="V555" s="563"/>
      <c r="W555" s="563"/>
      <c r="X555" s="563"/>
      <c r="Y555" s="563"/>
      <c r="Z555" s="563"/>
      <c r="AA555" s="563"/>
      <c r="AB555" s="563"/>
      <c r="AC555" s="563"/>
      <c r="AD555" s="48"/>
      <c r="AE555" s="48"/>
      <c r="AF555" s="258"/>
      <c r="AG555" s="48"/>
      <c r="AH555" s="48"/>
      <c r="AI555" s="258"/>
      <c r="AJ555" s="258"/>
      <c r="AK555" s="258"/>
      <c r="AL555" s="258"/>
      <c r="AM555" s="212">
        <f>IF(AQ555=1,SUM(Q555:T555,W555:Z555,AC555:AF555,AI555:AL555),
IF(AQ555=2,SUM(P555,S555:V555,Y555:AB555,AE555:AH555,AK555:AL555),
IF(AQ555=3,SUM(P555:R555,U555:X555,AA555:AD555,AG555:AJ555),SUM(Таблица1[[#This Row],[1]:[31]])-Таблица1[[#This Row],[Столбец1]])))</f>
        <v>0</v>
      </c>
      <c r="AN555" s="778">
        <f t="array" ref="AN555">IF(AQ555=1,SUM(P555,U555:V555,AA555:AB555,AG555:AH555),
IF(AQ555=2,SUM(Q555:R555,W555:X555,AC555:AD555,AI555:AJ555),
IF(AQ555=3,SUM(S555:T555,Y555:Z555,AE555:AF555,AK555:AL555),
SUM(IFERROR(WEEKDAY($H$2:$AL$2,2)&gt;5,)*H555:AL555))))+Таблица1[[#This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55" s="292" t="b">
        <f>IF(AR555&lt;=3,(IF((G555="5/24"),((база!$M$6*Таблица1[[#This Row],[сумма]]*Таблица1[[#This Row],[коэф]])),
IF((G555="4/24"),((база!$M$5*Таблица1[[#This Row],[сумма]]*Таблица1[[#This Row],[коэф]])),
IF((G555="3/24"),((база!$M$4*Таблица1[[#This Row],[сумма]]*Таблица1[[#This Row],[коэф]])),
IF((G555="5/16"),((база!$L$6*Таблица1[[#This Row],[сумма]]*Таблица1[[#This Row],[коэф]])),
IF((G555="4/16"),((база!$L$5*Таблица1[[#This Row],[сумма]]*Таблица1[[#This Row],[коэф]])),
IF((G555="3/16"),((база!$L$4*Таблица1[[#This Row],[сумма]]*Таблица1[[#This Row],[коэф]])),
IF((G555="4/4"),((база!$I$5*Таблица1[[#This Row],[сумма]]*Таблица1[[#This Row],[коэф]])),
IF(OR(G555="2/4",G555="3/4"),((база!$I$4*Таблица1[[#This Row],[сумма]]*Таблица1[[#This Row],[коэф]])),
IF((G555="5/8"),((база!$J$6*Таблица1[[#This Row],[сумма]]*Таблица1[[#This Row],[коэф]])),
IF((G555="4/8"),((база!$J$5*Таблица1[[#This Row],[сумма]]*Таблица1[[#This Row],[коэф]])),
IF(OR(G555="3/8",G555="2/8"),((база!$J$4*Таблица1[[#This Row],[сумма]]*Таблица1[[#This Row],[коэф]])))))))))))))),
(IF((G555="5/24"),((база!$M$6*Таблица1[[#This Row],[сумма]]*Таблица1[[#This Row],[коэф]])),
IF(OR(G555="4/24",G555="3/24"),((база!$M$5*Таблица1[[#This Row],[сумма]]*Таблица1[[#This Row],[коэф]])),
IF((G555="5/16"),((база!$L$6*Таблица1[[#This Row],[сумма]]*Таблица1[[#This Row],[коэф]])),
IF(OR(G555="4/16",G555="3/16"),((база!$L$5*Таблица1[[#This Row],[сумма]]*Таблица1[[#This Row],[коэф]])),
IF(OR(G555="2/4",G555="3/4",G555="4/4"),((база!$I$5*Таблица1[[#This Row],[сумма]]*Таблица1[[#This Row],[коэф]])),
IF((G555="5/8"),((база!$J$6*Таблица1[[#This Row],[сумма]]*Таблица1[[#This Row],[коэф]])),
IF(OR(G555="4/8",G555="3/8",G555="2/8"),((база!$J$5*Таблица1[[#This Row],[сумма]]*Таблица1[[#This Row],[коэф]])))))))))))</f>
        <v>0</v>
      </c>
      <c r="AP555" s="730" t="b">
        <f>IF(AR555&lt;=3,(IF((G555="5/24"),((база!$M$6*2*Таблица1[[#This Row],[Столбец1]]*Таблица1[[#This Row],[коэф]])),
IF((G555="4/24"),((база!$M$5*2*Таблица1[[#This Row],[Столбец1]]*Таблица1[[#This Row],[коэф]])),
IF((G555="3/24"),((база!$M$4*2*Таблица1[[#This Row],[Столбец1]]*Таблица1[[#This Row],[коэф]])),
IF((G555="5/16"),((база!$L$6*2*Таблица1[[#This Row],[Столбец1]]*Таблица1[[#This Row],[коэф]])),
IF((G555="4/16"),((база!$L$5*2*Таблица1[[#This Row],[Столбец1]]*Таблица1[[#This Row],[коэф]])),
IF((G555="3/16"),((база!$L$4*2*Таблица1[[#This Row],[Столбец1]]*Таблица1[[#This Row],[коэф]])),
IF((G555="4/4"),((база!$I$5*2*Таблица1[[#This Row],[Столбец1]]*Таблица1[[#This Row],[коэф]])),
IF(OR(G555="2/4",G555="3/4"),((база!$I$4*2*Таблица1[[#This Row],[Столбец1]]*Таблица1[[#This Row],[коэф]])),
IF((G555="5/8"),((база!$J$6*2*Таблица1[[#This Row],[Столбец1]]*Таблица1[[#This Row],[коэф]])),
IF((G555="4/8"),((база!$J$5*2*Таблица1[[#This Row],[Столбец1]]*Таблица1[[#This Row],[коэф]])),
IF(OR(G555="3/8",G555="2/8"),((база!$J$4*2*Таблица1[[#This Row],[Столбец1]]*Таблица1[[#This Row],[коэф]])))))))))))))),
(IF((G555="5/24"),((база!$M$6*2*Таблица1[[#This Row],[Столбец1]]*Таблица1[[#This Row],[коэф]])),
IF(OR(G555="4/24",G555="3/24"),((база!$M$5*2*Таблица1[[#This Row],[Столбец1]]*Таблица1[[#This Row],[коэф]])),
IF((G555="5/16"),((база!$L$6*2*Таблица1[[#This Row],[Столбец1]]*Таблица1[[#This Row],[коэф]])),
IF(OR(G555="4/16",G555="3/16"),((база!$L$5*2*Таблица1[[#This Row],[Столбец1]]*Таблица1[[#This Row],[коэф]])),
IF(OR(G555="2/4",G555="3/4",G555="4/4"),((база!$I$5*2*Таблица1[[#This Row],[Столбец1]]*Таблица1[[#This Row],[коэф]])),
IF((G555="5/8"),((база!$J$6*2*Таблица1[[#This Row],[Столбец1]]*Таблица1[[#This Row],[коэф]])),
IF(OR(G555="4/8",G555="3/8",G555="2/8"),((база!$J$5*2*Таблица1[[#This Row],[Столбец1]]*Таблица1[[#This Row],[коэф]])))))))))))</f>
        <v>0</v>
      </c>
      <c r="AQ555" s="712" t="str">
        <f>IFERROR(INDEX(база!T:T, MATCH(F555,база!Q:Q,0)),"")</f>
        <v/>
      </c>
      <c r="AR555" s="208" t="str">
        <f>IFERROR(INDEX(база!D:D, MATCH(F555,база!B:B,0)),"")</f>
        <v/>
      </c>
      <c r="AS555" s="758" t="str">
        <f>IFERROR(INDEX(база!E:E, MATCH(F555,база!B:B,0)),"")</f>
        <v/>
      </c>
    </row>
    <row r="556" spans="1:45" s="46" customFormat="1" ht="15">
      <c r="A556" s="66" t="str">
        <f t="shared" si="10"/>
        <v>январь</v>
      </c>
      <c r="B556" s="231">
        <v>2024</v>
      </c>
      <c r="C556" s="60"/>
      <c r="D556" s="61"/>
      <c r="E556" s="211"/>
      <c r="F556" s="680"/>
      <c r="G556" s="47"/>
      <c r="H556" s="563"/>
      <c r="I556" s="563"/>
      <c r="J556" s="563"/>
      <c r="K556" s="563"/>
      <c r="L556" s="563"/>
      <c r="M556" s="563"/>
      <c r="N556" s="563"/>
      <c r="O556" s="563"/>
      <c r="P556" s="300"/>
      <c r="Q556" s="563"/>
      <c r="R556" s="563"/>
      <c r="S556" s="563"/>
      <c r="T556" s="563"/>
      <c r="U556" s="563"/>
      <c r="V556" s="563"/>
      <c r="W556" s="563"/>
      <c r="X556" s="563"/>
      <c r="Y556" s="563"/>
      <c r="Z556" s="563"/>
      <c r="AA556" s="563"/>
      <c r="AB556" s="563"/>
      <c r="AC556" s="563"/>
      <c r="AD556" s="48"/>
      <c r="AE556" s="48"/>
      <c r="AF556" s="258"/>
      <c r="AG556" s="48"/>
      <c r="AH556" s="48"/>
      <c r="AI556" s="48"/>
      <c r="AJ556" s="48"/>
      <c r="AK556" s="48"/>
      <c r="AL556" s="51"/>
      <c r="AM556" s="212">
        <f>IF(AQ556=1,SUM(Q556:T556,W556:Z556,AC556:AF556,AI556:AL556),
IF(AQ556=2,SUM(P556,S556:V556,Y556:AB556,AE556:AH556,AK556:AL556),
IF(AQ556=3,SUM(P556:R556,U556:X556,AA556:AD556,AG556:AJ556),SUM(Таблица1[[#This Row],[1]:[31]])-Таблица1[[#This Row],[Столбец1]])))</f>
        <v>0</v>
      </c>
      <c r="AN556" s="778">
        <f t="array" ref="AN556">IF(AQ556=1,SUM(P556,U556:V556,AA556:AB556,AG556:AH556),
IF(AQ556=2,SUM(Q556:R556,W556:X556,AC556:AD556,AI556:AJ556),
IF(AQ556=3,SUM(S556:T556,Y556:Z556,AE556:AF556,AK556:AL556),
SUM(IFERROR(WEEKDAY($H$2:$AL$2,2)&gt;5,)*H556:AL556))))+Таблица1[[#This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56" s="292" t="b">
        <f>IF(AR556&lt;=3,(IF((G556="5/24"),((база!$M$6*Таблица1[[#This Row],[сумма]]*Таблица1[[#This Row],[коэф]])),
IF((G556="4/24"),((база!$M$5*Таблица1[[#This Row],[сумма]]*Таблица1[[#This Row],[коэф]])),
IF((G556="3/24"),((база!$M$4*Таблица1[[#This Row],[сумма]]*Таблица1[[#This Row],[коэф]])),
IF((G556="5/16"),((база!$L$6*Таблица1[[#This Row],[сумма]]*Таблица1[[#This Row],[коэф]])),
IF((G556="4/16"),((база!$L$5*Таблица1[[#This Row],[сумма]]*Таблица1[[#This Row],[коэф]])),
IF((G556="3/16"),((база!$L$4*Таблица1[[#This Row],[сумма]]*Таблица1[[#This Row],[коэф]])),
IF((G556="4/4"),((база!$I$5*Таблица1[[#This Row],[сумма]]*Таблица1[[#This Row],[коэф]])),
IF(OR(G556="2/4",G556="3/4"),((база!$I$4*Таблица1[[#This Row],[сумма]]*Таблица1[[#This Row],[коэф]])),
IF((G556="5/8"),((база!$J$6*Таблица1[[#This Row],[сумма]]*Таблица1[[#This Row],[коэф]])),
IF((G556="4/8"),((база!$J$5*Таблица1[[#This Row],[сумма]]*Таблица1[[#This Row],[коэф]])),
IF(OR(G556="3/8",G556="2/8"),((база!$J$4*Таблица1[[#This Row],[сумма]]*Таблица1[[#This Row],[коэф]])))))))))))))),
(IF((G556="5/24"),((база!$M$6*Таблица1[[#This Row],[сумма]]*Таблица1[[#This Row],[коэф]])),
IF(OR(G556="4/24",G556="3/24"),((база!$M$5*Таблица1[[#This Row],[сумма]]*Таблица1[[#This Row],[коэф]])),
IF((G556="5/16"),((база!$L$6*Таблица1[[#This Row],[сумма]]*Таблица1[[#This Row],[коэф]])),
IF(OR(G556="4/16",G556="3/16"),((база!$L$5*Таблица1[[#This Row],[сумма]]*Таблица1[[#This Row],[коэф]])),
IF(OR(G556="2/4",G556="3/4",G556="4/4"),((база!$I$5*Таблица1[[#This Row],[сумма]]*Таблица1[[#This Row],[коэф]])),
IF((G556="5/8"),((база!$J$6*Таблица1[[#This Row],[сумма]]*Таблица1[[#This Row],[коэф]])),
IF(OR(G556="4/8",G556="3/8",G556="2/8"),((база!$J$5*Таблица1[[#This Row],[сумма]]*Таблица1[[#This Row],[коэф]])))))))))))</f>
        <v>0</v>
      </c>
      <c r="AP556" s="730" t="b">
        <f>IF(AR556&lt;=3,(IF((G556="5/24"),((база!$M$6*2*Таблица1[[#This Row],[Столбец1]]*Таблица1[[#This Row],[коэф]])),
IF((G556="4/24"),((база!$M$5*2*Таблица1[[#This Row],[Столбец1]]*Таблица1[[#This Row],[коэф]])),
IF((G556="3/24"),((база!$M$4*2*Таблица1[[#This Row],[Столбец1]]*Таблица1[[#This Row],[коэф]])),
IF((G556="5/16"),((база!$L$6*2*Таблица1[[#This Row],[Столбец1]]*Таблица1[[#This Row],[коэф]])),
IF((G556="4/16"),((база!$L$5*2*Таблица1[[#This Row],[Столбец1]]*Таблица1[[#This Row],[коэф]])),
IF((G556="3/16"),((база!$L$4*2*Таблица1[[#This Row],[Столбец1]]*Таблица1[[#This Row],[коэф]])),
IF((G556="4/4"),((база!$I$5*2*Таблица1[[#This Row],[Столбец1]]*Таблица1[[#This Row],[коэф]])),
IF(OR(G556="2/4",G556="3/4"),((база!$I$4*2*Таблица1[[#This Row],[Столбец1]]*Таблица1[[#This Row],[коэф]])),
IF((G556="5/8"),((база!$J$6*2*Таблица1[[#This Row],[Столбец1]]*Таблица1[[#This Row],[коэф]])),
IF((G556="4/8"),((база!$J$5*2*Таблица1[[#This Row],[Столбец1]]*Таблица1[[#This Row],[коэф]])),
IF(OR(G556="3/8",G556="2/8"),((база!$J$4*2*Таблица1[[#This Row],[Столбец1]]*Таблица1[[#This Row],[коэф]])))))))))))))),
(IF((G556="5/24"),((база!$M$6*2*Таблица1[[#This Row],[Столбец1]]*Таблица1[[#This Row],[коэф]])),
IF(OR(G556="4/24",G556="3/24"),((база!$M$5*2*Таблица1[[#This Row],[Столбец1]]*Таблица1[[#This Row],[коэф]])),
IF((G556="5/16"),((база!$L$6*2*Таблица1[[#This Row],[Столбец1]]*Таблица1[[#This Row],[коэф]])),
IF(OR(G556="4/16",G556="3/16"),((база!$L$5*2*Таблица1[[#This Row],[Столбец1]]*Таблица1[[#This Row],[коэф]])),
IF(OR(G556="2/4",G556="3/4",G556="4/4"),((база!$I$5*2*Таблица1[[#This Row],[Столбец1]]*Таблица1[[#This Row],[коэф]])),
IF((G556="5/8"),((база!$J$6*2*Таблица1[[#This Row],[Столбец1]]*Таблица1[[#This Row],[коэф]])),
IF(OR(G556="4/8",G556="3/8",G556="2/8"),((база!$J$5*2*Таблица1[[#This Row],[Столбец1]]*Таблица1[[#This Row],[коэф]])))))))))))</f>
        <v>0</v>
      </c>
      <c r="AQ556" s="712" t="str">
        <f>IFERROR(INDEX(база!T:T, MATCH(F556,база!Q:Q,0)),"")</f>
        <v/>
      </c>
      <c r="AR556" s="208" t="str">
        <f>IFERROR(INDEX(база!D:D, MATCH(F556,база!B:B,0)),"")</f>
        <v/>
      </c>
      <c r="AS556" s="758" t="str">
        <f>IFERROR(INDEX(база!E:E, MATCH(F556,база!B:B,0)),"")</f>
        <v/>
      </c>
    </row>
    <row r="557" spans="1:45" s="46" customFormat="1" ht="15">
      <c r="A557" s="66" t="str">
        <f t="shared" si="10"/>
        <v>январь</v>
      </c>
      <c r="B557" s="231">
        <v>2024</v>
      </c>
      <c r="C557" s="299"/>
      <c r="D557" s="61"/>
      <c r="E557" s="211"/>
      <c r="F557" s="680"/>
      <c r="G557" s="47"/>
      <c r="H557" s="563"/>
      <c r="I557" s="563"/>
      <c r="J557" s="563"/>
      <c r="K557" s="563"/>
      <c r="L557" s="563"/>
      <c r="M557" s="563"/>
      <c r="N557" s="563"/>
      <c r="O557" s="563"/>
      <c r="P557" s="300"/>
      <c r="Q557" s="563"/>
      <c r="R557" s="563"/>
      <c r="S557" s="563"/>
      <c r="T557" s="563"/>
      <c r="U557" s="563"/>
      <c r="V557" s="563"/>
      <c r="W557" s="563"/>
      <c r="X557" s="563"/>
      <c r="Y557" s="563"/>
      <c r="Z557" s="563"/>
      <c r="AA557" s="563"/>
      <c r="AB557" s="563"/>
      <c r="AC557" s="563"/>
      <c r="AD557" s="48"/>
      <c r="AE557" s="48"/>
      <c r="AF557" s="258"/>
      <c r="AG557" s="48"/>
      <c r="AH557" s="48"/>
      <c r="AI557" s="258"/>
      <c r="AJ557" s="258"/>
      <c r="AK557" s="258"/>
      <c r="AL557" s="258"/>
      <c r="AM557" s="212">
        <f>IF(AQ557=1,SUM(Q557:T557,W557:Z557,AC557:AF557,AI557:AL557),
IF(AQ557=2,SUM(P557,S557:V557,Y557:AB557,AE557:AH557,AK557:AL557),
IF(AQ557=3,SUM(P557:R557,U557:X557,AA557:AD557,AG557:AJ557),SUM(Таблица1[[#This Row],[1]:[31]])-Таблица1[[#This Row],[Столбец1]])))</f>
        <v>0</v>
      </c>
      <c r="AN557" s="778">
        <f t="array" ref="AN557">IF(AQ557=1,SUM(P557,U557:V557,AA557:AB557,AG557:AH557),
IF(AQ557=2,SUM(Q557:R557,W557:X557,AC557:AD557,AI557:AJ557),
IF(AQ557=3,SUM(S557:T557,Y557:Z557,AE557:AF557,AK557:AL557),
SUM(IFERROR(WEEKDAY($H$2:$AL$2,2)&gt;5,)*H557:AL557))))+Таблица1[[#This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57" s="292" t="b">
        <f>IF(AR557&lt;=3,(IF((G557="5/24"),((база!$M$6*Таблица1[[#This Row],[сумма]]*Таблица1[[#This Row],[коэф]])),
IF((G557="4/24"),((база!$M$5*Таблица1[[#This Row],[сумма]]*Таблица1[[#This Row],[коэф]])),
IF((G557="3/24"),((база!$M$4*Таблица1[[#This Row],[сумма]]*Таблица1[[#This Row],[коэф]])),
IF((G557="5/16"),((база!$L$6*Таблица1[[#This Row],[сумма]]*Таблица1[[#This Row],[коэф]])),
IF((G557="4/16"),((база!$L$5*Таблица1[[#This Row],[сумма]]*Таблица1[[#This Row],[коэф]])),
IF((G557="3/16"),((база!$L$4*Таблица1[[#This Row],[сумма]]*Таблица1[[#This Row],[коэф]])),
IF((G557="4/4"),((база!$I$5*Таблица1[[#This Row],[сумма]]*Таблица1[[#This Row],[коэф]])),
IF(OR(G557="2/4",G557="3/4"),((база!$I$4*Таблица1[[#This Row],[сумма]]*Таблица1[[#This Row],[коэф]])),
IF((G557="5/8"),((база!$J$6*Таблица1[[#This Row],[сумма]]*Таблица1[[#This Row],[коэф]])),
IF((G557="4/8"),((база!$J$5*Таблица1[[#This Row],[сумма]]*Таблица1[[#This Row],[коэф]])),
IF(OR(G557="3/8",G557="2/8"),((база!$J$4*Таблица1[[#This Row],[сумма]]*Таблица1[[#This Row],[коэф]])))))))))))))),
(IF((G557="5/24"),((база!$M$6*Таблица1[[#This Row],[сумма]]*Таблица1[[#This Row],[коэф]])),
IF(OR(G557="4/24",G557="3/24"),((база!$M$5*Таблица1[[#This Row],[сумма]]*Таблица1[[#This Row],[коэф]])),
IF((G557="5/16"),((база!$L$6*Таблица1[[#This Row],[сумма]]*Таблица1[[#This Row],[коэф]])),
IF(OR(G557="4/16",G557="3/16"),((база!$L$5*Таблица1[[#This Row],[сумма]]*Таблица1[[#This Row],[коэф]])),
IF(OR(G557="2/4",G557="3/4",G557="4/4"),((база!$I$5*Таблица1[[#This Row],[сумма]]*Таблица1[[#This Row],[коэф]])),
IF((G557="5/8"),((база!$J$6*Таблица1[[#This Row],[сумма]]*Таблица1[[#This Row],[коэф]])),
IF(OR(G557="4/8",G557="3/8",G557="2/8"),((база!$J$5*Таблица1[[#This Row],[сумма]]*Таблица1[[#This Row],[коэф]])))))))))))</f>
        <v>0</v>
      </c>
      <c r="AP557" s="730" t="b">
        <f>IF(AR557&lt;=3,(IF((G557="5/24"),((база!$M$6*2*Таблица1[[#This Row],[Столбец1]]*Таблица1[[#This Row],[коэф]])),
IF((G557="4/24"),((база!$M$5*2*Таблица1[[#This Row],[Столбец1]]*Таблица1[[#This Row],[коэф]])),
IF((G557="3/24"),((база!$M$4*2*Таблица1[[#This Row],[Столбец1]]*Таблица1[[#This Row],[коэф]])),
IF((G557="5/16"),((база!$L$6*2*Таблица1[[#This Row],[Столбец1]]*Таблица1[[#This Row],[коэф]])),
IF((G557="4/16"),((база!$L$5*2*Таблица1[[#This Row],[Столбец1]]*Таблица1[[#This Row],[коэф]])),
IF((G557="3/16"),((база!$L$4*2*Таблица1[[#This Row],[Столбец1]]*Таблица1[[#This Row],[коэф]])),
IF((G557="4/4"),((база!$I$5*2*Таблица1[[#This Row],[Столбец1]]*Таблица1[[#This Row],[коэф]])),
IF(OR(G557="2/4",G557="3/4"),((база!$I$4*2*Таблица1[[#This Row],[Столбец1]]*Таблица1[[#This Row],[коэф]])),
IF((G557="5/8"),((база!$J$6*2*Таблица1[[#This Row],[Столбец1]]*Таблица1[[#This Row],[коэф]])),
IF((G557="4/8"),((база!$J$5*2*Таблица1[[#This Row],[Столбец1]]*Таблица1[[#This Row],[коэф]])),
IF(OR(G557="3/8",G557="2/8"),((база!$J$4*2*Таблица1[[#This Row],[Столбец1]]*Таблица1[[#This Row],[коэф]])))))))))))))),
(IF((G557="5/24"),((база!$M$6*2*Таблица1[[#This Row],[Столбец1]]*Таблица1[[#This Row],[коэф]])),
IF(OR(G557="4/24",G557="3/24"),((база!$M$5*2*Таблица1[[#This Row],[Столбец1]]*Таблица1[[#This Row],[коэф]])),
IF((G557="5/16"),((база!$L$6*2*Таблица1[[#This Row],[Столбец1]]*Таблица1[[#This Row],[коэф]])),
IF(OR(G557="4/16",G557="3/16"),((база!$L$5*2*Таблица1[[#This Row],[Столбец1]]*Таблица1[[#This Row],[коэф]])),
IF(OR(G557="2/4",G557="3/4",G557="4/4"),((база!$I$5*2*Таблица1[[#This Row],[Столбец1]]*Таблица1[[#This Row],[коэф]])),
IF((G557="5/8"),((база!$J$6*2*Таблица1[[#This Row],[Столбец1]]*Таблица1[[#This Row],[коэф]])),
IF(OR(G557="4/8",G557="3/8",G557="2/8"),((база!$J$5*2*Таблица1[[#This Row],[Столбец1]]*Таблица1[[#This Row],[коэф]])))))))))))</f>
        <v>0</v>
      </c>
      <c r="AQ557" s="712" t="str">
        <f>IFERROR(INDEX(база!T:T, MATCH(F557,база!Q:Q,0)),"")</f>
        <v/>
      </c>
      <c r="AR557" s="208" t="str">
        <f>IFERROR(INDEX(база!D:D, MATCH(F557,база!B:B,0)),"")</f>
        <v/>
      </c>
      <c r="AS557" s="758" t="str">
        <f>IFERROR(INDEX(база!E:E, MATCH(F557,база!B:B,0)),"")</f>
        <v/>
      </c>
    </row>
    <row r="558" spans="1:45" s="46" customFormat="1" ht="15">
      <c r="A558" s="66" t="str">
        <f t="shared" si="10"/>
        <v>январь</v>
      </c>
      <c r="B558" s="231">
        <v>2024</v>
      </c>
      <c r="C558" s="299"/>
      <c r="D558" s="61"/>
      <c r="E558" s="211"/>
      <c r="F558" s="680"/>
      <c r="G558" s="47"/>
      <c r="H558" s="563"/>
      <c r="I558" s="563"/>
      <c r="J558" s="563"/>
      <c r="K558" s="563"/>
      <c r="L558" s="563"/>
      <c r="M558" s="563"/>
      <c r="N558" s="563"/>
      <c r="O558" s="563"/>
      <c r="P558" s="300"/>
      <c r="Q558" s="563"/>
      <c r="R558" s="563"/>
      <c r="S558" s="563"/>
      <c r="T558" s="563"/>
      <c r="U558" s="563"/>
      <c r="V558" s="563"/>
      <c r="W558" s="563"/>
      <c r="X558" s="563"/>
      <c r="Y558" s="563"/>
      <c r="Z558" s="563"/>
      <c r="AA558" s="563"/>
      <c r="AB558" s="563"/>
      <c r="AC558" s="563"/>
      <c r="AD558" s="48"/>
      <c r="AE558" s="48"/>
      <c r="AF558" s="258"/>
      <c r="AG558" s="48"/>
      <c r="AH558" s="48"/>
      <c r="AI558" s="48"/>
      <c r="AJ558" s="48"/>
      <c r="AK558" s="48"/>
      <c r="AL558" s="51"/>
      <c r="AM558" s="212">
        <f>IF(AQ558=1,SUM(Q558:T558,W558:Z558,AC558:AF558,AI558:AL558),
IF(AQ558=2,SUM(P558,S558:V558,Y558:AB558,AE558:AH558,AK558:AL558),
IF(AQ558=3,SUM(P558:R558,U558:X558,AA558:AD558,AG558:AJ558),SUM(Таблица1[[#This Row],[1]:[31]])-Таблица1[[#This Row],[Столбец1]])))</f>
        <v>0</v>
      </c>
      <c r="AN558" s="778">
        <f t="array" ref="AN558">IF(AQ558=1,SUM(P558,U558:V558,AA558:AB558,AG558:AH558),
IF(AQ558=2,SUM(Q558:R558,W558:X558,AC558:AD558,AI558:AJ558),
IF(AQ558=3,SUM(S558:T558,Y558:Z558,AE558:AF558,AK558:AL558),
SUM(IFERROR(WEEKDAY($H$2:$AL$2,2)&gt;5,)*H558:AL558))))+Таблица1[[#This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58" s="292" t="b">
        <f>IF(AR558&lt;=3,(IF((G558="5/24"),((база!$M$6*Таблица1[[#This Row],[сумма]]*Таблица1[[#This Row],[коэф]])),
IF((G558="4/24"),((база!$M$5*Таблица1[[#This Row],[сумма]]*Таблица1[[#This Row],[коэф]])),
IF((G558="3/24"),((база!$M$4*Таблица1[[#This Row],[сумма]]*Таблица1[[#This Row],[коэф]])),
IF((G558="5/16"),((база!$L$6*Таблица1[[#This Row],[сумма]]*Таблица1[[#This Row],[коэф]])),
IF((G558="4/16"),((база!$L$5*Таблица1[[#This Row],[сумма]]*Таблица1[[#This Row],[коэф]])),
IF((G558="3/16"),((база!$L$4*Таблица1[[#This Row],[сумма]]*Таблица1[[#This Row],[коэф]])),
IF((G558="4/4"),((база!$I$5*Таблица1[[#This Row],[сумма]]*Таблица1[[#This Row],[коэф]])),
IF(OR(G558="2/4",G558="3/4"),((база!$I$4*Таблица1[[#This Row],[сумма]]*Таблица1[[#This Row],[коэф]])),
IF((G558="5/8"),((база!$J$6*Таблица1[[#This Row],[сумма]]*Таблица1[[#This Row],[коэф]])),
IF((G558="4/8"),((база!$J$5*Таблица1[[#This Row],[сумма]]*Таблица1[[#This Row],[коэф]])),
IF(OR(G558="3/8",G558="2/8"),((база!$J$4*Таблица1[[#This Row],[сумма]]*Таблица1[[#This Row],[коэф]])))))))))))))),
(IF((G558="5/24"),((база!$M$6*Таблица1[[#This Row],[сумма]]*Таблица1[[#This Row],[коэф]])),
IF(OR(G558="4/24",G558="3/24"),((база!$M$5*Таблица1[[#This Row],[сумма]]*Таблица1[[#This Row],[коэф]])),
IF((G558="5/16"),((база!$L$6*Таблица1[[#This Row],[сумма]]*Таблица1[[#This Row],[коэф]])),
IF(OR(G558="4/16",G558="3/16"),((база!$L$5*Таблица1[[#This Row],[сумма]]*Таблица1[[#This Row],[коэф]])),
IF(OR(G558="2/4",G558="3/4",G558="4/4"),((база!$I$5*Таблица1[[#This Row],[сумма]]*Таблица1[[#This Row],[коэф]])),
IF((G558="5/8"),((база!$J$6*Таблица1[[#This Row],[сумма]]*Таблица1[[#This Row],[коэф]])),
IF(OR(G558="4/8",G558="3/8",G558="2/8"),((база!$J$5*Таблица1[[#This Row],[сумма]]*Таблица1[[#This Row],[коэф]])))))))))))</f>
        <v>0</v>
      </c>
      <c r="AP558" s="730" t="b">
        <f>IF(AR558&lt;=3,(IF((G558="5/24"),((база!$M$6*2*Таблица1[[#This Row],[Столбец1]]*Таблица1[[#This Row],[коэф]])),
IF((G558="4/24"),((база!$M$5*2*Таблица1[[#This Row],[Столбец1]]*Таблица1[[#This Row],[коэф]])),
IF((G558="3/24"),((база!$M$4*2*Таблица1[[#This Row],[Столбец1]]*Таблица1[[#This Row],[коэф]])),
IF((G558="5/16"),((база!$L$6*2*Таблица1[[#This Row],[Столбец1]]*Таблица1[[#This Row],[коэф]])),
IF((G558="4/16"),((база!$L$5*2*Таблица1[[#This Row],[Столбец1]]*Таблица1[[#This Row],[коэф]])),
IF((G558="3/16"),((база!$L$4*2*Таблица1[[#This Row],[Столбец1]]*Таблица1[[#This Row],[коэф]])),
IF((G558="4/4"),((база!$I$5*2*Таблица1[[#This Row],[Столбец1]]*Таблица1[[#This Row],[коэф]])),
IF(OR(G558="2/4",G558="3/4"),((база!$I$4*2*Таблица1[[#This Row],[Столбец1]]*Таблица1[[#This Row],[коэф]])),
IF((G558="5/8"),((база!$J$6*2*Таблица1[[#This Row],[Столбец1]]*Таблица1[[#This Row],[коэф]])),
IF((G558="4/8"),((база!$J$5*2*Таблица1[[#This Row],[Столбец1]]*Таблица1[[#This Row],[коэф]])),
IF(OR(G558="3/8",G558="2/8"),((база!$J$4*2*Таблица1[[#This Row],[Столбец1]]*Таблица1[[#This Row],[коэф]])))))))))))))),
(IF((G558="5/24"),((база!$M$6*2*Таблица1[[#This Row],[Столбец1]]*Таблица1[[#This Row],[коэф]])),
IF(OR(G558="4/24",G558="3/24"),((база!$M$5*2*Таблица1[[#This Row],[Столбец1]]*Таблица1[[#This Row],[коэф]])),
IF((G558="5/16"),((база!$L$6*2*Таблица1[[#This Row],[Столбец1]]*Таблица1[[#This Row],[коэф]])),
IF(OR(G558="4/16",G558="3/16"),((база!$L$5*2*Таблица1[[#This Row],[Столбец1]]*Таблица1[[#This Row],[коэф]])),
IF(OR(G558="2/4",G558="3/4",G558="4/4"),((база!$I$5*2*Таблица1[[#This Row],[Столбец1]]*Таблица1[[#This Row],[коэф]])),
IF((G558="5/8"),((база!$J$6*2*Таблица1[[#This Row],[Столбец1]]*Таблица1[[#This Row],[коэф]])),
IF(OR(G558="4/8",G558="3/8",G558="2/8"),((база!$J$5*2*Таблица1[[#This Row],[Столбец1]]*Таблица1[[#This Row],[коэф]])))))))))))</f>
        <v>0</v>
      </c>
      <c r="AQ558" s="712" t="str">
        <f>IFERROR(INDEX(база!T:T, MATCH(F558,база!Q:Q,0)),"")</f>
        <v/>
      </c>
      <c r="AR558" s="208" t="str">
        <f>IFERROR(INDEX(база!D:D, MATCH(F558,база!B:B,0)),"")</f>
        <v/>
      </c>
      <c r="AS558" s="758" t="str">
        <f>IFERROR(INDEX(база!E:E, MATCH(F558,база!B:B,0)),"")</f>
        <v/>
      </c>
    </row>
    <row r="559" spans="1:45" s="46" customFormat="1" ht="15">
      <c r="A559" s="66" t="str">
        <f t="shared" si="10"/>
        <v>январь</v>
      </c>
      <c r="B559" s="231">
        <v>2024</v>
      </c>
      <c r="C559" s="299"/>
      <c r="D559" s="61"/>
      <c r="E559" s="211"/>
      <c r="F559" s="680"/>
      <c r="G559" s="47"/>
      <c r="H559" s="563"/>
      <c r="I559" s="563"/>
      <c r="J559" s="563"/>
      <c r="K559" s="563"/>
      <c r="L559" s="563"/>
      <c r="M559" s="563"/>
      <c r="N559" s="563"/>
      <c r="O559" s="563"/>
      <c r="P559" s="300"/>
      <c r="Q559" s="563"/>
      <c r="R559" s="563"/>
      <c r="S559" s="563"/>
      <c r="T559" s="563"/>
      <c r="U559" s="563"/>
      <c r="V559" s="563"/>
      <c r="W559" s="563"/>
      <c r="X559" s="563"/>
      <c r="Y559" s="563"/>
      <c r="Z559" s="563"/>
      <c r="AA559" s="563"/>
      <c r="AB559" s="563"/>
      <c r="AC559" s="563"/>
      <c r="AD559" s="48"/>
      <c r="AE559" s="48"/>
      <c r="AF559" s="258"/>
      <c r="AG559" s="48"/>
      <c r="AH559" s="48"/>
      <c r="AI559" s="258"/>
      <c r="AJ559" s="258"/>
      <c r="AK559" s="258"/>
      <c r="AL559" s="258"/>
      <c r="AM559" s="212">
        <f>IF(AQ559=1,SUM(Q559:T559,W559:Z559,AC559:AF559,AI559:AL559),
IF(AQ559=2,SUM(P559,S559:V559,Y559:AB559,AE559:AH559,AK559:AL559),
IF(AQ559=3,SUM(P559:R559,U559:X559,AA559:AD559,AG559:AJ559),SUM(Таблица1[[#This Row],[1]:[31]])-Таблица1[[#This Row],[Столбец1]])))</f>
        <v>0</v>
      </c>
      <c r="AN559" s="778">
        <f t="array" ref="AN559">IF(AQ559=1,SUM(P559,U559:V559,AA559:AB559,AG559:AH559),
IF(AQ559=2,SUM(Q559:R559,W559:X559,AC559:AD559,AI559:AJ559),
IF(AQ559=3,SUM(S559:T559,Y559:Z559,AE559:AF559,AK559:AL559),
SUM(IFERROR(WEEKDAY($H$2:$AL$2,2)&gt;5,)*H559:AL559))))+Таблица1[[#This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59" s="292" t="b">
        <f>IF(AR559&lt;=3,(IF((G559="5/24"),((база!$M$6*Таблица1[[#This Row],[сумма]]*Таблица1[[#This Row],[коэф]])),
IF((G559="4/24"),((база!$M$5*Таблица1[[#This Row],[сумма]]*Таблица1[[#This Row],[коэф]])),
IF((G559="3/24"),((база!$M$4*Таблица1[[#This Row],[сумма]]*Таблица1[[#This Row],[коэф]])),
IF((G559="5/16"),((база!$L$6*Таблица1[[#This Row],[сумма]]*Таблица1[[#This Row],[коэф]])),
IF((G559="4/16"),((база!$L$5*Таблица1[[#This Row],[сумма]]*Таблица1[[#This Row],[коэф]])),
IF((G559="3/16"),((база!$L$4*Таблица1[[#This Row],[сумма]]*Таблица1[[#This Row],[коэф]])),
IF((G559="4/4"),((база!$I$5*Таблица1[[#This Row],[сумма]]*Таблица1[[#This Row],[коэф]])),
IF(OR(G559="2/4",G559="3/4"),((база!$I$4*Таблица1[[#This Row],[сумма]]*Таблица1[[#This Row],[коэф]])),
IF((G559="5/8"),((база!$J$6*Таблица1[[#This Row],[сумма]]*Таблица1[[#This Row],[коэф]])),
IF((G559="4/8"),((база!$J$5*Таблица1[[#This Row],[сумма]]*Таблица1[[#This Row],[коэф]])),
IF(OR(G559="3/8",G559="2/8"),((база!$J$4*Таблица1[[#This Row],[сумма]]*Таблица1[[#This Row],[коэф]])))))))))))))),
(IF((G559="5/24"),((база!$M$6*Таблица1[[#This Row],[сумма]]*Таблица1[[#This Row],[коэф]])),
IF(OR(G559="4/24",G559="3/24"),((база!$M$5*Таблица1[[#This Row],[сумма]]*Таблица1[[#This Row],[коэф]])),
IF((G559="5/16"),((база!$L$6*Таблица1[[#This Row],[сумма]]*Таблица1[[#This Row],[коэф]])),
IF(OR(G559="4/16",G559="3/16"),((база!$L$5*Таблица1[[#This Row],[сумма]]*Таблица1[[#This Row],[коэф]])),
IF(OR(G559="2/4",G559="3/4",G559="4/4"),((база!$I$5*Таблица1[[#This Row],[сумма]]*Таблица1[[#This Row],[коэф]])),
IF((G559="5/8"),((база!$J$6*Таблица1[[#This Row],[сумма]]*Таблица1[[#This Row],[коэф]])),
IF(OR(G559="4/8",G559="3/8",G559="2/8"),((база!$J$5*Таблица1[[#This Row],[сумма]]*Таблица1[[#This Row],[коэф]])))))))))))</f>
        <v>0</v>
      </c>
      <c r="AP559" s="730" t="b">
        <f>IF(AR559&lt;=3,(IF((G559="5/24"),((база!$M$6*2*Таблица1[[#This Row],[Столбец1]]*Таблица1[[#This Row],[коэф]])),
IF((G559="4/24"),((база!$M$5*2*Таблица1[[#This Row],[Столбец1]]*Таблица1[[#This Row],[коэф]])),
IF((G559="3/24"),((база!$M$4*2*Таблица1[[#This Row],[Столбец1]]*Таблица1[[#This Row],[коэф]])),
IF((G559="5/16"),((база!$L$6*2*Таблица1[[#This Row],[Столбец1]]*Таблица1[[#This Row],[коэф]])),
IF((G559="4/16"),((база!$L$5*2*Таблица1[[#This Row],[Столбец1]]*Таблица1[[#This Row],[коэф]])),
IF((G559="3/16"),((база!$L$4*2*Таблица1[[#This Row],[Столбец1]]*Таблица1[[#This Row],[коэф]])),
IF((G559="4/4"),((база!$I$5*2*Таблица1[[#This Row],[Столбец1]]*Таблица1[[#This Row],[коэф]])),
IF(OR(G559="2/4",G559="3/4"),((база!$I$4*2*Таблица1[[#This Row],[Столбец1]]*Таблица1[[#This Row],[коэф]])),
IF((G559="5/8"),((база!$J$6*2*Таблица1[[#This Row],[Столбец1]]*Таблица1[[#This Row],[коэф]])),
IF((G559="4/8"),((база!$J$5*2*Таблица1[[#This Row],[Столбец1]]*Таблица1[[#This Row],[коэф]])),
IF(OR(G559="3/8",G559="2/8"),((база!$J$4*2*Таблица1[[#This Row],[Столбец1]]*Таблица1[[#This Row],[коэф]])))))))))))))),
(IF((G559="5/24"),((база!$M$6*2*Таблица1[[#This Row],[Столбец1]]*Таблица1[[#This Row],[коэф]])),
IF(OR(G559="4/24",G559="3/24"),((база!$M$5*2*Таблица1[[#This Row],[Столбец1]]*Таблица1[[#This Row],[коэф]])),
IF((G559="5/16"),((база!$L$6*2*Таблица1[[#This Row],[Столбец1]]*Таблица1[[#This Row],[коэф]])),
IF(OR(G559="4/16",G559="3/16"),((база!$L$5*2*Таблица1[[#This Row],[Столбец1]]*Таблица1[[#This Row],[коэф]])),
IF(OR(G559="2/4",G559="3/4",G559="4/4"),((база!$I$5*2*Таблица1[[#This Row],[Столбец1]]*Таблица1[[#This Row],[коэф]])),
IF((G559="5/8"),((база!$J$6*2*Таблица1[[#This Row],[Столбец1]]*Таблица1[[#This Row],[коэф]])),
IF(OR(G559="4/8",G559="3/8",G559="2/8"),((база!$J$5*2*Таблица1[[#This Row],[Столбец1]]*Таблица1[[#This Row],[коэф]])))))))))))</f>
        <v>0</v>
      </c>
      <c r="AQ559" s="712" t="str">
        <f>IFERROR(INDEX(база!T:T, MATCH(F559,база!Q:Q,0)),"")</f>
        <v/>
      </c>
      <c r="AR559" s="208" t="str">
        <f>IFERROR(INDEX(база!D:D, MATCH(F559,база!B:B,0)),"")</f>
        <v/>
      </c>
      <c r="AS559" s="758" t="str">
        <f>IFERROR(INDEX(база!E:E, MATCH(F559,база!B:B,0)),"")</f>
        <v/>
      </c>
    </row>
    <row r="560" spans="1:45" s="46" customFormat="1" ht="15">
      <c r="A560" s="66" t="str">
        <f t="shared" si="10"/>
        <v>январь</v>
      </c>
      <c r="B560" s="231">
        <v>2024</v>
      </c>
      <c r="C560" s="299"/>
      <c r="D560" s="61"/>
      <c r="E560" s="211"/>
      <c r="F560" s="680"/>
      <c r="G560" s="47"/>
      <c r="H560" s="563"/>
      <c r="I560" s="563"/>
      <c r="J560" s="563"/>
      <c r="K560" s="563"/>
      <c r="L560" s="563"/>
      <c r="M560" s="563"/>
      <c r="N560" s="563"/>
      <c r="O560" s="563"/>
      <c r="P560" s="300"/>
      <c r="Q560" s="563"/>
      <c r="R560" s="563"/>
      <c r="S560" s="563"/>
      <c r="T560" s="563"/>
      <c r="U560" s="563"/>
      <c r="V560" s="563"/>
      <c r="W560" s="563"/>
      <c r="X560" s="563"/>
      <c r="Y560" s="563"/>
      <c r="Z560" s="563"/>
      <c r="AA560" s="563"/>
      <c r="AB560" s="563"/>
      <c r="AC560" s="563"/>
      <c r="AD560" s="48"/>
      <c r="AE560" s="48"/>
      <c r="AF560" s="258"/>
      <c r="AG560" s="48"/>
      <c r="AH560" s="48"/>
      <c r="AI560" s="48"/>
      <c r="AJ560" s="48"/>
      <c r="AK560" s="48"/>
      <c r="AL560" s="51"/>
      <c r="AM560" s="212">
        <f>IF(AQ560=1,SUM(Q560:T560,W560:Z560,AC560:AF560,AI560:AL560),
IF(AQ560=2,SUM(P560,S560:V560,Y560:AB560,AE560:AH560,AK560:AL560),
IF(AQ560=3,SUM(P560:R560,U560:X560,AA560:AD560,AG560:AJ560),SUM(Таблица1[[#This Row],[1]:[31]])-Таблица1[[#This Row],[Столбец1]])))</f>
        <v>0</v>
      </c>
      <c r="AN560" s="778">
        <f t="array" ref="AN560">IF(AQ560=1,SUM(P560,U560:V560,AA560:AB560,AG560:AH560),
IF(AQ560=2,SUM(Q560:R560,W560:X560,AC560:AD560,AI560:AJ560),
IF(AQ560=3,SUM(S560:T560,Y560:Z560,AE560:AF560,AK560:AL560),
SUM(IFERROR(WEEKDAY($H$2:$AL$2,2)&gt;5,)*H560:AL560))))+Таблица1[[#This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60" s="292" t="b">
        <f>IF(AR560&lt;=3,(IF((G560="5/24"),((база!$M$6*Таблица1[[#This Row],[сумма]]*Таблица1[[#This Row],[коэф]])),
IF((G560="4/24"),((база!$M$5*Таблица1[[#This Row],[сумма]]*Таблица1[[#This Row],[коэф]])),
IF((G560="3/24"),((база!$M$4*Таблица1[[#This Row],[сумма]]*Таблица1[[#This Row],[коэф]])),
IF((G560="5/16"),((база!$L$6*Таблица1[[#This Row],[сумма]]*Таблица1[[#This Row],[коэф]])),
IF((G560="4/16"),((база!$L$5*Таблица1[[#This Row],[сумма]]*Таблица1[[#This Row],[коэф]])),
IF((G560="3/16"),((база!$L$4*Таблица1[[#This Row],[сумма]]*Таблица1[[#This Row],[коэф]])),
IF((G560="4/4"),((база!$I$5*Таблица1[[#This Row],[сумма]]*Таблица1[[#This Row],[коэф]])),
IF(OR(G560="2/4",G560="3/4"),((база!$I$4*Таблица1[[#This Row],[сумма]]*Таблица1[[#This Row],[коэф]])),
IF((G560="5/8"),((база!$J$6*Таблица1[[#This Row],[сумма]]*Таблица1[[#This Row],[коэф]])),
IF((G560="4/8"),((база!$J$5*Таблица1[[#This Row],[сумма]]*Таблица1[[#This Row],[коэф]])),
IF(OR(G560="3/8",G560="2/8"),((база!$J$4*Таблица1[[#This Row],[сумма]]*Таблица1[[#This Row],[коэф]])))))))))))))),
(IF((G560="5/24"),((база!$M$6*Таблица1[[#This Row],[сумма]]*Таблица1[[#This Row],[коэф]])),
IF(OR(G560="4/24",G560="3/24"),((база!$M$5*Таблица1[[#This Row],[сумма]]*Таблица1[[#This Row],[коэф]])),
IF((G560="5/16"),((база!$L$6*Таблица1[[#This Row],[сумма]]*Таблица1[[#This Row],[коэф]])),
IF(OR(G560="4/16",G560="3/16"),((база!$L$5*Таблица1[[#This Row],[сумма]]*Таблица1[[#This Row],[коэф]])),
IF(OR(G560="2/4",G560="3/4",G560="4/4"),((база!$I$5*Таблица1[[#This Row],[сумма]]*Таблица1[[#This Row],[коэф]])),
IF((G560="5/8"),((база!$J$6*Таблица1[[#This Row],[сумма]]*Таблица1[[#This Row],[коэф]])),
IF(OR(G560="4/8",G560="3/8",G560="2/8"),((база!$J$5*Таблица1[[#This Row],[сумма]]*Таблица1[[#This Row],[коэф]])))))))))))</f>
        <v>0</v>
      </c>
      <c r="AP560" s="730" t="b">
        <f>IF(AR560&lt;=3,(IF((G560="5/24"),((база!$M$6*2*Таблица1[[#This Row],[Столбец1]]*Таблица1[[#This Row],[коэф]])),
IF((G560="4/24"),((база!$M$5*2*Таблица1[[#This Row],[Столбец1]]*Таблица1[[#This Row],[коэф]])),
IF((G560="3/24"),((база!$M$4*2*Таблица1[[#This Row],[Столбец1]]*Таблица1[[#This Row],[коэф]])),
IF((G560="5/16"),((база!$L$6*2*Таблица1[[#This Row],[Столбец1]]*Таблица1[[#This Row],[коэф]])),
IF((G560="4/16"),((база!$L$5*2*Таблица1[[#This Row],[Столбец1]]*Таблица1[[#This Row],[коэф]])),
IF((G560="3/16"),((база!$L$4*2*Таблица1[[#This Row],[Столбец1]]*Таблица1[[#This Row],[коэф]])),
IF((G560="4/4"),((база!$I$5*2*Таблица1[[#This Row],[Столбец1]]*Таблица1[[#This Row],[коэф]])),
IF(OR(G560="2/4",G560="3/4"),((база!$I$4*2*Таблица1[[#This Row],[Столбец1]]*Таблица1[[#This Row],[коэф]])),
IF((G560="5/8"),((база!$J$6*2*Таблица1[[#This Row],[Столбец1]]*Таблица1[[#This Row],[коэф]])),
IF((G560="4/8"),((база!$J$5*2*Таблица1[[#This Row],[Столбец1]]*Таблица1[[#This Row],[коэф]])),
IF(OR(G560="3/8",G560="2/8"),((база!$J$4*2*Таблица1[[#This Row],[Столбец1]]*Таблица1[[#This Row],[коэф]])))))))))))))),
(IF((G560="5/24"),((база!$M$6*2*Таблица1[[#This Row],[Столбец1]]*Таблица1[[#This Row],[коэф]])),
IF(OR(G560="4/24",G560="3/24"),((база!$M$5*2*Таблица1[[#This Row],[Столбец1]]*Таблица1[[#This Row],[коэф]])),
IF((G560="5/16"),((база!$L$6*2*Таблица1[[#This Row],[Столбец1]]*Таблица1[[#This Row],[коэф]])),
IF(OR(G560="4/16",G560="3/16"),((база!$L$5*2*Таблица1[[#This Row],[Столбец1]]*Таблица1[[#This Row],[коэф]])),
IF(OR(G560="2/4",G560="3/4",G560="4/4"),((база!$I$5*2*Таблица1[[#This Row],[Столбец1]]*Таблица1[[#This Row],[коэф]])),
IF((G560="5/8"),((база!$J$6*2*Таблица1[[#This Row],[Столбец1]]*Таблица1[[#This Row],[коэф]])),
IF(OR(G560="4/8",G560="3/8",G560="2/8"),((база!$J$5*2*Таблица1[[#This Row],[Столбец1]]*Таблица1[[#This Row],[коэф]])))))))))))</f>
        <v>0</v>
      </c>
      <c r="AQ560" s="712" t="str">
        <f>IFERROR(INDEX(база!T:T, MATCH(F560,база!Q:Q,0)),"")</f>
        <v/>
      </c>
      <c r="AR560" s="208" t="str">
        <f>IFERROR(INDEX(база!D:D, MATCH(F560,база!B:B,0)),"")</f>
        <v/>
      </c>
      <c r="AS560" s="758" t="str">
        <f>IFERROR(INDEX(база!E:E, MATCH(F560,база!B:B,0)),"")</f>
        <v/>
      </c>
    </row>
    <row r="561" spans="1:45" s="46" customFormat="1" ht="15">
      <c r="A561" s="66" t="str">
        <f t="shared" si="10"/>
        <v>январь</v>
      </c>
      <c r="B561" s="231">
        <v>2024</v>
      </c>
      <c r="C561" s="299"/>
      <c r="D561" s="61"/>
      <c r="E561" s="211"/>
      <c r="F561" s="680"/>
      <c r="G561" s="47"/>
      <c r="H561" s="563"/>
      <c r="I561" s="563"/>
      <c r="J561" s="563"/>
      <c r="K561" s="563"/>
      <c r="L561" s="563"/>
      <c r="M561" s="563"/>
      <c r="N561" s="563"/>
      <c r="O561" s="563"/>
      <c r="P561" s="300"/>
      <c r="Q561" s="563"/>
      <c r="R561" s="563"/>
      <c r="S561" s="563"/>
      <c r="T561" s="563"/>
      <c r="U561" s="563"/>
      <c r="V561" s="563"/>
      <c r="W561" s="563"/>
      <c r="X561" s="563"/>
      <c r="Y561" s="563"/>
      <c r="Z561" s="563"/>
      <c r="AA561" s="563"/>
      <c r="AB561" s="563"/>
      <c r="AC561" s="563"/>
      <c r="AD561" s="48"/>
      <c r="AE561" s="48"/>
      <c r="AF561" s="258"/>
      <c r="AG561" s="48"/>
      <c r="AH561" s="48"/>
      <c r="AI561" s="258"/>
      <c r="AJ561" s="258"/>
      <c r="AK561" s="258"/>
      <c r="AL561" s="258"/>
      <c r="AM561" s="212">
        <f>IF(AQ561=1,SUM(Q561:T561,W561:Z561,AC561:AF561,AI561:AL561),
IF(AQ561=2,SUM(P561,S561:V561,Y561:AB561,AE561:AH561,AK561:AL561),
IF(AQ561=3,SUM(P561:R561,U561:X561,AA561:AD561,AG561:AJ561),SUM(Таблица1[[#This Row],[1]:[31]])-Таблица1[[#This Row],[Столбец1]])))</f>
        <v>0</v>
      </c>
      <c r="AN561" s="778">
        <f t="array" ref="AN561">IF(AQ561=1,SUM(P561,U561:V561,AA561:AB561,AG561:AH561),
IF(AQ561=2,SUM(Q561:R561,W561:X561,AC561:AD561,AI561:AJ561),
IF(AQ561=3,SUM(S561:T561,Y561:Z561,AE561:AF561,AK561:AL561),
SUM(IFERROR(WEEKDAY($H$2:$AL$2,2)&gt;5,)*H561:AL561))))+Таблица1[[#This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61" s="292" t="b">
        <f>IF(AR561&lt;=3,(IF((G561="5/24"),((база!$M$6*Таблица1[[#This Row],[сумма]]*Таблица1[[#This Row],[коэф]])),
IF((G561="4/24"),((база!$M$5*Таблица1[[#This Row],[сумма]]*Таблица1[[#This Row],[коэф]])),
IF((G561="3/24"),((база!$M$4*Таблица1[[#This Row],[сумма]]*Таблица1[[#This Row],[коэф]])),
IF((G561="5/16"),((база!$L$6*Таблица1[[#This Row],[сумма]]*Таблица1[[#This Row],[коэф]])),
IF((G561="4/16"),((база!$L$5*Таблица1[[#This Row],[сумма]]*Таблица1[[#This Row],[коэф]])),
IF((G561="3/16"),((база!$L$4*Таблица1[[#This Row],[сумма]]*Таблица1[[#This Row],[коэф]])),
IF((G561="4/4"),((база!$I$5*Таблица1[[#This Row],[сумма]]*Таблица1[[#This Row],[коэф]])),
IF(OR(G561="2/4",G561="3/4"),((база!$I$4*Таблица1[[#This Row],[сумма]]*Таблица1[[#This Row],[коэф]])),
IF((G561="5/8"),((база!$J$6*Таблица1[[#This Row],[сумма]]*Таблица1[[#This Row],[коэф]])),
IF((G561="4/8"),((база!$J$5*Таблица1[[#This Row],[сумма]]*Таблица1[[#This Row],[коэф]])),
IF(OR(G561="3/8",G561="2/8"),((база!$J$4*Таблица1[[#This Row],[сумма]]*Таблица1[[#This Row],[коэф]])))))))))))))),
(IF((G561="5/24"),((база!$M$6*Таблица1[[#This Row],[сумма]]*Таблица1[[#This Row],[коэф]])),
IF(OR(G561="4/24",G561="3/24"),((база!$M$5*Таблица1[[#This Row],[сумма]]*Таблица1[[#This Row],[коэф]])),
IF((G561="5/16"),((база!$L$6*Таблица1[[#This Row],[сумма]]*Таблица1[[#This Row],[коэф]])),
IF(OR(G561="4/16",G561="3/16"),((база!$L$5*Таблица1[[#This Row],[сумма]]*Таблица1[[#This Row],[коэф]])),
IF(OR(G561="2/4",G561="3/4",G561="4/4"),((база!$I$5*Таблица1[[#This Row],[сумма]]*Таблица1[[#This Row],[коэф]])),
IF((G561="5/8"),((база!$J$6*Таблица1[[#This Row],[сумма]]*Таблица1[[#This Row],[коэф]])),
IF(OR(G561="4/8",G561="3/8",G561="2/8"),((база!$J$5*Таблица1[[#This Row],[сумма]]*Таблица1[[#This Row],[коэф]])))))))))))</f>
        <v>0</v>
      </c>
      <c r="AP561" s="730" t="b">
        <f>IF(AR561&lt;=3,(IF((G561="5/24"),((база!$M$6*2*Таблица1[[#This Row],[Столбец1]]*Таблица1[[#This Row],[коэф]])),
IF((G561="4/24"),((база!$M$5*2*Таблица1[[#This Row],[Столбец1]]*Таблица1[[#This Row],[коэф]])),
IF((G561="3/24"),((база!$M$4*2*Таблица1[[#This Row],[Столбец1]]*Таблица1[[#This Row],[коэф]])),
IF((G561="5/16"),((база!$L$6*2*Таблица1[[#This Row],[Столбец1]]*Таблица1[[#This Row],[коэф]])),
IF((G561="4/16"),((база!$L$5*2*Таблица1[[#This Row],[Столбец1]]*Таблица1[[#This Row],[коэф]])),
IF((G561="3/16"),((база!$L$4*2*Таблица1[[#This Row],[Столбец1]]*Таблица1[[#This Row],[коэф]])),
IF((G561="4/4"),((база!$I$5*2*Таблица1[[#This Row],[Столбец1]]*Таблица1[[#This Row],[коэф]])),
IF(OR(G561="2/4",G561="3/4"),((база!$I$4*2*Таблица1[[#This Row],[Столбец1]]*Таблица1[[#This Row],[коэф]])),
IF((G561="5/8"),((база!$J$6*2*Таблица1[[#This Row],[Столбец1]]*Таблица1[[#This Row],[коэф]])),
IF((G561="4/8"),((база!$J$5*2*Таблица1[[#This Row],[Столбец1]]*Таблица1[[#This Row],[коэф]])),
IF(OR(G561="3/8",G561="2/8"),((база!$J$4*2*Таблица1[[#This Row],[Столбец1]]*Таблица1[[#This Row],[коэф]])))))))))))))),
(IF((G561="5/24"),((база!$M$6*2*Таблица1[[#This Row],[Столбец1]]*Таблица1[[#This Row],[коэф]])),
IF(OR(G561="4/24",G561="3/24"),((база!$M$5*2*Таблица1[[#This Row],[Столбец1]]*Таблица1[[#This Row],[коэф]])),
IF((G561="5/16"),((база!$L$6*2*Таблица1[[#This Row],[Столбец1]]*Таблица1[[#This Row],[коэф]])),
IF(OR(G561="4/16",G561="3/16"),((база!$L$5*2*Таблица1[[#This Row],[Столбец1]]*Таблица1[[#This Row],[коэф]])),
IF(OR(G561="2/4",G561="3/4",G561="4/4"),((база!$I$5*2*Таблица1[[#This Row],[Столбец1]]*Таблица1[[#This Row],[коэф]])),
IF((G561="5/8"),((база!$J$6*2*Таблица1[[#This Row],[Столбец1]]*Таблица1[[#This Row],[коэф]])),
IF(OR(G561="4/8",G561="3/8",G561="2/8"),((база!$J$5*2*Таблица1[[#This Row],[Столбец1]]*Таблица1[[#This Row],[коэф]])))))))))))</f>
        <v>0</v>
      </c>
      <c r="AQ561" s="712" t="str">
        <f>IFERROR(INDEX(база!T:T, MATCH(F561,база!Q:Q,0)),"")</f>
        <v/>
      </c>
      <c r="AR561" s="208" t="str">
        <f>IFERROR(INDEX(база!D:D, MATCH(F561,база!B:B,0)),"")</f>
        <v/>
      </c>
      <c r="AS561" s="758" t="str">
        <f>IFERROR(INDEX(база!E:E, MATCH(F561,база!B:B,0)),"")</f>
        <v/>
      </c>
    </row>
    <row r="562" spans="1:45" s="46" customFormat="1" ht="15">
      <c r="A562" s="66" t="str">
        <f t="shared" si="10"/>
        <v>январь</v>
      </c>
      <c r="B562" s="231">
        <v>2024</v>
      </c>
      <c r="C562" s="299"/>
      <c r="D562" s="61"/>
      <c r="E562" s="211"/>
      <c r="F562" s="680"/>
      <c r="G562" s="47"/>
      <c r="H562" s="563"/>
      <c r="I562" s="563"/>
      <c r="J562" s="563"/>
      <c r="K562" s="563"/>
      <c r="L562" s="563"/>
      <c r="M562" s="563"/>
      <c r="N562" s="563"/>
      <c r="O562" s="563"/>
      <c r="P562" s="300"/>
      <c r="Q562" s="563"/>
      <c r="R562" s="563"/>
      <c r="S562" s="563"/>
      <c r="T562" s="563"/>
      <c r="U562" s="563"/>
      <c r="V562" s="563"/>
      <c r="W562" s="563"/>
      <c r="X562" s="563"/>
      <c r="Y562" s="563"/>
      <c r="Z562" s="563"/>
      <c r="AA562" s="563"/>
      <c r="AB562" s="563"/>
      <c r="AC562" s="563"/>
      <c r="AD562" s="48"/>
      <c r="AE562" s="48"/>
      <c r="AF562" s="258"/>
      <c r="AG562" s="48"/>
      <c r="AH562" s="48"/>
      <c r="AI562" s="48"/>
      <c r="AJ562" s="48"/>
      <c r="AK562" s="48"/>
      <c r="AL562" s="51"/>
      <c r="AM562" s="212">
        <f>IF(AQ562=1,SUM(Q562:T562,W562:Z562,AC562:AF562,AI562:AL562),
IF(AQ562=2,SUM(P562,S562:V562,Y562:AB562,AE562:AH562,AK562:AL562),
IF(AQ562=3,SUM(P562:R562,U562:X562,AA562:AD562,AG562:AJ562),SUM(Таблица1[[#This Row],[1]:[31]])-Таблица1[[#This Row],[Столбец1]])))</f>
        <v>0</v>
      </c>
      <c r="AN562" s="778">
        <f t="array" ref="AN562">IF(AQ562=1,SUM(P562,U562:V562,AA562:AB562,AG562:AH562),
IF(AQ562=2,SUM(Q562:R562,W562:X562,AC562:AD562,AI562:AJ562),
IF(AQ562=3,SUM(S562:T562,Y562:Z562,AE562:AF562,AK562:AL562),
SUM(IFERROR(WEEKDAY($H$2:$AL$2,2)&gt;5,)*H562:AL562))))+Таблица1[[#This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62" s="292" t="b">
        <f>IF(AR562&lt;=3,(IF((G562="5/24"),((база!$M$6*Таблица1[[#This Row],[сумма]]*Таблица1[[#This Row],[коэф]])),
IF((G562="4/24"),((база!$M$5*Таблица1[[#This Row],[сумма]]*Таблица1[[#This Row],[коэф]])),
IF((G562="3/24"),((база!$M$4*Таблица1[[#This Row],[сумма]]*Таблица1[[#This Row],[коэф]])),
IF((G562="5/16"),((база!$L$6*Таблица1[[#This Row],[сумма]]*Таблица1[[#This Row],[коэф]])),
IF((G562="4/16"),((база!$L$5*Таблица1[[#This Row],[сумма]]*Таблица1[[#This Row],[коэф]])),
IF((G562="3/16"),((база!$L$4*Таблица1[[#This Row],[сумма]]*Таблица1[[#This Row],[коэф]])),
IF((G562="4/4"),((база!$I$5*Таблица1[[#This Row],[сумма]]*Таблица1[[#This Row],[коэф]])),
IF(OR(G562="2/4",G562="3/4"),((база!$I$4*Таблица1[[#This Row],[сумма]]*Таблица1[[#This Row],[коэф]])),
IF((G562="5/8"),((база!$J$6*Таблица1[[#This Row],[сумма]]*Таблица1[[#This Row],[коэф]])),
IF((G562="4/8"),((база!$J$5*Таблица1[[#This Row],[сумма]]*Таблица1[[#This Row],[коэф]])),
IF(OR(G562="3/8",G562="2/8"),((база!$J$4*Таблица1[[#This Row],[сумма]]*Таблица1[[#This Row],[коэф]])))))))))))))),
(IF((G562="5/24"),((база!$M$6*Таблица1[[#This Row],[сумма]]*Таблица1[[#This Row],[коэф]])),
IF(OR(G562="4/24",G562="3/24"),((база!$M$5*Таблица1[[#This Row],[сумма]]*Таблица1[[#This Row],[коэф]])),
IF((G562="5/16"),((база!$L$6*Таблица1[[#This Row],[сумма]]*Таблица1[[#This Row],[коэф]])),
IF(OR(G562="4/16",G562="3/16"),((база!$L$5*Таблица1[[#This Row],[сумма]]*Таблица1[[#This Row],[коэф]])),
IF(OR(G562="2/4",G562="3/4",G562="4/4"),((база!$I$5*Таблица1[[#This Row],[сумма]]*Таблица1[[#This Row],[коэф]])),
IF((G562="5/8"),((база!$J$6*Таблица1[[#This Row],[сумма]]*Таблица1[[#This Row],[коэф]])),
IF(OR(G562="4/8",G562="3/8",G562="2/8"),((база!$J$5*Таблица1[[#This Row],[сумма]]*Таблица1[[#This Row],[коэф]])))))))))))</f>
        <v>0</v>
      </c>
      <c r="AP562" s="730" t="b">
        <f>IF(AR562&lt;=3,(IF((G562="5/24"),((база!$M$6*2*Таблица1[[#This Row],[Столбец1]]*Таблица1[[#This Row],[коэф]])),
IF((G562="4/24"),((база!$M$5*2*Таблица1[[#This Row],[Столбец1]]*Таблица1[[#This Row],[коэф]])),
IF((G562="3/24"),((база!$M$4*2*Таблица1[[#This Row],[Столбец1]]*Таблица1[[#This Row],[коэф]])),
IF((G562="5/16"),((база!$L$6*2*Таблица1[[#This Row],[Столбец1]]*Таблица1[[#This Row],[коэф]])),
IF((G562="4/16"),((база!$L$5*2*Таблица1[[#This Row],[Столбец1]]*Таблица1[[#This Row],[коэф]])),
IF((G562="3/16"),((база!$L$4*2*Таблица1[[#This Row],[Столбец1]]*Таблица1[[#This Row],[коэф]])),
IF((G562="4/4"),((база!$I$5*2*Таблица1[[#This Row],[Столбец1]]*Таблица1[[#This Row],[коэф]])),
IF(OR(G562="2/4",G562="3/4"),((база!$I$4*2*Таблица1[[#This Row],[Столбец1]]*Таблица1[[#This Row],[коэф]])),
IF((G562="5/8"),((база!$J$6*2*Таблица1[[#This Row],[Столбец1]]*Таблица1[[#This Row],[коэф]])),
IF((G562="4/8"),((база!$J$5*2*Таблица1[[#This Row],[Столбец1]]*Таблица1[[#This Row],[коэф]])),
IF(OR(G562="3/8",G562="2/8"),((база!$J$4*2*Таблица1[[#This Row],[Столбец1]]*Таблица1[[#This Row],[коэф]])))))))))))))),
(IF((G562="5/24"),((база!$M$6*2*Таблица1[[#This Row],[Столбец1]]*Таблица1[[#This Row],[коэф]])),
IF(OR(G562="4/24",G562="3/24"),((база!$M$5*2*Таблица1[[#This Row],[Столбец1]]*Таблица1[[#This Row],[коэф]])),
IF((G562="5/16"),((база!$L$6*2*Таблица1[[#This Row],[Столбец1]]*Таблица1[[#This Row],[коэф]])),
IF(OR(G562="4/16",G562="3/16"),((база!$L$5*2*Таблица1[[#This Row],[Столбец1]]*Таблица1[[#This Row],[коэф]])),
IF(OR(G562="2/4",G562="3/4",G562="4/4"),((база!$I$5*2*Таблица1[[#This Row],[Столбец1]]*Таблица1[[#This Row],[коэф]])),
IF((G562="5/8"),((база!$J$6*2*Таблица1[[#This Row],[Столбец1]]*Таблица1[[#This Row],[коэф]])),
IF(OR(G562="4/8",G562="3/8",G562="2/8"),((база!$J$5*2*Таблица1[[#This Row],[Столбец1]]*Таблица1[[#This Row],[коэф]])))))))))))</f>
        <v>0</v>
      </c>
      <c r="AQ562" s="712" t="str">
        <f>IFERROR(INDEX(база!T:T, MATCH(F562,база!Q:Q,0)),"")</f>
        <v/>
      </c>
      <c r="AR562" s="208" t="str">
        <f>IFERROR(INDEX(база!D:D, MATCH(F562,база!B:B,0)),"")</f>
        <v/>
      </c>
      <c r="AS562" s="758" t="str">
        <f>IFERROR(INDEX(база!E:E, MATCH(F562,база!B:B,0)),"")</f>
        <v/>
      </c>
    </row>
    <row r="563" spans="1:45" s="46" customFormat="1" ht="15">
      <c r="A563" s="66" t="str">
        <f t="shared" si="10"/>
        <v>январь</v>
      </c>
      <c r="B563" s="231">
        <v>2024</v>
      </c>
      <c r="C563" s="299"/>
      <c r="D563" s="61"/>
      <c r="E563" s="211"/>
      <c r="F563" s="680"/>
      <c r="G563" s="47"/>
      <c r="H563" s="563"/>
      <c r="I563" s="563"/>
      <c r="J563" s="563"/>
      <c r="K563" s="563"/>
      <c r="L563" s="563"/>
      <c r="M563" s="563"/>
      <c r="N563" s="563"/>
      <c r="O563" s="563"/>
      <c r="P563" s="300"/>
      <c r="Q563" s="563"/>
      <c r="R563" s="563"/>
      <c r="S563" s="563"/>
      <c r="T563" s="563"/>
      <c r="U563" s="563"/>
      <c r="V563" s="563"/>
      <c r="W563" s="563"/>
      <c r="X563" s="563"/>
      <c r="Y563" s="563"/>
      <c r="Z563" s="563"/>
      <c r="AA563" s="563"/>
      <c r="AB563" s="563"/>
      <c r="AC563" s="563"/>
      <c r="AD563" s="48"/>
      <c r="AE563" s="48"/>
      <c r="AF563" s="258"/>
      <c r="AG563" s="48"/>
      <c r="AH563" s="48"/>
      <c r="AI563" s="258"/>
      <c r="AJ563" s="258"/>
      <c r="AK563" s="258"/>
      <c r="AL563" s="258"/>
      <c r="AM563" s="212">
        <f>IF(AQ563=1,SUM(Q563:T563,W563:Z563,AC563:AF563,AI563:AL563),
IF(AQ563=2,SUM(P563,S563:V563,Y563:AB563,AE563:AH563,AK563:AL563),
IF(AQ563=3,SUM(P563:R563,U563:X563,AA563:AD563,AG563:AJ563),SUM(Таблица1[[#This Row],[1]:[31]])-Таблица1[[#This Row],[Столбец1]])))</f>
        <v>0</v>
      </c>
      <c r="AN563" s="778">
        <f t="array" ref="AN563">IF(AQ563=1,SUM(P563,U563:V563,AA563:AB563,AG563:AH563),
IF(AQ563=2,SUM(Q563:R563,W563:X563,AC563:AD563,AI563:AJ563),
IF(AQ563=3,SUM(S563:T563,Y563:Z563,AE563:AF563,AK563:AL563),
SUM(IFERROR(WEEKDAY($H$2:$AL$2,2)&gt;5,)*H563:AL563))))+Таблица1[[#This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63" s="292" t="b">
        <f>IF(AR563&lt;=3,(IF((G563="5/24"),((база!$M$6*Таблица1[[#This Row],[сумма]]*Таблица1[[#This Row],[коэф]])),
IF((G563="4/24"),((база!$M$5*Таблица1[[#This Row],[сумма]]*Таблица1[[#This Row],[коэф]])),
IF((G563="3/24"),((база!$M$4*Таблица1[[#This Row],[сумма]]*Таблица1[[#This Row],[коэф]])),
IF((G563="5/16"),((база!$L$6*Таблица1[[#This Row],[сумма]]*Таблица1[[#This Row],[коэф]])),
IF((G563="4/16"),((база!$L$5*Таблица1[[#This Row],[сумма]]*Таблица1[[#This Row],[коэф]])),
IF((G563="3/16"),((база!$L$4*Таблица1[[#This Row],[сумма]]*Таблица1[[#This Row],[коэф]])),
IF((G563="4/4"),((база!$I$5*Таблица1[[#This Row],[сумма]]*Таблица1[[#This Row],[коэф]])),
IF(OR(G563="2/4",G563="3/4"),((база!$I$4*Таблица1[[#This Row],[сумма]]*Таблица1[[#This Row],[коэф]])),
IF((G563="5/8"),((база!$J$6*Таблица1[[#This Row],[сумма]]*Таблица1[[#This Row],[коэф]])),
IF((G563="4/8"),((база!$J$5*Таблица1[[#This Row],[сумма]]*Таблица1[[#This Row],[коэф]])),
IF(OR(G563="3/8",G563="2/8"),((база!$J$4*Таблица1[[#This Row],[сумма]]*Таблица1[[#This Row],[коэф]])))))))))))))),
(IF((G563="5/24"),((база!$M$6*Таблица1[[#This Row],[сумма]]*Таблица1[[#This Row],[коэф]])),
IF(OR(G563="4/24",G563="3/24"),((база!$M$5*Таблица1[[#This Row],[сумма]]*Таблица1[[#This Row],[коэф]])),
IF((G563="5/16"),((база!$L$6*Таблица1[[#This Row],[сумма]]*Таблица1[[#This Row],[коэф]])),
IF(OR(G563="4/16",G563="3/16"),((база!$L$5*Таблица1[[#This Row],[сумма]]*Таблица1[[#This Row],[коэф]])),
IF(OR(G563="2/4",G563="3/4",G563="4/4"),((база!$I$5*Таблица1[[#This Row],[сумма]]*Таблица1[[#This Row],[коэф]])),
IF((G563="5/8"),((база!$J$6*Таблица1[[#This Row],[сумма]]*Таблица1[[#This Row],[коэф]])),
IF(OR(G563="4/8",G563="3/8",G563="2/8"),((база!$J$5*Таблица1[[#This Row],[сумма]]*Таблица1[[#This Row],[коэф]])))))))))))</f>
        <v>0</v>
      </c>
      <c r="AP563" s="730" t="b">
        <f>IF(AR563&lt;=3,(IF((G563="5/24"),((база!$M$6*2*Таблица1[[#This Row],[Столбец1]]*Таблица1[[#This Row],[коэф]])),
IF((G563="4/24"),((база!$M$5*2*Таблица1[[#This Row],[Столбец1]]*Таблица1[[#This Row],[коэф]])),
IF((G563="3/24"),((база!$M$4*2*Таблица1[[#This Row],[Столбец1]]*Таблица1[[#This Row],[коэф]])),
IF((G563="5/16"),((база!$L$6*2*Таблица1[[#This Row],[Столбец1]]*Таблица1[[#This Row],[коэф]])),
IF((G563="4/16"),((база!$L$5*2*Таблица1[[#This Row],[Столбец1]]*Таблица1[[#This Row],[коэф]])),
IF((G563="3/16"),((база!$L$4*2*Таблица1[[#This Row],[Столбец1]]*Таблица1[[#This Row],[коэф]])),
IF((G563="4/4"),((база!$I$5*2*Таблица1[[#This Row],[Столбец1]]*Таблица1[[#This Row],[коэф]])),
IF(OR(G563="2/4",G563="3/4"),((база!$I$4*2*Таблица1[[#This Row],[Столбец1]]*Таблица1[[#This Row],[коэф]])),
IF((G563="5/8"),((база!$J$6*2*Таблица1[[#This Row],[Столбец1]]*Таблица1[[#This Row],[коэф]])),
IF((G563="4/8"),((база!$J$5*2*Таблица1[[#This Row],[Столбец1]]*Таблица1[[#This Row],[коэф]])),
IF(OR(G563="3/8",G563="2/8"),((база!$J$4*2*Таблица1[[#This Row],[Столбец1]]*Таблица1[[#This Row],[коэф]])))))))))))))),
(IF((G563="5/24"),((база!$M$6*2*Таблица1[[#This Row],[Столбец1]]*Таблица1[[#This Row],[коэф]])),
IF(OR(G563="4/24",G563="3/24"),((база!$M$5*2*Таблица1[[#This Row],[Столбец1]]*Таблица1[[#This Row],[коэф]])),
IF((G563="5/16"),((база!$L$6*2*Таблица1[[#This Row],[Столбец1]]*Таблица1[[#This Row],[коэф]])),
IF(OR(G563="4/16",G563="3/16"),((база!$L$5*2*Таблица1[[#This Row],[Столбец1]]*Таблица1[[#This Row],[коэф]])),
IF(OR(G563="2/4",G563="3/4",G563="4/4"),((база!$I$5*2*Таблица1[[#This Row],[Столбец1]]*Таблица1[[#This Row],[коэф]])),
IF((G563="5/8"),((база!$J$6*2*Таблица1[[#This Row],[Столбец1]]*Таблица1[[#This Row],[коэф]])),
IF(OR(G563="4/8",G563="3/8",G563="2/8"),((база!$J$5*2*Таблица1[[#This Row],[Столбец1]]*Таблица1[[#This Row],[коэф]])))))))))))</f>
        <v>0</v>
      </c>
      <c r="AQ563" s="712" t="str">
        <f>IFERROR(INDEX(база!T:T, MATCH(F563,база!Q:Q,0)),"")</f>
        <v/>
      </c>
      <c r="AR563" s="208" t="str">
        <f>IFERROR(INDEX(база!D:D, MATCH(F563,база!B:B,0)),"")</f>
        <v/>
      </c>
      <c r="AS563" s="758" t="str">
        <f>IFERROR(INDEX(база!E:E, MATCH(F563,база!B:B,0)),"")</f>
        <v/>
      </c>
    </row>
    <row r="564" spans="1:45" s="46" customFormat="1" ht="15">
      <c r="A564" s="66" t="str">
        <f t="shared" si="10"/>
        <v>январь</v>
      </c>
      <c r="B564" s="231">
        <v>2024</v>
      </c>
      <c r="C564" s="299"/>
      <c r="D564" s="61"/>
      <c r="E564" s="211"/>
      <c r="F564" s="680"/>
      <c r="G564" s="47"/>
      <c r="H564" s="563"/>
      <c r="I564" s="563"/>
      <c r="J564" s="563"/>
      <c r="K564" s="563"/>
      <c r="L564" s="563"/>
      <c r="M564" s="563"/>
      <c r="N564" s="563"/>
      <c r="O564" s="563"/>
      <c r="P564" s="300"/>
      <c r="Q564" s="563"/>
      <c r="R564" s="563"/>
      <c r="S564" s="563"/>
      <c r="T564" s="563"/>
      <c r="U564" s="563"/>
      <c r="V564" s="563"/>
      <c r="W564" s="563"/>
      <c r="X564" s="563"/>
      <c r="Y564" s="563"/>
      <c r="Z564" s="563"/>
      <c r="AA564" s="563"/>
      <c r="AB564" s="563"/>
      <c r="AC564" s="563"/>
      <c r="AD564" s="48"/>
      <c r="AE564" s="48"/>
      <c r="AF564" s="258"/>
      <c r="AG564" s="48"/>
      <c r="AH564" s="48"/>
      <c r="AI564" s="48"/>
      <c r="AJ564" s="48"/>
      <c r="AK564" s="48"/>
      <c r="AL564" s="51"/>
      <c r="AM564" s="212">
        <f>IF(AQ564=1,SUM(Q564:T564,W564:Z564,AC564:AF564,AI564:AL564),
IF(AQ564=2,SUM(P564,S564:V564,Y564:AB564,AE564:AH564,AK564:AL564),
IF(AQ564=3,SUM(P564:R564,U564:X564,AA564:AD564,AG564:AJ564),SUM(Таблица1[[#This Row],[1]:[31]])-Таблица1[[#This Row],[Столбец1]])))</f>
        <v>0</v>
      </c>
      <c r="AN564" s="778">
        <f t="array" ref="AN564">IF(AQ564=1,SUM(P564,U564:V564,AA564:AB564,AG564:AH564),
IF(AQ564=2,SUM(Q564:R564,W564:X564,AC564:AD564,AI564:AJ564),
IF(AQ564=3,SUM(S564:T564,Y564:Z564,AE564:AF564,AK564:AL564),
SUM(IFERROR(WEEKDAY($H$2:$AL$2,2)&gt;5,)*H564:AL564))))+Таблица1[[#This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64" s="292" t="b">
        <f>IF(AR564&lt;=3,(IF((G564="5/24"),((база!$M$6*Таблица1[[#This Row],[сумма]]*Таблица1[[#This Row],[коэф]])),
IF((G564="4/24"),((база!$M$5*Таблица1[[#This Row],[сумма]]*Таблица1[[#This Row],[коэф]])),
IF((G564="3/24"),((база!$M$4*Таблица1[[#This Row],[сумма]]*Таблица1[[#This Row],[коэф]])),
IF((G564="5/16"),((база!$L$6*Таблица1[[#This Row],[сумма]]*Таблица1[[#This Row],[коэф]])),
IF((G564="4/16"),((база!$L$5*Таблица1[[#This Row],[сумма]]*Таблица1[[#This Row],[коэф]])),
IF((G564="3/16"),((база!$L$4*Таблица1[[#This Row],[сумма]]*Таблица1[[#This Row],[коэф]])),
IF((G564="4/4"),((база!$I$5*Таблица1[[#This Row],[сумма]]*Таблица1[[#This Row],[коэф]])),
IF(OR(G564="2/4",G564="3/4"),((база!$I$4*Таблица1[[#This Row],[сумма]]*Таблица1[[#This Row],[коэф]])),
IF((G564="5/8"),((база!$J$6*Таблица1[[#This Row],[сумма]]*Таблица1[[#This Row],[коэф]])),
IF((G564="4/8"),((база!$J$5*Таблица1[[#This Row],[сумма]]*Таблица1[[#This Row],[коэф]])),
IF(OR(G564="3/8",G564="2/8"),((база!$J$4*Таблица1[[#This Row],[сумма]]*Таблица1[[#This Row],[коэф]])))))))))))))),
(IF((G564="5/24"),((база!$M$6*Таблица1[[#This Row],[сумма]]*Таблица1[[#This Row],[коэф]])),
IF(OR(G564="4/24",G564="3/24"),((база!$M$5*Таблица1[[#This Row],[сумма]]*Таблица1[[#This Row],[коэф]])),
IF((G564="5/16"),((база!$L$6*Таблица1[[#This Row],[сумма]]*Таблица1[[#This Row],[коэф]])),
IF(OR(G564="4/16",G564="3/16"),((база!$L$5*Таблица1[[#This Row],[сумма]]*Таблица1[[#This Row],[коэф]])),
IF(OR(G564="2/4",G564="3/4",G564="4/4"),((база!$I$5*Таблица1[[#This Row],[сумма]]*Таблица1[[#This Row],[коэф]])),
IF((G564="5/8"),((база!$J$6*Таблица1[[#This Row],[сумма]]*Таблица1[[#This Row],[коэф]])),
IF(OR(G564="4/8",G564="3/8",G564="2/8"),((база!$J$5*Таблица1[[#This Row],[сумма]]*Таблица1[[#This Row],[коэф]])))))))))))</f>
        <v>0</v>
      </c>
      <c r="AP564" s="730" t="b">
        <f>IF(AR564&lt;=3,(IF((G564="5/24"),((база!$M$6*2*Таблица1[[#This Row],[Столбец1]]*Таблица1[[#This Row],[коэф]])),
IF((G564="4/24"),((база!$M$5*2*Таблица1[[#This Row],[Столбец1]]*Таблица1[[#This Row],[коэф]])),
IF((G564="3/24"),((база!$M$4*2*Таблица1[[#This Row],[Столбец1]]*Таблица1[[#This Row],[коэф]])),
IF((G564="5/16"),((база!$L$6*2*Таблица1[[#This Row],[Столбец1]]*Таблица1[[#This Row],[коэф]])),
IF((G564="4/16"),((база!$L$5*2*Таблица1[[#This Row],[Столбец1]]*Таблица1[[#This Row],[коэф]])),
IF((G564="3/16"),((база!$L$4*2*Таблица1[[#This Row],[Столбец1]]*Таблица1[[#This Row],[коэф]])),
IF((G564="4/4"),((база!$I$5*2*Таблица1[[#This Row],[Столбец1]]*Таблица1[[#This Row],[коэф]])),
IF(OR(G564="2/4",G564="3/4"),((база!$I$4*2*Таблица1[[#This Row],[Столбец1]]*Таблица1[[#This Row],[коэф]])),
IF((G564="5/8"),((база!$J$6*2*Таблица1[[#This Row],[Столбец1]]*Таблица1[[#This Row],[коэф]])),
IF((G564="4/8"),((база!$J$5*2*Таблица1[[#This Row],[Столбец1]]*Таблица1[[#This Row],[коэф]])),
IF(OR(G564="3/8",G564="2/8"),((база!$J$4*2*Таблица1[[#This Row],[Столбец1]]*Таблица1[[#This Row],[коэф]])))))))))))))),
(IF((G564="5/24"),((база!$M$6*2*Таблица1[[#This Row],[Столбец1]]*Таблица1[[#This Row],[коэф]])),
IF(OR(G564="4/24",G564="3/24"),((база!$M$5*2*Таблица1[[#This Row],[Столбец1]]*Таблица1[[#This Row],[коэф]])),
IF((G564="5/16"),((база!$L$6*2*Таблица1[[#This Row],[Столбец1]]*Таблица1[[#This Row],[коэф]])),
IF(OR(G564="4/16",G564="3/16"),((база!$L$5*2*Таблица1[[#This Row],[Столбец1]]*Таблица1[[#This Row],[коэф]])),
IF(OR(G564="2/4",G564="3/4",G564="4/4"),((база!$I$5*2*Таблица1[[#This Row],[Столбец1]]*Таблица1[[#This Row],[коэф]])),
IF((G564="5/8"),((база!$J$6*2*Таблица1[[#This Row],[Столбец1]]*Таблица1[[#This Row],[коэф]])),
IF(OR(G564="4/8",G564="3/8",G564="2/8"),((база!$J$5*2*Таблица1[[#This Row],[Столбец1]]*Таблица1[[#This Row],[коэф]])))))))))))</f>
        <v>0</v>
      </c>
      <c r="AQ564" s="712" t="str">
        <f>IFERROR(INDEX(база!T:T, MATCH(F564,база!Q:Q,0)),"")</f>
        <v/>
      </c>
      <c r="AR564" s="208" t="str">
        <f>IFERROR(INDEX(база!D:D, MATCH(F564,база!B:B,0)),"")</f>
        <v/>
      </c>
      <c r="AS564" s="758" t="str">
        <f>IFERROR(INDEX(база!E:E, MATCH(F564,база!B:B,0)),"")</f>
        <v/>
      </c>
    </row>
    <row r="565" spans="1:45" s="46" customFormat="1" ht="15">
      <c r="A565" s="66" t="str">
        <f t="shared" si="10"/>
        <v>январь</v>
      </c>
      <c r="B565" s="231">
        <v>2024</v>
      </c>
      <c r="C565" s="299"/>
      <c r="D565" s="61"/>
      <c r="E565" s="211"/>
      <c r="F565" s="680"/>
      <c r="G565" s="47"/>
      <c r="H565" s="563"/>
      <c r="I565" s="563"/>
      <c r="J565" s="563"/>
      <c r="K565" s="563"/>
      <c r="L565" s="563"/>
      <c r="M565" s="563"/>
      <c r="N565" s="563"/>
      <c r="O565" s="563"/>
      <c r="P565" s="300"/>
      <c r="Q565" s="563"/>
      <c r="R565" s="563"/>
      <c r="S565" s="563"/>
      <c r="T565" s="563"/>
      <c r="U565" s="563"/>
      <c r="V565" s="563"/>
      <c r="W565" s="563"/>
      <c r="X565" s="563"/>
      <c r="Y565" s="563"/>
      <c r="Z565" s="563"/>
      <c r="AA565" s="563"/>
      <c r="AB565" s="563"/>
      <c r="AC565" s="563"/>
      <c r="AD565" s="48"/>
      <c r="AE565" s="48"/>
      <c r="AF565" s="258"/>
      <c r="AG565" s="48"/>
      <c r="AH565" s="48"/>
      <c r="AI565" s="258"/>
      <c r="AJ565" s="258"/>
      <c r="AK565" s="258"/>
      <c r="AL565" s="258"/>
      <c r="AM565" s="212">
        <f>IF(AQ565=1,SUM(Q565:T565,W565:Z565,AC565:AF565,AI565:AL565),
IF(AQ565=2,SUM(P565,S565:V565,Y565:AB565,AE565:AH565,AK565:AL565),
IF(AQ565=3,SUM(P565:R565,U565:X565,AA565:AD565,AG565:AJ565),SUM(Таблица1[[#This Row],[1]:[31]])-Таблица1[[#This Row],[Столбец1]])))</f>
        <v>0</v>
      </c>
      <c r="AN565" s="778">
        <f t="array" ref="AN565">IF(AQ565=1,SUM(P565,U565:V565,AA565:AB565,AG565:AH565),
IF(AQ565=2,SUM(Q565:R565,W565:X565,AC565:AD565,AI565:AJ565),
IF(AQ565=3,SUM(S565:T565,Y565:Z565,AE565:AF565,AK565:AL565),
SUM(IFERROR(WEEKDAY($H$2:$AL$2,2)&gt;5,)*H565:AL565))))+Таблица1[[#This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65" s="292" t="b">
        <f>IF(AR565&lt;=3,(IF((G565="5/24"),((база!$M$6*Таблица1[[#This Row],[сумма]]*Таблица1[[#This Row],[коэф]])),
IF((G565="4/24"),((база!$M$5*Таблица1[[#This Row],[сумма]]*Таблица1[[#This Row],[коэф]])),
IF((G565="3/24"),((база!$M$4*Таблица1[[#This Row],[сумма]]*Таблица1[[#This Row],[коэф]])),
IF((G565="5/16"),((база!$L$6*Таблица1[[#This Row],[сумма]]*Таблица1[[#This Row],[коэф]])),
IF((G565="4/16"),((база!$L$5*Таблица1[[#This Row],[сумма]]*Таблица1[[#This Row],[коэф]])),
IF((G565="3/16"),((база!$L$4*Таблица1[[#This Row],[сумма]]*Таблица1[[#This Row],[коэф]])),
IF((G565="4/4"),((база!$I$5*Таблица1[[#This Row],[сумма]]*Таблица1[[#This Row],[коэф]])),
IF(OR(G565="2/4",G565="3/4"),((база!$I$4*Таблица1[[#This Row],[сумма]]*Таблица1[[#This Row],[коэф]])),
IF((G565="5/8"),((база!$J$6*Таблица1[[#This Row],[сумма]]*Таблица1[[#This Row],[коэф]])),
IF((G565="4/8"),((база!$J$5*Таблица1[[#This Row],[сумма]]*Таблица1[[#This Row],[коэф]])),
IF(OR(G565="3/8",G565="2/8"),((база!$J$4*Таблица1[[#This Row],[сумма]]*Таблица1[[#This Row],[коэф]])))))))))))))),
(IF((G565="5/24"),((база!$M$6*Таблица1[[#This Row],[сумма]]*Таблица1[[#This Row],[коэф]])),
IF(OR(G565="4/24",G565="3/24"),((база!$M$5*Таблица1[[#This Row],[сумма]]*Таблица1[[#This Row],[коэф]])),
IF((G565="5/16"),((база!$L$6*Таблица1[[#This Row],[сумма]]*Таблица1[[#This Row],[коэф]])),
IF(OR(G565="4/16",G565="3/16"),((база!$L$5*Таблица1[[#This Row],[сумма]]*Таблица1[[#This Row],[коэф]])),
IF(OR(G565="2/4",G565="3/4",G565="4/4"),((база!$I$5*Таблица1[[#This Row],[сумма]]*Таблица1[[#This Row],[коэф]])),
IF((G565="5/8"),((база!$J$6*Таблица1[[#This Row],[сумма]]*Таблица1[[#This Row],[коэф]])),
IF(OR(G565="4/8",G565="3/8",G565="2/8"),((база!$J$5*Таблица1[[#This Row],[сумма]]*Таблица1[[#This Row],[коэф]])))))))))))</f>
        <v>0</v>
      </c>
      <c r="AP565" s="730" t="b">
        <f>IF(AR565&lt;=3,(IF((G565="5/24"),((база!$M$6*2*Таблица1[[#This Row],[Столбец1]]*Таблица1[[#This Row],[коэф]])),
IF((G565="4/24"),((база!$M$5*2*Таблица1[[#This Row],[Столбец1]]*Таблица1[[#This Row],[коэф]])),
IF((G565="3/24"),((база!$M$4*2*Таблица1[[#This Row],[Столбец1]]*Таблица1[[#This Row],[коэф]])),
IF((G565="5/16"),((база!$L$6*2*Таблица1[[#This Row],[Столбец1]]*Таблица1[[#This Row],[коэф]])),
IF((G565="4/16"),((база!$L$5*2*Таблица1[[#This Row],[Столбец1]]*Таблица1[[#This Row],[коэф]])),
IF((G565="3/16"),((база!$L$4*2*Таблица1[[#This Row],[Столбец1]]*Таблица1[[#This Row],[коэф]])),
IF((G565="4/4"),((база!$I$5*2*Таблица1[[#This Row],[Столбец1]]*Таблица1[[#This Row],[коэф]])),
IF(OR(G565="2/4",G565="3/4"),((база!$I$4*2*Таблица1[[#This Row],[Столбец1]]*Таблица1[[#This Row],[коэф]])),
IF((G565="5/8"),((база!$J$6*2*Таблица1[[#This Row],[Столбец1]]*Таблица1[[#This Row],[коэф]])),
IF((G565="4/8"),((база!$J$5*2*Таблица1[[#This Row],[Столбец1]]*Таблица1[[#This Row],[коэф]])),
IF(OR(G565="3/8",G565="2/8"),((база!$J$4*2*Таблица1[[#This Row],[Столбец1]]*Таблица1[[#This Row],[коэф]])))))))))))))),
(IF((G565="5/24"),((база!$M$6*2*Таблица1[[#This Row],[Столбец1]]*Таблица1[[#This Row],[коэф]])),
IF(OR(G565="4/24",G565="3/24"),((база!$M$5*2*Таблица1[[#This Row],[Столбец1]]*Таблица1[[#This Row],[коэф]])),
IF((G565="5/16"),((база!$L$6*2*Таблица1[[#This Row],[Столбец1]]*Таблица1[[#This Row],[коэф]])),
IF(OR(G565="4/16",G565="3/16"),((база!$L$5*2*Таблица1[[#This Row],[Столбец1]]*Таблица1[[#This Row],[коэф]])),
IF(OR(G565="2/4",G565="3/4",G565="4/4"),((база!$I$5*2*Таблица1[[#This Row],[Столбец1]]*Таблица1[[#This Row],[коэф]])),
IF((G565="5/8"),((база!$J$6*2*Таблица1[[#This Row],[Столбец1]]*Таблица1[[#This Row],[коэф]])),
IF(OR(G565="4/8",G565="3/8",G565="2/8"),((база!$J$5*2*Таблица1[[#This Row],[Столбец1]]*Таблица1[[#This Row],[коэф]])))))))))))</f>
        <v>0</v>
      </c>
      <c r="AQ565" s="712" t="str">
        <f>IFERROR(INDEX(база!T:T, MATCH(F565,база!Q:Q,0)),"")</f>
        <v/>
      </c>
      <c r="AR565" s="208" t="str">
        <f>IFERROR(INDEX(база!D:D, MATCH(F565,база!B:B,0)),"")</f>
        <v/>
      </c>
      <c r="AS565" s="758" t="str">
        <f>IFERROR(INDEX(база!E:E, MATCH(F565,база!B:B,0)),"")</f>
        <v/>
      </c>
    </row>
    <row r="566" spans="1:45" s="46" customFormat="1" ht="15">
      <c r="A566" s="66" t="str">
        <f t="shared" si="10"/>
        <v>январь</v>
      </c>
      <c r="B566" s="231">
        <v>2024</v>
      </c>
      <c r="C566" s="299"/>
      <c r="D566" s="61"/>
      <c r="E566" s="211"/>
      <c r="F566" s="680"/>
      <c r="G566" s="47"/>
      <c r="H566" s="563"/>
      <c r="I566" s="563"/>
      <c r="J566" s="563"/>
      <c r="K566" s="563"/>
      <c r="L566" s="563"/>
      <c r="M566" s="563"/>
      <c r="N566" s="563"/>
      <c r="O566" s="563"/>
      <c r="P566" s="300"/>
      <c r="Q566" s="563"/>
      <c r="R566" s="563"/>
      <c r="S566" s="563"/>
      <c r="T566" s="563"/>
      <c r="U566" s="563"/>
      <c r="V566" s="563"/>
      <c r="W566" s="563"/>
      <c r="X566" s="563"/>
      <c r="Y566" s="563"/>
      <c r="Z566" s="563"/>
      <c r="AA566" s="563"/>
      <c r="AB566" s="563"/>
      <c r="AC566" s="563"/>
      <c r="AD566" s="48"/>
      <c r="AE566" s="48"/>
      <c r="AF566" s="258"/>
      <c r="AG566" s="48"/>
      <c r="AH566" s="48"/>
      <c r="AI566" s="48"/>
      <c r="AJ566" s="48"/>
      <c r="AK566" s="48"/>
      <c r="AL566" s="51"/>
      <c r="AM566" s="212">
        <f>IF(AQ566=1,SUM(Q566:T566,W566:Z566,AC566:AF566,AI566:AL566),
IF(AQ566=2,SUM(P566,S566:V566,Y566:AB566,AE566:AH566,AK566:AL566),
IF(AQ566=3,SUM(P566:R566,U566:X566,AA566:AD566,AG566:AJ566),SUM(Таблица1[[#This Row],[1]:[31]])-Таблица1[[#This Row],[Столбец1]])))</f>
        <v>0</v>
      </c>
      <c r="AN566" s="778">
        <f t="array" ref="AN566">IF(AQ566=1,SUM(P566,U566:V566,AA566:AB566,AG566:AH566),
IF(AQ566=2,SUM(Q566:R566,W566:X566,AC566:AD566,AI566:AJ566),
IF(AQ566=3,SUM(S566:T566,Y566:Z566,AE566:AF566,AK566:AL566),
SUM(IFERROR(WEEKDAY($H$2:$AL$2,2)&gt;5,)*H566:AL566))))+Таблица1[[#This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66" s="292" t="b">
        <f>IF(AR566&lt;=3,(IF((G566="5/24"),((база!$M$6*Таблица1[[#This Row],[сумма]]*Таблица1[[#This Row],[коэф]])),
IF((G566="4/24"),((база!$M$5*Таблица1[[#This Row],[сумма]]*Таблица1[[#This Row],[коэф]])),
IF((G566="3/24"),((база!$M$4*Таблица1[[#This Row],[сумма]]*Таблица1[[#This Row],[коэф]])),
IF((G566="5/16"),((база!$L$6*Таблица1[[#This Row],[сумма]]*Таблица1[[#This Row],[коэф]])),
IF((G566="4/16"),((база!$L$5*Таблица1[[#This Row],[сумма]]*Таблица1[[#This Row],[коэф]])),
IF((G566="3/16"),((база!$L$4*Таблица1[[#This Row],[сумма]]*Таблица1[[#This Row],[коэф]])),
IF((G566="4/4"),((база!$I$5*Таблица1[[#This Row],[сумма]]*Таблица1[[#This Row],[коэф]])),
IF(OR(G566="2/4",G566="3/4"),((база!$I$4*Таблица1[[#This Row],[сумма]]*Таблица1[[#This Row],[коэф]])),
IF((G566="5/8"),((база!$J$6*Таблица1[[#This Row],[сумма]]*Таблица1[[#This Row],[коэф]])),
IF((G566="4/8"),((база!$J$5*Таблица1[[#This Row],[сумма]]*Таблица1[[#This Row],[коэф]])),
IF(OR(G566="3/8",G566="2/8"),((база!$J$4*Таблица1[[#This Row],[сумма]]*Таблица1[[#This Row],[коэф]])))))))))))))),
(IF((G566="5/24"),((база!$M$6*Таблица1[[#This Row],[сумма]]*Таблица1[[#This Row],[коэф]])),
IF(OR(G566="4/24",G566="3/24"),((база!$M$5*Таблица1[[#This Row],[сумма]]*Таблица1[[#This Row],[коэф]])),
IF((G566="5/16"),((база!$L$6*Таблица1[[#This Row],[сумма]]*Таблица1[[#This Row],[коэф]])),
IF(OR(G566="4/16",G566="3/16"),((база!$L$5*Таблица1[[#This Row],[сумма]]*Таблица1[[#This Row],[коэф]])),
IF(OR(G566="2/4",G566="3/4",G566="4/4"),((база!$I$5*Таблица1[[#This Row],[сумма]]*Таблица1[[#This Row],[коэф]])),
IF((G566="5/8"),((база!$J$6*Таблица1[[#This Row],[сумма]]*Таблица1[[#This Row],[коэф]])),
IF(OR(G566="4/8",G566="3/8",G566="2/8"),((база!$J$5*Таблица1[[#This Row],[сумма]]*Таблица1[[#This Row],[коэф]])))))))))))</f>
        <v>0</v>
      </c>
      <c r="AP566" s="730" t="b">
        <f>IF(AR566&lt;=3,(IF((G566="5/24"),((база!$M$6*2*Таблица1[[#This Row],[Столбец1]]*Таблица1[[#This Row],[коэф]])),
IF((G566="4/24"),((база!$M$5*2*Таблица1[[#This Row],[Столбец1]]*Таблица1[[#This Row],[коэф]])),
IF((G566="3/24"),((база!$M$4*2*Таблица1[[#This Row],[Столбец1]]*Таблица1[[#This Row],[коэф]])),
IF((G566="5/16"),((база!$L$6*2*Таблица1[[#This Row],[Столбец1]]*Таблица1[[#This Row],[коэф]])),
IF((G566="4/16"),((база!$L$5*2*Таблица1[[#This Row],[Столбец1]]*Таблица1[[#This Row],[коэф]])),
IF((G566="3/16"),((база!$L$4*2*Таблица1[[#This Row],[Столбец1]]*Таблица1[[#This Row],[коэф]])),
IF((G566="4/4"),((база!$I$5*2*Таблица1[[#This Row],[Столбец1]]*Таблица1[[#This Row],[коэф]])),
IF(OR(G566="2/4",G566="3/4"),((база!$I$4*2*Таблица1[[#This Row],[Столбец1]]*Таблица1[[#This Row],[коэф]])),
IF((G566="5/8"),((база!$J$6*2*Таблица1[[#This Row],[Столбец1]]*Таблица1[[#This Row],[коэф]])),
IF((G566="4/8"),((база!$J$5*2*Таблица1[[#This Row],[Столбец1]]*Таблица1[[#This Row],[коэф]])),
IF(OR(G566="3/8",G566="2/8"),((база!$J$4*2*Таблица1[[#This Row],[Столбец1]]*Таблица1[[#This Row],[коэф]])))))))))))))),
(IF((G566="5/24"),((база!$M$6*2*Таблица1[[#This Row],[Столбец1]]*Таблица1[[#This Row],[коэф]])),
IF(OR(G566="4/24",G566="3/24"),((база!$M$5*2*Таблица1[[#This Row],[Столбец1]]*Таблица1[[#This Row],[коэф]])),
IF((G566="5/16"),((база!$L$6*2*Таблица1[[#This Row],[Столбец1]]*Таблица1[[#This Row],[коэф]])),
IF(OR(G566="4/16",G566="3/16"),((база!$L$5*2*Таблица1[[#This Row],[Столбец1]]*Таблица1[[#This Row],[коэф]])),
IF(OR(G566="2/4",G566="3/4",G566="4/4"),((база!$I$5*2*Таблица1[[#This Row],[Столбец1]]*Таблица1[[#This Row],[коэф]])),
IF((G566="5/8"),((база!$J$6*2*Таблица1[[#This Row],[Столбец1]]*Таблица1[[#This Row],[коэф]])),
IF(OR(G566="4/8",G566="3/8",G566="2/8"),((база!$J$5*2*Таблица1[[#This Row],[Столбец1]]*Таблица1[[#This Row],[коэф]])))))))))))</f>
        <v>0</v>
      </c>
      <c r="AQ566" s="712" t="str">
        <f>IFERROR(INDEX(база!T:T, MATCH(F566,база!Q:Q,0)),"")</f>
        <v/>
      </c>
      <c r="AR566" s="208" t="str">
        <f>IFERROR(INDEX(база!D:D, MATCH(F566,база!B:B,0)),"")</f>
        <v/>
      </c>
      <c r="AS566" s="758" t="str">
        <f>IFERROR(INDEX(база!E:E, MATCH(F566,база!B:B,0)),"")</f>
        <v/>
      </c>
    </row>
    <row r="567" spans="1:45" s="46" customFormat="1" ht="15">
      <c r="A567" s="66" t="str">
        <f t="shared" si="10"/>
        <v>январь</v>
      </c>
      <c r="B567" s="231">
        <v>2024</v>
      </c>
      <c r="C567" s="299"/>
      <c r="D567" s="61"/>
      <c r="E567" s="211"/>
      <c r="F567" s="680"/>
      <c r="G567" s="47"/>
      <c r="H567" s="563"/>
      <c r="I567" s="563"/>
      <c r="J567" s="563"/>
      <c r="K567" s="563"/>
      <c r="L567" s="563"/>
      <c r="M567" s="563"/>
      <c r="N567" s="563"/>
      <c r="O567" s="563"/>
      <c r="P567" s="300"/>
      <c r="Q567" s="563"/>
      <c r="R567" s="563"/>
      <c r="S567" s="563"/>
      <c r="T567" s="563"/>
      <c r="U567" s="563"/>
      <c r="V567" s="563"/>
      <c r="W567" s="563"/>
      <c r="X567" s="563"/>
      <c r="Y567" s="563"/>
      <c r="Z567" s="563"/>
      <c r="AA567" s="563"/>
      <c r="AB567" s="563"/>
      <c r="AC567" s="563"/>
      <c r="AD567" s="48"/>
      <c r="AE567" s="48"/>
      <c r="AF567" s="258"/>
      <c r="AG567" s="48"/>
      <c r="AH567" s="48"/>
      <c r="AI567" s="258"/>
      <c r="AJ567" s="258"/>
      <c r="AK567" s="258"/>
      <c r="AL567" s="258"/>
      <c r="AM567" s="212">
        <f>IF(AQ567=1,SUM(Q567:T567,W567:Z567,AC567:AF567,AI567:AL567),
IF(AQ567=2,SUM(P567,S567:V567,Y567:AB567,AE567:AH567,AK567:AL567),
IF(AQ567=3,SUM(P567:R567,U567:X567,AA567:AD567,AG567:AJ567),SUM(Таблица1[[#This Row],[1]:[31]])-Таблица1[[#This Row],[Столбец1]])))</f>
        <v>0</v>
      </c>
      <c r="AN567" s="778">
        <f t="array" ref="AN567">IF(AQ567=1,SUM(P567,U567:V567,AA567:AB567,AG567:AH567),
IF(AQ567=2,SUM(Q567:R567,W567:X567,AC567:AD567,AI567:AJ567),
IF(AQ567=3,SUM(S567:T567,Y567:Z567,AE567:AF567,AK567:AL567),
SUM(IFERROR(WEEKDAY($H$2:$AL$2,2)&gt;5,)*H567:AL567))))+Таблица1[[#This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67" s="292" t="b">
        <f>IF(AR567&lt;=3,(IF((G567="5/24"),((база!$M$6*Таблица1[[#This Row],[сумма]]*Таблица1[[#This Row],[коэф]])),
IF((G567="4/24"),((база!$M$5*Таблица1[[#This Row],[сумма]]*Таблица1[[#This Row],[коэф]])),
IF((G567="3/24"),((база!$M$4*Таблица1[[#This Row],[сумма]]*Таблица1[[#This Row],[коэф]])),
IF((G567="5/16"),((база!$L$6*Таблица1[[#This Row],[сумма]]*Таблица1[[#This Row],[коэф]])),
IF((G567="4/16"),((база!$L$5*Таблица1[[#This Row],[сумма]]*Таблица1[[#This Row],[коэф]])),
IF((G567="3/16"),((база!$L$4*Таблица1[[#This Row],[сумма]]*Таблица1[[#This Row],[коэф]])),
IF((G567="4/4"),((база!$I$5*Таблица1[[#This Row],[сумма]]*Таблица1[[#This Row],[коэф]])),
IF(OR(G567="2/4",G567="3/4"),((база!$I$4*Таблица1[[#This Row],[сумма]]*Таблица1[[#This Row],[коэф]])),
IF((G567="5/8"),((база!$J$6*Таблица1[[#This Row],[сумма]]*Таблица1[[#This Row],[коэф]])),
IF((G567="4/8"),((база!$J$5*Таблица1[[#This Row],[сумма]]*Таблица1[[#This Row],[коэф]])),
IF(OR(G567="3/8",G567="2/8"),((база!$J$4*Таблица1[[#This Row],[сумма]]*Таблица1[[#This Row],[коэф]])))))))))))))),
(IF((G567="5/24"),((база!$M$6*Таблица1[[#This Row],[сумма]]*Таблица1[[#This Row],[коэф]])),
IF(OR(G567="4/24",G567="3/24"),((база!$M$5*Таблица1[[#This Row],[сумма]]*Таблица1[[#This Row],[коэф]])),
IF((G567="5/16"),((база!$L$6*Таблица1[[#This Row],[сумма]]*Таблица1[[#This Row],[коэф]])),
IF(OR(G567="4/16",G567="3/16"),((база!$L$5*Таблица1[[#This Row],[сумма]]*Таблица1[[#This Row],[коэф]])),
IF(OR(G567="2/4",G567="3/4",G567="4/4"),((база!$I$5*Таблица1[[#This Row],[сумма]]*Таблица1[[#This Row],[коэф]])),
IF((G567="5/8"),((база!$J$6*Таблица1[[#This Row],[сумма]]*Таблица1[[#This Row],[коэф]])),
IF(OR(G567="4/8",G567="3/8",G567="2/8"),((база!$J$5*Таблица1[[#This Row],[сумма]]*Таблица1[[#This Row],[коэф]])))))))))))</f>
        <v>0</v>
      </c>
      <c r="AP567" s="730" t="b">
        <f>IF(AR567&lt;=3,(IF((G567="5/24"),((база!$M$6*2*Таблица1[[#This Row],[Столбец1]]*Таблица1[[#This Row],[коэф]])),
IF((G567="4/24"),((база!$M$5*2*Таблица1[[#This Row],[Столбец1]]*Таблица1[[#This Row],[коэф]])),
IF((G567="3/24"),((база!$M$4*2*Таблица1[[#This Row],[Столбец1]]*Таблица1[[#This Row],[коэф]])),
IF((G567="5/16"),((база!$L$6*2*Таблица1[[#This Row],[Столбец1]]*Таблица1[[#This Row],[коэф]])),
IF((G567="4/16"),((база!$L$5*2*Таблица1[[#This Row],[Столбец1]]*Таблица1[[#This Row],[коэф]])),
IF((G567="3/16"),((база!$L$4*2*Таблица1[[#This Row],[Столбец1]]*Таблица1[[#This Row],[коэф]])),
IF((G567="4/4"),((база!$I$5*2*Таблица1[[#This Row],[Столбец1]]*Таблица1[[#This Row],[коэф]])),
IF(OR(G567="2/4",G567="3/4"),((база!$I$4*2*Таблица1[[#This Row],[Столбец1]]*Таблица1[[#This Row],[коэф]])),
IF((G567="5/8"),((база!$J$6*2*Таблица1[[#This Row],[Столбец1]]*Таблица1[[#This Row],[коэф]])),
IF((G567="4/8"),((база!$J$5*2*Таблица1[[#This Row],[Столбец1]]*Таблица1[[#This Row],[коэф]])),
IF(OR(G567="3/8",G567="2/8"),((база!$J$4*2*Таблица1[[#This Row],[Столбец1]]*Таблица1[[#This Row],[коэф]])))))))))))))),
(IF((G567="5/24"),((база!$M$6*2*Таблица1[[#This Row],[Столбец1]]*Таблица1[[#This Row],[коэф]])),
IF(OR(G567="4/24",G567="3/24"),((база!$M$5*2*Таблица1[[#This Row],[Столбец1]]*Таблица1[[#This Row],[коэф]])),
IF((G567="5/16"),((база!$L$6*2*Таблица1[[#This Row],[Столбец1]]*Таблица1[[#This Row],[коэф]])),
IF(OR(G567="4/16",G567="3/16"),((база!$L$5*2*Таблица1[[#This Row],[Столбец1]]*Таблица1[[#This Row],[коэф]])),
IF(OR(G567="2/4",G567="3/4",G567="4/4"),((база!$I$5*2*Таблица1[[#This Row],[Столбец1]]*Таблица1[[#This Row],[коэф]])),
IF((G567="5/8"),((база!$J$6*2*Таблица1[[#This Row],[Столбец1]]*Таблица1[[#This Row],[коэф]])),
IF(OR(G567="4/8",G567="3/8",G567="2/8"),((база!$J$5*2*Таблица1[[#This Row],[Столбец1]]*Таблица1[[#This Row],[коэф]])))))))))))</f>
        <v>0</v>
      </c>
      <c r="AQ567" s="712" t="str">
        <f>IFERROR(INDEX(база!T:T, MATCH(F567,база!Q:Q,0)),"")</f>
        <v/>
      </c>
      <c r="AR567" s="208" t="str">
        <f>IFERROR(INDEX(база!D:D, MATCH(F567,база!B:B,0)),"")</f>
        <v/>
      </c>
      <c r="AS567" s="758" t="str">
        <f>IFERROR(INDEX(база!E:E, MATCH(F567,база!B:B,0)),"")</f>
        <v/>
      </c>
    </row>
    <row r="568" spans="1:45" s="46" customFormat="1" ht="15">
      <c r="A568" s="66" t="str">
        <f t="shared" si="10"/>
        <v>январь</v>
      </c>
      <c r="B568" s="231">
        <v>2024</v>
      </c>
      <c r="C568" s="299"/>
      <c r="D568" s="61"/>
      <c r="E568" s="211"/>
      <c r="F568" s="680"/>
      <c r="G568" s="47"/>
      <c r="H568" s="563"/>
      <c r="I568" s="563"/>
      <c r="J568" s="563"/>
      <c r="K568" s="563"/>
      <c r="L568" s="563"/>
      <c r="M568" s="563"/>
      <c r="N568" s="563"/>
      <c r="O568" s="563"/>
      <c r="P568" s="300"/>
      <c r="Q568" s="563"/>
      <c r="R568" s="563"/>
      <c r="S568" s="563"/>
      <c r="T568" s="563"/>
      <c r="U568" s="563"/>
      <c r="V568" s="563"/>
      <c r="W568" s="563"/>
      <c r="X568" s="563"/>
      <c r="Y568" s="563"/>
      <c r="Z568" s="563"/>
      <c r="AA568" s="563"/>
      <c r="AB568" s="563"/>
      <c r="AC568" s="563"/>
      <c r="AD568" s="48"/>
      <c r="AE568" s="48"/>
      <c r="AF568" s="258"/>
      <c r="AG568" s="48"/>
      <c r="AH568" s="48"/>
      <c r="AI568" s="48"/>
      <c r="AJ568" s="48"/>
      <c r="AK568" s="48"/>
      <c r="AL568" s="51"/>
      <c r="AM568" s="212">
        <f>IF(AQ568=1,SUM(Q568:T568,W568:Z568,AC568:AF568,AI568:AL568),
IF(AQ568=2,SUM(P568,S568:V568,Y568:AB568,AE568:AH568,AK568:AL568),
IF(AQ568=3,SUM(P568:R568,U568:X568,AA568:AD568,AG568:AJ568),SUM(Таблица1[[#This Row],[1]:[31]])-Таблица1[[#This Row],[Столбец1]])))</f>
        <v>0</v>
      </c>
      <c r="AN568" s="778">
        <f t="array" ref="AN568">IF(AQ568=1,SUM(P568,U568:V568,AA568:AB568,AG568:AH568),
IF(AQ568=2,SUM(Q568:R568,W568:X568,AC568:AD568,AI568:AJ568),
IF(AQ568=3,SUM(S568:T568,Y568:Z568,AE568:AF568,AK568:AL568),
SUM(IFERROR(WEEKDAY($H$2:$AL$2,2)&gt;5,)*H568:AL568))))+Таблица1[[#This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68" s="292" t="b">
        <f>IF(AR568&lt;=3,(IF((G568="5/24"),((база!$M$6*Таблица1[[#This Row],[сумма]]*Таблица1[[#This Row],[коэф]])),
IF((G568="4/24"),((база!$M$5*Таблица1[[#This Row],[сумма]]*Таблица1[[#This Row],[коэф]])),
IF((G568="3/24"),((база!$M$4*Таблица1[[#This Row],[сумма]]*Таблица1[[#This Row],[коэф]])),
IF((G568="5/16"),((база!$L$6*Таблица1[[#This Row],[сумма]]*Таблица1[[#This Row],[коэф]])),
IF((G568="4/16"),((база!$L$5*Таблица1[[#This Row],[сумма]]*Таблица1[[#This Row],[коэф]])),
IF((G568="3/16"),((база!$L$4*Таблица1[[#This Row],[сумма]]*Таблица1[[#This Row],[коэф]])),
IF((G568="4/4"),((база!$I$5*Таблица1[[#This Row],[сумма]]*Таблица1[[#This Row],[коэф]])),
IF(OR(G568="2/4",G568="3/4"),((база!$I$4*Таблица1[[#This Row],[сумма]]*Таблица1[[#This Row],[коэф]])),
IF((G568="5/8"),((база!$J$6*Таблица1[[#This Row],[сумма]]*Таблица1[[#This Row],[коэф]])),
IF((G568="4/8"),((база!$J$5*Таблица1[[#This Row],[сумма]]*Таблица1[[#This Row],[коэф]])),
IF(OR(G568="3/8",G568="2/8"),((база!$J$4*Таблица1[[#This Row],[сумма]]*Таблица1[[#This Row],[коэф]])))))))))))))),
(IF((G568="5/24"),((база!$M$6*Таблица1[[#This Row],[сумма]]*Таблица1[[#This Row],[коэф]])),
IF(OR(G568="4/24",G568="3/24"),((база!$M$5*Таблица1[[#This Row],[сумма]]*Таблица1[[#This Row],[коэф]])),
IF((G568="5/16"),((база!$L$6*Таблица1[[#This Row],[сумма]]*Таблица1[[#This Row],[коэф]])),
IF(OR(G568="4/16",G568="3/16"),((база!$L$5*Таблица1[[#This Row],[сумма]]*Таблица1[[#This Row],[коэф]])),
IF(OR(G568="2/4",G568="3/4",G568="4/4"),((база!$I$5*Таблица1[[#This Row],[сумма]]*Таблица1[[#This Row],[коэф]])),
IF((G568="5/8"),((база!$J$6*Таблица1[[#This Row],[сумма]]*Таблица1[[#This Row],[коэф]])),
IF(OR(G568="4/8",G568="3/8",G568="2/8"),((база!$J$5*Таблица1[[#This Row],[сумма]]*Таблица1[[#This Row],[коэф]])))))))))))</f>
        <v>0</v>
      </c>
      <c r="AP568" s="730" t="b">
        <f>IF(AR568&lt;=3,(IF((G568="5/24"),((база!$M$6*2*Таблица1[[#This Row],[Столбец1]]*Таблица1[[#This Row],[коэф]])),
IF((G568="4/24"),((база!$M$5*2*Таблица1[[#This Row],[Столбец1]]*Таблица1[[#This Row],[коэф]])),
IF((G568="3/24"),((база!$M$4*2*Таблица1[[#This Row],[Столбец1]]*Таблица1[[#This Row],[коэф]])),
IF((G568="5/16"),((база!$L$6*2*Таблица1[[#This Row],[Столбец1]]*Таблица1[[#This Row],[коэф]])),
IF((G568="4/16"),((база!$L$5*2*Таблица1[[#This Row],[Столбец1]]*Таблица1[[#This Row],[коэф]])),
IF((G568="3/16"),((база!$L$4*2*Таблица1[[#This Row],[Столбец1]]*Таблица1[[#This Row],[коэф]])),
IF((G568="4/4"),((база!$I$5*2*Таблица1[[#This Row],[Столбец1]]*Таблица1[[#This Row],[коэф]])),
IF(OR(G568="2/4",G568="3/4"),((база!$I$4*2*Таблица1[[#This Row],[Столбец1]]*Таблица1[[#This Row],[коэф]])),
IF((G568="5/8"),((база!$J$6*2*Таблица1[[#This Row],[Столбец1]]*Таблица1[[#This Row],[коэф]])),
IF((G568="4/8"),((база!$J$5*2*Таблица1[[#This Row],[Столбец1]]*Таблица1[[#This Row],[коэф]])),
IF(OR(G568="3/8",G568="2/8"),((база!$J$4*2*Таблица1[[#This Row],[Столбец1]]*Таблица1[[#This Row],[коэф]])))))))))))))),
(IF((G568="5/24"),((база!$M$6*2*Таблица1[[#This Row],[Столбец1]]*Таблица1[[#This Row],[коэф]])),
IF(OR(G568="4/24",G568="3/24"),((база!$M$5*2*Таблица1[[#This Row],[Столбец1]]*Таблица1[[#This Row],[коэф]])),
IF((G568="5/16"),((база!$L$6*2*Таблица1[[#This Row],[Столбец1]]*Таблица1[[#This Row],[коэф]])),
IF(OR(G568="4/16",G568="3/16"),((база!$L$5*2*Таблица1[[#This Row],[Столбец1]]*Таблица1[[#This Row],[коэф]])),
IF(OR(G568="2/4",G568="3/4",G568="4/4"),((база!$I$5*2*Таблица1[[#This Row],[Столбец1]]*Таблица1[[#This Row],[коэф]])),
IF((G568="5/8"),((база!$J$6*2*Таблица1[[#This Row],[Столбец1]]*Таблица1[[#This Row],[коэф]])),
IF(OR(G568="4/8",G568="3/8",G568="2/8"),((база!$J$5*2*Таблица1[[#This Row],[Столбец1]]*Таблица1[[#This Row],[коэф]])))))))))))</f>
        <v>0</v>
      </c>
      <c r="AQ568" s="712" t="str">
        <f>IFERROR(INDEX(база!T:T, MATCH(F568,база!Q:Q,0)),"")</f>
        <v/>
      </c>
      <c r="AR568" s="208" t="str">
        <f>IFERROR(INDEX(база!D:D, MATCH(F568,база!B:B,0)),"")</f>
        <v/>
      </c>
      <c r="AS568" s="758" t="str">
        <f>IFERROR(INDEX(база!E:E, MATCH(F568,база!B:B,0)),"")</f>
        <v/>
      </c>
    </row>
    <row r="569" spans="1:45" s="46" customFormat="1" ht="15">
      <c r="A569" s="66" t="str">
        <f t="shared" si="10"/>
        <v>январь</v>
      </c>
      <c r="B569" s="231">
        <v>2024</v>
      </c>
      <c r="C569" s="299"/>
      <c r="D569" s="61"/>
      <c r="E569" s="211"/>
      <c r="F569" s="680"/>
      <c r="G569" s="47"/>
      <c r="H569" s="563"/>
      <c r="I569" s="563"/>
      <c r="J569" s="563"/>
      <c r="K569" s="563"/>
      <c r="L569" s="563"/>
      <c r="M569" s="563"/>
      <c r="N569" s="563"/>
      <c r="O569" s="563"/>
      <c r="P569" s="300"/>
      <c r="Q569" s="563"/>
      <c r="R569" s="563"/>
      <c r="S569" s="563"/>
      <c r="T569" s="563"/>
      <c r="U569" s="563"/>
      <c r="V569" s="563"/>
      <c r="W569" s="563"/>
      <c r="X569" s="563"/>
      <c r="Y569" s="563"/>
      <c r="Z569" s="563"/>
      <c r="AA569" s="563"/>
      <c r="AB569" s="563"/>
      <c r="AC569" s="563"/>
      <c r="AD569" s="48"/>
      <c r="AE569" s="48"/>
      <c r="AF569" s="258"/>
      <c r="AG569" s="48"/>
      <c r="AH569" s="48"/>
      <c r="AI569" s="258"/>
      <c r="AJ569" s="258"/>
      <c r="AK569" s="258"/>
      <c r="AL569" s="258"/>
      <c r="AM569" s="212">
        <f>IF(AQ569=1,SUM(Q569:T569,W569:Z569,AC569:AF569,AI569:AL569),
IF(AQ569=2,SUM(P569,S569:V569,Y569:AB569,AE569:AH569,AK569:AL569),
IF(AQ569=3,SUM(P569:R569,U569:X569,AA569:AD569,AG569:AJ569),SUM(Таблица1[[#This Row],[1]:[31]])-Таблица1[[#This Row],[Столбец1]])))</f>
        <v>0</v>
      </c>
      <c r="AN569" s="778">
        <f t="array" ref="AN569">IF(AQ569=1,SUM(P569,U569:V569,AA569:AB569,AG569:AH569),
IF(AQ569=2,SUM(Q569:R569,W569:X569,AC569:AD569,AI569:AJ569),
IF(AQ569=3,SUM(S569:T569,Y569:Z569,AE569:AF569,AK569:AL569),
SUM(IFERROR(WEEKDAY($H$2:$AL$2,2)&gt;5,)*H569:AL569))))+Таблица1[[#This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69" s="292" t="b">
        <f>IF(AR569&lt;=3,(IF((G569="5/24"),((база!$M$6*Таблица1[[#This Row],[сумма]]*Таблица1[[#This Row],[коэф]])),
IF((G569="4/24"),((база!$M$5*Таблица1[[#This Row],[сумма]]*Таблица1[[#This Row],[коэф]])),
IF((G569="3/24"),((база!$M$4*Таблица1[[#This Row],[сумма]]*Таблица1[[#This Row],[коэф]])),
IF((G569="5/16"),((база!$L$6*Таблица1[[#This Row],[сумма]]*Таблица1[[#This Row],[коэф]])),
IF((G569="4/16"),((база!$L$5*Таблица1[[#This Row],[сумма]]*Таблица1[[#This Row],[коэф]])),
IF((G569="3/16"),((база!$L$4*Таблица1[[#This Row],[сумма]]*Таблица1[[#This Row],[коэф]])),
IF((G569="4/4"),((база!$I$5*Таблица1[[#This Row],[сумма]]*Таблица1[[#This Row],[коэф]])),
IF(OR(G569="2/4",G569="3/4"),((база!$I$4*Таблица1[[#This Row],[сумма]]*Таблица1[[#This Row],[коэф]])),
IF((G569="5/8"),((база!$J$6*Таблица1[[#This Row],[сумма]]*Таблица1[[#This Row],[коэф]])),
IF((G569="4/8"),((база!$J$5*Таблица1[[#This Row],[сумма]]*Таблица1[[#This Row],[коэф]])),
IF(OR(G569="3/8",G569="2/8"),((база!$J$4*Таблица1[[#This Row],[сумма]]*Таблица1[[#This Row],[коэф]])))))))))))))),
(IF((G569="5/24"),((база!$M$6*Таблица1[[#This Row],[сумма]]*Таблица1[[#This Row],[коэф]])),
IF(OR(G569="4/24",G569="3/24"),((база!$M$5*Таблица1[[#This Row],[сумма]]*Таблица1[[#This Row],[коэф]])),
IF((G569="5/16"),((база!$L$6*Таблица1[[#This Row],[сумма]]*Таблица1[[#This Row],[коэф]])),
IF(OR(G569="4/16",G569="3/16"),((база!$L$5*Таблица1[[#This Row],[сумма]]*Таблица1[[#This Row],[коэф]])),
IF(OR(G569="2/4",G569="3/4",G569="4/4"),((база!$I$5*Таблица1[[#This Row],[сумма]]*Таблица1[[#This Row],[коэф]])),
IF((G569="5/8"),((база!$J$6*Таблица1[[#This Row],[сумма]]*Таблица1[[#This Row],[коэф]])),
IF(OR(G569="4/8",G569="3/8",G569="2/8"),((база!$J$5*Таблица1[[#This Row],[сумма]]*Таблица1[[#This Row],[коэф]])))))))))))</f>
        <v>0</v>
      </c>
      <c r="AP569" s="730" t="b">
        <f>IF(AR569&lt;=3,(IF((G569="5/24"),((база!$M$6*2*Таблица1[[#This Row],[Столбец1]]*Таблица1[[#This Row],[коэф]])),
IF((G569="4/24"),((база!$M$5*2*Таблица1[[#This Row],[Столбец1]]*Таблица1[[#This Row],[коэф]])),
IF((G569="3/24"),((база!$M$4*2*Таблица1[[#This Row],[Столбец1]]*Таблица1[[#This Row],[коэф]])),
IF((G569="5/16"),((база!$L$6*2*Таблица1[[#This Row],[Столбец1]]*Таблица1[[#This Row],[коэф]])),
IF((G569="4/16"),((база!$L$5*2*Таблица1[[#This Row],[Столбец1]]*Таблица1[[#This Row],[коэф]])),
IF((G569="3/16"),((база!$L$4*2*Таблица1[[#This Row],[Столбец1]]*Таблица1[[#This Row],[коэф]])),
IF((G569="4/4"),((база!$I$5*2*Таблица1[[#This Row],[Столбец1]]*Таблица1[[#This Row],[коэф]])),
IF(OR(G569="2/4",G569="3/4"),((база!$I$4*2*Таблица1[[#This Row],[Столбец1]]*Таблица1[[#This Row],[коэф]])),
IF((G569="5/8"),((база!$J$6*2*Таблица1[[#This Row],[Столбец1]]*Таблица1[[#This Row],[коэф]])),
IF((G569="4/8"),((база!$J$5*2*Таблица1[[#This Row],[Столбец1]]*Таблица1[[#This Row],[коэф]])),
IF(OR(G569="3/8",G569="2/8"),((база!$J$4*2*Таблица1[[#This Row],[Столбец1]]*Таблица1[[#This Row],[коэф]])))))))))))))),
(IF((G569="5/24"),((база!$M$6*2*Таблица1[[#This Row],[Столбец1]]*Таблица1[[#This Row],[коэф]])),
IF(OR(G569="4/24",G569="3/24"),((база!$M$5*2*Таблица1[[#This Row],[Столбец1]]*Таблица1[[#This Row],[коэф]])),
IF((G569="5/16"),((база!$L$6*2*Таблица1[[#This Row],[Столбец1]]*Таблица1[[#This Row],[коэф]])),
IF(OR(G569="4/16",G569="3/16"),((база!$L$5*2*Таблица1[[#This Row],[Столбец1]]*Таблица1[[#This Row],[коэф]])),
IF(OR(G569="2/4",G569="3/4",G569="4/4"),((база!$I$5*2*Таблица1[[#This Row],[Столбец1]]*Таблица1[[#This Row],[коэф]])),
IF((G569="5/8"),((база!$J$6*2*Таблица1[[#This Row],[Столбец1]]*Таблица1[[#This Row],[коэф]])),
IF(OR(G569="4/8",G569="3/8",G569="2/8"),((база!$J$5*2*Таблица1[[#This Row],[Столбец1]]*Таблица1[[#This Row],[коэф]])))))))))))</f>
        <v>0</v>
      </c>
      <c r="AQ569" s="712" t="str">
        <f>IFERROR(INDEX(база!T:T, MATCH(F569,база!Q:Q,0)),"")</f>
        <v/>
      </c>
      <c r="AR569" s="208" t="str">
        <f>IFERROR(INDEX(база!D:D, MATCH(F569,база!B:B,0)),"")</f>
        <v/>
      </c>
      <c r="AS569" s="758" t="str">
        <f>IFERROR(INDEX(база!E:E, MATCH(F569,база!B:B,0)),"")</f>
        <v/>
      </c>
    </row>
    <row r="570" spans="1:45" s="46" customFormat="1" ht="15">
      <c r="A570" s="66" t="str">
        <f t="shared" si="10"/>
        <v>январь</v>
      </c>
      <c r="B570" s="231">
        <v>2024</v>
      </c>
      <c r="C570" s="299"/>
      <c r="D570" s="61"/>
      <c r="E570" s="211"/>
      <c r="F570" s="680"/>
      <c r="G570" s="47"/>
      <c r="H570" s="563"/>
      <c r="I570" s="563"/>
      <c r="J570" s="563"/>
      <c r="K570" s="563"/>
      <c r="L570" s="563"/>
      <c r="M570" s="563"/>
      <c r="N570" s="563"/>
      <c r="O570" s="563"/>
      <c r="P570" s="300"/>
      <c r="Q570" s="563"/>
      <c r="R570" s="563"/>
      <c r="S570" s="563"/>
      <c r="T570" s="563"/>
      <c r="U570" s="563"/>
      <c r="V570" s="563"/>
      <c r="W570" s="563"/>
      <c r="X570" s="563"/>
      <c r="Y570" s="563"/>
      <c r="Z570" s="563"/>
      <c r="AA570" s="563"/>
      <c r="AB570" s="563"/>
      <c r="AC570" s="563"/>
      <c r="AD570" s="48"/>
      <c r="AE570" s="48"/>
      <c r="AF570" s="258"/>
      <c r="AG570" s="48"/>
      <c r="AH570" s="48"/>
      <c r="AI570" s="48"/>
      <c r="AJ570" s="48"/>
      <c r="AK570" s="48"/>
      <c r="AL570" s="51"/>
      <c r="AM570" s="212">
        <f>IF(AQ570=1,SUM(Q570:T570,W570:Z570,AC570:AF570,AI570:AL570),
IF(AQ570=2,SUM(P570,S570:V570,Y570:AB570,AE570:AH570,AK570:AL570),
IF(AQ570=3,SUM(P570:R570,U570:X570,AA570:AD570,AG570:AJ570),SUM(Таблица1[[#This Row],[1]:[31]])-Таблица1[[#This Row],[Столбец1]])))</f>
        <v>0</v>
      </c>
      <c r="AN570" s="778">
        <f t="array" ref="AN570">IF(AQ570=1,SUM(P570,U570:V570,AA570:AB570,AG570:AH570),
IF(AQ570=2,SUM(Q570:R570,W570:X570,AC570:AD570,AI570:AJ570),
IF(AQ570=3,SUM(S570:T570,Y570:Z570,AE570:AF570,AK570:AL570),
SUM(IFERROR(WEEKDAY($H$2:$AL$2,2)&gt;5,)*H570:AL570))))+Таблица1[[#This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70" s="292" t="b">
        <f>IF(AR570&lt;=3,(IF((G570="5/24"),((база!$M$6*Таблица1[[#This Row],[сумма]]*Таблица1[[#This Row],[коэф]])),
IF((G570="4/24"),((база!$M$5*Таблица1[[#This Row],[сумма]]*Таблица1[[#This Row],[коэф]])),
IF((G570="3/24"),((база!$M$4*Таблица1[[#This Row],[сумма]]*Таблица1[[#This Row],[коэф]])),
IF((G570="5/16"),((база!$L$6*Таблица1[[#This Row],[сумма]]*Таблица1[[#This Row],[коэф]])),
IF((G570="4/16"),((база!$L$5*Таблица1[[#This Row],[сумма]]*Таблица1[[#This Row],[коэф]])),
IF((G570="3/16"),((база!$L$4*Таблица1[[#This Row],[сумма]]*Таблица1[[#This Row],[коэф]])),
IF((G570="4/4"),((база!$I$5*Таблица1[[#This Row],[сумма]]*Таблица1[[#This Row],[коэф]])),
IF(OR(G570="2/4",G570="3/4"),((база!$I$4*Таблица1[[#This Row],[сумма]]*Таблица1[[#This Row],[коэф]])),
IF((G570="5/8"),((база!$J$6*Таблица1[[#This Row],[сумма]]*Таблица1[[#This Row],[коэф]])),
IF((G570="4/8"),((база!$J$5*Таблица1[[#This Row],[сумма]]*Таблица1[[#This Row],[коэф]])),
IF(OR(G570="3/8",G570="2/8"),((база!$J$4*Таблица1[[#This Row],[сумма]]*Таблица1[[#This Row],[коэф]])))))))))))))),
(IF((G570="5/24"),((база!$M$6*Таблица1[[#This Row],[сумма]]*Таблица1[[#This Row],[коэф]])),
IF(OR(G570="4/24",G570="3/24"),((база!$M$5*Таблица1[[#This Row],[сумма]]*Таблица1[[#This Row],[коэф]])),
IF((G570="5/16"),((база!$L$6*Таблица1[[#This Row],[сумма]]*Таблица1[[#This Row],[коэф]])),
IF(OR(G570="4/16",G570="3/16"),((база!$L$5*Таблица1[[#This Row],[сумма]]*Таблица1[[#This Row],[коэф]])),
IF(OR(G570="2/4",G570="3/4",G570="4/4"),((база!$I$5*Таблица1[[#This Row],[сумма]]*Таблица1[[#This Row],[коэф]])),
IF((G570="5/8"),((база!$J$6*Таблица1[[#This Row],[сумма]]*Таблица1[[#This Row],[коэф]])),
IF(OR(G570="4/8",G570="3/8",G570="2/8"),((база!$J$5*Таблица1[[#This Row],[сумма]]*Таблица1[[#This Row],[коэф]])))))))))))</f>
        <v>0</v>
      </c>
      <c r="AP570" s="730" t="b">
        <f>IF(AR570&lt;=3,(IF((G570="5/24"),((база!$M$6*2*Таблица1[[#This Row],[Столбец1]]*Таблица1[[#This Row],[коэф]])),
IF((G570="4/24"),((база!$M$5*2*Таблица1[[#This Row],[Столбец1]]*Таблица1[[#This Row],[коэф]])),
IF((G570="3/24"),((база!$M$4*2*Таблица1[[#This Row],[Столбец1]]*Таблица1[[#This Row],[коэф]])),
IF((G570="5/16"),((база!$L$6*2*Таблица1[[#This Row],[Столбец1]]*Таблица1[[#This Row],[коэф]])),
IF((G570="4/16"),((база!$L$5*2*Таблица1[[#This Row],[Столбец1]]*Таблица1[[#This Row],[коэф]])),
IF((G570="3/16"),((база!$L$4*2*Таблица1[[#This Row],[Столбец1]]*Таблица1[[#This Row],[коэф]])),
IF((G570="4/4"),((база!$I$5*2*Таблица1[[#This Row],[Столбец1]]*Таблица1[[#This Row],[коэф]])),
IF(OR(G570="2/4",G570="3/4"),((база!$I$4*2*Таблица1[[#This Row],[Столбец1]]*Таблица1[[#This Row],[коэф]])),
IF((G570="5/8"),((база!$J$6*2*Таблица1[[#This Row],[Столбец1]]*Таблица1[[#This Row],[коэф]])),
IF((G570="4/8"),((база!$J$5*2*Таблица1[[#This Row],[Столбец1]]*Таблица1[[#This Row],[коэф]])),
IF(OR(G570="3/8",G570="2/8"),((база!$J$4*2*Таблица1[[#This Row],[Столбец1]]*Таблица1[[#This Row],[коэф]])))))))))))))),
(IF((G570="5/24"),((база!$M$6*2*Таблица1[[#This Row],[Столбец1]]*Таблица1[[#This Row],[коэф]])),
IF(OR(G570="4/24",G570="3/24"),((база!$M$5*2*Таблица1[[#This Row],[Столбец1]]*Таблица1[[#This Row],[коэф]])),
IF((G570="5/16"),((база!$L$6*2*Таблица1[[#This Row],[Столбец1]]*Таблица1[[#This Row],[коэф]])),
IF(OR(G570="4/16",G570="3/16"),((база!$L$5*2*Таблица1[[#This Row],[Столбец1]]*Таблица1[[#This Row],[коэф]])),
IF(OR(G570="2/4",G570="3/4",G570="4/4"),((база!$I$5*2*Таблица1[[#This Row],[Столбец1]]*Таблица1[[#This Row],[коэф]])),
IF((G570="5/8"),((база!$J$6*2*Таблица1[[#This Row],[Столбец1]]*Таблица1[[#This Row],[коэф]])),
IF(OR(G570="4/8",G570="3/8",G570="2/8"),((база!$J$5*2*Таблица1[[#This Row],[Столбец1]]*Таблица1[[#This Row],[коэф]])))))))))))</f>
        <v>0</v>
      </c>
      <c r="AQ570" s="712" t="str">
        <f>IFERROR(INDEX(база!T:T, MATCH(F570,база!Q:Q,0)),"")</f>
        <v/>
      </c>
      <c r="AR570" s="208" t="str">
        <f>IFERROR(INDEX(база!D:D, MATCH(F570,база!B:B,0)),"")</f>
        <v/>
      </c>
      <c r="AS570" s="758" t="str">
        <f>IFERROR(INDEX(база!E:E, MATCH(F570,база!B:B,0)),"")</f>
        <v/>
      </c>
    </row>
    <row r="571" spans="1:45" s="46" customFormat="1" ht="15">
      <c r="A571" s="66" t="str">
        <f t="shared" si="10"/>
        <v>январь</v>
      </c>
      <c r="B571" s="231">
        <v>2024</v>
      </c>
      <c r="C571" s="299"/>
      <c r="D571" s="61"/>
      <c r="E571" s="211"/>
      <c r="F571" s="680"/>
      <c r="G571" s="47"/>
      <c r="H571" s="563"/>
      <c r="I571" s="563"/>
      <c r="J571" s="563"/>
      <c r="K571" s="563"/>
      <c r="L571" s="563"/>
      <c r="M571" s="563"/>
      <c r="N571" s="563"/>
      <c r="O571" s="563"/>
      <c r="P571" s="300"/>
      <c r="Q571" s="563"/>
      <c r="R571" s="563"/>
      <c r="S571" s="563"/>
      <c r="T571" s="563"/>
      <c r="U571" s="563"/>
      <c r="V571" s="563"/>
      <c r="W571" s="563"/>
      <c r="X571" s="563"/>
      <c r="Y571" s="563"/>
      <c r="Z571" s="563"/>
      <c r="AA571" s="563"/>
      <c r="AB571" s="563"/>
      <c r="AC571" s="563"/>
      <c r="AD571" s="48"/>
      <c r="AE571" s="48"/>
      <c r="AF571" s="258"/>
      <c r="AG571" s="48"/>
      <c r="AH571" s="48"/>
      <c r="AI571" s="258"/>
      <c r="AJ571" s="258"/>
      <c r="AK571" s="258"/>
      <c r="AL571" s="258"/>
      <c r="AM571" s="212">
        <f>IF(AQ571=1,SUM(Q571:T571,W571:Z571,AC571:AF571,AI571:AL571),
IF(AQ571=2,SUM(P571,S571:V571,Y571:AB571,AE571:AH571,AK571:AL571),
IF(AQ571=3,SUM(P571:R571,U571:X571,AA571:AD571,AG571:AJ571),SUM(Таблица1[[#This Row],[1]:[31]])-Таблица1[[#This Row],[Столбец1]])))</f>
        <v>0</v>
      </c>
      <c r="AN571" s="778">
        <f t="array" ref="AN571">IF(AQ571=1,SUM(P571,U571:V571,AA571:AB571,AG571:AH571),
IF(AQ571=2,SUM(Q571:R571,W571:X571,AC571:AD571,AI571:AJ571),
IF(AQ571=3,SUM(S571:T571,Y571:Z571,AE571:AF571,AK571:AL571),
SUM(IFERROR(WEEKDAY($H$2:$AL$2,2)&gt;5,)*H571:AL571))))+Таблица1[[#This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71" s="292" t="b">
        <f>IF(AR571&lt;=3,(IF((G571="5/24"),((база!$M$6*Таблица1[[#This Row],[сумма]]*Таблица1[[#This Row],[коэф]])),
IF((G571="4/24"),((база!$M$5*Таблица1[[#This Row],[сумма]]*Таблица1[[#This Row],[коэф]])),
IF((G571="3/24"),((база!$M$4*Таблица1[[#This Row],[сумма]]*Таблица1[[#This Row],[коэф]])),
IF((G571="5/16"),((база!$L$6*Таблица1[[#This Row],[сумма]]*Таблица1[[#This Row],[коэф]])),
IF((G571="4/16"),((база!$L$5*Таблица1[[#This Row],[сумма]]*Таблица1[[#This Row],[коэф]])),
IF((G571="3/16"),((база!$L$4*Таблица1[[#This Row],[сумма]]*Таблица1[[#This Row],[коэф]])),
IF((G571="4/4"),((база!$I$5*Таблица1[[#This Row],[сумма]]*Таблица1[[#This Row],[коэф]])),
IF(OR(G571="2/4",G571="3/4"),((база!$I$4*Таблица1[[#This Row],[сумма]]*Таблица1[[#This Row],[коэф]])),
IF((G571="5/8"),((база!$J$6*Таблица1[[#This Row],[сумма]]*Таблица1[[#This Row],[коэф]])),
IF((G571="4/8"),((база!$J$5*Таблица1[[#This Row],[сумма]]*Таблица1[[#This Row],[коэф]])),
IF(OR(G571="3/8",G571="2/8"),((база!$J$4*Таблица1[[#This Row],[сумма]]*Таблица1[[#This Row],[коэф]])))))))))))))),
(IF((G571="5/24"),((база!$M$6*Таблица1[[#This Row],[сумма]]*Таблица1[[#This Row],[коэф]])),
IF(OR(G571="4/24",G571="3/24"),((база!$M$5*Таблица1[[#This Row],[сумма]]*Таблица1[[#This Row],[коэф]])),
IF((G571="5/16"),((база!$L$6*Таблица1[[#This Row],[сумма]]*Таблица1[[#This Row],[коэф]])),
IF(OR(G571="4/16",G571="3/16"),((база!$L$5*Таблица1[[#This Row],[сумма]]*Таблица1[[#This Row],[коэф]])),
IF(OR(G571="2/4",G571="3/4",G571="4/4"),((база!$I$5*Таблица1[[#This Row],[сумма]]*Таблица1[[#This Row],[коэф]])),
IF((G571="5/8"),((база!$J$6*Таблица1[[#This Row],[сумма]]*Таблица1[[#This Row],[коэф]])),
IF(OR(G571="4/8",G571="3/8",G571="2/8"),((база!$J$5*Таблица1[[#This Row],[сумма]]*Таблица1[[#This Row],[коэф]])))))))))))</f>
        <v>0</v>
      </c>
      <c r="AP571" s="730" t="b">
        <f>IF(AR571&lt;=3,(IF((G571="5/24"),((база!$M$6*2*Таблица1[[#This Row],[Столбец1]]*Таблица1[[#This Row],[коэф]])),
IF((G571="4/24"),((база!$M$5*2*Таблица1[[#This Row],[Столбец1]]*Таблица1[[#This Row],[коэф]])),
IF((G571="3/24"),((база!$M$4*2*Таблица1[[#This Row],[Столбец1]]*Таблица1[[#This Row],[коэф]])),
IF((G571="5/16"),((база!$L$6*2*Таблица1[[#This Row],[Столбец1]]*Таблица1[[#This Row],[коэф]])),
IF((G571="4/16"),((база!$L$5*2*Таблица1[[#This Row],[Столбец1]]*Таблица1[[#This Row],[коэф]])),
IF((G571="3/16"),((база!$L$4*2*Таблица1[[#This Row],[Столбец1]]*Таблица1[[#This Row],[коэф]])),
IF((G571="4/4"),((база!$I$5*2*Таблица1[[#This Row],[Столбец1]]*Таблица1[[#This Row],[коэф]])),
IF(OR(G571="2/4",G571="3/4"),((база!$I$4*2*Таблица1[[#This Row],[Столбец1]]*Таблица1[[#This Row],[коэф]])),
IF((G571="5/8"),((база!$J$6*2*Таблица1[[#This Row],[Столбец1]]*Таблица1[[#This Row],[коэф]])),
IF((G571="4/8"),((база!$J$5*2*Таблица1[[#This Row],[Столбец1]]*Таблица1[[#This Row],[коэф]])),
IF(OR(G571="3/8",G571="2/8"),((база!$J$4*2*Таблица1[[#This Row],[Столбец1]]*Таблица1[[#This Row],[коэф]])))))))))))))),
(IF((G571="5/24"),((база!$M$6*2*Таблица1[[#This Row],[Столбец1]]*Таблица1[[#This Row],[коэф]])),
IF(OR(G571="4/24",G571="3/24"),((база!$M$5*2*Таблица1[[#This Row],[Столбец1]]*Таблица1[[#This Row],[коэф]])),
IF((G571="5/16"),((база!$L$6*2*Таблица1[[#This Row],[Столбец1]]*Таблица1[[#This Row],[коэф]])),
IF(OR(G571="4/16",G571="3/16"),((база!$L$5*2*Таблица1[[#This Row],[Столбец1]]*Таблица1[[#This Row],[коэф]])),
IF(OR(G571="2/4",G571="3/4",G571="4/4"),((база!$I$5*2*Таблица1[[#This Row],[Столбец1]]*Таблица1[[#This Row],[коэф]])),
IF((G571="5/8"),((база!$J$6*2*Таблица1[[#This Row],[Столбец1]]*Таблица1[[#This Row],[коэф]])),
IF(OR(G571="4/8",G571="3/8",G571="2/8"),((база!$J$5*2*Таблица1[[#This Row],[Столбец1]]*Таблица1[[#This Row],[коэф]])))))))))))</f>
        <v>0</v>
      </c>
      <c r="AQ571" s="712" t="str">
        <f>IFERROR(INDEX(база!T:T, MATCH(F571,база!Q:Q,0)),"")</f>
        <v/>
      </c>
      <c r="AR571" s="208" t="str">
        <f>IFERROR(INDEX(база!D:D, MATCH(F571,база!B:B,0)),"")</f>
        <v/>
      </c>
      <c r="AS571" s="758" t="str">
        <f>IFERROR(INDEX(база!E:E, MATCH(F571,база!B:B,0)),"")</f>
        <v/>
      </c>
    </row>
    <row r="572" spans="1:45" s="46" customFormat="1" ht="15">
      <c r="A572" s="66" t="str">
        <f t="shared" si="10"/>
        <v>январь</v>
      </c>
      <c r="B572" s="231">
        <v>2024</v>
      </c>
      <c r="C572" s="299"/>
      <c r="D572" s="61"/>
      <c r="E572" s="211"/>
      <c r="F572" s="680"/>
      <c r="G572" s="47"/>
      <c r="H572" s="563"/>
      <c r="I572" s="563"/>
      <c r="J572" s="563"/>
      <c r="K572" s="563"/>
      <c r="L572" s="563"/>
      <c r="M572" s="563"/>
      <c r="N572" s="563"/>
      <c r="O572" s="563"/>
      <c r="P572" s="300"/>
      <c r="Q572" s="563"/>
      <c r="R572" s="563"/>
      <c r="S572" s="563"/>
      <c r="T572" s="563"/>
      <c r="U572" s="563"/>
      <c r="V572" s="563"/>
      <c r="W572" s="563"/>
      <c r="X572" s="563"/>
      <c r="Y572" s="563"/>
      <c r="Z572" s="563"/>
      <c r="AA572" s="563"/>
      <c r="AB572" s="563"/>
      <c r="AC572" s="563"/>
      <c r="AD572" s="48"/>
      <c r="AE572" s="48"/>
      <c r="AF572" s="258"/>
      <c r="AG572" s="48"/>
      <c r="AH572" s="48"/>
      <c r="AI572" s="48"/>
      <c r="AJ572" s="48"/>
      <c r="AK572" s="48"/>
      <c r="AL572" s="51"/>
      <c r="AM572" s="212">
        <f>IF(AQ572=1,SUM(Q572:T572,W572:Z572,AC572:AF572,AI572:AL572),
IF(AQ572=2,SUM(P572,S572:V572,Y572:AB572,AE572:AH572,AK572:AL572),
IF(AQ572=3,SUM(P572:R572,U572:X572,AA572:AD572,AG572:AJ572),SUM(Таблица1[[#This Row],[1]:[31]])-Таблица1[[#This Row],[Столбец1]])))</f>
        <v>0</v>
      </c>
      <c r="AN572" s="778">
        <f t="array" ref="AN572">IF(AQ572=1,SUM(P572,U572:V572,AA572:AB572,AG572:AH572),
IF(AQ572=2,SUM(Q572:R572,W572:X572,AC572:AD572,AI572:AJ572),
IF(AQ572=3,SUM(S572:T572,Y572:Z572,AE572:AF572,AK572:AL572),
SUM(IFERROR(WEEKDAY($H$2:$AL$2,2)&gt;5,)*H572:AL572))))+Таблица1[[#This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72" s="292" t="b">
        <f>IF(AR572&lt;=3,(IF((G572="5/24"),((база!$M$6*Таблица1[[#This Row],[сумма]]*Таблица1[[#This Row],[коэф]])),
IF((G572="4/24"),((база!$M$5*Таблица1[[#This Row],[сумма]]*Таблица1[[#This Row],[коэф]])),
IF((G572="3/24"),((база!$M$4*Таблица1[[#This Row],[сумма]]*Таблица1[[#This Row],[коэф]])),
IF((G572="5/16"),((база!$L$6*Таблица1[[#This Row],[сумма]]*Таблица1[[#This Row],[коэф]])),
IF((G572="4/16"),((база!$L$5*Таблица1[[#This Row],[сумма]]*Таблица1[[#This Row],[коэф]])),
IF((G572="3/16"),((база!$L$4*Таблица1[[#This Row],[сумма]]*Таблица1[[#This Row],[коэф]])),
IF((G572="4/4"),((база!$I$5*Таблица1[[#This Row],[сумма]]*Таблица1[[#This Row],[коэф]])),
IF(OR(G572="2/4",G572="3/4"),((база!$I$4*Таблица1[[#This Row],[сумма]]*Таблица1[[#This Row],[коэф]])),
IF((G572="5/8"),((база!$J$6*Таблица1[[#This Row],[сумма]]*Таблица1[[#This Row],[коэф]])),
IF((G572="4/8"),((база!$J$5*Таблица1[[#This Row],[сумма]]*Таблица1[[#This Row],[коэф]])),
IF(OR(G572="3/8",G572="2/8"),((база!$J$4*Таблица1[[#This Row],[сумма]]*Таблица1[[#This Row],[коэф]])))))))))))))),
(IF((G572="5/24"),((база!$M$6*Таблица1[[#This Row],[сумма]]*Таблица1[[#This Row],[коэф]])),
IF(OR(G572="4/24",G572="3/24"),((база!$M$5*Таблица1[[#This Row],[сумма]]*Таблица1[[#This Row],[коэф]])),
IF((G572="5/16"),((база!$L$6*Таблица1[[#This Row],[сумма]]*Таблица1[[#This Row],[коэф]])),
IF(OR(G572="4/16",G572="3/16"),((база!$L$5*Таблица1[[#This Row],[сумма]]*Таблица1[[#This Row],[коэф]])),
IF(OR(G572="2/4",G572="3/4",G572="4/4"),((база!$I$5*Таблица1[[#This Row],[сумма]]*Таблица1[[#This Row],[коэф]])),
IF((G572="5/8"),((база!$J$6*Таблица1[[#This Row],[сумма]]*Таблица1[[#This Row],[коэф]])),
IF(OR(G572="4/8",G572="3/8",G572="2/8"),((база!$J$5*Таблица1[[#This Row],[сумма]]*Таблица1[[#This Row],[коэф]])))))))))))</f>
        <v>0</v>
      </c>
      <c r="AP572" s="730" t="b">
        <f>IF(AR572&lt;=3,(IF((G572="5/24"),((база!$M$6*2*Таблица1[[#This Row],[Столбец1]]*Таблица1[[#This Row],[коэф]])),
IF((G572="4/24"),((база!$M$5*2*Таблица1[[#This Row],[Столбец1]]*Таблица1[[#This Row],[коэф]])),
IF((G572="3/24"),((база!$M$4*2*Таблица1[[#This Row],[Столбец1]]*Таблица1[[#This Row],[коэф]])),
IF((G572="5/16"),((база!$L$6*2*Таблица1[[#This Row],[Столбец1]]*Таблица1[[#This Row],[коэф]])),
IF((G572="4/16"),((база!$L$5*2*Таблица1[[#This Row],[Столбец1]]*Таблица1[[#This Row],[коэф]])),
IF((G572="3/16"),((база!$L$4*2*Таблица1[[#This Row],[Столбец1]]*Таблица1[[#This Row],[коэф]])),
IF((G572="4/4"),((база!$I$5*2*Таблица1[[#This Row],[Столбец1]]*Таблица1[[#This Row],[коэф]])),
IF(OR(G572="2/4",G572="3/4"),((база!$I$4*2*Таблица1[[#This Row],[Столбец1]]*Таблица1[[#This Row],[коэф]])),
IF((G572="5/8"),((база!$J$6*2*Таблица1[[#This Row],[Столбец1]]*Таблица1[[#This Row],[коэф]])),
IF((G572="4/8"),((база!$J$5*2*Таблица1[[#This Row],[Столбец1]]*Таблица1[[#This Row],[коэф]])),
IF(OR(G572="3/8",G572="2/8"),((база!$J$4*2*Таблица1[[#This Row],[Столбец1]]*Таблица1[[#This Row],[коэф]])))))))))))))),
(IF((G572="5/24"),((база!$M$6*2*Таблица1[[#This Row],[Столбец1]]*Таблица1[[#This Row],[коэф]])),
IF(OR(G572="4/24",G572="3/24"),((база!$M$5*2*Таблица1[[#This Row],[Столбец1]]*Таблица1[[#This Row],[коэф]])),
IF((G572="5/16"),((база!$L$6*2*Таблица1[[#This Row],[Столбец1]]*Таблица1[[#This Row],[коэф]])),
IF(OR(G572="4/16",G572="3/16"),((база!$L$5*2*Таблица1[[#This Row],[Столбец1]]*Таблица1[[#This Row],[коэф]])),
IF(OR(G572="2/4",G572="3/4",G572="4/4"),((база!$I$5*2*Таблица1[[#This Row],[Столбец1]]*Таблица1[[#This Row],[коэф]])),
IF((G572="5/8"),((база!$J$6*2*Таблица1[[#This Row],[Столбец1]]*Таблица1[[#This Row],[коэф]])),
IF(OR(G572="4/8",G572="3/8",G572="2/8"),((база!$J$5*2*Таблица1[[#This Row],[Столбец1]]*Таблица1[[#This Row],[коэф]])))))))))))</f>
        <v>0</v>
      </c>
      <c r="AQ572" s="712" t="str">
        <f>IFERROR(INDEX(база!T:T, MATCH(F572,база!Q:Q,0)),"")</f>
        <v/>
      </c>
      <c r="AR572" s="208" t="str">
        <f>IFERROR(INDEX(база!D:D, MATCH(F572,база!B:B,0)),"")</f>
        <v/>
      </c>
      <c r="AS572" s="758" t="str">
        <f>IFERROR(INDEX(база!E:E, MATCH(F572,база!B:B,0)),"")</f>
        <v/>
      </c>
    </row>
    <row r="573" spans="1:45" s="46" customFormat="1" ht="15">
      <c r="A573" s="66" t="str">
        <f t="shared" si="10"/>
        <v>январь</v>
      </c>
      <c r="B573" s="231">
        <v>2024</v>
      </c>
      <c r="C573" s="60"/>
      <c r="D573" s="61"/>
      <c r="E573" s="211"/>
      <c r="F573" s="680"/>
      <c r="G573" s="47"/>
      <c r="H573" s="563"/>
      <c r="I573" s="563"/>
      <c r="J573" s="563"/>
      <c r="K573" s="563"/>
      <c r="L573" s="563"/>
      <c r="M573" s="563"/>
      <c r="N573" s="563"/>
      <c r="O573" s="563"/>
      <c r="P573" s="300"/>
      <c r="Q573" s="563"/>
      <c r="R573" s="563"/>
      <c r="S573" s="563"/>
      <c r="T573" s="563"/>
      <c r="U573" s="563"/>
      <c r="V573" s="563"/>
      <c r="W573" s="563"/>
      <c r="X573" s="563"/>
      <c r="Y573" s="563"/>
      <c r="Z573" s="563"/>
      <c r="AA573" s="563"/>
      <c r="AB573" s="563"/>
      <c r="AC573" s="563"/>
      <c r="AD573" s="48"/>
      <c r="AE573" s="48"/>
      <c r="AF573" s="258"/>
      <c r="AG573" s="48"/>
      <c r="AH573" s="48"/>
      <c r="AI573" s="258"/>
      <c r="AJ573" s="258"/>
      <c r="AK573" s="258"/>
      <c r="AL573" s="258"/>
      <c r="AM573" s="212">
        <f>IF(AQ573=1,SUM(Q573:T573,W573:Z573,AC573:AF573,AI573:AL573),
IF(AQ573=2,SUM(P573,S573:V573,Y573:AB573,AE573:AH573,AK573:AL573),
IF(AQ573=3,SUM(P573:R573,U573:X573,AA573:AD573,AG573:AJ573),SUM(Таблица1[[#This Row],[1]:[31]])-Таблица1[[#This Row],[Столбец1]])))</f>
        <v>0</v>
      </c>
      <c r="AN573" s="778">
        <f t="array" ref="AN573">IF(AQ573=1,SUM(P573,U573:V573,AA573:AB573,AG573:AH573),
IF(AQ573=2,SUM(Q573:R573,W573:X573,AC573:AD573,AI573:AJ573),
IF(AQ573=3,SUM(S573:T573,Y573:Z573,AE573:AF573,AK573:AL573),
SUM(IFERROR(WEEKDAY($H$2:$AL$2,2)&gt;5,)*H573:AL573))))+Таблица1[[#This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73" s="292" t="b">
        <f>IF(AR573&lt;=3,(IF((G573="5/24"),((база!$M$6*Таблица1[[#This Row],[сумма]]*Таблица1[[#This Row],[коэф]])),
IF((G573="4/24"),((база!$M$5*Таблица1[[#This Row],[сумма]]*Таблица1[[#This Row],[коэф]])),
IF((G573="3/24"),((база!$M$4*Таблица1[[#This Row],[сумма]]*Таблица1[[#This Row],[коэф]])),
IF((G573="5/16"),((база!$L$6*Таблица1[[#This Row],[сумма]]*Таблица1[[#This Row],[коэф]])),
IF((G573="4/16"),((база!$L$5*Таблица1[[#This Row],[сумма]]*Таблица1[[#This Row],[коэф]])),
IF((G573="3/16"),((база!$L$4*Таблица1[[#This Row],[сумма]]*Таблица1[[#This Row],[коэф]])),
IF((G573="4/4"),((база!$I$5*Таблица1[[#This Row],[сумма]]*Таблица1[[#This Row],[коэф]])),
IF(OR(G573="2/4",G573="3/4"),((база!$I$4*Таблица1[[#This Row],[сумма]]*Таблица1[[#This Row],[коэф]])),
IF((G573="5/8"),((база!$J$6*Таблица1[[#This Row],[сумма]]*Таблица1[[#This Row],[коэф]])),
IF((G573="4/8"),((база!$J$5*Таблица1[[#This Row],[сумма]]*Таблица1[[#This Row],[коэф]])),
IF(OR(G573="3/8",G573="2/8"),((база!$J$4*Таблица1[[#This Row],[сумма]]*Таблица1[[#This Row],[коэф]])))))))))))))),
(IF((G573="5/24"),((база!$M$6*Таблица1[[#This Row],[сумма]]*Таблица1[[#This Row],[коэф]])),
IF(OR(G573="4/24",G573="3/24"),((база!$M$5*Таблица1[[#This Row],[сумма]]*Таблица1[[#This Row],[коэф]])),
IF((G573="5/16"),((база!$L$6*Таблица1[[#This Row],[сумма]]*Таблица1[[#This Row],[коэф]])),
IF(OR(G573="4/16",G573="3/16"),((база!$L$5*Таблица1[[#This Row],[сумма]]*Таблица1[[#This Row],[коэф]])),
IF(OR(G573="2/4",G573="3/4",G573="4/4"),((база!$I$5*Таблица1[[#This Row],[сумма]]*Таблица1[[#This Row],[коэф]])),
IF((G573="5/8"),((база!$J$6*Таблица1[[#This Row],[сумма]]*Таблица1[[#This Row],[коэф]])),
IF(OR(G573="4/8",G573="3/8",G573="2/8"),((база!$J$5*Таблица1[[#This Row],[сумма]]*Таблица1[[#This Row],[коэф]])))))))))))</f>
        <v>0</v>
      </c>
      <c r="AP573" s="730" t="b">
        <f>IF(AR573&lt;=3,(IF((G573="5/24"),((база!$M$6*2*Таблица1[[#This Row],[Столбец1]]*Таблица1[[#This Row],[коэф]])),
IF((G573="4/24"),((база!$M$5*2*Таблица1[[#This Row],[Столбец1]]*Таблица1[[#This Row],[коэф]])),
IF((G573="3/24"),((база!$M$4*2*Таблица1[[#This Row],[Столбец1]]*Таблица1[[#This Row],[коэф]])),
IF((G573="5/16"),((база!$L$6*2*Таблица1[[#This Row],[Столбец1]]*Таблица1[[#This Row],[коэф]])),
IF((G573="4/16"),((база!$L$5*2*Таблица1[[#This Row],[Столбец1]]*Таблица1[[#This Row],[коэф]])),
IF((G573="3/16"),((база!$L$4*2*Таблица1[[#This Row],[Столбец1]]*Таблица1[[#This Row],[коэф]])),
IF((G573="4/4"),((база!$I$5*2*Таблица1[[#This Row],[Столбец1]]*Таблица1[[#This Row],[коэф]])),
IF(OR(G573="2/4",G573="3/4"),((база!$I$4*2*Таблица1[[#This Row],[Столбец1]]*Таблица1[[#This Row],[коэф]])),
IF((G573="5/8"),((база!$J$6*2*Таблица1[[#This Row],[Столбец1]]*Таблица1[[#This Row],[коэф]])),
IF((G573="4/8"),((база!$J$5*2*Таблица1[[#This Row],[Столбец1]]*Таблица1[[#This Row],[коэф]])),
IF(OR(G573="3/8",G573="2/8"),((база!$J$4*2*Таблица1[[#This Row],[Столбец1]]*Таблица1[[#This Row],[коэф]])))))))))))))),
(IF((G573="5/24"),((база!$M$6*2*Таблица1[[#This Row],[Столбец1]]*Таблица1[[#This Row],[коэф]])),
IF(OR(G573="4/24",G573="3/24"),((база!$M$5*2*Таблица1[[#This Row],[Столбец1]]*Таблица1[[#This Row],[коэф]])),
IF((G573="5/16"),((база!$L$6*2*Таблица1[[#This Row],[Столбец1]]*Таблица1[[#This Row],[коэф]])),
IF(OR(G573="4/16",G573="3/16"),((база!$L$5*2*Таблица1[[#This Row],[Столбец1]]*Таблица1[[#This Row],[коэф]])),
IF(OR(G573="2/4",G573="3/4",G573="4/4"),((база!$I$5*2*Таблица1[[#This Row],[Столбец1]]*Таблица1[[#This Row],[коэф]])),
IF((G573="5/8"),((база!$J$6*2*Таблица1[[#This Row],[Столбец1]]*Таблица1[[#This Row],[коэф]])),
IF(OR(G573="4/8",G573="3/8",G573="2/8"),((база!$J$5*2*Таблица1[[#This Row],[Столбец1]]*Таблица1[[#This Row],[коэф]])))))))))))</f>
        <v>0</v>
      </c>
      <c r="AQ573" s="712" t="str">
        <f>IFERROR(INDEX(база!T:T, MATCH(F573,база!Q:Q,0)),"")</f>
        <v/>
      </c>
      <c r="AR573" s="208" t="str">
        <f>IFERROR(INDEX(база!D:D, MATCH(F573,база!B:B,0)),"")</f>
        <v/>
      </c>
      <c r="AS573" s="758" t="str">
        <f>IFERROR(INDEX(база!E:E, MATCH(F573,база!B:B,0)),"")</f>
        <v/>
      </c>
    </row>
    <row r="574" spans="1:45" s="46" customFormat="1" ht="15">
      <c r="A574" s="66" t="str">
        <f t="shared" si="10"/>
        <v>январь</v>
      </c>
      <c r="B574" s="231">
        <v>2024</v>
      </c>
      <c r="C574" s="299"/>
      <c r="D574" s="61"/>
      <c r="E574" s="211"/>
      <c r="F574" s="680"/>
      <c r="G574" s="47"/>
      <c r="H574" s="563"/>
      <c r="I574" s="563"/>
      <c r="J574" s="563"/>
      <c r="K574" s="563"/>
      <c r="L574" s="563"/>
      <c r="M574" s="563"/>
      <c r="N574" s="563"/>
      <c r="O574" s="563"/>
      <c r="P574" s="300"/>
      <c r="Q574" s="563"/>
      <c r="R574" s="563"/>
      <c r="S574" s="563"/>
      <c r="T574" s="563"/>
      <c r="U574" s="563"/>
      <c r="V574" s="563"/>
      <c r="W574" s="563"/>
      <c r="X574" s="563"/>
      <c r="Y574" s="563"/>
      <c r="Z574" s="563"/>
      <c r="AA574" s="563"/>
      <c r="AB574" s="563"/>
      <c r="AC574" s="563"/>
      <c r="AD574" s="48"/>
      <c r="AE574" s="48"/>
      <c r="AF574" s="258"/>
      <c r="AG574" s="48"/>
      <c r="AH574" s="48"/>
      <c r="AI574" s="48"/>
      <c r="AJ574" s="48"/>
      <c r="AK574" s="48"/>
      <c r="AL574" s="51"/>
      <c r="AM574" s="212">
        <f>IF(AQ574=1,SUM(Q574:T574,W574:Z574,AC574:AF574,AI574:AL574),
IF(AQ574=2,SUM(P574,S574:V574,Y574:AB574,AE574:AH574,AK574:AL574),
IF(AQ574=3,SUM(P574:R574,U574:X574,AA574:AD574,AG574:AJ574),SUM(Таблица1[[#This Row],[1]:[31]])-Таблица1[[#This Row],[Столбец1]])))</f>
        <v>0</v>
      </c>
      <c r="AN574" s="778">
        <f t="array" ref="AN574">IF(AQ574=1,SUM(P574,U574:V574,AA574:AB574,AG574:AH574),
IF(AQ574=2,SUM(Q574:R574,W574:X574,AC574:AD574,AI574:AJ574),
IF(AQ574=3,SUM(S574:T574,Y574:Z574,AE574:AF574,AK574:AL574),
SUM(IFERROR(WEEKDAY($H$2:$AL$2,2)&gt;5,)*H574:AL574))))+Таблица1[[#This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74" s="292" t="b">
        <f>IF(AR574&lt;=3,(IF((G574="5/24"),((база!$M$6*Таблица1[[#This Row],[сумма]]*Таблица1[[#This Row],[коэф]])),
IF((G574="4/24"),((база!$M$5*Таблица1[[#This Row],[сумма]]*Таблица1[[#This Row],[коэф]])),
IF((G574="3/24"),((база!$M$4*Таблица1[[#This Row],[сумма]]*Таблица1[[#This Row],[коэф]])),
IF((G574="5/16"),((база!$L$6*Таблица1[[#This Row],[сумма]]*Таблица1[[#This Row],[коэф]])),
IF((G574="4/16"),((база!$L$5*Таблица1[[#This Row],[сумма]]*Таблица1[[#This Row],[коэф]])),
IF((G574="3/16"),((база!$L$4*Таблица1[[#This Row],[сумма]]*Таблица1[[#This Row],[коэф]])),
IF((G574="4/4"),((база!$I$5*Таблица1[[#This Row],[сумма]]*Таблица1[[#This Row],[коэф]])),
IF(OR(G574="2/4",G574="3/4"),((база!$I$4*Таблица1[[#This Row],[сумма]]*Таблица1[[#This Row],[коэф]])),
IF((G574="5/8"),((база!$J$6*Таблица1[[#This Row],[сумма]]*Таблица1[[#This Row],[коэф]])),
IF((G574="4/8"),((база!$J$5*Таблица1[[#This Row],[сумма]]*Таблица1[[#This Row],[коэф]])),
IF(OR(G574="3/8",G574="2/8"),((база!$J$4*Таблица1[[#This Row],[сумма]]*Таблица1[[#This Row],[коэф]])))))))))))))),
(IF((G574="5/24"),((база!$M$6*Таблица1[[#This Row],[сумма]]*Таблица1[[#This Row],[коэф]])),
IF(OR(G574="4/24",G574="3/24"),((база!$M$5*Таблица1[[#This Row],[сумма]]*Таблица1[[#This Row],[коэф]])),
IF((G574="5/16"),((база!$L$6*Таблица1[[#This Row],[сумма]]*Таблица1[[#This Row],[коэф]])),
IF(OR(G574="4/16",G574="3/16"),((база!$L$5*Таблица1[[#This Row],[сумма]]*Таблица1[[#This Row],[коэф]])),
IF(OR(G574="2/4",G574="3/4",G574="4/4"),((база!$I$5*Таблица1[[#This Row],[сумма]]*Таблица1[[#This Row],[коэф]])),
IF((G574="5/8"),((база!$J$6*Таблица1[[#This Row],[сумма]]*Таблица1[[#This Row],[коэф]])),
IF(OR(G574="4/8",G574="3/8",G574="2/8"),((база!$J$5*Таблица1[[#This Row],[сумма]]*Таблица1[[#This Row],[коэф]])))))))))))</f>
        <v>0</v>
      </c>
      <c r="AP574" s="730" t="b">
        <f>IF(AR574&lt;=3,(IF((G574="5/24"),((база!$M$6*2*Таблица1[[#This Row],[Столбец1]]*Таблица1[[#This Row],[коэф]])),
IF((G574="4/24"),((база!$M$5*2*Таблица1[[#This Row],[Столбец1]]*Таблица1[[#This Row],[коэф]])),
IF((G574="3/24"),((база!$M$4*2*Таблица1[[#This Row],[Столбец1]]*Таблица1[[#This Row],[коэф]])),
IF((G574="5/16"),((база!$L$6*2*Таблица1[[#This Row],[Столбец1]]*Таблица1[[#This Row],[коэф]])),
IF((G574="4/16"),((база!$L$5*2*Таблица1[[#This Row],[Столбец1]]*Таблица1[[#This Row],[коэф]])),
IF((G574="3/16"),((база!$L$4*2*Таблица1[[#This Row],[Столбец1]]*Таблица1[[#This Row],[коэф]])),
IF((G574="4/4"),((база!$I$5*2*Таблица1[[#This Row],[Столбец1]]*Таблица1[[#This Row],[коэф]])),
IF(OR(G574="2/4",G574="3/4"),((база!$I$4*2*Таблица1[[#This Row],[Столбец1]]*Таблица1[[#This Row],[коэф]])),
IF((G574="5/8"),((база!$J$6*2*Таблица1[[#This Row],[Столбец1]]*Таблица1[[#This Row],[коэф]])),
IF((G574="4/8"),((база!$J$5*2*Таблица1[[#This Row],[Столбец1]]*Таблица1[[#This Row],[коэф]])),
IF(OR(G574="3/8",G574="2/8"),((база!$J$4*2*Таблица1[[#This Row],[Столбец1]]*Таблица1[[#This Row],[коэф]])))))))))))))),
(IF((G574="5/24"),((база!$M$6*2*Таблица1[[#This Row],[Столбец1]]*Таблица1[[#This Row],[коэф]])),
IF(OR(G574="4/24",G574="3/24"),((база!$M$5*2*Таблица1[[#This Row],[Столбец1]]*Таблица1[[#This Row],[коэф]])),
IF((G574="5/16"),((база!$L$6*2*Таблица1[[#This Row],[Столбец1]]*Таблица1[[#This Row],[коэф]])),
IF(OR(G574="4/16",G574="3/16"),((база!$L$5*2*Таблица1[[#This Row],[Столбец1]]*Таблица1[[#This Row],[коэф]])),
IF(OR(G574="2/4",G574="3/4",G574="4/4"),((база!$I$5*2*Таблица1[[#This Row],[Столбец1]]*Таблица1[[#This Row],[коэф]])),
IF((G574="5/8"),((база!$J$6*2*Таблица1[[#This Row],[Столбец1]]*Таблица1[[#This Row],[коэф]])),
IF(OR(G574="4/8",G574="3/8",G574="2/8"),((база!$J$5*2*Таблица1[[#This Row],[Столбец1]]*Таблица1[[#This Row],[коэф]])))))))))))</f>
        <v>0</v>
      </c>
      <c r="AQ574" s="712" t="str">
        <f>IFERROR(INDEX(база!T:T, MATCH(F574,база!Q:Q,0)),"")</f>
        <v/>
      </c>
      <c r="AR574" s="208" t="str">
        <f>IFERROR(INDEX(база!D:D, MATCH(F574,база!B:B,0)),"")</f>
        <v/>
      </c>
      <c r="AS574" s="758" t="str">
        <f>IFERROR(INDEX(база!E:E, MATCH(F574,база!B:B,0)),"")</f>
        <v/>
      </c>
    </row>
    <row r="575" spans="1:45" s="46" customFormat="1" ht="15">
      <c r="A575" s="66" t="str">
        <f t="shared" si="10"/>
        <v>январь</v>
      </c>
      <c r="B575" s="231">
        <v>2024</v>
      </c>
      <c r="C575" s="299"/>
      <c r="D575" s="61"/>
      <c r="E575" s="211"/>
      <c r="F575" s="680"/>
      <c r="G575" s="47"/>
      <c r="H575" s="563"/>
      <c r="I575" s="563"/>
      <c r="J575" s="563"/>
      <c r="K575" s="563"/>
      <c r="L575" s="563"/>
      <c r="M575" s="563"/>
      <c r="N575" s="563"/>
      <c r="O575" s="563"/>
      <c r="P575" s="300"/>
      <c r="Q575" s="563"/>
      <c r="R575" s="563"/>
      <c r="S575" s="563"/>
      <c r="T575" s="563"/>
      <c r="U575" s="563"/>
      <c r="V575" s="563"/>
      <c r="W575" s="563"/>
      <c r="X575" s="563"/>
      <c r="Y575" s="563"/>
      <c r="Z575" s="563"/>
      <c r="AA575" s="563"/>
      <c r="AB575" s="563"/>
      <c r="AC575" s="563"/>
      <c r="AD575" s="48"/>
      <c r="AE575" s="48"/>
      <c r="AF575" s="258"/>
      <c r="AG575" s="48"/>
      <c r="AH575" s="48"/>
      <c r="AI575" s="258"/>
      <c r="AJ575" s="258"/>
      <c r="AK575" s="258"/>
      <c r="AL575" s="258"/>
      <c r="AM575" s="212">
        <f>IF(AQ575=1,SUM(Q575:T575,W575:Z575,AC575:AF575,AI575:AL575),
IF(AQ575=2,SUM(P575,S575:V575,Y575:AB575,AE575:AH575,AK575:AL575),
IF(AQ575=3,SUM(P575:R575,U575:X575,AA575:AD575,AG575:AJ575),SUM(Таблица1[[#This Row],[1]:[31]])-Таблица1[[#This Row],[Столбец1]])))</f>
        <v>0</v>
      </c>
      <c r="AN575" s="778">
        <f t="array" ref="AN575">IF(AQ575=1,SUM(P575,U575:V575,AA575:AB575,AG575:AH575),
IF(AQ575=2,SUM(Q575:R575,W575:X575,AC575:AD575,AI575:AJ575),
IF(AQ575=3,SUM(S575:T575,Y575:Z575,AE575:AF575,AK575:AL575),
SUM(IFERROR(WEEKDAY($H$2:$AL$2,2)&gt;5,)*H575:AL575))))+Таблица1[[#This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75" s="292" t="b">
        <f>IF(AR575&lt;=3,(IF((G575="5/24"),((база!$M$6*Таблица1[[#This Row],[сумма]]*Таблица1[[#This Row],[коэф]])),
IF((G575="4/24"),((база!$M$5*Таблица1[[#This Row],[сумма]]*Таблица1[[#This Row],[коэф]])),
IF((G575="3/24"),((база!$M$4*Таблица1[[#This Row],[сумма]]*Таблица1[[#This Row],[коэф]])),
IF((G575="5/16"),((база!$L$6*Таблица1[[#This Row],[сумма]]*Таблица1[[#This Row],[коэф]])),
IF((G575="4/16"),((база!$L$5*Таблица1[[#This Row],[сумма]]*Таблица1[[#This Row],[коэф]])),
IF((G575="3/16"),((база!$L$4*Таблица1[[#This Row],[сумма]]*Таблица1[[#This Row],[коэф]])),
IF((G575="4/4"),((база!$I$5*Таблица1[[#This Row],[сумма]]*Таблица1[[#This Row],[коэф]])),
IF(OR(G575="2/4",G575="3/4"),((база!$I$4*Таблица1[[#This Row],[сумма]]*Таблица1[[#This Row],[коэф]])),
IF((G575="5/8"),((база!$J$6*Таблица1[[#This Row],[сумма]]*Таблица1[[#This Row],[коэф]])),
IF((G575="4/8"),((база!$J$5*Таблица1[[#This Row],[сумма]]*Таблица1[[#This Row],[коэф]])),
IF(OR(G575="3/8",G575="2/8"),((база!$J$4*Таблица1[[#This Row],[сумма]]*Таблица1[[#This Row],[коэф]])))))))))))))),
(IF((G575="5/24"),((база!$M$6*Таблица1[[#This Row],[сумма]]*Таблица1[[#This Row],[коэф]])),
IF(OR(G575="4/24",G575="3/24"),((база!$M$5*Таблица1[[#This Row],[сумма]]*Таблица1[[#This Row],[коэф]])),
IF((G575="5/16"),((база!$L$6*Таблица1[[#This Row],[сумма]]*Таблица1[[#This Row],[коэф]])),
IF(OR(G575="4/16",G575="3/16"),((база!$L$5*Таблица1[[#This Row],[сумма]]*Таблица1[[#This Row],[коэф]])),
IF(OR(G575="2/4",G575="3/4",G575="4/4"),((база!$I$5*Таблица1[[#This Row],[сумма]]*Таблица1[[#This Row],[коэф]])),
IF((G575="5/8"),((база!$J$6*Таблица1[[#This Row],[сумма]]*Таблица1[[#This Row],[коэф]])),
IF(OR(G575="4/8",G575="3/8",G575="2/8"),((база!$J$5*Таблица1[[#This Row],[сумма]]*Таблица1[[#This Row],[коэф]])))))))))))</f>
        <v>0</v>
      </c>
      <c r="AP575" s="730" t="b">
        <f>IF(AR575&lt;=3,(IF((G575="5/24"),((база!$M$6*2*Таблица1[[#This Row],[Столбец1]]*Таблица1[[#This Row],[коэф]])),
IF((G575="4/24"),((база!$M$5*2*Таблица1[[#This Row],[Столбец1]]*Таблица1[[#This Row],[коэф]])),
IF((G575="3/24"),((база!$M$4*2*Таблица1[[#This Row],[Столбец1]]*Таблица1[[#This Row],[коэф]])),
IF((G575="5/16"),((база!$L$6*2*Таблица1[[#This Row],[Столбец1]]*Таблица1[[#This Row],[коэф]])),
IF((G575="4/16"),((база!$L$5*2*Таблица1[[#This Row],[Столбец1]]*Таблица1[[#This Row],[коэф]])),
IF((G575="3/16"),((база!$L$4*2*Таблица1[[#This Row],[Столбец1]]*Таблица1[[#This Row],[коэф]])),
IF((G575="4/4"),((база!$I$5*2*Таблица1[[#This Row],[Столбец1]]*Таблица1[[#This Row],[коэф]])),
IF(OR(G575="2/4",G575="3/4"),((база!$I$4*2*Таблица1[[#This Row],[Столбец1]]*Таблица1[[#This Row],[коэф]])),
IF((G575="5/8"),((база!$J$6*2*Таблица1[[#This Row],[Столбец1]]*Таблица1[[#This Row],[коэф]])),
IF((G575="4/8"),((база!$J$5*2*Таблица1[[#This Row],[Столбец1]]*Таблица1[[#This Row],[коэф]])),
IF(OR(G575="3/8",G575="2/8"),((база!$J$4*2*Таблица1[[#This Row],[Столбец1]]*Таблица1[[#This Row],[коэф]])))))))))))))),
(IF((G575="5/24"),((база!$M$6*2*Таблица1[[#This Row],[Столбец1]]*Таблица1[[#This Row],[коэф]])),
IF(OR(G575="4/24",G575="3/24"),((база!$M$5*2*Таблица1[[#This Row],[Столбец1]]*Таблица1[[#This Row],[коэф]])),
IF((G575="5/16"),((база!$L$6*2*Таблица1[[#This Row],[Столбец1]]*Таблица1[[#This Row],[коэф]])),
IF(OR(G575="4/16",G575="3/16"),((база!$L$5*2*Таблица1[[#This Row],[Столбец1]]*Таблица1[[#This Row],[коэф]])),
IF(OR(G575="2/4",G575="3/4",G575="4/4"),((база!$I$5*2*Таблица1[[#This Row],[Столбец1]]*Таблица1[[#This Row],[коэф]])),
IF((G575="5/8"),((база!$J$6*2*Таблица1[[#This Row],[Столбец1]]*Таблица1[[#This Row],[коэф]])),
IF(OR(G575="4/8",G575="3/8",G575="2/8"),((база!$J$5*2*Таблица1[[#This Row],[Столбец1]]*Таблица1[[#This Row],[коэф]])))))))))))</f>
        <v>0</v>
      </c>
      <c r="AQ575" s="712" t="str">
        <f>IFERROR(INDEX(база!T:T, MATCH(F575,база!Q:Q,0)),"")</f>
        <v/>
      </c>
      <c r="AR575" s="208" t="str">
        <f>IFERROR(INDEX(база!D:D, MATCH(F575,база!B:B,0)),"")</f>
        <v/>
      </c>
      <c r="AS575" s="758" t="str">
        <f>IFERROR(INDEX(база!E:E, MATCH(F575,база!B:B,0)),"")</f>
        <v/>
      </c>
    </row>
    <row r="576" spans="1:45" s="46" customFormat="1" ht="15">
      <c r="A576" s="66" t="str">
        <f t="shared" si="10"/>
        <v>январь</v>
      </c>
      <c r="B576" s="231">
        <v>2024</v>
      </c>
      <c r="C576" s="299"/>
      <c r="D576" s="61"/>
      <c r="E576" s="211"/>
      <c r="F576" s="680"/>
      <c r="G576" s="47"/>
      <c r="H576" s="563"/>
      <c r="I576" s="563"/>
      <c r="J576" s="563"/>
      <c r="K576" s="563"/>
      <c r="L576" s="563"/>
      <c r="M576" s="563"/>
      <c r="N576" s="563"/>
      <c r="O576" s="563"/>
      <c r="P576" s="300"/>
      <c r="Q576" s="563"/>
      <c r="R576" s="563"/>
      <c r="S576" s="563"/>
      <c r="T576" s="563"/>
      <c r="U576" s="563"/>
      <c r="V576" s="563"/>
      <c r="W576" s="563"/>
      <c r="X576" s="563"/>
      <c r="Y576" s="563"/>
      <c r="Z576" s="563"/>
      <c r="AA576" s="563"/>
      <c r="AB576" s="563"/>
      <c r="AC576" s="563"/>
      <c r="AD576" s="48"/>
      <c r="AE576" s="48"/>
      <c r="AF576" s="258"/>
      <c r="AG576" s="48"/>
      <c r="AH576" s="48"/>
      <c r="AI576" s="48"/>
      <c r="AJ576" s="48"/>
      <c r="AK576" s="48"/>
      <c r="AL576" s="51"/>
      <c r="AM576" s="212">
        <f>IF(AQ576=1,SUM(Q576:T576,W576:Z576,AC576:AF576,AI576:AL576),
IF(AQ576=2,SUM(P576,S576:V576,Y576:AB576,AE576:AH576,AK576:AL576),
IF(AQ576=3,SUM(P576:R576,U576:X576,AA576:AD576,AG576:AJ576),SUM(Таблица1[[#This Row],[1]:[31]])-Таблица1[[#This Row],[Столбец1]])))</f>
        <v>0</v>
      </c>
      <c r="AN576" s="778">
        <f t="array" ref="AN576">IF(AQ576=1,SUM(P576,U576:V576,AA576:AB576,AG576:AH576),
IF(AQ576=2,SUM(Q576:R576,W576:X576,AC576:AD576,AI576:AJ576),
IF(AQ576=3,SUM(S576:T576,Y576:Z576,AE576:AF576,AK576:AL576),
SUM(IFERROR(WEEKDAY($H$2:$AL$2,2)&gt;5,)*H576:AL576))))+Таблица1[[#This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76" s="292" t="b">
        <f>IF(AR576&lt;=3,(IF((G576="5/24"),((база!$M$6*Таблица1[[#This Row],[сумма]]*Таблица1[[#This Row],[коэф]])),
IF((G576="4/24"),((база!$M$5*Таблица1[[#This Row],[сумма]]*Таблица1[[#This Row],[коэф]])),
IF((G576="3/24"),((база!$M$4*Таблица1[[#This Row],[сумма]]*Таблица1[[#This Row],[коэф]])),
IF((G576="5/16"),((база!$L$6*Таблица1[[#This Row],[сумма]]*Таблица1[[#This Row],[коэф]])),
IF((G576="4/16"),((база!$L$5*Таблица1[[#This Row],[сумма]]*Таблица1[[#This Row],[коэф]])),
IF((G576="3/16"),((база!$L$4*Таблица1[[#This Row],[сумма]]*Таблица1[[#This Row],[коэф]])),
IF((G576="4/4"),((база!$I$5*Таблица1[[#This Row],[сумма]]*Таблица1[[#This Row],[коэф]])),
IF(OR(G576="2/4",G576="3/4"),((база!$I$4*Таблица1[[#This Row],[сумма]]*Таблица1[[#This Row],[коэф]])),
IF((G576="5/8"),((база!$J$6*Таблица1[[#This Row],[сумма]]*Таблица1[[#This Row],[коэф]])),
IF((G576="4/8"),((база!$J$5*Таблица1[[#This Row],[сумма]]*Таблица1[[#This Row],[коэф]])),
IF(OR(G576="3/8",G576="2/8"),((база!$J$4*Таблица1[[#This Row],[сумма]]*Таблица1[[#This Row],[коэф]])))))))))))))),
(IF((G576="5/24"),((база!$M$6*Таблица1[[#This Row],[сумма]]*Таблица1[[#This Row],[коэф]])),
IF(OR(G576="4/24",G576="3/24"),((база!$M$5*Таблица1[[#This Row],[сумма]]*Таблица1[[#This Row],[коэф]])),
IF((G576="5/16"),((база!$L$6*Таблица1[[#This Row],[сумма]]*Таблица1[[#This Row],[коэф]])),
IF(OR(G576="4/16",G576="3/16"),((база!$L$5*Таблица1[[#This Row],[сумма]]*Таблица1[[#This Row],[коэф]])),
IF(OR(G576="2/4",G576="3/4",G576="4/4"),((база!$I$5*Таблица1[[#This Row],[сумма]]*Таблица1[[#This Row],[коэф]])),
IF((G576="5/8"),((база!$J$6*Таблица1[[#This Row],[сумма]]*Таблица1[[#This Row],[коэф]])),
IF(OR(G576="4/8",G576="3/8",G576="2/8"),((база!$J$5*Таблица1[[#This Row],[сумма]]*Таблица1[[#This Row],[коэф]])))))))))))</f>
        <v>0</v>
      </c>
      <c r="AP576" s="730" t="b">
        <f>IF(AR576&lt;=3,(IF((G576="5/24"),((база!$M$6*2*Таблица1[[#This Row],[Столбец1]]*Таблица1[[#This Row],[коэф]])),
IF((G576="4/24"),((база!$M$5*2*Таблица1[[#This Row],[Столбец1]]*Таблица1[[#This Row],[коэф]])),
IF((G576="3/24"),((база!$M$4*2*Таблица1[[#This Row],[Столбец1]]*Таблица1[[#This Row],[коэф]])),
IF((G576="5/16"),((база!$L$6*2*Таблица1[[#This Row],[Столбец1]]*Таблица1[[#This Row],[коэф]])),
IF((G576="4/16"),((база!$L$5*2*Таблица1[[#This Row],[Столбец1]]*Таблица1[[#This Row],[коэф]])),
IF((G576="3/16"),((база!$L$4*2*Таблица1[[#This Row],[Столбец1]]*Таблица1[[#This Row],[коэф]])),
IF((G576="4/4"),((база!$I$5*2*Таблица1[[#This Row],[Столбец1]]*Таблица1[[#This Row],[коэф]])),
IF(OR(G576="2/4",G576="3/4"),((база!$I$4*2*Таблица1[[#This Row],[Столбец1]]*Таблица1[[#This Row],[коэф]])),
IF((G576="5/8"),((база!$J$6*2*Таблица1[[#This Row],[Столбец1]]*Таблица1[[#This Row],[коэф]])),
IF((G576="4/8"),((база!$J$5*2*Таблица1[[#This Row],[Столбец1]]*Таблица1[[#This Row],[коэф]])),
IF(OR(G576="3/8",G576="2/8"),((база!$J$4*2*Таблица1[[#This Row],[Столбец1]]*Таблица1[[#This Row],[коэф]])))))))))))))),
(IF((G576="5/24"),((база!$M$6*2*Таблица1[[#This Row],[Столбец1]]*Таблица1[[#This Row],[коэф]])),
IF(OR(G576="4/24",G576="3/24"),((база!$M$5*2*Таблица1[[#This Row],[Столбец1]]*Таблица1[[#This Row],[коэф]])),
IF((G576="5/16"),((база!$L$6*2*Таблица1[[#This Row],[Столбец1]]*Таблица1[[#This Row],[коэф]])),
IF(OR(G576="4/16",G576="3/16"),((база!$L$5*2*Таблица1[[#This Row],[Столбец1]]*Таблица1[[#This Row],[коэф]])),
IF(OR(G576="2/4",G576="3/4",G576="4/4"),((база!$I$5*2*Таблица1[[#This Row],[Столбец1]]*Таблица1[[#This Row],[коэф]])),
IF((G576="5/8"),((база!$J$6*2*Таблица1[[#This Row],[Столбец1]]*Таблица1[[#This Row],[коэф]])),
IF(OR(G576="4/8",G576="3/8",G576="2/8"),((база!$J$5*2*Таблица1[[#This Row],[Столбец1]]*Таблица1[[#This Row],[коэф]])))))))))))</f>
        <v>0</v>
      </c>
      <c r="AQ576" s="712" t="str">
        <f>IFERROR(INDEX(база!T:T, MATCH(F576,база!Q:Q,0)),"")</f>
        <v/>
      </c>
      <c r="AR576" s="208" t="str">
        <f>IFERROR(INDEX(база!D:D, MATCH(F576,база!B:B,0)),"")</f>
        <v/>
      </c>
      <c r="AS576" s="758" t="str">
        <f>IFERROR(INDEX(база!E:E, MATCH(F576,база!B:B,0)),"")</f>
        <v/>
      </c>
    </row>
    <row r="577" spans="1:47" s="46" customFormat="1" ht="15">
      <c r="A577" s="66" t="str">
        <f t="shared" si="10"/>
        <v>январь</v>
      </c>
      <c r="B577" s="231">
        <v>2024</v>
      </c>
      <c r="C577" s="299"/>
      <c r="D577" s="61"/>
      <c r="E577" s="211"/>
      <c r="F577" s="680"/>
      <c r="G577" s="47"/>
      <c r="H577" s="563"/>
      <c r="I577" s="563"/>
      <c r="J577" s="563"/>
      <c r="K577" s="563"/>
      <c r="L577" s="563"/>
      <c r="M577" s="563"/>
      <c r="N577" s="563"/>
      <c r="O577" s="563"/>
      <c r="P577" s="300"/>
      <c r="Q577" s="563"/>
      <c r="R577" s="563"/>
      <c r="S577" s="563"/>
      <c r="T577" s="563"/>
      <c r="U577" s="563"/>
      <c r="V577" s="563"/>
      <c r="W577" s="563"/>
      <c r="X577" s="563"/>
      <c r="Y577" s="563"/>
      <c r="Z577" s="563"/>
      <c r="AA577" s="563"/>
      <c r="AB577" s="563"/>
      <c r="AC577" s="563"/>
      <c r="AD577" s="48"/>
      <c r="AE577" s="48"/>
      <c r="AF577" s="258"/>
      <c r="AG577" s="48"/>
      <c r="AH577" s="48"/>
      <c r="AI577" s="258"/>
      <c r="AJ577" s="258"/>
      <c r="AK577" s="258"/>
      <c r="AL577" s="258"/>
      <c r="AM577" s="212">
        <f>IF(AQ577=1,SUM(Q577:T577,W577:Z577,AC577:AF577,AI577:AL577),
IF(AQ577=2,SUM(P577,S577:V577,Y577:AB577,AE577:AH577,AK577:AL577),
IF(AQ577=3,SUM(P577:R577,U577:X577,AA577:AD577,AG577:AJ577),SUM(Таблица1[[#This Row],[1]:[31]])-Таблица1[[#This Row],[Столбец1]])))</f>
        <v>0</v>
      </c>
      <c r="AN577" s="778">
        <f t="array" ref="AN577">IF(AQ577=1,SUM(P577,U577:V577,AA577:AB577,AG577:AH577),
IF(AQ577=2,SUM(Q577:R577,W577:X577,AC577:AD577,AI577:AJ577),
IF(AQ577=3,SUM(S577:T577,Y577:Z577,AE577:AF577,AK577:AL577),
SUM(IFERROR(WEEKDAY($H$2:$AL$2,2)&gt;5,)*H577:AL577))))+Таблица1[[#This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77" s="292" t="b">
        <f>IF(AR577&lt;=3,(IF((G577="5/24"),((база!$M$6*Таблица1[[#This Row],[сумма]]*Таблица1[[#This Row],[коэф]])),
IF((G577="4/24"),((база!$M$5*Таблица1[[#This Row],[сумма]]*Таблица1[[#This Row],[коэф]])),
IF((G577="3/24"),((база!$M$4*Таблица1[[#This Row],[сумма]]*Таблица1[[#This Row],[коэф]])),
IF((G577="5/16"),((база!$L$6*Таблица1[[#This Row],[сумма]]*Таблица1[[#This Row],[коэф]])),
IF((G577="4/16"),((база!$L$5*Таблица1[[#This Row],[сумма]]*Таблица1[[#This Row],[коэф]])),
IF((G577="3/16"),((база!$L$4*Таблица1[[#This Row],[сумма]]*Таблица1[[#This Row],[коэф]])),
IF((G577="4/4"),((база!$I$5*Таблица1[[#This Row],[сумма]]*Таблица1[[#This Row],[коэф]])),
IF(OR(G577="2/4",G577="3/4"),((база!$I$4*Таблица1[[#This Row],[сумма]]*Таблица1[[#This Row],[коэф]])),
IF((G577="5/8"),((база!$J$6*Таблица1[[#This Row],[сумма]]*Таблица1[[#This Row],[коэф]])),
IF((G577="4/8"),((база!$J$5*Таблица1[[#This Row],[сумма]]*Таблица1[[#This Row],[коэф]])),
IF(OR(G577="3/8",G577="2/8"),((база!$J$4*Таблица1[[#This Row],[сумма]]*Таблица1[[#This Row],[коэф]])))))))))))))),
(IF((G577="5/24"),((база!$M$6*Таблица1[[#This Row],[сумма]]*Таблица1[[#This Row],[коэф]])),
IF(OR(G577="4/24",G577="3/24"),((база!$M$5*Таблица1[[#This Row],[сумма]]*Таблица1[[#This Row],[коэф]])),
IF((G577="5/16"),((база!$L$6*Таблица1[[#This Row],[сумма]]*Таблица1[[#This Row],[коэф]])),
IF(OR(G577="4/16",G577="3/16"),((база!$L$5*Таблица1[[#This Row],[сумма]]*Таблица1[[#This Row],[коэф]])),
IF(OR(G577="2/4",G577="3/4",G577="4/4"),((база!$I$5*Таблица1[[#This Row],[сумма]]*Таблица1[[#This Row],[коэф]])),
IF((G577="5/8"),((база!$J$6*Таблица1[[#This Row],[сумма]]*Таблица1[[#This Row],[коэф]])),
IF(OR(G577="4/8",G577="3/8",G577="2/8"),((база!$J$5*Таблица1[[#This Row],[сумма]]*Таблица1[[#This Row],[коэф]])))))))))))</f>
        <v>0</v>
      </c>
      <c r="AP577" s="730" t="b">
        <f>IF(AR577&lt;=3,(IF((G577="5/24"),((база!$M$6*2*Таблица1[[#This Row],[Столбец1]]*Таблица1[[#This Row],[коэф]])),
IF((G577="4/24"),((база!$M$5*2*Таблица1[[#This Row],[Столбец1]]*Таблица1[[#This Row],[коэф]])),
IF((G577="3/24"),((база!$M$4*2*Таблица1[[#This Row],[Столбец1]]*Таблица1[[#This Row],[коэф]])),
IF((G577="5/16"),((база!$L$6*2*Таблица1[[#This Row],[Столбец1]]*Таблица1[[#This Row],[коэф]])),
IF((G577="4/16"),((база!$L$5*2*Таблица1[[#This Row],[Столбец1]]*Таблица1[[#This Row],[коэф]])),
IF((G577="3/16"),((база!$L$4*2*Таблица1[[#This Row],[Столбец1]]*Таблица1[[#This Row],[коэф]])),
IF((G577="4/4"),((база!$I$5*2*Таблица1[[#This Row],[Столбец1]]*Таблица1[[#This Row],[коэф]])),
IF(OR(G577="2/4",G577="3/4"),((база!$I$4*2*Таблица1[[#This Row],[Столбец1]]*Таблица1[[#This Row],[коэф]])),
IF((G577="5/8"),((база!$J$6*2*Таблица1[[#This Row],[Столбец1]]*Таблица1[[#This Row],[коэф]])),
IF((G577="4/8"),((база!$J$5*2*Таблица1[[#This Row],[Столбец1]]*Таблица1[[#This Row],[коэф]])),
IF(OR(G577="3/8",G577="2/8"),((база!$J$4*2*Таблица1[[#This Row],[Столбец1]]*Таблица1[[#This Row],[коэф]])))))))))))))),
(IF((G577="5/24"),((база!$M$6*2*Таблица1[[#This Row],[Столбец1]]*Таблица1[[#This Row],[коэф]])),
IF(OR(G577="4/24",G577="3/24"),((база!$M$5*2*Таблица1[[#This Row],[Столбец1]]*Таблица1[[#This Row],[коэф]])),
IF((G577="5/16"),((база!$L$6*2*Таблица1[[#This Row],[Столбец1]]*Таблица1[[#This Row],[коэф]])),
IF(OR(G577="4/16",G577="3/16"),((база!$L$5*2*Таблица1[[#This Row],[Столбец1]]*Таблица1[[#This Row],[коэф]])),
IF(OR(G577="2/4",G577="3/4",G577="4/4"),((база!$I$5*2*Таблица1[[#This Row],[Столбец1]]*Таблица1[[#This Row],[коэф]])),
IF((G577="5/8"),((база!$J$6*2*Таблица1[[#This Row],[Столбец1]]*Таблица1[[#This Row],[коэф]])),
IF(OR(G577="4/8",G577="3/8",G577="2/8"),((база!$J$5*2*Таблица1[[#This Row],[Столбец1]]*Таблица1[[#This Row],[коэф]])))))))))))</f>
        <v>0</v>
      </c>
      <c r="AQ577" s="712" t="str">
        <f>IFERROR(INDEX(база!T:T, MATCH(F577,база!Q:Q,0)),"")</f>
        <v/>
      </c>
      <c r="AR577" s="208" t="str">
        <f>IFERROR(INDEX(база!D:D, MATCH(F577,база!B:B,0)),"")</f>
        <v/>
      </c>
      <c r="AS577" s="758" t="str">
        <f>IFERROR(INDEX(база!E:E, MATCH(F577,база!B:B,0)),"")</f>
        <v/>
      </c>
    </row>
    <row r="578" spans="1:47" s="46" customFormat="1" ht="15">
      <c r="A578" s="66" t="str">
        <f t="shared" si="10"/>
        <v>январь</v>
      </c>
      <c r="B578" s="231">
        <v>2024</v>
      </c>
      <c r="C578" s="299"/>
      <c r="D578" s="61"/>
      <c r="E578" s="211"/>
      <c r="F578" s="680"/>
      <c r="G578" s="47"/>
      <c r="H578" s="563"/>
      <c r="I578" s="563"/>
      <c r="J578" s="563"/>
      <c r="K578" s="563"/>
      <c r="L578" s="563"/>
      <c r="M578" s="563"/>
      <c r="N578" s="563"/>
      <c r="O578" s="563"/>
      <c r="P578" s="300"/>
      <c r="Q578" s="563"/>
      <c r="R578" s="563"/>
      <c r="S578" s="563"/>
      <c r="T578" s="563"/>
      <c r="U578" s="563"/>
      <c r="V578" s="563"/>
      <c r="W578" s="563"/>
      <c r="X578" s="563"/>
      <c r="Y578" s="563"/>
      <c r="Z578" s="563"/>
      <c r="AA578" s="563"/>
      <c r="AB578" s="563"/>
      <c r="AC578" s="563"/>
      <c r="AD578" s="48"/>
      <c r="AE578" s="48"/>
      <c r="AF578" s="258"/>
      <c r="AG578" s="48"/>
      <c r="AH578" s="48"/>
      <c r="AI578" s="48"/>
      <c r="AJ578" s="48"/>
      <c r="AK578" s="48"/>
      <c r="AL578" s="51"/>
      <c r="AM578" s="212">
        <f>IF(AQ578=1,SUM(Q578:T578,W578:Z578,AC578:AF578,AI578:AL578),
IF(AQ578=2,SUM(P578,S578:V578,Y578:AB578,AE578:AH578,AK578:AL578),
IF(AQ578=3,SUM(P578:R578,U578:X578,AA578:AD578,AG578:AJ578),SUM(Таблица1[[#This Row],[1]:[31]])-Таблица1[[#This Row],[Столбец1]])))</f>
        <v>0</v>
      </c>
      <c r="AN578" s="778">
        <f t="array" ref="AN578">IF(AQ578=1,SUM(P578,U578:V578,AA578:AB578,AG578:AH578),
IF(AQ578=2,SUM(Q578:R578,W578:X578,AC578:AD578,AI578:AJ578),
IF(AQ578=3,SUM(S578:T578,Y578:Z578,AE578:AF578,AK578:AL578),
SUM(IFERROR(WEEKDAY($H$2:$AL$2,2)&gt;5,)*H578:AL578))))+Таблица1[[#This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78" s="292" t="b">
        <f>IF(AR578&lt;=3,(IF((G578="5/24"),((база!$M$6*Таблица1[[#This Row],[сумма]]*Таблица1[[#This Row],[коэф]])),
IF((G578="4/24"),((база!$M$5*Таблица1[[#This Row],[сумма]]*Таблица1[[#This Row],[коэф]])),
IF((G578="3/24"),((база!$M$4*Таблица1[[#This Row],[сумма]]*Таблица1[[#This Row],[коэф]])),
IF((G578="5/16"),((база!$L$6*Таблица1[[#This Row],[сумма]]*Таблица1[[#This Row],[коэф]])),
IF((G578="4/16"),((база!$L$5*Таблица1[[#This Row],[сумма]]*Таблица1[[#This Row],[коэф]])),
IF((G578="3/16"),((база!$L$4*Таблица1[[#This Row],[сумма]]*Таблица1[[#This Row],[коэф]])),
IF((G578="4/4"),((база!$I$5*Таблица1[[#This Row],[сумма]]*Таблица1[[#This Row],[коэф]])),
IF(OR(G578="2/4",G578="3/4"),((база!$I$4*Таблица1[[#This Row],[сумма]]*Таблица1[[#This Row],[коэф]])),
IF((G578="5/8"),((база!$J$6*Таблица1[[#This Row],[сумма]]*Таблица1[[#This Row],[коэф]])),
IF((G578="4/8"),((база!$J$5*Таблица1[[#This Row],[сумма]]*Таблица1[[#This Row],[коэф]])),
IF(OR(G578="3/8",G578="2/8"),((база!$J$4*Таблица1[[#This Row],[сумма]]*Таблица1[[#This Row],[коэф]])))))))))))))),
(IF((G578="5/24"),((база!$M$6*Таблица1[[#This Row],[сумма]]*Таблица1[[#This Row],[коэф]])),
IF(OR(G578="4/24",G578="3/24"),((база!$M$5*Таблица1[[#This Row],[сумма]]*Таблица1[[#This Row],[коэф]])),
IF((G578="5/16"),((база!$L$6*Таблица1[[#This Row],[сумма]]*Таблица1[[#This Row],[коэф]])),
IF(OR(G578="4/16",G578="3/16"),((база!$L$5*Таблица1[[#This Row],[сумма]]*Таблица1[[#This Row],[коэф]])),
IF(OR(G578="2/4",G578="3/4",G578="4/4"),((база!$I$5*Таблица1[[#This Row],[сумма]]*Таблица1[[#This Row],[коэф]])),
IF((G578="5/8"),((база!$J$6*Таблица1[[#This Row],[сумма]]*Таблица1[[#This Row],[коэф]])),
IF(OR(G578="4/8",G578="3/8",G578="2/8"),((база!$J$5*Таблица1[[#This Row],[сумма]]*Таблица1[[#This Row],[коэф]])))))))))))</f>
        <v>0</v>
      </c>
      <c r="AP578" s="730" t="b">
        <f>IF(AR578&lt;=3,(IF((G578="5/24"),((база!$M$6*2*Таблица1[[#This Row],[Столбец1]]*Таблица1[[#This Row],[коэф]])),
IF((G578="4/24"),((база!$M$5*2*Таблица1[[#This Row],[Столбец1]]*Таблица1[[#This Row],[коэф]])),
IF((G578="3/24"),((база!$M$4*2*Таблица1[[#This Row],[Столбец1]]*Таблица1[[#This Row],[коэф]])),
IF((G578="5/16"),((база!$L$6*2*Таблица1[[#This Row],[Столбец1]]*Таблица1[[#This Row],[коэф]])),
IF((G578="4/16"),((база!$L$5*2*Таблица1[[#This Row],[Столбец1]]*Таблица1[[#This Row],[коэф]])),
IF((G578="3/16"),((база!$L$4*2*Таблица1[[#This Row],[Столбец1]]*Таблица1[[#This Row],[коэф]])),
IF((G578="4/4"),((база!$I$5*2*Таблица1[[#This Row],[Столбец1]]*Таблица1[[#This Row],[коэф]])),
IF(OR(G578="2/4",G578="3/4"),((база!$I$4*2*Таблица1[[#This Row],[Столбец1]]*Таблица1[[#This Row],[коэф]])),
IF((G578="5/8"),((база!$J$6*2*Таблица1[[#This Row],[Столбец1]]*Таблица1[[#This Row],[коэф]])),
IF((G578="4/8"),((база!$J$5*2*Таблица1[[#This Row],[Столбец1]]*Таблица1[[#This Row],[коэф]])),
IF(OR(G578="3/8",G578="2/8"),((база!$J$4*2*Таблица1[[#This Row],[Столбец1]]*Таблица1[[#This Row],[коэф]])))))))))))))),
(IF((G578="5/24"),((база!$M$6*2*Таблица1[[#This Row],[Столбец1]]*Таблица1[[#This Row],[коэф]])),
IF(OR(G578="4/24",G578="3/24"),((база!$M$5*2*Таблица1[[#This Row],[Столбец1]]*Таблица1[[#This Row],[коэф]])),
IF((G578="5/16"),((база!$L$6*2*Таблица1[[#This Row],[Столбец1]]*Таблица1[[#This Row],[коэф]])),
IF(OR(G578="4/16",G578="3/16"),((база!$L$5*2*Таблица1[[#This Row],[Столбец1]]*Таблица1[[#This Row],[коэф]])),
IF(OR(G578="2/4",G578="3/4",G578="4/4"),((база!$I$5*2*Таблица1[[#This Row],[Столбец1]]*Таблица1[[#This Row],[коэф]])),
IF((G578="5/8"),((база!$J$6*2*Таблица1[[#This Row],[Столбец1]]*Таблица1[[#This Row],[коэф]])),
IF(OR(G578="4/8",G578="3/8",G578="2/8"),((база!$J$5*2*Таблица1[[#This Row],[Столбец1]]*Таблица1[[#This Row],[коэф]])))))))))))</f>
        <v>0</v>
      </c>
      <c r="AQ578" s="712" t="str">
        <f>IFERROR(INDEX(база!T:T, MATCH(F578,база!Q:Q,0)),"")</f>
        <v/>
      </c>
      <c r="AR578" s="208" t="str">
        <f>IFERROR(INDEX(база!D:D, MATCH(F578,база!B:B,0)),"")</f>
        <v/>
      </c>
      <c r="AS578" s="758" t="str">
        <f>IFERROR(INDEX(база!E:E, MATCH(F578,база!B:B,0)),"")</f>
        <v/>
      </c>
    </row>
    <row r="579" spans="1:47" s="46" customFormat="1" ht="15">
      <c r="A579" s="66" t="str">
        <f t="shared" si="10"/>
        <v>январь</v>
      </c>
      <c r="B579" s="231">
        <v>2024</v>
      </c>
      <c r="C579" s="60"/>
      <c r="D579" s="61"/>
      <c r="E579" s="211"/>
      <c r="F579" s="680"/>
      <c r="G579" s="47"/>
      <c r="H579" s="563"/>
      <c r="I579" s="563"/>
      <c r="J579" s="563"/>
      <c r="K579" s="563"/>
      <c r="L579" s="563"/>
      <c r="M579" s="563"/>
      <c r="N579" s="563"/>
      <c r="O579" s="563"/>
      <c r="P579" s="300"/>
      <c r="Q579" s="563"/>
      <c r="R579" s="563"/>
      <c r="S579" s="563"/>
      <c r="T579" s="563"/>
      <c r="U579" s="563"/>
      <c r="V579" s="563"/>
      <c r="W579" s="563"/>
      <c r="X579" s="563"/>
      <c r="Y579" s="563"/>
      <c r="Z579" s="563"/>
      <c r="AA579" s="563"/>
      <c r="AB579" s="563"/>
      <c r="AC579" s="563"/>
      <c r="AD579" s="48"/>
      <c r="AE579" s="48"/>
      <c r="AF579" s="258"/>
      <c r="AG579" s="48"/>
      <c r="AH579" s="48"/>
      <c r="AI579" s="258"/>
      <c r="AJ579" s="258"/>
      <c r="AK579" s="258"/>
      <c r="AL579" s="258"/>
      <c r="AM579" s="212">
        <f>IF(AQ579=1,SUM(Q579:T579,W579:Z579,AC579:AF579,AI579:AL579),
IF(AQ579=2,SUM(P579,S579:V579,Y579:AB579,AE579:AH579,AK579:AL579),
IF(AQ579=3,SUM(P579:R579,U579:X579,AA579:AD579,AG579:AJ579),SUM(Таблица1[[#This Row],[1]:[31]])-Таблица1[[#This Row],[Столбец1]])))</f>
        <v>0</v>
      </c>
      <c r="AN579" s="778">
        <f t="array" ref="AN579">IF(AQ579=1,SUM(P579,U579:V579,AA579:AB579,AG579:AH579),
IF(AQ579=2,SUM(Q579:R579,W579:X579,AC579:AD579,AI579:AJ579),
IF(AQ579=3,SUM(S579:T579,Y579:Z579,AE579:AF579,AK579:AL579),
SUM(IFERROR(WEEKDAY($H$2:$AL$2,2)&gt;5,)*H579:AL579))))+Таблица1[[#This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79" s="292" t="b">
        <f>IF(AR579&lt;=3,(IF((G579="5/24"),((база!$M$6*Таблица1[[#This Row],[сумма]]*Таблица1[[#This Row],[коэф]])),
IF((G579="4/24"),((база!$M$5*Таблица1[[#This Row],[сумма]]*Таблица1[[#This Row],[коэф]])),
IF((G579="3/24"),((база!$M$4*Таблица1[[#This Row],[сумма]]*Таблица1[[#This Row],[коэф]])),
IF((G579="5/16"),((база!$L$6*Таблица1[[#This Row],[сумма]]*Таблица1[[#This Row],[коэф]])),
IF((G579="4/16"),((база!$L$5*Таблица1[[#This Row],[сумма]]*Таблица1[[#This Row],[коэф]])),
IF((G579="3/16"),((база!$L$4*Таблица1[[#This Row],[сумма]]*Таблица1[[#This Row],[коэф]])),
IF((G579="4/4"),((база!$I$5*Таблица1[[#This Row],[сумма]]*Таблица1[[#This Row],[коэф]])),
IF(OR(G579="2/4",G579="3/4"),((база!$I$4*Таблица1[[#This Row],[сумма]]*Таблица1[[#This Row],[коэф]])),
IF((G579="5/8"),((база!$J$6*Таблица1[[#This Row],[сумма]]*Таблица1[[#This Row],[коэф]])),
IF((G579="4/8"),((база!$J$5*Таблица1[[#This Row],[сумма]]*Таблица1[[#This Row],[коэф]])),
IF(OR(G579="3/8",G579="2/8"),((база!$J$4*Таблица1[[#This Row],[сумма]]*Таблица1[[#This Row],[коэф]])))))))))))))),
(IF((G579="5/24"),((база!$M$6*Таблица1[[#This Row],[сумма]]*Таблица1[[#This Row],[коэф]])),
IF(OR(G579="4/24",G579="3/24"),((база!$M$5*Таблица1[[#This Row],[сумма]]*Таблица1[[#This Row],[коэф]])),
IF((G579="5/16"),((база!$L$6*Таблица1[[#This Row],[сумма]]*Таблица1[[#This Row],[коэф]])),
IF(OR(G579="4/16",G579="3/16"),((база!$L$5*Таблица1[[#This Row],[сумма]]*Таблица1[[#This Row],[коэф]])),
IF(OR(G579="2/4",G579="3/4",G579="4/4"),((база!$I$5*Таблица1[[#This Row],[сумма]]*Таблица1[[#This Row],[коэф]])),
IF((G579="5/8"),((база!$J$6*Таблица1[[#This Row],[сумма]]*Таблица1[[#This Row],[коэф]])),
IF(OR(G579="4/8",G579="3/8",G579="2/8"),((база!$J$5*Таблица1[[#This Row],[сумма]]*Таблица1[[#This Row],[коэф]])))))))))))</f>
        <v>0</v>
      </c>
      <c r="AP579" s="730" t="b">
        <f>IF(AR579&lt;=3,(IF((G579="5/24"),((база!$M$6*2*Таблица1[[#This Row],[Столбец1]]*Таблица1[[#This Row],[коэф]])),
IF((G579="4/24"),((база!$M$5*2*Таблица1[[#This Row],[Столбец1]]*Таблица1[[#This Row],[коэф]])),
IF((G579="3/24"),((база!$M$4*2*Таблица1[[#This Row],[Столбец1]]*Таблица1[[#This Row],[коэф]])),
IF((G579="5/16"),((база!$L$6*2*Таблица1[[#This Row],[Столбец1]]*Таблица1[[#This Row],[коэф]])),
IF((G579="4/16"),((база!$L$5*2*Таблица1[[#This Row],[Столбец1]]*Таблица1[[#This Row],[коэф]])),
IF((G579="3/16"),((база!$L$4*2*Таблица1[[#This Row],[Столбец1]]*Таблица1[[#This Row],[коэф]])),
IF((G579="4/4"),((база!$I$5*2*Таблица1[[#This Row],[Столбец1]]*Таблица1[[#This Row],[коэф]])),
IF(OR(G579="2/4",G579="3/4"),((база!$I$4*2*Таблица1[[#This Row],[Столбец1]]*Таблица1[[#This Row],[коэф]])),
IF((G579="5/8"),((база!$J$6*2*Таблица1[[#This Row],[Столбец1]]*Таблица1[[#This Row],[коэф]])),
IF((G579="4/8"),((база!$J$5*2*Таблица1[[#This Row],[Столбец1]]*Таблица1[[#This Row],[коэф]])),
IF(OR(G579="3/8",G579="2/8"),((база!$J$4*2*Таблица1[[#This Row],[Столбец1]]*Таблица1[[#This Row],[коэф]])))))))))))))),
(IF((G579="5/24"),((база!$M$6*2*Таблица1[[#This Row],[Столбец1]]*Таблица1[[#This Row],[коэф]])),
IF(OR(G579="4/24",G579="3/24"),((база!$M$5*2*Таблица1[[#This Row],[Столбец1]]*Таблица1[[#This Row],[коэф]])),
IF((G579="5/16"),((база!$L$6*2*Таблица1[[#This Row],[Столбец1]]*Таблица1[[#This Row],[коэф]])),
IF(OR(G579="4/16",G579="3/16"),((база!$L$5*2*Таблица1[[#This Row],[Столбец1]]*Таблица1[[#This Row],[коэф]])),
IF(OR(G579="2/4",G579="3/4",G579="4/4"),((база!$I$5*2*Таблица1[[#This Row],[Столбец1]]*Таблица1[[#This Row],[коэф]])),
IF((G579="5/8"),((база!$J$6*2*Таблица1[[#This Row],[Столбец1]]*Таблица1[[#This Row],[коэф]])),
IF(OR(G579="4/8",G579="3/8",G579="2/8"),((база!$J$5*2*Таблица1[[#This Row],[Столбец1]]*Таблица1[[#This Row],[коэф]])))))))))))</f>
        <v>0</v>
      </c>
      <c r="AQ579" s="712" t="str">
        <f>IFERROR(INDEX(база!T:T, MATCH(F579,база!Q:Q,0)),"")</f>
        <v/>
      </c>
      <c r="AR579" s="208" t="str">
        <f>IFERROR(INDEX(база!D:D, MATCH(F579,база!B:B,0)),"")</f>
        <v/>
      </c>
      <c r="AS579" s="758" t="str">
        <f>IFERROR(INDEX(база!E:E, MATCH(F579,база!B:B,0)),"")</f>
        <v/>
      </c>
    </row>
    <row r="580" spans="1:47" s="46" customFormat="1" ht="15">
      <c r="A580" s="66" t="str">
        <f t="shared" si="10"/>
        <v>январь</v>
      </c>
      <c r="B580" s="231">
        <v>2024</v>
      </c>
      <c r="C580" s="299"/>
      <c r="D580" s="61"/>
      <c r="E580" s="211"/>
      <c r="F580" s="680"/>
      <c r="G580" s="47"/>
      <c r="H580" s="563"/>
      <c r="I580" s="563"/>
      <c r="J580" s="563"/>
      <c r="K580" s="563"/>
      <c r="L580" s="563"/>
      <c r="M580" s="563"/>
      <c r="N580" s="563"/>
      <c r="O580" s="563"/>
      <c r="P580" s="300"/>
      <c r="Q580" s="563"/>
      <c r="R580" s="563"/>
      <c r="S580" s="563"/>
      <c r="T580" s="563"/>
      <c r="U580" s="563"/>
      <c r="V580" s="563"/>
      <c r="W580" s="563"/>
      <c r="X580" s="563"/>
      <c r="Y580" s="563"/>
      <c r="Z580" s="563"/>
      <c r="AA580" s="563"/>
      <c r="AB580" s="563"/>
      <c r="AC580" s="563"/>
      <c r="AD580" s="48"/>
      <c r="AE580" s="48"/>
      <c r="AF580" s="258"/>
      <c r="AG580" s="48"/>
      <c r="AH580" s="48"/>
      <c r="AI580" s="48"/>
      <c r="AJ580" s="48"/>
      <c r="AK580" s="48"/>
      <c r="AL580" s="51"/>
      <c r="AM580" s="212">
        <f>IF(AQ580=1,SUM(Q580:T580,W580:Z580,AC580:AF580,AI580:AL580),
IF(AQ580=2,SUM(P580,S580:V580,Y580:AB580,AE580:AH580,AK580:AL580),
IF(AQ580=3,SUM(P580:R580,U580:X580,AA580:AD580,AG580:AJ580),SUM(Таблица1[[#This Row],[1]:[31]])-Таблица1[[#This Row],[Столбец1]])))</f>
        <v>0</v>
      </c>
      <c r="AN580" s="778">
        <f t="array" ref="AN580">IF(AQ580=1,SUM(P580,U580:V580,AA580:AB580,AG580:AH580),
IF(AQ580=2,SUM(Q580:R580,W580:X580,AC580:AD580,AI580:AJ580),
IF(AQ580=3,SUM(S580:T580,Y580:Z580,AE580:AF580,AK580:AL580),
SUM(IFERROR(WEEKDAY($H$2:$AL$2,2)&gt;5,)*H580:AL580))))+Таблица1[[#This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80" s="292" t="b">
        <f>IF(AR580&lt;=3,(IF((G580="5/24"),((база!$M$6*Таблица1[[#This Row],[сумма]]*Таблица1[[#This Row],[коэф]])),
IF((G580="4/24"),((база!$M$5*Таблица1[[#This Row],[сумма]]*Таблица1[[#This Row],[коэф]])),
IF((G580="3/24"),((база!$M$4*Таблица1[[#This Row],[сумма]]*Таблица1[[#This Row],[коэф]])),
IF((G580="5/16"),((база!$L$6*Таблица1[[#This Row],[сумма]]*Таблица1[[#This Row],[коэф]])),
IF((G580="4/16"),((база!$L$5*Таблица1[[#This Row],[сумма]]*Таблица1[[#This Row],[коэф]])),
IF((G580="3/16"),((база!$L$4*Таблица1[[#This Row],[сумма]]*Таблица1[[#This Row],[коэф]])),
IF((G580="4/4"),((база!$I$5*Таблица1[[#This Row],[сумма]]*Таблица1[[#This Row],[коэф]])),
IF(OR(G580="2/4",G580="3/4"),((база!$I$4*Таблица1[[#This Row],[сумма]]*Таблица1[[#This Row],[коэф]])),
IF((G580="5/8"),((база!$J$6*Таблица1[[#This Row],[сумма]]*Таблица1[[#This Row],[коэф]])),
IF((G580="4/8"),((база!$J$5*Таблица1[[#This Row],[сумма]]*Таблица1[[#This Row],[коэф]])),
IF(OR(G580="3/8",G580="2/8"),((база!$J$4*Таблица1[[#This Row],[сумма]]*Таблица1[[#This Row],[коэф]])))))))))))))),
(IF((G580="5/24"),((база!$M$6*Таблица1[[#This Row],[сумма]]*Таблица1[[#This Row],[коэф]])),
IF(OR(G580="4/24",G580="3/24"),((база!$M$5*Таблица1[[#This Row],[сумма]]*Таблица1[[#This Row],[коэф]])),
IF((G580="5/16"),((база!$L$6*Таблица1[[#This Row],[сумма]]*Таблица1[[#This Row],[коэф]])),
IF(OR(G580="4/16",G580="3/16"),((база!$L$5*Таблица1[[#This Row],[сумма]]*Таблица1[[#This Row],[коэф]])),
IF(OR(G580="2/4",G580="3/4",G580="4/4"),((база!$I$5*Таблица1[[#This Row],[сумма]]*Таблица1[[#This Row],[коэф]])),
IF((G580="5/8"),((база!$J$6*Таблица1[[#This Row],[сумма]]*Таблица1[[#This Row],[коэф]])),
IF(OR(G580="4/8",G580="3/8",G580="2/8"),((база!$J$5*Таблица1[[#This Row],[сумма]]*Таблица1[[#This Row],[коэф]])))))))))))</f>
        <v>0</v>
      </c>
      <c r="AP580" s="730" t="b">
        <f>IF(AR580&lt;=3,(IF((G580="5/24"),((база!$M$6*2*Таблица1[[#This Row],[Столбец1]]*Таблица1[[#This Row],[коэф]])),
IF((G580="4/24"),((база!$M$5*2*Таблица1[[#This Row],[Столбец1]]*Таблица1[[#This Row],[коэф]])),
IF((G580="3/24"),((база!$M$4*2*Таблица1[[#This Row],[Столбец1]]*Таблица1[[#This Row],[коэф]])),
IF((G580="5/16"),((база!$L$6*2*Таблица1[[#This Row],[Столбец1]]*Таблица1[[#This Row],[коэф]])),
IF((G580="4/16"),((база!$L$5*2*Таблица1[[#This Row],[Столбец1]]*Таблица1[[#This Row],[коэф]])),
IF((G580="3/16"),((база!$L$4*2*Таблица1[[#This Row],[Столбец1]]*Таблица1[[#This Row],[коэф]])),
IF((G580="4/4"),((база!$I$5*2*Таблица1[[#This Row],[Столбец1]]*Таблица1[[#This Row],[коэф]])),
IF(OR(G580="2/4",G580="3/4"),((база!$I$4*2*Таблица1[[#This Row],[Столбец1]]*Таблица1[[#This Row],[коэф]])),
IF((G580="5/8"),((база!$J$6*2*Таблица1[[#This Row],[Столбец1]]*Таблица1[[#This Row],[коэф]])),
IF((G580="4/8"),((база!$J$5*2*Таблица1[[#This Row],[Столбец1]]*Таблица1[[#This Row],[коэф]])),
IF(OR(G580="3/8",G580="2/8"),((база!$J$4*2*Таблица1[[#This Row],[Столбец1]]*Таблица1[[#This Row],[коэф]])))))))))))))),
(IF((G580="5/24"),((база!$M$6*2*Таблица1[[#This Row],[Столбец1]]*Таблица1[[#This Row],[коэф]])),
IF(OR(G580="4/24",G580="3/24"),((база!$M$5*2*Таблица1[[#This Row],[Столбец1]]*Таблица1[[#This Row],[коэф]])),
IF((G580="5/16"),((база!$L$6*2*Таблица1[[#This Row],[Столбец1]]*Таблица1[[#This Row],[коэф]])),
IF(OR(G580="4/16",G580="3/16"),((база!$L$5*2*Таблица1[[#This Row],[Столбец1]]*Таблица1[[#This Row],[коэф]])),
IF(OR(G580="2/4",G580="3/4",G580="4/4"),((база!$I$5*2*Таблица1[[#This Row],[Столбец1]]*Таблица1[[#This Row],[коэф]])),
IF((G580="5/8"),((база!$J$6*2*Таблица1[[#This Row],[Столбец1]]*Таблица1[[#This Row],[коэф]])),
IF(OR(G580="4/8",G580="3/8",G580="2/8"),((база!$J$5*2*Таблица1[[#This Row],[Столбец1]]*Таблица1[[#This Row],[коэф]])))))))))))</f>
        <v>0</v>
      </c>
      <c r="AQ580" s="712" t="str">
        <f>IFERROR(INDEX(база!T:T, MATCH(F580,база!Q:Q,0)),"")</f>
        <v/>
      </c>
      <c r="AR580" s="208" t="str">
        <f>IFERROR(INDEX(база!D:D, MATCH(F580,база!B:B,0)),"")</f>
        <v/>
      </c>
      <c r="AS580" s="758" t="str">
        <f>IFERROR(INDEX(база!E:E, MATCH(F580,база!B:B,0)),"")</f>
        <v/>
      </c>
    </row>
    <row r="581" spans="1:47" s="46" customFormat="1" ht="15">
      <c r="A581" s="66" t="str">
        <f t="shared" si="10"/>
        <v>январь</v>
      </c>
      <c r="B581" s="231">
        <v>2024</v>
      </c>
      <c r="C581" s="299"/>
      <c r="D581" s="61"/>
      <c r="E581" s="211"/>
      <c r="F581" s="680"/>
      <c r="G581" s="47"/>
      <c r="H581" s="563"/>
      <c r="I581" s="563"/>
      <c r="J581" s="563"/>
      <c r="K581" s="563"/>
      <c r="L581" s="563"/>
      <c r="M581" s="563"/>
      <c r="N581" s="563"/>
      <c r="O581" s="563"/>
      <c r="P581" s="300"/>
      <c r="Q581" s="563"/>
      <c r="R581" s="563"/>
      <c r="S581" s="563"/>
      <c r="T581" s="563"/>
      <c r="U581" s="563"/>
      <c r="V581" s="563"/>
      <c r="W581" s="563"/>
      <c r="X581" s="563"/>
      <c r="Y581" s="563"/>
      <c r="Z581" s="563"/>
      <c r="AA581" s="563"/>
      <c r="AB581" s="563"/>
      <c r="AC581" s="563"/>
      <c r="AD581" s="48"/>
      <c r="AE581" s="48"/>
      <c r="AF581" s="258"/>
      <c r="AG581" s="48"/>
      <c r="AH581" s="48"/>
      <c r="AI581" s="258"/>
      <c r="AJ581" s="258"/>
      <c r="AK581" s="258"/>
      <c r="AL581" s="258"/>
      <c r="AM581" s="212">
        <f>IF(AQ581=1,SUM(Q581:T581,W581:Z581,AC581:AF581,AI581:AL581),
IF(AQ581=2,SUM(P581,S581:V581,Y581:AB581,AE581:AH581,AK581:AL581),
IF(AQ581=3,SUM(P581:R581,U581:X581,AA581:AD581,AG581:AJ581),SUM(Таблица1[[#This Row],[1]:[31]])-Таблица1[[#This Row],[Столбец1]])))</f>
        <v>0</v>
      </c>
      <c r="AN581" s="778">
        <f t="array" ref="AN581">IF(AQ581=1,SUM(P581,U581:V581,AA581:AB581,AG581:AH581),
IF(AQ581=2,SUM(Q581:R581,W581:X581,AC581:AD581,AI581:AJ581),
IF(AQ581=3,SUM(S581:T581,Y581:Z581,AE581:AF581,AK581:AL581),
SUM(IFERROR(WEEKDAY($H$2:$AL$2,2)&gt;5,)*H581:AL581))))+Таблица1[[#This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81" s="292" t="b">
        <f>IF(AR581&lt;=3,(IF((G581="5/24"),((база!$M$6*Таблица1[[#This Row],[сумма]]*Таблица1[[#This Row],[коэф]])),
IF((G581="4/24"),((база!$M$5*Таблица1[[#This Row],[сумма]]*Таблица1[[#This Row],[коэф]])),
IF((G581="3/24"),((база!$M$4*Таблица1[[#This Row],[сумма]]*Таблица1[[#This Row],[коэф]])),
IF((G581="5/16"),((база!$L$6*Таблица1[[#This Row],[сумма]]*Таблица1[[#This Row],[коэф]])),
IF((G581="4/16"),((база!$L$5*Таблица1[[#This Row],[сумма]]*Таблица1[[#This Row],[коэф]])),
IF((G581="3/16"),((база!$L$4*Таблица1[[#This Row],[сумма]]*Таблица1[[#This Row],[коэф]])),
IF((G581="4/4"),((база!$I$5*Таблица1[[#This Row],[сумма]]*Таблица1[[#This Row],[коэф]])),
IF(OR(G581="2/4",G581="3/4"),((база!$I$4*Таблица1[[#This Row],[сумма]]*Таблица1[[#This Row],[коэф]])),
IF((G581="5/8"),((база!$J$6*Таблица1[[#This Row],[сумма]]*Таблица1[[#This Row],[коэф]])),
IF((G581="4/8"),((база!$J$5*Таблица1[[#This Row],[сумма]]*Таблица1[[#This Row],[коэф]])),
IF(OR(G581="3/8",G581="2/8"),((база!$J$4*Таблица1[[#This Row],[сумма]]*Таблица1[[#This Row],[коэф]])))))))))))))),
(IF((G581="5/24"),((база!$M$6*Таблица1[[#This Row],[сумма]]*Таблица1[[#This Row],[коэф]])),
IF(OR(G581="4/24",G581="3/24"),((база!$M$5*Таблица1[[#This Row],[сумма]]*Таблица1[[#This Row],[коэф]])),
IF((G581="5/16"),((база!$L$6*Таблица1[[#This Row],[сумма]]*Таблица1[[#This Row],[коэф]])),
IF(OR(G581="4/16",G581="3/16"),((база!$L$5*Таблица1[[#This Row],[сумма]]*Таблица1[[#This Row],[коэф]])),
IF(OR(G581="2/4",G581="3/4",G581="4/4"),((база!$I$5*Таблица1[[#This Row],[сумма]]*Таблица1[[#This Row],[коэф]])),
IF((G581="5/8"),((база!$J$6*Таблица1[[#This Row],[сумма]]*Таблица1[[#This Row],[коэф]])),
IF(OR(G581="4/8",G581="3/8",G581="2/8"),((база!$J$5*Таблица1[[#This Row],[сумма]]*Таблица1[[#This Row],[коэф]])))))))))))</f>
        <v>0</v>
      </c>
      <c r="AP581" s="730" t="b">
        <f>IF(AR581&lt;=3,(IF((G581="5/24"),((база!$M$6*2*Таблица1[[#This Row],[Столбец1]]*Таблица1[[#This Row],[коэф]])),
IF((G581="4/24"),((база!$M$5*2*Таблица1[[#This Row],[Столбец1]]*Таблица1[[#This Row],[коэф]])),
IF((G581="3/24"),((база!$M$4*2*Таблица1[[#This Row],[Столбец1]]*Таблица1[[#This Row],[коэф]])),
IF((G581="5/16"),((база!$L$6*2*Таблица1[[#This Row],[Столбец1]]*Таблица1[[#This Row],[коэф]])),
IF((G581="4/16"),((база!$L$5*2*Таблица1[[#This Row],[Столбец1]]*Таблица1[[#This Row],[коэф]])),
IF((G581="3/16"),((база!$L$4*2*Таблица1[[#This Row],[Столбец1]]*Таблица1[[#This Row],[коэф]])),
IF((G581="4/4"),((база!$I$5*2*Таблица1[[#This Row],[Столбец1]]*Таблица1[[#This Row],[коэф]])),
IF(OR(G581="2/4",G581="3/4"),((база!$I$4*2*Таблица1[[#This Row],[Столбец1]]*Таблица1[[#This Row],[коэф]])),
IF((G581="5/8"),((база!$J$6*2*Таблица1[[#This Row],[Столбец1]]*Таблица1[[#This Row],[коэф]])),
IF((G581="4/8"),((база!$J$5*2*Таблица1[[#This Row],[Столбец1]]*Таблица1[[#This Row],[коэф]])),
IF(OR(G581="3/8",G581="2/8"),((база!$J$4*2*Таблица1[[#This Row],[Столбец1]]*Таблица1[[#This Row],[коэф]])))))))))))))),
(IF((G581="5/24"),((база!$M$6*2*Таблица1[[#This Row],[Столбец1]]*Таблица1[[#This Row],[коэф]])),
IF(OR(G581="4/24",G581="3/24"),((база!$M$5*2*Таблица1[[#This Row],[Столбец1]]*Таблица1[[#This Row],[коэф]])),
IF((G581="5/16"),((база!$L$6*2*Таблица1[[#This Row],[Столбец1]]*Таблица1[[#This Row],[коэф]])),
IF(OR(G581="4/16",G581="3/16"),((база!$L$5*2*Таблица1[[#This Row],[Столбец1]]*Таблица1[[#This Row],[коэф]])),
IF(OR(G581="2/4",G581="3/4",G581="4/4"),((база!$I$5*2*Таблица1[[#This Row],[Столбец1]]*Таблица1[[#This Row],[коэф]])),
IF((G581="5/8"),((база!$J$6*2*Таблица1[[#This Row],[Столбец1]]*Таблица1[[#This Row],[коэф]])),
IF(OR(G581="4/8",G581="3/8",G581="2/8"),((база!$J$5*2*Таблица1[[#This Row],[Столбец1]]*Таблица1[[#This Row],[коэф]])))))))))))</f>
        <v>0</v>
      </c>
      <c r="AQ581" s="712" t="str">
        <f>IFERROR(INDEX(база!T:T, MATCH(F581,база!Q:Q,0)),"")</f>
        <v/>
      </c>
      <c r="AR581" s="208" t="str">
        <f>IFERROR(INDEX(база!D:D, MATCH(F581,база!B:B,0)),"")</f>
        <v/>
      </c>
      <c r="AS581" s="758" t="str">
        <f>IFERROR(INDEX(база!E:E, MATCH(F581,база!B:B,0)),"")</f>
        <v/>
      </c>
    </row>
    <row r="582" spans="1:47" s="46" customFormat="1" ht="15">
      <c r="A582" s="66" t="str">
        <f t="shared" si="10"/>
        <v>январь</v>
      </c>
      <c r="B582" s="231">
        <v>2024</v>
      </c>
      <c r="C582" s="299"/>
      <c r="D582" s="61"/>
      <c r="E582" s="211"/>
      <c r="F582" s="680"/>
      <c r="G582" s="47"/>
      <c r="H582" s="563"/>
      <c r="I582" s="563"/>
      <c r="J582" s="563"/>
      <c r="K582" s="563"/>
      <c r="L582" s="563"/>
      <c r="M582" s="563"/>
      <c r="N582" s="563"/>
      <c r="O582" s="563"/>
      <c r="P582" s="300"/>
      <c r="Q582" s="563"/>
      <c r="R582" s="563"/>
      <c r="S582" s="563"/>
      <c r="T582" s="563"/>
      <c r="U582" s="563"/>
      <c r="V582" s="563"/>
      <c r="W582" s="563"/>
      <c r="X582" s="563"/>
      <c r="Y582" s="563"/>
      <c r="Z582" s="563"/>
      <c r="AA582" s="563"/>
      <c r="AB582" s="563"/>
      <c r="AC582" s="563"/>
      <c r="AD582" s="48"/>
      <c r="AE582" s="48"/>
      <c r="AF582" s="258"/>
      <c r="AG582" s="48"/>
      <c r="AH582" s="48"/>
      <c r="AI582" s="48"/>
      <c r="AJ582" s="48"/>
      <c r="AK582" s="48"/>
      <c r="AL582" s="51"/>
      <c r="AM582" s="212">
        <f>IF(AQ582=1,SUM(Q582:T582,W582:Z582,AC582:AF582,AI582:AL582),
IF(AQ582=2,SUM(P582,S582:V582,Y582:AB582,AE582:AH582,AK582:AL582),
IF(AQ582=3,SUM(P582:R582,U582:X582,AA582:AD582,AG582:AJ582),SUM(Таблица1[[#This Row],[1]:[31]])-Таблица1[[#This Row],[Столбец1]])))</f>
        <v>0</v>
      </c>
      <c r="AN582" s="778">
        <f t="array" ref="AN582">IF(AQ582=1,SUM(P582,U582:V582,AA582:AB582,AG582:AH582),
IF(AQ582=2,SUM(Q582:R582,W582:X582,AC582:AD582,AI582:AJ582),
IF(AQ582=3,SUM(S582:T582,Y582:Z582,AE582:AF582,AK582:AL582),
SUM(IFERROR(WEEKDAY($H$2:$AL$2,2)&gt;5,)*H582:AL582))))+Таблица1[[#This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82" s="292" t="b">
        <f>IF(AR582&lt;=3,(IF((G582="5/24"),((база!$M$6*Таблица1[[#This Row],[сумма]]*Таблица1[[#This Row],[коэф]])),
IF((G582="4/24"),((база!$M$5*Таблица1[[#This Row],[сумма]]*Таблица1[[#This Row],[коэф]])),
IF((G582="3/24"),((база!$M$4*Таблица1[[#This Row],[сумма]]*Таблица1[[#This Row],[коэф]])),
IF((G582="5/16"),((база!$L$6*Таблица1[[#This Row],[сумма]]*Таблица1[[#This Row],[коэф]])),
IF((G582="4/16"),((база!$L$5*Таблица1[[#This Row],[сумма]]*Таблица1[[#This Row],[коэф]])),
IF((G582="3/16"),((база!$L$4*Таблица1[[#This Row],[сумма]]*Таблица1[[#This Row],[коэф]])),
IF((G582="4/4"),((база!$I$5*Таблица1[[#This Row],[сумма]]*Таблица1[[#This Row],[коэф]])),
IF(OR(G582="2/4",G582="3/4"),((база!$I$4*Таблица1[[#This Row],[сумма]]*Таблица1[[#This Row],[коэф]])),
IF((G582="5/8"),((база!$J$6*Таблица1[[#This Row],[сумма]]*Таблица1[[#This Row],[коэф]])),
IF((G582="4/8"),((база!$J$5*Таблица1[[#This Row],[сумма]]*Таблица1[[#This Row],[коэф]])),
IF(OR(G582="3/8",G582="2/8"),((база!$J$4*Таблица1[[#This Row],[сумма]]*Таблица1[[#This Row],[коэф]])))))))))))))),
(IF((G582="5/24"),((база!$M$6*Таблица1[[#This Row],[сумма]]*Таблица1[[#This Row],[коэф]])),
IF(OR(G582="4/24",G582="3/24"),((база!$M$5*Таблица1[[#This Row],[сумма]]*Таблица1[[#This Row],[коэф]])),
IF((G582="5/16"),((база!$L$6*Таблица1[[#This Row],[сумма]]*Таблица1[[#This Row],[коэф]])),
IF(OR(G582="4/16",G582="3/16"),((база!$L$5*Таблица1[[#This Row],[сумма]]*Таблица1[[#This Row],[коэф]])),
IF(OR(G582="2/4",G582="3/4",G582="4/4"),((база!$I$5*Таблица1[[#This Row],[сумма]]*Таблица1[[#This Row],[коэф]])),
IF((G582="5/8"),((база!$J$6*Таблица1[[#This Row],[сумма]]*Таблица1[[#This Row],[коэф]])),
IF(OR(G582="4/8",G582="3/8",G582="2/8"),((база!$J$5*Таблица1[[#This Row],[сумма]]*Таблица1[[#This Row],[коэф]])))))))))))</f>
        <v>0</v>
      </c>
      <c r="AP582" s="730" t="b">
        <f>IF(AR582&lt;=3,(IF((G582="5/24"),((база!$M$6*2*Таблица1[[#This Row],[Столбец1]]*Таблица1[[#This Row],[коэф]])),
IF((G582="4/24"),((база!$M$5*2*Таблица1[[#This Row],[Столбец1]]*Таблица1[[#This Row],[коэф]])),
IF((G582="3/24"),((база!$M$4*2*Таблица1[[#This Row],[Столбец1]]*Таблица1[[#This Row],[коэф]])),
IF((G582="5/16"),((база!$L$6*2*Таблица1[[#This Row],[Столбец1]]*Таблица1[[#This Row],[коэф]])),
IF((G582="4/16"),((база!$L$5*2*Таблица1[[#This Row],[Столбец1]]*Таблица1[[#This Row],[коэф]])),
IF((G582="3/16"),((база!$L$4*2*Таблица1[[#This Row],[Столбец1]]*Таблица1[[#This Row],[коэф]])),
IF((G582="4/4"),((база!$I$5*2*Таблица1[[#This Row],[Столбец1]]*Таблица1[[#This Row],[коэф]])),
IF(OR(G582="2/4",G582="3/4"),((база!$I$4*2*Таблица1[[#This Row],[Столбец1]]*Таблица1[[#This Row],[коэф]])),
IF((G582="5/8"),((база!$J$6*2*Таблица1[[#This Row],[Столбец1]]*Таблица1[[#This Row],[коэф]])),
IF((G582="4/8"),((база!$J$5*2*Таблица1[[#This Row],[Столбец1]]*Таблица1[[#This Row],[коэф]])),
IF(OR(G582="3/8",G582="2/8"),((база!$J$4*2*Таблица1[[#This Row],[Столбец1]]*Таблица1[[#This Row],[коэф]])))))))))))))),
(IF((G582="5/24"),((база!$M$6*2*Таблица1[[#This Row],[Столбец1]]*Таблица1[[#This Row],[коэф]])),
IF(OR(G582="4/24",G582="3/24"),((база!$M$5*2*Таблица1[[#This Row],[Столбец1]]*Таблица1[[#This Row],[коэф]])),
IF((G582="5/16"),((база!$L$6*2*Таблица1[[#This Row],[Столбец1]]*Таблица1[[#This Row],[коэф]])),
IF(OR(G582="4/16",G582="3/16"),((база!$L$5*2*Таблица1[[#This Row],[Столбец1]]*Таблица1[[#This Row],[коэф]])),
IF(OR(G582="2/4",G582="3/4",G582="4/4"),((база!$I$5*2*Таблица1[[#This Row],[Столбец1]]*Таблица1[[#This Row],[коэф]])),
IF((G582="5/8"),((база!$J$6*2*Таблица1[[#This Row],[Столбец1]]*Таблица1[[#This Row],[коэф]])),
IF(OR(G582="4/8",G582="3/8",G582="2/8"),((база!$J$5*2*Таблица1[[#This Row],[Столбец1]]*Таблица1[[#This Row],[коэф]])))))))))))</f>
        <v>0</v>
      </c>
      <c r="AQ582" s="712" t="str">
        <f>IFERROR(INDEX(база!T:T, MATCH(F582,база!Q:Q,0)),"")</f>
        <v/>
      </c>
      <c r="AR582" s="208" t="str">
        <f>IFERROR(INDEX(база!D:D, MATCH(F582,база!B:B,0)),"")</f>
        <v/>
      </c>
      <c r="AS582" s="758" t="str">
        <f>IFERROR(INDEX(база!E:E, MATCH(F582,база!B:B,0)),"")</f>
        <v/>
      </c>
    </row>
    <row r="583" spans="1:47" s="46" customFormat="1" ht="15">
      <c r="A583" s="66" t="str">
        <f t="shared" si="10"/>
        <v>январь</v>
      </c>
      <c r="B583" s="231">
        <v>2024</v>
      </c>
      <c r="C583" s="299"/>
      <c r="D583" s="61"/>
      <c r="E583" s="211"/>
      <c r="F583" s="680"/>
      <c r="G583" s="47"/>
      <c r="H583" s="563"/>
      <c r="I583" s="563"/>
      <c r="J583" s="563"/>
      <c r="K583" s="563"/>
      <c r="L583" s="563"/>
      <c r="M583" s="563"/>
      <c r="N583" s="563"/>
      <c r="O583" s="563"/>
      <c r="P583" s="300"/>
      <c r="Q583" s="563"/>
      <c r="R583" s="563"/>
      <c r="S583" s="563"/>
      <c r="T583" s="563"/>
      <c r="U583" s="563"/>
      <c r="V583" s="563"/>
      <c r="W583" s="563"/>
      <c r="X583" s="563"/>
      <c r="Y583" s="563"/>
      <c r="Z583" s="563"/>
      <c r="AA583" s="563"/>
      <c r="AB583" s="563"/>
      <c r="AC583" s="563"/>
      <c r="AD583" s="48"/>
      <c r="AE583" s="48"/>
      <c r="AF583" s="258"/>
      <c r="AG583" s="48"/>
      <c r="AH583" s="48"/>
      <c r="AI583" s="258"/>
      <c r="AJ583" s="258"/>
      <c r="AK583" s="258"/>
      <c r="AL583" s="258"/>
      <c r="AM583" s="212">
        <f>IF(AQ583=1,SUM(Q583:T583,W583:Z583,AC583:AF583,AI583:AL583),
IF(AQ583=2,SUM(P583,S583:V583,Y583:AB583,AE583:AH583,AK583:AL583),
IF(AQ583=3,SUM(P583:R583,U583:X583,AA583:AD583,AG583:AJ583),SUM(Таблица1[[#This Row],[1]:[31]])-Таблица1[[#This Row],[Столбец1]])))</f>
        <v>0</v>
      </c>
      <c r="AN583" s="778">
        <f t="array" ref="AN583">IF(AQ583=1,SUM(P583,U583:V583,AA583:AB583,AG583:AH583),
IF(AQ583=2,SUM(Q583:R583,W583:X583,AC583:AD583,AI583:AJ583),
IF(AQ583=3,SUM(S583:T583,Y583:Z583,AE583:AF583,AK583:AL583),
SUM(IFERROR(WEEKDAY($H$2:$AL$2,2)&gt;5,)*H583:AL583))))+Таблица1[[#This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83" s="292" t="b">
        <f>IF(AR583&lt;=3,(IF((G583="5/24"),((база!$M$6*Таблица1[[#This Row],[сумма]]*Таблица1[[#This Row],[коэф]])),
IF((G583="4/24"),((база!$M$5*Таблица1[[#This Row],[сумма]]*Таблица1[[#This Row],[коэф]])),
IF((G583="3/24"),((база!$M$4*Таблица1[[#This Row],[сумма]]*Таблица1[[#This Row],[коэф]])),
IF((G583="5/16"),((база!$L$6*Таблица1[[#This Row],[сумма]]*Таблица1[[#This Row],[коэф]])),
IF((G583="4/16"),((база!$L$5*Таблица1[[#This Row],[сумма]]*Таблица1[[#This Row],[коэф]])),
IF((G583="3/16"),((база!$L$4*Таблица1[[#This Row],[сумма]]*Таблица1[[#This Row],[коэф]])),
IF((G583="4/4"),((база!$I$5*Таблица1[[#This Row],[сумма]]*Таблица1[[#This Row],[коэф]])),
IF(OR(G583="2/4",G583="3/4"),((база!$I$4*Таблица1[[#This Row],[сумма]]*Таблица1[[#This Row],[коэф]])),
IF((G583="5/8"),((база!$J$6*Таблица1[[#This Row],[сумма]]*Таблица1[[#This Row],[коэф]])),
IF((G583="4/8"),((база!$J$5*Таблица1[[#This Row],[сумма]]*Таблица1[[#This Row],[коэф]])),
IF(OR(G583="3/8",G583="2/8"),((база!$J$4*Таблица1[[#This Row],[сумма]]*Таблица1[[#This Row],[коэф]])))))))))))))),
(IF((G583="5/24"),((база!$M$6*Таблица1[[#This Row],[сумма]]*Таблица1[[#This Row],[коэф]])),
IF(OR(G583="4/24",G583="3/24"),((база!$M$5*Таблица1[[#This Row],[сумма]]*Таблица1[[#This Row],[коэф]])),
IF((G583="5/16"),((база!$L$6*Таблица1[[#This Row],[сумма]]*Таблица1[[#This Row],[коэф]])),
IF(OR(G583="4/16",G583="3/16"),((база!$L$5*Таблица1[[#This Row],[сумма]]*Таблица1[[#This Row],[коэф]])),
IF(OR(G583="2/4",G583="3/4",G583="4/4"),((база!$I$5*Таблица1[[#This Row],[сумма]]*Таблица1[[#This Row],[коэф]])),
IF((G583="5/8"),((база!$J$6*Таблица1[[#This Row],[сумма]]*Таблица1[[#This Row],[коэф]])),
IF(OR(G583="4/8",G583="3/8",G583="2/8"),((база!$J$5*Таблица1[[#This Row],[сумма]]*Таблица1[[#This Row],[коэф]])))))))))))</f>
        <v>0</v>
      </c>
      <c r="AP583" s="730" t="b">
        <f>IF(AR583&lt;=3,(IF((G583="5/24"),((база!$M$6*2*Таблица1[[#This Row],[Столбец1]]*Таблица1[[#This Row],[коэф]])),
IF((G583="4/24"),((база!$M$5*2*Таблица1[[#This Row],[Столбец1]]*Таблица1[[#This Row],[коэф]])),
IF((G583="3/24"),((база!$M$4*2*Таблица1[[#This Row],[Столбец1]]*Таблица1[[#This Row],[коэф]])),
IF((G583="5/16"),((база!$L$6*2*Таблица1[[#This Row],[Столбец1]]*Таблица1[[#This Row],[коэф]])),
IF((G583="4/16"),((база!$L$5*2*Таблица1[[#This Row],[Столбец1]]*Таблица1[[#This Row],[коэф]])),
IF((G583="3/16"),((база!$L$4*2*Таблица1[[#This Row],[Столбец1]]*Таблица1[[#This Row],[коэф]])),
IF((G583="4/4"),((база!$I$5*2*Таблица1[[#This Row],[Столбец1]]*Таблица1[[#This Row],[коэф]])),
IF(OR(G583="2/4",G583="3/4"),((база!$I$4*2*Таблица1[[#This Row],[Столбец1]]*Таблица1[[#This Row],[коэф]])),
IF((G583="5/8"),((база!$J$6*2*Таблица1[[#This Row],[Столбец1]]*Таблица1[[#This Row],[коэф]])),
IF((G583="4/8"),((база!$J$5*2*Таблица1[[#This Row],[Столбец1]]*Таблица1[[#This Row],[коэф]])),
IF(OR(G583="3/8",G583="2/8"),((база!$J$4*2*Таблица1[[#This Row],[Столбец1]]*Таблица1[[#This Row],[коэф]])))))))))))))),
(IF((G583="5/24"),((база!$M$6*2*Таблица1[[#This Row],[Столбец1]]*Таблица1[[#This Row],[коэф]])),
IF(OR(G583="4/24",G583="3/24"),((база!$M$5*2*Таблица1[[#This Row],[Столбец1]]*Таблица1[[#This Row],[коэф]])),
IF((G583="5/16"),((база!$L$6*2*Таблица1[[#This Row],[Столбец1]]*Таблица1[[#This Row],[коэф]])),
IF(OR(G583="4/16",G583="3/16"),((база!$L$5*2*Таблица1[[#This Row],[Столбец1]]*Таблица1[[#This Row],[коэф]])),
IF(OR(G583="2/4",G583="3/4",G583="4/4"),((база!$I$5*2*Таблица1[[#This Row],[Столбец1]]*Таблица1[[#This Row],[коэф]])),
IF((G583="5/8"),((база!$J$6*2*Таблица1[[#This Row],[Столбец1]]*Таблица1[[#This Row],[коэф]])),
IF(OR(G583="4/8",G583="3/8",G583="2/8"),((база!$J$5*2*Таблица1[[#This Row],[Столбец1]]*Таблица1[[#This Row],[коэф]])))))))))))</f>
        <v>0</v>
      </c>
      <c r="AQ583" s="712" t="str">
        <f>IFERROR(INDEX(база!T:T, MATCH(F583,база!Q:Q,0)),"")</f>
        <v/>
      </c>
      <c r="AR583" s="208" t="str">
        <f>IFERROR(INDEX(база!D:D, MATCH(F583,база!B:B,0)),"")</f>
        <v/>
      </c>
      <c r="AS583" s="758" t="str">
        <f>IFERROR(INDEX(база!E:E, MATCH(F583,база!B:B,0)),"")</f>
        <v/>
      </c>
    </row>
    <row r="584" spans="1:47" s="46" customFormat="1" ht="15">
      <c r="A584" s="66" t="str">
        <f t="shared" si="10"/>
        <v>январь</v>
      </c>
      <c r="B584" s="231">
        <v>2024</v>
      </c>
      <c r="C584" s="299"/>
      <c r="D584" s="61"/>
      <c r="E584" s="211"/>
      <c r="F584" s="680"/>
      <c r="G584" s="47"/>
      <c r="H584" s="563"/>
      <c r="I584" s="563"/>
      <c r="J584" s="563"/>
      <c r="K584" s="563"/>
      <c r="L584" s="563"/>
      <c r="M584" s="563"/>
      <c r="N584" s="563"/>
      <c r="O584" s="563"/>
      <c r="P584" s="300"/>
      <c r="Q584" s="563"/>
      <c r="R584" s="563"/>
      <c r="S584" s="563"/>
      <c r="T584" s="563"/>
      <c r="U584" s="563"/>
      <c r="V584" s="563"/>
      <c r="W584" s="563"/>
      <c r="X584" s="563"/>
      <c r="Y584" s="563"/>
      <c r="Z584" s="563"/>
      <c r="AA584" s="563"/>
      <c r="AB584" s="563"/>
      <c r="AC584" s="563"/>
      <c r="AD584" s="48"/>
      <c r="AE584" s="48"/>
      <c r="AF584" s="258"/>
      <c r="AG584" s="48"/>
      <c r="AH584" s="48"/>
      <c r="AI584" s="48"/>
      <c r="AJ584" s="48"/>
      <c r="AK584" s="48"/>
      <c r="AL584" s="51"/>
      <c r="AM584" s="212">
        <f>IF(AQ584=1,SUM(Q584:T584,W584:Z584,AC584:AF584,AI584:AL584),
IF(AQ584=2,SUM(P584,S584:V584,Y584:AB584,AE584:AH584,AK584:AL584),
IF(AQ584=3,SUM(P584:R584,U584:X584,AA584:AD584,AG584:AJ584),SUM(Таблица1[[#This Row],[1]:[31]])-Таблица1[[#This Row],[Столбец1]])))</f>
        <v>0</v>
      </c>
      <c r="AN584" s="778">
        <f t="array" ref="AN584">IF(AQ584=1,SUM(P584,U584:V584,AA584:AB584,AG584:AH584),
IF(AQ584=2,SUM(Q584:R584,W584:X584,AC584:AD584,AI584:AJ584),
IF(AQ584=3,SUM(S584:T584,Y584:Z584,AE584:AF584,AK584:AL584),
SUM(IFERROR(WEEKDAY($H$2:$AL$2,2)&gt;5,)*H584:AL584))))+Таблица1[[#This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84" s="292" t="b">
        <f>IF(AR584&lt;=3,(IF((G584="5/24"),((база!$M$6*Таблица1[[#This Row],[сумма]]*Таблица1[[#This Row],[коэф]])),
IF((G584="4/24"),((база!$M$5*Таблица1[[#This Row],[сумма]]*Таблица1[[#This Row],[коэф]])),
IF((G584="3/24"),((база!$M$4*Таблица1[[#This Row],[сумма]]*Таблица1[[#This Row],[коэф]])),
IF((G584="5/16"),((база!$L$6*Таблица1[[#This Row],[сумма]]*Таблица1[[#This Row],[коэф]])),
IF((G584="4/16"),((база!$L$5*Таблица1[[#This Row],[сумма]]*Таблица1[[#This Row],[коэф]])),
IF((G584="3/16"),((база!$L$4*Таблица1[[#This Row],[сумма]]*Таблица1[[#This Row],[коэф]])),
IF((G584="4/4"),((база!$I$5*Таблица1[[#This Row],[сумма]]*Таблица1[[#This Row],[коэф]])),
IF(OR(G584="2/4",G584="3/4"),((база!$I$4*Таблица1[[#This Row],[сумма]]*Таблица1[[#This Row],[коэф]])),
IF((G584="5/8"),((база!$J$6*Таблица1[[#This Row],[сумма]]*Таблица1[[#This Row],[коэф]])),
IF((G584="4/8"),((база!$J$5*Таблица1[[#This Row],[сумма]]*Таблица1[[#This Row],[коэф]])),
IF(OR(G584="3/8",G584="2/8"),((база!$J$4*Таблица1[[#This Row],[сумма]]*Таблица1[[#This Row],[коэф]])))))))))))))),
(IF((G584="5/24"),((база!$M$6*Таблица1[[#This Row],[сумма]]*Таблица1[[#This Row],[коэф]])),
IF(OR(G584="4/24",G584="3/24"),((база!$M$5*Таблица1[[#This Row],[сумма]]*Таблица1[[#This Row],[коэф]])),
IF((G584="5/16"),((база!$L$6*Таблица1[[#This Row],[сумма]]*Таблица1[[#This Row],[коэф]])),
IF(OR(G584="4/16",G584="3/16"),((база!$L$5*Таблица1[[#This Row],[сумма]]*Таблица1[[#This Row],[коэф]])),
IF(OR(G584="2/4",G584="3/4",G584="4/4"),((база!$I$5*Таблица1[[#This Row],[сумма]]*Таблица1[[#This Row],[коэф]])),
IF((G584="5/8"),((база!$J$6*Таблица1[[#This Row],[сумма]]*Таблица1[[#This Row],[коэф]])),
IF(OR(G584="4/8",G584="3/8",G584="2/8"),((база!$J$5*Таблица1[[#This Row],[сумма]]*Таблица1[[#This Row],[коэф]])))))))))))</f>
        <v>0</v>
      </c>
      <c r="AP584" s="730" t="b">
        <f>IF(AR584&lt;=3,(IF((G584="5/24"),((база!$M$6*2*Таблица1[[#This Row],[Столбец1]]*Таблица1[[#This Row],[коэф]])),
IF((G584="4/24"),((база!$M$5*2*Таблица1[[#This Row],[Столбец1]]*Таблица1[[#This Row],[коэф]])),
IF((G584="3/24"),((база!$M$4*2*Таблица1[[#This Row],[Столбец1]]*Таблица1[[#This Row],[коэф]])),
IF((G584="5/16"),((база!$L$6*2*Таблица1[[#This Row],[Столбец1]]*Таблица1[[#This Row],[коэф]])),
IF((G584="4/16"),((база!$L$5*2*Таблица1[[#This Row],[Столбец1]]*Таблица1[[#This Row],[коэф]])),
IF((G584="3/16"),((база!$L$4*2*Таблица1[[#This Row],[Столбец1]]*Таблица1[[#This Row],[коэф]])),
IF((G584="4/4"),((база!$I$5*2*Таблица1[[#This Row],[Столбец1]]*Таблица1[[#This Row],[коэф]])),
IF(OR(G584="2/4",G584="3/4"),((база!$I$4*2*Таблица1[[#This Row],[Столбец1]]*Таблица1[[#This Row],[коэф]])),
IF((G584="5/8"),((база!$J$6*2*Таблица1[[#This Row],[Столбец1]]*Таблица1[[#This Row],[коэф]])),
IF((G584="4/8"),((база!$J$5*2*Таблица1[[#This Row],[Столбец1]]*Таблица1[[#This Row],[коэф]])),
IF(OR(G584="3/8",G584="2/8"),((база!$J$4*2*Таблица1[[#This Row],[Столбец1]]*Таблица1[[#This Row],[коэф]])))))))))))))),
(IF((G584="5/24"),((база!$M$6*2*Таблица1[[#This Row],[Столбец1]]*Таблица1[[#This Row],[коэф]])),
IF(OR(G584="4/24",G584="3/24"),((база!$M$5*2*Таблица1[[#This Row],[Столбец1]]*Таблица1[[#This Row],[коэф]])),
IF((G584="5/16"),((база!$L$6*2*Таблица1[[#This Row],[Столбец1]]*Таблица1[[#This Row],[коэф]])),
IF(OR(G584="4/16",G584="3/16"),((база!$L$5*2*Таблица1[[#This Row],[Столбец1]]*Таблица1[[#This Row],[коэф]])),
IF(OR(G584="2/4",G584="3/4",G584="4/4"),((база!$I$5*2*Таблица1[[#This Row],[Столбец1]]*Таблица1[[#This Row],[коэф]])),
IF((G584="5/8"),((база!$J$6*2*Таблица1[[#This Row],[Столбец1]]*Таблица1[[#This Row],[коэф]])),
IF(OR(G584="4/8",G584="3/8",G584="2/8"),((база!$J$5*2*Таблица1[[#This Row],[Столбец1]]*Таблица1[[#This Row],[коэф]])))))))))))</f>
        <v>0</v>
      </c>
      <c r="AQ584" s="712" t="str">
        <f>IFERROR(INDEX(база!T:T, MATCH(F584,база!Q:Q,0)),"")</f>
        <v/>
      </c>
      <c r="AR584" s="208" t="str">
        <f>IFERROR(INDEX(база!D:D, MATCH(F584,база!B:B,0)),"")</f>
        <v/>
      </c>
      <c r="AS584" s="758" t="str">
        <f>IFERROR(INDEX(база!E:E, MATCH(F584,база!B:B,0)),"")</f>
        <v/>
      </c>
    </row>
    <row r="585" spans="1:47" ht="15">
      <c r="A585" s="66" t="str">
        <f t="shared" si="10"/>
        <v>январь</v>
      </c>
      <c r="B585" s="231">
        <v>2024</v>
      </c>
      <c r="C585" s="299"/>
      <c r="D585" s="61"/>
      <c r="E585" s="211"/>
      <c r="F585" s="680"/>
      <c r="G585" s="47"/>
      <c r="H585" s="563"/>
      <c r="I585" s="563"/>
      <c r="J585" s="563"/>
      <c r="K585" s="563"/>
      <c r="L585" s="563"/>
      <c r="M585" s="563"/>
      <c r="N585" s="563"/>
      <c r="O585" s="563"/>
      <c r="P585" s="300"/>
      <c r="Q585" s="563"/>
      <c r="R585" s="563"/>
      <c r="S585" s="563"/>
      <c r="T585" s="563"/>
      <c r="U585" s="563"/>
      <c r="V585" s="563"/>
      <c r="W585" s="563"/>
      <c r="X585" s="563"/>
      <c r="Y585" s="563"/>
      <c r="Z585" s="563"/>
      <c r="AA585" s="563"/>
      <c r="AB585" s="563"/>
      <c r="AC585" s="563"/>
      <c r="AD585" s="48"/>
      <c r="AE585" s="48"/>
      <c r="AF585" s="258"/>
      <c r="AG585" s="48"/>
      <c r="AH585" s="48"/>
      <c r="AI585" s="258"/>
      <c r="AJ585" s="258"/>
      <c r="AK585" s="258"/>
      <c r="AL585" s="258"/>
      <c r="AM585" s="212">
        <f>IF(AQ585=1,SUM(Q585:T585,W585:Z585,AC585:AF585,AI585:AL585),
IF(AQ585=2,SUM(P585,S585:V585,Y585:AB585,AE585:AH585,AK585:AL585),
IF(AQ585=3,SUM(P585:R585,U585:X585,AA585:AD585,AG585:AJ585),SUM(Таблица1[[#This Row],[1]:[31]])-Таблица1[[#This Row],[Столбец1]])))</f>
        <v>0</v>
      </c>
      <c r="AN585" s="778">
        <f t="array" ref="AN585">IF(AQ585=1,SUM(P585,U585:V585,AA585:AB585,AG585:AH585),
IF(AQ585=2,SUM(Q585:R585,W585:X585,AC585:AD585,AI585:AJ585),
IF(AQ585=3,SUM(S585:T585,Y585:Z585,AE585:AF585,AK585:AL585),
SUM(IFERROR(WEEKDAY($H$2:$AL$2,2)&gt;5,)*H585:AL585))))+Таблица1[[#This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85" s="292" t="b">
        <f>IF(AR585&lt;=3,(IF((G585="5/24"),((база!$M$6*Таблица1[[#This Row],[сумма]]*Таблица1[[#This Row],[коэф]])),
IF((G585="4/24"),((база!$M$5*Таблица1[[#This Row],[сумма]]*Таблица1[[#This Row],[коэф]])),
IF((G585="3/24"),((база!$M$4*Таблица1[[#This Row],[сумма]]*Таблица1[[#This Row],[коэф]])),
IF((G585="5/16"),((база!$L$6*Таблица1[[#This Row],[сумма]]*Таблица1[[#This Row],[коэф]])),
IF((G585="4/16"),((база!$L$5*Таблица1[[#This Row],[сумма]]*Таблица1[[#This Row],[коэф]])),
IF((G585="3/16"),((база!$L$4*Таблица1[[#This Row],[сумма]]*Таблица1[[#This Row],[коэф]])),
IF((G585="4/4"),((база!$I$5*Таблица1[[#This Row],[сумма]]*Таблица1[[#This Row],[коэф]])),
IF(OR(G585="2/4",G585="3/4"),((база!$I$4*Таблица1[[#This Row],[сумма]]*Таблица1[[#This Row],[коэф]])),
IF((G585="5/8"),((база!$J$6*Таблица1[[#This Row],[сумма]]*Таблица1[[#This Row],[коэф]])),
IF((G585="4/8"),((база!$J$5*Таблица1[[#This Row],[сумма]]*Таблица1[[#This Row],[коэф]])),
IF(OR(G585="3/8",G585="2/8"),((база!$J$4*Таблица1[[#This Row],[сумма]]*Таблица1[[#This Row],[коэф]])))))))))))))),
(IF((G585="5/24"),((база!$M$6*Таблица1[[#This Row],[сумма]]*Таблица1[[#This Row],[коэф]])),
IF(OR(G585="4/24",G585="3/24"),((база!$M$5*Таблица1[[#This Row],[сумма]]*Таблица1[[#This Row],[коэф]])),
IF((G585="5/16"),((база!$L$6*Таблица1[[#This Row],[сумма]]*Таблица1[[#This Row],[коэф]])),
IF(OR(G585="4/16",G585="3/16"),((база!$L$5*Таблица1[[#This Row],[сумма]]*Таблица1[[#This Row],[коэф]])),
IF(OR(G585="2/4",G585="3/4",G585="4/4"),((база!$I$5*Таблица1[[#This Row],[сумма]]*Таблица1[[#This Row],[коэф]])),
IF((G585="5/8"),((база!$J$6*Таблица1[[#This Row],[сумма]]*Таблица1[[#This Row],[коэф]])),
IF(OR(G585="4/8",G585="3/8",G585="2/8"),((база!$J$5*Таблица1[[#This Row],[сумма]]*Таблица1[[#This Row],[коэф]])))))))))))</f>
        <v>0</v>
      </c>
      <c r="AP585" s="730" t="b">
        <f>IF(AR585&lt;=3,(IF((G585="5/24"),((база!$M$6*2*Таблица1[[#This Row],[Столбец1]]*Таблица1[[#This Row],[коэф]])),
IF((G585="4/24"),((база!$M$5*2*Таблица1[[#This Row],[Столбец1]]*Таблица1[[#This Row],[коэф]])),
IF((G585="3/24"),((база!$M$4*2*Таблица1[[#This Row],[Столбец1]]*Таблица1[[#This Row],[коэф]])),
IF((G585="5/16"),((база!$L$6*2*Таблица1[[#This Row],[Столбец1]]*Таблица1[[#This Row],[коэф]])),
IF((G585="4/16"),((база!$L$5*2*Таблица1[[#This Row],[Столбец1]]*Таблица1[[#This Row],[коэф]])),
IF((G585="3/16"),((база!$L$4*2*Таблица1[[#This Row],[Столбец1]]*Таблица1[[#This Row],[коэф]])),
IF((G585="4/4"),((база!$I$5*2*Таблица1[[#This Row],[Столбец1]]*Таблица1[[#This Row],[коэф]])),
IF(OR(G585="2/4",G585="3/4"),((база!$I$4*2*Таблица1[[#This Row],[Столбец1]]*Таблица1[[#This Row],[коэф]])),
IF((G585="5/8"),((база!$J$6*2*Таблица1[[#This Row],[Столбец1]]*Таблица1[[#This Row],[коэф]])),
IF((G585="4/8"),((база!$J$5*2*Таблица1[[#This Row],[Столбец1]]*Таблица1[[#This Row],[коэф]])),
IF(OR(G585="3/8",G585="2/8"),((база!$J$4*2*Таблица1[[#This Row],[Столбец1]]*Таблица1[[#This Row],[коэф]])))))))))))))),
(IF((G585="5/24"),((база!$M$6*2*Таблица1[[#This Row],[Столбец1]]*Таблица1[[#This Row],[коэф]])),
IF(OR(G585="4/24",G585="3/24"),((база!$M$5*2*Таблица1[[#This Row],[Столбец1]]*Таблица1[[#This Row],[коэф]])),
IF((G585="5/16"),((база!$L$6*2*Таблица1[[#This Row],[Столбец1]]*Таблица1[[#This Row],[коэф]])),
IF(OR(G585="4/16",G585="3/16"),((база!$L$5*2*Таблица1[[#This Row],[Столбец1]]*Таблица1[[#This Row],[коэф]])),
IF(OR(G585="2/4",G585="3/4",G585="4/4"),((база!$I$5*2*Таблица1[[#This Row],[Столбец1]]*Таблица1[[#This Row],[коэф]])),
IF((G585="5/8"),((база!$J$6*2*Таблица1[[#This Row],[Столбец1]]*Таблица1[[#This Row],[коэф]])),
IF(OR(G585="4/8",G585="3/8",G585="2/8"),((база!$J$5*2*Таблица1[[#This Row],[Столбец1]]*Таблица1[[#This Row],[коэф]])))))))))))</f>
        <v>0</v>
      </c>
      <c r="AQ585" s="712" t="str">
        <f>IFERROR(INDEX(база!T:T, MATCH(F585,база!Q:Q,0)),"")</f>
        <v/>
      </c>
      <c r="AR585" s="208" t="str">
        <f>IFERROR(INDEX(база!D:D, MATCH(F585,база!B:B,0)),"")</f>
        <v/>
      </c>
      <c r="AS585" s="758" t="str">
        <f>IFERROR(INDEX(база!E:E, MATCH(F585,база!B:B,0)),"")</f>
        <v/>
      </c>
      <c r="AT585" s="46"/>
      <c r="AU585" s="46"/>
    </row>
    <row r="586" spans="1:47" ht="15">
      <c r="A586" s="66" t="str">
        <f t="shared" si="8"/>
        <v>январь</v>
      </c>
      <c r="B586" s="231">
        <v>2024</v>
      </c>
      <c r="C586" s="299"/>
      <c r="D586" s="61"/>
      <c r="E586" s="211"/>
      <c r="F586" s="680"/>
      <c r="G586" s="47"/>
      <c r="H586" s="563"/>
      <c r="I586" s="563"/>
      <c r="J586" s="563"/>
      <c r="K586" s="563"/>
      <c r="L586" s="563"/>
      <c r="M586" s="563"/>
      <c r="N586" s="563"/>
      <c r="O586" s="563"/>
      <c r="P586" s="300"/>
      <c r="Q586" s="563"/>
      <c r="R586" s="563"/>
      <c r="S586" s="563"/>
      <c r="T586" s="563"/>
      <c r="U586" s="563"/>
      <c r="V586" s="563"/>
      <c r="W586" s="563"/>
      <c r="X586" s="563"/>
      <c r="Y586" s="563"/>
      <c r="Z586" s="563"/>
      <c r="AA586" s="563"/>
      <c r="AB586" s="563"/>
      <c r="AC586" s="563"/>
      <c r="AD586" s="48"/>
      <c r="AE586" s="48"/>
      <c r="AF586" s="258"/>
      <c r="AG586" s="48"/>
      <c r="AH586" s="48"/>
      <c r="AI586" s="48"/>
      <c r="AJ586" s="48"/>
      <c r="AK586" s="48"/>
      <c r="AL586" s="51"/>
      <c r="AM586" s="212">
        <f>IF(AQ586=1,SUM(Q586:T586,W586:Z586,AC586:AF586,AI586:AL586),
IF(AQ586=2,SUM(P586,S586:V586,Y586:AB586,AE586:AH586,AK586:AL586),
IF(AQ586=3,SUM(P586:R586,U586:X586,AA586:AD586,AG586:AJ586),SUM(Таблица1[[#This Row],[1]:[31]])-Таблица1[[#This Row],[Столбец1]])))</f>
        <v>0</v>
      </c>
      <c r="AN586" s="778">
        <f t="array" ref="AN586">IF(AQ586=1,SUM(P586,U586:V586,AA586:AB586,AG586:AH586),
IF(AQ586=2,SUM(Q586:R586,W586:X586,AC586:AD586,AI586:AJ586),
IF(AQ586=3,SUM(S586:T586,Y586:Z586,AE586:AF586,AK586:AL586),
SUM(IFERROR(WEEKDAY($H$2:$AL$2,2)&gt;5,)*H586:AL586))))+Таблица1[[#This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86" s="292" t="b">
        <f>IF(AR586&lt;=3,(IF((G586="5/24"),((база!$M$6*Таблица1[[#This Row],[сумма]]*Таблица1[[#This Row],[коэф]])),
IF((G586="4/24"),((база!$M$5*Таблица1[[#This Row],[сумма]]*Таблица1[[#This Row],[коэф]])),
IF((G586="3/24"),((база!$M$4*Таблица1[[#This Row],[сумма]]*Таблица1[[#This Row],[коэф]])),
IF((G586="5/16"),((база!$L$6*Таблица1[[#This Row],[сумма]]*Таблица1[[#This Row],[коэф]])),
IF((G586="4/16"),((база!$L$5*Таблица1[[#This Row],[сумма]]*Таблица1[[#This Row],[коэф]])),
IF((G586="3/16"),((база!$L$4*Таблица1[[#This Row],[сумма]]*Таблица1[[#This Row],[коэф]])),
IF((G586="4/4"),((база!$I$5*Таблица1[[#This Row],[сумма]]*Таблица1[[#This Row],[коэф]])),
IF(OR(G586="2/4",G586="3/4"),((база!$I$4*Таблица1[[#This Row],[сумма]]*Таблица1[[#This Row],[коэф]])),
IF((G586="5/8"),((база!$J$6*Таблица1[[#This Row],[сумма]]*Таблица1[[#This Row],[коэф]])),
IF((G586="4/8"),((база!$J$5*Таблица1[[#This Row],[сумма]]*Таблица1[[#This Row],[коэф]])),
IF(OR(G586="3/8",G586="2/8"),((база!$J$4*Таблица1[[#This Row],[сумма]]*Таблица1[[#This Row],[коэф]])))))))))))))),
(IF((G586="5/24"),((база!$M$6*Таблица1[[#This Row],[сумма]]*Таблица1[[#This Row],[коэф]])),
IF(OR(G586="4/24",G586="3/24"),((база!$M$5*Таблица1[[#This Row],[сумма]]*Таблица1[[#This Row],[коэф]])),
IF((G586="5/16"),((база!$L$6*Таблица1[[#This Row],[сумма]]*Таблица1[[#This Row],[коэф]])),
IF(OR(G586="4/16",G586="3/16"),((база!$L$5*Таблица1[[#This Row],[сумма]]*Таблица1[[#This Row],[коэф]])),
IF(OR(G586="2/4",G586="3/4",G586="4/4"),((база!$I$5*Таблица1[[#This Row],[сумма]]*Таблица1[[#This Row],[коэф]])),
IF((G586="5/8"),((база!$J$6*Таблица1[[#This Row],[сумма]]*Таблица1[[#This Row],[коэф]])),
IF(OR(G586="4/8",G586="3/8",G586="2/8"),((база!$J$5*Таблица1[[#This Row],[сумма]]*Таблица1[[#This Row],[коэф]])))))))))))</f>
        <v>0</v>
      </c>
      <c r="AP586" s="730" t="b">
        <f>IF(AR586&lt;=3,(IF((G586="5/24"),((база!$M$6*2*Таблица1[[#This Row],[Столбец1]]*Таблица1[[#This Row],[коэф]])),
IF((G586="4/24"),((база!$M$5*2*Таблица1[[#This Row],[Столбец1]]*Таблица1[[#This Row],[коэф]])),
IF((G586="3/24"),((база!$M$4*2*Таблица1[[#This Row],[Столбец1]]*Таблица1[[#This Row],[коэф]])),
IF((G586="5/16"),((база!$L$6*2*Таблица1[[#This Row],[Столбец1]]*Таблица1[[#This Row],[коэф]])),
IF((G586="4/16"),((база!$L$5*2*Таблица1[[#This Row],[Столбец1]]*Таблица1[[#This Row],[коэф]])),
IF((G586="3/16"),((база!$L$4*2*Таблица1[[#This Row],[Столбец1]]*Таблица1[[#This Row],[коэф]])),
IF((G586="4/4"),((база!$I$5*2*Таблица1[[#This Row],[Столбец1]]*Таблица1[[#This Row],[коэф]])),
IF(OR(G586="2/4",G586="3/4"),((база!$I$4*2*Таблица1[[#This Row],[Столбец1]]*Таблица1[[#This Row],[коэф]])),
IF((G586="5/8"),((база!$J$6*2*Таблица1[[#This Row],[Столбец1]]*Таблица1[[#This Row],[коэф]])),
IF((G586="4/8"),((база!$J$5*2*Таблица1[[#This Row],[Столбец1]]*Таблица1[[#This Row],[коэф]])),
IF(OR(G586="3/8",G586="2/8"),((база!$J$4*2*Таблица1[[#This Row],[Столбец1]]*Таблица1[[#This Row],[коэф]])))))))))))))),
(IF((G586="5/24"),((база!$M$6*2*Таблица1[[#This Row],[Столбец1]]*Таблица1[[#This Row],[коэф]])),
IF(OR(G586="4/24",G586="3/24"),((база!$M$5*2*Таблица1[[#This Row],[Столбец1]]*Таблица1[[#This Row],[коэф]])),
IF((G586="5/16"),((база!$L$6*2*Таблица1[[#This Row],[Столбец1]]*Таблица1[[#This Row],[коэф]])),
IF(OR(G586="4/16",G586="3/16"),((база!$L$5*2*Таблица1[[#This Row],[Столбец1]]*Таблица1[[#This Row],[коэф]])),
IF(OR(G586="2/4",G586="3/4",G586="4/4"),((база!$I$5*2*Таблица1[[#This Row],[Столбец1]]*Таблица1[[#This Row],[коэф]])),
IF((G586="5/8"),((база!$J$6*2*Таблица1[[#This Row],[Столбец1]]*Таблица1[[#This Row],[коэф]])),
IF(OR(G586="4/8",G586="3/8",G586="2/8"),((база!$J$5*2*Таблица1[[#This Row],[Столбец1]]*Таблица1[[#This Row],[коэф]])))))))))))</f>
        <v>0</v>
      </c>
      <c r="AQ586" s="712" t="str">
        <f>IFERROR(INDEX(база!T:T, MATCH(F586,база!Q:Q,0)),"")</f>
        <v/>
      </c>
      <c r="AR586" s="208" t="str">
        <f>IFERROR(INDEX(база!D:D, MATCH(F586,база!B:B,0)),"")</f>
        <v/>
      </c>
      <c r="AS586" s="758" t="str">
        <f>IFERROR(INDEX(база!E:E, MATCH(F586,база!B:B,0)),"")</f>
        <v/>
      </c>
      <c r="AT586" s="46"/>
      <c r="AU586" s="46"/>
    </row>
    <row r="587" spans="1:47" ht="15">
      <c r="A587" s="66" t="str">
        <f t="shared" si="8"/>
        <v>январь</v>
      </c>
      <c r="B587" s="231">
        <v>2024</v>
      </c>
      <c r="C587" s="299"/>
      <c r="D587" s="61"/>
      <c r="E587" s="211"/>
      <c r="F587" s="680"/>
      <c r="G587" s="47"/>
      <c r="H587" s="563"/>
      <c r="I587" s="563"/>
      <c r="J587" s="563"/>
      <c r="K587" s="563"/>
      <c r="L587" s="563"/>
      <c r="M587" s="563"/>
      <c r="N587" s="563"/>
      <c r="O587" s="563"/>
      <c r="P587" s="300"/>
      <c r="Q587" s="563"/>
      <c r="R587" s="563"/>
      <c r="S587" s="563"/>
      <c r="T587" s="563"/>
      <c r="U587" s="563"/>
      <c r="V587" s="563"/>
      <c r="W587" s="563"/>
      <c r="X587" s="563"/>
      <c r="Y587" s="563"/>
      <c r="Z587" s="563"/>
      <c r="AA587" s="563"/>
      <c r="AB587" s="563"/>
      <c r="AC587" s="563"/>
      <c r="AD587" s="48"/>
      <c r="AE587" s="48"/>
      <c r="AF587" s="258"/>
      <c r="AG587" s="48"/>
      <c r="AH587" s="48"/>
      <c r="AI587" s="258"/>
      <c r="AJ587" s="258"/>
      <c r="AK587" s="258"/>
      <c r="AL587" s="258"/>
      <c r="AM587" s="212">
        <f>IF(AQ587=1,SUM(Q587:T587,W587:Z587,AC587:AF587,AI587:AL587),
IF(AQ587=2,SUM(P587,S587:V587,Y587:AB587,AE587:AH587,AK587:AL587),
IF(AQ587=3,SUM(P587:R587,U587:X587,AA587:AD587,AG587:AJ587),SUM(Таблица1[[#This Row],[1]:[31]])-Таблица1[[#This Row],[Столбец1]])))</f>
        <v>0</v>
      </c>
      <c r="AN587" s="778">
        <f t="array" ref="AN587">IF(AQ587=1,SUM(P587,U587:V587,AA587:AB587,AG587:AH587),
IF(AQ587=2,SUM(Q587:R587,W587:X587,AC587:AD587,AI587:AJ587),
IF(AQ587=3,SUM(S587:T587,Y587:Z587,AE587:AF587,AK587:AL587),
SUM(IFERROR(WEEKDAY($H$2:$AL$2,2)&gt;5,)*H587:AL587))))+Таблица1[[#This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87" s="292" t="b">
        <f>IF(AR587&lt;=3,(IF((G587="5/24"),((база!$M$6*Таблица1[[#This Row],[сумма]]*Таблица1[[#This Row],[коэф]])),
IF((G587="4/24"),((база!$M$5*Таблица1[[#This Row],[сумма]]*Таблица1[[#This Row],[коэф]])),
IF((G587="3/24"),((база!$M$4*Таблица1[[#This Row],[сумма]]*Таблица1[[#This Row],[коэф]])),
IF((G587="5/16"),((база!$L$6*Таблица1[[#This Row],[сумма]]*Таблица1[[#This Row],[коэф]])),
IF((G587="4/16"),((база!$L$5*Таблица1[[#This Row],[сумма]]*Таблица1[[#This Row],[коэф]])),
IF((G587="3/16"),((база!$L$4*Таблица1[[#This Row],[сумма]]*Таблица1[[#This Row],[коэф]])),
IF((G587="4/4"),((база!$I$5*Таблица1[[#This Row],[сумма]]*Таблица1[[#This Row],[коэф]])),
IF(OR(G587="2/4",G587="3/4"),((база!$I$4*Таблица1[[#This Row],[сумма]]*Таблица1[[#This Row],[коэф]])),
IF((G587="5/8"),((база!$J$6*Таблица1[[#This Row],[сумма]]*Таблица1[[#This Row],[коэф]])),
IF((G587="4/8"),((база!$J$5*Таблица1[[#This Row],[сумма]]*Таблица1[[#This Row],[коэф]])),
IF(OR(G587="3/8",G587="2/8"),((база!$J$4*Таблица1[[#This Row],[сумма]]*Таблица1[[#This Row],[коэф]])))))))))))))),
(IF((G587="5/24"),((база!$M$6*Таблица1[[#This Row],[сумма]]*Таблица1[[#This Row],[коэф]])),
IF(OR(G587="4/24",G587="3/24"),((база!$M$5*Таблица1[[#This Row],[сумма]]*Таблица1[[#This Row],[коэф]])),
IF((G587="5/16"),((база!$L$6*Таблица1[[#This Row],[сумма]]*Таблица1[[#This Row],[коэф]])),
IF(OR(G587="4/16",G587="3/16"),((база!$L$5*Таблица1[[#This Row],[сумма]]*Таблица1[[#This Row],[коэф]])),
IF(OR(G587="2/4",G587="3/4",G587="4/4"),((база!$I$5*Таблица1[[#This Row],[сумма]]*Таблица1[[#This Row],[коэф]])),
IF((G587="5/8"),((база!$J$6*Таблица1[[#This Row],[сумма]]*Таблица1[[#This Row],[коэф]])),
IF(OR(G587="4/8",G587="3/8",G587="2/8"),((база!$J$5*Таблица1[[#This Row],[сумма]]*Таблица1[[#This Row],[коэф]])))))))))))</f>
        <v>0</v>
      </c>
      <c r="AP587" s="730" t="b">
        <f>IF(AR587&lt;=3,(IF((G587="5/24"),((база!$M$6*2*Таблица1[[#This Row],[Столбец1]]*Таблица1[[#This Row],[коэф]])),
IF((G587="4/24"),((база!$M$5*2*Таблица1[[#This Row],[Столбец1]]*Таблица1[[#This Row],[коэф]])),
IF((G587="3/24"),((база!$M$4*2*Таблица1[[#This Row],[Столбец1]]*Таблица1[[#This Row],[коэф]])),
IF((G587="5/16"),((база!$L$6*2*Таблица1[[#This Row],[Столбец1]]*Таблица1[[#This Row],[коэф]])),
IF((G587="4/16"),((база!$L$5*2*Таблица1[[#This Row],[Столбец1]]*Таблица1[[#This Row],[коэф]])),
IF((G587="3/16"),((база!$L$4*2*Таблица1[[#This Row],[Столбец1]]*Таблица1[[#This Row],[коэф]])),
IF((G587="4/4"),((база!$I$5*2*Таблица1[[#This Row],[Столбец1]]*Таблица1[[#This Row],[коэф]])),
IF(OR(G587="2/4",G587="3/4"),((база!$I$4*2*Таблица1[[#This Row],[Столбец1]]*Таблица1[[#This Row],[коэф]])),
IF((G587="5/8"),((база!$J$6*2*Таблица1[[#This Row],[Столбец1]]*Таблица1[[#This Row],[коэф]])),
IF((G587="4/8"),((база!$J$5*2*Таблица1[[#This Row],[Столбец1]]*Таблица1[[#This Row],[коэф]])),
IF(OR(G587="3/8",G587="2/8"),((база!$J$4*2*Таблица1[[#This Row],[Столбец1]]*Таблица1[[#This Row],[коэф]])))))))))))))),
(IF((G587="5/24"),((база!$M$6*2*Таблица1[[#This Row],[Столбец1]]*Таблица1[[#This Row],[коэф]])),
IF(OR(G587="4/24",G587="3/24"),((база!$M$5*2*Таблица1[[#This Row],[Столбец1]]*Таблица1[[#This Row],[коэф]])),
IF((G587="5/16"),((база!$L$6*2*Таблица1[[#This Row],[Столбец1]]*Таблица1[[#This Row],[коэф]])),
IF(OR(G587="4/16",G587="3/16"),((база!$L$5*2*Таблица1[[#This Row],[Столбец1]]*Таблица1[[#This Row],[коэф]])),
IF(OR(G587="2/4",G587="3/4",G587="4/4"),((база!$I$5*2*Таблица1[[#This Row],[Столбец1]]*Таблица1[[#This Row],[коэф]])),
IF((G587="5/8"),((база!$J$6*2*Таблица1[[#This Row],[Столбец1]]*Таблица1[[#This Row],[коэф]])),
IF(OR(G587="4/8",G587="3/8",G587="2/8"),((база!$J$5*2*Таблица1[[#This Row],[Столбец1]]*Таблица1[[#This Row],[коэф]])))))))))))</f>
        <v>0</v>
      </c>
      <c r="AQ587" s="712" t="str">
        <f>IFERROR(INDEX(база!T:T, MATCH(F587,база!Q:Q,0)),"")</f>
        <v/>
      </c>
      <c r="AR587" s="208" t="str">
        <f>IFERROR(INDEX(база!D:D, MATCH(F587,база!B:B,0)),"")</f>
        <v/>
      </c>
      <c r="AS587" s="758" t="str">
        <f>IFERROR(INDEX(база!E:E, MATCH(F587,база!B:B,0)),"")</f>
        <v/>
      </c>
      <c r="AT587" s="46"/>
      <c r="AU587" s="46"/>
    </row>
    <row r="588" spans="1:47" ht="15">
      <c r="A588" s="66" t="str">
        <f t="shared" si="8"/>
        <v>январь</v>
      </c>
      <c r="B588" s="231">
        <v>2024</v>
      </c>
      <c r="C588" s="299"/>
      <c r="D588" s="61"/>
      <c r="E588" s="211"/>
      <c r="F588" s="680"/>
      <c r="G588" s="47"/>
      <c r="H588" s="563"/>
      <c r="I588" s="563"/>
      <c r="J588" s="563"/>
      <c r="K588" s="563"/>
      <c r="L588" s="563"/>
      <c r="M588" s="563"/>
      <c r="N588" s="563"/>
      <c r="O588" s="563"/>
      <c r="P588" s="300"/>
      <c r="Q588" s="563"/>
      <c r="R588" s="563"/>
      <c r="S588" s="563"/>
      <c r="T588" s="563"/>
      <c r="U588" s="563"/>
      <c r="V588" s="563"/>
      <c r="W588" s="563"/>
      <c r="X588" s="563"/>
      <c r="Y588" s="563"/>
      <c r="Z588" s="563"/>
      <c r="AA588" s="563"/>
      <c r="AB588" s="563"/>
      <c r="AC588" s="563"/>
      <c r="AD588" s="48"/>
      <c r="AE588" s="48"/>
      <c r="AF588" s="258"/>
      <c r="AG588" s="48"/>
      <c r="AH588" s="48"/>
      <c r="AI588" s="48"/>
      <c r="AJ588" s="48"/>
      <c r="AK588" s="48"/>
      <c r="AL588" s="51"/>
      <c r="AM588" s="212">
        <f>IF(AQ588=1,SUM(Q588:T588,W588:Z588,AC588:AF588,AI588:AL588),
IF(AQ588=2,SUM(P588,S588:V588,Y588:AB588,AE588:AH588,AK588:AL588),
IF(AQ588=3,SUM(P588:R588,U588:X588,AA588:AD588,AG588:AJ588),SUM(Таблица1[[#This Row],[1]:[31]])-Таблица1[[#This Row],[Столбец1]])))</f>
        <v>0</v>
      </c>
      <c r="AN588" s="778">
        <f t="array" ref="AN588">IF(AQ588=1,SUM(P588,U588:V588,AA588:AB588,AG588:AH588),
IF(AQ588=2,SUM(Q588:R588,W588:X588,AC588:AD588,AI588:AJ588),
IF(AQ588=3,SUM(S588:T588,Y588:Z588,AE588:AF588,AK588:AL588),
SUM(IFERROR(WEEKDAY($H$2:$AL$2,2)&gt;5,)*H588:AL588))))+Таблица1[[#This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88" s="292" t="b">
        <f>IF(AR588&lt;=3,(IF((G588="5/24"),((база!$M$6*Таблица1[[#This Row],[сумма]]*Таблица1[[#This Row],[коэф]])),
IF((G588="4/24"),((база!$M$5*Таблица1[[#This Row],[сумма]]*Таблица1[[#This Row],[коэф]])),
IF((G588="3/24"),((база!$M$4*Таблица1[[#This Row],[сумма]]*Таблица1[[#This Row],[коэф]])),
IF((G588="5/16"),((база!$L$6*Таблица1[[#This Row],[сумма]]*Таблица1[[#This Row],[коэф]])),
IF((G588="4/16"),((база!$L$5*Таблица1[[#This Row],[сумма]]*Таблица1[[#This Row],[коэф]])),
IF((G588="3/16"),((база!$L$4*Таблица1[[#This Row],[сумма]]*Таблица1[[#This Row],[коэф]])),
IF((G588="4/4"),((база!$I$5*Таблица1[[#This Row],[сумма]]*Таблица1[[#This Row],[коэф]])),
IF(OR(G588="2/4",G588="3/4"),((база!$I$4*Таблица1[[#This Row],[сумма]]*Таблица1[[#This Row],[коэф]])),
IF((G588="5/8"),((база!$J$6*Таблица1[[#This Row],[сумма]]*Таблица1[[#This Row],[коэф]])),
IF((G588="4/8"),((база!$J$5*Таблица1[[#This Row],[сумма]]*Таблица1[[#This Row],[коэф]])),
IF(OR(G588="3/8",G588="2/8"),((база!$J$4*Таблица1[[#This Row],[сумма]]*Таблица1[[#This Row],[коэф]])))))))))))))),
(IF((G588="5/24"),((база!$M$6*Таблица1[[#This Row],[сумма]]*Таблица1[[#This Row],[коэф]])),
IF(OR(G588="4/24",G588="3/24"),((база!$M$5*Таблица1[[#This Row],[сумма]]*Таблица1[[#This Row],[коэф]])),
IF((G588="5/16"),((база!$L$6*Таблица1[[#This Row],[сумма]]*Таблица1[[#This Row],[коэф]])),
IF(OR(G588="4/16",G588="3/16"),((база!$L$5*Таблица1[[#This Row],[сумма]]*Таблица1[[#This Row],[коэф]])),
IF(OR(G588="2/4",G588="3/4",G588="4/4"),((база!$I$5*Таблица1[[#This Row],[сумма]]*Таблица1[[#This Row],[коэф]])),
IF((G588="5/8"),((база!$J$6*Таблица1[[#This Row],[сумма]]*Таблица1[[#This Row],[коэф]])),
IF(OR(G588="4/8",G588="3/8",G588="2/8"),((база!$J$5*Таблица1[[#This Row],[сумма]]*Таблица1[[#This Row],[коэф]])))))))))))</f>
        <v>0</v>
      </c>
      <c r="AP588" s="730" t="b">
        <f>IF(AR588&lt;=3,(IF((G588="5/24"),((база!$M$6*2*Таблица1[[#This Row],[Столбец1]]*Таблица1[[#This Row],[коэф]])),
IF((G588="4/24"),((база!$M$5*2*Таблица1[[#This Row],[Столбец1]]*Таблица1[[#This Row],[коэф]])),
IF((G588="3/24"),((база!$M$4*2*Таблица1[[#This Row],[Столбец1]]*Таблица1[[#This Row],[коэф]])),
IF((G588="5/16"),((база!$L$6*2*Таблица1[[#This Row],[Столбец1]]*Таблица1[[#This Row],[коэф]])),
IF((G588="4/16"),((база!$L$5*2*Таблица1[[#This Row],[Столбец1]]*Таблица1[[#This Row],[коэф]])),
IF((G588="3/16"),((база!$L$4*2*Таблица1[[#This Row],[Столбец1]]*Таблица1[[#This Row],[коэф]])),
IF((G588="4/4"),((база!$I$5*2*Таблица1[[#This Row],[Столбец1]]*Таблица1[[#This Row],[коэф]])),
IF(OR(G588="2/4",G588="3/4"),((база!$I$4*2*Таблица1[[#This Row],[Столбец1]]*Таблица1[[#This Row],[коэф]])),
IF((G588="5/8"),((база!$J$6*2*Таблица1[[#This Row],[Столбец1]]*Таблица1[[#This Row],[коэф]])),
IF((G588="4/8"),((база!$J$5*2*Таблица1[[#This Row],[Столбец1]]*Таблица1[[#This Row],[коэф]])),
IF(OR(G588="3/8",G588="2/8"),((база!$J$4*2*Таблица1[[#This Row],[Столбец1]]*Таблица1[[#This Row],[коэф]])))))))))))))),
(IF((G588="5/24"),((база!$M$6*2*Таблица1[[#This Row],[Столбец1]]*Таблица1[[#This Row],[коэф]])),
IF(OR(G588="4/24",G588="3/24"),((база!$M$5*2*Таблица1[[#This Row],[Столбец1]]*Таблица1[[#This Row],[коэф]])),
IF((G588="5/16"),((база!$L$6*2*Таблица1[[#This Row],[Столбец1]]*Таблица1[[#This Row],[коэф]])),
IF(OR(G588="4/16",G588="3/16"),((база!$L$5*2*Таблица1[[#This Row],[Столбец1]]*Таблица1[[#This Row],[коэф]])),
IF(OR(G588="2/4",G588="3/4",G588="4/4"),((база!$I$5*2*Таблица1[[#This Row],[Столбец1]]*Таблица1[[#This Row],[коэф]])),
IF((G588="5/8"),((база!$J$6*2*Таблица1[[#This Row],[Столбец1]]*Таблица1[[#This Row],[коэф]])),
IF(OR(G588="4/8",G588="3/8",G588="2/8"),((база!$J$5*2*Таблица1[[#This Row],[Столбец1]]*Таблица1[[#This Row],[коэф]])))))))))))</f>
        <v>0</v>
      </c>
      <c r="AQ588" s="712" t="str">
        <f>IFERROR(INDEX(база!T:T, MATCH(F588,база!Q:Q,0)),"")</f>
        <v/>
      </c>
      <c r="AR588" s="208" t="str">
        <f>IFERROR(INDEX(база!D:D, MATCH(F588,база!B:B,0)),"")</f>
        <v/>
      </c>
      <c r="AS588" s="758" t="str">
        <f>IFERROR(INDEX(база!E:E, MATCH(F588,база!B:B,0)),"")</f>
        <v/>
      </c>
      <c r="AT588" s="46"/>
      <c r="AU588" s="46"/>
    </row>
    <row r="589" spans="1:47" ht="15">
      <c r="A589" s="66" t="str">
        <f t="shared" si="8"/>
        <v>январь</v>
      </c>
      <c r="B589" s="231">
        <v>2024</v>
      </c>
      <c r="C589" s="299"/>
      <c r="D589" s="61"/>
      <c r="E589" s="211"/>
      <c r="F589" s="680"/>
      <c r="G589" s="47"/>
      <c r="H589" s="563"/>
      <c r="I589" s="563"/>
      <c r="J589" s="563"/>
      <c r="K589" s="563"/>
      <c r="L589" s="563"/>
      <c r="M589" s="563"/>
      <c r="N589" s="563"/>
      <c r="O589" s="563"/>
      <c r="P589" s="300"/>
      <c r="Q589" s="563"/>
      <c r="R589" s="563"/>
      <c r="S589" s="563"/>
      <c r="T589" s="563"/>
      <c r="U589" s="563"/>
      <c r="V589" s="563"/>
      <c r="W589" s="563"/>
      <c r="X589" s="563"/>
      <c r="Y589" s="563"/>
      <c r="Z589" s="563"/>
      <c r="AA589" s="563"/>
      <c r="AB589" s="563"/>
      <c r="AC589" s="563"/>
      <c r="AD589" s="48"/>
      <c r="AE589" s="48"/>
      <c r="AF589" s="258"/>
      <c r="AG589" s="48"/>
      <c r="AH589" s="48"/>
      <c r="AI589" s="258"/>
      <c r="AJ589" s="258"/>
      <c r="AK589" s="258"/>
      <c r="AL589" s="258"/>
      <c r="AM589" s="212">
        <f>IF(AQ589=1,SUM(Q589:T589,W589:Z589,AC589:AF589,AI589:AL589),
IF(AQ589=2,SUM(P589,S589:V589,Y589:AB589,AE589:AH589,AK589:AL589),
IF(AQ589=3,SUM(P589:R589,U589:X589,AA589:AD589,AG589:AJ589),SUM(Таблица1[[#This Row],[1]:[31]])-Таблица1[[#This Row],[Столбец1]])))</f>
        <v>0</v>
      </c>
      <c r="AN589" s="778">
        <f t="array" ref="AN589">IF(AQ589=1,SUM(P589,U589:V589,AA589:AB589,AG589:AH589),
IF(AQ589=2,SUM(Q589:R589,W589:X589,AC589:AD589,AI589:AJ589),
IF(AQ589=3,SUM(S589:T589,Y589:Z589,AE589:AF589,AK589:AL589),
SUM(IFERROR(WEEKDAY($H$2:$AL$2,2)&gt;5,)*H589:AL589))))+Таблица1[[#This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89" s="292" t="b">
        <f>IF(AR589&lt;=3,(IF((G589="5/24"),((база!$M$6*Таблица1[[#This Row],[сумма]]*Таблица1[[#This Row],[коэф]])),
IF((G589="4/24"),((база!$M$5*Таблица1[[#This Row],[сумма]]*Таблица1[[#This Row],[коэф]])),
IF((G589="3/24"),((база!$M$4*Таблица1[[#This Row],[сумма]]*Таблица1[[#This Row],[коэф]])),
IF((G589="5/16"),((база!$L$6*Таблица1[[#This Row],[сумма]]*Таблица1[[#This Row],[коэф]])),
IF((G589="4/16"),((база!$L$5*Таблица1[[#This Row],[сумма]]*Таблица1[[#This Row],[коэф]])),
IF((G589="3/16"),((база!$L$4*Таблица1[[#This Row],[сумма]]*Таблица1[[#This Row],[коэф]])),
IF((G589="4/4"),((база!$I$5*Таблица1[[#This Row],[сумма]]*Таблица1[[#This Row],[коэф]])),
IF(OR(G589="2/4",G589="3/4"),((база!$I$4*Таблица1[[#This Row],[сумма]]*Таблица1[[#This Row],[коэф]])),
IF((G589="5/8"),((база!$J$6*Таблица1[[#This Row],[сумма]]*Таблица1[[#This Row],[коэф]])),
IF((G589="4/8"),((база!$J$5*Таблица1[[#This Row],[сумма]]*Таблица1[[#This Row],[коэф]])),
IF(OR(G589="3/8",G589="2/8"),((база!$J$4*Таблица1[[#This Row],[сумма]]*Таблица1[[#This Row],[коэф]])))))))))))))),
(IF((G589="5/24"),((база!$M$6*Таблица1[[#This Row],[сумма]]*Таблица1[[#This Row],[коэф]])),
IF(OR(G589="4/24",G589="3/24"),((база!$M$5*Таблица1[[#This Row],[сумма]]*Таблица1[[#This Row],[коэф]])),
IF((G589="5/16"),((база!$L$6*Таблица1[[#This Row],[сумма]]*Таблица1[[#This Row],[коэф]])),
IF(OR(G589="4/16",G589="3/16"),((база!$L$5*Таблица1[[#This Row],[сумма]]*Таблица1[[#This Row],[коэф]])),
IF(OR(G589="2/4",G589="3/4",G589="4/4"),((база!$I$5*Таблица1[[#This Row],[сумма]]*Таблица1[[#This Row],[коэф]])),
IF((G589="5/8"),((база!$J$6*Таблица1[[#This Row],[сумма]]*Таблица1[[#This Row],[коэф]])),
IF(OR(G589="4/8",G589="3/8",G589="2/8"),((база!$J$5*Таблица1[[#This Row],[сумма]]*Таблица1[[#This Row],[коэф]])))))))))))</f>
        <v>0</v>
      </c>
      <c r="AP589" s="730" t="b">
        <f>IF(AR589&lt;=3,(IF((G589="5/24"),((база!$M$6*2*Таблица1[[#This Row],[Столбец1]]*Таблица1[[#This Row],[коэф]])),
IF((G589="4/24"),((база!$M$5*2*Таблица1[[#This Row],[Столбец1]]*Таблица1[[#This Row],[коэф]])),
IF((G589="3/24"),((база!$M$4*2*Таблица1[[#This Row],[Столбец1]]*Таблица1[[#This Row],[коэф]])),
IF((G589="5/16"),((база!$L$6*2*Таблица1[[#This Row],[Столбец1]]*Таблица1[[#This Row],[коэф]])),
IF((G589="4/16"),((база!$L$5*2*Таблица1[[#This Row],[Столбец1]]*Таблица1[[#This Row],[коэф]])),
IF((G589="3/16"),((база!$L$4*2*Таблица1[[#This Row],[Столбец1]]*Таблица1[[#This Row],[коэф]])),
IF((G589="4/4"),((база!$I$5*2*Таблица1[[#This Row],[Столбец1]]*Таблица1[[#This Row],[коэф]])),
IF(OR(G589="2/4",G589="3/4"),((база!$I$4*2*Таблица1[[#This Row],[Столбец1]]*Таблица1[[#This Row],[коэф]])),
IF((G589="5/8"),((база!$J$6*2*Таблица1[[#This Row],[Столбец1]]*Таблица1[[#This Row],[коэф]])),
IF((G589="4/8"),((база!$J$5*2*Таблица1[[#This Row],[Столбец1]]*Таблица1[[#This Row],[коэф]])),
IF(OR(G589="3/8",G589="2/8"),((база!$J$4*2*Таблица1[[#This Row],[Столбец1]]*Таблица1[[#This Row],[коэф]])))))))))))))),
(IF((G589="5/24"),((база!$M$6*2*Таблица1[[#This Row],[Столбец1]]*Таблица1[[#This Row],[коэф]])),
IF(OR(G589="4/24",G589="3/24"),((база!$M$5*2*Таблица1[[#This Row],[Столбец1]]*Таблица1[[#This Row],[коэф]])),
IF((G589="5/16"),((база!$L$6*2*Таблица1[[#This Row],[Столбец1]]*Таблица1[[#This Row],[коэф]])),
IF(OR(G589="4/16",G589="3/16"),((база!$L$5*2*Таблица1[[#This Row],[Столбец1]]*Таблица1[[#This Row],[коэф]])),
IF(OR(G589="2/4",G589="3/4",G589="4/4"),((база!$I$5*2*Таблица1[[#This Row],[Столбец1]]*Таблица1[[#This Row],[коэф]])),
IF((G589="5/8"),((база!$J$6*2*Таблица1[[#This Row],[Столбец1]]*Таблица1[[#This Row],[коэф]])),
IF(OR(G589="4/8",G589="3/8",G589="2/8"),((база!$J$5*2*Таблица1[[#This Row],[Столбец1]]*Таблица1[[#This Row],[коэф]])))))))))))</f>
        <v>0</v>
      </c>
      <c r="AQ589" s="712" t="str">
        <f>IFERROR(INDEX(база!T:T, MATCH(F589,база!Q:Q,0)),"")</f>
        <v/>
      </c>
      <c r="AR589" s="208" t="str">
        <f>IFERROR(INDEX(база!D:D, MATCH(F589,база!B:B,0)),"")</f>
        <v/>
      </c>
      <c r="AS589" s="758" t="str">
        <f>IFERROR(INDEX(база!E:E, MATCH(F589,база!B:B,0)),"")</f>
        <v/>
      </c>
      <c r="AT589" s="46"/>
      <c r="AU589" s="46"/>
    </row>
    <row r="590" spans="1:47" ht="15">
      <c r="A590" s="66" t="str">
        <f t="shared" si="8"/>
        <v>январь</v>
      </c>
      <c r="B590" s="231">
        <v>2024</v>
      </c>
      <c r="C590" s="299"/>
      <c r="D590" s="61"/>
      <c r="E590" s="211"/>
      <c r="F590" s="680"/>
      <c r="G590" s="47"/>
      <c r="H590" s="563"/>
      <c r="I590" s="563"/>
      <c r="J590" s="563"/>
      <c r="K590" s="563"/>
      <c r="L590" s="563"/>
      <c r="M590" s="563"/>
      <c r="N590" s="563"/>
      <c r="O590" s="563"/>
      <c r="P590" s="300"/>
      <c r="Q590" s="563"/>
      <c r="R590" s="563"/>
      <c r="S590" s="563"/>
      <c r="T590" s="563"/>
      <c r="U590" s="563"/>
      <c r="V590" s="563"/>
      <c r="W590" s="563"/>
      <c r="X590" s="563"/>
      <c r="Y590" s="563"/>
      <c r="Z590" s="563"/>
      <c r="AA590" s="563"/>
      <c r="AB590" s="563"/>
      <c r="AC590" s="563"/>
      <c r="AD590" s="48"/>
      <c r="AE590" s="48"/>
      <c r="AF590" s="258"/>
      <c r="AG590" s="48"/>
      <c r="AH590" s="48"/>
      <c r="AI590" s="48"/>
      <c r="AJ590" s="48"/>
      <c r="AK590" s="48"/>
      <c r="AL590" s="51"/>
      <c r="AM590" s="212">
        <f>IF(AQ590=1,SUM(Q590:T590,W590:Z590,AC590:AF590,AI590:AL590),
IF(AQ590=2,SUM(P590,S590:V590,Y590:AB590,AE590:AH590,AK590:AL590),
IF(AQ590=3,SUM(P590:R590,U590:X590,AA590:AD590,AG590:AJ590),SUM(Таблица1[[#This Row],[1]:[31]])-Таблица1[[#This Row],[Столбец1]])))</f>
        <v>0</v>
      </c>
      <c r="AN590" s="778">
        <f t="array" ref="AN590">IF(AQ590=1,SUM(P590,U590:V590,AA590:AB590,AG590:AH590),
IF(AQ590=2,SUM(Q590:R590,W590:X590,AC590:AD590,AI590:AJ590),
IF(AQ590=3,SUM(S590:T590,Y590:Z590,AE590:AF590,AK590:AL590),
SUM(IFERROR(WEEKDAY($H$2:$AL$2,2)&gt;5,)*H590:AL590))))+Таблица1[[#This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90" s="292" t="b">
        <f>IF(AR590&lt;=3,(IF((G590="5/24"),((база!$M$6*Таблица1[[#This Row],[сумма]]*Таблица1[[#This Row],[коэф]])),
IF((G590="4/24"),((база!$M$5*Таблица1[[#This Row],[сумма]]*Таблица1[[#This Row],[коэф]])),
IF((G590="3/24"),((база!$M$4*Таблица1[[#This Row],[сумма]]*Таблица1[[#This Row],[коэф]])),
IF((G590="5/16"),((база!$L$6*Таблица1[[#This Row],[сумма]]*Таблица1[[#This Row],[коэф]])),
IF((G590="4/16"),((база!$L$5*Таблица1[[#This Row],[сумма]]*Таблица1[[#This Row],[коэф]])),
IF((G590="3/16"),((база!$L$4*Таблица1[[#This Row],[сумма]]*Таблица1[[#This Row],[коэф]])),
IF((G590="4/4"),((база!$I$5*Таблица1[[#This Row],[сумма]]*Таблица1[[#This Row],[коэф]])),
IF(OR(G590="2/4",G590="3/4"),((база!$I$4*Таблица1[[#This Row],[сумма]]*Таблица1[[#This Row],[коэф]])),
IF((G590="5/8"),((база!$J$6*Таблица1[[#This Row],[сумма]]*Таблица1[[#This Row],[коэф]])),
IF((G590="4/8"),((база!$J$5*Таблица1[[#This Row],[сумма]]*Таблица1[[#This Row],[коэф]])),
IF(OR(G590="3/8",G590="2/8"),((база!$J$4*Таблица1[[#This Row],[сумма]]*Таблица1[[#This Row],[коэф]])))))))))))))),
(IF((G590="5/24"),((база!$M$6*Таблица1[[#This Row],[сумма]]*Таблица1[[#This Row],[коэф]])),
IF(OR(G590="4/24",G590="3/24"),((база!$M$5*Таблица1[[#This Row],[сумма]]*Таблица1[[#This Row],[коэф]])),
IF((G590="5/16"),((база!$L$6*Таблица1[[#This Row],[сумма]]*Таблица1[[#This Row],[коэф]])),
IF(OR(G590="4/16",G590="3/16"),((база!$L$5*Таблица1[[#This Row],[сумма]]*Таблица1[[#This Row],[коэф]])),
IF(OR(G590="2/4",G590="3/4",G590="4/4"),((база!$I$5*Таблица1[[#This Row],[сумма]]*Таблица1[[#This Row],[коэф]])),
IF((G590="5/8"),((база!$J$6*Таблица1[[#This Row],[сумма]]*Таблица1[[#This Row],[коэф]])),
IF(OR(G590="4/8",G590="3/8",G590="2/8"),((база!$J$5*Таблица1[[#This Row],[сумма]]*Таблица1[[#This Row],[коэф]])))))))))))</f>
        <v>0</v>
      </c>
      <c r="AP590" s="730" t="b">
        <f>IF(AR590&lt;=3,(IF((G590="5/24"),((база!$M$6*2*Таблица1[[#This Row],[Столбец1]]*Таблица1[[#This Row],[коэф]])),
IF((G590="4/24"),((база!$M$5*2*Таблица1[[#This Row],[Столбец1]]*Таблица1[[#This Row],[коэф]])),
IF((G590="3/24"),((база!$M$4*2*Таблица1[[#This Row],[Столбец1]]*Таблица1[[#This Row],[коэф]])),
IF((G590="5/16"),((база!$L$6*2*Таблица1[[#This Row],[Столбец1]]*Таблица1[[#This Row],[коэф]])),
IF((G590="4/16"),((база!$L$5*2*Таблица1[[#This Row],[Столбец1]]*Таблица1[[#This Row],[коэф]])),
IF((G590="3/16"),((база!$L$4*2*Таблица1[[#This Row],[Столбец1]]*Таблица1[[#This Row],[коэф]])),
IF((G590="4/4"),((база!$I$5*2*Таблица1[[#This Row],[Столбец1]]*Таблица1[[#This Row],[коэф]])),
IF(OR(G590="2/4",G590="3/4"),((база!$I$4*2*Таблица1[[#This Row],[Столбец1]]*Таблица1[[#This Row],[коэф]])),
IF((G590="5/8"),((база!$J$6*2*Таблица1[[#This Row],[Столбец1]]*Таблица1[[#This Row],[коэф]])),
IF((G590="4/8"),((база!$J$5*2*Таблица1[[#This Row],[Столбец1]]*Таблица1[[#This Row],[коэф]])),
IF(OR(G590="3/8",G590="2/8"),((база!$J$4*2*Таблица1[[#This Row],[Столбец1]]*Таблица1[[#This Row],[коэф]])))))))))))))),
(IF((G590="5/24"),((база!$M$6*2*Таблица1[[#This Row],[Столбец1]]*Таблица1[[#This Row],[коэф]])),
IF(OR(G590="4/24",G590="3/24"),((база!$M$5*2*Таблица1[[#This Row],[Столбец1]]*Таблица1[[#This Row],[коэф]])),
IF((G590="5/16"),((база!$L$6*2*Таблица1[[#This Row],[Столбец1]]*Таблица1[[#This Row],[коэф]])),
IF(OR(G590="4/16",G590="3/16"),((база!$L$5*2*Таблица1[[#This Row],[Столбец1]]*Таблица1[[#This Row],[коэф]])),
IF(OR(G590="2/4",G590="3/4",G590="4/4"),((база!$I$5*2*Таблица1[[#This Row],[Столбец1]]*Таблица1[[#This Row],[коэф]])),
IF((G590="5/8"),((база!$J$6*2*Таблица1[[#This Row],[Столбец1]]*Таблица1[[#This Row],[коэф]])),
IF(OR(G590="4/8",G590="3/8",G590="2/8"),((база!$J$5*2*Таблица1[[#This Row],[Столбец1]]*Таблица1[[#This Row],[коэф]])))))))))))</f>
        <v>0</v>
      </c>
      <c r="AQ590" s="712" t="str">
        <f>IFERROR(INDEX(база!T:T, MATCH(F590,база!Q:Q,0)),"")</f>
        <v/>
      </c>
      <c r="AR590" s="208" t="str">
        <f>IFERROR(INDEX(база!D:D, MATCH(F590,база!B:B,0)),"")</f>
        <v/>
      </c>
      <c r="AS590" s="758" t="str">
        <f>IFERROR(INDEX(база!E:E, MATCH(F590,база!B:B,0)),"")</f>
        <v/>
      </c>
      <c r="AT590" s="46"/>
      <c r="AU590" s="46"/>
    </row>
    <row r="591" spans="1:47" ht="15">
      <c r="A591" s="66" t="str">
        <f t="shared" si="8"/>
        <v>январь</v>
      </c>
      <c r="B591" s="231">
        <v>2024</v>
      </c>
      <c r="C591" s="299"/>
      <c r="D591" s="61"/>
      <c r="E591" s="211"/>
      <c r="F591" s="680"/>
      <c r="G591" s="47"/>
      <c r="H591" s="563"/>
      <c r="I591" s="563"/>
      <c r="J591" s="563"/>
      <c r="K591" s="563"/>
      <c r="L591" s="563"/>
      <c r="M591" s="563"/>
      <c r="N591" s="563"/>
      <c r="O591" s="563"/>
      <c r="P591" s="300"/>
      <c r="Q591" s="563"/>
      <c r="R591" s="563"/>
      <c r="S591" s="563"/>
      <c r="T591" s="563"/>
      <c r="U591" s="563"/>
      <c r="V591" s="563"/>
      <c r="W591" s="563"/>
      <c r="X591" s="563"/>
      <c r="Y591" s="563"/>
      <c r="Z591" s="563"/>
      <c r="AA591" s="563"/>
      <c r="AB591" s="563"/>
      <c r="AC591" s="563"/>
      <c r="AD591" s="48"/>
      <c r="AE591" s="48"/>
      <c r="AF591" s="258"/>
      <c r="AG591" s="48"/>
      <c r="AH591" s="48"/>
      <c r="AI591" s="258"/>
      <c r="AJ591" s="258"/>
      <c r="AK591" s="258"/>
      <c r="AL591" s="258"/>
      <c r="AM591" s="212">
        <f>IF(AQ591=1,SUM(Q591:T591,W591:Z591,AC591:AF591,AI591:AL591),
IF(AQ591=2,SUM(P591,S591:V591,Y591:AB591,AE591:AH591,AK591:AL591),
IF(AQ591=3,SUM(P591:R591,U591:X591,AA591:AD591,AG591:AJ591),SUM(Таблица1[[#This Row],[1]:[31]])-Таблица1[[#This Row],[Столбец1]])))</f>
        <v>0</v>
      </c>
      <c r="AN591" s="778">
        <f t="array" ref="AN591">IF(AQ591=1,SUM(P591,U591:V591,AA591:AB591,AG591:AH591),
IF(AQ591=2,SUM(Q591:R591,W591:X591,AC591:AD591,AI591:AJ591),
IF(AQ591=3,SUM(S591:T591,Y591:Z591,AE591:AF591,AK591:AL591),
SUM(IFERROR(WEEKDAY($H$2:$AL$2,2)&gt;5,)*H591:AL591))))+Таблица1[[#This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91" s="292" t="b">
        <f>IF(AR591&lt;=3,(IF((G591="5/24"),((база!$M$6*Таблица1[[#This Row],[сумма]]*Таблица1[[#This Row],[коэф]])),
IF((G591="4/24"),((база!$M$5*Таблица1[[#This Row],[сумма]]*Таблица1[[#This Row],[коэф]])),
IF((G591="3/24"),((база!$M$4*Таблица1[[#This Row],[сумма]]*Таблица1[[#This Row],[коэф]])),
IF((G591="5/16"),((база!$L$6*Таблица1[[#This Row],[сумма]]*Таблица1[[#This Row],[коэф]])),
IF((G591="4/16"),((база!$L$5*Таблица1[[#This Row],[сумма]]*Таблица1[[#This Row],[коэф]])),
IF((G591="3/16"),((база!$L$4*Таблица1[[#This Row],[сумма]]*Таблица1[[#This Row],[коэф]])),
IF((G591="4/4"),((база!$I$5*Таблица1[[#This Row],[сумма]]*Таблица1[[#This Row],[коэф]])),
IF(OR(G591="2/4",G591="3/4"),((база!$I$4*Таблица1[[#This Row],[сумма]]*Таблица1[[#This Row],[коэф]])),
IF((G591="5/8"),((база!$J$6*Таблица1[[#This Row],[сумма]]*Таблица1[[#This Row],[коэф]])),
IF((G591="4/8"),((база!$J$5*Таблица1[[#This Row],[сумма]]*Таблица1[[#This Row],[коэф]])),
IF(OR(G591="3/8",G591="2/8"),((база!$J$4*Таблица1[[#This Row],[сумма]]*Таблица1[[#This Row],[коэф]])))))))))))))),
(IF((G591="5/24"),((база!$M$6*Таблица1[[#This Row],[сумма]]*Таблица1[[#This Row],[коэф]])),
IF(OR(G591="4/24",G591="3/24"),((база!$M$5*Таблица1[[#This Row],[сумма]]*Таблица1[[#This Row],[коэф]])),
IF((G591="5/16"),((база!$L$6*Таблица1[[#This Row],[сумма]]*Таблица1[[#This Row],[коэф]])),
IF(OR(G591="4/16",G591="3/16"),((база!$L$5*Таблица1[[#This Row],[сумма]]*Таблица1[[#This Row],[коэф]])),
IF(OR(G591="2/4",G591="3/4",G591="4/4"),((база!$I$5*Таблица1[[#This Row],[сумма]]*Таблица1[[#This Row],[коэф]])),
IF((G591="5/8"),((база!$J$6*Таблица1[[#This Row],[сумма]]*Таблица1[[#This Row],[коэф]])),
IF(OR(G591="4/8",G591="3/8",G591="2/8"),((база!$J$5*Таблица1[[#This Row],[сумма]]*Таблица1[[#This Row],[коэф]])))))))))))</f>
        <v>0</v>
      </c>
      <c r="AP591" s="730" t="b">
        <f>IF(AR591&lt;=3,(IF((G591="5/24"),((база!$M$6*2*Таблица1[[#This Row],[Столбец1]]*Таблица1[[#This Row],[коэф]])),
IF((G591="4/24"),((база!$M$5*2*Таблица1[[#This Row],[Столбец1]]*Таблица1[[#This Row],[коэф]])),
IF((G591="3/24"),((база!$M$4*2*Таблица1[[#This Row],[Столбец1]]*Таблица1[[#This Row],[коэф]])),
IF((G591="5/16"),((база!$L$6*2*Таблица1[[#This Row],[Столбец1]]*Таблица1[[#This Row],[коэф]])),
IF((G591="4/16"),((база!$L$5*2*Таблица1[[#This Row],[Столбец1]]*Таблица1[[#This Row],[коэф]])),
IF((G591="3/16"),((база!$L$4*2*Таблица1[[#This Row],[Столбец1]]*Таблица1[[#This Row],[коэф]])),
IF((G591="4/4"),((база!$I$5*2*Таблица1[[#This Row],[Столбец1]]*Таблица1[[#This Row],[коэф]])),
IF(OR(G591="2/4",G591="3/4"),((база!$I$4*2*Таблица1[[#This Row],[Столбец1]]*Таблица1[[#This Row],[коэф]])),
IF((G591="5/8"),((база!$J$6*2*Таблица1[[#This Row],[Столбец1]]*Таблица1[[#This Row],[коэф]])),
IF((G591="4/8"),((база!$J$5*2*Таблица1[[#This Row],[Столбец1]]*Таблица1[[#This Row],[коэф]])),
IF(OR(G591="3/8",G591="2/8"),((база!$J$4*2*Таблица1[[#This Row],[Столбец1]]*Таблица1[[#This Row],[коэф]])))))))))))))),
(IF((G591="5/24"),((база!$M$6*2*Таблица1[[#This Row],[Столбец1]]*Таблица1[[#This Row],[коэф]])),
IF(OR(G591="4/24",G591="3/24"),((база!$M$5*2*Таблица1[[#This Row],[Столбец1]]*Таблица1[[#This Row],[коэф]])),
IF((G591="5/16"),((база!$L$6*2*Таблица1[[#This Row],[Столбец1]]*Таблица1[[#This Row],[коэф]])),
IF(OR(G591="4/16",G591="3/16"),((база!$L$5*2*Таблица1[[#This Row],[Столбец1]]*Таблица1[[#This Row],[коэф]])),
IF(OR(G591="2/4",G591="3/4",G591="4/4"),((база!$I$5*2*Таблица1[[#This Row],[Столбец1]]*Таблица1[[#This Row],[коэф]])),
IF((G591="5/8"),((база!$J$6*2*Таблица1[[#This Row],[Столбец1]]*Таблица1[[#This Row],[коэф]])),
IF(OR(G591="4/8",G591="3/8",G591="2/8"),((база!$J$5*2*Таблица1[[#This Row],[Столбец1]]*Таблица1[[#This Row],[коэф]])))))))))))</f>
        <v>0</v>
      </c>
      <c r="AQ591" s="712" t="str">
        <f>IFERROR(INDEX(база!T:T, MATCH(F591,база!Q:Q,0)),"")</f>
        <v/>
      </c>
      <c r="AR591" s="208" t="str">
        <f>IFERROR(INDEX(база!D:D, MATCH(F591,база!B:B,0)),"")</f>
        <v/>
      </c>
      <c r="AS591" s="758" t="str">
        <f>IFERROR(INDEX(база!E:E, MATCH(F591,база!B:B,0)),"")</f>
        <v/>
      </c>
      <c r="AT591" s="46"/>
      <c r="AU591" s="46"/>
    </row>
    <row r="592" spans="1:47" ht="15">
      <c r="A592" s="66" t="str">
        <f t="shared" si="8"/>
        <v>январь</v>
      </c>
      <c r="B592" s="231">
        <v>2024</v>
      </c>
      <c r="C592" s="299"/>
      <c r="D592" s="61"/>
      <c r="E592" s="211"/>
      <c r="F592" s="680"/>
      <c r="G592" s="47"/>
      <c r="H592" s="563"/>
      <c r="I592" s="563"/>
      <c r="J592" s="563"/>
      <c r="K592" s="563"/>
      <c r="L592" s="563"/>
      <c r="M592" s="563"/>
      <c r="N592" s="563"/>
      <c r="O592" s="563"/>
      <c r="P592" s="300"/>
      <c r="Q592" s="563"/>
      <c r="R592" s="563"/>
      <c r="S592" s="563"/>
      <c r="T592" s="563"/>
      <c r="U592" s="563"/>
      <c r="V592" s="563"/>
      <c r="W592" s="563"/>
      <c r="X592" s="563"/>
      <c r="Y592" s="563"/>
      <c r="Z592" s="563"/>
      <c r="AA592" s="563"/>
      <c r="AB592" s="563"/>
      <c r="AC592" s="563"/>
      <c r="AD592" s="48"/>
      <c r="AE592" s="48"/>
      <c r="AF592" s="258"/>
      <c r="AG592" s="48"/>
      <c r="AH592" s="48"/>
      <c r="AI592" s="48"/>
      <c r="AJ592" s="48"/>
      <c r="AK592" s="48"/>
      <c r="AL592" s="51"/>
      <c r="AM592" s="212">
        <f>IF(AQ592=1,SUM(Q592:T592,W592:Z592,AC592:AF592,AI592:AL592),
IF(AQ592=2,SUM(P592,S592:V592,Y592:AB592,AE592:AH592,AK592:AL592),
IF(AQ592=3,SUM(P592:R592,U592:X592,AA592:AD592,AG592:AJ592),SUM(Таблица1[[#This Row],[1]:[31]])-Таблица1[[#This Row],[Столбец1]])))</f>
        <v>0</v>
      </c>
      <c r="AN592" s="778">
        <f t="array" ref="AN592">IF(AQ592=1,SUM(P592,U592:V592,AA592:AB592,AG592:AH592),
IF(AQ592=2,SUM(Q592:R592,W592:X592,AC592:AD592,AI592:AJ592),
IF(AQ592=3,SUM(S592:T592,Y592:Z592,AE592:AF592,AK592:AL592),
SUM(IFERROR(WEEKDAY($H$2:$AL$2,2)&gt;5,)*H592:AL592))))+Таблица1[[#This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92" s="292" t="b">
        <f>IF(AR592&lt;=3,(IF((G592="5/24"),((база!$M$6*Таблица1[[#This Row],[сумма]]*Таблица1[[#This Row],[коэф]])),
IF((G592="4/24"),((база!$M$5*Таблица1[[#This Row],[сумма]]*Таблица1[[#This Row],[коэф]])),
IF((G592="3/24"),((база!$M$4*Таблица1[[#This Row],[сумма]]*Таблица1[[#This Row],[коэф]])),
IF((G592="5/16"),((база!$L$6*Таблица1[[#This Row],[сумма]]*Таблица1[[#This Row],[коэф]])),
IF((G592="4/16"),((база!$L$5*Таблица1[[#This Row],[сумма]]*Таблица1[[#This Row],[коэф]])),
IF((G592="3/16"),((база!$L$4*Таблица1[[#This Row],[сумма]]*Таблица1[[#This Row],[коэф]])),
IF((G592="4/4"),((база!$I$5*Таблица1[[#This Row],[сумма]]*Таблица1[[#This Row],[коэф]])),
IF(OR(G592="2/4",G592="3/4"),((база!$I$4*Таблица1[[#This Row],[сумма]]*Таблица1[[#This Row],[коэф]])),
IF((G592="5/8"),((база!$J$6*Таблица1[[#This Row],[сумма]]*Таблица1[[#This Row],[коэф]])),
IF((G592="4/8"),((база!$J$5*Таблица1[[#This Row],[сумма]]*Таблица1[[#This Row],[коэф]])),
IF(OR(G592="3/8",G592="2/8"),((база!$J$4*Таблица1[[#This Row],[сумма]]*Таблица1[[#This Row],[коэф]])))))))))))))),
(IF((G592="5/24"),((база!$M$6*Таблица1[[#This Row],[сумма]]*Таблица1[[#This Row],[коэф]])),
IF(OR(G592="4/24",G592="3/24"),((база!$M$5*Таблица1[[#This Row],[сумма]]*Таблица1[[#This Row],[коэф]])),
IF((G592="5/16"),((база!$L$6*Таблица1[[#This Row],[сумма]]*Таблица1[[#This Row],[коэф]])),
IF(OR(G592="4/16",G592="3/16"),((база!$L$5*Таблица1[[#This Row],[сумма]]*Таблица1[[#This Row],[коэф]])),
IF(OR(G592="2/4",G592="3/4",G592="4/4"),((база!$I$5*Таблица1[[#This Row],[сумма]]*Таблица1[[#This Row],[коэф]])),
IF((G592="5/8"),((база!$J$6*Таблица1[[#This Row],[сумма]]*Таблица1[[#This Row],[коэф]])),
IF(OR(G592="4/8",G592="3/8",G592="2/8"),((база!$J$5*Таблица1[[#This Row],[сумма]]*Таблица1[[#This Row],[коэф]])))))))))))</f>
        <v>0</v>
      </c>
      <c r="AP592" s="730" t="b">
        <f>IF(AR592&lt;=3,(IF((G592="5/24"),((база!$M$6*2*Таблица1[[#This Row],[Столбец1]]*Таблица1[[#This Row],[коэф]])),
IF((G592="4/24"),((база!$M$5*2*Таблица1[[#This Row],[Столбец1]]*Таблица1[[#This Row],[коэф]])),
IF((G592="3/24"),((база!$M$4*2*Таблица1[[#This Row],[Столбец1]]*Таблица1[[#This Row],[коэф]])),
IF((G592="5/16"),((база!$L$6*2*Таблица1[[#This Row],[Столбец1]]*Таблица1[[#This Row],[коэф]])),
IF((G592="4/16"),((база!$L$5*2*Таблица1[[#This Row],[Столбец1]]*Таблица1[[#This Row],[коэф]])),
IF((G592="3/16"),((база!$L$4*2*Таблица1[[#This Row],[Столбец1]]*Таблица1[[#This Row],[коэф]])),
IF((G592="4/4"),((база!$I$5*2*Таблица1[[#This Row],[Столбец1]]*Таблица1[[#This Row],[коэф]])),
IF(OR(G592="2/4",G592="3/4"),((база!$I$4*2*Таблица1[[#This Row],[Столбец1]]*Таблица1[[#This Row],[коэф]])),
IF((G592="5/8"),((база!$J$6*2*Таблица1[[#This Row],[Столбец1]]*Таблица1[[#This Row],[коэф]])),
IF((G592="4/8"),((база!$J$5*2*Таблица1[[#This Row],[Столбец1]]*Таблица1[[#This Row],[коэф]])),
IF(OR(G592="3/8",G592="2/8"),((база!$J$4*2*Таблица1[[#This Row],[Столбец1]]*Таблица1[[#This Row],[коэф]])))))))))))))),
(IF((G592="5/24"),((база!$M$6*2*Таблица1[[#This Row],[Столбец1]]*Таблица1[[#This Row],[коэф]])),
IF(OR(G592="4/24",G592="3/24"),((база!$M$5*2*Таблица1[[#This Row],[Столбец1]]*Таблица1[[#This Row],[коэф]])),
IF((G592="5/16"),((база!$L$6*2*Таблица1[[#This Row],[Столбец1]]*Таблица1[[#This Row],[коэф]])),
IF(OR(G592="4/16",G592="3/16"),((база!$L$5*2*Таблица1[[#This Row],[Столбец1]]*Таблица1[[#This Row],[коэф]])),
IF(OR(G592="2/4",G592="3/4",G592="4/4"),((база!$I$5*2*Таблица1[[#This Row],[Столбец1]]*Таблица1[[#This Row],[коэф]])),
IF((G592="5/8"),((база!$J$6*2*Таблица1[[#This Row],[Столбец1]]*Таблица1[[#This Row],[коэф]])),
IF(OR(G592="4/8",G592="3/8",G592="2/8"),((база!$J$5*2*Таблица1[[#This Row],[Столбец1]]*Таблица1[[#This Row],[коэф]])))))))))))</f>
        <v>0</v>
      </c>
      <c r="AQ592" s="712" t="str">
        <f>IFERROR(INDEX(база!T:T, MATCH(F592,база!Q:Q,0)),"")</f>
        <v/>
      </c>
      <c r="AR592" s="208" t="str">
        <f>IFERROR(INDEX(база!D:D, MATCH(F592,база!B:B,0)),"")</f>
        <v/>
      </c>
      <c r="AS592" s="758" t="str">
        <f>IFERROR(INDEX(база!E:E, MATCH(F592,база!B:B,0)),"")</f>
        <v/>
      </c>
      <c r="AT592" s="46"/>
      <c r="AU592" s="46"/>
    </row>
    <row r="593" spans="1:45" s="46" customFormat="1" ht="15">
      <c r="A593" s="66" t="str">
        <f t="shared" si="8"/>
        <v>январь</v>
      </c>
      <c r="B593" s="231">
        <v>2024</v>
      </c>
      <c r="C593" s="60"/>
      <c r="D593" s="61"/>
      <c r="E593" s="211"/>
      <c r="F593" s="680"/>
      <c r="G593" s="47"/>
      <c r="H593" s="563"/>
      <c r="I593" s="563"/>
      <c r="J593" s="563"/>
      <c r="K593" s="563"/>
      <c r="L593" s="563"/>
      <c r="M593" s="563"/>
      <c r="N593" s="563"/>
      <c r="O593" s="563"/>
      <c r="P593" s="300"/>
      <c r="Q593" s="563"/>
      <c r="R593" s="563"/>
      <c r="S593" s="563"/>
      <c r="T593" s="563"/>
      <c r="U593" s="563"/>
      <c r="V593" s="563"/>
      <c r="W593" s="563"/>
      <c r="X593" s="563"/>
      <c r="Y593" s="563"/>
      <c r="Z593" s="563"/>
      <c r="AA593" s="563"/>
      <c r="AB593" s="563"/>
      <c r="AC593" s="563"/>
      <c r="AD593" s="48"/>
      <c r="AE593" s="48"/>
      <c r="AF593" s="258"/>
      <c r="AG593" s="48"/>
      <c r="AH593" s="48"/>
      <c r="AI593" s="258"/>
      <c r="AJ593" s="258"/>
      <c r="AK593" s="258"/>
      <c r="AL593" s="258"/>
      <c r="AM593" s="212">
        <f>IF(AQ593=1,SUM(Q593:T593,W593:Z593,AC593:AF593,AI593:AL593),
IF(AQ593=2,SUM(P593,S593:V593,Y593:AB593,AE593:AH593,AK593:AL593),
IF(AQ593=3,SUM(P593:R593,U593:X593,AA593:AD593,AG593:AJ593),SUM(Таблица1[[#This Row],[1]:[31]])-Таблица1[[#This Row],[Столбец1]])))</f>
        <v>0</v>
      </c>
      <c r="AN593" s="778">
        <f t="array" ref="AN593">IF(AQ593=1,SUM(P593,U593:V593,AA593:AB593,AG593:AH593),
IF(AQ593=2,SUM(Q593:R593,W593:X593,AC593:AD593,AI593:AJ593),
IF(AQ593=3,SUM(S593:T593,Y593:Z593,AE593:AF593,AK593:AL593),
SUM(IFERROR(WEEKDAY($H$2:$AL$2,2)&gt;5,)*H593:AL593))))+Таблица1[[#This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93" s="292" t="b">
        <f>IF(AR593&lt;=3,(IF((G593="5/24"),((база!$M$6*Таблица1[[#This Row],[сумма]]*Таблица1[[#This Row],[коэф]])),
IF((G593="4/24"),((база!$M$5*Таблица1[[#This Row],[сумма]]*Таблица1[[#This Row],[коэф]])),
IF((G593="3/24"),((база!$M$4*Таблица1[[#This Row],[сумма]]*Таблица1[[#This Row],[коэф]])),
IF((G593="5/16"),((база!$L$6*Таблица1[[#This Row],[сумма]]*Таблица1[[#This Row],[коэф]])),
IF((G593="4/16"),((база!$L$5*Таблица1[[#This Row],[сумма]]*Таблица1[[#This Row],[коэф]])),
IF((G593="3/16"),((база!$L$4*Таблица1[[#This Row],[сумма]]*Таблица1[[#This Row],[коэф]])),
IF((G593="4/4"),((база!$I$5*Таблица1[[#This Row],[сумма]]*Таблица1[[#This Row],[коэф]])),
IF(OR(G593="2/4",G593="3/4"),((база!$I$4*Таблица1[[#This Row],[сумма]]*Таблица1[[#This Row],[коэф]])),
IF((G593="5/8"),((база!$J$6*Таблица1[[#This Row],[сумма]]*Таблица1[[#This Row],[коэф]])),
IF((G593="4/8"),((база!$J$5*Таблица1[[#This Row],[сумма]]*Таблица1[[#This Row],[коэф]])),
IF(OR(G593="3/8",G593="2/8"),((база!$J$4*Таблица1[[#This Row],[сумма]]*Таблица1[[#This Row],[коэф]])))))))))))))),
(IF((G593="5/24"),((база!$M$6*Таблица1[[#This Row],[сумма]]*Таблица1[[#This Row],[коэф]])),
IF(OR(G593="4/24",G593="3/24"),((база!$M$5*Таблица1[[#This Row],[сумма]]*Таблица1[[#This Row],[коэф]])),
IF((G593="5/16"),((база!$L$6*Таблица1[[#This Row],[сумма]]*Таблица1[[#This Row],[коэф]])),
IF(OR(G593="4/16",G593="3/16"),((база!$L$5*Таблица1[[#This Row],[сумма]]*Таблица1[[#This Row],[коэф]])),
IF(OR(G593="2/4",G593="3/4",G593="4/4"),((база!$I$5*Таблица1[[#This Row],[сумма]]*Таблица1[[#This Row],[коэф]])),
IF((G593="5/8"),((база!$J$6*Таблица1[[#This Row],[сумма]]*Таблица1[[#This Row],[коэф]])),
IF(OR(G593="4/8",G593="3/8",G593="2/8"),((база!$J$5*Таблица1[[#This Row],[сумма]]*Таблица1[[#This Row],[коэф]])))))))))))</f>
        <v>0</v>
      </c>
      <c r="AP593" s="730" t="b">
        <f>IF(AR593&lt;=3,(IF((G593="5/24"),((база!$M$6*2*Таблица1[[#This Row],[Столбец1]]*Таблица1[[#This Row],[коэф]])),
IF((G593="4/24"),((база!$M$5*2*Таблица1[[#This Row],[Столбец1]]*Таблица1[[#This Row],[коэф]])),
IF((G593="3/24"),((база!$M$4*2*Таблица1[[#This Row],[Столбец1]]*Таблица1[[#This Row],[коэф]])),
IF((G593="5/16"),((база!$L$6*2*Таблица1[[#This Row],[Столбец1]]*Таблица1[[#This Row],[коэф]])),
IF((G593="4/16"),((база!$L$5*2*Таблица1[[#This Row],[Столбец1]]*Таблица1[[#This Row],[коэф]])),
IF((G593="3/16"),((база!$L$4*2*Таблица1[[#This Row],[Столбец1]]*Таблица1[[#This Row],[коэф]])),
IF((G593="4/4"),((база!$I$5*2*Таблица1[[#This Row],[Столбец1]]*Таблица1[[#This Row],[коэф]])),
IF(OR(G593="2/4",G593="3/4"),((база!$I$4*2*Таблица1[[#This Row],[Столбец1]]*Таблица1[[#This Row],[коэф]])),
IF((G593="5/8"),((база!$J$6*2*Таблица1[[#This Row],[Столбец1]]*Таблица1[[#This Row],[коэф]])),
IF((G593="4/8"),((база!$J$5*2*Таблица1[[#This Row],[Столбец1]]*Таблица1[[#This Row],[коэф]])),
IF(OR(G593="3/8",G593="2/8"),((база!$J$4*2*Таблица1[[#This Row],[Столбец1]]*Таблица1[[#This Row],[коэф]])))))))))))))),
(IF((G593="5/24"),((база!$M$6*2*Таблица1[[#This Row],[Столбец1]]*Таблица1[[#This Row],[коэф]])),
IF(OR(G593="4/24",G593="3/24"),((база!$M$5*2*Таблица1[[#This Row],[Столбец1]]*Таблица1[[#This Row],[коэф]])),
IF((G593="5/16"),((база!$L$6*2*Таблица1[[#This Row],[Столбец1]]*Таблица1[[#This Row],[коэф]])),
IF(OR(G593="4/16",G593="3/16"),((база!$L$5*2*Таблица1[[#This Row],[Столбец1]]*Таблица1[[#This Row],[коэф]])),
IF(OR(G593="2/4",G593="3/4",G593="4/4"),((база!$I$5*2*Таблица1[[#This Row],[Столбец1]]*Таблица1[[#This Row],[коэф]])),
IF((G593="5/8"),((база!$J$6*2*Таблица1[[#This Row],[Столбец1]]*Таблица1[[#This Row],[коэф]])),
IF(OR(G593="4/8",G593="3/8",G593="2/8"),((база!$J$5*2*Таблица1[[#This Row],[Столбец1]]*Таблица1[[#This Row],[коэф]])))))))))))</f>
        <v>0</v>
      </c>
      <c r="AQ593" s="712" t="str">
        <f>IFERROR(INDEX(база!T:T, MATCH(F593,база!Q:Q,0)),"")</f>
        <v/>
      </c>
      <c r="AR593" s="208" t="str">
        <f>IFERROR(INDEX(база!D:D, MATCH(F593,база!B:B,0)),"")</f>
        <v/>
      </c>
      <c r="AS593" s="758" t="str">
        <f>IFERROR(INDEX(база!E:E, MATCH(F593,база!B:B,0)),"")</f>
        <v/>
      </c>
    </row>
    <row r="594" spans="1:45" s="46" customFormat="1" ht="15">
      <c r="A594" s="66" t="str">
        <f t="shared" si="8"/>
        <v>январь</v>
      </c>
      <c r="B594" s="231">
        <v>2024</v>
      </c>
      <c r="C594" s="299"/>
      <c r="D594" s="61"/>
      <c r="E594" s="211"/>
      <c r="F594" s="680"/>
      <c r="G594" s="47"/>
      <c r="H594" s="563"/>
      <c r="I594" s="563"/>
      <c r="J594" s="563"/>
      <c r="K594" s="563"/>
      <c r="L594" s="563"/>
      <c r="M594" s="563"/>
      <c r="N594" s="563"/>
      <c r="O594" s="563"/>
      <c r="P594" s="300"/>
      <c r="Q594" s="563"/>
      <c r="R594" s="563"/>
      <c r="S594" s="563"/>
      <c r="T594" s="563"/>
      <c r="U594" s="563"/>
      <c r="V594" s="563"/>
      <c r="W594" s="563"/>
      <c r="X594" s="563"/>
      <c r="Y594" s="563"/>
      <c r="Z594" s="563"/>
      <c r="AA594" s="563"/>
      <c r="AB594" s="563"/>
      <c r="AC594" s="563"/>
      <c r="AD594" s="48"/>
      <c r="AE594" s="48"/>
      <c r="AF594" s="258"/>
      <c r="AG594" s="48"/>
      <c r="AH594" s="48"/>
      <c r="AI594" s="48"/>
      <c r="AJ594" s="48"/>
      <c r="AK594" s="48"/>
      <c r="AL594" s="51"/>
      <c r="AM594" s="212">
        <f>IF(AQ594=1,SUM(Q594:T594,W594:Z594,AC594:AF594,AI594:AL594),
IF(AQ594=2,SUM(P594,S594:V594,Y594:AB594,AE594:AH594,AK594:AL594),
IF(AQ594=3,SUM(P594:R594,U594:X594,AA594:AD594,AG594:AJ594),SUM(Таблица1[[#This Row],[1]:[31]])-Таблица1[[#This Row],[Столбец1]])))</f>
        <v>0</v>
      </c>
      <c r="AN594" s="778">
        <f t="array" ref="AN594">IF(AQ594=1,SUM(P594,U594:V594,AA594:AB594,AG594:AH594),
IF(AQ594=2,SUM(Q594:R594,W594:X594,AC594:AD594,AI594:AJ594),
IF(AQ594=3,SUM(S594:T594,Y594:Z594,AE594:AF594,AK594:AL594),
SUM(IFERROR(WEEKDAY($H$2:$AL$2,2)&gt;5,)*H594:AL594))))+Таблица1[[#This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94" s="292" t="b">
        <f>IF(AR594&lt;=3,(IF((G594="5/24"),((база!$M$6*Таблица1[[#This Row],[сумма]]*Таблица1[[#This Row],[коэф]])),
IF((G594="4/24"),((база!$M$5*Таблица1[[#This Row],[сумма]]*Таблица1[[#This Row],[коэф]])),
IF((G594="3/24"),((база!$M$4*Таблица1[[#This Row],[сумма]]*Таблица1[[#This Row],[коэф]])),
IF((G594="5/16"),((база!$L$6*Таблица1[[#This Row],[сумма]]*Таблица1[[#This Row],[коэф]])),
IF((G594="4/16"),((база!$L$5*Таблица1[[#This Row],[сумма]]*Таблица1[[#This Row],[коэф]])),
IF((G594="3/16"),((база!$L$4*Таблица1[[#This Row],[сумма]]*Таблица1[[#This Row],[коэф]])),
IF((G594="4/4"),((база!$I$5*Таблица1[[#This Row],[сумма]]*Таблица1[[#This Row],[коэф]])),
IF(OR(G594="2/4",G594="3/4"),((база!$I$4*Таблица1[[#This Row],[сумма]]*Таблица1[[#This Row],[коэф]])),
IF((G594="5/8"),((база!$J$6*Таблица1[[#This Row],[сумма]]*Таблица1[[#This Row],[коэф]])),
IF((G594="4/8"),((база!$J$5*Таблица1[[#This Row],[сумма]]*Таблица1[[#This Row],[коэф]])),
IF(OR(G594="3/8",G594="2/8"),((база!$J$4*Таблица1[[#This Row],[сумма]]*Таблица1[[#This Row],[коэф]])))))))))))))),
(IF((G594="5/24"),((база!$M$6*Таблица1[[#This Row],[сумма]]*Таблица1[[#This Row],[коэф]])),
IF(OR(G594="4/24",G594="3/24"),((база!$M$5*Таблица1[[#This Row],[сумма]]*Таблица1[[#This Row],[коэф]])),
IF((G594="5/16"),((база!$L$6*Таблица1[[#This Row],[сумма]]*Таблица1[[#This Row],[коэф]])),
IF(OR(G594="4/16",G594="3/16"),((база!$L$5*Таблица1[[#This Row],[сумма]]*Таблица1[[#This Row],[коэф]])),
IF(OR(G594="2/4",G594="3/4",G594="4/4"),((база!$I$5*Таблица1[[#This Row],[сумма]]*Таблица1[[#This Row],[коэф]])),
IF((G594="5/8"),((база!$J$6*Таблица1[[#This Row],[сумма]]*Таблица1[[#This Row],[коэф]])),
IF(OR(G594="4/8",G594="3/8",G594="2/8"),((база!$J$5*Таблица1[[#This Row],[сумма]]*Таблица1[[#This Row],[коэф]])))))))))))</f>
        <v>0</v>
      </c>
      <c r="AP594" s="730" t="b">
        <f>IF(AR594&lt;=3,(IF((G594="5/24"),((база!$M$6*2*Таблица1[[#This Row],[Столбец1]]*Таблица1[[#This Row],[коэф]])),
IF((G594="4/24"),((база!$M$5*2*Таблица1[[#This Row],[Столбец1]]*Таблица1[[#This Row],[коэф]])),
IF((G594="3/24"),((база!$M$4*2*Таблица1[[#This Row],[Столбец1]]*Таблица1[[#This Row],[коэф]])),
IF((G594="5/16"),((база!$L$6*2*Таблица1[[#This Row],[Столбец1]]*Таблица1[[#This Row],[коэф]])),
IF((G594="4/16"),((база!$L$5*2*Таблица1[[#This Row],[Столбец1]]*Таблица1[[#This Row],[коэф]])),
IF((G594="3/16"),((база!$L$4*2*Таблица1[[#This Row],[Столбец1]]*Таблица1[[#This Row],[коэф]])),
IF((G594="4/4"),((база!$I$5*2*Таблица1[[#This Row],[Столбец1]]*Таблица1[[#This Row],[коэф]])),
IF(OR(G594="2/4",G594="3/4"),((база!$I$4*2*Таблица1[[#This Row],[Столбец1]]*Таблица1[[#This Row],[коэф]])),
IF((G594="5/8"),((база!$J$6*2*Таблица1[[#This Row],[Столбец1]]*Таблица1[[#This Row],[коэф]])),
IF((G594="4/8"),((база!$J$5*2*Таблица1[[#This Row],[Столбец1]]*Таблица1[[#This Row],[коэф]])),
IF(OR(G594="3/8",G594="2/8"),((база!$J$4*2*Таблица1[[#This Row],[Столбец1]]*Таблица1[[#This Row],[коэф]])))))))))))))),
(IF((G594="5/24"),((база!$M$6*2*Таблица1[[#This Row],[Столбец1]]*Таблица1[[#This Row],[коэф]])),
IF(OR(G594="4/24",G594="3/24"),((база!$M$5*2*Таблица1[[#This Row],[Столбец1]]*Таблица1[[#This Row],[коэф]])),
IF((G594="5/16"),((база!$L$6*2*Таблица1[[#This Row],[Столбец1]]*Таблица1[[#This Row],[коэф]])),
IF(OR(G594="4/16",G594="3/16"),((база!$L$5*2*Таблица1[[#This Row],[Столбец1]]*Таблица1[[#This Row],[коэф]])),
IF(OR(G594="2/4",G594="3/4",G594="4/4"),((база!$I$5*2*Таблица1[[#This Row],[Столбец1]]*Таблица1[[#This Row],[коэф]])),
IF((G594="5/8"),((база!$J$6*2*Таблица1[[#This Row],[Столбец1]]*Таблица1[[#This Row],[коэф]])),
IF(OR(G594="4/8",G594="3/8",G594="2/8"),((база!$J$5*2*Таблица1[[#This Row],[Столбец1]]*Таблица1[[#This Row],[коэф]])))))))))))</f>
        <v>0</v>
      </c>
      <c r="AQ594" s="712" t="str">
        <f>IFERROR(INDEX(база!T:T, MATCH(F594,база!Q:Q,0)),"")</f>
        <v/>
      </c>
      <c r="AR594" s="208" t="str">
        <f>IFERROR(INDEX(база!D:D, MATCH(F594,база!B:B,0)),"")</f>
        <v/>
      </c>
      <c r="AS594" s="758" t="str">
        <f>IFERROR(INDEX(база!E:E, MATCH(F594,база!B:B,0)),"")</f>
        <v/>
      </c>
    </row>
    <row r="595" spans="1:45" s="46" customFormat="1" ht="15">
      <c r="A595" s="66" t="str">
        <f t="shared" si="8"/>
        <v>январь</v>
      </c>
      <c r="B595" s="231">
        <v>2024</v>
      </c>
      <c r="C595" s="299"/>
      <c r="D595" s="61"/>
      <c r="E595" s="211"/>
      <c r="F595" s="680"/>
      <c r="G595" s="47"/>
      <c r="H595" s="563"/>
      <c r="I595" s="563"/>
      <c r="J595" s="563"/>
      <c r="K595" s="563"/>
      <c r="L595" s="563"/>
      <c r="M595" s="563"/>
      <c r="N595" s="563"/>
      <c r="O595" s="563"/>
      <c r="P595" s="300"/>
      <c r="Q595" s="563"/>
      <c r="R595" s="563"/>
      <c r="S595" s="563"/>
      <c r="T595" s="563"/>
      <c r="U595" s="563"/>
      <c r="V595" s="563"/>
      <c r="W595" s="563"/>
      <c r="X595" s="563"/>
      <c r="Y595" s="563"/>
      <c r="Z595" s="563"/>
      <c r="AA595" s="563"/>
      <c r="AB595" s="563"/>
      <c r="AC595" s="563"/>
      <c r="AD595" s="48"/>
      <c r="AE595" s="48"/>
      <c r="AF595" s="258"/>
      <c r="AG595" s="48"/>
      <c r="AH595" s="48"/>
      <c r="AI595" s="258"/>
      <c r="AJ595" s="258"/>
      <c r="AK595" s="258"/>
      <c r="AL595" s="258"/>
      <c r="AM595" s="212">
        <f>IF(AQ595=1,SUM(Q595:T595,W595:Z595,AC595:AF595,AI595:AL595),
IF(AQ595=2,SUM(P595,S595:V595,Y595:AB595,AE595:AH595,AK595:AL595),
IF(AQ595=3,SUM(P595:R595,U595:X595,AA595:AD595,AG595:AJ595),SUM(Таблица1[[#This Row],[1]:[31]])-Таблица1[[#This Row],[Столбец1]])))</f>
        <v>0</v>
      </c>
      <c r="AN595" s="778">
        <f t="array" ref="AN595">IF(AQ595=1,SUM(P595,U595:V595,AA595:AB595,AG595:AH595),
IF(AQ595=2,SUM(Q595:R595,W595:X595,AC595:AD595,AI595:AJ595),
IF(AQ595=3,SUM(S595:T595,Y595:Z595,AE595:AF595,AK595:AL595),
SUM(IFERROR(WEEKDAY($H$2:$AL$2,2)&gt;5,)*H595:AL595))))+Таблица1[[#This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95" s="292" t="b">
        <f>IF(AR595&lt;=3,(IF((G595="5/24"),((база!$M$6*Таблица1[[#This Row],[сумма]]*Таблица1[[#This Row],[коэф]])),
IF((G595="4/24"),((база!$M$5*Таблица1[[#This Row],[сумма]]*Таблица1[[#This Row],[коэф]])),
IF((G595="3/24"),((база!$M$4*Таблица1[[#This Row],[сумма]]*Таблица1[[#This Row],[коэф]])),
IF((G595="5/16"),((база!$L$6*Таблица1[[#This Row],[сумма]]*Таблица1[[#This Row],[коэф]])),
IF((G595="4/16"),((база!$L$5*Таблица1[[#This Row],[сумма]]*Таблица1[[#This Row],[коэф]])),
IF((G595="3/16"),((база!$L$4*Таблица1[[#This Row],[сумма]]*Таблица1[[#This Row],[коэф]])),
IF((G595="4/4"),((база!$I$5*Таблица1[[#This Row],[сумма]]*Таблица1[[#This Row],[коэф]])),
IF(OR(G595="2/4",G595="3/4"),((база!$I$4*Таблица1[[#This Row],[сумма]]*Таблица1[[#This Row],[коэф]])),
IF((G595="5/8"),((база!$J$6*Таблица1[[#This Row],[сумма]]*Таблица1[[#This Row],[коэф]])),
IF((G595="4/8"),((база!$J$5*Таблица1[[#This Row],[сумма]]*Таблица1[[#This Row],[коэф]])),
IF(OR(G595="3/8",G595="2/8"),((база!$J$4*Таблица1[[#This Row],[сумма]]*Таблица1[[#This Row],[коэф]])))))))))))))),
(IF((G595="5/24"),((база!$M$6*Таблица1[[#This Row],[сумма]]*Таблица1[[#This Row],[коэф]])),
IF(OR(G595="4/24",G595="3/24"),((база!$M$5*Таблица1[[#This Row],[сумма]]*Таблица1[[#This Row],[коэф]])),
IF((G595="5/16"),((база!$L$6*Таблица1[[#This Row],[сумма]]*Таблица1[[#This Row],[коэф]])),
IF(OR(G595="4/16",G595="3/16"),((база!$L$5*Таблица1[[#This Row],[сумма]]*Таблица1[[#This Row],[коэф]])),
IF(OR(G595="2/4",G595="3/4",G595="4/4"),((база!$I$5*Таблица1[[#This Row],[сумма]]*Таблица1[[#This Row],[коэф]])),
IF((G595="5/8"),((база!$J$6*Таблица1[[#This Row],[сумма]]*Таблица1[[#This Row],[коэф]])),
IF(OR(G595="4/8",G595="3/8",G595="2/8"),((база!$J$5*Таблица1[[#This Row],[сумма]]*Таблица1[[#This Row],[коэф]])))))))))))</f>
        <v>0</v>
      </c>
      <c r="AP595" s="730" t="b">
        <f>IF(AR595&lt;=3,(IF((G595="5/24"),((база!$M$6*2*Таблица1[[#This Row],[Столбец1]]*Таблица1[[#This Row],[коэф]])),
IF((G595="4/24"),((база!$M$5*2*Таблица1[[#This Row],[Столбец1]]*Таблица1[[#This Row],[коэф]])),
IF((G595="3/24"),((база!$M$4*2*Таблица1[[#This Row],[Столбец1]]*Таблица1[[#This Row],[коэф]])),
IF((G595="5/16"),((база!$L$6*2*Таблица1[[#This Row],[Столбец1]]*Таблица1[[#This Row],[коэф]])),
IF((G595="4/16"),((база!$L$5*2*Таблица1[[#This Row],[Столбец1]]*Таблица1[[#This Row],[коэф]])),
IF((G595="3/16"),((база!$L$4*2*Таблица1[[#This Row],[Столбец1]]*Таблица1[[#This Row],[коэф]])),
IF((G595="4/4"),((база!$I$5*2*Таблица1[[#This Row],[Столбец1]]*Таблица1[[#This Row],[коэф]])),
IF(OR(G595="2/4",G595="3/4"),((база!$I$4*2*Таблица1[[#This Row],[Столбец1]]*Таблица1[[#This Row],[коэф]])),
IF((G595="5/8"),((база!$J$6*2*Таблица1[[#This Row],[Столбец1]]*Таблица1[[#This Row],[коэф]])),
IF((G595="4/8"),((база!$J$5*2*Таблица1[[#This Row],[Столбец1]]*Таблица1[[#This Row],[коэф]])),
IF(OR(G595="3/8",G595="2/8"),((база!$J$4*2*Таблица1[[#This Row],[Столбец1]]*Таблица1[[#This Row],[коэф]])))))))))))))),
(IF((G595="5/24"),((база!$M$6*2*Таблица1[[#This Row],[Столбец1]]*Таблица1[[#This Row],[коэф]])),
IF(OR(G595="4/24",G595="3/24"),((база!$M$5*2*Таблица1[[#This Row],[Столбец1]]*Таблица1[[#This Row],[коэф]])),
IF((G595="5/16"),((база!$L$6*2*Таблица1[[#This Row],[Столбец1]]*Таблица1[[#This Row],[коэф]])),
IF(OR(G595="4/16",G595="3/16"),((база!$L$5*2*Таблица1[[#This Row],[Столбец1]]*Таблица1[[#This Row],[коэф]])),
IF(OR(G595="2/4",G595="3/4",G595="4/4"),((база!$I$5*2*Таблица1[[#This Row],[Столбец1]]*Таблица1[[#This Row],[коэф]])),
IF((G595="5/8"),((база!$J$6*2*Таблица1[[#This Row],[Столбец1]]*Таблица1[[#This Row],[коэф]])),
IF(OR(G595="4/8",G595="3/8",G595="2/8"),((база!$J$5*2*Таблица1[[#This Row],[Столбец1]]*Таблица1[[#This Row],[коэф]])))))))))))</f>
        <v>0</v>
      </c>
      <c r="AQ595" s="712" t="str">
        <f>IFERROR(INDEX(база!T:T, MATCH(F595,база!Q:Q,0)),"")</f>
        <v/>
      </c>
      <c r="AR595" s="208" t="str">
        <f>IFERROR(INDEX(база!D:D, MATCH(F595,база!B:B,0)),"")</f>
        <v/>
      </c>
      <c r="AS595" s="758" t="str">
        <f>IFERROR(INDEX(база!E:E, MATCH(F595,база!B:B,0)),"")</f>
        <v/>
      </c>
    </row>
    <row r="596" spans="1:45" s="46" customFormat="1" ht="15">
      <c r="A596" s="66" t="str">
        <f t="shared" si="8"/>
        <v>январь</v>
      </c>
      <c r="B596" s="231">
        <v>2024</v>
      </c>
      <c r="C596" s="299"/>
      <c r="D596" s="61"/>
      <c r="E596" s="211"/>
      <c r="F596" s="680"/>
      <c r="G596" s="47"/>
      <c r="H596" s="563"/>
      <c r="I596" s="563"/>
      <c r="J596" s="563"/>
      <c r="K596" s="563"/>
      <c r="L596" s="563"/>
      <c r="M596" s="563"/>
      <c r="N596" s="563"/>
      <c r="O596" s="563"/>
      <c r="P596" s="300"/>
      <c r="Q596" s="563"/>
      <c r="R596" s="563"/>
      <c r="S596" s="563"/>
      <c r="T596" s="563"/>
      <c r="U596" s="563"/>
      <c r="V596" s="563"/>
      <c r="W596" s="563"/>
      <c r="X596" s="563"/>
      <c r="Y596" s="563"/>
      <c r="Z596" s="563"/>
      <c r="AA596" s="563"/>
      <c r="AB596" s="563"/>
      <c r="AC596" s="563"/>
      <c r="AD596" s="48"/>
      <c r="AE596" s="48"/>
      <c r="AF596" s="258"/>
      <c r="AG596" s="48"/>
      <c r="AH596" s="48"/>
      <c r="AI596" s="48"/>
      <c r="AJ596" s="48"/>
      <c r="AK596" s="48"/>
      <c r="AL596" s="51"/>
      <c r="AM596" s="212">
        <f>IF(AQ596=1,SUM(Q596:T596,W596:Z596,AC596:AF596,AI596:AL596),
IF(AQ596=2,SUM(P596,S596:V596,Y596:AB596,AE596:AH596,AK596:AL596),
IF(AQ596=3,SUM(P596:R596,U596:X596,AA596:AD596,AG596:AJ596),SUM(Таблица1[[#This Row],[1]:[31]])-Таблица1[[#This Row],[Столбец1]])))</f>
        <v>0</v>
      </c>
      <c r="AN596" s="778">
        <f t="array" ref="AN596">IF(AQ596=1,SUM(P596,U596:V596,AA596:AB596,AG596:AH596),
IF(AQ596=2,SUM(Q596:R596,W596:X596,AC596:AD596,AI596:AJ596),
IF(AQ596=3,SUM(S596:T596,Y596:Z596,AE596:AF596,AK596:AL596),
SUM(IFERROR(WEEKDAY($H$2:$AL$2,2)&gt;5,)*H596:AL596))))+Таблица1[[#This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96" s="292" t="b">
        <f>IF(AR596&lt;=3,(IF((G596="5/24"),((база!$M$6*Таблица1[[#This Row],[сумма]]*Таблица1[[#This Row],[коэф]])),
IF((G596="4/24"),((база!$M$5*Таблица1[[#This Row],[сумма]]*Таблица1[[#This Row],[коэф]])),
IF((G596="3/24"),((база!$M$4*Таблица1[[#This Row],[сумма]]*Таблица1[[#This Row],[коэф]])),
IF((G596="5/16"),((база!$L$6*Таблица1[[#This Row],[сумма]]*Таблица1[[#This Row],[коэф]])),
IF((G596="4/16"),((база!$L$5*Таблица1[[#This Row],[сумма]]*Таблица1[[#This Row],[коэф]])),
IF((G596="3/16"),((база!$L$4*Таблица1[[#This Row],[сумма]]*Таблица1[[#This Row],[коэф]])),
IF((G596="4/4"),((база!$I$5*Таблица1[[#This Row],[сумма]]*Таблица1[[#This Row],[коэф]])),
IF(OR(G596="2/4",G596="3/4"),((база!$I$4*Таблица1[[#This Row],[сумма]]*Таблица1[[#This Row],[коэф]])),
IF((G596="5/8"),((база!$J$6*Таблица1[[#This Row],[сумма]]*Таблица1[[#This Row],[коэф]])),
IF((G596="4/8"),((база!$J$5*Таблица1[[#This Row],[сумма]]*Таблица1[[#This Row],[коэф]])),
IF(OR(G596="3/8",G596="2/8"),((база!$J$4*Таблица1[[#This Row],[сумма]]*Таблица1[[#This Row],[коэф]])))))))))))))),
(IF((G596="5/24"),((база!$M$6*Таблица1[[#This Row],[сумма]]*Таблица1[[#This Row],[коэф]])),
IF(OR(G596="4/24",G596="3/24"),((база!$M$5*Таблица1[[#This Row],[сумма]]*Таблица1[[#This Row],[коэф]])),
IF((G596="5/16"),((база!$L$6*Таблица1[[#This Row],[сумма]]*Таблица1[[#This Row],[коэф]])),
IF(OR(G596="4/16",G596="3/16"),((база!$L$5*Таблица1[[#This Row],[сумма]]*Таблица1[[#This Row],[коэф]])),
IF(OR(G596="2/4",G596="3/4",G596="4/4"),((база!$I$5*Таблица1[[#This Row],[сумма]]*Таблица1[[#This Row],[коэф]])),
IF((G596="5/8"),((база!$J$6*Таблица1[[#This Row],[сумма]]*Таблица1[[#This Row],[коэф]])),
IF(OR(G596="4/8",G596="3/8",G596="2/8"),((база!$J$5*Таблица1[[#This Row],[сумма]]*Таблица1[[#This Row],[коэф]])))))))))))</f>
        <v>0</v>
      </c>
      <c r="AP596" s="730" t="b">
        <f>IF(AR596&lt;=3,(IF((G596="5/24"),((база!$M$6*2*Таблица1[[#This Row],[Столбец1]]*Таблица1[[#This Row],[коэф]])),
IF((G596="4/24"),((база!$M$5*2*Таблица1[[#This Row],[Столбец1]]*Таблица1[[#This Row],[коэф]])),
IF((G596="3/24"),((база!$M$4*2*Таблица1[[#This Row],[Столбец1]]*Таблица1[[#This Row],[коэф]])),
IF((G596="5/16"),((база!$L$6*2*Таблица1[[#This Row],[Столбец1]]*Таблица1[[#This Row],[коэф]])),
IF((G596="4/16"),((база!$L$5*2*Таблица1[[#This Row],[Столбец1]]*Таблица1[[#This Row],[коэф]])),
IF((G596="3/16"),((база!$L$4*2*Таблица1[[#This Row],[Столбец1]]*Таблица1[[#This Row],[коэф]])),
IF((G596="4/4"),((база!$I$5*2*Таблица1[[#This Row],[Столбец1]]*Таблица1[[#This Row],[коэф]])),
IF(OR(G596="2/4",G596="3/4"),((база!$I$4*2*Таблица1[[#This Row],[Столбец1]]*Таблица1[[#This Row],[коэф]])),
IF((G596="5/8"),((база!$J$6*2*Таблица1[[#This Row],[Столбец1]]*Таблица1[[#This Row],[коэф]])),
IF((G596="4/8"),((база!$J$5*2*Таблица1[[#This Row],[Столбец1]]*Таблица1[[#This Row],[коэф]])),
IF(OR(G596="3/8",G596="2/8"),((база!$J$4*2*Таблица1[[#This Row],[Столбец1]]*Таблица1[[#This Row],[коэф]])))))))))))))),
(IF((G596="5/24"),((база!$M$6*2*Таблица1[[#This Row],[Столбец1]]*Таблица1[[#This Row],[коэф]])),
IF(OR(G596="4/24",G596="3/24"),((база!$M$5*2*Таблица1[[#This Row],[Столбец1]]*Таблица1[[#This Row],[коэф]])),
IF((G596="5/16"),((база!$L$6*2*Таблица1[[#This Row],[Столбец1]]*Таблица1[[#This Row],[коэф]])),
IF(OR(G596="4/16",G596="3/16"),((база!$L$5*2*Таблица1[[#This Row],[Столбец1]]*Таблица1[[#This Row],[коэф]])),
IF(OR(G596="2/4",G596="3/4",G596="4/4"),((база!$I$5*2*Таблица1[[#This Row],[Столбец1]]*Таблица1[[#This Row],[коэф]])),
IF((G596="5/8"),((база!$J$6*2*Таблица1[[#This Row],[Столбец1]]*Таблица1[[#This Row],[коэф]])),
IF(OR(G596="4/8",G596="3/8",G596="2/8"),((база!$J$5*2*Таблица1[[#This Row],[Столбец1]]*Таблица1[[#This Row],[коэф]])))))))))))</f>
        <v>0</v>
      </c>
      <c r="AQ596" s="712" t="str">
        <f>IFERROR(INDEX(база!T:T, MATCH(F596,база!Q:Q,0)),"")</f>
        <v/>
      </c>
      <c r="AR596" s="208" t="str">
        <f>IFERROR(INDEX(база!D:D, MATCH(F596,база!B:B,0)),"")</f>
        <v/>
      </c>
      <c r="AS596" s="758" t="str">
        <f>IFERROR(INDEX(база!E:E, MATCH(F596,база!B:B,0)),"")</f>
        <v/>
      </c>
    </row>
    <row r="597" spans="1:45" s="46" customFormat="1" ht="15">
      <c r="A597" s="66" t="str">
        <f t="shared" si="8"/>
        <v>январь</v>
      </c>
      <c r="B597" s="231">
        <v>2024</v>
      </c>
      <c r="C597" s="299"/>
      <c r="D597" s="61"/>
      <c r="E597" s="211"/>
      <c r="F597" s="680"/>
      <c r="G597" s="47"/>
      <c r="H597" s="563"/>
      <c r="I597" s="563"/>
      <c r="J597" s="563"/>
      <c r="K597" s="563"/>
      <c r="L597" s="563"/>
      <c r="M597" s="563"/>
      <c r="N597" s="563"/>
      <c r="O597" s="563"/>
      <c r="P597" s="300"/>
      <c r="Q597" s="563"/>
      <c r="R597" s="563"/>
      <c r="S597" s="563"/>
      <c r="T597" s="563"/>
      <c r="U597" s="563"/>
      <c r="V597" s="563"/>
      <c r="W597" s="563"/>
      <c r="X597" s="563"/>
      <c r="Y597" s="563"/>
      <c r="Z597" s="563"/>
      <c r="AA597" s="563"/>
      <c r="AB597" s="563"/>
      <c r="AC597" s="563"/>
      <c r="AD597" s="48"/>
      <c r="AE597" s="48"/>
      <c r="AF597" s="258"/>
      <c r="AG597" s="48"/>
      <c r="AH597" s="48"/>
      <c r="AI597" s="258"/>
      <c r="AJ597" s="258"/>
      <c r="AK597" s="258"/>
      <c r="AL597" s="258"/>
      <c r="AM597" s="212">
        <f>IF(AQ597=1,SUM(Q597:T597,W597:Z597,AC597:AF597,AI597:AL597),
IF(AQ597=2,SUM(P597,S597:V597,Y597:AB597,AE597:AH597,AK597:AL597),
IF(AQ597=3,SUM(P597:R597,U597:X597,AA597:AD597,AG597:AJ597),SUM(Таблица1[[#This Row],[1]:[31]])-Таблица1[[#This Row],[Столбец1]])))</f>
        <v>0</v>
      </c>
      <c r="AN597" s="778">
        <f t="array" ref="AN597">IF(AQ597=1,SUM(P597,U597:V597,AA597:AB597,AG597:AH597),
IF(AQ597=2,SUM(Q597:R597,W597:X597,AC597:AD597,AI597:AJ597),
IF(AQ597=3,SUM(S597:T597,Y597:Z597,AE597:AF597,AK597:AL597),
SUM(IFERROR(WEEKDAY($H$2:$AL$2,2)&gt;5,)*H597:AL597))))+Таблица1[[#This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97" s="292" t="b">
        <f>IF(AR597&lt;=3,(IF((G597="5/24"),((база!$M$6*Таблица1[[#This Row],[сумма]]*Таблица1[[#This Row],[коэф]])),
IF((G597="4/24"),((база!$M$5*Таблица1[[#This Row],[сумма]]*Таблица1[[#This Row],[коэф]])),
IF((G597="3/24"),((база!$M$4*Таблица1[[#This Row],[сумма]]*Таблица1[[#This Row],[коэф]])),
IF((G597="5/16"),((база!$L$6*Таблица1[[#This Row],[сумма]]*Таблица1[[#This Row],[коэф]])),
IF((G597="4/16"),((база!$L$5*Таблица1[[#This Row],[сумма]]*Таблица1[[#This Row],[коэф]])),
IF((G597="3/16"),((база!$L$4*Таблица1[[#This Row],[сумма]]*Таблица1[[#This Row],[коэф]])),
IF((G597="4/4"),((база!$I$5*Таблица1[[#This Row],[сумма]]*Таблица1[[#This Row],[коэф]])),
IF(OR(G597="2/4",G597="3/4"),((база!$I$4*Таблица1[[#This Row],[сумма]]*Таблица1[[#This Row],[коэф]])),
IF((G597="5/8"),((база!$J$6*Таблица1[[#This Row],[сумма]]*Таблица1[[#This Row],[коэф]])),
IF((G597="4/8"),((база!$J$5*Таблица1[[#This Row],[сумма]]*Таблица1[[#This Row],[коэф]])),
IF(OR(G597="3/8",G597="2/8"),((база!$J$4*Таблица1[[#This Row],[сумма]]*Таблица1[[#This Row],[коэф]])))))))))))))),
(IF((G597="5/24"),((база!$M$6*Таблица1[[#This Row],[сумма]]*Таблица1[[#This Row],[коэф]])),
IF(OR(G597="4/24",G597="3/24"),((база!$M$5*Таблица1[[#This Row],[сумма]]*Таблица1[[#This Row],[коэф]])),
IF((G597="5/16"),((база!$L$6*Таблица1[[#This Row],[сумма]]*Таблица1[[#This Row],[коэф]])),
IF(OR(G597="4/16",G597="3/16"),((база!$L$5*Таблица1[[#This Row],[сумма]]*Таблица1[[#This Row],[коэф]])),
IF(OR(G597="2/4",G597="3/4",G597="4/4"),((база!$I$5*Таблица1[[#This Row],[сумма]]*Таблица1[[#This Row],[коэф]])),
IF((G597="5/8"),((база!$J$6*Таблица1[[#This Row],[сумма]]*Таблица1[[#This Row],[коэф]])),
IF(OR(G597="4/8",G597="3/8",G597="2/8"),((база!$J$5*Таблица1[[#This Row],[сумма]]*Таблица1[[#This Row],[коэф]])))))))))))</f>
        <v>0</v>
      </c>
      <c r="AP597" s="730" t="b">
        <f>IF(AR597&lt;=3,(IF((G597="5/24"),((база!$M$6*2*Таблица1[[#This Row],[Столбец1]]*Таблица1[[#This Row],[коэф]])),
IF((G597="4/24"),((база!$M$5*2*Таблица1[[#This Row],[Столбец1]]*Таблица1[[#This Row],[коэф]])),
IF((G597="3/24"),((база!$M$4*2*Таблица1[[#This Row],[Столбец1]]*Таблица1[[#This Row],[коэф]])),
IF((G597="5/16"),((база!$L$6*2*Таблица1[[#This Row],[Столбец1]]*Таблица1[[#This Row],[коэф]])),
IF((G597="4/16"),((база!$L$5*2*Таблица1[[#This Row],[Столбец1]]*Таблица1[[#This Row],[коэф]])),
IF((G597="3/16"),((база!$L$4*2*Таблица1[[#This Row],[Столбец1]]*Таблица1[[#This Row],[коэф]])),
IF((G597="4/4"),((база!$I$5*2*Таблица1[[#This Row],[Столбец1]]*Таблица1[[#This Row],[коэф]])),
IF(OR(G597="2/4",G597="3/4"),((база!$I$4*2*Таблица1[[#This Row],[Столбец1]]*Таблица1[[#This Row],[коэф]])),
IF((G597="5/8"),((база!$J$6*2*Таблица1[[#This Row],[Столбец1]]*Таблица1[[#This Row],[коэф]])),
IF((G597="4/8"),((база!$J$5*2*Таблица1[[#This Row],[Столбец1]]*Таблица1[[#This Row],[коэф]])),
IF(OR(G597="3/8",G597="2/8"),((база!$J$4*2*Таблица1[[#This Row],[Столбец1]]*Таблица1[[#This Row],[коэф]])))))))))))))),
(IF((G597="5/24"),((база!$M$6*2*Таблица1[[#This Row],[Столбец1]]*Таблица1[[#This Row],[коэф]])),
IF(OR(G597="4/24",G597="3/24"),((база!$M$5*2*Таблица1[[#This Row],[Столбец1]]*Таблица1[[#This Row],[коэф]])),
IF((G597="5/16"),((база!$L$6*2*Таблица1[[#This Row],[Столбец1]]*Таблица1[[#This Row],[коэф]])),
IF(OR(G597="4/16",G597="3/16"),((база!$L$5*2*Таблица1[[#This Row],[Столбец1]]*Таблица1[[#This Row],[коэф]])),
IF(OR(G597="2/4",G597="3/4",G597="4/4"),((база!$I$5*2*Таблица1[[#This Row],[Столбец1]]*Таблица1[[#This Row],[коэф]])),
IF((G597="5/8"),((база!$J$6*2*Таблица1[[#This Row],[Столбец1]]*Таблица1[[#This Row],[коэф]])),
IF(OR(G597="4/8",G597="3/8",G597="2/8"),((база!$J$5*2*Таблица1[[#This Row],[Столбец1]]*Таблица1[[#This Row],[коэф]])))))))))))</f>
        <v>0</v>
      </c>
      <c r="AQ597" s="712" t="str">
        <f>IFERROR(INDEX(база!T:T, MATCH(F597,база!Q:Q,0)),"")</f>
        <v/>
      </c>
      <c r="AR597" s="208" t="str">
        <f>IFERROR(INDEX(база!D:D, MATCH(F597,база!B:B,0)),"")</f>
        <v/>
      </c>
      <c r="AS597" s="758" t="str">
        <f>IFERROR(INDEX(база!E:E, MATCH(F597,база!B:B,0)),"")</f>
        <v/>
      </c>
    </row>
    <row r="598" spans="1:45" s="46" customFormat="1" ht="15">
      <c r="A598" s="66" t="str">
        <f t="shared" si="8"/>
        <v>январь</v>
      </c>
      <c r="B598" s="231">
        <v>2024</v>
      </c>
      <c r="C598" s="299"/>
      <c r="D598" s="61"/>
      <c r="E598" s="211"/>
      <c r="F598" s="680"/>
      <c r="G598" s="47"/>
      <c r="H598" s="563"/>
      <c r="I598" s="563"/>
      <c r="J598" s="563"/>
      <c r="K598" s="563"/>
      <c r="L598" s="563"/>
      <c r="M598" s="563"/>
      <c r="N598" s="563"/>
      <c r="O598" s="563"/>
      <c r="P598" s="300"/>
      <c r="Q598" s="563"/>
      <c r="R598" s="563"/>
      <c r="S598" s="563"/>
      <c r="T598" s="563"/>
      <c r="U598" s="563"/>
      <c r="V598" s="563"/>
      <c r="W598" s="563"/>
      <c r="X598" s="563"/>
      <c r="Y598" s="563"/>
      <c r="Z598" s="563"/>
      <c r="AA598" s="563"/>
      <c r="AB598" s="563"/>
      <c r="AC598" s="563"/>
      <c r="AD598" s="48"/>
      <c r="AE598" s="48"/>
      <c r="AF598" s="258"/>
      <c r="AG598" s="48"/>
      <c r="AH598" s="48"/>
      <c r="AI598" s="48"/>
      <c r="AJ598" s="48"/>
      <c r="AK598" s="48"/>
      <c r="AL598" s="51"/>
      <c r="AM598" s="212">
        <f>IF(AQ598=1,SUM(Q598:T598,W598:Z598,AC598:AF598,AI598:AL598),
IF(AQ598=2,SUM(P598,S598:V598,Y598:AB598,AE598:AH598,AK598:AL598),
IF(AQ598=3,SUM(P598:R598,U598:X598,AA598:AD598,AG598:AJ598),SUM(Таблица1[[#This Row],[1]:[31]])-Таблица1[[#This Row],[Столбец1]])))</f>
        <v>0</v>
      </c>
      <c r="AN598" s="778">
        <f t="array" ref="AN598">IF(AQ598=1,SUM(P598,U598:V598,AA598:AB598,AG598:AH598),
IF(AQ598=2,SUM(Q598:R598,W598:X598,AC598:AD598,AI598:AJ598),
IF(AQ598=3,SUM(S598:T598,Y598:Z598,AE598:AF598,AK598:AL598),
SUM(IFERROR(WEEKDAY($H$2:$AL$2,2)&gt;5,)*H598:AL598))))+Таблица1[[#This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98" s="292" t="b">
        <f>IF(AR598&lt;=3,(IF((G598="5/24"),((база!$M$6*Таблица1[[#This Row],[сумма]]*Таблица1[[#This Row],[коэф]])),
IF((G598="4/24"),((база!$M$5*Таблица1[[#This Row],[сумма]]*Таблица1[[#This Row],[коэф]])),
IF((G598="3/24"),((база!$M$4*Таблица1[[#This Row],[сумма]]*Таблица1[[#This Row],[коэф]])),
IF((G598="5/16"),((база!$L$6*Таблица1[[#This Row],[сумма]]*Таблица1[[#This Row],[коэф]])),
IF((G598="4/16"),((база!$L$5*Таблица1[[#This Row],[сумма]]*Таблица1[[#This Row],[коэф]])),
IF((G598="3/16"),((база!$L$4*Таблица1[[#This Row],[сумма]]*Таблица1[[#This Row],[коэф]])),
IF((G598="4/4"),((база!$I$5*Таблица1[[#This Row],[сумма]]*Таблица1[[#This Row],[коэф]])),
IF(OR(G598="2/4",G598="3/4"),((база!$I$4*Таблица1[[#This Row],[сумма]]*Таблица1[[#This Row],[коэф]])),
IF((G598="5/8"),((база!$J$6*Таблица1[[#This Row],[сумма]]*Таблица1[[#This Row],[коэф]])),
IF((G598="4/8"),((база!$J$5*Таблица1[[#This Row],[сумма]]*Таблица1[[#This Row],[коэф]])),
IF(OR(G598="3/8",G598="2/8"),((база!$J$4*Таблица1[[#This Row],[сумма]]*Таблица1[[#This Row],[коэф]])))))))))))))),
(IF((G598="5/24"),((база!$M$6*Таблица1[[#This Row],[сумма]]*Таблица1[[#This Row],[коэф]])),
IF(OR(G598="4/24",G598="3/24"),((база!$M$5*Таблица1[[#This Row],[сумма]]*Таблица1[[#This Row],[коэф]])),
IF((G598="5/16"),((база!$L$6*Таблица1[[#This Row],[сумма]]*Таблица1[[#This Row],[коэф]])),
IF(OR(G598="4/16",G598="3/16"),((база!$L$5*Таблица1[[#This Row],[сумма]]*Таблица1[[#This Row],[коэф]])),
IF(OR(G598="2/4",G598="3/4",G598="4/4"),((база!$I$5*Таблица1[[#This Row],[сумма]]*Таблица1[[#This Row],[коэф]])),
IF((G598="5/8"),((база!$J$6*Таблица1[[#This Row],[сумма]]*Таблица1[[#This Row],[коэф]])),
IF(OR(G598="4/8",G598="3/8",G598="2/8"),((база!$J$5*Таблица1[[#This Row],[сумма]]*Таблица1[[#This Row],[коэф]])))))))))))</f>
        <v>0</v>
      </c>
      <c r="AP598" s="730" t="b">
        <f>IF(AR598&lt;=3,(IF((G598="5/24"),((база!$M$6*2*Таблица1[[#This Row],[Столбец1]]*Таблица1[[#This Row],[коэф]])),
IF((G598="4/24"),((база!$M$5*2*Таблица1[[#This Row],[Столбец1]]*Таблица1[[#This Row],[коэф]])),
IF((G598="3/24"),((база!$M$4*2*Таблица1[[#This Row],[Столбец1]]*Таблица1[[#This Row],[коэф]])),
IF((G598="5/16"),((база!$L$6*2*Таблица1[[#This Row],[Столбец1]]*Таблица1[[#This Row],[коэф]])),
IF((G598="4/16"),((база!$L$5*2*Таблица1[[#This Row],[Столбец1]]*Таблица1[[#This Row],[коэф]])),
IF((G598="3/16"),((база!$L$4*2*Таблица1[[#This Row],[Столбец1]]*Таблица1[[#This Row],[коэф]])),
IF((G598="4/4"),((база!$I$5*2*Таблица1[[#This Row],[Столбец1]]*Таблица1[[#This Row],[коэф]])),
IF(OR(G598="2/4",G598="3/4"),((база!$I$4*2*Таблица1[[#This Row],[Столбец1]]*Таблица1[[#This Row],[коэф]])),
IF((G598="5/8"),((база!$J$6*2*Таблица1[[#This Row],[Столбец1]]*Таблица1[[#This Row],[коэф]])),
IF((G598="4/8"),((база!$J$5*2*Таблица1[[#This Row],[Столбец1]]*Таблица1[[#This Row],[коэф]])),
IF(OR(G598="3/8",G598="2/8"),((база!$J$4*2*Таблица1[[#This Row],[Столбец1]]*Таблица1[[#This Row],[коэф]])))))))))))))),
(IF((G598="5/24"),((база!$M$6*2*Таблица1[[#This Row],[Столбец1]]*Таблица1[[#This Row],[коэф]])),
IF(OR(G598="4/24",G598="3/24"),((база!$M$5*2*Таблица1[[#This Row],[Столбец1]]*Таблица1[[#This Row],[коэф]])),
IF((G598="5/16"),((база!$L$6*2*Таблица1[[#This Row],[Столбец1]]*Таблица1[[#This Row],[коэф]])),
IF(OR(G598="4/16",G598="3/16"),((база!$L$5*2*Таблица1[[#This Row],[Столбец1]]*Таблица1[[#This Row],[коэф]])),
IF(OR(G598="2/4",G598="3/4",G598="4/4"),((база!$I$5*2*Таблица1[[#This Row],[Столбец1]]*Таблица1[[#This Row],[коэф]])),
IF((G598="5/8"),((база!$J$6*2*Таблица1[[#This Row],[Столбец1]]*Таблица1[[#This Row],[коэф]])),
IF(OR(G598="4/8",G598="3/8",G598="2/8"),((база!$J$5*2*Таблица1[[#This Row],[Столбец1]]*Таблица1[[#This Row],[коэф]])))))))))))</f>
        <v>0</v>
      </c>
      <c r="AQ598" s="712" t="str">
        <f>IFERROR(INDEX(база!T:T, MATCH(F598,база!Q:Q,0)),"")</f>
        <v/>
      </c>
      <c r="AR598" s="208" t="str">
        <f>IFERROR(INDEX(база!D:D, MATCH(F598,база!B:B,0)),"")</f>
        <v/>
      </c>
      <c r="AS598" s="758" t="str">
        <f>IFERROR(INDEX(база!E:E, MATCH(F598,база!B:B,0)),"")</f>
        <v/>
      </c>
    </row>
    <row r="599" spans="1:45" s="46" customFormat="1" ht="15">
      <c r="A599" s="66" t="str">
        <f t="shared" si="8"/>
        <v>январь</v>
      </c>
      <c r="B599" s="231">
        <v>2024</v>
      </c>
      <c r="C599" s="299"/>
      <c r="D599" s="61"/>
      <c r="E599" s="211"/>
      <c r="F599" s="680"/>
      <c r="G599" s="47"/>
      <c r="H599" s="563"/>
      <c r="I599" s="563"/>
      <c r="J599" s="563"/>
      <c r="K599" s="563"/>
      <c r="L599" s="563"/>
      <c r="M599" s="563"/>
      <c r="N599" s="563"/>
      <c r="O599" s="563"/>
      <c r="P599" s="300"/>
      <c r="Q599" s="563"/>
      <c r="R599" s="563"/>
      <c r="S599" s="563"/>
      <c r="T599" s="563"/>
      <c r="U599" s="563"/>
      <c r="V599" s="563"/>
      <c r="W599" s="563"/>
      <c r="X599" s="563"/>
      <c r="Y599" s="563"/>
      <c r="Z599" s="563"/>
      <c r="AA599" s="563"/>
      <c r="AB599" s="563"/>
      <c r="AC599" s="563"/>
      <c r="AD599" s="48"/>
      <c r="AE599" s="48"/>
      <c r="AF599" s="258"/>
      <c r="AG599" s="48"/>
      <c r="AH599" s="48"/>
      <c r="AI599" s="258"/>
      <c r="AJ599" s="258"/>
      <c r="AK599" s="258"/>
      <c r="AL599" s="258"/>
      <c r="AM599" s="212">
        <f>IF(AQ599=1,SUM(Q599:T599,W599:Z599,AC599:AF599,AI599:AL599),
IF(AQ599=2,SUM(P599,S599:V599,Y599:AB599,AE599:AH599,AK599:AL599),
IF(AQ599=3,SUM(P599:R599,U599:X599,AA599:AD599,AG599:AJ599),SUM(Таблица1[[#This Row],[1]:[31]])-Таблица1[[#This Row],[Столбец1]])))</f>
        <v>0</v>
      </c>
      <c r="AN599" s="778">
        <f t="array" ref="AN599">IF(AQ599=1,SUM(P599,U599:V599,AA599:AB599,AG599:AH599),
IF(AQ599=2,SUM(Q599:R599,W599:X599,AC599:AD599,AI599:AJ599),
IF(AQ599=3,SUM(S599:T599,Y599:Z599,AE599:AF599,AK599:AL599),
SUM(IFERROR(WEEKDAY($H$2:$AL$2,2)&gt;5,)*H599:AL599))))+Таблица1[[#This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599" s="292" t="b">
        <f>IF(AR599&lt;=3,(IF((G599="5/24"),((база!$M$6*Таблица1[[#This Row],[сумма]]*Таблица1[[#This Row],[коэф]])),
IF((G599="4/24"),((база!$M$5*Таблица1[[#This Row],[сумма]]*Таблица1[[#This Row],[коэф]])),
IF((G599="3/24"),((база!$M$4*Таблица1[[#This Row],[сумма]]*Таблица1[[#This Row],[коэф]])),
IF((G599="5/16"),((база!$L$6*Таблица1[[#This Row],[сумма]]*Таблица1[[#This Row],[коэф]])),
IF((G599="4/16"),((база!$L$5*Таблица1[[#This Row],[сумма]]*Таблица1[[#This Row],[коэф]])),
IF((G599="3/16"),((база!$L$4*Таблица1[[#This Row],[сумма]]*Таблица1[[#This Row],[коэф]])),
IF((G599="4/4"),((база!$I$5*Таблица1[[#This Row],[сумма]]*Таблица1[[#This Row],[коэф]])),
IF(OR(G599="2/4",G599="3/4"),((база!$I$4*Таблица1[[#This Row],[сумма]]*Таблица1[[#This Row],[коэф]])),
IF((G599="5/8"),((база!$J$6*Таблица1[[#This Row],[сумма]]*Таблица1[[#This Row],[коэф]])),
IF((G599="4/8"),((база!$J$5*Таблица1[[#This Row],[сумма]]*Таблица1[[#This Row],[коэф]])),
IF(OR(G599="3/8",G599="2/8"),((база!$J$4*Таблица1[[#This Row],[сумма]]*Таблица1[[#This Row],[коэф]])))))))))))))),
(IF((G599="5/24"),((база!$M$6*Таблица1[[#This Row],[сумма]]*Таблица1[[#This Row],[коэф]])),
IF(OR(G599="4/24",G599="3/24"),((база!$M$5*Таблица1[[#This Row],[сумма]]*Таблица1[[#This Row],[коэф]])),
IF((G599="5/16"),((база!$L$6*Таблица1[[#This Row],[сумма]]*Таблица1[[#This Row],[коэф]])),
IF(OR(G599="4/16",G599="3/16"),((база!$L$5*Таблица1[[#This Row],[сумма]]*Таблица1[[#This Row],[коэф]])),
IF(OR(G599="2/4",G599="3/4",G599="4/4"),((база!$I$5*Таблица1[[#This Row],[сумма]]*Таблица1[[#This Row],[коэф]])),
IF((G599="5/8"),((база!$J$6*Таблица1[[#This Row],[сумма]]*Таблица1[[#This Row],[коэф]])),
IF(OR(G599="4/8",G599="3/8",G599="2/8"),((база!$J$5*Таблица1[[#This Row],[сумма]]*Таблица1[[#This Row],[коэф]])))))))))))</f>
        <v>0</v>
      </c>
      <c r="AP599" s="730" t="b">
        <f>IF(AR599&lt;=3,(IF((G599="5/24"),((база!$M$6*2*Таблица1[[#This Row],[Столбец1]]*Таблица1[[#This Row],[коэф]])),
IF((G599="4/24"),((база!$M$5*2*Таблица1[[#This Row],[Столбец1]]*Таблица1[[#This Row],[коэф]])),
IF((G599="3/24"),((база!$M$4*2*Таблица1[[#This Row],[Столбец1]]*Таблица1[[#This Row],[коэф]])),
IF((G599="5/16"),((база!$L$6*2*Таблица1[[#This Row],[Столбец1]]*Таблица1[[#This Row],[коэф]])),
IF((G599="4/16"),((база!$L$5*2*Таблица1[[#This Row],[Столбец1]]*Таблица1[[#This Row],[коэф]])),
IF((G599="3/16"),((база!$L$4*2*Таблица1[[#This Row],[Столбец1]]*Таблица1[[#This Row],[коэф]])),
IF((G599="4/4"),((база!$I$5*2*Таблица1[[#This Row],[Столбец1]]*Таблица1[[#This Row],[коэф]])),
IF(OR(G599="2/4",G599="3/4"),((база!$I$4*2*Таблица1[[#This Row],[Столбец1]]*Таблица1[[#This Row],[коэф]])),
IF((G599="5/8"),((база!$J$6*2*Таблица1[[#This Row],[Столбец1]]*Таблица1[[#This Row],[коэф]])),
IF((G599="4/8"),((база!$J$5*2*Таблица1[[#This Row],[Столбец1]]*Таблица1[[#This Row],[коэф]])),
IF(OR(G599="3/8",G599="2/8"),((база!$J$4*2*Таблица1[[#This Row],[Столбец1]]*Таблица1[[#This Row],[коэф]])))))))))))))),
(IF((G599="5/24"),((база!$M$6*2*Таблица1[[#This Row],[Столбец1]]*Таблица1[[#This Row],[коэф]])),
IF(OR(G599="4/24",G599="3/24"),((база!$M$5*2*Таблица1[[#This Row],[Столбец1]]*Таблица1[[#This Row],[коэф]])),
IF((G599="5/16"),((база!$L$6*2*Таблица1[[#This Row],[Столбец1]]*Таблица1[[#This Row],[коэф]])),
IF(OR(G599="4/16",G599="3/16"),((база!$L$5*2*Таблица1[[#This Row],[Столбец1]]*Таблица1[[#This Row],[коэф]])),
IF(OR(G599="2/4",G599="3/4",G599="4/4"),((база!$I$5*2*Таблица1[[#This Row],[Столбец1]]*Таблица1[[#This Row],[коэф]])),
IF((G599="5/8"),((база!$J$6*2*Таблица1[[#This Row],[Столбец1]]*Таблица1[[#This Row],[коэф]])),
IF(OR(G599="4/8",G599="3/8",G599="2/8"),((база!$J$5*2*Таблица1[[#This Row],[Столбец1]]*Таблица1[[#This Row],[коэф]])))))))))))</f>
        <v>0</v>
      </c>
      <c r="AQ599" s="712" t="str">
        <f>IFERROR(INDEX(база!T:T, MATCH(F599,база!Q:Q,0)),"")</f>
        <v/>
      </c>
      <c r="AR599" s="208" t="str">
        <f>IFERROR(INDEX(база!D:D, MATCH(F599,база!B:B,0)),"")</f>
        <v/>
      </c>
      <c r="AS599" s="758" t="str">
        <f>IFERROR(INDEX(база!E:E, MATCH(F599,база!B:B,0)),"")</f>
        <v/>
      </c>
    </row>
    <row r="600" spans="1:45" s="46" customFormat="1" ht="15">
      <c r="A600" s="66" t="str">
        <f t="shared" si="8"/>
        <v>январь</v>
      </c>
      <c r="B600" s="231">
        <v>2024</v>
      </c>
      <c r="C600" s="299"/>
      <c r="D600" s="61"/>
      <c r="E600" s="211"/>
      <c r="F600" s="680"/>
      <c r="G600" s="47"/>
      <c r="H600" s="563"/>
      <c r="I600" s="563"/>
      <c r="J600" s="563"/>
      <c r="K600" s="563"/>
      <c r="L600" s="563"/>
      <c r="M600" s="563"/>
      <c r="N600" s="563"/>
      <c r="O600" s="563"/>
      <c r="P600" s="300"/>
      <c r="Q600" s="563"/>
      <c r="R600" s="563"/>
      <c r="S600" s="563"/>
      <c r="T600" s="563"/>
      <c r="U600" s="563"/>
      <c r="V600" s="563"/>
      <c r="W600" s="563"/>
      <c r="X600" s="563"/>
      <c r="Y600" s="563"/>
      <c r="Z600" s="563"/>
      <c r="AA600" s="563"/>
      <c r="AB600" s="563"/>
      <c r="AC600" s="563"/>
      <c r="AD600" s="48"/>
      <c r="AE600" s="48"/>
      <c r="AF600" s="258"/>
      <c r="AG600" s="48"/>
      <c r="AH600" s="48"/>
      <c r="AI600" s="48"/>
      <c r="AJ600" s="48"/>
      <c r="AK600" s="48"/>
      <c r="AL600" s="51"/>
      <c r="AM600" s="212">
        <f>IF(AQ600=1,SUM(Q600:T600,W600:Z600,AC600:AF600,AI600:AL600),
IF(AQ600=2,SUM(P600,S600:V600,Y600:AB600,AE600:AH600,AK600:AL600),
IF(AQ600=3,SUM(P600:R600,U600:X600,AA600:AD600,AG600:AJ600),SUM(Таблица1[[#This Row],[1]:[31]])-Таблица1[[#This Row],[Столбец1]])))</f>
        <v>0</v>
      </c>
      <c r="AN600" s="778">
        <f t="array" ref="AN600">IF(AQ600=1,SUM(P600,U600:V600,AA600:AB600,AG600:AH600),
IF(AQ600=2,SUM(Q600:R600,W600:X600,AC600:AD600,AI600:AJ600),
IF(AQ600=3,SUM(S600:T600,Y600:Z600,AE600:AF600,AK600:AL600),
SUM(IFERROR(WEEKDAY($H$2:$AL$2,2)&gt;5,)*H600:AL600))))+Таблица1[[#This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00" s="292" t="b">
        <f>IF(AR600&lt;=3,(IF((G600="5/24"),((база!$M$6*Таблица1[[#This Row],[сумма]]*Таблица1[[#This Row],[коэф]])),
IF((G600="4/24"),((база!$M$5*Таблица1[[#This Row],[сумма]]*Таблица1[[#This Row],[коэф]])),
IF((G600="3/24"),((база!$M$4*Таблица1[[#This Row],[сумма]]*Таблица1[[#This Row],[коэф]])),
IF((G600="5/16"),((база!$L$6*Таблица1[[#This Row],[сумма]]*Таблица1[[#This Row],[коэф]])),
IF((G600="4/16"),((база!$L$5*Таблица1[[#This Row],[сумма]]*Таблица1[[#This Row],[коэф]])),
IF((G600="3/16"),((база!$L$4*Таблица1[[#This Row],[сумма]]*Таблица1[[#This Row],[коэф]])),
IF((G600="4/4"),((база!$I$5*Таблица1[[#This Row],[сумма]]*Таблица1[[#This Row],[коэф]])),
IF(OR(G600="2/4",G600="3/4"),((база!$I$4*Таблица1[[#This Row],[сумма]]*Таблица1[[#This Row],[коэф]])),
IF((G600="5/8"),((база!$J$6*Таблица1[[#This Row],[сумма]]*Таблица1[[#This Row],[коэф]])),
IF((G600="4/8"),((база!$J$5*Таблица1[[#This Row],[сумма]]*Таблица1[[#This Row],[коэф]])),
IF(OR(G600="3/8",G600="2/8"),((база!$J$4*Таблица1[[#This Row],[сумма]]*Таблица1[[#This Row],[коэф]])))))))))))))),
(IF((G600="5/24"),((база!$M$6*Таблица1[[#This Row],[сумма]]*Таблица1[[#This Row],[коэф]])),
IF(OR(G600="4/24",G600="3/24"),((база!$M$5*Таблица1[[#This Row],[сумма]]*Таблица1[[#This Row],[коэф]])),
IF((G600="5/16"),((база!$L$6*Таблица1[[#This Row],[сумма]]*Таблица1[[#This Row],[коэф]])),
IF(OR(G600="4/16",G600="3/16"),((база!$L$5*Таблица1[[#This Row],[сумма]]*Таблица1[[#This Row],[коэф]])),
IF(OR(G600="2/4",G600="3/4",G600="4/4"),((база!$I$5*Таблица1[[#This Row],[сумма]]*Таблица1[[#This Row],[коэф]])),
IF((G600="5/8"),((база!$J$6*Таблица1[[#This Row],[сумма]]*Таблица1[[#This Row],[коэф]])),
IF(OR(G600="4/8",G600="3/8",G600="2/8"),((база!$J$5*Таблица1[[#This Row],[сумма]]*Таблица1[[#This Row],[коэф]])))))))))))</f>
        <v>0</v>
      </c>
      <c r="AP600" s="730" t="b">
        <f>IF(AR600&lt;=3,(IF((G600="5/24"),((база!$M$6*2*Таблица1[[#This Row],[Столбец1]]*Таблица1[[#This Row],[коэф]])),
IF((G600="4/24"),((база!$M$5*2*Таблица1[[#This Row],[Столбец1]]*Таблица1[[#This Row],[коэф]])),
IF((G600="3/24"),((база!$M$4*2*Таблица1[[#This Row],[Столбец1]]*Таблица1[[#This Row],[коэф]])),
IF((G600="5/16"),((база!$L$6*2*Таблица1[[#This Row],[Столбец1]]*Таблица1[[#This Row],[коэф]])),
IF((G600="4/16"),((база!$L$5*2*Таблица1[[#This Row],[Столбец1]]*Таблица1[[#This Row],[коэф]])),
IF((G600="3/16"),((база!$L$4*2*Таблица1[[#This Row],[Столбец1]]*Таблица1[[#This Row],[коэф]])),
IF((G600="4/4"),((база!$I$5*2*Таблица1[[#This Row],[Столбец1]]*Таблица1[[#This Row],[коэф]])),
IF(OR(G600="2/4",G600="3/4"),((база!$I$4*2*Таблица1[[#This Row],[Столбец1]]*Таблица1[[#This Row],[коэф]])),
IF((G600="5/8"),((база!$J$6*2*Таблица1[[#This Row],[Столбец1]]*Таблица1[[#This Row],[коэф]])),
IF((G600="4/8"),((база!$J$5*2*Таблица1[[#This Row],[Столбец1]]*Таблица1[[#This Row],[коэф]])),
IF(OR(G600="3/8",G600="2/8"),((база!$J$4*2*Таблица1[[#This Row],[Столбец1]]*Таблица1[[#This Row],[коэф]])))))))))))))),
(IF((G600="5/24"),((база!$M$6*2*Таблица1[[#This Row],[Столбец1]]*Таблица1[[#This Row],[коэф]])),
IF(OR(G600="4/24",G600="3/24"),((база!$M$5*2*Таблица1[[#This Row],[Столбец1]]*Таблица1[[#This Row],[коэф]])),
IF((G600="5/16"),((база!$L$6*2*Таблица1[[#This Row],[Столбец1]]*Таблица1[[#This Row],[коэф]])),
IF(OR(G600="4/16",G600="3/16"),((база!$L$5*2*Таблица1[[#This Row],[Столбец1]]*Таблица1[[#This Row],[коэф]])),
IF(OR(G600="2/4",G600="3/4",G600="4/4"),((база!$I$5*2*Таблица1[[#This Row],[Столбец1]]*Таблица1[[#This Row],[коэф]])),
IF((G600="5/8"),((база!$J$6*2*Таблица1[[#This Row],[Столбец1]]*Таблица1[[#This Row],[коэф]])),
IF(OR(G600="4/8",G600="3/8",G600="2/8"),((база!$J$5*2*Таблица1[[#This Row],[Столбец1]]*Таблица1[[#This Row],[коэф]])))))))))))</f>
        <v>0</v>
      </c>
      <c r="AQ600" s="712" t="str">
        <f>IFERROR(INDEX(база!T:T, MATCH(F600,база!Q:Q,0)),"")</f>
        <v/>
      </c>
      <c r="AR600" s="208" t="str">
        <f>IFERROR(INDEX(база!D:D, MATCH(F600,база!B:B,0)),"")</f>
        <v/>
      </c>
      <c r="AS600" s="758" t="str">
        <f>IFERROR(INDEX(база!E:E, MATCH(F600,база!B:B,0)),"")</f>
        <v/>
      </c>
    </row>
    <row r="601" spans="1:45" s="46" customFormat="1" ht="15">
      <c r="A601" s="66" t="str">
        <f t="shared" si="8"/>
        <v>январь</v>
      </c>
      <c r="B601" s="231">
        <v>2024</v>
      </c>
      <c r="C601" s="299"/>
      <c r="D601" s="61"/>
      <c r="E601" s="211"/>
      <c r="F601" s="680"/>
      <c r="G601" s="47"/>
      <c r="H601" s="563"/>
      <c r="I601" s="563"/>
      <c r="J601" s="563"/>
      <c r="K601" s="563"/>
      <c r="L601" s="563"/>
      <c r="M601" s="563"/>
      <c r="N601" s="563"/>
      <c r="O601" s="563"/>
      <c r="P601" s="300"/>
      <c r="Q601" s="563"/>
      <c r="R601" s="563"/>
      <c r="S601" s="563"/>
      <c r="T601" s="563"/>
      <c r="U601" s="563"/>
      <c r="V601" s="563"/>
      <c r="W601" s="563"/>
      <c r="X601" s="563"/>
      <c r="Y601" s="563"/>
      <c r="Z601" s="563"/>
      <c r="AA601" s="563"/>
      <c r="AB601" s="563"/>
      <c r="AC601" s="563"/>
      <c r="AD601" s="48"/>
      <c r="AE601" s="48"/>
      <c r="AF601" s="258"/>
      <c r="AG601" s="48"/>
      <c r="AH601" s="48"/>
      <c r="AI601" s="258"/>
      <c r="AJ601" s="258"/>
      <c r="AK601" s="258"/>
      <c r="AL601" s="258"/>
      <c r="AM601" s="212">
        <f>IF(AQ601=1,SUM(Q601:T601,W601:Z601,AC601:AF601,AI601:AL601),
IF(AQ601=2,SUM(P601,S601:V601,Y601:AB601,AE601:AH601,AK601:AL601),
IF(AQ601=3,SUM(P601:R601,U601:X601,AA601:AD601,AG601:AJ601),SUM(Таблица1[[#This Row],[1]:[31]])-Таблица1[[#This Row],[Столбец1]])))</f>
        <v>0</v>
      </c>
      <c r="AN601" s="778">
        <f t="array" ref="AN601">IF(AQ601=1,SUM(P601,U601:V601,AA601:AB601,AG601:AH601),
IF(AQ601=2,SUM(Q601:R601,W601:X601,AC601:AD601,AI601:AJ601),
IF(AQ601=3,SUM(S601:T601,Y601:Z601,AE601:AF601,AK601:AL601),
SUM(IFERROR(WEEKDAY($H$2:$AL$2,2)&gt;5,)*H601:AL601))))+Таблица1[[#This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01" s="292" t="b">
        <f>IF(AR601&lt;=3,(IF((G601="5/24"),((база!$M$6*Таблица1[[#This Row],[сумма]]*Таблица1[[#This Row],[коэф]])),
IF((G601="4/24"),((база!$M$5*Таблица1[[#This Row],[сумма]]*Таблица1[[#This Row],[коэф]])),
IF((G601="3/24"),((база!$M$4*Таблица1[[#This Row],[сумма]]*Таблица1[[#This Row],[коэф]])),
IF((G601="5/16"),((база!$L$6*Таблица1[[#This Row],[сумма]]*Таблица1[[#This Row],[коэф]])),
IF((G601="4/16"),((база!$L$5*Таблица1[[#This Row],[сумма]]*Таблица1[[#This Row],[коэф]])),
IF((G601="3/16"),((база!$L$4*Таблица1[[#This Row],[сумма]]*Таблица1[[#This Row],[коэф]])),
IF((G601="4/4"),((база!$I$5*Таблица1[[#This Row],[сумма]]*Таблица1[[#This Row],[коэф]])),
IF(OR(G601="2/4",G601="3/4"),((база!$I$4*Таблица1[[#This Row],[сумма]]*Таблица1[[#This Row],[коэф]])),
IF((G601="5/8"),((база!$J$6*Таблица1[[#This Row],[сумма]]*Таблица1[[#This Row],[коэф]])),
IF((G601="4/8"),((база!$J$5*Таблица1[[#This Row],[сумма]]*Таблица1[[#This Row],[коэф]])),
IF(OR(G601="3/8",G601="2/8"),((база!$J$4*Таблица1[[#This Row],[сумма]]*Таблица1[[#This Row],[коэф]])))))))))))))),
(IF((G601="5/24"),((база!$M$6*Таблица1[[#This Row],[сумма]]*Таблица1[[#This Row],[коэф]])),
IF(OR(G601="4/24",G601="3/24"),((база!$M$5*Таблица1[[#This Row],[сумма]]*Таблица1[[#This Row],[коэф]])),
IF((G601="5/16"),((база!$L$6*Таблица1[[#This Row],[сумма]]*Таблица1[[#This Row],[коэф]])),
IF(OR(G601="4/16",G601="3/16"),((база!$L$5*Таблица1[[#This Row],[сумма]]*Таблица1[[#This Row],[коэф]])),
IF(OR(G601="2/4",G601="3/4",G601="4/4"),((база!$I$5*Таблица1[[#This Row],[сумма]]*Таблица1[[#This Row],[коэф]])),
IF((G601="5/8"),((база!$J$6*Таблица1[[#This Row],[сумма]]*Таблица1[[#This Row],[коэф]])),
IF(OR(G601="4/8",G601="3/8",G601="2/8"),((база!$J$5*Таблица1[[#This Row],[сумма]]*Таблица1[[#This Row],[коэф]])))))))))))</f>
        <v>0</v>
      </c>
      <c r="AP601" s="730" t="b">
        <f>IF(AR601&lt;=3,(IF((G601="5/24"),((база!$M$6*2*Таблица1[[#This Row],[Столбец1]]*Таблица1[[#This Row],[коэф]])),
IF((G601="4/24"),((база!$M$5*2*Таблица1[[#This Row],[Столбец1]]*Таблица1[[#This Row],[коэф]])),
IF((G601="3/24"),((база!$M$4*2*Таблица1[[#This Row],[Столбец1]]*Таблица1[[#This Row],[коэф]])),
IF((G601="5/16"),((база!$L$6*2*Таблица1[[#This Row],[Столбец1]]*Таблица1[[#This Row],[коэф]])),
IF((G601="4/16"),((база!$L$5*2*Таблица1[[#This Row],[Столбец1]]*Таблица1[[#This Row],[коэф]])),
IF((G601="3/16"),((база!$L$4*2*Таблица1[[#This Row],[Столбец1]]*Таблица1[[#This Row],[коэф]])),
IF((G601="4/4"),((база!$I$5*2*Таблица1[[#This Row],[Столбец1]]*Таблица1[[#This Row],[коэф]])),
IF(OR(G601="2/4",G601="3/4"),((база!$I$4*2*Таблица1[[#This Row],[Столбец1]]*Таблица1[[#This Row],[коэф]])),
IF((G601="5/8"),((база!$J$6*2*Таблица1[[#This Row],[Столбец1]]*Таблица1[[#This Row],[коэф]])),
IF((G601="4/8"),((база!$J$5*2*Таблица1[[#This Row],[Столбец1]]*Таблица1[[#This Row],[коэф]])),
IF(OR(G601="3/8",G601="2/8"),((база!$J$4*2*Таблица1[[#This Row],[Столбец1]]*Таблица1[[#This Row],[коэф]])))))))))))))),
(IF((G601="5/24"),((база!$M$6*2*Таблица1[[#This Row],[Столбец1]]*Таблица1[[#This Row],[коэф]])),
IF(OR(G601="4/24",G601="3/24"),((база!$M$5*2*Таблица1[[#This Row],[Столбец1]]*Таблица1[[#This Row],[коэф]])),
IF((G601="5/16"),((база!$L$6*2*Таблица1[[#This Row],[Столбец1]]*Таблица1[[#This Row],[коэф]])),
IF(OR(G601="4/16",G601="3/16"),((база!$L$5*2*Таблица1[[#This Row],[Столбец1]]*Таблица1[[#This Row],[коэф]])),
IF(OR(G601="2/4",G601="3/4",G601="4/4"),((база!$I$5*2*Таблица1[[#This Row],[Столбец1]]*Таблица1[[#This Row],[коэф]])),
IF((G601="5/8"),((база!$J$6*2*Таблица1[[#This Row],[Столбец1]]*Таблица1[[#This Row],[коэф]])),
IF(OR(G601="4/8",G601="3/8",G601="2/8"),((база!$J$5*2*Таблица1[[#This Row],[Столбец1]]*Таблица1[[#This Row],[коэф]])))))))))))</f>
        <v>0</v>
      </c>
      <c r="AQ601" s="712" t="str">
        <f>IFERROR(INDEX(база!T:T, MATCH(F601,база!Q:Q,0)),"")</f>
        <v/>
      </c>
      <c r="AR601" s="208" t="str">
        <f>IFERROR(INDEX(база!D:D, MATCH(F601,база!B:B,0)),"")</f>
        <v/>
      </c>
      <c r="AS601" s="758" t="str">
        <f>IFERROR(INDEX(база!E:E, MATCH(F601,база!B:B,0)),"")</f>
        <v/>
      </c>
    </row>
    <row r="602" spans="1:45" s="46" customFormat="1" ht="15">
      <c r="A602" s="66" t="str">
        <f t="shared" si="8"/>
        <v>январь</v>
      </c>
      <c r="B602" s="231">
        <v>2024</v>
      </c>
      <c r="C602" s="299"/>
      <c r="D602" s="61"/>
      <c r="E602" s="211"/>
      <c r="F602" s="680"/>
      <c r="G602" s="47"/>
      <c r="H602" s="563"/>
      <c r="I602" s="563"/>
      <c r="J602" s="563"/>
      <c r="K602" s="563"/>
      <c r="L602" s="563"/>
      <c r="M602" s="563"/>
      <c r="N602" s="563"/>
      <c r="O602" s="563"/>
      <c r="P602" s="300"/>
      <c r="Q602" s="563"/>
      <c r="R602" s="563"/>
      <c r="S602" s="563"/>
      <c r="T602" s="563"/>
      <c r="U602" s="563"/>
      <c r="V602" s="563"/>
      <c r="W602" s="563"/>
      <c r="X602" s="563"/>
      <c r="Y602" s="563"/>
      <c r="Z602" s="563"/>
      <c r="AA602" s="563"/>
      <c r="AB602" s="563"/>
      <c r="AC602" s="563"/>
      <c r="AD602" s="48"/>
      <c r="AE602" s="48"/>
      <c r="AF602" s="258"/>
      <c r="AG602" s="48"/>
      <c r="AH602" s="48"/>
      <c r="AI602" s="48"/>
      <c r="AJ602" s="48"/>
      <c r="AK602" s="48"/>
      <c r="AL602" s="51"/>
      <c r="AM602" s="212">
        <f>IF(AQ602=1,SUM(Q602:T602,W602:Z602,AC602:AF602,AI602:AL602),
IF(AQ602=2,SUM(P602,S602:V602,Y602:AB602,AE602:AH602,AK602:AL602),
IF(AQ602=3,SUM(P602:R602,U602:X602,AA602:AD602,AG602:AJ602),SUM(Таблица1[[#This Row],[1]:[31]])-Таблица1[[#This Row],[Столбец1]])))</f>
        <v>0</v>
      </c>
      <c r="AN602" s="778">
        <f t="array" ref="AN602">IF(AQ602=1,SUM(P602,U602:V602,AA602:AB602,AG602:AH602),
IF(AQ602=2,SUM(Q602:R602,W602:X602,AC602:AD602,AI602:AJ602),
IF(AQ602=3,SUM(S602:T602,Y602:Z602,AE602:AF602,AK602:AL602),
SUM(IFERROR(WEEKDAY($H$2:$AL$2,2)&gt;5,)*H602:AL602))))+Таблица1[[#This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02" s="292" t="b">
        <f>IF(AR602&lt;=3,(IF((G602="5/24"),((база!$M$6*Таблица1[[#This Row],[сумма]]*Таблица1[[#This Row],[коэф]])),
IF((G602="4/24"),((база!$M$5*Таблица1[[#This Row],[сумма]]*Таблица1[[#This Row],[коэф]])),
IF((G602="3/24"),((база!$M$4*Таблица1[[#This Row],[сумма]]*Таблица1[[#This Row],[коэф]])),
IF((G602="5/16"),((база!$L$6*Таблица1[[#This Row],[сумма]]*Таблица1[[#This Row],[коэф]])),
IF((G602="4/16"),((база!$L$5*Таблица1[[#This Row],[сумма]]*Таблица1[[#This Row],[коэф]])),
IF((G602="3/16"),((база!$L$4*Таблица1[[#This Row],[сумма]]*Таблица1[[#This Row],[коэф]])),
IF((G602="4/4"),((база!$I$5*Таблица1[[#This Row],[сумма]]*Таблица1[[#This Row],[коэф]])),
IF(OR(G602="2/4",G602="3/4"),((база!$I$4*Таблица1[[#This Row],[сумма]]*Таблица1[[#This Row],[коэф]])),
IF((G602="5/8"),((база!$J$6*Таблица1[[#This Row],[сумма]]*Таблица1[[#This Row],[коэф]])),
IF((G602="4/8"),((база!$J$5*Таблица1[[#This Row],[сумма]]*Таблица1[[#This Row],[коэф]])),
IF(OR(G602="3/8",G602="2/8"),((база!$J$4*Таблица1[[#This Row],[сумма]]*Таблица1[[#This Row],[коэф]])))))))))))))),
(IF((G602="5/24"),((база!$M$6*Таблица1[[#This Row],[сумма]]*Таблица1[[#This Row],[коэф]])),
IF(OR(G602="4/24",G602="3/24"),((база!$M$5*Таблица1[[#This Row],[сумма]]*Таблица1[[#This Row],[коэф]])),
IF((G602="5/16"),((база!$L$6*Таблица1[[#This Row],[сумма]]*Таблица1[[#This Row],[коэф]])),
IF(OR(G602="4/16",G602="3/16"),((база!$L$5*Таблица1[[#This Row],[сумма]]*Таблица1[[#This Row],[коэф]])),
IF(OR(G602="2/4",G602="3/4",G602="4/4"),((база!$I$5*Таблица1[[#This Row],[сумма]]*Таблица1[[#This Row],[коэф]])),
IF((G602="5/8"),((база!$J$6*Таблица1[[#This Row],[сумма]]*Таблица1[[#This Row],[коэф]])),
IF(OR(G602="4/8",G602="3/8",G602="2/8"),((база!$J$5*Таблица1[[#This Row],[сумма]]*Таблица1[[#This Row],[коэф]])))))))))))</f>
        <v>0</v>
      </c>
      <c r="AP602" s="730" t="b">
        <f>IF(AR602&lt;=3,(IF((G602="5/24"),((база!$M$6*2*Таблица1[[#This Row],[Столбец1]]*Таблица1[[#This Row],[коэф]])),
IF((G602="4/24"),((база!$M$5*2*Таблица1[[#This Row],[Столбец1]]*Таблица1[[#This Row],[коэф]])),
IF((G602="3/24"),((база!$M$4*2*Таблица1[[#This Row],[Столбец1]]*Таблица1[[#This Row],[коэф]])),
IF((G602="5/16"),((база!$L$6*2*Таблица1[[#This Row],[Столбец1]]*Таблица1[[#This Row],[коэф]])),
IF((G602="4/16"),((база!$L$5*2*Таблица1[[#This Row],[Столбец1]]*Таблица1[[#This Row],[коэф]])),
IF((G602="3/16"),((база!$L$4*2*Таблица1[[#This Row],[Столбец1]]*Таблица1[[#This Row],[коэф]])),
IF((G602="4/4"),((база!$I$5*2*Таблица1[[#This Row],[Столбец1]]*Таблица1[[#This Row],[коэф]])),
IF(OR(G602="2/4",G602="3/4"),((база!$I$4*2*Таблица1[[#This Row],[Столбец1]]*Таблица1[[#This Row],[коэф]])),
IF((G602="5/8"),((база!$J$6*2*Таблица1[[#This Row],[Столбец1]]*Таблица1[[#This Row],[коэф]])),
IF((G602="4/8"),((база!$J$5*2*Таблица1[[#This Row],[Столбец1]]*Таблица1[[#This Row],[коэф]])),
IF(OR(G602="3/8",G602="2/8"),((база!$J$4*2*Таблица1[[#This Row],[Столбец1]]*Таблица1[[#This Row],[коэф]])))))))))))))),
(IF((G602="5/24"),((база!$M$6*2*Таблица1[[#This Row],[Столбец1]]*Таблица1[[#This Row],[коэф]])),
IF(OR(G602="4/24",G602="3/24"),((база!$M$5*2*Таблица1[[#This Row],[Столбец1]]*Таблица1[[#This Row],[коэф]])),
IF((G602="5/16"),((база!$L$6*2*Таблица1[[#This Row],[Столбец1]]*Таблица1[[#This Row],[коэф]])),
IF(OR(G602="4/16",G602="3/16"),((база!$L$5*2*Таблица1[[#This Row],[Столбец1]]*Таблица1[[#This Row],[коэф]])),
IF(OR(G602="2/4",G602="3/4",G602="4/4"),((база!$I$5*2*Таблица1[[#This Row],[Столбец1]]*Таблица1[[#This Row],[коэф]])),
IF((G602="5/8"),((база!$J$6*2*Таблица1[[#This Row],[Столбец1]]*Таблица1[[#This Row],[коэф]])),
IF(OR(G602="4/8",G602="3/8",G602="2/8"),((база!$J$5*2*Таблица1[[#This Row],[Столбец1]]*Таблица1[[#This Row],[коэф]])))))))))))</f>
        <v>0</v>
      </c>
      <c r="AQ602" s="712" t="str">
        <f>IFERROR(INDEX(база!T:T, MATCH(F602,база!Q:Q,0)),"")</f>
        <v/>
      </c>
      <c r="AR602" s="208" t="str">
        <f>IFERROR(INDEX(база!D:D, MATCH(F602,база!B:B,0)),"")</f>
        <v/>
      </c>
      <c r="AS602" s="758" t="str">
        <f>IFERROR(INDEX(база!E:E, MATCH(F602,база!B:B,0)),"")</f>
        <v/>
      </c>
    </row>
    <row r="603" spans="1:45" s="46" customFormat="1" ht="15">
      <c r="A603" s="66" t="str">
        <f t="shared" si="8"/>
        <v>январь</v>
      </c>
      <c r="B603" s="231">
        <v>2024</v>
      </c>
      <c r="C603" s="299"/>
      <c r="D603" s="61"/>
      <c r="E603" s="211"/>
      <c r="F603" s="680"/>
      <c r="G603" s="47"/>
      <c r="H603" s="563"/>
      <c r="I603" s="563"/>
      <c r="J603" s="563"/>
      <c r="K603" s="563"/>
      <c r="L603" s="563"/>
      <c r="M603" s="563"/>
      <c r="N603" s="563"/>
      <c r="O603" s="563"/>
      <c r="P603" s="300"/>
      <c r="Q603" s="563"/>
      <c r="R603" s="563"/>
      <c r="S603" s="563"/>
      <c r="T603" s="563"/>
      <c r="U603" s="563"/>
      <c r="V603" s="563"/>
      <c r="W603" s="563"/>
      <c r="X603" s="563"/>
      <c r="Y603" s="563"/>
      <c r="Z603" s="563"/>
      <c r="AA603" s="563"/>
      <c r="AB603" s="563"/>
      <c r="AC603" s="563"/>
      <c r="AD603" s="48"/>
      <c r="AE603" s="48"/>
      <c r="AF603" s="258"/>
      <c r="AG603" s="48"/>
      <c r="AH603" s="48"/>
      <c r="AI603" s="258"/>
      <c r="AJ603" s="258"/>
      <c r="AK603" s="258"/>
      <c r="AL603" s="258"/>
      <c r="AM603" s="212">
        <f>IF(AQ603=1,SUM(Q603:T603,W603:Z603,AC603:AF603,AI603:AL603),
IF(AQ603=2,SUM(P603,S603:V603,Y603:AB603,AE603:AH603,AK603:AL603),
IF(AQ603=3,SUM(P603:R603,U603:X603,AA603:AD603,AG603:AJ603),SUM(Таблица1[[#This Row],[1]:[31]])-Таблица1[[#This Row],[Столбец1]])))</f>
        <v>0</v>
      </c>
      <c r="AN603" s="778">
        <f t="array" ref="AN603">IF(AQ603=1,SUM(P603,U603:V603,AA603:AB603,AG603:AH603),
IF(AQ603=2,SUM(Q603:R603,W603:X603,AC603:AD603,AI603:AJ603),
IF(AQ603=3,SUM(S603:T603,Y603:Z603,AE603:AF603,AK603:AL603),
SUM(IFERROR(WEEKDAY($H$2:$AL$2,2)&gt;5,)*H603:AL603))))+Таблица1[[#This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03" s="292" t="b">
        <f>IF(AR603&lt;=3,(IF((G603="5/24"),((база!$M$6*Таблица1[[#This Row],[сумма]]*Таблица1[[#This Row],[коэф]])),
IF((G603="4/24"),((база!$M$5*Таблица1[[#This Row],[сумма]]*Таблица1[[#This Row],[коэф]])),
IF((G603="3/24"),((база!$M$4*Таблица1[[#This Row],[сумма]]*Таблица1[[#This Row],[коэф]])),
IF((G603="5/16"),((база!$L$6*Таблица1[[#This Row],[сумма]]*Таблица1[[#This Row],[коэф]])),
IF((G603="4/16"),((база!$L$5*Таблица1[[#This Row],[сумма]]*Таблица1[[#This Row],[коэф]])),
IF((G603="3/16"),((база!$L$4*Таблица1[[#This Row],[сумма]]*Таблица1[[#This Row],[коэф]])),
IF((G603="4/4"),((база!$I$5*Таблица1[[#This Row],[сумма]]*Таблица1[[#This Row],[коэф]])),
IF(OR(G603="2/4",G603="3/4"),((база!$I$4*Таблица1[[#This Row],[сумма]]*Таблица1[[#This Row],[коэф]])),
IF((G603="5/8"),((база!$J$6*Таблица1[[#This Row],[сумма]]*Таблица1[[#This Row],[коэф]])),
IF((G603="4/8"),((база!$J$5*Таблица1[[#This Row],[сумма]]*Таблица1[[#This Row],[коэф]])),
IF(OR(G603="3/8",G603="2/8"),((база!$J$4*Таблица1[[#This Row],[сумма]]*Таблица1[[#This Row],[коэф]])))))))))))))),
(IF((G603="5/24"),((база!$M$6*Таблица1[[#This Row],[сумма]]*Таблица1[[#This Row],[коэф]])),
IF(OR(G603="4/24",G603="3/24"),((база!$M$5*Таблица1[[#This Row],[сумма]]*Таблица1[[#This Row],[коэф]])),
IF((G603="5/16"),((база!$L$6*Таблица1[[#This Row],[сумма]]*Таблица1[[#This Row],[коэф]])),
IF(OR(G603="4/16",G603="3/16"),((база!$L$5*Таблица1[[#This Row],[сумма]]*Таблица1[[#This Row],[коэф]])),
IF(OR(G603="2/4",G603="3/4",G603="4/4"),((база!$I$5*Таблица1[[#This Row],[сумма]]*Таблица1[[#This Row],[коэф]])),
IF((G603="5/8"),((база!$J$6*Таблица1[[#This Row],[сумма]]*Таблица1[[#This Row],[коэф]])),
IF(OR(G603="4/8",G603="3/8",G603="2/8"),((база!$J$5*Таблица1[[#This Row],[сумма]]*Таблица1[[#This Row],[коэф]])))))))))))</f>
        <v>0</v>
      </c>
      <c r="AP603" s="730" t="b">
        <f>IF(AR603&lt;=3,(IF((G603="5/24"),((база!$M$6*2*Таблица1[[#This Row],[Столбец1]]*Таблица1[[#This Row],[коэф]])),
IF((G603="4/24"),((база!$M$5*2*Таблица1[[#This Row],[Столбец1]]*Таблица1[[#This Row],[коэф]])),
IF((G603="3/24"),((база!$M$4*2*Таблица1[[#This Row],[Столбец1]]*Таблица1[[#This Row],[коэф]])),
IF((G603="5/16"),((база!$L$6*2*Таблица1[[#This Row],[Столбец1]]*Таблица1[[#This Row],[коэф]])),
IF((G603="4/16"),((база!$L$5*2*Таблица1[[#This Row],[Столбец1]]*Таблица1[[#This Row],[коэф]])),
IF((G603="3/16"),((база!$L$4*2*Таблица1[[#This Row],[Столбец1]]*Таблица1[[#This Row],[коэф]])),
IF((G603="4/4"),((база!$I$5*2*Таблица1[[#This Row],[Столбец1]]*Таблица1[[#This Row],[коэф]])),
IF(OR(G603="2/4",G603="3/4"),((база!$I$4*2*Таблица1[[#This Row],[Столбец1]]*Таблица1[[#This Row],[коэф]])),
IF((G603="5/8"),((база!$J$6*2*Таблица1[[#This Row],[Столбец1]]*Таблица1[[#This Row],[коэф]])),
IF((G603="4/8"),((база!$J$5*2*Таблица1[[#This Row],[Столбец1]]*Таблица1[[#This Row],[коэф]])),
IF(OR(G603="3/8",G603="2/8"),((база!$J$4*2*Таблица1[[#This Row],[Столбец1]]*Таблица1[[#This Row],[коэф]])))))))))))))),
(IF((G603="5/24"),((база!$M$6*2*Таблица1[[#This Row],[Столбец1]]*Таблица1[[#This Row],[коэф]])),
IF(OR(G603="4/24",G603="3/24"),((база!$M$5*2*Таблица1[[#This Row],[Столбец1]]*Таблица1[[#This Row],[коэф]])),
IF((G603="5/16"),((база!$L$6*2*Таблица1[[#This Row],[Столбец1]]*Таблица1[[#This Row],[коэф]])),
IF(OR(G603="4/16",G603="3/16"),((база!$L$5*2*Таблица1[[#This Row],[Столбец1]]*Таблица1[[#This Row],[коэф]])),
IF(OR(G603="2/4",G603="3/4",G603="4/4"),((база!$I$5*2*Таблица1[[#This Row],[Столбец1]]*Таблица1[[#This Row],[коэф]])),
IF((G603="5/8"),((база!$J$6*2*Таблица1[[#This Row],[Столбец1]]*Таблица1[[#This Row],[коэф]])),
IF(OR(G603="4/8",G603="3/8",G603="2/8"),((база!$J$5*2*Таблица1[[#This Row],[Столбец1]]*Таблица1[[#This Row],[коэф]])))))))))))</f>
        <v>0</v>
      </c>
      <c r="AQ603" s="712" t="str">
        <f>IFERROR(INDEX(база!T:T, MATCH(F603,база!Q:Q,0)),"")</f>
        <v/>
      </c>
      <c r="AR603" s="208" t="str">
        <f>IFERROR(INDEX(база!D:D, MATCH(F603,база!B:B,0)),"")</f>
        <v/>
      </c>
      <c r="AS603" s="758" t="str">
        <f>IFERROR(INDEX(база!E:E, MATCH(F603,база!B:B,0)),"")</f>
        <v/>
      </c>
    </row>
    <row r="604" spans="1:45" s="46" customFormat="1" ht="15">
      <c r="A604" s="66" t="str">
        <f t="shared" si="8"/>
        <v>январь</v>
      </c>
      <c r="B604" s="231">
        <v>2024</v>
      </c>
      <c r="C604" s="299"/>
      <c r="D604" s="61"/>
      <c r="E604" s="211"/>
      <c r="F604" s="680"/>
      <c r="G604" s="47"/>
      <c r="H604" s="563"/>
      <c r="I604" s="563"/>
      <c r="J604" s="563"/>
      <c r="K604" s="563"/>
      <c r="L604" s="563"/>
      <c r="M604" s="563"/>
      <c r="N604" s="563"/>
      <c r="O604" s="563"/>
      <c r="P604" s="300"/>
      <c r="Q604" s="563"/>
      <c r="R604" s="563"/>
      <c r="S604" s="563"/>
      <c r="T604" s="563"/>
      <c r="U604" s="563"/>
      <c r="V604" s="563"/>
      <c r="W604" s="563"/>
      <c r="X604" s="563"/>
      <c r="Y604" s="563"/>
      <c r="Z604" s="563"/>
      <c r="AA604" s="563"/>
      <c r="AB604" s="563"/>
      <c r="AC604" s="563"/>
      <c r="AD604" s="48"/>
      <c r="AE604" s="48"/>
      <c r="AF604" s="258"/>
      <c r="AG604" s="48"/>
      <c r="AH604" s="48"/>
      <c r="AI604" s="48"/>
      <c r="AJ604" s="48"/>
      <c r="AK604" s="48"/>
      <c r="AL604" s="51"/>
      <c r="AM604" s="212">
        <f>IF(AQ604=1,SUM(Q604:T604,W604:Z604,AC604:AF604,AI604:AL604),
IF(AQ604=2,SUM(P604,S604:V604,Y604:AB604,AE604:AH604,AK604:AL604),
IF(AQ604=3,SUM(P604:R604,U604:X604,AA604:AD604,AG604:AJ604),SUM(Таблица1[[#This Row],[1]:[31]])-Таблица1[[#This Row],[Столбец1]])))</f>
        <v>0</v>
      </c>
      <c r="AN604" s="778">
        <f t="array" ref="AN604">IF(AQ604=1,SUM(P604,U604:V604,AA604:AB604,AG604:AH604),
IF(AQ604=2,SUM(Q604:R604,W604:X604,AC604:AD604,AI604:AJ604),
IF(AQ604=3,SUM(S604:T604,Y604:Z604,AE604:AF604,AK604:AL604),
SUM(IFERROR(WEEKDAY($H$2:$AL$2,2)&gt;5,)*H604:AL604))))+Таблица1[[#This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04" s="292" t="b">
        <f>IF(AR604&lt;=3,(IF((G604="5/24"),((база!$M$6*Таблица1[[#This Row],[сумма]]*Таблица1[[#This Row],[коэф]])),
IF((G604="4/24"),((база!$M$5*Таблица1[[#This Row],[сумма]]*Таблица1[[#This Row],[коэф]])),
IF((G604="3/24"),((база!$M$4*Таблица1[[#This Row],[сумма]]*Таблица1[[#This Row],[коэф]])),
IF((G604="5/16"),((база!$L$6*Таблица1[[#This Row],[сумма]]*Таблица1[[#This Row],[коэф]])),
IF((G604="4/16"),((база!$L$5*Таблица1[[#This Row],[сумма]]*Таблица1[[#This Row],[коэф]])),
IF((G604="3/16"),((база!$L$4*Таблица1[[#This Row],[сумма]]*Таблица1[[#This Row],[коэф]])),
IF((G604="4/4"),((база!$I$5*Таблица1[[#This Row],[сумма]]*Таблица1[[#This Row],[коэф]])),
IF(OR(G604="2/4",G604="3/4"),((база!$I$4*Таблица1[[#This Row],[сумма]]*Таблица1[[#This Row],[коэф]])),
IF((G604="5/8"),((база!$J$6*Таблица1[[#This Row],[сумма]]*Таблица1[[#This Row],[коэф]])),
IF((G604="4/8"),((база!$J$5*Таблица1[[#This Row],[сумма]]*Таблица1[[#This Row],[коэф]])),
IF(OR(G604="3/8",G604="2/8"),((база!$J$4*Таблица1[[#This Row],[сумма]]*Таблица1[[#This Row],[коэф]])))))))))))))),
(IF((G604="5/24"),((база!$M$6*Таблица1[[#This Row],[сумма]]*Таблица1[[#This Row],[коэф]])),
IF(OR(G604="4/24",G604="3/24"),((база!$M$5*Таблица1[[#This Row],[сумма]]*Таблица1[[#This Row],[коэф]])),
IF((G604="5/16"),((база!$L$6*Таблица1[[#This Row],[сумма]]*Таблица1[[#This Row],[коэф]])),
IF(OR(G604="4/16",G604="3/16"),((база!$L$5*Таблица1[[#This Row],[сумма]]*Таблица1[[#This Row],[коэф]])),
IF(OR(G604="2/4",G604="3/4",G604="4/4"),((база!$I$5*Таблица1[[#This Row],[сумма]]*Таблица1[[#This Row],[коэф]])),
IF((G604="5/8"),((база!$J$6*Таблица1[[#This Row],[сумма]]*Таблица1[[#This Row],[коэф]])),
IF(OR(G604="4/8",G604="3/8",G604="2/8"),((база!$J$5*Таблица1[[#This Row],[сумма]]*Таблица1[[#This Row],[коэф]])))))))))))</f>
        <v>0</v>
      </c>
      <c r="AP604" s="730" t="b">
        <f>IF(AR604&lt;=3,(IF((G604="5/24"),((база!$M$6*2*Таблица1[[#This Row],[Столбец1]]*Таблица1[[#This Row],[коэф]])),
IF((G604="4/24"),((база!$M$5*2*Таблица1[[#This Row],[Столбец1]]*Таблица1[[#This Row],[коэф]])),
IF((G604="3/24"),((база!$M$4*2*Таблица1[[#This Row],[Столбец1]]*Таблица1[[#This Row],[коэф]])),
IF((G604="5/16"),((база!$L$6*2*Таблица1[[#This Row],[Столбец1]]*Таблица1[[#This Row],[коэф]])),
IF((G604="4/16"),((база!$L$5*2*Таблица1[[#This Row],[Столбец1]]*Таблица1[[#This Row],[коэф]])),
IF((G604="3/16"),((база!$L$4*2*Таблица1[[#This Row],[Столбец1]]*Таблица1[[#This Row],[коэф]])),
IF((G604="4/4"),((база!$I$5*2*Таблица1[[#This Row],[Столбец1]]*Таблица1[[#This Row],[коэф]])),
IF(OR(G604="2/4",G604="3/4"),((база!$I$4*2*Таблица1[[#This Row],[Столбец1]]*Таблица1[[#This Row],[коэф]])),
IF((G604="5/8"),((база!$J$6*2*Таблица1[[#This Row],[Столбец1]]*Таблица1[[#This Row],[коэф]])),
IF((G604="4/8"),((база!$J$5*2*Таблица1[[#This Row],[Столбец1]]*Таблица1[[#This Row],[коэф]])),
IF(OR(G604="3/8",G604="2/8"),((база!$J$4*2*Таблица1[[#This Row],[Столбец1]]*Таблица1[[#This Row],[коэф]])))))))))))))),
(IF((G604="5/24"),((база!$M$6*2*Таблица1[[#This Row],[Столбец1]]*Таблица1[[#This Row],[коэф]])),
IF(OR(G604="4/24",G604="3/24"),((база!$M$5*2*Таблица1[[#This Row],[Столбец1]]*Таблица1[[#This Row],[коэф]])),
IF((G604="5/16"),((база!$L$6*2*Таблица1[[#This Row],[Столбец1]]*Таблица1[[#This Row],[коэф]])),
IF(OR(G604="4/16",G604="3/16"),((база!$L$5*2*Таблица1[[#This Row],[Столбец1]]*Таблица1[[#This Row],[коэф]])),
IF(OR(G604="2/4",G604="3/4",G604="4/4"),((база!$I$5*2*Таблица1[[#This Row],[Столбец1]]*Таблица1[[#This Row],[коэф]])),
IF((G604="5/8"),((база!$J$6*2*Таблица1[[#This Row],[Столбец1]]*Таблица1[[#This Row],[коэф]])),
IF(OR(G604="4/8",G604="3/8",G604="2/8"),((база!$J$5*2*Таблица1[[#This Row],[Столбец1]]*Таблица1[[#This Row],[коэф]])))))))))))</f>
        <v>0</v>
      </c>
      <c r="AQ604" s="712" t="str">
        <f>IFERROR(INDEX(база!T:T, MATCH(F604,база!Q:Q,0)),"")</f>
        <v/>
      </c>
      <c r="AR604" s="208" t="str">
        <f>IFERROR(INDEX(база!D:D, MATCH(F604,база!B:B,0)),"")</f>
        <v/>
      </c>
      <c r="AS604" s="758" t="str">
        <f>IFERROR(INDEX(база!E:E, MATCH(F604,база!B:B,0)),"")</f>
        <v/>
      </c>
    </row>
    <row r="605" spans="1:45" s="46" customFormat="1" ht="15">
      <c r="A605" s="66" t="str">
        <f t="shared" si="8"/>
        <v>январь</v>
      </c>
      <c r="B605" s="231">
        <v>2024</v>
      </c>
      <c r="C605" s="60"/>
      <c r="D605" s="61"/>
      <c r="E605" s="211"/>
      <c r="F605" s="680"/>
      <c r="G605" s="47"/>
      <c r="H605" s="563"/>
      <c r="I605" s="563"/>
      <c r="J605" s="563"/>
      <c r="K605" s="563"/>
      <c r="L605" s="563"/>
      <c r="M605" s="563"/>
      <c r="N605" s="563"/>
      <c r="O605" s="563"/>
      <c r="P605" s="300"/>
      <c r="Q605" s="563"/>
      <c r="R605" s="563"/>
      <c r="S605" s="563"/>
      <c r="T605" s="563"/>
      <c r="U605" s="563"/>
      <c r="V605" s="563"/>
      <c r="W605" s="563"/>
      <c r="X605" s="563"/>
      <c r="Y605" s="563"/>
      <c r="Z605" s="563"/>
      <c r="AA605" s="563"/>
      <c r="AB605" s="563"/>
      <c r="AC605" s="563"/>
      <c r="AD605" s="48"/>
      <c r="AE605" s="48"/>
      <c r="AF605" s="258"/>
      <c r="AG605" s="48"/>
      <c r="AH605" s="48"/>
      <c r="AI605" s="258"/>
      <c r="AJ605" s="258"/>
      <c r="AK605" s="258"/>
      <c r="AL605" s="258"/>
      <c r="AM605" s="212">
        <f>IF(AQ605=1,SUM(Q605:T605,W605:Z605,AC605:AF605,AI605:AL605),
IF(AQ605=2,SUM(P605,S605:V605,Y605:AB605,AE605:AH605,AK605:AL605),
IF(AQ605=3,SUM(P605:R605,U605:X605,AA605:AD605,AG605:AJ605),SUM(Таблица1[[#This Row],[1]:[31]])-Таблица1[[#This Row],[Столбец1]])))</f>
        <v>0</v>
      </c>
      <c r="AN605" s="778">
        <f t="array" ref="AN605">IF(AQ605=1,SUM(P605,U605:V605,AA605:AB605,AG605:AH605),
IF(AQ605=2,SUM(Q605:R605,W605:X605,AC605:AD605,AI605:AJ605),
IF(AQ605=3,SUM(S605:T605,Y605:Z605,AE605:AF605,AK605:AL605),
SUM(IFERROR(WEEKDAY($H$2:$AL$2,2)&gt;5,)*H605:AL605))))+Таблица1[[#This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05" s="292" t="b">
        <f>IF(AR605&lt;=3,(IF((G605="5/24"),((база!$M$6*Таблица1[[#This Row],[сумма]]*Таблица1[[#This Row],[коэф]])),
IF((G605="4/24"),((база!$M$5*Таблица1[[#This Row],[сумма]]*Таблица1[[#This Row],[коэф]])),
IF((G605="3/24"),((база!$M$4*Таблица1[[#This Row],[сумма]]*Таблица1[[#This Row],[коэф]])),
IF((G605="5/16"),((база!$L$6*Таблица1[[#This Row],[сумма]]*Таблица1[[#This Row],[коэф]])),
IF((G605="4/16"),((база!$L$5*Таблица1[[#This Row],[сумма]]*Таблица1[[#This Row],[коэф]])),
IF((G605="3/16"),((база!$L$4*Таблица1[[#This Row],[сумма]]*Таблица1[[#This Row],[коэф]])),
IF((G605="4/4"),((база!$I$5*Таблица1[[#This Row],[сумма]]*Таблица1[[#This Row],[коэф]])),
IF(OR(G605="2/4",G605="3/4"),((база!$I$4*Таблица1[[#This Row],[сумма]]*Таблица1[[#This Row],[коэф]])),
IF((G605="5/8"),((база!$J$6*Таблица1[[#This Row],[сумма]]*Таблица1[[#This Row],[коэф]])),
IF((G605="4/8"),((база!$J$5*Таблица1[[#This Row],[сумма]]*Таблица1[[#This Row],[коэф]])),
IF(OR(G605="3/8",G605="2/8"),((база!$J$4*Таблица1[[#This Row],[сумма]]*Таблица1[[#This Row],[коэф]])))))))))))))),
(IF((G605="5/24"),((база!$M$6*Таблица1[[#This Row],[сумма]]*Таблица1[[#This Row],[коэф]])),
IF(OR(G605="4/24",G605="3/24"),((база!$M$5*Таблица1[[#This Row],[сумма]]*Таблица1[[#This Row],[коэф]])),
IF((G605="5/16"),((база!$L$6*Таблица1[[#This Row],[сумма]]*Таблица1[[#This Row],[коэф]])),
IF(OR(G605="4/16",G605="3/16"),((база!$L$5*Таблица1[[#This Row],[сумма]]*Таблица1[[#This Row],[коэф]])),
IF(OR(G605="2/4",G605="3/4",G605="4/4"),((база!$I$5*Таблица1[[#This Row],[сумма]]*Таблица1[[#This Row],[коэф]])),
IF((G605="5/8"),((база!$J$6*Таблица1[[#This Row],[сумма]]*Таблица1[[#This Row],[коэф]])),
IF(OR(G605="4/8",G605="3/8",G605="2/8"),((база!$J$5*Таблица1[[#This Row],[сумма]]*Таблица1[[#This Row],[коэф]])))))))))))</f>
        <v>0</v>
      </c>
      <c r="AP605" s="730" t="b">
        <f>IF(AR605&lt;=3,(IF((G605="5/24"),((база!$M$6*2*Таблица1[[#This Row],[Столбец1]]*Таблица1[[#This Row],[коэф]])),
IF((G605="4/24"),((база!$M$5*2*Таблица1[[#This Row],[Столбец1]]*Таблица1[[#This Row],[коэф]])),
IF((G605="3/24"),((база!$M$4*2*Таблица1[[#This Row],[Столбец1]]*Таблица1[[#This Row],[коэф]])),
IF((G605="5/16"),((база!$L$6*2*Таблица1[[#This Row],[Столбец1]]*Таблица1[[#This Row],[коэф]])),
IF((G605="4/16"),((база!$L$5*2*Таблица1[[#This Row],[Столбец1]]*Таблица1[[#This Row],[коэф]])),
IF((G605="3/16"),((база!$L$4*2*Таблица1[[#This Row],[Столбец1]]*Таблица1[[#This Row],[коэф]])),
IF((G605="4/4"),((база!$I$5*2*Таблица1[[#This Row],[Столбец1]]*Таблица1[[#This Row],[коэф]])),
IF(OR(G605="2/4",G605="3/4"),((база!$I$4*2*Таблица1[[#This Row],[Столбец1]]*Таблица1[[#This Row],[коэф]])),
IF((G605="5/8"),((база!$J$6*2*Таблица1[[#This Row],[Столбец1]]*Таблица1[[#This Row],[коэф]])),
IF((G605="4/8"),((база!$J$5*2*Таблица1[[#This Row],[Столбец1]]*Таблица1[[#This Row],[коэф]])),
IF(OR(G605="3/8",G605="2/8"),((база!$J$4*2*Таблица1[[#This Row],[Столбец1]]*Таблица1[[#This Row],[коэф]])))))))))))))),
(IF((G605="5/24"),((база!$M$6*2*Таблица1[[#This Row],[Столбец1]]*Таблица1[[#This Row],[коэф]])),
IF(OR(G605="4/24",G605="3/24"),((база!$M$5*2*Таблица1[[#This Row],[Столбец1]]*Таблица1[[#This Row],[коэф]])),
IF((G605="5/16"),((база!$L$6*2*Таблица1[[#This Row],[Столбец1]]*Таблица1[[#This Row],[коэф]])),
IF(OR(G605="4/16",G605="3/16"),((база!$L$5*2*Таблица1[[#This Row],[Столбец1]]*Таблица1[[#This Row],[коэф]])),
IF(OR(G605="2/4",G605="3/4",G605="4/4"),((база!$I$5*2*Таблица1[[#This Row],[Столбец1]]*Таблица1[[#This Row],[коэф]])),
IF((G605="5/8"),((база!$J$6*2*Таблица1[[#This Row],[Столбец1]]*Таблица1[[#This Row],[коэф]])),
IF(OR(G605="4/8",G605="3/8",G605="2/8"),((база!$J$5*2*Таблица1[[#This Row],[Столбец1]]*Таблица1[[#This Row],[коэф]])))))))))))</f>
        <v>0</v>
      </c>
      <c r="AQ605" s="712" t="str">
        <f>IFERROR(INDEX(база!T:T, MATCH(F605,база!Q:Q,0)),"")</f>
        <v/>
      </c>
      <c r="AR605" s="208" t="str">
        <f>IFERROR(INDEX(база!D:D, MATCH(F605,база!B:B,0)),"")</f>
        <v/>
      </c>
      <c r="AS605" s="758" t="str">
        <f>IFERROR(INDEX(база!E:E, MATCH(F605,база!B:B,0)),"")</f>
        <v/>
      </c>
    </row>
    <row r="606" spans="1:45" s="46" customFormat="1" ht="15">
      <c r="A606" s="66" t="str">
        <f t="shared" si="8"/>
        <v>январь</v>
      </c>
      <c r="B606" s="231">
        <v>2024</v>
      </c>
      <c r="C606" s="299"/>
      <c r="D606" s="61"/>
      <c r="E606" s="211"/>
      <c r="F606" s="680"/>
      <c r="G606" s="47"/>
      <c r="H606" s="563"/>
      <c r="I606" s="563"/>
      <c r="J606" s="563"/>
      <c r="K606" s="563"/>
      <c r="L606" s="563"/>
      <c r="M606" s="563"/>
      <c r="N606" s="563"/>
      <c r="O606" s="563"/>
      <c r="P606" s="300"/>
      <c r="Q606" s="563"/>
      <c r="R606" s="563"/>
      <c r="S606" s="563"/>
      <c r="T606" s="563"/>
      <c r="U606" s="563"/>
      <c r="V606" s="563"/>
      <c r="W606" s="563"/>
      <c r="X606" s="563"/>
      <c r="Y606" s="563"/>
      <c r="Z606" s="563"/>
      <c r="AA606" s="563"/>
      <c r="AB606" s="563"/>
      <c r="AC606" s="563"/>
      <c r="AD606" s="48"/>
      <c r="AE606" s="48"/>
      <c r="AF606" s="258"/>
      <c r="AG606" s="48"/>
      <c r="AH606" s="48"/>
      <c r="AI606" s="48"/>
      <c r="AJ606" s="48"/>
      <c r="AK606" s="48"/>
      <c r="AL606" s="51"/>
      <c r="AM606" s="212">
        <f>IF(AQ606=1,SUM(Q606:T606,W606:Z606,AC606:AF606,AI606:AL606),
IF(AQ606=2,SUM(P606,S606:V606,Y606:AB606,AE606:AH606,AK606:AL606),
IF(AQ606=3,SUM(P606:R606,U606:X606,AA606:AD606,AG606:AJ606),SUM(Таблица1[[#This Row],[1]:[31]])-Таблица1[[#This Row],[Столбец1]])))</f>
        <v>0</v>
      </c>
      <c r="AN606" s="778">
        <f t="array" ref="AN606">IF(AQ606=1,SUM(P606,U606:V606,AA606:AB606,AG606:AH606),
IF(AQ606=2,SUM(Q606:R606,W606:X606,AC606:AD606,AI606:AJ606),
IF(AQ606=3,SUM(S606:T606,Y606:Z606,AE606:AF606,AK606:AL606),
SUM(IFERROR(WEEKDAY($H$2:$AL$2,2)&gt;5,)*H606:AL606))))+Таблица1[[#This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06" s="292" t="b">
        <f>IF(AR606&lt;=3,(IF((G606="5/24"),((база!$M$6*Таблица1[[#This Row],[сумма]]*Таблица1[[#This Row],[коэф]])),
IF((G606="4/24"),((база!$M$5*Таблица1[[#This Row],[сумма]]*Таблица1[[#This Row],[коэф]])),
IF((G606="3/24"),((база!$M$4*Таблица1[[#This Row],[сумма]]*Таблица1[[#This Row],[коэф]])),
IF((G606="5/16"),((база!$L$6*Таблица1[[#This Row],[сумма]]*Таблица1[[#This Row],[коэф]])),
IF((G606="4/16"),((база!$L$5*Таблица1[[#This Row],[сумма]]*Таблица1[[#This Row],[коэф]])),
IF((G606="3/16"),((база!$L$4*Таблица1[[#This Row],[сумма]]*Таблица1[[#This Row],[коэф]])),
IF((G606="4/4"),((база!$I$5*Таблица1[[#This Row],[сумма]]*Таблица1[[#This Row],[коэф]])),
IF(OR(G606="2/4",G606="3/4"),((база!$I$4*Таблица1[[#This Row],[сумма]]*Таблица1[[#This Row],[коэф]])),
IF((G606="5/8"),((база!$J$6*Таблица1[[#This Row],[сумма]]*Таблица1[[#This Row],[коэф]])),
IF((G606="4/8"),((база!$J$5*Таблица1[[#This Row],[сумма]]*Таблица1[[#This Row],[коэф]])),
IF(OR(G606="3/8",G606="2/8"),((база!$J$4*Таблица1[[#This Row],[сумма]]*Таблица1[[#This Row],[коэф]])))))))))))))),
(IF((G606="5/24"),((база!$M$6*Таблица1[[#This Row],[сумма]]*Таблица1[[#This Row],[коэф]])),
IF(OR(G606="4/24",G606="3/24"),((база!$M$5*Таблица1[[#This Row],[сумма]]*Таблица1[[#This Row],[коэф]])),
IF((G606="5/16"),((база!$L$6*Таблица1[[#This Row],[сумма]]*Таблица1[[#This Row],[коэф]])),
IF(OR(G606="4/16",G606="3/16"),((база!$L$5*Таблица1[[#This Row],[сумма]]*Таблица1[[#This Row],[коэф]])),
IF(OR(G606="2/4",G606="3/4",G606="4/4"),((база!$I$5*Таблица1[[#This Row],[сумма]]*Таблица1[[#This Row],[коэф]])),
IF((G606="5/8"),((база!$J$6*Таблица1[[#This Row],[сумма]]*Таблица1[[#This Row],[коэф]])),
IF(OR(G606="4/8",G606="3/8",G606="2/8"),((база!$J$5*Таблица1[[#This Row],[сумма]]*Таблица1[[#This Row],[коэф]])))))))))))</f>
        <v>0</v>
      </c>
      <c r="AP606" s="730" t="b">
        <f>IF(AR606&lt;=3,(IF((G606="5/24"),((база!$M$6*2*Таблица1[[#This Row],[Столбец1]]*Таблица1[[#This Row],[коэф]])),
IF((G606="4/24"),((база!$M$5*2*Таблица1[[#This Row],[Столбец1]]*Таблица1[[#This Row],[коэф]])),
IF((G606="3/24"),((база!$M$4*2*Таблица1[[#This Row],[Столбец1]]*Таблица1[[#This Row],[коэф]])),
IF((G606="5/16"),((база!$L$6*2*Таблица1[[#This Row],[Столбец1]]*Таблица1[[#This Row],[коэф]])),
IF((G606="4/16"),((база!$L$5*2*Таблица1[[#This Row],[Столбец1]]*Таблица1[[#This Row],[коэф]])),
IF((G606="3/16"),((база!$L$4*2*Таблица1[[#This Row],[Столбец1]]*Таблица1[[#This Row],[коэф]])),
IF((G606="4/4"),((база!$I$5*2*Таблица1[[#This Row],[Столбец1]]*Таблица1[[#This Row],[коэф]])),
IF(OR(G606="2/4",G606="3/4"),((база!$I$4*2*Таблица1[[#This Row],[Столбец1]]*Таблица1[[#This Row],[коэф]])),
IF((G606="5/8"),((база!$J$6*2*Таблица1[[#This Row],[Столбец1]]*Таблица1[[#This Row],[коэф]])),
IF((G606="4/8"),((база!$J$5*2*Таблица1[[#This Row],[Столбец1]]*Таблица1[[#This Row],[коэф]])),
IF(OR(G606="3/8",G606="2/8"),((база!$J$4*2*Таблица1[[#This Row],[Столбец1]]*Таблица1[[#This Row],[коэф]])))))))))))))),
(IF((G606="5/24"),((база!$M$6*2*Таблица1[[#This Row],[Столбец1]]*Таблица1[[#This Row],[коэф]])),
IF(OR(G606="4/24",G606="3/24"),((база!$M$5*2*Таблица1[[#This Row],[Столбец1]]*Таблица1[[#This Row],[коэф]])),
IF((G606="5/16"),((база!$L$6*2*Таблица1[[#This Row],[Столбец1]]*Таблица1[[#This Row],[коэф]])),
IF(OR(G606="4/16",G606="3/16"),((база!$L$5*2*Таблица1[[#This Row],[Столбец1]]*Таблица1[[#This Row],[коэф]])),
IF(OR(G606="2/4",G606="3/4",G606="4/4"),((база!$I$5*2*Таблица1[[#This Row],[Столбец1]]*Таблица1[[#This Row],[коэф]])),
IF((G606="5/8"),((база!$J$6*2*Таблица1[[#This Row],[Столбец1]]*Таблица1[[#This Row],[коэф]])),
IF(OR(G606="4/8",G606="3/8",G606="2/8"),((база!$J$5*2*Таблица1[[#This Row],[Столбец1]]*Таблица1[[#This Row],[коэф]])))))))))))</f>
        <v>0</v>
      </c>
      <c r="AQ606" s="712" t="str">
        <f>IFERROR(INDEX(база!T:T, MATCH(F606,база!Q:Q,0)),"")</f>
        <v/>
      </c>
      <c r="AR606" s="208" t="str">
        <f>IFERROR(INDEX(база!D:D, MATCH(F606,база!B:B,0)),"")</f>
        <v/>
      </c>
      <c r="AS606" s="758" t="str">
        <f>IFERROR(INDEX(база!E:E, MATCH(F606,база!B:B,0)),"")</f>
        <v/>
      </c>
    </row>
    <row r="607" spans="1:45" s="46" customFormat="1" ht="15">
      <c r="A607" s="66" t="str">
        <f t="shared" si="8"/>
        <v>январь</v>
      </c>
      <c r="B607" s="231">
        <v>2024</v>
      </c>
      <c r="C607" s="299"/>
      <c r="D607" s="61"/>
      <c r="E607" s="211"/>
      <c r="F607" s="680"/>
      <c r="G607" s="47"/>
      <c r="H607" s="563"/>
      <c r="I607" s="563"/>
      <c r="J607" s="563"/>
      <c r="K607" s="563"/>
      <c r="L607" s="563"/>
      <c r="M607" s="563"/>
      <c r="N607" s="563"/>
      <c r="O607" s="563"/>
      <c r="P607" s="300"/>
      <c r="Q607" s="563"/>
      <c r="R607" s="563"/>
      <c r="S607" s="563"/>
      <c r="T607" s="563"/>
      <c r="U607" s="563"/>
      <c r="V607" s="563"/>
      <c r="W607" s="563"/>
      <c r="X607" s="563"/>
      <c r="Y607" s="563"/>
      <c r="Z607" s="563"/>
      <c r="AA607" s="563"/>
      <c r="AB607" s="563"/>
      <c r="AC607" s="563"/>
      <c r="AD607" s="48"/>
      <c r="AE607" s="48"/>
      <c r="AF607" s="258"/>
      <c r="AG607" s="48"/>
      <c r="AH607" s="48"/>
      <c r="AI607" s="258"/>
      <c r="AJ607" s="258"/>
      <c r="AK607" s="258"/>
      <c r="AL607" s="258"/>
      <c r="AM607" s="212">
        <f>IF(AQ607=1,SUM(Q607:T607,W607:Z607,AC607:AF607,AI607:AL607),
IF(AQ607=2,SUM(P607,S607:V607,Y607:AB607,AE607:AH607,AK607:AL607),
IF(AQ607=3,SUM(P607:R607,U607:X607,AA607:AD607,AG607:AJ607),SUM(Таблица1[[#This Row],[1]:[31]])-Таблица1[[#This Row],[Столбец1]])))</f>
        <v>0</v>
      </c>
      <c r="AN607" s="778">
        <f t="array" ref="AN607">IF(AQ607=1,SUM(P607,U607:V607,AA607:AB607,AG607:AH607),
IF(AQ607=2,SUM(Q607:R607,W607:X607,AC607:AD607,AI607:AJ607),
IF(AQ607=3,SUM(S607:T607,Y607:Z607,AE607:AF607,AK607:AL607),
SUM(IFERROR(WEEKDAY($H$2:$AL$2,2)&gt;5,)*H607:AL607))))+Таблица1[[#This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07" s="292" t="b">
        <f>IF(AR607&lt;=3,(IF((G607="5/24"),((база!$M$6*Таблица1[[#This Row],[сумма]]*Таблица1[[#This Row],[коэф]])),
IF((G607="4/24"),((база!$M$5*Таблица1[[#This Row],[сумма]]*Таблица1[[#This Row],[коэф]])),
IF((G607="3/24"),((база!$M$4*Таблица1[[#This Row],[сумма]]*Таблица1[[#This Row],[коэф]])),
IF((G607="5/16"),((база!$L$6*Таблица1[[#This Row],[сумма]]*Таблица1[[#This Row],[коэф]])),
IF((G607="4/16"),((база!$L$5*Таблица1[[#This Row],[сумма]]*Таблица1[[#This Row],[коэф]])),
IF((G607="3/16"),((база!$L$4*Таблица1[[#This Row],[сумма]]*Таблица1[[#This Row],[коэф]])),
IF((G607="4/4"),((база!$I$5*Таблица1[[#This Row],[сумма]]*Таблица1[[#This Row],[коэф]])),
IF(OR(G607="2/4",G607="3/4"),((база!$I$4*Таблица1[[#This Row],[сумма]]*Таблица1[[#This Row],[коэф]])),
IF((G607="5/8"),((база!$J$6*Таблица1[[#This Row],[сумма]]*Таблица1[[#This Row],[коэф]])),
IF((G607="4/8"),((база!$J$5*Таблица1[[#This Row],[сумма]]*Таблица1[[#This Row],[коэф]])),
IF(OR(G607="3/8",G607="2/8"),((база!$J$4*Таблица1[[#This Row],[сумма]]*Таблица1[[#This Row],[коэф]])))))))))))))),
(IF((G607="5/24"),((база!$M$6*Таблица1[[#This Row],[сумма]]*Таблица1[[#This Row],[коэф]])),
IF(OR(G607="4/24",G607="3/24"),((база!$M$5*Таблица1[[#This Row],[сумма]]*Таблица1[[#This Row],[коэф]])),
IF((G607="5/16"),((база!$L$6*Таблица1[[#This Row],[сумма]]*Таблица1[[#This Row],[коэф]])),
IF(OR(G607="4/16",G607="3/16"),((база!$L$5*Таблица1[[#This Row],[сумма]]*Таблица1[[#This Row],[коэф]])),
IF(OR(G607="2/4",G607="3/4",G607="4/4"),((база!$I$5*Таблица1[[#This Row],[сумма]]*Таблица1[[#This Row],[коэф]])),
IF((G607="5/8"),((база!$J$6*Таблица1[[#This Row],[сумма]]*Таблица1[[#This Row],[коэф]])),
IF(OR(G607="4/8",G607="3/8",G607="2/8"),((база!$J$5*Таблица1[[#This Row],[сумма]]*Таблица1[[#This Row],[коэф]])))))))))))</f>
        <v>0</v>
      </c>
      <c r="AP607" s="730" t="b">
        <f>IF(AR607&lt;=3,(IF((G607="5/24"),((база!$M$6*2*Таблица1[[#This Row],[Столбец1]]*Таблица1[[#This Row],[коэф]])),
IF((G607="4/24"),((база!$M$5*2*Таблица1[[#This Row],[Столбец1]]*Таблица1[[#This Row],[коэф]])),
IF((G607="3/24"),((база!$M$4*2*Таблица1[[#This Row],[Столбец1]]*Таблица1[[#This Row],[коэф]])),
IF((G607="5/16"),((база!$L$6*2*Таблица1[[#This Row],[Столбец1]]*Таблица1[[#This Row],[коэф]])),
IF((G607="4/16"),((база!$L$5*2*Таблица1[[#This Row],[Столбец1]]*Таблица1[[#This Row],[коэф]])),
IF((G607="3/16"),((база!$L$4*2*Таблица1[[#This Row],[Столбец1]]*Таблица1[[#This Row],[коэф]])),
IF((G607="4/4"),((база!$I$5*2*Таблица1[[#This Row],[Столбец1]]*Таблица1[[#This Row],[коэф]])),
IF(OR(G607="2/4",G607="3/4"),((база!$I$4*2*Таблица1[[#This Row],[Столбец1]]*Таблица1[[#This Row],[коэф]])),
IF((G607="5/8"),((база!$J$6*2*Таблица1[[#This Row],[Столбец1]]*Таблица1[[#This Row],[коэф]])),
IF((G607="4/8"),((база!$J$5*2*Таблица1[[#This Row],[Столбец1]]*Таблица1[[#This Row],[коэф]])),
IF(OR(G607="3/8",G607="2/8"),((база!$J$4*2*Таблица1[[#This Row],[Столбец1]]*Таблица1[[#This Row],[коэф]])))))))))))))),
(IF((G607="5/24"),((база!$M$6*2*Таблица1[[#This Row],[Столбец1]]*Таблица1[[#This Row],[коэф]])),
IF(OR(G607="4/24",G607="3/24"),((база!$M$5*2*Таблица1[[#This Row],[Столбец1]]*Таблица1[[#This Row],[коэф]])),
IF((G607="5/16"),((база!$L$6*2*Таблица1[[#This Row],[Столбец1]]*Таблица1[[#This Row],[коэф]])),
IF(OR(G607="4/16",G607="3/16"),((база!$L$5*2*Таблица1[[#This Row],[Столбец1]]*Таблица1[[#This Row],[коэф]])),
IF(OR(G607="2/4",G607="3/4",G607="4/4"),((база!$I$5*2*Таблица1[[#This Row],[Столбец1]]*Таблица1[[#This Row],[коэф]])),
IF((G607="5/8"),((база!$J$6*2*Таблица1[[#This Row],[Столбец1]]*Таблица1[[#This Row],[коэф]])),
IF(OR(G607="4/8",G607="3/8",G607="2/8"),((база!$J$5*2*Таблица1[[#This Row],[Столбец1]]*Таблица1[[#This Row],[коэф]])))))))))))</f>
        <v>0</v>
      </c>
      <c r="AQ607" s="712" t="str">
        <f>IFERROR(INDEX(база!T:T, MATCH(F607,база!Q:Q,0)),"")</f>
        <v/>
      </c>
      <c r="AR607" s="208" t="str">
        <f>IFERROR(INDEX(база!D:D, MATCH(F607,база!B:B,0)),"")</f>
        <v/>
      </c>
      <c r="AS607" s="758" t="str">
        <f>IFERROR(INDEX(база!E:E, MATCH(F607,база!B:B,0)),"")</f>
        <v/>
      </c>
    </row>
    <row r="608" spans="1:45" s="46" customFormat="1" ht="15">
      <c r="A608" s="66" t="str">
        <f t="shared" si="8"/>
        <v>январь</v>
      </c>
      <c r="B608" s="231">
        <v>2024</v>
      </c>
      <c r="C608" s="299"/>
      <c r="D608" s="61"/>
      <c r="E608" s="211"/>
      <c r="F608" s="680"/>
      <c r="G608" s="47"/>
      <c r="H608" s="563"/>
      <c r="I608" s="563"/>
      <c r="J608" s="563"/>
      <c r="K608" s="563"/>
      <c r="L608" s="563"/>
      <c r="M608" s="563"/>
      <c r="N608" s="563"/>
      <c r="O608" s="563"/>
      <c r="P608" s="300"/>
      <c r="Q608" s="563"/>
      <c r="R608" s="563"/>
      <c r="S608" s="563"/>
      <c r="T608" s="563"/>
      <c r="U608" s="563"/>
      <c r="V608" s="563"/>
      <c r="W608" s="563"/>
      <c r="X608" s="563"/>
      <c r="Y608" s="563"/>
      <c r="Z608" s="563"/>
      <c r="AA608" s="563"/>
      <c r="AB608" s="563"/>
      <c r="AC608" s="563"/>
      <c r="AD608" s="48"/>
      <c r="AE608" s="48"/>
      <c r="AF608" s="258"/>
      <c r="AG608" s="48"/>
      <c r="AH608" s="48"/>
      <c r="AI608" s="48"/>
      <c r="AJ608" s="48"/>
      <c r="AK608" s="48"/>
      <c r="AL608" s="48"/>
      <c r="AM608" s="212">
        <f>IF(AQ608=1,SUM(Q608:T608,W608:Z608,AC608:AF608,AI608:AL608),
IF(AQ608=2,SUM(P608,S608:V608,Y608:AB608,AE608:AH608,AK608:AL608),
IF(AQ608=3,SUM(P608:R608,U608:X608,AA608:AD608,AG608:AJ608),SUM(Таблица1[[#This Row],[1]:[31]])-Таблица1[[#This Row],[Столбец1]])))</f>
        <v>0</v>
      </c>
      <c r="AN608" s="778">
        <f t="array" ref="AN608">IF(AQ608=1,SUM(P608,U608:V608,AA608:AB608,AG608:AH608),
IF(AQ608=2,SUM(Q608:R608,W608:X608,AC608:AD608,AI608:AJ608),
IF(AQ608=3,SUM(S608:T608,Y608:Z608,AE608:AF608,AK608:AL608),
SUM(IFERROR(WEEKDAY($H$2:$AL$2,2)&gt;5,)*H608:AL608))))+Таблица1[[#This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08" s="292" t="b">
        <f>IF(AR608&lt;=3,(IF((G608="5/24"),((база!$M$6*Таблица1[[#This Row],[сумма]]*Таблица1[[#This Row],[коэф]])),
IF((G608="4/24"),((база!$M$5*Таблица1[[#This Row],[сумма]]*Таблица1[[#This Row],[коэф]])),
IF((G608="3/24"),((база!$M$4*Таблица1[[#This Row],[сумма]]*Таблица1[[#This Row],[коэф]])),
IF((G608="5/16"),((база!$L$6*Таблица1[[#This Row],[сумма]]*Таблица1[[#This Row],[коэф]])),
IF((G608="4/16"),((база!$L$5*Таблица1[[#This Row],[сумма]]*Таблица1[[#This Row],[коэф]])),
IF((G608="3/16"),((база!$L$4*Таблица1[[#This Row],[сумма]]*Таблица1[[#This Row],[коэф]])),
IF((G608="4/4"),((база!$I$5*Таблица1[[#This Row],[сумма]]*Таблица1[[#This Row],[коэф]])),
IF(OR(G608="2/4",G608="3/4"),((база!$I$4*Таблица1[[#This Row],[сумма]]*Таблица1[[#This Row],[коэф]])),
IF((G608="5/8"),((база!$J$6*Таблица1[[#This Row],[сумма]]*Таблица1[[#This Row],[коэф]])),
IF((G608="4/8"),((база!$J$5*Таблица1[[#This Row],[сумма]]*Таблица1[[#This Row],[коэф]])),
IF(OR(G608="3/8",G608="2/8"),((база!$J$4*Таблица1[[#This Row],[сумма]]*Таблица1[[#This Row],[коэф]])))))))))))))),
(IF((G608="5/24"),((база!$M$6*Таблица1[[#This Row],[сумма]]*Таблица1[[#This Row],[коэф]])),
IF(OR(G608="4/24",G608="3/24"),((база!$M$5*Таблица1[[#This Row],[сумма]]*Таблица1[[#This Row],[коэф]])),
IF((G608="5/16"),((база!$L$6*Таблица1[[#This Row],[сумма]]*Таблица1[[#This Row],[коэф]])),
IF(OR(G608="4/16",G608="3/16"),((база!$L$5*Таблица1[[#This Row],[сумма]]*Таблица1[[#This Row],[коэф]])),
IF(OR(G608="2/4",G608="3/4",G608="4/4"),((база!$I$5*Таблица1[[#This Row],[сумма]]*Таблица1[[#This Row],[коэф]])),
IF((G608="5/8"),((база!$J$6*Таблица1[[#This Row],[сумма]]*Таблица1[[#This Row],[коэф]])),
IF(OR(G608="4/8",G608="3/8",G608="2/8"),((база!$J$5*Таблица1[[#This Row],[сумма]]*Таблица1[[#This Row],[коэф]])))))))))))</f>
        <v>0</v>
      </c>
      <c r="AP608" s="730" t="b">
        <f>IF(AR608&lt;=3,(IF((G608="5/24"),((база!$M$6*2*Таблица1[[#This Row],[Столбец1]]*Таблица1[[#This Row],[коэф]])),
IF((G608="4/24"),((база!$M$5*2*Таблица1[[#This Row],[Столбец1]]*Таблица1[[#This Row],[коэф]])),
IF((G608="3/24"),((база!$M$4*2*Таблица1[[#This Row],[Столбец1]]*Таблица1[[#This Row],[коэф]])),
IF((G608="5/16"),((база!$L$6*2*Таблица1[[#This Row],[Столбец1]]*Таблица1[[#This Row],[коэф]])),
IF((G608="4/16"),((база!$L$5*2*Таблица1[[#This Row],[Столбец1]]*Таблица1[[#This Row],[коэф]])),
IF((G608="3/16"),((база!$L$4*2*Таблица1[[#This Row],[Столбец1]]*Таблица1[[#This Row],[коэф]])),
IF((G608="4/4"),((база!$I$5*2*Таблица1[[#This Row],[Столбец1]]*Таблица1[[#This Row],[коэф]])),
IF(OR(G608="2/4",G608="3/4"),((база!$I$4*2*Таблица1[[#This Row],[Столбец1]]*Таблица1[[#This Row],[коэф]])),
IF((G608="5/8"),((база!$J$6*2*Таблица1[[#This Row],[Столбец1]]*Таблица1[[#This Row],[коэф]])),
IF((G608="4/8"),((база!$J$5*2*Таблица1[[#This Row],[Столбец1]]*Таблица1[[#This Row],[коэф]])),
IF(OR(G608="3/8",G608="2/8"),((база!$J$4*2*Таблица1[[#This Row],[Столбец1]]*Таблица1[[#This Row],[коэф]])))))))))))))),
(IF((G608="5/24"),((база!$M$6*2*Таблица1[[#This Row],[Столбец1]]*Таблица1[[#This Row],[коэф]])),
IF(OR(G608="4/24",G608="3/24"),((база!$M$5*2*Таблица1[[#This Row],[Столбец1]]*Таблица1[[#This Row],[коэф]])),
IF((G608="5/16"),((база!$L$6*2*Таблица1[[#This Row],[Столбец1]]*Таблица1[[#This Row],[коэф]])),
IF(OR(G608="4/16",G608="3/16"),((база!$L$5*2*Таблица1[[#This Row],[Столбец1]]*Таблица1[[#This Row],[коэф]])),
IF(OR(G608="2/4",G608="3/4",G608="4/4"),((база!$I$5*2*Таблица1[[#This Row],[Столбец1]]*Таблица1[[#This Row],[коэф]])),
IF((G608="5/8"),((база!$J$6*2*Таблица1[[#This Row],[Столбец1]]*Таблица1[[#This Row],[коэф]])),
IF(OR(G608="4/8",G608="3/8",G608="2/8"),((база!$J$5*2*Таблица1[[#This Row],[Столбец1]]*Таблица1[[#This Row],[коэф]])))))))))))</f>
        <v>0</v>
      </c>
      <c r="AQ608" s="712" t="str">
        <f>IFERROR(INDEX(база!T:T, MATCH(F608,база!Q:Q,0)),"")</f>
        <v/>
      </c>
      <c r="AR608" s="208" t="str">
        <f>IFERROR(INDEX(база!D:D, MATCH(F608,база!B:B,0)),"")</f>
        <v/>
      </c>
      <c r="AS608" s="758" t="str">
        <f>IFERROR(INDEX(база!E:E, MATCH(F608,база!B:B,0)),"")</f>
        <v/>
      </c>
    </row>
    <row r="609" spans="1:45" s="46" customFormat="1" ht="15">
      <c r="A609" s="66" t="str">
        <f t="shared" si="8"/>
        <v>январь</v>
      </c>
      <c r="B609" s="231">
        <v>2024</v>
      </c>
      <c r="C609" s="299"/>
      <c r="D609" s="61"/>
      <c r="E609" s="211"/>
      <c r="F609" s="680"/>
      <c r="G609" s="47"/>
      <c r="H609" s="563"/>
      <c r="I609" s="563"/>
      <c r="J609" s="563"/>
      <c r="K609" s="563"/>
      <c r="L609" s="563"/>
      <c r="M609" s="563"/>
      <c r="N609" s="563"/>
      <c r="O609" s="563"/>
      <c r="P609" s="300"/>
      <c r="Q609" s="563"/>
      <c r="R609" s="563"/>
      <c r="S609" s="563"/>
      <c r="T609" s="563"/>
      <c r="U609" s="563"/>
      <c r="V609" s="563"/>
      <c r="W609" s="563"/>
      <c r="X609" s="563"/>
      <c r="Y609" s="563"/>
      <c r="Z609" s="563"/>
      <c r="AA609" s="563"/>
      <c r="AB609" s="563"/>
      <c r="AC609" s="563"/>
      <c r="AD609" s="48"/>
      <c r="AE609" s="48"/>
      <c r="AF609" s="258"/>
      <c r="AG609" s="48"/>
      <c r="AH609" s="48"/>
      <c r="AI609" s="258"/>
      <c r="AJ609" s="258"/>
      <c r="AK609" s="258"/>
      <c r="AL609" s="258"/>
      <c r="AM609" s="212">
        <f>IF(AQ609=1,SUM(Q609:T609,W609:Z609,AC609:AF609,AI609:AL609),
IF(AQ609=2,SUM(P609,S609:V609,Y609:AB609,AE609:AH609,AK609:AL609),
IF(AQ609=3,SUM(P609:R609,U609:X609,AA609:AD609,AG609:AJ609),SUM(Таблица1[[#This Row],[1]:[31]])-Таблица1[[#This Row],[Столбец1]])))</f>
        <v>0</v>
      </c>
      <c r="AN609" s="778">
        <f t="array" ref="AN609">IF(AQ609=1,SUM(P609,U609:V609,AA609:AB609,AG609:AH609),
IF(AQ609=2,SUM(Q609:R609,W609:X609,AC609:AD609,AI609:AJ609),
IF(AQ609=3,SUM(S609:T609,Y609:Z609,AE609:AF609,AK609:AL609),
SUM(IFERROR(WEEKDAY($H$2:$AL$2,2)&gt;5,)*H609:AL609))))+Таблица1[[#This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09" s="292" t="b">
        <f>IF(AR609&lt;=3,(IF((G609="5/24"),((база!$M$6*Таблица1[[#This Row],[сумма]]*Таблица1[[#This Row],[коэф]])),
IF((G609="4/24"),((база!$M$5*Таблица1[[#This Row],[сумма]]*Таблица1[[#This Row],[коэф]])),
IF((G609="3/24"),((база!$M$4*Таблица1[[#This Row],[сумма]]*Таблица1[[#This Row],[коэф]])),
IF((G609="5/16"),((база!$L$6*Таблица1[[#This Row],[сумма]]*Таблица1[[#This Row],[коэф]])),
IF((G609="4/16"),((база!$L$5*Таблица1[[#This Row],[сумма]]*Таблица1[[#This Row],[коэф]])),
IF((G609="3/16"),((база!$L$4*Таблица1[[#This Row],[сумма]]*Таблица1[[#This Row],[коэф]])),
IF((G609="4/4"),((база!$I$5*Таблица1[[#This Row],[сумма]]*Таблица1[[#This Row],[коэф]])),
IF(OR(G609="2/4",G609="3/4"),((база!$I$4*Таблица1[[#This Row],[сумма]]*Таблица1[[#This Row],[коэф]])),
IF((G609="5/8"),((база!$J$6*Таблица1[[#This Row],[сумма]]*Таблица1[[#This Row],[коэф]])),
IF((G609="4/8"),((база!$J$5*Таблица1[[#This Row],[сумма]]*Таблица1[[#This Row],[коэф]])),
IF(OR(G609="3/8",G609="2/8"),((база!$J$4*Таблица1[[#This Row],[сумма]]*Таблица1[[#This Row],[коэф]])))))))))))))),
(IF((G609="5/24"),((база!$M$6*Таблица1[[#This Row],[сумма]]*Таблица1[[#This Row],[коэф]])),
IF(OR(G609="4/24",G609="3/24"),((база!$M$5*Таблица1[[#This Row],[сумма]]*Таблица1[[#This Row],[коэф]])),
IF((G609="5/16"),((база!$L$6*Таблица1[[#This Row],[сумма]]*Таблица1[[#This Row],[коэф]])),
IF(OR(G609="4/16",G609="3/16"),((база!$L$5*Таблица1[[#This Row],[сумма]]*Таблица1[[#This Row],[коэф]])),
IF(OR(G609="2/4",G609="3/4",G609="4/4"),((база!$I$5*Таблица1[[#This Row],[сумма]]*Таблица1[[#This Row],[коэф]])),
IF((G609="5/8"),((база!$J$6*Таблица1[[#This Row],[сумма]]*Таблица1[[#This Row],[коэф]])),
IF(OR(G609="4/8",G609="3/8",G609="2/8"),((база!$J$5*Таблица1[[#This Row],[сумма]]*Таблица1[[#This Row],[коэф]])))))))))))</f>
        <v>0</v>
      </c>
      <c r="AP609" s="730" t="b">
        <f>IF(AR609&lt;=3,(IF((G609="5/24"),((база!$M$6*2*Таблица1[[#This Row],[Столбец1]]*Таблица1[[#This Row],[коэф]])),
IF((G609="4/24"),((база!$M$5*2*Таблица1[[#This Row],[Столбец1]]*Таблица1[[#This Row],[коэф]])),
IF((G609="3/24"),((база!$M$4*2*Таблица1[[#This Row],[Столбец1]]*Таблица1[[#This Row],[коэф]])),
IF((G609="5/16"),((база!$L$6*2*Таблица1[[#This Row],[Столбец1]]*Таблица1[[#This Row],[коэф]])),
IF((G609="4/16"),((база!$L$5*2*Таблица1[[#This Row],[Столбец1]]*Таблица1[[#This Row],[коэф]])),
IF((G609="3/16"),((база!$L$4*2*Таблица1[[#This Row],[Столбец1]]*Таблица1[[#This Row],[коэф]])),
IF((G609="4/4"),((база!$I$5*2*Таблица1[[#This Row],[Столбец1]]*Таблица1[[#This Row],[коэф]])),
IF(OR(G609="2/4",G609="3/4"),((база!$I$4*2*Таблица1[[#This Row],[Столбец1]]*Таблица1[[#This Row],[коэф]])),
IF((G609="5/8"),((база!$J$6*2*Таблица1[[#This Row],[Столбец1]]*Таблица1[[#This Row],[коэф]])),
IF((G609="4/8"),((база!$J$5*2*Таблица1[[#This Row],[Столбец1]]*Таблица1[[#This Row],[коэф]])),
IF(OR(G609="3/8",G609="2/8"),((база!$J$4*2*Таблица1[[#This Row],[Столбец1]]*Таблица1[[#This Row],[коэф]])))))))))))))),
(IF((G609="5/24"),((база!$M$6*2*Таблица1[[#This Row],[Столбец1]]*Таблица1[[#This Row],[коэф]])),
IF(OR(G609="4/24",G609="3/24"),((база!$M$5*2*Таблица1[[#This Row],[Столбец1]]*Таблица1[[#This Row],[коэф]])),
IF((G609="5/16"),((база!$L$6*2*Таблица1[[#This Row],[Столбец1]]*Таблица1[[#This Row],[коэф]])),
IF(OR(G609="4/16",G609="3/16"),((база!$L$5*2*Таблица1[[#This Row],[Столбец1]]*Таблица1[[#This Row],[коэф]])),
IF(OR(G609="2/4",G609="3/4",G609="4/4"),((база!$I$5*2*Таблица1[[#This Row],[Столбец1]]*Таблица1[[#This Row],[коэф]])),
IF((G609="5/8"),((база!$J$6*2*Таблица1[[#This Row],[Столбец1]]*Таблица1[[#This Row],[коэф]])),
IF(OR(G609="4/8",G609="3/8",G609="2/8"),((база!$J$5*2*Таблица1[[#This Row],[Столбец1]]*Таблица1[[#This Row],[коэф]])))))))))))</f>
        <v>0</v>
      </c>
      <c r="AQ609" s="712" t="str">
        <f>IFERROR(INDEX(база!T:T, MATCH(F609,база!Q:Q,0)),"")</f>
        <v/>
      </c>
      <c r="AR609" s="208" t="str">
        <f>IFERROR(INDEX(база!D:D, MATCH(F609,база!B:B,0)),"")</f>
        <v/>
      </c>
      <c r="AS609" s="758" t="str">
        <f>IFERROR(INDEX(база!E:E, MATCH(F609,база!B:B,0)),"")</f>
        <v/>
      </c>
    </row>
    <row r="610" spans="1:45" s="46" customFormat="1" ht="15">
      <c r="A610" s="66" t="str">
        <f t="shared" si="8"/>
        <v>январь</v>
      </c>
      <c r="B610" s="231">
        <v>2024</v>
      </c>
      <c r="C610" s="299"/>
      <c r="D610" s="61"/>
      <c r="E610" s="211"/>
      <c r="F610" s="680"/>
      <c r="G610" s="47"/>
      <c r="H610" s="563"/>
      <c r="I610" s="563"/>
      <c r="J610" s="563"/>
      <c r="K610" s="563"/>
      <c r="L610" s="563"/>
      <c r="M610" s="563"/>
      <c r="N610" s="563"/>
      <c r="O610" s="563"/>
      <c r="P610" s="300"/>
      <c r="Q610" s="563"/>
      <c r="R610" s="563"/>
      <c r="S610" s="563"/>
      <c r="T610" s="563"/>
      <c r="U610" s="563"/>
      <c r="V610" s="563"/>
      <c r="W610" s="563"/>
      <c r="X610" s="563"/>
      <c r="Y610" s="563"/>
      <c r="Z610" s="563"/>
      <c r="AA610" s="563"/>
      <c r="AB610" s="563"/>
      <c r="AC610" s="563"/>
      <c r="AD610" s="48"/>
      <c r="AE610" s="48"/>
      <c r="AF610" s="258"/>
      <c r="AG610" s="48"/>
      <c r="AH610" s="48"/>
      <c r="AI610" s="48"/>
      <c r="AJ610" s="48"/>
      <c r="AK610" s="48"/>
      <c r="AL610" s="51"/>
      <c r="AM610" s="212">
        <f>IF(AQ610=1,SUM(Q610:T610,W610:Z610,AC610:AF610,AI610:AL610),
IF(AQ610=2,SUM(P610,S610:V610,Y610:AB610,AE610:AH610,AK610:AL610),
IF(AQ610=3,SUM(P610:R610,U610:X610,AA610:AD610,AG610:AJ610),SUM(Таблица1[[#This Row],[1]:[31]])-Таблица1[[#This Row],[Столбец1]])))</f>
        <v>0</v>
      </c>
      <c r="AN610" s="778">
        <f t="array" ref="AN610">IF(AQ610=1,SUM(P610,U610:V610,AA610:AB610,AG610:AH610),
IF(AQ610=2,SUM(Q610:R610,W610:X610,AC610:AD610,AI610:AJ610),
IF(AQ610=3,SUM(S610:T610,Y610:Z610,AE610:AF610,AK610:AL610),
SUM(IFERROR(WEEKDAY($H$2:$AL$2,2)&gt;5,)*H610:AL610))))+Таблица1[[#This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10" s="292" t="b">
        <f>IF(AR610&lt;=3,(IF((G610="5/24"),((база!$M$6*Таблица1[[#This Row],[сумма]]*Таблица1[[#This Row],[коэф]])),
IF((G610="4/24"),((база!$M$5*Таблица1[[#This Row],[сумма]]*Таблица1[[#This Row],[коэф]])),
IF((G610="3/24"),((база!$M$4*Таблица1[[#This Row],[сумма]]*Таблица1[[#This Row],[коэф]])),
IF((G610="5/16"),((база!$L$6*Таблица1[[#This Row],[сумма]]*Таблица1[[#This Row],[коэф]])),
IF((G610="4/16"),((база!$L$5*Таблица1[[#This Row],[сумма]]*Таблица1[[#This Row],[коэф]])),
IF((G610="3/16"),((база!$L$4*Таблица1[[#This Row],[сумма]]*Таблица1[[#This Row],[коэф]])),
IF((G610="4/4"),((база!$I$5*Таблица1[[#This Row],[сумма]]*Таблица1[[#This Row],[коэф]])),
IF(OR(G610="2/4",G610="3/4"),((база!$I$4*Таблица1[[#This Row],[сумма]]*Таблица1[[#This Row],[коэф]])),
IF((G610="5/8"),((база!$J$6*Таблица1[[#This Row],[сумма]]*Таблица1[[#This Row],[коэф]])),
IF((G610="4/8"),((база!$J$5*Таблица1[[#This Row],[сумма]]*Таблица1[[#This Row],[коэф]])),
IF(OR(G610="3/8",G610="2/8"),((база!$J$4*Таблица1[[#This Row],[сумма]]*Таблица1[[#This Row],[коэф]])))))))))))))),
(IF((G610="5/24"),((база!$M$6*Таблица1[[#This Row],[сумма]]*Таблица1[[#This Row],[коэф]])),
IF(OR(G610="4/24",G610="3/24"),((база!$M$5*Таблица1[[#This Row],[сумма]]*Таблица1[[#This Row],[коэф]])),
IF((G610="5/16"),((база!$L$6*Таблица1[[#This Row],[сумма]]*Таблица1[[#This Row],[коэф]])),
IF(OR(G610="4/16",G610="3/16"),((база!$L$5*Таблица1[[#This Row],[сумма]]*Таблица1[[#This Row],[коэф]])),
IF(OR(G610="2/4",G610="3/4",G610="4/4"),((база!$I$5*Таблица1[[#This Row],[сумма]]*Таблица1[[#This Row],[коэф]])),
IF((G610="5/8"),((база!$J$6*Таблица1[[#This Row],[сумма]]*Таблица1[[#This Row],[коэф]])),
IF(OR(G610="4/8",G610="3/8",G610="2/8"),((база!$J$5*Таблица1[[#This Row],[сумма]]*Таблица1[[#This Row],[коэф]])))))))))))</f>
        <v>0</v>
      </c>
      <c r="AP610" s="730" t="b">
        <f>IF(AR610&lt;=3,(IF((G610="5/24"),((база!$M$6*2*Таблица1[[#This Row],[Столбец1]]*Таблица1[[#This Row],[коэф]])),
IF((G610="4/24"),((база!$M$5*2*Таблица1[[#This Row],[Столбец1]]*Таблица1[[#This Row],[коэф]])),
IF((G610="3/24"),((база!$M$4*2*Таблица1[[#This Row],[Столбец1]]*Таблица1[[#This Row],[коэф]])),
IF((G610="5/16"),((база!$L$6*2*Таблица1[[#This Row],[Столбец1]]*Таблица1[[#This Row],[коэф]])),
IF((G610="4/16"),((база!$L$5*2*Таблица1[[#This Row],[Столбец1]]*Таблица1[[#This Row],[коэф]])),
IF((G610="3/16"),((база!$L$4*2*Таблица1[[#This Row],[Столбец1]]*Таблица1[[#This Row],[коэф]])),
IF((G610="4/4"),((база!$I$5*2*Таблица1[[#This Row],[Столбец1]]*Таблица1[[#This Row],[коэф]])),
IF(OR(G610="2/4",G610="3/4"),((база!$I$4*2*Таблица1[[#This Row],[Столбец1]]*Таблица1[[#This Row],[коэф]])),
IF((G610="5/8"),((база!$J$6*2*Таблица1[[#This Row],[Столбец1]]*Таблица1[[#This Row],[коэф]])),
IF((G610="4/8"),((база!$J$5*2*Таблица1[[#This Row],[Столбец1]]*Таблица1[[#This Row],[коэф]])),
IF(OR(G610="3/8",G610="2/8"),((база!$J$4*2*Таблица1[[#This Row],[Столбец1]]*Таблица1[[#This Row],[коэф]])))))))))))))),
(IF((G610="5/24"),((база!$M$6*2*Таблица1[[#This Row],[Столбец1]]*Таблица1[[#This Row],[коэф]])),
IF(OR(G610="4/24",G610="3/24"),((база!$M$5*2*Таблица1[[#This Row],[Столбец1]]*Таблица1[[#This Row],[коэф]])),
IF((G610="5/16"),((база!$L$6*2*Таблица1[[#This Row],[Столбец1]]*Таблица1[[#This Row],[коэф]])),
IF(OR(G610="4/16",G610="3/16"),((база!$L$5*2*Таблица1[[#This Row],[Столбец1]]*Таблица1[[#This Row],[коэф]])),
IF(OR(G610="2/4",G610="3/4",G610="4/4"),((база!$I$5*2*Таблица1[[#This Row],[Столбец1]]*Таблица1[[#This Row],[коэф]])),
IF((G610="5/8"),((база!$J$6*2*Таблица1[[#This Row],[Столбец1]]*Таблица1[[#This Row],[коэф]])),
IF(OR(G610="4/8",G610="3/8",G610="2/8"),((база!$J$5*2*Таблица1[[#This Row],[Столбец1]]*Таблица1[[#This Row],[коэф]])))))))))))</f>
        <v>0</v>
      </c>
      <c r="AQ610" s="712" t="str">
        <f>IFERROR(INDEX(база!T:T, MATCH(F610,база!Q:Q,0)),"")</f>
        <v/>
      </c>
      <c r="AR610" s="208" t="str">
        <f>IFERROR(INDEX(база!D:D, MATCH(F610,база!B:B,0)),"")</f>
        <v/>
      </c>
      <c r="AS610" s="758" t="str">
        <f>IFERROR(INDEX(база!E:E, MATCH(F610,база!B:B,0)),"")</f>
        <v/>
      </c>
    </row>
    <row r="611" spans="1:45" s="46" customFormat="1" ht="15">
      <c r="A611" s="66" t="str">
        <f t="shared" si="8"/>
        <v>январь</v>
      </c>
      <c r="B611" s="231">
        <v>2024</v>
      </c>
      <c r="C611" s="60"/>
      <c r="D611" s="61"/>
      <c r="E611" s="211"/>
      <c r="F611" s="680"/>
      <c r="G611" s="47"/>
      <c r="H611" s="563"/>
      <c r="I611" s="563"/>
      <c r="J611" s="563"/>
      <c r="K611" s="563"/>
      <c r="L611" s="563"/>
      <c r="M611" s="563"/>
      <c r="N611" s="563"/>
      <c r="O611" s="563"/>
      <c r="P611" s="300"/>
      <c r="Q611" s="563"/>
      <c r="R611" s="563"/>
      <c r="S611" s="563"/>
      <c r="T611" s="563"/>
      <c r="U611" s="563"/>
      <c r="V611" s="563"/>
      <c r="W611" s="563"/>
      <c r="X611" s="563"/>
      <c r="Y611" s="563"/>
      <c r="Z611" s="563"/>
      <c r="AA611" s="563"/>
      <c r="AB611" s="563"/>
      <c r="AC611" s="563"/>
      <c r="AD611" s="48"/>
      <c r="AE611" s="48"/>
      <c r="AF611" s="258"/>
      <c r="AG611" s="48"/>
      <c r="AH611" s="48"/>
      <c r="AI611" s="258"/>
      <c r="AJ611" s="258"/>
      <c r="AK611" s="258"/>
      <c r="AL611" s="258"/>
      <c r="AM611" s="212">
        <f>IF(AQ611=1,SUM(Q611:T611,W611:Z611,AC611:AF611,AI611:AL611),
IF(AQ611=2,SUM(P611,S611:V611,Y611:AB611,AE611:AH611,AK611:AL611),
IF(AQ611=3,SUM(P611:R611,U611:X611,AA611:AD611,AG611:AJ611),SUM(Таблица1[[#This Row],[1]:[31]])-Таблица1[[#This Row],[Столбец1]])))</f>
        <v>0</v>
      </c>
      <c r="AN611" s="778">
        <f t="array" ref="AN611">IF(AQ611=1,SUM(P611,U611:V611,AA611:AB611,AG611:AH611),
IF(AQ611=2,SUM(Q611:R611,W611:X611,AC611:AD611,AI611:AJ611),
IF(AQ611=3,SUM(S611:T611,Y611:Z611,AE611:AF611,AK611:AL611),
SUM(IFERROR(WEEKDAY($H$2:$AL$2,2)&gt;5,)*H611:AL611))))+Таблица1[[#This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11" s="292" t="b">
        <f>IF(AR611&lt;=3,(IF((G611="5/24"),((база!$M$6*Таблица1[[#This Row],[сумма]]*Таблица1[[#This Row],[коэф]])),
IF((G611="4/24"),((база!$M$5*Таблица1[[#This Row],[сумма]]*Таблица1[[#This Row],[коэф]])),
IF((G611="3/24"),((база!$M$4*Таблица1[[#This Row],[сумма]]*Таблица1[[#This Row],[коэф]])),
IF((G611="5/16"),((база!$L$6*Таблица1[[#This Row],[сумма]]*Таблица1[[#This Row],[коэф]])),
IF((G611="4/16"),((база!$L$5*Таблица1[[#This Row],[сумма]]*Таблица1[[#This Row],[коэф]])),
IF((G611="3/16"),((база!$L$4*Таблица1[[#This Row],[сумма]]*Таблица1[[#This Row],[коэф]])),
IF((G611="4/4"),((база!$I$5*Таблица1[[#This Row],[сумма]]*Таблица1[[#This Row],[коэф]])),
IF(OR(G611="2/4",G611="3/4"),((база!$I$4*Таблица1[[#This Row],[сумма]]*Таблица1[[#This Row],[коэф]])),
IF((G611="5/8"),((база!$J$6*Таблица1[[#This Row],[сумма]]*Таблица1[[#This Row],[коэф]])),
IF((G611="4/8"),((база!$J$5*Таблица1[[#This Row],[сумма]]*Таблица1[[#This Row],[коэф]])),
IF(OR(G611="3/8",G611="2/8"),((база!$J$4*Таблица1[[#This Row],[сумма]]*Таблица1[[#This Row],[коэф]])))))))))))))),
(IF((G611="5/24"),((база!$M$6*Таблица1[[#This Row],[сумма]]*Таблица1[[#This Row],[коэф]])),
IF(OR(G611="4/24",G611="3/24"),((база!$M$5*Таблица1[[#This Row],[сумма]]*Таблица1[[#This Row],[коэф]])),
IF((G611="5/16"),((база!$L$6*Таблица1[[#This Row],[сумма]]*Таблица1[[#This Row],[коэф]])),
IF(OR(G611="4/16",G611="3/16"),((база!$L$5*Таблица1[[#This Row],[сумма]]*Таблица1[[#This Row],[коэф]])),
IF(OR(G611="2/4",G611="3/4",G611="4/4"),((база!$I$5*Таблица1[[#This Row],[сумма]]*Таблица1[[#This Row],[коэф]])),
IF((G611="5/8"),((база!$J$6*Таблица1[[#This Row],[сумма]]*Таблица1[[#This Row],[коэф]])),
IF(OR(G611="4/8",G611="3/8",G611="2/8"),((база!$J$5*Таблица1[[#This Row],[сумма]]*Таблица1[[#This Row],[коэф]])))))))))))</f>
        <v>0</v>
      </c>
      <c r="AP611" s="730" t="b">
        <f>IF(AR611&lt;=3,(IF((G611="5/24"),((база!$M$6*2*Таблица1[[#This Row],[Столбец1]]*Таблица1[[#This Row],[коэф]])),
IF((G611="4/24"),((база!$M$5*2*Таблица1[[#This Row],[Столбец1]]*Таблица1[[#This Row],[коэф]])),
IF((G611="3/24"),((база!$M$4*2*Таблица1[[#This Row],[Столбец1]]*Таблица1[[#This Row],[коэф]])),
IF((G611="5/16"),((база!$L$6*2*Таблица1[[#This Row],[Столбец1]]*Таблица1[[#This Row],[коэф]])),
IF((G611="4/16"),((база!$L$5*2*Таблица1[[#This Row],[Столбец1]]*Таблица1[[#This Row],[коэф]])),
IF((G611="3/16"),((база!$L$4*2*Таблица1[[#This Row],[Столбец1]]*Таблица1[[#This Row],[коэф]])),
IF((G611="4/4"),((база!$I$5*2*Таблица1[[#This Row],[Столбец1]]*Таблица1[[#This Row],[коэф]])),
IF(OR(G611="2/4",G611="3/4"),((база!$I$4*2*Таблица1[[#This Row],[Столбец1]]*Таблица1[[#This Row],[коэф]])),
IF((G611="5/8"),((база!$J$6*2*Таблица1[[#This Row],[Столбец1]]*Таблица1[[#This Row],[коэф]])),
IF((G611="4/8"),((база!$J$5*2*Таблица1[[#This Row],[Столбец1]]*Таблица1[[#This Row],[коэф]])),
IF(OR(G611="3/8",G611="2/8"),((база!$J$4*2*Таблица1[[#This Row],[Столбец1]]*Таблица1[[#This Row],[коэф]])))))))))))))),
(IF((G611="5/24"),((база!$M$6*2*Таблица1[[#This Row],[Столбец1]]*Таблица1[[#This Row],[коэф]])),
IF(OR(G611="4/24",G611="3/24"),((база!$M$5*2*Таблица1[[#This Row],[Столбец1]]*Таблица1[[#This Row],[коэф]])),
IF((G611="5/16"),((база!$L$6*2*Таблица1[[#This Row],[Столбец1]]*Таблица1[[#This Row],[коэф]])),
IF(OR(G611="4/16",G611="3/16"),((база!$L$5*2*Таблица1[[#This Row],[Столбец1]]*Таблица1[[#This Row],[коэф]])),
IF(OR(G611="2/4",G611="3/4",G611="4/4"),((база!$I$5*2*Таблица1[[#This Row],[Столбец1]]*Таблица1[[#This Row],[коэф]])),
IF((G611="5/8"),((база!$J$6*2*Таблица1[[#This Row],[Столбец1]]*Таблица1[[#This Row],[коэф]])),
IF(OR(G611="4/8",G611="3/8",G611="2/8"),((база!$J$5*2*Таблица1[[#This Row],[Столбец1]]*Таблица1[[#This Row],[коэф]])))))))))))</f>
        <v>0</v>
      </c>
      <c r="AQ611" s="712" t="str">
        <f>IFERROR(INDEX(база!T:T, MATCH(F611,база!Q:Q,0)),"")</f>
        <v/>
      </c>
      <c r="AR611" s="208" t="str">
        <f>IFERROR(INDEX(база!D:D, MATCH(F611,база!B:B,0)),"")</f>
        <v/>
      </c>
      <c r="AS611" s="758" t="str">
        <f>IFERROR(INDEX(база!E:E, MATCH(F611,база!B:B,0)),"")</f>
        <v/>
      </c>
    </row>
    <row r="612" spans="1:45" s="46" customFormat="1" ht="15">
      <c r="A612" s="66" t="str">
        <f t="shared" si="8"/>
        <v>январь</v>
      </c>
      <c r="B612" s="231">
        <v>2024</v>
      </c>
      <c r="C612" s="299"/>
      <c r="D612" s="61"/>
      <c r="E612" s="211"/>
      <c r="F612" s="680"/>
      <c r="G612" s="47"/>
      <c r="H612" s="563"/>
      <c r="I612" s="563"/>
      <c r="J612" s="563"/>
      <c r="K612" s="563"/>
      <c r="L612" s="563"/>
      <c r="M612" s="563"/>
      <c r="N612" s="563"/>
      <c r="O612" s="563"/>
      <c r="P612" s="300"/>
      <c r="Q612" s="563"/>
      <c r="R612" s="563"/>
      <c r="S612" s="563"/>
      <c r="T612" s="563"/>
      <c r="U612" s="563"/>
      <c r="V612" s="563"/>
      <c r="W612" s="563"/>
      <c r="X612" s="563"/>
      <c r="Y612" s="563"/>
      <c r="Z612" s="563"/>
      <c r="AA612" s="563"/>
      <c r="AB612" s="563"/>
      <c r="AC612" s="563"/>
      <c r="AD612" s="48"/>
      <c r="AE612" s="48"/>
      <c r="AF612" s="258"/>
      <c r="AG612" s="48"/>
      <c r="AH612" s="48"/>
      <c r="AI612" s="48"/>
      <c r="AJ612" s="48"/>
      <c r="AK612" s="48"/>
      <c r="AL612" s="51"/>
      <c r="AM612" s="212">
        <f>IF(AQ612=1,SUM(Q612:T612,W612:Z612,AC612:AF612,AI612:AL612),
IF(AQ612=2,SUM(P612,S612:V612,Y612:AB612,AE612:AH612,AK612:AL612),
IF(AQ612=3,SUM(P612:R612,U612:X612,AA612:AD612,AG612:AJ612),SUM(Таблица1[[#This Row],[1]:[31]])-Таблица1[[#This Row],[Столбец1]])))</f>
        <v>0</v>
      </c>
      <c r="AN612" s="778">
        <f t="array" ref="AN612">IF(AQ612=1,SUM(P612,U612:V612,AA612:AB612,AG612:AH612),
IF(AQ612=2,SUM(Q612:R612,W612:X612,AC612:AD612,AI612:AJ612),
IF(AQ612=3,SUM(S612:T612,Y612:Z612,AE612:AF612,AK612:AL612),
SUM(IFERROR(WEEKDAY($H$2:$AL$2,2)&gt;5,)*H612:AL612))))+Таблица1[[#This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12" s="292" t="b">
        <f>IF(AR612&lt;=3,(IF((G612="5/24"),((база!$M$6*Таблица1[[#This Row],[сумма]]*Таблица1[[#This Row],[коэф]])),
IF((G612="4/24"),((база!$M$5*Таблица1[[#This Row],[сумма]]*Таблица1[[#This Row],[коэф]])),
IF((G612="3/24"),((база!$M$4*Таблица1[[#This Row],[сумма]]*Таблица1[[#This Row],[коэф]])),
IF((G612="5/16"),((база!$L$6*Таблица1[[#This Row],[сумма]]*Таблица1[[#This Row],[коэф]])),
IF((G612="4/16"),((база!$L$5*Таблица1[[#This Row],[сумма]]*Таблица1[[#This Row],[коэф]])),
IF((G612="3/16"),((база!$L$4*Таблица1[[#This Row],[сумма]]*Таблица1[[#This Row],[коэф]])),
IF((G612="4/4"),((база!$I$5*Таблица1[[#This Row],[сумма]]*Таблица1[[#This Row],[коэф]])),
IF(OR(G612="2/4",G612="3/4"),((база!$I$4*Таблица1[[#This Row],[сумма]]*Таблица1[[#This Row],[коэф]])),
IF((G612="5/8"),((база!$J$6*Таблица1[[#This Row],[сумма]]*Таблица1[[#This Row],[коэф]])),
IF((G612="4/8"),((база!$J$5*Таблица1[[#This Row],[сумма]]*Таблица1[[#This Row],[коэф]])),
IF(OR(G612="3/8",G612="2/8"),((база!$J$4*Таблица1[[#This Row],[сумма]]*Таблица1[[#This Row],[коэф]])))))))))))))),
(IF((G612="5/24"),((база!$M$6*Таблица1[[#This Row],[сумма]]*Таблица1[[#This Row],[коэф]])),
IF(OR(G612="4/24",G612="3/24"),((база!$M$5*Таблица1[[#This Row],[сумма]]*Таблица1[[#This Row],[коэф]])),
IF((G612="5/16"),((база!$L$6*Таблица1[[#This Row],[сумма]]*Таблица1[[#This Row],[коэф]])),
IF(OR(G612="4/16",G612="3/16"),((база!$L$5*Таблица1[[#This Row],[сумма]]*Таблица1[[#This Row],[коэф]])),
IF(OR(G612="2/4",G612="3/4",G612="4/4"),((база!$I$5*Таблица1[[#This Row],[сумма]]*Таблица1[[#This Row],[коэф]])),
IF((G612="5/8"),((база!$J$6*Таблица1[[#This Row],[сумма]]*Таблица1[[#This Row],[коэф]])),
IF(OR(G612="4/8",G612="3/8",G612="2/8"),((база!$J$5*Таблица1[[#This Row],[сумма]]*Таблица1[[#This Row],[коэф]])))))))))))</f>
        <v>0</v>
      </c>
      <c r="AP612" s="730" t="b">
        <f>IF(AR612&lt;=3,(IF((G612="5/24"),((база!$M$6*2*Таблица1[[#This Row],[Столбец1]]*Таблица1[[#This Row],[коэф]])),
IF((G612="4/24"),((база!$M$5*2*Таблица1[[#This Row],[Столбец1]]*Таблица1[[#This Row],[коэф]])),
IF((G612="3/24"),((база!$M$4*2*Таблица1[[#This Row],[Столбец1]]*Таблица1[[#This Row],[коэф]])),
IF((G612="5/16"),((база!$L$6*2*Таблица1[[#This Row],[Столбец1]]*Таблица1[[#This Row],[коэф]])),
IF((G612="4/16"),((база!$L$5*2*Таблица1[[#This Row],[Столбец1]]*Таблица1[[#This Row],[коэф]])),
IF((G612="3/16"),((база!$L$4*2*Таблица1[[#This Row],[Столбец1]]*Таблица1[[#This Row],[коэф]])),
IF((G612="4/4"),((база!$I$5*2*Таблица1[[#This Row],[Столбец1]]*Таблица1[[#This Row],[коэф]])),
IF(OR(G612="2/4",G612="3/4"),((база!$I$4*2*Таблица1[[#This Row],[Столбец1]]*Таблица1[[#This Row],[коэф]])),
IF((G612="5/8"),((база!$J$6*2*Таблица1[[#This Row],[Столбец1]]*Таблица1[[#This Row],[коэф]])),
IF((G612="4/8"),((база!$J$5*2*Таблица1[[#This Row],[Столбец1]]*Таблица1[[#This Row],[коэф]])),
IF(OR(G612="3/8",G612="2/8"),((база!$J$4*2*Таблица1[[#This Row],[Столбец1]]*Таблица1[[#This Row],[коэф]])))))))))))))),
(IF((G612="5/24"),((база!$M$6*2*Таблица1[[#This Row],[Столбец1]]*Таблица1[[#This Row],[коэф]])),
IF(OR(G612="4/24",G612="3/24"),((база!$M$5*2*Таблица1[[#This Row],[Столбец1]]*Таблица1[[#This Row],[коэф]])),
IF((G612="5/16"),((база!$L$6*2*Таблица1[[#This Row],[Столбец1]]*Таблица1[[#This Row],[коэф]])),
IF(OR(G612="4/16",G612="3/16"),((база!$L$5*2*Таблица1[[#This Row],[Столбец1]]*Таблица1[[#This Row],[коэф]])),
IF(OR(G612="2/4",G612="3/4",G612="4/4"),((база!$I$5*2*Таблица1[[#This Row],[Столбец1]]*Таблица1[[#This Row],[коэф]])),
IF((G612="5/8"),((база!$J$6*2*Таблица1[[#This Row],[Столбец1]]*Таблица1[[#This Row],[коэф]])),
IF(OR(G612="4/8",G612="3/8",G612="2/8"),((база!$J$5*2*Таблица1[[#This Row],[Столбец1]]*Таблица1[[#This Row],[коэф]])))))))))))</f>
        <v>0</v>
      </c>
      <c r="AQ612" s="712" t="str">
        <f>IFERROR(INDEX(база!T:T, MATCH(F612,база!Q:Q,0)),"")</f>
        <v/>
      </c>
      <c r="AR612" s="208" t="str">
        <f>IFERROR(INDEX(база!D:D, MATCH(F612,база!B:B,0)),"")</f>
        <v/>
      </c>
      <c r="AS612" s="758" t="str">
        <f>IFERROR(INDEX(база!E:E, MATCH(F612,база!B:B,0)),"")</f>
        <v/>
      </c>
    </row>
    <row r="613" spans="1:45" s="46" customFormat="1" ht="15">
      <c r="A613" s="66" t="str">
        <f t="shared" si="8"/>
        <v>январь</v>
      </c>
      <c r="B613" s="231">
        <v>2024</v>
      </c>
      <c r="C613" s="299"/>
      <c r="D613" s="61"/>
      <c r="E613" s="211"/>
      <c r="F613" s="680"/>
      <c r="G613" s="47"/>
      <c r="H613" s="563"/>
      <c r="I613" s="563"/>
      <c r="J613" s="563"/>
      <c r="K613" s="563"/>
      <c r="L613" s="563"/>
      <c r="M613" s="563"/>
      <c r="N613" s="563"/>
      <c r="O613" s="563"/>
      <c r="P613" s="300"/>
      <c r="Q613" s="563"/>
      <c r="R613" s="563"/>
      <c r="S613" s="563"/>
      <c r="T613" s="563"/>
      <c r="U613" s="563"/>
      <c r="V613" s="563"/>
      <c r="W613" s="563"/>
      <c r="X613" s="563"/>
      <c r="Y613" s="563"/>
      <c r="Z613" s="563"/>
      <c r="AA613" s="563"/>
      <c r="AB613" s="563"/>
      <c r="AC613" s="563"/>
      <c r="AD613" s="48"/>
      <c r="AE613" s="48"/>
      <c r="AF613" s="258"/>
      <c r="AG613" s="48"/>
      <c r="AH613" s="48"/>
      <c r="AI613" s="258"/>
      <c r="AJ613" s="258"/>
      <c r="AK613" s="258"/>
      <c r="AL613" s="258"/>
      <c r="AM613" s="212">
        <f>IF(AQ613=1,SUM(Q613:T613,W613:Z613,AC613:AF613,AI613:AL613),
IF(AQ613=2,SUM(P613,S613:V613,Y613:AB613,AE613:AH613,AK613:AL613),
IF(AQ613=3,SUM(P613:R613,U613:X613,AA613:AD613,AG613:AJ613),SUM(Таблица1[[#This Row],[1]:[31]])-Таблица1[[#This Row],[Столбец1]])))</f>
        <v>0</v>
      </c>
      <c r="AN613" s="778">
        <f t="array" ref="AN613">IF(AQ613=1,SUM(P613,U613:V613,AA613:AB613,AG613:AH613),
IF(AQ613=2,SUM(Q613:R613,W613:X613,AC613:AD613,AI613:AJ613),
IF(AQ613=3,SUM(S613:T613,Y613:Z613,AE613:AF613,AK613:AL613),
SUM(IFERROR(WEEKDAY($H$2:$AL$2,2)&gt;5,)*H613:AL613))))+Таблица1[[#This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13" s="292" t="b">
        <f>IF(AR613&lt;=3,(IF((G613="5/24"),((база!$M$6*Таблица1[[#This Row],[сумма]]*Таблица1[[#This Row],[коэф]])),
IF((G613="4/24"),((база!$M$5*Таблица1[[#This Row],[сумма]]*Таблица1[[#This Row],[коэф]])),
IF((G613="3/24"),((база!$M$4*Таблица1[[#This Row],[сумма]]*Таблица1[[#This Row],[коэф]])),
IF((G613="5/16"),((база!$L$6*Таблица1[[#This Row],[сумма]]*Таблица1[[#This Row],[коэф]])),
IF((G613="4/16"),((база!$L$5*Таблица1[[#This Row],[сумма]]*Таблица1[[#This Row],[коэф]])),
IF((G613="3/16"),((база!$L$4*Таблица1[[#This Row],[сумма]]*Таблица1[[#This Row],[коэф]])),
IF((G613="4/4"),((база!$I$5*Таблица1[[#This Row],[сумма]]*Таблица1[[#This Row],[коэф]])),
IF(OR(G613="2/4",G613="3/4"),((база!$I$4*Таблица1[[#This Row],[сумма]]*Таблица1[[#This Row],[коэф]])),
IF((G613="5/8"),((база!$J$6*Таблица1[[#This Row],[сумма]]*Таблица1[[#This Row],[коэф]])),
IF((G613="4/8"),((база!$J$5*Таблица1[[#This Row],[сумма]]*Таблица1[[#This Row],[коэф]])),
IF(OR(G613="3/8",G613="2/8"),((база!$J$4*Таблица1[[#This Row],[сумма]]*Таблица1[[#This Row],[коэф]])))))))))))))),
(IF((G613="5/24"),((база!$M$6*Таблица1[[#This Row],[сумма]]*Таблица1[[#This Row],[коэф]])),
IF(OR(G613="4/24",G613="3/24"),((база!$M$5*Таблица1[[#This Row],[сумма]]*Таблица1[[#This Row],[коэф]])),
IF((G613="5/16"),((база!$L$6*Таблица1[[#This Row],[сумма]]*Таблица1[[#This Row],[коэф]])),
IF(OR(G613="4/16",G613="3/16"),((база!$L$5*Таблица1[[#This Row],[сумма]]*Таблица1[[#This Row],[коэф]])),
IF(OR(G613="2/4",G613="3/4",G613="4/4"),((база!$I$5*Таблица1[[#This Row],[сумма]]*Таблица1[[#This Row],[коэф]])),
IF((G613="5/8"),((база!$J$6*Таблица1[[#This Row],[сумма]]*Таблица1[[#This Row],[коэф]])),
IF(OR(G613="4/8",G613="3/8",G613="2/8"),((база!$J$5*Таблица1[[#This Row],[сумма]]*Таблица1[[#This Row],[коэф]])))))))))))</f>
        <v>0</v>
      </c>
      <c r="AP613" s="730" t="b">
        <f>IF(AR613&lt;=3,(IF((G613="5/24"),((база!$M$6*2*Таблица1[[#This Row],[Столбец1]]*Таблица1[[#This Row],[коэф]])),
IF((G613="4/24"),((база!$M$5*2*Таблица1[[#This Row],[Столбец1]]*Таблица1[[#This Row],[коэф]])),
IF((G613="3/24"),((база!$M$4*2*Таблица1[[#This Row],[Столбец1]]*Таблица1[[#This Row],[коэф]])),
IF((G613="5/16"),((база!$L$6*2*Таблица1[[#This Row],[Столбец1]]*Таблица1[[#This Row],[коэф]])),
IF((G613="4/16"),((база!$L$5*2*Таблица1[[#This Row],[Столбец1]]*Таблица1[[#This Row],[коэф]])),
IF((G613="3/16"),((база!$L$4*2*Таблица1[[#This Row],[Столбец1]]*Таблица1[[#This Row],[коэф]])),
IF((G613="4/4"),((база!$I$5*2*Таблица1[[#This Row],[Столбец1]]*Таблица1[[#This Row],[коэф]])),
IF(OR(G613="2/4",G613="3/4"),((база!$I$4*2*Таблица1[[#This Row],[Столбец1]]*Таблица1[[#This Row],[коэф]])),
IF((G613="5/8"),((база!$J$6*2*Таблица1[[#This Row],[Столбец1]]*Таблица1[[#This Row],[коэф]])),
IF((G613="4/8"),((база!$J$5*2*Таблица1[[#This Row],[Столбец1]]*Таблица1[[#This Row],[коэф]])),
IF(OR(G613="3/8",G613="2/8"),((база!$J$4*2*Таблица1[[#This Row],[Столбец1]]*Таблица1[[#This Row],[коэф]])))))))))))))),
(IF((G613="5/24"),((база!$M$6*2*Таблица1[[#This Row],[Столбец1]]*Таблица1[[#This Row],[коэф]])),
IF(OR(G613="4/24",G613="3/24"),((база!$M$5*2*Таблица1[[#This Row],[Столбец1]]*Таблица1[[#This Row],[коэф]])),
IF((G613="5/16"),((база!$L$6*2*Таблица1[[#This Row],[Столбец1]]*Таблица1[[#This Row],[коэф]])),
IF(OR(G613="4/16",G613="3/16"),((база!$L$5*2*Таблица1[[#This Row],[Столбец1]]*Таблица1[[#This Row],[коэф]])),
IF(OR(G613="2/4",G613="3/4",G613="4/4"),((база!$I$5*2*Таблица1[[#This Row],[Столбец1]]*Таблица1[[#This Row],[коэф]])),
IF((G613="5/8"),((база!$J$6*2*Таблица1[[#This Row],[Столбец1]]*Таблица1[[#This Row],[коэф]])),
IF(OR(G613="4/8",G613="3/8",G613="2/8"),((база!$J$5*2*Таблица1[[#This Row],[Столбец1]]*Таблица1[[#This Row],[коэф]])))))))))))</f>
        <v>0</v>
      </c>
      <c r="AQ613" s="712" t="str">
        <f>IFERROR(INDEX(база!T:T, MATCH(F613,база!Q:Q,0)),"")</f>
        <v/>
      </c>
      <c r="AR613" s="208" t="str">
        <f>IFERROR(INDEX(база!D:D, MATCH(F613,база!B:B,0)),"")</f>
        <v/>
      </c>
      <c r="AS613" s="758" t="str">
        <f>IFERROR(INDEX(база!E:E, MATCH(F613,база!B:B,0)),"")</f>
        <v/>
      </c>
    </row>
    <row r="614" spans="1:45" s="46" customFormat="1" ht="15">
      <c r="A614" s="66" t="str">
        <f t="shared" si="8"/>
        <v>январь</v>
      </c>
      <c r="B614" s="231">
        <v>2024</v>
      </c>
      <c r="C614" s="299"/>
      <c r="D614" s="61"/>
      <c r="E614" s="211"/>
      <c r="F614" s="680"/>
      <c r="G614" s="47"/>
      <c r="H614" s="563"/>
      <c r="I614" s="563"/>
      <c r="J614" s="563"/>
      <c r="K614" s="563"/>
      <c r="L614" s="563"/>
      <c r="M614" s="563"/>
      <c r="N614" s="563"/>
      <c r="O614" s="563"/>
      <c r="P614" s="300"/>
      <c r="Q614" s="563"/>
      <c r="R614" s="563"/>
      <c r="S614" s="563"/>
      <c r="T614" s="563"/>
      <c r="U614" s="563"/>
      <c r="V614" s="563"/>
      <c r="W614" s="563"/>
      <c r="X614" s="563"/>
      <c r="Y614" s="563"/>
      <c r="Z614" s="563"/>
      <c r="AA614" s="563"/>
      <c r="AB614" s="563"/>
      <c r="AC614" s="563"/>
      <c r="AD614" s="48"/>
      <c r="AE614" s="48"/>
      <c r="AF614" s="258"/>
      <c r="AG614" s="48"/>
      <c r="AH614" s="48"/>
      <c r="AI614" s="48"/>
      <c r="AJ614" s="48"/>
      <c r="AK614" s="48"/>
      <c r="AL614" s="51"/>
      <c r="AM614" s="212">
        <f>IF(AQ614=1,SUM(Q614:T614,W614:Z614,AC614:AF614,AI614:AL614),
IF(AQ614=2,SUM(P614,S614:V614,Y614:AB614,AE614:AH614,AK614:AL614),
IF(AQ614=3,SUM(P614:R614,U614:X614,AA614:AD614,AG614:AJ614),SUM(Таблица1[[#This Row],[1]:[31]])-Таблица1[[#This Row],[Столбец1]])))</f>
        <v>0</v>
      </c>
      <c r="AN614" s="778">
        <f t="array" ref="AN614">IF(AQ614=1,SUM(P614,U614:V614,AA614:AB614,AG614:AH614),
IF(AQ614=2,SUM(Q614:R614,W614:X614,AC614:AD614,AI614:AJ614),
IF(AQ614=3,SUM(S614:T614,Y614:Z614,AE614:AF614,AK614:AL614),
SUM(IFERROR(WEEKDAY($H$2:$AL$2,2)&gt;5,)*H614:AL614))))+Таблица1[[#This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14" s="292" t="b">
        <f>IF(AR614&lt;=3,(IF((G614="5/24"),((база!$M$6*Таблица1[[#This Row],[сумма]]*Таблица1[[#This Row],[коэф]])),
IF((G614="4/24"),((база!$M$5*Таблица1[[#This Row],[сумма]]*Таблица1[[#This Row],[коэф]])),
IF((G614="3/24"),((база!$M$4*Таблица1[[#This Row],[сумма]]*Таблица1[[#This Row],[коэф]])),
IF((G614="5/16"),((база!$L$6*Таблица1[[#This Row],[сумма]]*Таблица1[[#This Row],[коэф]])),
IF((G614="4/16"),((база!$L$5*Таблица1[[#This Row],[сумма]]*Таблица1[[#This Row],[коэф]])),
IF((G614="3/16"),((база!$L$4*Таблица1[[#This Row],[сумма]]*Таблица1[[#This Row],[коэф]])),
IF((G614="4/4"),((база!$I$5*Таблица1[[#This Row],[сумма]]*Таблица1[[#This Row],[коэф]])),
IF(OR(G614="2/4",G614="3/4"),((база!$I$4*Таблица1[[#This Row],[сумма]]*Таблица1[[#This Row],[коэф]])),
IF((G614="5/8"),((база!$J$6*Таблица1[[#This Row],[сумма]]*Таблица1[[#This Row],[коэф]])),
IF((G614="4/8"),((база!$J$5*Таблица1[[#This Row],[сумма]]*Таблица1[[#This Row],[коэф]])),
IF(OR(G614="3/8",G614="2/8"),((база!$J$4*Таблица1[[#This Row],[сумма]]*Таблица1[[#This Row],[коэф]])))))))))))))),
(IF((G614="5/24"),((база!$M$6*Таблица1[[#This Row],[сумма]]*Таблица1[[#This Row],[коэф]])),
IF(OR(G614="4/24",G614="3/24"),((база!$M$5*Таблица1[[#This Row],[сумма]]*Таблица1[[#This Row],[коэф]])),
IF((G614="5/16"),((база!$L$6*Таблица1[[#This Row],[сумма]]*Таблица1[[#This Row],[коэф]])),
IF(OR(G614="4/16",G614="3/16"),((база!$L$5*Таблица1[[#This Row],[сумма]]*Таблица1[[#This Row],[коэф]])),
IF(OR(G614="2/4",G614="3/4",G614="4/4"),((база!$I$5*Таблица1[[#This Row],[сумма]]*Таблица1[[#This Row],[коэф]])),
IF((G614="5/8"),((база!$J$6*Таблица1[[#This Row],[сумма]]*Таблица1[[#This Row],[коэф]])),
IF(OR(G614="4/8",G614="3/8",G614="2/8"),((база!$J$5*Таблица1[[#This Row],[сумма]]*Таблица1[[#This Row],[коэф]])))))))))))</f>
        <v>0</v>
      </c>
      <c r="AP614" s="730" t="b">
        <f>IF(AR614&lt;=3,(IF((G614="5/24"),((база!$M$6*2*Таблица1[[#This Row],[Столбец1]]*Таблица1[[#This Row],[коэф]])),
IF((G614="4/24"),((база!$M$5*2*Таблица1[[#This Row],[Столбец1]]*Таблица1[[#This Row],[коэф]])),
IF((G614="3/24"),((база!$M$4*2*Таблица1[[#This Row],[Столбец1]]*Таблица1[[#This Row],[коэф]])),
IF((G614="5/16"),((база!$L$6*2*Таблица1[[#This Row],[Столбец1]]*Таблица1[[#This Row],[коэф]])),
IF((G614="4/16"),((база!$L$5*2*Таблица1[[#This Row],[Столбец1]]*Таблица1[[#This Row],[коэф]])),
IF((G614="3/16"),((база!$L$4*2*Таблица1[[#This Row],[Столбец1]]*Таблица1[[#This Row],[коэф]])),
IF((G614="4/4"),((база!$I$5*2*Таблица1[[#This Row],[Столбец1]]*Таблица1[[#This Row],[коэф]])),
IF(OR(G614="2/4",G614="3/4"),((база!$I$4*2*Таблица1[[#This Row],[Столбец1]]*Таблица1[[#This Row],[коэф]])),
IF((G614="5/8"),((база!$J$6*2*Таблица1[[#This Row],[Столбец1]]*Таблица1[[#This Row],[коэф]])),
IF((G614="4/8"),((база!$J$5*2*Таблица1[[#This Row],[Столбец1]]*Таблица1[[#This Row],[коэф]])),
IF(OR(G614="3/8",G614="2/8"),((база!$J$4*2*Таблица1[[#This Row],[Столбец1]]*Таблица1[[#This Row],[коэф]])))))))))))))),
(IF((G614="5/24"),((база!$M$6*2*Таблица1[[#This Row],[Столбец1]]*Таблица1[[#This Row],[коэф]])),
IF(OR(G614="4/24",G614="3/24"),((база!$M$5*2*Таблица1[[#This Row],[Столбец1]]*Таблица1[[#This Row],[коэф]])),
IF((G614="5/16"),((база!$L$6*2*Таблица1[[#This Row],[Столбец1]]*Таблица1[[#This Row],[коэф]])),
IF(OR(G614="4/16",G614="3/16"),((база!$L$5*2*Таблица1[[#This Row],[Столбец1]]*Таблица1[[#This Row],[коэф]])),
IF(OR(G614="2/4",G614="3/4",G614="4/4"),((база!$I$5*2*Таблица1[[#This Row],[Столбец1]]*Таблица1[[#This Row],[коэф]])),
IF((G614="5/8"),((база!$J$6*2*Таблица1[[#This Row],[Столбец1]]*Таблица1[[#This Row],[коэф]])),
IF(OR(G614="4/8",G614="3/8",G614="2/8"),((база!$J$5*2*Таблица1[[#This Row],[Столбец1]]*Таблица1[[#This Row],[коэф]])))))))))))</f>
        <v>0</v>
      </c>
      <c r="AQ614" s="712" t="str">
        <f>IFERROR(INDEX(база!T:T, MATCH(F614,база!Q:Q,0)),"")</f>
        <v/>
      </c>
      <c r="AR614" s="208" t="str">
        <f>IFERROR(INDEX(база!D:D, MATCH(F614,база!B:B,0)),"")</f>
        <v/>
      </c>
      <c r="AS614" s="758" t="str">
        <f>IFERROR(INDEX(база!E:E, MATCH(F614,база!B:B,0)),"")</f>
        <v/>
      </c>
    </row>
    <row r="615" spans="1:45" s="46" customFormat="1" ht="15">
      <c r="A615" s="66" t="str">
        <f t="shared" si="8"/>
        <v>январь</v>
      </c>
      <c r="B615" s="231">
        <v>2024</v>
      </c>
      <c r="C615" s="299"/>
      <c r="D615" s="61"/>
      <c r="E615" s="211"/>
      <c r="F615" s="680"/>
      <c r="G615" s="47"/>
      <c r="H615" s="563"/>
      <c r="I615" s="563"/>
      <c r="J615" s="563"/>
      <c r="K615" s="563"/>
      <c r="L615" s="563"/>
      <c r="M615" s="563"/>
      <c r="N615" s="563"/>
      <c r="O615" s="563"/>
      <c r="P615" s="300"/>
      <c r="Q615" s="563"/>
      <c r="R615" s="563"/>
      <c r="S615" s="563"/>
      <c r="T615" s="563"/>
      <c r="U615" s="563"/>
      <c r="V615" s="563"/>
      <c r="W615" s="563"/>
      <c r="X615" s="563"/>
      <c r="Y615" s="563"/>
      <c r="Z615" s="563"/>
      <c r="AA615" s="563"/>
      <c r="AB615" s="563"/>
      <c r="AC615" s="563"/>
      <c r="AD615" s="48"/>
      <c r="AE615" s="48"/>
      <c r="AF615" s="258"/>
      <c r="AG615" s="48"/>
      <c r="AH615" s="48"/>
      <c r="AI615" s="258"/>
      <c r="AJ615" s="258"/>
      <c r="AK615" s="258"/>
      <c r="AL615" s="258"/>
      <c r="AM615" s="212">
        <f>IF(AQ615=1,SUM(Q615:T615,W615:Z615,AC615:AF615,AI615:AL615),
IF(AQ615=2,SUM(P615,S615:V615,Y615:AB615,AE615:AH615,AK615:AL615),
IF(AQ615=3,SUM(P615:R615,U615:X615,AA615:AD615,AG615:AJ615),SUM(Таблица1[[#This Row],[1]:[31]])-Таблица1[[#This Row],[Столбец1]])))</f>
        <v>0</v>
      </c>
      <c r="AN615" s="778">
        <f t="array" ref="AN615">IF(AQ615=1,SUM(P615,U615:V615,AA615:AB615,AG615:AH615),
IF(AQ615=2,SUM(Q615:R615,W615:X615,AC615:AD615,AI615:AJ615),
IF(AQ615=3,SUM(S615:T615,Y615:Z615,AE615:AF615,AK615:AL615),
SUM(IFERROR(WEEKDAY($H$2:$AL$2,2)&gt;5,)*H615:AL615))))+Таблица1[[#This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15" s="292" t="b">
        <f>IF(AR615&lt;=3,(IF((G615="5/24"),((база!$M$6*Таблица1[[#This Row],[сумма]]*Таблица1[[#This Row],[коэф]])),
IF((G615="4/24"),((база!$M$5*Таблица1[[#This Row],[сумма]]*Таблица1[[#This Row],[коэф]])),
IF((G615="3/24"),((база!$M$4*Таблица1[[#This Row],[сумма]]*Таблица1[[#This Row],[коэф]])),
IF((G615="5/16"),((база!$L$6*Таблица1[[#This Row],[сумма]]*Таблица1[[#This Row],[коэф]])),
IF((G615="4/16"),((база!$L$5*Таблица1[[#This Row],[сумма]]*Таблица1[[#This Row],[коэф]])),
IF((G615="3/16"),((база!$L$4*Таблица1[[#This Row],[сумма]]*Таблица1[[#This Row],[коэф]])),
IF((G615="4/4"),((база!$I$5*Таблица1[[#This Row],[сумма]]*Таблица1[[#This Row],[коэф]])),
IF(OR(G615="2/4",G615="3/4"),((база!$I$4*Таблица1[[#This Row],[сумма]]*Таблица1[[#This Row],[коэф]])),
IF((G615="5/8"),((база!$J$6*Таблица1[[#This Row],[сумма]]*Таблица1[[#This Row],[коэф]])),
IF((G615="4/8"),((база!$J$5*Таблица1[[#This Row],[сумма]]*Таблица1[[#This Row],[коэф]])),
IF(OR(G615="3/8",G615="2/8"),((база!$J$4*Таблица1[[#This Row],[сумма]]*Таблица1[[#This Row],[коэф]])))))))))))))),
(IF((G615="5/24"),((база!$M$6*Таблица1[[#This Row],[сумма]]*Таблица1[[#This Row],[коэф]])),
IF(OR(G615="4/24",G615="3/24"),((база!$M$5*Таблица1[[#This Row],[сумма]]*Таблица1[[#This Row],[коэф]])),
IF((G615="5/16"),((база!$L$6*Таблица1[[#This Row],[сумма]]*Таблица1[[#This Row],[коэф]])),
IF(OR(G615="4/16",G615="3/16"),((база!$L$5*Таблица1[[#This Row],[сумма]]*Таблица1[[#This Row],[коэф]])),
IF(OR(G615="2/4",G615="3/4",G615="4/4"),((база!$I$5*Таблица1[[#This Row],[сумма]]*Таблица1[[#This Row],[коэф]])),
IF((G615="5/8"),((база!$J$6*Таблица1[[#This Row],[сумма]]*Таблица1[[#This Row],[коэф]])),
IF(OR(G615="4/8",G615="3/8",G615="2/8"),((база!$J$5*Таблица1[[#This Row],[сумма]]*Таблица1[[#This Row],[коэф]])))))))))))</f>
        <v>0</v>
      </c>
      <c r="AP615" s="730" t="b">
        <f>IF(AR615&lt;=3,(IF((G615="5/24"),((база!$M$6*2*Таблица1[[#This Row],[Столбец1]]*Таблица1[[#This Row],[коэф]])),
IF((G615="4/24"),((база!$M$5*2*Таблица1[[#This Row],[Столбец1]]*Таблица1[[#This Row],[коэф]])),
IF((G615="3/24"),((база!$M$4*2*Таблица1[[#This Row],[Столбец1]]*Таблица1[[#This Row],[коэф]])),
IF((G615="5/16"),((база!$L$6*2*Таблица1[[#This Row],[Столбец1]]*Таблица1[[#This Row],[коэф]])),
IF((G615="4/16"),((база!$L$5*2*Таблица1[[#This Row],[Столбец1]]*Таблица1[[#This Row],[коэф]])),
IF((G615="3/16"),((база!$L$4*2*Таблица1[[#This Row],[Столбец1]]*Таблица1[[#This Row],[коэф]])),
IF((G615="4/4"),((база!$I$5*2*Таблица1[[#This Row],[Столбец1]]*Таблица1[[#This Row],[коэф]])),
IF(OR(G615="2/4",G615="3/4"),((база!$I$4*2*Таблица1[[#This Row],[Столбец1]]*Таблица1[[#This Row],[коэф]])),
IF((G615="5/8"),((база!$J$6*2*Таблица1[[#This Row],[Столбец1]]*Таблица1[[#This Row],[коэф]])),
IF((G615="4/8"),((база!$J$5*2*Таблица1[[#This Row],[Столбец1]]*Таблица1[[#This Row],[коэф]])),
IF(OR(G615="3/8",G615="2/8"),((база!$J$4*2*Таблица1[[#This Row],[Столбец1]]*Таблица1[[#This Row],[коэф]])))))))))))))),
(IF((G615="5/24"),((база!$M$6*2*Таблица1[[#This Row],[Столбец1]]*Таблица1[[#This Row],[коэф]])),
IF(OR(G615="4/24",G615="3/24"),((база!$M$5*2*Таблица1[[#This Row],[Столбец1]]*Таблица1[[#This Row],[коэф]])),
IF((G615="5/16"),((база!$L$6*2*Таблица1[[#This Row],[Столбец1]]*Таблица1[[#This Row],[коэф]])),
IF(OR(G615="4/16",G615="3/16"),((база!$L$5*2*Таблица1[[#This Row],[Столбец1]]*Таблица1[[#This Row],[коэф]])),
IF(OR(G615="2/4",G615="3/4",G615="4/4"),((база!$I$5*2*Таблица1[[#This Row],[Столбец1]]*Таблица1[[#This Row],[коэф]])),
IF((G615="5/8"),((база!$J$6*2*Таблица1[[#This Row],[Столбец1]]*Таблица1[[#This Row],[коэф]])),
IF(OR(G615="4/8",G615="3/8",G615="2/8"),((база!$J$5*2*Таблица1[[#This Row],[Столбец1]]*Таблица1[[#This Row],[коэф]])))))))))))</f>
        <v>0</v>
      </c>
      <c r="AQ615" s="712" t="str">
        <f>IFERROR(INDEX(база!T:T, MATCH(F615,база!Q:Q,0)),"")</f>
        <v/>
      </c>
      <c r="AR615" s="208" t="str">
        <f>IFERROR(INDEX(база!D:D, MATCH(F615,база!B:B,0)),"")</f>
        <v/>
      </c>
      <c r="AS615" s="758" t="str">
        <f>IFERROR(INDEX(база!E:E, MATCH(F615,база!B:B,0)),"")</f>
        <v/>
      </c>
    </row>
    <row r="616" spans="1:45" s="46" customFormat="1" ht="15">
      <c r="A616" s="66" t="str">
        <f t="shared" si="8"/>
        <v>январь</v>
      </c>
      <c r="B616" s="231">
        <v>2024</v>
      </c>
      <c r="C616" s="299"/>
      <c r="D616" s="61"/>
      <c r="E616" s="211"/>
      <c r="F616" s="680"/>
      <c r="G616" s="47"/>
      <c r="H616" s="563"/>
      <c r="I616" s="563"/>
      <c r="J616" s="563"/>
      <c r="K616" s="563"/>
      <c r="L616" s="563"/>
      <c r="M616" s="563"/>
      <c r="N616" s="563"/>
      <c r="O616" s="563"/>
      <c r="P616" s="300"/>
      <c r="Q616" s="563"/>
      <c r="R616" s="563"/>
      <c r="S616" s="563"/>
      <c r="T616" s="563"/>
      <c r="U616" s="563"/>
      <c r="V616" s="563"/>
      <c r="W616" s="563"/>
      <c r="X616" s="563"/>
      <c r="Y616" s="563"/>
      <c r="Z616" s="563"/>
      <c r="AA616" s="563"/>
      <c r="AB616" s="563"/>
      <c r="AC616" s="563"/>
      <c r="AD616" s="48"/>
      <c r="AE616" s="48"/>
      <c r="AF616" s="258"/>
      <c r="AG616" s="48"/>
      <c r="AH616" s="48"/>
      <c r="AI616" s="48"/>
      <c r="AJ616" s="48"/>
      <c r="AK616" s="48"/>
      <c r="AL616" s="51"/>
      <c r="AM616" s="212">
        <f>IF(AQ616=1,SUM(Q616:T616,W616:Z616,AC616:AF616,AI616:AL616),
IF(AQ616=2,SUM(P616,S616:V616,Y616:AB616,AE616:AH616,AK616:AL616),
IF(AQ616=3,SUM(P616:R616,U616:X616,AA616:AD616,AG616:AJ616),SUM(Таблица1[[#This Row],[1]:[31]])-Таблица1[[#This Row],[Столбец1]])))</f>
        <v>0</v>
      </c>
      <c r="AN616" s="778">
        <f t="array" ref="AN616">IF(AQ616=1,SUM(P616,U616:V616,AA616:AB616,AG616:AH616),
IF(AQ616=2,SUM(Q616:R616,W616:X616,AC616:AD616,AI616:AJ616),
IF(AQ616=3,SUM(S616:T616,Y616:Z616,AE616:AF616,AK616:AL616),
SUM(IFERROR(WEEKDAY($H$2:$AL$2,2)&gt;5,)*H616:AL616))))+Таблица1[[#This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16" s="292" t="b">
        <f>IF(AR616&lt;=3,(IF((G616="5/24"),((база!$M$6*Таблица1[[#This Row],[сумма]]*Таблица1[[#This Row],[коэф]])),
IF((G616="4/24"),((база!$M$5*Таблица1[[#This Row],[сумма]]*Таблица1[[#This Row],[коэф]])),
IF((G616="3/24"),((база!$M$4*Таблица1[[#This Row],[сумма]]*Таблица1[[#This Row],[коэф]])),
IF((G616="5/16"),((база!$L$6*Таблица1[[#This Row],[сумма]]*Таблица1[[#This Row],[коэф]])),
IF((G616="4/16"),((база!$L$5*Таблица1[[#This Row],[сумма]]*Таблица1[[#This Row],[коэф]])),
IF((G616="3/16"),((база!$L$4*Таблица1[[#This Row],[сумма]]*Таблица1[[#This Row],[коэф]])),
IF((G616="4/4"),((база!$I$5*Таблица1[[#This Row],[сумма]]*Таблица1[[#This Row],[коэф]])),
IF(OR(G616="2/4",G616="3/4"),((база!$I$4*Таблица1[[#This Row],[сумма]]*Таблица1[[#This Row],[коэф]])),
IF((G616="5/8"),((база!$J$6*Таблица1[[#This Row],[сумма]]*Таблица1[[#This Row],[коэф]])),
IF((G616="4/8"),((база!$J$5*Таблица1[[#This Row],[сумма]]*Таблица1[[#This Row],[коэф]])),
IF(OR(G616="3/8",G616="2/8"),((база!$J$4*Таблица1[[#This Row],[сумма]]*Таблица1[[#This Row],[коэф]])))))))))))))),
(IF((G616="5/24"),((база!$M$6*Таблица1[[#This Row],[сумма]]*Таблица1[[#This Row],[коэф]])),
IF(OR(G616="4/24",G616="3/24"),((база!$M$5*Таблица1[[#This Row],[сумма]]*Таблица1[[#This Row],[коэф]])),
IF((G616="5/16"),((база!$L$6*Таблица1[[#This Row],[сумма]]*Таблица1[[#This Row],[коэф]])),
IF(OR(G616="4/16",G616="3/16"),((база!$L$5*Таблица1[[#This Row],[сумма]]*Таблица1[[#This Row],[коэф]])),
IF(OR(G616="2/4",G616="3/4",G616="4/4"),((база!$I$5*Таблица1[[#This Row],[сумма]]*Таблица1[[#This Row],[коэф]])),
IF((G616="5/8"),((база!$J$6*Таблица1[[#This Row],[сумма]]*Таблица1[[#This Row],[коэф]])),
IF(OR(G616="4/8",G616="3/8",G616="2/8"),((база!$J$5*Таблица1[[#This Row],[сумма]]*Таблица1[[#This Row],[коэф]])))))))))))</f>
        <v>0</v>
      </c>
      <c r="AP616" s="730" t="b">
        <f>IF(AR616&lt;=3,(IF((G616="5/24"),((база!$M$6*2*Таблица1[[#This Row],[Столбец1]]*Таблица1[[#This Row],[коэф]])),
IF((G616="4/24"),((база!$M$5*2*Таблица1[[#This Row],[Столбец1]]*Таблица1[[#This Row],[коэф]])),
IF((G616="3/24"),((база!$M$4*2*Таблица1[[#This Row],[Столбец1]]*Таблица1[[#This Row],[коэф]])),
IF((G616="5/16"),((база!$L$6*2*Таблица1[[#This Row],[Столбец1]]*Таблица1[[#This Row],[коэф]])),
IF((G616="4/16"),((база!$L$5*2*Таблица1[[#This Row],[Столбец1]]*Таблица1[[#This Row],[коэф]])),
IF((G616="3/16"),((база!$L$4*2*Таблица1[[#This Row],[Столбец1]]*Таблица1[[#This Row],[коэф]])),
IF((G616="4/4"),((база!$I$5*2*Таблица1[[#This Row],[Столбец1]]*Таблица1[[#This Row],[коэф]])),
IF(OR(G616="2/4",G616="3/4"),((база!$I$4*2*Таблица1[[#This Row],[Столбец1]]*Таблица1[[#This Row],[коэф]])),
IF((G616="5/8"),((база!$J$6*2*Таблица1[[#This Row],[Столбец1]]*Таблица1[[#This Row],[коэф]])),
IF((G616="4/8"),((база!$J$5*2*Таблица1[[#This Row],[Столбец1]]*Таблица1[[#This Row],[коэф]])),
IF(OR(G616="3/8",G616="2/8"),((база!$J$4*2*Таблица1[[#This Row],[Столбец1]]*Таблица1[[#This Row],[коэф]])))))))))))))),
(IF((G616="5/24"),((база!$M$6*2*Таблица1[[#This Row],[Столбец1]]*Таблица1[[#This Row],[коэф]])),
IF(OR(G616="4/24",G616="3/24"),((база!$M$5*2*Таблица1[[#This Row],[Столбец1]]*Таблица1[[#This Row],[коэф]])),
IF((G616="5/16"),((база!$L$6*2*Таблица1[[#This Row],[Столбец1]]*Таблица1[[#This Row],[коэф]])),
IF(OR(G616="4/16",G616="3/16"),((база!$L$5*2*Таблица1[[#This Row],[Столбец1]]*Таблица1[[#This Row],[коэф]])),
IF(OR(G616="2/4",G616="3/4",G616="4/4"),((база!$I$5*2*Таблица1[[#This Row],[Столбец1]]*Таблица1[[#This Row],[коэф]])),
IF((G616="5/8"),((база!$J$6*2*Таблица1[[#This Row],[Столбец1]]*Таблица1[[#This Row],[коэф]])),
IF(OR(G616="4/8",G616="3/8",G616="2/8"),((база!$J$5*2*Таблица1[[#This Row],[Столбец1]]*Таблица1[[#This Row],[коэф]])))))))))))</f>
        <v>0</v>
      </c>
      <c r="AQ616" s="712" t="str">
        <f>IFERROR(INDEX(база!T:T, MATCH(F616,база!Q:Q,0)),"")</f>
        <v/>
      </c>
      <c r="AR616" s="208" t="str">
        <f>IFERROR(INDEX(база!D:D, MATCH(F616,база!B:B,0)),"")</f>
        <v/>
      </c>
      <c r="AS616" s="758" t="str">
        <f>IFERROR(INDEX(база!E:E, MATCH(F616,база!B:B,0)),"")</f>
        <v/>
      </c>
    </row>
    <row r="617" spans="1:45" s="46" customFormat="1" ht="15">
      <c r="A617" s="66" t="str">
        <f t="shared" si="8"/>
        <v>январь</v>
      </c>
      <c r="B617" s="231">
        <v>2024</v>
      </c>
      <c r="C617" s="299"/>
      <c r="D617" s="61"/>
      <c r="E617" s="211"/>
      <c r="F617" s="680"/>
      <c r="G617" s="47"/>
      <c r="H617" s="563"/>
      <c r="I617" s="563"/>
      <c r="J617" s="563"/>
      <c r="K617" s="563"/>
      <c r="L617" s="563"/>
      <c r="M617" s="563"/>
      <c r="N617" s="563"/>
      <c r="O617" s="563"/>
      <c r="P617" s="300"/>
      <c r="Q617" s="563"/>
      <c r="R617" s="563"/>
      <c r="S617" s="563"/>
      <c r="T617" s="563"/>
      <c r="U617" s="563"/>
      <c r="V617" s="563"/>
      <c r="W617" s="563"/>
      <c r="X617" s="563"/>
      <c r="Y617" s="563"/>
      <c r="Z617" s="563"/>
      <c r="AA617" s="563"/>
      <c r="AB617" s="563"/>
      <c r="AC617" s="563"/>
      <c r="AD617" s="48"/>
      <c r="AE617" s="48"/>
      <c r="AF617" s="258"/>
      <c r="AG617" s="48"/>
      <c r="AH617" s="48"/>
      <c r="AI617" s="258"/>
      <c r="AJ617" s="258"/>
      <c r="AK617" s="258"/>
      <c r="AL617" s="258"/>
      <c r="AM617" s="212">
        <f>IF(AQ617=1,SUM(Q617:T617,W617:Z617,AC617:AF617,AI617:AL617),
IF(AQ617=2,SUM(P617,S617:V617,Y617:AB617,AE617:AH617,AK617:AL617),
IF(AQ617=3,SUM(P617:R617,U617:X617,AA617:AD617,AG617:AJ617),SUM(Таблица1[[#This Row],[1]:[31]])-Таблица1[[#This Row],[Столбец1]])))</f>
        <v>0</v>
      </c>
      <c r="AN617" s="778">
        <f t="array" ref="AN617">IF(AQ617=1,SUM(P617,U617:V617,AA617:AB617,AG617:AH617),
IF(AQ617=2,SUM(Q617:R617,W617:X617,AC617:AD617,AI617:AJ617),
IF(AQ617=3,SUM(S617:T617,Y617:Z617,AE617:AF617,AK617:AL617),
SUM(IFERROR(WEEKDAY($H$2:$AL$2,2)&gt;5,)*H617:AL617))))+Таблица1[[#This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17" s="292" t="b">
        <f>IF(AR617&lt;=3,(IF((G617="5/24"),((база!$M$6*Таблица1[[#This Row],[сумма]]*Таблица1[[#This Row],[коэф]])),
IF((G617="4/24"),((база!$M$5*Таблица1[[#This Row],[сумма]]*Таблица1[[#This Row],[коэф]])),
IF((G617="3/24"),((база!$M$4*Таблица1[[#This Row],[сумма]]*Таблица1[[#This Row],[коэф]])),
IF((G617="5/16"),((база!$L$6*Таблица1[[#This Row],[сумма]]*Таблица1[[#This Row],[коэф]])),
IF((G617="4/16"),((база!$L$5*Таблица1[[#This Row],[сумма]]*Таблица1[[#This Row],[коэф]])),
IF((G617="3/16"),((база!$L$4*Таблица1[[#This Row],[сумма]]*Таблица1[[#This Row],[коэф]])),
IF((G617="4/4"),((база!$I$5*Таблица1[[#This Row],[сумма]]*Таблица1[[#This Row],[коэф]])),
IF(OR(G617="2/4",G617="3/4"),((база!$I$4*Таблица1[[#This Row],[сумма]]*Таблица1[[#This Row],[коэф]])),
IF((G617="5/8"),((база!$J$6*Таблица1[[#This Row],[сумма]]*Таблица1[[#This Row],[коэф]])),
IF((G617="4/8"),((база!$J$5*Таблица1[[#This Row],[сумма]]*Таблица1[[#This Row],[коэф]])),
IF(OR(G617="3/8",G617="2/8"),((база!$J$4*Таблица1[[#This Row],[сумма]]*Таблица1[[#This Row],[коэф]])))))))))))))),
(IF((G617="5/24"),((база!$M$6*Таблица1[[#This Row],[сумма]]*Таблица1[[#This Row],[коэф]])),
IF(OR(G617="4/24",G617="3/24"),((база!$M$5*Таблица1[[#This Row],[сумма]]*Таблица1[[#This Row],[коэф]])),
IF((G617="5/16"),((база!$L$6*Таблица1[[#This Row],[сумма]]*Таблица1[[#This Row],[коэф]])),
IF(OR(G617="4/16",G617="3/16"),((база!$L$5*Таблица1[[#This Row],[сумма]]*Таблица1[[#This Row],[коэф]])),
IF(OR(G617="2/4",G617="3/4",G617="4/4"),((база!$I$5*Таблица1[[#This Row],[сумма]]*Таблица1[[#This Row],[коэф]])),
IF((G617="5/8"),((база!$J$6*Таблица1[[#This Row],[сумма]]*Таблица1[[#This Row],[коэф]])),
IF(OR(G617="4/8",G617="3/8",G617="2/8"),((база!$J$5*Таблица1[[#This Row],[сумма]]*Таблица1[[#This Row],[коэф]])))))))))))</f>
        <v>0</v>
      </c>
      <c r="AP617" s="730" t="b">
        <f>IF(AR617&lt;=3,(IF((G617="5/24"),((база!$M$6*2*Таблица1[[#This Row],[Столбец1]]*Таблица1[[#This Row],[коэф]])),
IF((G617="4/24"),((база!$M$5*2*Таблица1[[#This Row],[Столбец1]]*Таблица1[[#This Row],[коэф]])),
IF((G617="3/24"),((база!$M$4*2*Таблица1[[#This Row],[Столбец1]]*Таблица1[[#This Row],[коэф]])),
IF((G617="5/16"),((база!$L$6*2*Таблица1[[#This Row],[Столбец1]]*Таблица1[[#This Row],[коэф]])),
IF((G617="4/16"),((база!$L$5*2*Таблица1[[#This Row],[Столбец1]]*Таблица1[[#This Row],[коэф]])),
IF((G617="3/16"),((база!$L$4*2*Таблица1[[#This Row],[Столбец1]]*Таблица1[[#This Row],[коэф]])),
IF((G617="4/4"),((база!$I$5*2*Таблица1[[#This Row],[Столбец1]]*Таблица1[[#This Row],[коэф]])),
IF(OR(G617="2/4",G617="3/4"),((база!$I$4*2*Таблица1[[#This Row],[Столбец1]]*Таблица1[[#This Row],[коэф]])),
IF((G617="5/8"),((база!$J$6*2*Таблица1[[#This Row],[Столбец1]]*Таблица1[[#This Row],[коэф]])),
IF((G617="4/8"),((база!$J$5*2*Таблица1[[#This Row],[Столбец1]]*Таблица1[[#This Row],[коэф]])),
IF(OR(G617="3/8",G617="2/8"),((база!$J$4*2*Таблица1[[#This Row],[Столбец1]]*Таблица1[[#This Row],[коэф]])))))))))))))),
(IF((G617="5/24"),((база!$M$6*2*Таблица1[[#This Row],[Столбец1]]*Таблица1[[#This Row],[коэф]])),
IF(OR(G617="4/24",G617="3/24"),((база!$M$5*2*Таблица1[[#This Row],[Столбец1]]*Таблица1[[#This Row],[коэф]])),
IF((G617="5/16"),((база!$L$6*2*Таблица1[[#This Row],[Столбец1]]*Таблица1[[#This Row],[коэф]])),
IF(OR(G617="4/16",G617="3/16"),((база!$L$5*2*Таблица1[[#This Row],[Столбец1]]*Таблица1[[#This Row],[коэф]])),
IF(OR(G617="2/4",G617="3/4",G617="4/4"),((база!$I$5*2*Таблица1[[#This Row],[Столбец1]]*Таблица1[[#This Row],[коэф]])),
IF((G617="5/8"),((база!$J$6*2*Таблица1[[#This Row],[Столбец1]]*Таблица1[[#This Row],[коэф]])),
IF(OR(G617="4/8",G617="3/8",G617="2/8"),((база!$J$5*2*Таблица1[[#This Row],[Столбец1]]*Таблица1[[#This Row],[коэф]])))))))))))</f>
        <v>0</v>
      </c>
      <c r="AQ617" s="712" t="str">
        <f>IFERROR(INDEX(база!T:T, MATCH(F617,база!Q:Q,0)),"")</f>
        <v/>
      </c>
      <c r="AR617" s="208" t="str">
        <f>IFERROR(INDEX(база!D:D, MATCH(F617,база!B:B,0)),"")</f>
        <v/>
      </c>
      <c r="AS617" s="758" t="str">
        <f>IFERROR(INDEX(база!E:E, MATCH(F617,база!B:B,0)),"")</f>
        <v/>
      </c>
    </row>
    <row r="618" spans="1:45" s="46" customFormat="1" ht="15">
      <c r="A618" s="66" t="str">
        <f t="shared" si="8"/>
        <v>январь</v>
      </c>
      <c r="B618" s="231">
        <v>2024</v>
      </c>
      <c r="C618" s="299"/>
      <c r="D618" s="61"/>
      <c r="E618" s="211"/>
      <c r="F618" s="680"/>
      <c r="G618" s="47"/>
      <c r="H618" s="563"/>
      <c r="I618" s="563"/>
      <c r="J618" s="563"/>
      <c r="K618" s="563"/>
      <c r="L618" s="563"/>
      <c r="M618" s="563"/>
      <c r="N618" s="563"/>
      <c r="O618" s="563"/>
      <c r="P618" s="300"/>
      <c r="Q618" s="563"/>
      <c r="R618" s="563"/>
      <c r="S618" s="563"/>
      <c r="T618" s="563"/>
      <c r="U618" s="563"/>
      <c r="V618" s="563"/>
      <c r="W618" s="563"/>
      <c r="X618" s="563"/>
      <c r="Y618" s="563"/>
      <c r="Z618" s="563"/>
      <c r="AA618" s="563"/>
      <c r="AB618" s="563"/>
      <c r="AC618" s="563"/>
      <c r="AD618" s="48"/>
      <c r="AE618" s="48"/>
      <c r="AF618" s="258"/>
      <c r="AG618" s="48"/>
      <c r="AH618" s="48"/>
      <c r="AI618" s="48"/>
      <c r="AJ618" s="48"/>
      <c r="AK618" s="48"/>
      <c r="AL618" s="51"/>
      <c r="AM618" s="212">
        <f>IF(AQ618=1,SUM(Q618:T618,W618:Z618,AC618:AF618,AI618:AL618),
IF(AQ618=2,SUM(P618,S618:V618,Y618:AB618,AE618:AH618,AK618:AL618),
IF(AQ618=3,SUM(P618:R618,U618:X618,AA618:AD618,AG618:AJ618),SUM(Таблица1[[#This Row],[1]:[31]])-Таблица1[[#This Row],[Столбец1]])))</f>
        <v>0</v>
      </c>
      <c r="AN618" s="778">
        <f t="array" ref="AN618">IF(AQ618=1,SUM(P618,U618:V618,AA618:AB618,AG618:AH618),
IF(AQ618=2,SUM(Q618:R618,W618:X618,AC618:AD618,AI618:AJ618),
IF(AQ618=3,SUM(S618:T618,Y618:Z618,AE618:AF618,AK618:AL618),
SUM(IFERROR(WEEKDAY($H$2:$AL$2,2)&gt;5,)*H618:AL618))))+Таблица1[[#This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18" s="292" t="b">
        <f>IF(AR618&lt;=3,(IF((G618="5/24"),((база!$M$6*Таблица1[[#This Row],[сумма]]*Таблица1[[#This Row],[коэф]])),
IF((G618="4/24"),((база!$M$5*Таблица1[[#This Row],[сумма]]*Таблица1[[#This Row],[коэф]])),
IF((G618="3/24"),((база!$M$4*Таблица1[[#This Row],[сумма]]*Таблица1[[#This Row],[коэф]])),
IF((G618="5/16"),((база!$L$6*Таблица1[[#This Row],[сумма]]*Таблица1[[#This Row],[коэф]])),
IF((G618="4/16"),((база!$L$5*Таблица1[[#This Row],[сумма]]*Таблица1[[#This Row],[коэф]])),
IF((G618="3/16"),((база!$L$4*Таблица1[[#This Row],[сумма]]*Таблица1[[#This Row],[коэф]])),
IF((G618="4/4"),((база!$I$5*Таблица1[[#This Row],[сумма]]*Таблица1[[#This Row],[коэф]])),
IF(OR(G618="2/4",G618="3/4"),((база!$I$4*Таблица1[[#This Row],[сумма]]*Таблица1[[#This Row],[коэф]])),
IF((G618="5/8"),((база!$J$6*Таблица1[[#This Row],[сумма]]*Таблица1[[#This Row],[коэф]])),
IF((G618="4/8"),((база!$J$5*Таблица1[[#This Row],[сумма]]*Таблица1[[#This Row],[коэф]])),
IF(OR(G618="3/8",G618="2/8"),((база!$J$4*Таблица1[[#This Row],[сумма]]*Таблица1[[#This Row],[коэф]])))))))))))))),
(IF((G618="5/24"),((база!$M$6*Таблица1[[#This Row],[сумма]]*Таблица1[[#This Row],[коэф]])),
IF(OR(G618="4/24",G618="3/24"),((база!$M$5*Таблица1[[#This Row],[сумма]]*Таблица1[[#This Row],[коэф]])),
IF((G618="5/16"),((база!$L$6*Таблица1[[#This Row],[сумма]]*Таблица1[[#This Row],[коэф]])),
IF(OR(G618="4/16",G618="3/16"),((база!$L$5*Таблица1[[#This Row],[сумма]]*Таблица1[[#This Row],[коэф]])),
IF(OR(G618="2/4",G618="3/4",G618="4/4"),((база!$I$5*Таблица1[[#This Row],[сумма]]*Таблица1[[#This Row],[коэф]])),
IF((G618="5/8"),((база!$J$6*Таблица1[[#This Row],[сумма]]*Таблица1[[#This Row],[коэф]])),
IF(OR(G618="4/8",G618="3/8",G618="2/8"),((база!$J$5*Таблица1[[#This Row],[сумма]]*Таблица1[[#This Row],[коэф]])))))))))))</f>
        <v>0</v>
      </c>
      <c r="AP618" s="730" t="b">
        <f>IF(AR618&lt;=3,(IF((G618="5/24"),((база!$M$6*2*Таблица1[[#This Row],[Столбец1]]*Таблица1[[#This Row],[коэф]])),
IF((G618="4/24"),((база!$M$5*2*Таблица1[[#This Row],[Столбец1]]*Таблица1[[#This Row],[коэф]])),
IF((G618="3/24"),((база!$M$4*2*Таблица1[[#This Row],[Столбец1]]*Таблица1[[#This Row],[коэф]])),
IF((G618="5/16"),((база!$L$6*2*Таблица1[[#This Row],[Столбец1]]*Таблица1[[#This Row],[коэф]])),
IF((G618="4/16"),((база!$L$5*2*Таблица1[[#This Row],[Столбец1]]*Таблица1[[#This Row],[коэф]])),
IF((G618="3/16"),((база!$L$4*2*Таблица1[[#This Row],[Столбец1]]*Таблица1[[#This Row],[коэф]])),
IF((G618="4/4"),((база!$I$5*2*Таблица1[[#This Row],[Столбец1]]*Таблица1[[#This Row],[коэф]])),
IF(OR(G618="2/4",G618="3/4"),((база!$I$4*2*Таблица1[[#This Row],[Столбец1]]*Таблица1[[#This Row],[коэф]])),
IF((G618="5/8"),((база!$J$6*2*Таблица1[[#This Row],[Столбец1]]*Таблица1[[#This Row],[коэф]])),
IF((G618="4/8"),((база!$J$5*2*Таблица1[[#This Row],[Столбец1]]*Таблица1[[#This Row],[коэф]])),
IF(OR(G618="3/8",G618="2/8"),((база!$J$4*2*Таблица1[[#This Row],[Столбец1]]*Таблица1[[#This Row],[коэф]])))))))))))))),
(IF((G618="5/24"),((база!$M$6*2*Таблица1[[#This Row],[Столбец1]]*Таблица1[[#This Row],[коэф]])),
IF(OR(G618="4/24",G618="3/24"),((база!$M$5*2*Таблица1[[#This Row],[Столбец1]]*Таблица1[[#This Row],[коэф]])),
IF((G618="5/16"),((база!$L$6*2*Таблица1[[#This Row],[Столбец1]]*Таблица1[[#This Row],[коэф]])),
IF(OR(G618="4/16",G618="3/16"),((база!$L$5*2*Таблица1[[#This Row],[Столбец1]]*Таблица1[[#This Row],[коэф]])),
IF(OR(G618="2/4",G618="3/4",G618="4/4"),((база!$I$5*2*Таблица1[[#This Row],[Столбец1]]*Таблица1[[#This Row],[коэф]])),
IF((G618="5/8"),((база!$J$6*2*Таблица1[[#This Row],[Столбец1]]*Таблица1[[#This Row],[коэф]])),
IF(OR(G618="4/8",G618="3/8",G618="2/8"),((база!$J$5*2*Таблица1[[#This Row],[Столбец1]]*Таблица1[[#This Row],[коэф]])))))))))))</f>
        <v>0</v>
      </c>
      <c r="AQ618" s="712" t="str">
        <f>IFERROR(INDEX(база!T:T, MATCH(F618,база!Q:Q,0)),"")</f>
        <v/>
      </c>
      <c r="AR618" s="208" t="str">
        <f>IFERROR(INDEX(база!D:D, MATCH(F618,база!B:B,0)),"")</f>
        <v/>
      </c>
      <c r="AS618" s="758" t="str">
        <f>IFERROR(INDEX(база!E:E, MATCH(F618,база!B:B,0)),"")</f>
        <v/>
      </c>
    </row>
    <row r="619" spans="1:45" s="46" customFormat="1" ht="15">
      <c r="A619" s="66" t="str">
        <f t="shared" si="8"/>
        <v>январь</v>
      </c>
      <c r="B619" s="231">
        <v>2024</v>
      </c>
      <c r="C619" s="60"/>
      <c r="D619" s="61"/>
      <c r="E619" s="211"/>
      <c r="F619" s="680"/>
      <c r="G619" s="47"/>
      <c r="H619" s="563"/>
      <c r="I619" s="563"/>
      <c r="J619" s="563"/>
      <c r="K619" s="563"/>
      <c r="L619" s="563"/>
      <c r="M619" s="563"/>
      <c r="N619" s="563"/>
      <c r="O619" s="563"/>
      <c r="P619" s="300"/>
      <c r="Q619" s="563"/>
      <c r="R619" s="563"/>
      <c r="S619" s="563"/>
      <c r="T619" s="563"/>
      <c r="U619" s="563"/>
      <c r="V619" s="563"/>
      <c r="W619" s="563"/>
      <c r="X619" s="563"/>
      <c r="Y619" s="563"/>
      <c r="Z619" s="563"/>
      <c r="AA619" s="563"/>
      <c r="AB619" s="563"/>
      <c r="AC619" s="563"/>
      <c r="AD619" s="48"/>
      <c r="AE619" s="48"/>
      <c r="AF619" s="258"/>
      <c r="AG619" s="48"/>
      <c r="AH619" s="48"/>
      <c r="AI619" s="258"/>
      <c r="AJ619" s="258"/>
      <c r="AK619" s="258"/>
      <c r="AL619" s="258"/>
      <c r="AM619" s="212">
        <f>IF(AQ619=1,SUM(Q619:T619,W619:Z619,AC619:AF619,AI619:AL619),
IF(AQ619=2,SUM(P619,S619:V619,Y619:AB619,AE619:AH619,AK619:AL619),
IF(AQ619=3,SUM(P619:R619,U619:X619,AA619:AD619,AG619:AJ619),SUM(Таблица1[[#This Row],[1]:[31]])-Таблица1[[#This Row],[Столбец1]])))</f>
        <v>0</v>
      </c>
      <c r="AN619" s="778">
        <f t="array" ref="AN619">IF(AQ619=1,SUM(P619,U619:V619,AA619:AB619,AG619:AH619),
IF(AQ619=2,SUM(Q619:R619,W619:X619,AC619:AD619,AI619:AJ619),
IF(AQ619=3,SUM(S619:T619,Y619:Z619,AE619:AF619,AK619:AL619),
SUM(IFERROR(WEEKDAY($H$2:$AL$2,2)&gt;5,)*H619:AL619))))+Таблица1[[#This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19" s="292" t="b">
        <f>IF(AR619&lt;=3,(IF((G619="5/24"),((база!$M$6*Таблица1[[#This Row],[сумма]]*Таблица1[[#This Row],[коэф]])),
IF((G619="4/24"),((база!$M$5*Таблица1[[#This Row],[сумма]]*Таблица1[[#This Row],[коэф]])),
IF((G619="3/24"),((база!$M$4*Таблица1[[#This Row],[сумма]]*Таблица1[[#This Row],[коэф]])),
IF((G619="5/16"),((база!$L$6*Таблица1[[#This Row],[сумма]]*Таблица1[[#This Row],[коэф]])),
IF((G619="4/16"),((база!$L$5*Таблица1[[#This Row],[сумма]]*Таблица1[[#This Row],[коэф]])),
IF((G619="3/16"),((база!$L$4*Таблица1[[#This Row],[сумма]]*Таблица1[[#This Row],[коэф]])),
IF((G619="4/4"),((база!$I$5*Таблица1[[#This Row],[сумма]]*Таблица1[[#This Row],[коэф]])),
IF(OR(G619="2/4",G619="3/4"),((база!$I$4*Таблица1[[#This Row],[сумма]]*Таблица1[[#This Row],[коэф]])),
IF((G619="5/8"),((база!$J$6*Таблица1[[#This Row],[сумма]]*Таблица1[[#This Row],[коэф]])),
IF((G619="4/8"),((база!$J$5*Таблица1[[#This Row],[сумма]]*Таблица1[[#This Row],[коэф]])),
IF(OR(G619="3/8",G619="2/8"),((база!$J$4*Таблица1[[#This Row],[сумма]]*Таблица1[[#This Row],[коэф]])))))))))))))),
(IF((G619="5/24"),((база!$M$6*Таблица1[[#This Row],[сумма]]*Таблица1[[#This Row],[коэф]])),
IF(OR(G619="4/24",G619="3/24"),((база!$M$5*Таблица1[[#This Row],[сумма]]*Таблица1[[#This Row],[коэф]])),
IF((G619="5/16"),((база!$L$6*Таблица1[[#This Row],[сумма]]*Таблица1[[#This Row],[коэф]])),
IF(OR(G619="4/16",G619="3/16"),((база!$L$5*Таблица1[[#This Row],[сумма]]*Таблица1[[#This Row],[коэф]])),
IF(OR(G619="2/4",G619="3/4",G619="4/4"),((база!$I$5*Таблица1[[#This Row],[сумма]]*Таблица1[[#This Row],[коэф]])),
IF((G619="5/8"),((база!$J$6*Таблица1[[#This Row],[сумма]]*Таблица1[[#This Row],[коэф]])),
IF(OR(G619="4/8",G619="3/8",G619="2/8"),((база!$J$5*Таблица1[[#This Row],[сумма]]*Таблица1[[#This Row],[коэф]])))))))))))</f>
        <v>0</v>
      </c>
      <c r="AP619" s="730" t="b">
        <f>IF(AR619&lt;=3,(IF((G619="5/24"),((база!$M$6*2*Таблица1[[#This Row],[Столбец1]]*Таблица1[[#This Row],[коэф]])),
IF((G619="4/24"),((база!$M$5*2*Таблица1[[#This Row],[Столбец1]]*Таблица1[[#This Row],[коэф]])),
IF((G619="3/24"),((база!$M$4*2*Таблица1[[#This Row],[Столбец1]]*Таблица1[[#This Row],[коэф]])),
IF((G619="5/16"),((база!$L$6*2*Таблица1[[#This Row],[Столбец1]]*Таблица1[[#This Row],[коэф]])),
IF((G619="4/16"),((база!$L$5*2*Таблица1[[#This Row],[Столбец1]]*Таблица1[[#This Row],[коэф]])),
IF((G619="3/16"),((база!$L$4*2*Таблица1[[#This Row],[Столбец1]]*Таблица1[[#This Row],[коэф]])),
IF((G619="4/4"),((база!$I$5*2*Таблица1[[#This Row],[Столбец1]]*Таблица1[[#This Row],[коэф]])),
IF(OR(G619="2/4",G619="3/4"),((база!$I$4*2*Таблица1[[#This Row],[Столбец1]]*Таблица1[[#This Row],[коэф]])),
IF((G619="5/8"),((база!$J$6*2*Таблица1[[#This Row],[Столбец1]]*Таблица1[[#This Row],[коэф]])),
IF((G619="4/8"),((база!$J$5*2*Таблица1[[#This Row],[Столбец1]]*Таблица1[[#This Row],[коэф]])),
IF(OR(G619="3/8",G619="2/8"),((база!$J$4*2*Таблица1[[#This Row],[Столбец1]]*Таблица1[[#This Row],[коэф]])))))))))))))),
(IF((G619="5/24"),((база!$M$6*2*Таблица1[[#This Row],[Столбец1]]*Таблица1[[#This Row],[коэф]])),
IF(OR(G619="4/24",G619="3/24"),((база!$M$5*2*Таблица1[[#This Row],[Столбец1]]*Таблица1[[#This Row],[коэф]])),
IF((G619="5/16"),((база!$L$6*2*Таблица1[[#This Row],[Столбец1]]*Таблица1[[#This Row],[коэф]])),
IF(OR(G619="4/16",G619="3/16"),((база!$L$5*2*Таблица1[[#This Row],[Столбец1]]*Таблица1[[#This Row],[коэф]])),
IF(OR(G619="2/4",G619="3/4",G619="4/4"),((база!$I$5*2*Таблица1[[#This Row],[Столбец1]]*Таблица1[[#This Row],[коэф]])),
IF((G619="5/8"),((база!$J$6*2*Таблица1[[#This Row],[Столбец1]]*Таблица1[[#This Row],[коэф]])),
IF(OR(G619="4/8",G619="3/8",G619="2/8"),((база!$J$5*2*Таблица1[[#This Row],[Столбец1]]*Таблица1[[#This Row],[коэф]])))))))))))</f>
        <v>0</v>
      </c>
      <c r="AQ619" s="712" t="str">
        <f>IFERROR(INDEX(база!T:T, MATCH(F619,база!Q:Q,0)),"")</f>
        <v/>
      </c>
      <c r="AR619" s="208" t="str">
        <f>IFERROR(INDEX(база!D:D, MATCH(F619,база!B:B,0)),"")</f>
        <v/>
      </c>
      <c r="AS619" s="758" t="str">
        <f>IFERROR(INDEX(база!E:E, MATCH(F619,база!B:B,0)),"")</f>
        <v/>
      </c>
    </row>
    <row r="620" spans="1:45" s="46" customFormat="1" ht="15">
      <c r="A620" s="66" t="str">
        <f t="shared" si="8"/>
        <v>январь</v>
      </c>
      <c r="B620" s="231">
        <v>2024</v>
      </c>
      <c r="C620" s="299"/>
      <c r="D620" s="61"/>
      <c r="E620" s="211"/>
      <c r="F620" s="680"/>
      <c r="G620" s="47"/>
      <c r="H620" s="563"/>
      <c r="I620" s="563"/>
      <c r="J620" s="563"/>
      <c r="K620" s="563"/>
      <c r="L620" s="563"/>
      <c r="M620" s="563"/>
      <c r="N620" s="563"/>
      <c r="O620" s="563"/>
      <c r="P620" s="300"/>
      <c r="Q620" s="563"/>
      <c r="R620" s="563"/>
      <c r="S620" s="563"/>
      <c r="T620" s="563"/>
      <c r="U620" s="563"/>
      <c r="V620" s="563"/>
      <c r="W620" s="563"/>
      <c r="X620" s="563"/>
      <c r="Y620" s="563"/>
      <c r="Z620" s="563"/>
      <c r="AA620" s="563"/>
      <c r="AB620" s="563"/>
      <c r="AC620" s="563"/>
      <c r="AD620" s="48"/>
      <c r="AE620" s="48"/>
      <c r="AF620" s="258"/>
      <c r="AG620" s="48"/>
      <c r="AH620" s="48"/>
      <c r="AI620" s="48"/>
      <c r="AJ620" s="48"/>
      <c r="AK620" s="48"/>
      <c r="AL620" s="51"/>
      <c r="AM620" s="212">
        <f>IF(AQ620=1,SUM(Q620:T620,W620:Z620,AC620:AF620,AI620:AL620),
IF(AQ620=2,SUM(P620,S620:V620,Y620:AB620,AE620:AH620,AK620:AL620),
IF(AQ620=3,SUM(P620:R620,U620:X620,AA620:AD620,AG620:AJ620),SUM(Таблица1[[#This Row],[1]:[31]])-Таблица1[[#This Row],[Столбец1]])))</f>
        <v>0</v>
      </c>
      <c r="AN620" s="778">
        <f t="array" ref="AN620">IF(AQ620=1,SUM(P620,U620:V620,AA620:AB620,AG620:AH620),
IF(AQ620=2,SUM(Q620:R620,W620:X620,AC620:AD620,AI620:AJ620),
IF(AQ620=3,SUM(S620:T620,Y620:Z620,AE620:AF620,AK620:AL620),
SUM(IFERROR(WEEKDAY($H$2:$AL$2,2)&gt;5,)*H620:AL620))))+Таблица1[[#This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20" s="292" t="b">
        <f>IF(AR620&lt;=3,(IF((G620="5/24"),((база!$M$6*Таблица1[[#This Row],[сумма]]*Таблица1[[#This Row],[коэф]])),
IF((G620="4/24"),((база!$M$5*Таблица1[[#This Row],[сумма]]*Таблица1[[#This Row],[коэф]])),
IF((G620="3/24"),((база!$M$4*Таблица1[[#This Row],[сумма]]*Таблица1[[#This Row],[коэф]])),
IF((G620="5/16"),((база!$L$6*Таблица1[[#This Row],[сумма]]*Таблица1[[#This Row],[коэф]])),
IF((G620="4/16"),((база!$L$5*Таблица1[[#This Row],[сумма]]*Таблица1[[#This Row],[коэф]])),
IF((G620="3/16"),((база!$L$4*Таблица1[[#This Row],[сумма]]*Таблица1[[#This Row],[коэф]])),
IF((G620="4/4"),((база!$I$5*Таблица1[[#This Row],[сумма]]*Таблица1[[#This Row],[коэф]])),
IF(OR(G620="2/4",G620="3/4"),((база!$I$4*Таблица1[[#This Row],[сумма]]*Таблица1[[#This Row],[коэф]])),
IF((G620="5/8"),((база!$J$6*Таблица1[[#This Row],[сумма]]*Таблица1[[#This Row],[коэф]])),
IF((G620="4/8"),((база!$J$5*Таблица1[[#This Row],[сумма]]*Таблица1[[#This Row],[коэф]])),
IF(OR(G620="3/8",G620="2/8"),((база!$J$4*Таблица1[[#This Row],[сумма]]*Таблица1[[#This Row],[коэф]])))))))))))))),
(IF((G620="5/24"),((база!$M$6*Таблица1[[#This Row],[сумма]]*Таблица1[[#This Row],[коэф]])),
IF(OR(G620="4/24",G620="3/24"),((база!$M$5*Таблица1[[#This Row],[сумма]]*Таблица1[[#This Row],[коэф]])),
IF((G620="5/16"),((база!$L$6*Таблица1[[#This Row],[сумма]]*Таблица1[[#This Row],[коэф]])),
IF(OR(G620="4/16",G620="3/16"),((база!$L$5*Таблица1[[#This Row],[сумма]]*Таблица1[[#This Row],[коэф]])),
IF(OR(G620="2/4",G620="3/4",G620="4/4"),((база!$I$5*Таблица1[[#This Row],[сумма]]*Таблица1[[#This Row],[коэф]])),
IF((G620="5/8"),((база!$J$6*Таблица1[[#This Row],[сумма]]*Таблица1[[#This Row],[коэф]])),
IF(OR(G620="4/8",G620="3/8",G620="2/8"),((база!$J$5*Таблица1[[#This Row],[сумма]]*Таблица1[[#This Row],[коэф]])))))))))))</f>
        <v>0</v>
      </c>
      <c r="AP620" s="730" t="b">
        <f>IF(AR620&lt;=3,(IF((G620="5/24"),((база!$M$6*2*Таблица1[[#This Row],[Столбец1]]*Таблица1[[#This Row],[коэф]])),
IF((G620="4/24"),((база!$M$5*2*Таблица1[[#This Row],[Столбец1]]*Таблица1[[#This Row],[коэф]])),
IF((G620="3/24"),((база!$M$4*2*Таблица1[[#This Row],[Столбец1]]*Таблица1[[#This Row],[коэф]])),
IF((G620="5/16"),((база!$L$6*2*Таблица1[[#This Row],[Столбец1]]*Таблица1[[#This Row],[коэф]])),
IF((G620="4/16"),((база!$L$5*2*Таблица1[[#This Row],[Столбец1]]*Таблица1[[#This Row],[коэф]])),
IF((G620="3/16"),((база!$L$4*2*Таблица1[[#This Row],[Столбец1]]*Таблица1[[#This Row],[коэф]])),
IF((G620="4/4"),((база!$I$5*2*Таблица1[[#This Row],[Столбец1]]*Таблица1[[#This Row],[коэф]])),
IF(OR(G620="2/4",G620="3/4"),((база!$I$4*2*Таблица1[[#This Row],[Столбец1]]*Таблица1[[#This Row],[коэф]])),
IF((G620="5/8"),((база!$J$6*2*Таблица1[[#This Row],[Столбец1]]*Таблица1[[#This Row],[коэф]])),
IF((G620="4/8"),((база!$J$5*2*Таблица1[[#This Row],[Столбец1]]*Таблица1[[#This Row],[коэф]])),
IF(OR(G620="3/8",G620="2/8"),((база!$J$4*2*Таблица1[[#This Row],[Столбец1]]*Таблица1[[#This Row],[коэф]])))))))))))))),
(IF((G620="5/24"),((база!$M$6*2*Таблица1[[#This Row],[Столбец1]]*Таблица1[[#This Row],[коэф]])),
IF(OR(G620="4/24",G620="3/24"),((база!$M$5*2*Таблица1[[#This Row],[Столбец1]]*Таблица1[[#This Row],[коэф]])),
IF((G620="5/16"),((база!$L$6*2*Таблица1[[#This Row],[Столбец1]]*Таблица1[[#This Row],[коэф]])),
IF(OR(G620="4/16",G620="3/16"),((база!$L$5*2*Таблица1[[#This Row],[Столбец1]]*Таблица1[[#This Row],[коэф]])),
IF(OR(G620="2/4",G620="3/4",G620="4/4"),((база!$I$5*2*Таблица1[[#This Row],[Столбец1]]*Таблица1[[#This Row],[коэф]])),
IF((G620="5/8"),((база!$J$6*2*Таблица1[[#This Row],[Столбец1]]*Таблица1[[#This Row],[коэф]])),
IF(OR(G620="4/8",G620="3/8",G620="2/8"),((база!$J$5*2*Таблица1[[#This Row],[Столбец1]]*Таблица1[[#This Row],[коэф]])))))))))))</f>
        <v>0</v>
      </c>
      <c r="AQ620" s="712" t="str">
        <f>IFERROR(INDEX(база!T:T, MATCH(F620,база!Q:Q,0)),"")</f>
        <v/>
      </c>
      <c r="AR620" s="208" t="str">
        <f>IFERROR(INDEX(база!D:D, MATCH(F620,база!B:B,0)),"")</f>
        <v/>
      </c>
      <c r="AS620" s="758" t="str">
        <f>IFERROR(INDEX(база!E:E, MATCH(F620,база!B:B,0)),"")</f>
        <v/>
      </c>
    </row>
    <row r="621" spans="1:45" s="46" customFormat="1" ht="15">
      <c r="A621" s="66" t="str">
        <f t="shared" si="8"/>
        <v>январь</v>
      </c>
      <c r="B621" s="231">
        <v>2024</v>
      </c>
      <c r="C621" s="299"/>
      <c r="D621" s="61"/>
      <c r="E621" s="211"/>
      <c r="F621" s="680"/>
      <c r="G621" s="47"/>
      <c r="H621" s="563"/>
      <c r="I621" s="563"/>
      <c r="J621" s="563"/>
      <c r="K621" s="563"/>
      <c r="L621" s="563"/>
      <c r="M621" s="563"/>
      <c r="N621" s="563"/>
      <c r="O621" s="563"/>
      <c r="P621" s="300"/>
      <c r="Q621" s="563"/>
      <c r="R621" s="563"/>
      <c r="S621" s="563"/>
      <c r="T621" s="563"/>
      <c r="U621" s="563"/>
      <c r="V621" s="563"/>
      <c r="W621" s="563"/>
      <c r="X621" s="563"/>
      <c r="Y621" s="563"/>
      <c r="Z621" s="563"/>
      <c r="AA621" s="563"/>
      <c r="AB621" s="563"/>
      <c r="AC621" s="563"/>
      <c r="AD621" s="48"/>
      <c r="AE621" s="48"/>
      <c r="AF621" s="258"/>
      <c r="AG621" s="48"/>
      <c r="AH621" s="48"/>
      <c r="AI621" s="258"/>
      <c r="AJ621" s="258"/>
      <c r="AK621" s="258"/>
      <c r="AL621" s="258"/>
      <c r="AM621" s="212">
        <f>IF(AQ621=1,SUM(Q621:T621,W621:Z621,AC621:AF621,AI621:AL621),
IF(AQ621=2,SUM(P621,S621:V621,Y621:AB621,AE621:AH621,AK621:AL621),
IF(AQ621=3,SUM(P621:R621,U621:X621,AA621:AD621,AG621:AJ621),SUM(Таблица1[[#This Row],[1]:[31]])-Таблица1[[#This Row],[Столбец1]])))</f>
        <v>0</v>
      </c>
      <c r="AN621" s="778">
        <f t="array" ref="AN621">IF(AQ621=1,SUM(P621,U621:V621,AA621:AB621,AG621:AH621),
IF(AQ621=2,SUM(Q621:R621,W621:X621,AC621:AD621,AI621:AJ621),
IF(AQ621=3,SUM(S621:T621,Y621:Z621,AE621:AF621,AK621:AL621),
SUM(IFERROR(WEEKDAY($H$2:$AL$2,2)&gt;5,)*H621:AL621))))+Таблица1[[#This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21" s="292" t="b">
        <f>IF(AR621&lt;=3,(IF((G621="5/24"),((база!$M$6*Таблица1[[#This Row],[сумма]]*Таблица1[[#This Row],[коэф]])),
IF((G621="4/24"),((база!$M$5*Таблица1[[#This Row],[сумма]]*Таблица1[[#This Row],[коэф]])),
IF((G621="3/24"),((база!$M$4*Таблица1[[#This Row],[сумма]]*Таблица1[[#This Row],[коэф]])),
IF((G621="5/16"),((база!$L$6*Таблица1[[#This Row],[сумма]]*Таблица1[[#This Row],[коэф]])),
IF((G621="4/16"),((база!$L$5*Таблица1[[#This Row],[сумма]]*Таблица1[[#This Row],[коэф]])),
IF((G621="3/16"),((база!$L$4*Таблица1[[#This Row],[сумма]]*Таблица1[[#This Row],[коэф]])),
IF((G621="4/4"),((база!$I$5*Таблица1[[#This Row],[сумма]]*Таблица1[[#This Row],[коэф]])),
IF(OR(G621="2/4",G621="3/4"),((база!$I$4*Таблица1[[#This Row],[сумма]]*Таблица1[[#This Row],[коэф]])),
IF((G621="5/8"),((база!$J$6*Таблица1[[#This Row],[сумма]]*Таблица1[[#This Row],[коэф]])),
IF((G621="4/8"),((база!$J$5*Таблица1[[#This Row],[сумма]]*Таблица1[[#This Row],[коэф]])),
IF(OR(G621="3/8",G621="2/8"),((база!$J$4*Таблица1[[#This Row],[сумма]]*Таблица1[[#This Row],[коэф]])))))))))))))),
(IF((G621="5/24"),((база!$M$6*Таблица1[[#This Row],[сумма]]*Таблица1[[#This Row],[коэф]])),
IF(OR(G621="4/24",G621="3/24"),((база!$M$5*Таблица1[[#This Row],[сумма]]*Таблица1[[#This Row],[коэф]])),
IF((G621="5/16"),((база!$L$6*Таблица1[[#This Row],[сумма]]*Таблица1[[#This Row],[коэф]])),
IF(OR(G621="4/16",G621="3/16"),((база!$L$5*Таблица1[[#This Row],[сумма]]*Таблица1[[#This Row],[коэф]])),
IF(OR(G621="2/4",G621="3/4",G621="4/4"),((база!$I$5*Таблица1[[#This Row],[сумма]]*Таблица1[[#This Row],[коэф]])),
IF((G621="5/8"),((база!$J$6*Таблица1[[#This Row],[сумма]]*Таблица1[[#This Row],[коэф]])),
IF(OR(G621="4/8",G621="3/8",G621="2/8"),((база!$J$5*Таблица1[[#This Row],[сумма]]*Таблица1[[#This Row],[коэф]])))))))))))</f>
        <v>0</v>
      </c>
      <c r="AP621" s="730" t="b">
        <f>IF(AR621&lt;=3,(IF((G621="5/24"),((база!$M$6*2*Таблица1[[#This Row],[Столбец1]]*Таблица1[[#This Row],[коэф]])),
IF((G621="4/24"),((база!$M$5*2*Таблица1[[#This Row],[Столбец1]]*Таблица1[[#This Row],[коэф]])),
IF((G621="3/24"),((база!$M$4*2*Таблица1[[#This Row],[Столбец1]]*Таблица1[[#This Row],[коэф]])),
IF((G621="5/16"),((база!$L$6*2*Таблица1[[#This Row],[Столбец1]]*Таблица1[[#This Row],[коэф]])),
IF((G621="4/16"),((база!$L$5*2*Таблица1[[#This Row],[Столбец1]]*Таблица1[[#This Row],[коэф]])),
IF((G621="3/16"),((база!$L$4*2*Таблица1[[#This Row],[Столбец1]]*Таблица1[[#This Row],[коэф]])),
IF((G621="4/4"),((база!$I$5*2*Таблица1[[#This Row],[Столбец1]]*Таблица1[[#This Row],[коэф]])),
IF(OR(G621="2/4",G621="3/4"),((база!$I$4*2*Таблица1[[#This Row],[Столбец1]]*Таблица1[[#This Row],[коэф]])),
IF((G621="5/8"),((база!$J$6*2*Таблица1[[#This Row],[Столбец1]]*Таблица1[[#This Row],[коэф]])),
IF((G621="4/8"),((база!$J$5*2*Таблица1[[#This Row],[Столбец1]]*Таблица1[[#This Row],[коэф]])),
IF(OR(G621="3/8",G621="2/8"),((база!$J$4*2*Таблица1[[#This Row],[Столбец1]]*Таблица1[[#This Row],[коэф]])))))))))))))),
(IF((G621="5/24"),((база!$M$6*2*Таблица1[[#This Row],[Столбец1]]*Таблица1[[#This Row],[коэф]])),
IF(OR(G621="4/24",G621="3/24"),((база!$M$5*2*Таблица1[[#This Row],[Столбец1]]*Таблица1[[#This Row],[коэф]])),
IF((G621="5/16"),((база!$L$6*2*Таблица1[[#This Row],[Столбец1]]*Таблица1[[#This Row],[коэф]])),
IF(OR(G621="4/16",G621="3/16"),((база!$L$5*2*Таблица1[[#This Row],[Столбец1]]*Таблица1[[#This Row],[коэф]])),
IF(OR(G621="2/4",G621="3/4",G621="4/4"),((база!$I$5*2*Таблица1[[#This Row],[Столбец1]]*Таблица1[[#This Row],[коэф]])),
IF((G621="5/8"),((база!$J$6*2*Таблица1[[#This Row],[Столбец1]]*Таблица1[[#This Row],[коэф]])),
IF(OR(G621="4/8",G621="3/8",G621="2/8"),((база!$J$5*2*Таблица1[[#This Row],[Столбец1]]*Таблица1[[#This Row],[коэф]])))))))))))</f>
        <v>0</v>
      </c>
      <c r="AQ621" s="712" t="str">
        <f>IFERROR(INDEX(база!T:T, MATCH(F621,база!Q:Q,0)),"")</f>
        <v/>
      </c>
      <c r="AR621" s="208" t="str">
        <f>IFERROR(INDEX(база!D:D, MATCH(F621,база!B:B,0)),"")</f>
        <v/>
      </c>
      <c r="AS621" s="758" t="str">
        <f>IFERROR(INDEX(база!E:E, MATCH(F621,база!B:B,0)),"")</f>
        <v/>
      </c>
    </row>
    <row r="622" spans="1:45" s="46" customFormat="1" ht="15">
      <c r="A622" s="66" t="str">
        <f t="shared" si="8"/>
        <v>январь</v>
      </c>
      <c r="B622" s="231">
        <v>2024</v>
      </c>
      <c r="C622" s="299"/>
      <c r="D622" s="61"/>
      <c r="E622" s="211"/>
      <c r="F622" s="680"/>
      <c r="G622" s="47"/>
      <c r="H622" s="563"/>
      <c r="I622" s="563"/>
      <c r="J622" s="563"/>
      <c r="K622" s="563"/>
      <c r="L622" s="563"/>
      <c r="M622" s="563"/>
      <c r="N622" s="563"/>
      <c r="O622" s="563"/>
      <c r="P622" s="300"/>
      <c r="Q622" s="563"/>
      <c r="R622" s="563"/>
      <c r="S622" s="563"/>
      <c r="T622" s="563"/>
      <c r="U622" s="563"/>
      <c r="V622" s="563"/>
      <c r="W622" s="563"/>
      <c r="X622" s="563"/>
      <c r="Y622" s="563"/>
      <c r="Z622" s="563"/>
      <c r="AA622" s="563"/>
      <c r="AB622" s="563"/>
      <c r="AC622" s="563"/>
      <c r="AD622" s="48"/>
      <c r="AE622" s="48"/>
      <c r="AF622" s="258"/>
      <c r="AG622" s="48"/>
      <c r="AH622" s="48"/>
      <c r="AI622" s="48"/>
      <c r="AJ622" s="48"/>
      <c r="AK622" s="48"/>
      <c r="AL622" s="51"/>
      <c r="AM622" s="212">
        <f>IF(AQ622=1,SUM(Q622:T622,W622:Z622,AC622:AF622,AI622:AL622),
IF(AQ622=2,SUM(P622,S622:V622,Y622:AB622,AE622:AH622,AK622:AL622),
IF(AQ622=3,SUM(P622:R622,U622:X622,AA622:AD622,AG622:AJ622),SUM(Таблица1[[#This Row],[1]:[31]])-Таблица1[[#This Row],[Столбец1]])))</f>
        <v>0</v>
      </c>
      <c r="AN622" s="778">
        <f t="array" ref="AN622">IF(AQ622=1,SUM(P622,U622:V622,AA622:AB622,AG622:AH622),
IF(AQ622=2,SUM(Q622:R622,W622:X622,AC622:AD622,AI622:AJ622),
IF(AQ622=3,SUM(S622:T622,Y622:Z622,AE622:AF622,AK622:AL622),
SUM(IFERROR(WEEKDAY($H$2:$AL$2,2)&gt;5,)*H622:AL622))))+Таблица1[[#This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22" s="292" t="b">
        <f>IF(AR622&lt;=3,(IF((G622="5/24"),((база!$M$6*Таблица1[[#This Row],[сумма]]*Таблица1[[#This Row],[коэф]])),
IF((G622="4/24"),((база!$M$5*Таблица1[[#This Row],[сумма]]*Таблица1[[#This Row],[коэф]])),
IF((G622="3/24"),((база!$M$4*Таблица1[[#This Row],[сумма]]*Таблица1[[#This Row],[коэф]])),
IF((G622="5/16"),((база!$L$6*Таблица1[[#This Row],[сумма]]*Таблица1[[#This Row],[коэф]])),
IF((G622="4/16"),((база!$L$5*Таблица1[[#This Row],[сумма]]*Таблица1[[#This Row],[коэф]])),
IF((G622="3/16"),((база!$L$4*Таблица1[[#This Row],[сумма]]*Таблица1[[#This Row],[коэф]])),
IF((G622="4/4"),((база!$I$5*Таблица1[[#This Row],[сумма]]*Таблица1[[#This Row],[коэф]])),
IF(OR(G622="2/4",G622="3/4"),((база!$I$4*Таблица1[[#This Row],[сумма]]*Таблица1[[#This Row],[коэф]])),
IF((G622="5/8"),((база!$J$6*Таблица1[[#This Row],[сумма]]*Таблица1[[#This Row],[коэф]])),
IF((G622="4/8"),((база!$J$5*Таблица1[[#This Row],[сумма]]*Таблица1[[#This Row],[коэф]])),
IF(OR(G622="3/8",G622="2/8"),((база!$J$4*Таблица1[[#This Row],[сумма]]*Таблица1[[#This Row],[коэф]])))))))))))))),
(IF((G622="5/24"),((база!$M$6*Таблица1[[#This Row],[сумма]]*Таблица1[[#This Row],[коэф]])),
IF(OR(G622="4/24",G622="3/24"),((база!$M$5*Таблица1[[#This Row],[сумма]]*Таблица1[[#This Row],[коэф]])),
IF((G622="5/16"),((база!$L$6*Таблица1[[#This Row],[сумма]]*Таблица1[[#This Row],[коэф]])),
IF(OR(G622="4/16",G622="3/16"),((база!$L$5*Таблица1[[#This Row],[сумма]]*Таблица1[[#This Row],[коэф]])),
IF(OR(G622="2/4",G622="3/4",G622="4/4"),((база!$I$5*Таблица1[[#This Row],[сумма]]*Таблица1[[#This Row],[коэф]])),
IF((G622="5/8"),((база!$J$6*Таблица1[[#This Row],[сумма]]*Таблица1[[#This Row],[коэф]])),
IF(OR(G622="4/8",G622="3/8",G622="2/8"),((база!$J$5*Таблица1[[#This Row],[сумма]]*Таблица1[[#This Row],[коэф]])))))))))))</f>
        <v>0</v>
      </c>
      <c r="AP622" s="730" t="b">
        <f>IF(AR622&lt;=3,(IF((G622="5/24"),((база!$M$6*2*Таблица1[[#This Row],[Столбец1]]*Таблица1[[#This Row],[коэф]])),
IF((G622="4/24"),((база!$M$5*2*Таблица1[[#This Row],[Столбец1]]*Таблица1[[#This Row],[коэф]])),
IF((G622="3/24"),((база!$M$4*2*Таблица1[[#This Row],[Столбец1]]*Таблица1[[#This Row],[коэф]])),
IF((G622="5/16"),((база!$L$6*2*Таблица1[[#This Row],[Столбец1]]*Таблица1[[#This Row],[коэф]])),
IF((G622="4/16"),((база!$L$5*2*Таблица1[[#This Row],[Столбец1]]*Таблица1[[#This Row],[коэф]])),
IF((G622="3/16"),((база!$L$4*2*Таблица1[[#This Row],[Столбец1]]*Таблица1[[#This Row],[коэф]])),
IF((G622="4/4"),((база!$I$5*2*Таблица1[[#This Row],[Столбец1]]*Таблица1[[#This Row],[коэф]])),
IF(OR(G622="2/4",G622="3/4"),((база!$I$4*2*Таблица1[[#This Row],[Столбец1]]*Таблица1[[#This Row],[коэф]])),
IF((G622="5/8"),((база!$J$6*2*Таблица1[[#This Row],[Столбец1]]*Таблица1[[#This Row],[коэф]])),
IF((G622="4/8"),((база!$J$5*2*Таблица1[[#This Row],[Столбец1]]*Таблица1[[#This Row],[коэф]])),
IF(OR(G622="3/8",G622="2/8"),((база!$J$4*2*Таблица1[[#This Row],[Столбец1]]*Таблица1[[#This Row],[коэф]])))))))))))))),
(IF((G622="5/24"),((база!$M$6*2*Таблица1[[#This Row],[Столбец1]]*Таблица1[[#This Row],[коэф]])),
IF(OR(G622="4/24",G622="3/24"),((база!$M$5*2*Таблица1[[#This Row],[Столбец1]]*Таблица1[[#This Row],[коэф]])),
IF((G622="5/16"),((база!$L$6*2*Таблица1[[#This Row],[Столбец1]]*Таблица1[[#This Row],[коэф]])),
IF(OR(G622="4/16",G622="3/16"),((база!$L$5*2*Таблица1[[#This Row],[Столбец1]]*Таблица1[[#This Row],[коэф]])),
IF(OR(G622="2/4",G622="3/4",G622="4/4"),((база!$I$5*2*Таблица1[[#This Row],[Столбец1]]*Таблица1[[#This Row],[коэф]])),
IF((G622="5/8"),((база!$J$6*2*Таблица1[[#This Row],[Столбец1]]*Таблица1[[#This Row],[коэф]])),
IF(OR(G622="4/8",G622="3/8",G622="2/8"),((база!$J$5*2*Таблица1[[#This Row],[Столбец1]]*Таблица1[[#This Row],[коэф]])))))))))))</f>
        <v>0</v>
      </c>
      <c r="AQ622" s="712" t="str">
        <f>IFERROR(INDEX(база!T:T, MATCH(F622,база!Q:Q,0)),"")</f>
        <v/>
      </c>
      <c r="AR622" s="208" t="str">
        <f>IFERROR(INDEX(база!D:D, MATCH(F622,база!B:B,0)),"")</f>
        <v/>
      </c>
      <c r="AS622" s="758" t="str">
        <f>IFERROR(INDEX(база!E:E, MATCH(F622,база!B:B,0)),"")</f>
        <v/>
      </c>
    </row>
    <row r="623" spans="1:45" s="46" customFormat="1" ht="15">
      <c r="A623" s="66" t="str">
        <f t="shared" si="8"/>
        <v>январь</v>
      </c>
      <c r="B623" s="231">
        <v>2024</v>
      </c>
      <c r="C623" s="60"/>
      <c r="D623" s="61"/>
      <c r="E623" s="211"/>
      <c r="F623" s="680"/>
      <c r="G623" s="47"/>
      <c r="H623" s="563"/>
      <c r="I623" s="563"/>
      <c r="J623" s="563"/>
      <c r="K623" s="563"/>
      <c r="L623" s="563"/>
      <c r="M623" s="563"/>
      <c r="N623" s="563"/>
      <c r="O623" s="563"/>
      <c r="P623" s="300"/>
      <c r="Q623" s="563"/>
      <c r="R623" s="563"/>
      <c r="S623" s="563"/>
      <c r="T623" s="563"/>
      <c r="U623" s="563"/>
      <c r="V623" s="563"/>
      <c r="W623" s="563"/>
      <c r="X623" s="563"/>
      <c r="Y623" s="563"/>
      <c r="Z623" s="563"/>
      <c r="AA623" s="563"/>
      <c r="AB623" s="563"/>
      <c r="AC623" s="563"/>
      <c r="AD623" s="48"/>
      <c r="AE623" s="48"/>
      <c r="AF623" s="258"/>
      <c r="AG623" s="48"/>
      <c r="AH623" s="48"/>
      <c r="AI623" s="258"/>
      <c r="AJ623" s="258"/>
      <c r="AK623" s="258"/>
      <c r="AL623" s="258"/>
      <c r="AM623" s="212">
        <f>IF(AQ623=1,SUM(Q623:T623,W623:Z623,AC623:AF623,AI623:AL623),
IF(AQ623=2,SUM(P623,S623:V623,Y623:AB623,AE623:AH623,AK623:AL623),
IF(AQ623=3,SUM(P623:R623,U623:X623,AA623:AD623,AG623:AJ623),SUM(Таблица1[[#This Row],[1]:[31]])-Таблица1[[#This Row],[Столбец1]])))</f>
        <v>0</v>
      </c>
      <c r="AN623" s="778">
        <f t="array" ref="AN623">IF(AQ623=1,SUM(P623,U623:V623,AA623:AB623,AG623:AH623),
IF(AQ623=2,SUM(Q623:R623,W623:X623,AC623:AD623,AI623:AJ623),
IF(AQ623=3,SUM(S623:T623,Y623:Z623,AE623:AF623,AK623:AL623),
SUM(IFERROR(WEEKDAY($H$2:$AL$2,2)&gt;5,)*H623:AL623))))+Таблица1[[#This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23" s="292" t="b">
        <f>IF(AR623&lt;=3,(IF((G623="5/24"),((база!$M$6*Таблица1[[#This Row],[сумма]]*Таблица1[[#This Row],[коэф]])),
IF((G623="4/24"),((база!$M$5*Таблица1[[#This Row],[сумма]]*Таблица1[[#This Row],[коэф]])),
IF((G623="3/24"),((база!$M$4*Таблица1[[#This Row],[сумма]]*Таблица1[[#This Row],[коэф]])),
IF((G623="5/16"),((база!$L$6*Таблица1[[#This Row],[сумма]]*Таблица1[[#This Row],[коэф]])),
IF((G623="4/16"),((база!$L$5*Таблица1[[#This Row],[сумма]]*Таблица1[[#This Row],[коэф]])),
IF((G623="3/16"),((база!$L$4*Таблица1[[#This Row],[сумма]]*Таблица1[[#This Row],[коэф]])),
IF((G623="4/4"),((база!$I$5*Таблица1[[#This Row],[сумма]]*Таблица1[[#This Row],[коэф]])),
IF(OR(G623="2/4",G623="3/4"),((база!$I$4*Таблица1[[#This Row],[сумма]]*Таблица1[[#This Row],[коэф]])),
IF((G623="5/8"),((база!$J$6*Таблица1[[#This Row],[сумма]]*Таблица1[[#This Row],[коэф]])),
IF((G623="4/8"),((база!$J$5*Таблица1[[#This Row],[сумма]]*Таблица1[[#This Row],[коэф]])),
IF(OR(G623="3/8",G623="2/8"),((база!$J$4*Таблица1[[#This Row],[сумма]]*Таблица1[[#This Row],[коэф]])))))))))))))),
(IF((G623="5/24"),((база!$M$6*Таблица1[[#This Row],[сумма]]*Таблица1[[#This Row],[коэф]])),
IF(OR(G623="4/24",G623="3/24"),((база!$M$5*Таблица1[[#This Row],[сумма]]*Таблица1[[#This Row],[коэф]])),
IF((G623="5/16"),((база!$L$6*Таблица1[[#This Row],[сумма]]*Таблица1[[#This Row],[коэф]])),
IF(OR(G623="4/16",G623="3/16"),((база!$L$5*Таблица1[[#This Row],[сумма]]*Таблица1[[#This Row],[коэф]])),
IF(OR(G623="2/4",G623="3/4",G623="4/4"),((база!$I$5*Таблица1[[#This Row],[сумма]]*Таблица1[[#This Row],[коэф]])),
IF((G623="5/8"),((база!$J$6*Таблица1[[#This Row],[сумма]]*Таблица1[[#This Row],[коэф]])),
IF(OR(G623="4/8",G623="3/8",G623="2/8"),((база!$J$5*Таблица1[[#This Row],[сумма]]*Таблица1[[#This Row],[коэф]])))))))))))</f>
        <v>0</v>
      </c>
      <c r="AP623" s="730" t="b">
        <f>IF(AR623&lt;=3,(IF((G623="5/24"),((база!$M$6*2*Таблица1[[#This Row],[Столбец1]]*Таблица1[[#This Row],[коэф]])),
IF((G623="4/24"),((база!$M$5*2*Таблица1[[#This Row],[Столбец1]]*Таблица1[[#This Row],[коэф]])),
IF((G623="3/24"),((база!$M$4*2*Таблица1[[#This Row],[Столбец1]]*Таблица1[[#This Row],[коэф]])),
IF((G623="5/16"),((база!$L$6*2*Таблица1[[#This Row],[Столбец1]]*Таблица1[[#This Row],[коэф]])),
IF((G623="4/16"),((база!$L$5*2*Таблица1[[#This Row],[Столбец1]]*Таблица1[[#This Row],[коэф]])),
IF((G623="3/16"),((база!$L$4*2*Таблица1[[#This Row],[Столбец1]]*Таблица1[[#This Row],[коэф]])),
IF((G623="4/4"),((база!$I$5*2*Таблица1[[#This Row],[Столбец1]]*Таблица1[[#This Row],[коэф]])),
IF(OR(G623="2/4",G623="3/4"),((база!$I$4*2*Таблица1[[#This Row],[Столбец1]]*Таблица1[[#This Row],[коэф]])),
IF((G623="5/8"),((база!$J$6*2*Таблица1[[#This Row],[Столбец1]]*Таблица1[[#This Row],[коэф]])),
IF((G623="4/8"),((база!$J$5*2*Таблица1[[#This Row],[Столбец1]]*Таблица1[[#This Row],[коэф]])),
IF(OR(G623="3/8",G623="2/8"),((база!$J$4*2*Таблица1[[#This Row],[Столбец1]]*Таблица1[[#This Row],[коэф]])))))))))))))),
(IF((G623="5/24"),((база!$M$6*2*Таблица1[[#This Row],[Столбец1]]*Таблица1[[#This Row],[коэф]])),
IF(OR(G623="4/24",G623="3/24"),((база!$M$5*2*Таблица1[[#This Row],[Столбец1]]*Таблица1[[#This Row],[коэф]])),
IF((G623="5/16"),((база!$L$6*2*Таблица1[[#This Row],[Столбец1]]*Таблица1[[#This Row],[коэф]])),
IF(OR(G623="4/16",G623="3/16"),((база!$L$5*2*Таблица1[[#This Row],[Столбец1]]*Таблица1[[#This Row],[коэф]])),
IF(OR(G623="2/4",G623="3/4",G623="4/4"),((база!$I$5*2*Таблица1[[#This Row],[Столбец1]]*Таблица1[[#This Row],[коэф]])),
IF((G623="5/8"),((база!$J$6*2*Таблица1[[#This Row],[Столбец1]]*Таблица1[[#This Row],[коэф]])),
IF(OR(G623="4/8",G623="3/8",G623="2/8"),((база!$J$5*2*Таблица1[[#This Row],[Столбец1]]*Таблица1[[#This Row],[коэф]])))))))))))</f>
        <v>0</v>
      </c>
      <c r="AQ623" s="712" t="str">
        <f>IFERROR(INDEX(база!T:T, MATCH(F623,база!Q:Q,0)),"")</f>
        <v/>
      </c>
      <c r="AR623" s="208" t="str">
        <f>IFERROR(INDEX(база!D:D, MATCH(F623,база!B:B,0)),"")</f>
        <v/>
      </c>
      <c r="AS623" s="758" t="str">
        <f>IFERROR(INDEX(база!E:E, MATCH(F623,база!B:B,0)),"")</f>
        <v/>
      </c>
    </row>
    <row r="624" spans="1:45" s="46" customFormat="1" ht="15">
      <c r="A624" s="66" t="str">
        <f t="shared" si="8"/>
        <v>январь</v>
      </c>
      <c r="B624" s="231">
        <v>2024</v>
      </c>
      <c r="C624" s="299"/>
      <c r="D624" s="61"/>
      <c r="E624" s="211"/>
      <c r="F624" s="680"/>
      <c r="G624" s="47"/>
      <c r="H624" s="563"/>
      <c r="I624" s="563"/>
      <c r="J624" s="563"/>
      <c r="K624" s="563"/>
      <c r="L624" s="563"/>
      <c r="M624" s="563"/>
      <c r="N624" s="563"/>
      <c r="O624" s="563"/>
      <c r="P624" s="300"/>
      <c r="Q624" s="563"/>
      <c r="R624" s="563"/>
      <c r="S624" s="563"/>
      <c r="T624" s="563"/>
      <c r="U624" s="563"/>
      <c r="V624" s="563"/>
      <c r="W624" s="563"/>
      <c r="X624" s="563"/>
      <c r="Y624" s="563"/>
      <c r="Z624" s="563"/>
      <c r="AA624" s="563"/>
      <c r="AB624" s="563"/>
      <c r="AC624" s="563"/>
      <c r="AD624" s="48"/>
      <c r="AE624" s="48"/>
      <c r="AF624" s="258"/>
      <c r="AG624" s="48"/>
      <c r="AH624" s="48"/>
      <c r="AI624" s="48"/>
      <c r="AJ624" s="48"/>
      <c r="AK624" s="48"/>
      <c r="AL624" s="51"/>
      <c r="AM624" s="212">
        <f>IF(AQ624=1,SUM(Q624:T624,W624:Z624,AC624:AF624,AI624:AL624),
IF(AQ624=2,SUM(P624,S624:V624,Y624:AB624,AE624:AH624,AK624:AL624),
IF(AQ624=3,SUM(P624:R624,U624:X624,AA624:AD624,AG624:AJ624),SUM(Таблица1[[#This Row],[1]:[31]])-Таблица1[[#This Row],[Столбец1]])))</f>
        <v>0</v>
      </c>
      <c r="AN624" s="778">
        <f t="array" ref="AN624">IF(AQ624=1,SUM(P624,U624:V624,AA624:AB624,AG624:AH624),
IF(AQ624=2,SUM(Q624:R624,W624:X624,AC624:AD624,AI624:AJ624),
IF(AQ624=3,SUM(S624:T624,Y624:Z624,AE624:AF624,AK624:AL624),
SUM(IFERROR(WEEKDAY($H$2:$AL$2,2)&gt;5,)*H624:AL624))))+Таблица1[[#This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24" s="292" t="b">
        <f>IF(AR624&lt;=3,(IF((G624="5/24"),((база!$M$6*Таблица1[[#This Row],[сумма]]*Таблица1[[#This Row],[коэф]])),
IF((G624="4/24"),((база!$M$5*Таблица1[[#This Row],[сумма]]*Таблица1[[#This Row],[коэф]])),
IF((G624="3/24"),((база!$M$4*Таблица1[[#This Row],[сумма]]*Таблица1[[#This Row],[коэф]])),
IF((G624="5/16"),((база!$L$6*Таблица1[[#This Row],[сумма]]*Таблица1[[#This Row],[коэф]])),
IF((G624="4/16"),((база!$L$5*Таблица1[[#This Row],[сумма]]*Таблица1[[#This Row],[коэф]])),
IF((G624="3/16"),((база!$L$4*Таблица1[[#This Row],[сумма]]*Таблица1[[#This Row],[коэф]])),
IF((G624="4/4"),((база!$I$5*Таблица1[[#This Row],[сумма]]*Таблица1[[#This Row],[коэф]])),
IF(OR(G624="2/4",G624="3/4"),((база!$I$4*Таблица1[[#This Row],[сумма]]*Таблица1[[#This Row],[коэф]])),
IF((G624="5/8"),((база!$J$6*Таблица1[[#This Row],[сумма]]*Таблица1[[#This Row],[коэф]])),
IF((G624="4/8"),((база!$J$5*Таблица1[[#This Row],[сумма]]*Таблица1[[#This Row],[коэф]])),
IF(OR(G624="3/8",G624="2/8"),((база!$J$4*Таблица1[[#This Row],[сумма]]*Таблица1[[#This Row],[коэф]])))))))))))))),
(IF((G624="5/24"),((база!$M$6*Таблица1[[#This Row],[сумма]]*Таблица1[[#This Row],[коэф]])),
IF(OR(G624="4/24",G624="3/24"),((база!$M$5*Таблица1[[#This Row],[сумма]]*Таблица1[[#This Row],[коэф]])),
IF((G624="5/16"),((база!$L$6*Таблица1[[#This Row],[сумма]]*Таблица1[[#This Row],[коэф]])),
IF(OR(G624="4/16",G624="3/16"),((база!$L$5*Таблица1[[#This Row],[сумма]]*Таблица1[[#This Row],[коэф]])),
IF(OR(G624="2/4",G624="3/4",G624="4/4"),((база!$I$5*Таблица1[[#This Row],[сумма]]*Таблица1[[#This Row],[коэф]])),
IF((G624="5/8"),((база!$J$6*Таблица1[[#This Row],[сумма]]*Таблица1[[#This Row],[коэф]])),
IF(OR(G624="4/8",G624="3/8",G624="2/8"),((база!$J$5*Таблица1[[#This Row],[сумма]]*Таблица1[[#This Row],[коэф]])))))))))))</f>
        <v>0</v>
      </c>
      <c r="AP624" s="730" t="b">
        <f>IF(AR624&lt;=3,(IF((G624="5/24"),((база!$M$6*2*Таблица1[[#This Row],[Столбец1]]*Таблица1[[#This Row],[коэф]])),
IF((G624="4/24"),((база!$M$5*2*Таблица1[[#This Row],[Столбец1]]*Таблица1[[#This Row],[коэф]])),
IF((G624="3/24"),((база!$M$4*2*Таблица1[[#This Row],[Столбец1]]*Таблица1[[#This Row],[коэф]])),
IF((G624="5/16"),((база!$L$6*2*Таблица1[[#This Row],[Столбец1]]*Таблица1[[#This Row],[коэф]])),
IF((G624="4/16"),((база!$L$5*2*Таблица1[[#This Row],[Столбец1]]*Таблица1[[#This Row],[коэф]])),
IF((G624="3/16"),((база!$L$4*2*Таблица1[[#This Row],[Столбец1]]*Таблица1[[#This Row],[коэф]])),
IF((G624="4/4"),((база!$I$5*2*Таблица1[[#This Row],[Столбец1]]*Таблица1[[#This Row],[коэф]])),
IF(OR(G624="2/4",G624="3/4"),((база!$I$4*2*Таблица1[[#This Row],[Столбец1]]*Таблица1[[#This Row],[коэф]])),
IF((G624="5/8"),((база!$J$6*2*Таблица1[[#This Row],[Столбец1]]*Таблица1[[#This Row],[коэф]])),
IF((G624="4/8"),((база!$J$5*2*Таблица1[[#This Row],[Столбец1]]*Таблица1[[#This Row],[коэф]])),
IF(OR(G624="3/8",G624="2/8"),((база!$J$4*2*Таблица1[[#This Row],[Столбец1]]*Таблица1[[#This Row],[коэф]])))))))))))))),
(IF((G624="5/24"),((база!$M$6*2*Таблица1[[#This Row],[Столбец1]]*Таблица1[[#This Row],[коэф]])),
IF(OR(G624="4/24",G624="3/24"),((база!$M$5*2*Таблица1[[#This Row],[Столбец1]]*Таблица1[[#This Row],[коэф]])),
IF((G624="5/16"),((база!$L$6*2*Таблица1[[#This Row],[Столбец1]]*Таблица1[[#This Row],[коэф]])),
IF(OR(G624="4/16",G624="3/16"),((база!$L$5*2*Таблица1[[#This Row],[Столбец1]]*Таблица1[[#This Row],[коэф]])),
IF(OR(G624="2/4",G624="3/4",G624="4/4"),((база!$I$5*2*Таблица1[[#This Row],[Столбец1]]*Таблица1[[#This Row],[коэф]])),
IF((G624="5/8"),((база!$J$6*2*Таблица1[[#This Row],[Столбец1]]*Таблица1[[#This Row],[коэф]])),
IF(OR(G624="4/8",G624="3/8",G624="2/8"),((база!$J$5*2*Таблица1[[#This Row],[Столбец1]]*Таблица1[[#This Row],[коэф]])))))))))))</f>
        <v>0</v>
      </c>
      <c r="AQ624" s="712" t="str">
        <f>IFERROR(INDEX(база!T:T, MATCH(F624,база!Q:Q,0)),"")</f>
        <v/>
      </c>
      <c r="AR624" s="208" t="str">
        <f>IFERROR(INDEX(база!D:D, MATCH(F624,база!B:B,0)),"")</f>
        <v/>
      </c>
      <c r="AS624" s="758" t="str">
        <f>IFERROR(INDEX(база!E:E, MATCH(F624,база!B:B,0)),"")</f>
        <v/>
      </c>
    </row>
    <row r="625" spans="1:45" s="46" customFormat="1" ht="15">
      <c r="A625" s="66" t="str">
        <f t="shared" si="8"/>
        <v>январь</v>
      </c>
      <c r="B625" s="231">
        <v>2024</v>
      </c>
      <c r="C625" s="299"/>
      <c r="D625" s="61"/>
      <c r="E625" s="211"/>
      <c r="F625" s="680"/>
      <c r="G625" s="47"/>
      <c r="H625" s="563"/>
      <c r="I625" s="563"/>
      <c r="J625" s="563"/>
      <c r="K625" s="563"/>
      <c r="L625" s="563"/>
      <c r="M625" s="563"/>
      <c r="N625" s="563"/>
      <c r="O625" s="563"/>
      <c r="P625" s="300"/>
      <c r="Q625" s="563"/>
      <c r="R625" s="563"/>
      <c r="S625" s="563"/>
      <c r="T625" s="563"/>
      <c r="U625" s="563"/>
      <c r="V625" s="563"/>
      <c r="W625" s="563"/>
      <c r="X625" s="563"/>
      <c r="Y625" s="563"/>
      <c r="Z625" s="563"/>
      <c r="AA625" s="563"/>
      <c r="AB625" s="563"/>
      <c r="AC625" s="563"/>
      <c r="AD625" s="48"/>
      <c r="AE625" s="48"/>
      <c r="AF625" s="258"/>
      <c r="AG625" s="48"/>
      <c r="AH625" s="48"/>
      <c r="AI625" s="258"/>
      <c r="AJ625" s="258"/>
      <c r="AK625" s="258"/>
      <c r="AL625" s="258"/>
      <c r="AM625" s="212">
        <f>IF(AQ625=1,SUM(Q625:T625,W625:Z625,AC625:AF625,AI625:AL625),
IF(AQ625=2,SUM(P625,S625:V625,Y625:AB625,AE625:AH625,AK625:AL625),
IF(AQ625=3,SUM(P625:R625,U625:X625,AA625:AD625,AG625:AJ625),SUM(Таблица1[[#This Row],[1]:[31]])-Таблица1[[#This Row],[Столбец1]])))</f>
        <v>0</v>
      </c>
      <c r="AN625" s="778">
        <f t="array" ref="AN625">IF(AQ625=1,SUM(P625,U625:V625,AA625:AB625,AG625:AH625),
IF(AQ625=2,SUM(Q625:R625,W625:X625,AC625:AD625,AI625:AJ625),
IF(AQ625=3,SUM(S625:T625,Y625:Z625,AE625:AF625,AK625:AL625),
SUM(IFERROR(WEEKDAY($H$2:$AL$2,2)&gt;5,)*H625:AL625))))+Таблица1[[#This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25" s="292" t="b">
        <f>IF(AR625&lt;=3,(IF((G625="5/24"),((база!$M$6*Таблица1[[#This Row],[сумма]]*Таблица1[[#This Row],[коэф]])),
IF((G625="4/24"),((база!$M$5*Таблица1[[#This Row],[сумма]]*Таблица1[[#This Row],[коэф]])),
IF((G625="3/24"),((база!$M$4*Таблица1[[#This Row],[сумма]]*Таблица1[[#This Row],[коэф]])),
IF((G625="5/16"),((база!$L$6*Таблица1[[#This Row],[сумма]]*Таблица1[[#This Row],[коэф]])),
IF((G625="4/16"),((база!$L$5*Таблица1[[#This Row],[сумма]]*Таблица1[[#This Row],[коэф]])),
IF((G625="3/16"),((база!$L$4*Таблица1[[#This Row],[сумма]]*Таблица1[[#This Row],[коэф]])),
IF((G625="4/4"),((база!$I$5*Таблица1[[#This Row],[сумма]]*Таблица1[[#This Row],[коэф]])),
IF(OR(G625="2/4",G625="3/4"),((база!$I$4*Таблица1[[#This Row],[сумма]]*Таблица1[[#This Row],[коэф]])),
IF((G625="5/8"),((база!$J$6*Таблица1[[#This Row],[сумма]]*Таблица1[[#This Row],[коэф]])),
IF((G625="4/8"),((база!$J$5*Таблица1[[#This Row],[сумма]]*Таблица1[[#This Row],[коэф]])),
IF(OR(G625="3/8",G625="2/8"),((база!$J$4*Таблица1[[#This Row],[сумма]]*Таблица1[[#This Row],[коэф]])))))))))))))),
(IF((G625="5/24"),((база!$M$6*Таблица1[[#This Row],[сумма]]*Таблица1[[#This Row],[коэф]])),
IF(OR(G625="4/24",G625="3/24"),((база!$M$5*Таблица1[[#This Row],[сумма]]*Таблица1[[#This Row],[коэф]])),
IF((G625="5/16"),((база!$L$6*Таблица1[[#This Row],[сумма]]*Таблица1[[#This Row],[коэф]])),
IF(OR(G625="4/16",G625="3/16"),((база!$L$5*Таблица1[[#This Row],[сумма]]*Таблица1[[#This Row],[коэф]])),
IF(OR(G625="2/4",G625="3/4",G625="4/4"),((база!$I$5*Таблица1[[#This Row],[сумма]]*Таблица1[[#This Row],[коэф]])),
IF((G625="5/8"),((база!$J$6*Таблица1[[#This Row],[сумма]]*Таблица1[[#This Row],[коэф]])),
IF(OR(G625="4/8",G625="3/8",G625="2/8"),((база!$J$5*Таблица1[[#This Row],[сумма]]*Таблица1[[#This Row],[коэф]])))))))))))</f>
        <v>0</v>
      </c>
      <c r="AP625" s="730" t="b">
        <f>IF(AR625&lt;=3,(IF((G625="5/24"),((база!$M$6*2*Таблица1[[#This Row],[Столбец1]]*Таблица1[[#This Row],[коэф]])),
IF((G625="4/24"),((база!$M$5*2*Таблица1[[#This Row],[Столбец1]]*Таблица1[[#This Row],[коэф]])),
IF((G625="3/24"),((база!$M$4*2*Таблица1[[#This Row],[Столбец1]]*Таблица1[[#This Row],[коэф]])),
IF((G625="5/16"),((база!$L$6*2*Таблица1[[#This Row],[Столбец1]]*Таблица1[[#This Row],[коэф]])),
IF((G625="4/16"),((база!$L$5*2*Таблица1[[#This Row],[Столбец1]]*Таблица1[[#This Row],[коэф]])),
IF((G625="3/16"),((база!$L$4*2*Таблица1[[#This Row],[Столбец1]]*Таблица1[[#This Row],[коэф]])),
IF((G625="4/4"),((база!$I$5*2*Таблица1[[#This Row],[Столбец1]]*Таблица1[[#This Row],[коэф]])),
IF(OR(G625="2/4",G625="3/4"),((база!$I$4*2*Таблица1[[#This Row],[Столбец1]]*Таблица1[[#This Row],[коэф]])),
IF((G625="5/8"),((база!$J$6*2*Таблица1[[#This Row],[Столбец1]]*Таблица1[[#This Row],[коэф]])),
IF((G625="4/8"),((база!$J$5*2*Таблица1[[#This Row],[Столбец1]]*Таблица1[[#This Row],[коэф]])),
IF(OR(G625="3/8",G625="2/8"),((база!$J$4*2*Таблица1[[#This Row],[Столбец1]]*Таблица1[[#This Row],[коэф]])))))))))))))),
(IF((G625="5/24"),((база!$M$6*2*Таблица1[[#This Row],[Столбец1]]*Таблица1[[#This Row],[коэф]])),
IF(OR(G625="4/24",G625="3/24"),((база!$M$5*2*Таблица1[[#This Row],[Столбец1]]*Таблица1[[#This Row],[коэф]])),
IF((G625="5/16"),((база!$L$6*2*Таблица1[[#This Row],[Столбец1]]*Таблица1[[#This Row],[коэф]])),
IF(OR(G625="4/16",G625="3/16"),((база!$L$5*2*Таблица1[[#This Row],[Столбец1]]*Таблица1[[#This Row],[коэф]])),
IF(OR(G625="2/4",G625="3/4",G625="4/4"),((база!$I$5*2*Таблица1[[#This Row],[Столбец1]]*Таблица1[[#This Row],[коэф]])),
IF((G625="5/8"),((база!$J$6*2*Таблица1[[#This Row],[Столбец1]]*Таблица1[[#This Row],[коэф]])),
IF(OR(G625="4/8",G625="3/8",G625="2/8"),((база!$J$5*2*Таблица1[[#This Row],[Столбец1]]*Таблица1[[#This Row],[коэф]])))))))))))</f>
        <v>0</v>
      </c>
      <c r="AQ625" s="712" t="str">
        <f>IFERROR(INDEX(база!T:T, MATCH(F625,база!Q:Q,0)),"")</f>
        <v/>
      </c>
      <c r="AR625" s="208" t="str">
        <f>IFERROR(INDEX(база!D:D, MATCH(F625,база!B:B,0)),"")</f>
        <v/>
      </c>
      <c r="AS625" s="758" t="str">
        <f>IFERROR(INDEX(база!E:E, MATCH(F625,база!B:B,0)),"")</f>
        <v/>
      </c>
    </row>
    <row r="626" spans="1:45" s="46" customFormat="1" ht="15">
      <c r="A626" s="66" t="str">
        <f t="shared" si="8"/>
        <v>январь</v>
      </c>
      <c r="B626" s="231">
        <v>2024</v>
      </c>
      <c r="C626" s="299"/>
      <c r="D626" s="61"/>
      <c r="E626" s="211"/>
      <c r="F626" s="680"/>
      <c r="G626" s="47"/>
      <c r="H626" s="563"/>
      <c r="I626" s="563"/>
      <c r="J626" s="563"/>
      <c r="K626" s="563"/>
      <c r="L626" s="563"/>
      <c r="M626" s="563"/>
      <c r="N626" s="563"/>
      <c r="O626" s="563"/>
      <c r="P626" s="300"/>
      <c r="Q626" s="563"/>
      <c r="R626" s="563"/>
      <c r="S626" s="563"/>
      <c r="T626" s="563"/>
      <c r="U626" s="563"/>
      <c r="V626" s="563"/>
      <c r="W626" s="563"/>
      <c r="X626" s="563"/>
      <c r="Y626" s="563"/>
      <c r="Z626" s="563"/>
      <c r="AA626" s="563"/>
      <c r="AB626" s="563"/>
      <c r="AC626" s="563"/>
      <c r="AD626" s="48"/>
      <c r="AE626" s="48"/>
      <c r="AF626" s="258"/>
      <c r="AG626" s="48"/>
      <c r="AH626" s="48"/>
      <c r="AI626" s="48"/>
      <c r="AJ626" s="48"/>
      <c r="AK626" s="48"/>
      <c r="AL626" s="51"/>
      <c r="AM626" s="212">
        <f>IF(AQ626=1,SUM(Q626:T626,W626:Z626,AC626:AF626,AI626:AL626),
IF(AQ626=2,SUM(P626,S626:V626,Y626:AB626,AE626:AH626,AK626:AL626),
IF(AQ626=3,SUM(P626:R626,U626:X626,AA626:AD626,AG626:AJ626),SUM(Таблица1[[#This Row],[1]:[31]])-Таблица1[[#This Row],[Столбец1]])))</f>
        <v>0</v>
      </c>
      <c r="AN626" s="778">
        <f t="array" ref="AN626">IF(AQ626=1,SUM(P626,U626:V626,AA626:AB626,AG626:AH626),
IF(AQ626=2,SUM(Q626:R626,W626:X626,AC626:AD626,AI626:AJ626),
IF(AQ626=3,SUM(S626:T626,Y626:Z626,AE626:AF626,AK626:AL626),
SUM(IFERROR(WEEKDAY($H$2:$AL$2,2)&gt;5,)*H626:AL626))))+Таблица1[[#This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26" s="292" t="b">
        <f>IF(AR626&lt;=3,(IF((G626="5/24"),((база!$M$6*Таблица1[[#This Row],[сумма]]*Таблица1[[#This Row],[коэф]])),
IF((G626="4/24"),((база!$M$5*Таблица1[[#This Row],[сумма]]*Таблица1[[#This Row],[коэф]])),
IF((G626="3/24"),((база!$M$4*Таблица1[[#This Row],[сумма]]*Таблица1[[#This Row],[коэф]])),
IF((G626="5/16"),((база!$L$6*Таблица1[[#This Row],[сумма]]*Таблица1[[#This Row],[коэф]])),
IF((G626="4/16"),((база!$L$5*Таблица1[[#This Row],[сумма]]*Таблица1[[#This Row],[коэф]])),
IF((G626="3/16"),((база!$L$4*Таблица1[[#This Row],[сумма]]*Таблица1[[#This Row],[коэф]])),
IF((G626="4/4"),((база!$I$5*Таблица1[[#This Row],[сумма]]*Таблица1[[#This Row],[коэф]])),
IF(OR(G626="2/4",G626="3/4"),((база!$I$4*Таблица1[[#This Row],[сумма]]*Таблица1[[#This Row],[коэф]])),
IF((G626="5/8"),((база!$J$6*Таблица1[[#This Row],[сумма]]*Таблица1[[#This Row],[коэф]])),
IF((G626="4/8"),((база!$J$5*Таблица1[[#This Row],[сумма]]*Таблица1[[#This Row],[коэф]])),
IF(OR(G626="3/8",G626="2/8"),((база!$J$4*Таблица1[[#This Row],[сумма]]*Таблица1[[#This Row],[коэф]])))))))))))))),
(IF((G626="5/24"),((база!$M$6*Таблица1[[#This Row],[сумма]]*Таблица1[[#This Row],[коэф]])),
IF(OR(G626="4/24",G626="3/24"),((база!$M$5*Таблица1[[#This Row],[сумма]]*Таблица1[[#This Row],[коэф]])),
IF((G626="5/16"),((база!$L$6*Таблица1[[#This Row],[сумма]]*Таблица1[[#This Row],[коэф]])),
IF(OR(G626="4/16",G626="3/16"),((база!$L$5*Таблица1[[#This Row],[сумма]]*Таблица1[[#This Row],[коэф]])),
IF(OR(G626="2/4",G626="3/4",G626="4/4"),((база!$I$5*Таблица1[[#This Row],[сумма]]*Таблица1[[#This Row],[коэф]])),
IF((G626="5/8"),((база!$J$6*Таблица1[[#This Row],[сумма]]*Таблица1[[#This Row],[коэф]])),
IF(OR(G626="4/8",G626="3/8",G626="2/8"),((база!$J$5*Таблица1[[#This Row],[сумма]]*Таблица1[[#This Row],[коэф]])))))))))))</f>
        <v>0</v>
      </c>
      <c r="AP626" s="730" t="b">
        <f>IF(AR626&lt;=3,(IF((G626="5/24"),((база!$M$6*2*Таблица1[[#This Row],[Столбец1]]*Таблица1[[#This Row],[коэф]])),
IF((G626="4/24"),((база!$M$5*2*Таблица1[[#This Row],[Столбец1]]*Таблица1[[#This Row],[коэф]])),
IF((G626="3/24"),((база!$M$4*2*Таблица1[[#This Row],[Столбец1]]*Таблица1[[#This Row],[коэф]])),
IF((G626="5/16"),((база!$L$6*2*Таблица1[[#This Row],[Столбец1]]*Таблица1[[#This Row],[коэф]])),
IF((G626="4/16"),((база!$L$5*2*Таблица1[[#This Row],[Столбец1]]*Таблица1[[#This Row],[коэф]])),
IF((G626="3/16"),((база!$L$4*2*Таблица1[[#This Row],[Столбец1]]*Таблица1[[#This Row],[коэф]])),
IF((G626="4/4"),((база!$I$5*2*Таблица1[[#This Row],[Столбец1]]*Таблица1[[#This Row],[коэф]])),
IF(OR(G626="2/4",G626="3/4"),((база!$I$4*2*Таблица1[[#This Row],[Столбец1]]*Таблица1[[#This Row],[коэф]])),
IF((G626="5/8"),((база!$J$6*2*Таблица1[[#This Row],[Столбец1]]*Таблица1[[#This Row],[коэф]])),
IF((G626="4/8"),((база!$J$5*2*Таблица1[[#This Row],[Столбец1]]*Таблица1[[#This Row],[коэф]])),
IF(OR(G626="3/8",G626="2/8"),((база!$J$4*2*Таблица1[[#This Row],[Столбец1]]*Таблица1[[#This Row],[коэф]])))))))))))))),
(IF((G626="5/24"),((база!$M$6*2*Таблица1[[#This Row],[Столбец1]]*Таблица1[[#This Row],[коэф]])),
IF(OR(G626="4/24",G626="3/24"),((база!$M$5*2*Таблица1[[#This Row],[Столбец1]]*Таблица1[[#This Row],[коэф]])),
IF((G626="5/16"),((база!$L$6*2*Таблица1[[#This Row],[Столбец1]]*Таблица1[[#This Row],[коэф]])),
IF(OR(G626="4/16",G626="3/16"),((база!$L$5*2*Таблица1[[#This Row],[Столбец1]]*Таблица1[[#This Row],[коэф]])),
IF(OR(G626="2/4",G626="3/4",G626="4/4"),((база!$I$5*2*Таблица1[[#This Row],[Столбец1]]*Таблица1[[#This Row],[коэф]])),
IF((G626="5/8"),((база!$J$6*2*Таблица1[[#This Row],[Столбец1]]*Таблица1[[#This Row],[коэф]])),
IF(OR(G626="4/8",G626="3/8",G626="2/8"),((база!$J$5*2*Таблица1[[#This Row],[Столбец1]]*Таблица1[[#This Row],[коэф]])))))))))))</f>
        <v>0</v>
      </c>
      <c r="AQ626" s="712" t="str">
        <f>IFERROR(INDEX(база!T:T, MATCH(F626,база!Q:Q,0)),"")</f>
        <v/>
      </c>
      <c r="AR626" s="208" t="str">
        <f>IFERROR(INDEX(база!D:D, MATCH(F626,база!B:B,0)),"")</f>
        <v/>
      </c>
      <c r="AS626" s="758" t="str">
        <f>IFERROR(INDEX(база!E:E, MATCH(F626,база!B:B,0)),"")</f>
        <v/>
      </c>
    </row>
    <row r="627" spans="1:45" s="46" customFormat="1" ht="15">
      <c r="A627" s="66" t="str">
        <f t="shared" si="8"/>
        <v>январь</v>
      </c>
      <c r="B627" s="231">
        <v>2024</v>
      </c>
      <c r="C627" s="299"/>
      <c r="D627" s="61"/>
      <c r="E627" s="211"/>
      <c r="F627" s="680"/>
      <c r="G627" s="47"/>
      <c r="H627" s="563"/>
      <c r="I627" s="563"/>
      <c r="J627" s="563"/>
      <c r="K627" s="563"/>
      <c r="L627" s="563"/>
      <c r="M627" s="563"/>
      <c r="N627" s="563"/>
      <c r="O627" s="563"/>
      <c r="P627" s="300"/>
      <c r="Q627" s="563"/>
      <c r="R627" s="563"/>
      <c r="S627" s="563"/>
      <c r="T627" s="563"/>
      <c r="U627" s="563"/>
      <c r="V627" s="563"/>
      <c r="W627" s="563"/>
      <c r="X627" s="563"/>
      <c r="Y627" s="563"/>
      <c r="Z627" s="563"/>
      <c r="AA627" s="563"/>
      <c r="AB627" s="563"/>
      <c r="AC627" s="563"/>
      <c r="AD627" s="48"/>
      <c r="AE627" s="48"/>
      <c r="AF627" s="258"/>
      <c r="AG627" s="48"/>
      <c r="AH627" s="48"/>
      <c r="AI627" s="258"/>
      <c r="AJ627" s="258"/>
      <c r="AK627" s="258"/>
      <c r="AL627" s="258"/>
      <c r="AM627" s="212">
        <f>IF(AQ627=1,SUM(Q627:T627,W627:Z627,AC627:AF627,AI627:AL627),
IF(AQ627=2,SUM(P627,S627:V627,Y627:AB627,AE627:AH627,AK627:AL627),
IF(AQ627=3,SUM(P627:R627,U627:X627,AA627:AD627,AG627:AJ627),SUM(Таблица1[[#This Row],[1]:[31]])-Таблица1[[#This Row],[Столбец1]])))</f>
        <v>0</v>
      </c>
      <c r="AN627" s="778">
        <f t="array" ref="AN627">IF(AQ627=1,SUM(P627,U627:V627,AA627:AB627,AG627:AH627),
IF(AQ627=2,SUM(Q627:R627,W627:X627,AC627:AD627,AI627:AJ627),
IF(AQ627=3,SUM(S627:T627,Y627:Z627,AE627:AF627,AK627:AL627),
SUM(IFERROR(WEEKDAY($H$2:$AL$2,2)&gt;5,)*H627:AL627))))+Таблица1[[#This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27" s="292" t="b">
        <f>IF(AR627&lt;=3,(IF((G627="5/24"),((база!$M$6*Таблица1[[#This Row],[сумма]]*Таблица1[[#This Row],[коэф]])),
IF((G627="4/24"),((база!$M$5*Таблица1[[#This Row],[сумма]]*Таблица1[[#This Row],[коэф]])),
IF((G627="3/24"),((база!$M$4*Таблица1[[#This Row],[сумма]]*Таблица1[[#This Row],[коэф]])),
IF((G627="5/16"),((база!$L$6*Таблица1[[#This Row],[сумма]]*Таблица1[[#This Row],[коэф]])),
IF((G627="4/16"),((база!$L$5*Таблица1[[#This Row],[сумма]]*Таблица1[[#This Row],[коэф]])),
IF((G627="3/16"),((база!$L$4*Таблица1[[#This Row],[сумма]]*Таблица1[[#This Row],[коэф]])),
IF((G627="4/4"),((база!$I$5*Таблица1[[#This Row],[сумма]]*Таблица1[[#This Row],[коэф]])),
IF(OR(G627="2/4",G627="3/4"),((база!$I$4*Таблица1[[#This Row],[сумма]]*Таблица1[[#This Row],[коэф]])),
IF((G627="5/8"),((база!$J$6*Таблица1[[#This Row],[сумма]]*Таблица1[[#This Row],[коэф]])),
IF((G627="4/8"),((база!$J$5*Таблица1[[#This Row],[сумма]]*Таблица1[[#This Row],[коэф]])),
IF(OR(G627="3/8",G627="2/8"),((база!$J$4*Таблица1[[#This Row],[сумма]]*Таблица1[[#This Row],[коэф]])))))))))))))),
(IF((G627="5/24"),((база!$M$6*Таблица1[[#This Row],[сумма]]*Таблица1[[#This Row],[коэф]])),
IF(OR(G627="4/24",G627="3/24"),((база!$M$5*Таблица1[[#This Row],[сумма]]*Таблица1[[#This Row],[коэф]])),
IF((G627="5/16"),((база!$L$6*Таблица1[[#This Row],[сумма]]*Таблица1[[#This Row],[коэф]])),
IF(OR(G627="4/16",G627="3/16"),((база!$L$5*Таблица1[[#This Row],[сумма]]*Таблица1[[#This Row],[коэф]])),
IF(OR(G627="2/4",G627="3/4",G627="4/4"),((база!$I$5*Таблица1[[#This Row],[сумма]]*Таблица1[[#This Row],[коэф]])),
IF((G627="5/8"),((база!$J$6*Таблица1[[#This Row],[сумма]]*Таблица1[[#This Row],[коэф]])),
IF(OR(G627="4/8",G627="3/8",G627="2/8"),((база!$J$5*Таблица1[[#This Row],[сумма]]*Таблица1[[#This Row],[коэф]])))))))))))</f>
        <v>0</v>
      </c>
      <c r="AP627" s="730" t="b">
        <f>IF(AR627&lt;=3,(IF((G627="5/24"),((база!$M$6*2*Таблица1[[#This Row],[Столбец1]]*Таблица1[[#This Row],[коэф]])),
IF((G627="4/24"),((база!$M$5*2*Таблица1[[#This Row],[Столбец1]]*Таблица1[[#This Row],[коэф]])),
IF((G627="3/24"),((база!$M$4*2*Таблица1[[#This Row],[Столбец1]]*Таблица1[[#This Row],[коэф]])),
IF((G627="5/16"),((база!$L$6*2*Таблица1[[#This Row],[Столбец1]]*Таблица1[[#This Row],[коэф]])),
IF((G627="4/16"),((база!$L$5*2*Таблица1[[#This Row],[Столбец1]]*Таблица1[[#This Row],[коэф]])),
IF((G627="3/16"),((база!$L$4*2*Таблица1[[#This Row],[Столбец1]]*Таблица1[[#This Row],[коэф]])),
IF((G627="4/4"),((база!$I$5*2*Таблица1[[#This Row],[Столбец1]]*Таблица1[[#This Row],[коэф]])),
IF(OR(G627="2/4",G627="3/4"),((база!$I$4*2*Таблица1[[#This Row],[Столбец1]]*Таблица1[[#This Row],[коэф]])),
IF((G627="5/8"),((база!$J$6*2*Таблица1[[#This Row],[Столбец1]]*Таблица1[[#This Row],[коэф]])),
IF((G627="4/8"),((база!$J$5*2*Таблица1[[#This Row],[Столбец1]]*Таблица1[[#This Row],[коэф]])),
IF(OR(G627="3/8",G627="2/8"),((база!$J$4*2*Таблица1[[#This Row],[Столбец1]]*Таблица1[[#This Row],[коэф]])))))))))))))),
(IF((G627="5/24"),((база!$M$6*2*Таблица1[[#This Row],[Столбец1]]*Таблица1[[#This Row],[коэф]])),
IF(OR(G627="4/24",G627="3/24"),((база!$M$5*2*Таблица1[[#This Row],[Столбец1]]*Таблица1[[#This Row],[коэф]])),
IF((G627="5/16"),((база!$L$6*2*Таблица1[[#This Row],[Столбец1]]*Таблица1[[#This Row],[коэф]])),
IF(OR(G627="4/16",G627="3/16"),((база!$L$5*2*Таблица1[[#This Row],[Столбец1]]*Таблица1[[#This Row],[коэф]])),
IF(OR(G627="2/4",G627="3/4",G627="4/4"),((база!$I$5*2*Таблица1[[#This Row],[Столбец1]]*Таблица1[[#This Row],[коэф]])),
IF((G627="5/8"),((база!$J$6*2*Таблица1[[#This Row],[Столбец1]]*Таблица1[[#This Row],[коэф]])),
IF(OR(G627="4/8",G627="3/8",G627="2/8"),((база!$J$5*2*Таблица1[[#This Row],[Столбец1]]*Таблица1[[#This Row],[коэф]])))))))))))</f>
        <v>0</v>
      </c>
      <c r="AQ627" s="712" t="str">
        <f>IFERROR(INDEX(база!T:T, MATCH(F627,база!Q:Q,0)),"")</f>
        <v/>
      </c>
      <c r="AR627" s="208" t="str">
        <f>IFERROR(INDEX(база!D:D, MATCH(F627,база!B:B,0)),"")</f>
        <v/>
      </c>
      <c r="AS627" s="758" t="str">
        <f>IFERROR(INDEX(база!E:E, MATCH(F627,база!B:B,0)),"")</f>
        <v/>
      </c>
    </row>
    <row r="628" spans="1:45" s="46" customFormat="1" ht="15">
      <c r="A628" s="66" t="str">
        <f t="shared" si="8"/>
        <v>январь</v>
      </c>
      <c r="B628" s="231">
        <v>2024</v>
      </c>
      <c r="C628" s="299"/>
      <c r="D628" s="61"/>
      <c r="E628" s="211"/>
      <c r="F628" s="680"/>
      <c r="G628" s="47"/>
      <c r="H628" s="563"/>
      <c r="I628" s="563"/>
      <c r="J628" s="563"/>
      <c r="K628" s="563"/>
      <c r="L628" s="563"/>
      <c r="M628" s="563"/>
      <c r="N628" s="563"/>
      <c r="O628" s="563"/>
      <c r="P628" s="300"/>
      <c r="Q628" s="563"/>
      <c r="R628" s="563"/>
      <c r="S628" s="563"/>
      <c r="T628" s="563"/>
      <c r="U628" s="563"/>
      <c r="V628" s="563"/>
      <c r="W628" s="563"/>
      <c r="X628" s="563"/>
      <c r="Y628" s="563"/>
      <c r="Z628" s="563"/>
      <c r="AA628" s="563"/>
      <c r="AB628" s="563"/>
      <c r="AC628" s="563"/>
      <c r="AD628" s="48"/>
      <c r="AE628" s="48"/>
      <c r="AF628" s="258"/>
      <c r="AG628" s="48"/>
      <c r="AH628" s="48"/>
      <c r="AI628" s="48"/>
      <c r="AJ628" s="48"/>
      <c r="AK628" s="48"/>
      <c r="AL628" s="51"/>
      <c r="AM628" s="212">
        <f>IF(AQ628=1,SUM(Q628:T628,W628:Z628,AC628:AF628,AI628:AL628),
IF(AQ628=2,SUM(P628,S628:V628,Y628:AB628,AE628:AH628,AK628:AL628),
IF(AQ628=3,SUM(P628:R628,U628:X628,AA628:AD628,AG628:AJ628),SUM(Таблица1[[#This Row],[1]:[31]])-Таблица1[[#This Row],[Столбец1]])))</f>
        <v>0</v>
      </c>
      <c r="AN628" s="778">
        <f t="array" ref="AN628">IF(AQ628=1,SUM(P628,U628:V628,AA628:AB628,AG628:AH628),
IF(AQ628=2,SUM(Q628:R628,W628:X628,AC628:AD628,AI628:AJ628),
IF(AQ628=3,SUM(S628:T628,Y628:Z628,AE628:AF628,AK628:AL628),
SUM(IFERROR(WEEKDAY($H$2:$AL$2,2)&gt;5,)*H628:AL628))))+Таблица1[[#This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28" s="292" t="b">
        <f>IF(AR628&lt;=3,(IF((G628="5/24"),((база!$M$6*Таблица1[[#This Row],[сумма]]*Таблица1[[#This Row],[коэф]])),
IF((G628="4/24"),((база!$M$5*Таблица1[[#This Row],[сумма]]*Таблица1[[#This Row],[коэф]])),
IF((G628="3/24"),((база!$M$4*Таблица1[[#This Row],[сумма]]*Таблица1[[#This Row],[коэф]])),
IF((G628="5/16"),((база!$L$6*Таблица1[[#This Row],[сумма]]*Таблица1[[#This Row],[коэф]])),
IF((G628="4/16"),((база!$L$5*Таблица1[[#This Row],[сумма]]*Таблица1[[#This Row],[коэф]])),
IF((G628="3/16"),((база!$L$4*Таблица1[[#This Row],[сумма]]*Таблица1[[#This Row],[коэф]])),
IF((G628="4/4"),((база!$I$5*Таблица1[[#This Row],[сумма]]*Таблица1[[#This Row],[коэф]])),
IF(OR(G628="2/4",G628="3/4"),((база!$I$4*Таблица1[[#This Row],[сумма]]*Таблица1[[#This Row],[коэф]])),
IF((G628="5/8"),((база!$J$6*Таблица1[[#This Row],[сумма]]*Таблица1[[#This Row],[коэф]])),
IF((G628="4/8"),((база!$J$5*Таблица1[[#This Row],[сумма]]*Таблица1[[#This Row],[коэф]])),
IF(OR(G628="3/8",G628="2/8"),((база!$J$4*Таблица1[[#This Row],[сумма]]*Таблица1[[#This Row],[коэф]])))))))))))))),
(IF((G628="5/24"),((база!$M$6*Таблица1[[#This Row],[сумма]]*Таблица1[[#This Row],[коэф]])),
IF(OR(G628="4/24",G628="3/24"),((база!$M$5*Таблица1[[#This Row],[сумма]]*Таблица1[[#This Row],[коэф]])),
IF((G628="5/16"),((база!$L$6*Таблица1[[#This Row],[сумма]]*Таблица1[[#This Row],[коэф]])),
IF(OR(G628="4/16",G628="3/16"),((база!$L$5*Таблица1[[#This Row],[сумма]]*Таблица1[[#This Row],[коэф]])),
IF(OR(G628="2/4",G628="3/4",G628="4/4"),((база!$I$5*Таблица1[[#This Row],[сумма]]*Таблица1[[#This Row],[коэф]])),
IF((G628="5/8"),((база!$J$6*Таблица1[[#This Row],[сумма]]*Таблица1[[#This Row],[коэф]])),
IF(OR(G628="4/8",G628="3/8",G628="2/8"),((база!$J$5*Таблица1[[#This Row],[сумма]]*Таблица1[[#This Row],[коэф]])))))))))))</f>
        <v>0</v>
      </c>
      <c r="AP628" s="730" t="b">
        <f>IF(AR628&lt;=3,(IF((G628="5/24"),((база!$M$6*2*Таблица1[[#This Row],[Столбец1]]*Таблица1[[#This Row],[коэф]])),
IF((G628="4/24"),((база!$M$5*2*Таблица1[[#This Row],[Столбец1]]*Таблица1[[#This Row],[коэф]])),
IF((G628="3/24"),((база!$M$4*2*Таблица1[[#This Row],[Столбец1]]*Таблица1[[#This Row],[коэф]])),
IF((G628="5/16"),((база!$L$6*2*Таблица1[[#This Row],[Столбец1]]*Таблица1[[#This Row],[коэф]])),
IF((G628="4/16"),((база!$L$5*2*Таблица1[[#This Row],[Столбец1]]*Таблица1[[#This Row],[коэф]])),
IF((G628="3/16"),((база!$L$4*2*Таблица1[[#This Row],[Столбец1]]*Таблица1[[#This Row],[коэф]])),
IF((G628="4/4"),((база!$I$5*2*Таблица1[[#This Row],[Столбец1]]*Таблица1[[#This Row],[коэф]])),
IF(OR(G628="2/4",G628="3/4"),((база!$I$4*2*Таблица1[[#This Row],[Столбец1]]*Таблица1[[#This Row],[коэф]])),
IF((G628="5/8"),((база!$J$6*2*Таблица1[[#This Row],[Столбец1]]*Таблица1[[#This Row],[коэф]])),
IF((G628="4/8"),((база!$J$5*2*Таблица1[[#This Row],[Столбец1]]*Таблица1[[#This Row],[коэф]])),
IF(OR(G628="3/8",G628="2/8"),((база!$J$4*2*Таблица1[[#This Row],[Столбец1]]*Таблица1[[#This Row],[коэф]])))))))))))))),
(IF((G628="5/24"),((база!$M$6*2*Таблица1[[#This Row],[Столбец1]]*Таблица1[[#This Row],[коэф]])),
IF(OR(G628="4/24",G628="3/24"),((база!$M$5*2*Таблица1[[#This Row],[Столбец1]]*Таблица1[[#This Row],[коэф]])),
IF((G628="5/16"),((база!$L$6*2*Таблица1[[#This Row],[Столбец1]]*Таблица1[[#This Row],[коэф]])),
IF(OR(G628="4/16",G628="3/16"),((база!$L$5*2*Таблица1[[#This Row],[Столбец1]]*Таблица1[[#This Row],[коэф]])),
IF(OR(G628="2/4",G628="3/4",G628="4/4"),((база!$I$5*2*Таблица1[[#This Row],[Столбец1]]*Таблица1[[#This Row],[коэф]])),
IF((G628="5/8"),((база!$J$6*2*Таблица1[[#This Row],[Столбец1]]*Таблица1[[#This Row],[коэф]])),
IF(OR(G628="4/8",G628="3/8",G628="2/8"),((база!$J$5*2*Таблица1[[#This Row],[Столбец1]]*Таблица1[[#This Row],[коэф]])))))))))))</f>
        <v>0</v>
      </c>
      <c r="AQ628" s="712" t="str">
        <f>IFERROR(INDEX(база!T:T, MATCH(F628,база!Q:Q,0)),"")</f>
        <v/>
      </c>
      <c r="AR628" s="208" t="str">
        <f>IFERROR(INDEX(база!D:D, MATCH(F628,база!B:B,0)),"")</f>
        <v/>
      </c>
      <c r="AS628" s="758" t="str">
        <f>IFERROR(INDEX(база!E:E, MATCH(F628,база!B:B,0)),"")</f>
        <v/>
      </c>
    </row>
    <row r="629" spans="1:45" s="46" customFormat="1" ht="15">
      <c r="A629" s="66" t="str">
        <f t="shared" si="8"/>
        <v>январь</v>
      </c>
      <c r="B629" s="231">
        <v>2024</v>
      </c>
      <c r="C629" s="299"/>
      <c r="D629" s="61"/>
      <c r="E629" s="211"/>
      <c r="F629" s="680"/>
      <c r="G629" s="47"/>
      <c r="H629" s="563"/>
      <c r="I629" s="563"/>
      <c r="J629" s="563"/>
      <c r="K629" s="563"/>
      <c r="L629" s="563"/>
      <c r="M629" s="563"/>
      <c r="N629" s="563"/>
      <c r="O629" s="563"/>
      <c r="P629" s="300"/>
      <c r="Q629" s="563"/>
      <c r="R629" s="563"/>
      <c r="S629" s="563"/>
      <c r="T629" s="563"/>
      <c r="U629" s="563"/>
      <c r="V629" s="563"/>
      <c r="W629" s="563"/>
      <c r="X629" s="563"/>
      <c r="Y629" s="563"/>
      <c r="Z629" s="563"/>
      <c r="AA629" s="563"/>
      <c r="AB629" s="563"/>
      <c r="AC629" s="563"/>
      <c r="AD629" s="48"/>
      <c r="AE629" s="48"/>
      <c r="AF629" s="258"/>
      <c r="AG629" s="48"/>
      <c r="AH629" s="48"/>
      <c r="AI629" s="258"/>
      <c r="AJ629" s="258"/>
      <c r="AK629" s="258"/>
      <c r="AL629" s="258"/>
      <c r="AM629" s="212">
        <f>IF(AQ629=1,SUM(Q629:T629,W629:Z629,AC629:AF629,AI629:AL629),
IF(AQ629=2,SUM(P629,S629:V629,Y629:AB629,AE629:AH629,AK629:AL629),
IF(AQ629=3,SUM(P629:R629,U629:X629,AA629:AD629,AG629:AJ629),SUM(Таблица1[[#This Row],[1]:[31]])-Таблица1[[#This Row],[Столбец1]])))</f>
        <v>0</v>
      </c>
      <c r="AN629" s="778">
        <f t="array" ref="AN629">IF(AQ629=1,SUM(P629,U629:V629,AA629:AB629,AG629:AH629),
IF(AQ629=2,SUM(Q629:R629,W629:X629,AC629:AD629,AI629:AJ629),
IF(AQ629=3,SUM(S629:T629,Y629:Z629,AE629:AF629,AK629:AL629),
SUM(IFERROR(WEEKDAY($H$2:$AL$2,2)&gt;5,)*H629:AL629))))+Таблица1[[#This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29" s="292" t="b">
        <f>IF(AR629&lt;=3,(IF((G629="5/24"),((база!$M$6*Таблица1[[#This Row],[сумма]]*Таблица1[[#This Row],[коэф]])),
IF((G629="4/24"),((база!$M$5*Таблица1[[#This Row],[сумма]]*Таблица1[[#This Row],[коэф]])),
IF((G629="3/24"),((база!$M$4*Таблица1[[#This Row],[сумма]]*Таблица1[[#This Row],[коэф]])),
IF((G629="5/16"),((база!$L$6*Таблица1[[#This Row],[сумма]]*Таблица1[[#This Row],[коэф]])),
IF((G629="4/16"),((база!$L$5*Таблица1[[#This Row],[сумма]]*Таблица1[[#This Row],[коэф]])),
IF((G629="3/16"),((база!$L$4*Таблица1[[#This Row],[сумма]]*Таблица1[[#This Row],[коэф]])),
IF((G629="4/4"),((база!$I$5*Таблица1[[#This Row],[сумма]]*Таблица1[[#This Row],[коэф]])),
IF(OR(G629="2/4",G629="3/4"),((база!$I$4*Таблица1[[#This Row],[сумма]]*Таблица1[[#This Row],[коэф]])),
IF((G629="5/8"),((база!$J$6*Таблица1[[#This Row],[сумма]]*Таблица1[[#This Row],[коэф]])),
IF((G629="4/8"),((база!$J$5*Таблица1[[#This Row],[сумма]]*Таблица1[[#This Row],[коэф]])),
IF(OR(G629="3/8",G629="2/8"),((база!$J$4*Таблица1[[#This Row],[сумма]]*Таблица1[[#This Row],[коэф]])))))))))))))),
(IF((G629="5/24"),((база!$M$6*Таблица1[[#This Row],[сумма]]*Таблица1[[#This Row],[коэф]])),
IF(OR(G629="4/24",G629="3/24"),((база!$M$5*Таблица1[[#This Row],[сумма]]*Таблица1[[#This Row],[коэф]])),
IF((G629="5/16"),((база!$L$6*Таблица1[[#This Row],[сумма]]*Таблица1[[#This Row],[коэф]])),
IF(OR(G629="4/16",G629="3/16"),((база!$L$5*Таблица1[[#This Row],[сумма]]*Таблица1[[#This Row],[коэф]])),
IF(OR(G629="2/4",G629="3/4",G629="4/4"),((база!$I$5*Таблица1[[#This Row],[сумма]]*Таблица1[[#This Row],[коэф]])),
IF((G629="5/8"),((база!$J$6*Таблица1[[#This Row],[сумма]]*Таблица1[[#This Row],[коэф]])),
IF(OR(G629="4/8",G629="3/8",G629="2/8"),((база!$J$5*Таблица1[[#This Row],[сумма]]*Таблица1[[#This Row],[коэф]])))))))))))</f>
        <v>0</v>
      </c>
      <c r="AP629" s="730" t="b">
        <f>IF(AR629&lt;=3,(IF((G629="5/24"),((база!$M$6*2*Таблица1[[#This Row],[Столбец1]]*Таблица1[[#This Row],[коэф]])),
IF((G629="4/24"),((база!$M$5*2*Таблица1[[#This Row],[Столбец1]]*Таблица1[[#This Row],[коэф]])),
IF((G629="3/24"),((база!$M$4*2*Таблица1[[#This Row],[Столбец1]]*Таблица1[[#This Row],[коэф]])),
IF((G629="5/16"),((база!$L$6*2*Таблица1[[#This Row],[Столбец1]]*Таблица1[[#This Row],[коэф]])),
IF((G629="4/16"),((база!$L$5*2*Таблица1[[#This Row],[Столбец1]]*Таблица1[[#This Row],[коэф]])),
IF((G629="3/16"),((база!$L$4*2*Таблица1[[#This Row],[Столбец1]]*Таблица1[[#This Row],[коэф]])),
IF((G629="4/4"),((база!$I$5*2*Таблица1[[#This Row],[Столбец1]]*Таблица1[[#This Row],[коэф]])),
IF(OR(G629="2/4",G629="3/4"),((база!$I$4*2*Таблица1[[#This Row],[Столбец1]]*Таблица1[[#This Row],[коэф]])),
IF((G629="5/8"),((база!$J$6*2*Таблица1[[#This Row],[Столбец1]]*Таблица1[[#This Row],[коэф]])),
IF((G629="4/8"),((база!$J$5*2*Таблица1[[#This Row],[Столбец1]]*Таблица1[[#This Row],[коэф]])),
IF(OR(G629="3/8",G629="2/8"),((база!$J$4*2*Таблица1[[#This Row],[Столбец1]]*Таблица1[[#This Row],[коэф]])))))))))))))),
(IF((G629="5/24"),((база!$M$6*2*Таблица1[[#This Row],[Столбец1]]*Таблица1[[#This Row],[коэф]])),
IF(OR(G629="4/24",G629="3/24"),((база!$M$5*2*Таблица1[[#This Row],[Столбец1]]*Таблица1[[#This Row],[коэф]])),
IF((G629="5/16"),((база!$L$6*2*Таблица1[[#This Row],[Столбец1]]*Таблица1[[#This Row],[коэф]])),
IF(OR(G629="4/16",G629="3/16"),((база!$L$5*2*Таблица1[[#This Row],[Столбец1]]*Таблица1[[#This Row],[коэф]])),
IF(OR(G629="2/4",G629="3/4",G629="4/4"),((база!$I$5*2*Таблица1[[#This Row],[Столбец1]]*Таблица1[[#This Row],[коэф]])),
IF((G629="5/8"),((база!$J$6*2*Таблица1[[#This Row],[Столбец1]]*Таблица1[[#This Row],[коэф]])),
IF(OR(G629="4/8",G629="3/8",G629="2/8"),((база!$J$5*2*Таблица1[[#This Row],[Столбец1]]*Таблица1[[#This Row],[коэф]])))))))))))</f>
        <v>0</v>
      </c>
      <c r="AQ629" s="712" t="str">
        <f>IFERROR(INDEX(база!T:T, MATCH(F629,база!Q:Q,0)),"")</f>
        <v/>
      </c>
      <c r="AR629" s="208" t="str">
        <f>IFERROR(INDEX(база!D:D, MATCH(F629,база!B:B,0)),"")</f>
        <v/>
      </c>
      <c r="AS629" s="758" t="str">
        <f>IFERROR(INDEX(база!E:E, MATCH(F629,база!B:B,0)),"")</f>
        <v/>
      </c>
    </row>
    <row r="630" spans="1:45" s="46" customFormat="1" ht="15">
      <c r="A630" s="66" t="str">
        <f t="shared" si="8"/>
        <v>январь</v>
      </c>
      <c r="B630" s="231">
        <v>2024</v>
      </c>
      <c r="C630" s="299"/>
      <c r="D630" s="61"/>
      <c r="E630" s="211"/>
      <c r="F630" s="680"/>
      <c r="G630" s="47"/>
      <c r="H630" s="563"/>
      <c r="I630" s="563"/>
      <c r="J630" s="563"/>
      <c r="K630" s="563"/>
      <c r="L630" s="563"/>
      <c r="M630" s="563"/>
      <c r="N630" s="563"/>
      <c r="O630" s="563"/>
      <c r="P630" s="300"/>
      <c r="Q630" s="563"/>
      <c r="R630" s="563"/>
      <c r="S630" s="563"/>
      <c r="T630" s="563"/>
      <c r="U630" s="563"/>
      <c r="V630" s="563"/>
      <c r="W630" s="563"/>
      <c r="X630" s="563"/>
      <c r="Y630" s="563"/>
      <c r="Z630" s="563"/>
      <c r="AA630" s="563"/>
      <c r="AB630" s="563"/>
      <c r="AC630" s="563"/>
      <c r="AD630" s="48"/>
      <c r="AE630" s="48"/>
      <c r="AF630" s="258"/>
      <c r="AG630" s="48"/>
      <c r="AH630" s="48"/>
      <c r="AI630" s="48"/>
      <c r="AJ630" s="48"/>
      <c r="AK630" s="48"/>
      <c r="AL630" s="51"/>
      <c r="AM630" s="212">
        <f>IF(AQ630=1,SUM(Q630:T630,W630:Z630,AC630:AF630,AI630:AL630),
IF(AQ630=2,SUM(P630,S630:V630,Y630:AB630,AE630:AH630,AK630:AL630),
IF(AQ630=3,SUM(P630:R630,U630:X630,AA630:AD630,AG630:AJ630),SUM(Таблица1[[#This Row],[1]:[31]])-Таблица1[[#This Row],[Столбец1]])))</f>
        <v>0</v>
      </c>
      <c r="AN630" s="778">
        <f t="array" ref="AN630">IF(AQ630=1,SUM(P630,U630:V630,AA630:AB630,AG630:AH630),
IF(AQ630=2,SUM(Q630:R630,W630:X630,AC630:AD630,AI630:AJ630),
IF(AQ630=3,SUM(S630:T630,Y630:Z630,AE630:AF630,AK630:AL630),
SUM(IFERROR(WEEKDAY($H$2:$AL$2,2)&gt;5,)*H630:AL630))))+Таблица1[[#This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30" s="292" t="b">
        <f>IF(AR630&lt;=3,(IF((G630="5/24"),((база!$M$6*Таблица1[[#This Row],[сумма]]*Таблица1[[#This Row],[коэф]])),
IF((G630="4/24"),((база!$M$5*Таблица1[[#This Row],[сумма]]*Таблица1[[#This Row],[коэф]])),
IF((G630="3/24"),((база!$M$4*Таблица1[[#This Row],[сумма]]*Таблица1[[#This Row],[коэф]])),
IF((G630="5/16"),((база!$L$6*Таблица1[[#This Row],[сумма]]*Таблица1[[#This Row],[коэф]])),
IF((G630="4/16"),((база!$L$5*Таблица1[[#This Row],[сумма]]*Таблица1[[#This Row],[коэф]])),
IF((G630="3/16"),((база!$L$4*Таблица1[[#This Row],[сумма]]*Таблица1[[#This Row],[коэф]])),
IF((G630="4/4"),((база!$I$5*Таблица1[[#This Row],[сумма]]*Таблица1[[#This Row],[коэф]])),
IF(OR(G630="2/4",G630="3/4"),((база!$I$4*Таблица1[[#This Row],[сумма]]*Таблица1[[#This Row],[коэф]])),
IF((G630="5/8"),((база!$J$6*Таблица1[[#This Row],[сумма]]*Таблица1[[#This Row],[коэф]])),
IF((G630="4/8"),((база!$J$5*Таблица1[[#This Row],[сумма]]*Таблица1[[#This Row],[коэф]])),
IF(OR(G630="3/8",G630="2/8"),((база!$J$4*Таблица1[[#This Row],[сумма]]*Таблица1[[#This Row],[коэф]])))))))))))))),
(IF((G630="5/24"),((база!$M$6*Таблица1[[#This Row],[сумма]]*Таблица1[[#This Row],[коэф]])),
IF(OR(G630="4/24",G630="3/24"),((база!$M$5*Таблица1[[#This Row],[сумма]]*Таблица1[[#This Row],[коэф]])),
IF((G630="5/16"),((база!$L$6*Таблица1[[#This Row],[сумма]]*Таблица1[[#This Row],[коэф]])),
IF(OR(G630="4/16",G630="3/16"),((база!$L$5*Таблица1[[#This Row],[сумма]]*Таблица1[[#This Row],[коэф]])),
IF(OR(G630="2/4",G630="3/4",G630="4/4"),((база!$I$5*Таблица1[[#This Row],[сумма]]*Таблица1[[#This Row],[коэф]])),
IF((G630="5/8"),((база!$J$6*Таблица1[[#This Row],[сумма]]*Таблица1[[#This Row],[коэф]])),
IF(OR(G630="4/8",G630="3/8",G630="2/8"),((база!$J$5*Таблица1[[#This Row],[сумма]]*Таблица1[[#This Row],[коэф]])))))))))))</f>
        <v>0</v>
      </c>
      <c r="AP630" s="730" t="b">
        <f>IF(AR630&lt;=3,(IF((G630="5/24"),((база!$M$6*2*Таблица1[[#This Row],[Столбец1]]*Таблица1[[#This Row],[коэф]])),
IF((G630="4/24"),((база!$M$5*2*Таблица1[[#This Row],[Столбец1]]*Таблица1[[#This Row],[коэф]])),
IF((G630="3/24"),((база!$M$4*2*Таблица1[[#This Row],[Столбец1]]*Таблица1[[#This Row],[коэф]])),
IF((G630="5/16"),((база!$L$6*2*Таблица1[[#This Row],[Столбец1]]*Таблица1[[#This Row],[коэф]])),
IF((G630="4/16"),((база!$L$5*2*Таблица1[[#This Row],[Столбец1]]*Таблица1[[#This Row],[коэф]])),
IF((G630="3/16"),((база!$L$4*2*Таблица1[[#This Row],[Столбец1]]*Таблица1[[#This Row],[коэф]])),
IF((G630="4/4"),((база!$I$5*2*Таблица1[[#This Row],[Столбец1]]*Таблица1[[#This Row],[коэф]])),
IF(OR(G630="2/4",G630="3/4"),((база!$I$4*2*Таблица1[[#This Row],[Столбец1]]*Таблица1[[#This Row],[коэф]])),
IF((G630="5/8"),((база!$J$6*2*Таблица1[[#This Row],[Столбец1]]*Таблица1[[#This Row],[коэф]])),
IF((G630="4/8"),((база!$J$5*2*Таблица1[[#This Row],[Столбец1]]*Таблица1[[#This Row],[коэф]])),
IF(OR(G630="3/8",G630="2/8"),((база!$J$4*2*Таблица1[[#This Row],[Столбец1]]*Таблица1[[#This Row],[коэф]])))))))))))))),
(IF((G630="5/24"),((база!$M$6*2*Таблица1[[#This Row],[Столбец1]]*Таблица1[[#This Row],[коэф]])),
IF(OR(G630="4/24",G630="3/24"),((база!$M$5*2*Таблица1[[#This Row],[Столбец1]]*Таблица1[[#This Row],[коэф]])),
IF((G630="5/16"),((база!$L$6*2*Таблица1[[#This Row],[Столбец1]]*Таблица1[[#This Row],[коэф]])),
IF(OR(G630="4/16",G630="3/16"),((база!$L$5*2*Таблица1[[#This Row],[Столбец1]]*Таблица1[[#This Row],[коэф]])),
IF(OR(G630="2/4",G630="3/4",G630="4/4"),((база!$I$5*2*Таблица1[[#This Row],[Столбец1]]*Таблица1[[#This Row],[коэф]])),
IF((G630="5/8"),((база!$J$6*2*Таблица1[[#This Row],[Столбец1]]*Таблица1[[#This Row],[коэф]])),
IF(OR(G630="4/8",G630="3/8",G630="2/8"),((база!$J$5*2*Таблица1[[#This Row],[Столбец1]]*Таблица1[[#This Row],[коэф]])))))))))))</f>
        <v>0</v>
      </c>
      <c r="AQ630" s="712" t="str">
        <f>IFERROR(INDEX(база!T:T, MATCH(F630,база!Q:Q,0)),"")</f>
        <v/>
      </c>
      <c r="AR630" s="208" t="str">
        <f>IFERROR(INDEX(база!D:D, MATCH(F630,база!B:B,0)),"")</f>
        <v/>
      </c>
      <c r="AS630" s="758" t="str">
        <f>IFERROR(INDEX(база!E:E, MATCH(F630,база!B:B,0)),"")</f>
        <v/>
      </c>
    </row>
    <row r="631" spans="1:45" s="46" customFormat="1" ht="15">
      <c r="A631" s="66" t="str">
        <f t="shared" si="8"/>
        <v>январь</v>
      </c>
      <c r="B631" s="231">
        <v>2024</v>
      </c>
      <c r="C631" s="299"/>
      <c r="D631" s="61"/>
      <c r="E631" s="211"/>
      <c r="F631" s="680"/>
      <c r="G631" s="47"/>
      <c r="H631" s="563"/>
      <c r="I631" s="563"/>
      <c r="J631" s="563"/>
      <c r="K631" s="563"/>
      <c r="L631" s="563"/>
      <c r="M631" s="563"/>
      <c r="N631" s="563"/>
      <c r="O631" s="563"/>
      <c r="P631" s="300"/>
      <c r="Q631" s="563"/>
      <c r="R631" s="563"/>
      <c r="S631" s="563"/>
      <c r="T631" s="563"/>
      <c r="U631" s="563"/>
      <c r="V631" s="563"/>
      <c r="W631" s="563"/>
      <c r="X631" s="563"/>
      <c r="Y631" s="563"/>
      <c r="Z631" s="563"/>
      <c r="AA631" s="563"/>
      <c r="AB631" s="563"/>
      <c r="AC631" s="563"/>
      <c r="AD631" s="48"/>
      <c r="AE631" s="48"/>
      <c r="AF631" s="258"/>
      <c r="AG631" s="48"/>
      <c r="AH631" s="48"/>
      <c r="AI631" s="258"/>
      <c r="AJ631" s="258"/>
      <c r="AK631" s="258"/>
      <c r="AL631" s="258"/>
      <c r="AM631" s="212">
        <f>IF(AQ631=1,SUM(Q631:T631,W631:Z631,AC631:AF631,AI631:AL631),
IF(AQ631=2,SUM(P631,S631:V631,Y631:AB631,AE631:AH631,AK631:AL631),
IF(AQ631=3,SUM(P631:R631,U631:X631,AA631:AD631,AG631:AJ631),SUM(Таблица1[[#This Row],[1]:[31]])-Таблица1[[#This Row],[Столбец1]])))</f>
        <v>0</v>
      </c>
      <c r="AN631" s="778">
        <f t="array" ref="AN631">IF(AQ631=1,SUM(P631,U631:V631,AA631:AB631,AG631:AH631),
IF(AQ631=2,SUM(Q631:R631,W631:X631,AC631:AD631,AI631:AJ631),
IF(AQ631=3,SUM(S631:T631,Y631:Z631,AE631:AF631,AK631:AL631),
SUM(IFERROR(WEEKDAY($H$2:$AL$2,2)&gt;5,)*H631:AL631))))+Таблица1[[#This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31" s="292" t="b">
        <f>IF(AR631&lt;=3,(IF((G631="5/24"),((база!$M$6*Таблица1[[#This Row],[сумма]]*Таблица1[[#This Row],[коэф]])),
IF((G631="4/24"),((база!$M$5*Таблица1[[#This Row],[сумма]]*Таблица1[[#This Row],[коэф]])),
IF((G631="3/24"),((база!$M$4*Таблица1[[#This Row],[сумма]]*Таблица1[[#This Row],[коэф]])),
IF((G631="5/16"),((база!$L$6*Таблица1[[#This Row],[сумма]]*Таблица1[[#This Row],[коэф]])),
IF((G631="4/16"),((база!$L$5*Таблица1[[#This Row],[сумма]]*Таблица1[[#This Row],[коэф]])),
IF((G631="3/16"),((база!$L$4*Таблица1[[#This Row],[сумма]]*Таблица1[[#This Row],[коэф]])),
IF((G631="4/4"),((база!$I$5*Таблица1[[#This Row],[сумма]]*Таблица1[[#This Row],[коэф]])),
IF(OR(G631="2/4",G631="3/4"),((база!$I$4*Таблица1[[#This Row],[сумма]]*Таблица1[[#This Row],[коэф]])),
IF((G631="5/8"),((база!$J$6*Таблица1[[#This Row],[сумма]]*Таблица1[[#This Row],[коэф]])),
IF((G631="4/8"),((база!$J$5*Таблица1[[#This Row],[сумма]]*Таблица1[[#This Row],[коэф]])),
IF(OR(G631="3/8",G631="2/8"),((база!$J$4*Таблица1[[#This Row],[сумма]]*Таблица1[[#This Row],[коэф]])))))))))))))),
(IF((G631="5/24"),((база!$M$6*Таблица1[[#This Row],[сумма]]*Таблица1[[#This Row],[коэф]])),
IF(OR(G631="4/24",G631="3/24"),((база!$M$5*Таблица1[[#This Row],[сумма]]*Таблица1[[#This Row],[коэф]])),
IF((G631="5/16"),((база!$L$6*Таблица1[[#This Row],[сумма]]*Таблица1[[#This Row],[коэф]])),
IF(OR(G631="4/16",G631="3/16"),((база!$L$5*Таблица1[[#This Row],[сумма]]*Таблица1[[#This Row],[коэф]])),
IF(OR(G631="2/4",G631="3/4",G631="4/4"),((база!$I$5*Таблица1[[#This Row],[сумма]]*Таблица1[[#This Row],[коэф]])),
IF((G631="5/8"),((база!$J$6*Таблица1[[#This Row],[сумма]]*Таблица1[[#This Row],[коэф]])),
IF(OR(G631="4/8",G631="3/8",G631="2/8"),((база!$J$5*Таблица1[[#This Row],[сумма]]*Таблица1[[#This Row],[коэф]])))))))))))</f>
        <v>0</v>
      </c>
      <c r="AP631" s="730" t="b">
        <f>IF(AR631&lt;=3,(IF((G631="5/24"),((база!$M$6*2*Таблица1[[#This Row],[Столбец1]]*Таблица1[[#This Row],[коэф]])),
IF((G631="4/24"),((база!$M$5*2*Таблица1[[#This Row],[Столбец1]]*Таблица1[[#This Row],[коэф]])),
IF((G631="3/24"),((база!$M$4*2*Таблица1[[#This Row],[Столбец1]]*Таблица1[[#This Row],[коэф]])),
IF((G631="5/16"),((база!$L$6*2*Таблица1[[#This Row],[Столбец1]]*Таблица1[[#This Row],[коэф]])),
IF((G631="4/16"),((база!$L$5*2*Таблица1[[#This Row],[Столбец1]]*Таблица1[[#This Row],[коэф]])),
IF((G631="3/16"),((база!$L$4*2*Таблица1[[#This Row],[Столбец1]]*Таблица1[[#This Row],[коэф]])),
IF((G631="4/4"),((база!$I$5*2*Таблица1[[#This Row],[Столбец1]]*Таблица1[[#This Row],[коэф]])),
IF(OR(G631="2/4",G631="3/4"),((база!$I$4*2*Таблица1[[#This Row],[Столбец1]]*Таблица1[[#This Row],[коэф]])),
IF((G631="5/8"),((база!$J$6*2*Таблица1[[#This Row],[Столбец1]]*Таблица1[[#This Row],[коэф]])),
IF((G631="4/8"),((база!$J$5*2*Таблица1[[#This Row],[Столбец1]]*Таблица1[[#This Row],[коэф]])),
IF(OR(G631="3/8",G631="2/8"),((база!$J$4*2*Таблица1[[#This Row],[Столбец1]]*Таблица1[[#This Row],[коэф]])))))))))))))),
(IF((G631="5/24"),((база!$M$6*2*Таблица1[[#This Row],[Столбец1]]*Таблица1[[#This Row],[коэф]])),
IF(OR(G631="4/24",G631="3/24"),((база!$M$5*2*Таблица1[[#This Row],[Столбец1]]*Таблица1[[#This Row],[коэф]])),
IF((G631="5/16"),((база!$L$6*2*Таблица1[[#This Row],[Столбец1]]*Таблица1[[#This Row],[коэф]])),
IF(OR(G631="4/16",G631="3/16"),((база!$L$5*2*Таблица1[[#This Row],[Столбец1]]*Таблица1[[#This Row],[коэф]])),
IF(OR(G631="2/4",G631="3/4",G631="4/4"),((база!$I$5*2*Таблица1[[#This Row],[Столбец1]]*Таблица1[[#This Row],[коэф]])),
IF((G631="5/8"),((база!$J$6*2*Таблица1[[#This Row],[Столбец1]]*Таблица1[[#This Row],[коэф]])),
IF(OR(G631="4/8",G631="3/8",G631="2/8"),((база!$J$5*2*Таблица1[[#This Row],[Столбец1]]*Таблица1[[#This Row],[коэф]])))))))))))</f>
        <v>0</v>
      </c>
      <c r="AQ631" s="712" t="str">
        <f>IFERROR(INDEX(база!T:T, MATCH(F631,база!Q:Q,0)),"")</f>
        <v/>
      </c>
      <c r="AR631" s="208" t="str">
        <f>IFERROR(INDEX(база!D:D, MATCH(F631,база!B:B,0)),"")</f>
        <v/>
      </c>
      <c r="AS631" s="758" t="str">
        <f>IFERROR(INDEX(база!E:E, MATCH(F631,база!B:B,0)),"")</f>
        <v/>
      </c>
    </row>
    <row r="632" spans="1:45" s="46" customFormat="1" ht="15">
      <c r="A632" s="66" t="str">
        <f t="shared" si="8"/>
        <v>январь</v>
      </c>
      <c r="B632" s="231">
        <v>2024</v>
      </c>
      <c r="C632" s="299"/>
      <c r="D632" s="61"/>
      <c r="E632" s="211"/>
      <c r="F632" s="680"/>
      <c r="G632" s="47"/>
      <c r="H632" s="563"/>
      <c r="I632" s="563"/>
      <c r="J632" s="563"/>
      <c r="K632" s="563"/>
      <c r="L632" s="563"/>
      <c r="M632" s="563"/>
      <c r="N632" s="563"/>
      <c r="O632" s="563"/>
      <c r="P632" s="300"/>
      <c r="Q632" s="563"/>
      <c r="R632" s="563"/>
      <c r="S632" s="563"/>
      <c r="T632" s="563"/>
      <c r="U632" s="563"/>
      <c r="V632" s="563"/>
      <c r="W632" s="563"/>
      <c r="X632" s="563"/>
      <c r="Y632" s="563"/>
      <c r="Z632" s="563"/>
      <c r="AA632" s="563"/>
      <c r="AB632" s="563"/>
      <c r="AC632" s="563"/>
      <c r="AD632" s="48"/>
      <c r="AE632" s="48"/>
      <c r="AF632" s="258"/>
      <c r="AG632" s="48"/>
      <c r="AH632" s="48"/>
      <c r="AI632" s="48"/>
      <c r="AJ632" s="48"/>
      <c r="AK632" s="48"/>
      <c r="AL632" s="51"/>
      <c r="AM632" s="212">
        <f>IF(AQ632=1,SUM(Q632:T632,W632:Z632,AC632:AF632,AI632:AL632),
IF(AQ632=2,SUM(P632,S632:V632,Y632:AB632,AE632:AH632,AK632:AL632),
IF(AQ632=3,SUM(P632:R632,U632:X632,AA632:AD632,AG632:AJ632),SUM(Таблица1[[#This Row],[1]:[31]])-Таблица1[[#This Row],[Столбец1]])))</f>
        <v>0</v>
      </c>
      <c r="AN632" s="778">
        <f t="array" ref="AN632">IF(AQ632=1,SUM(P632,U632:V632,AA632:AB632,AG632:AH632),
IF(AQ632=2,SUM(Q632:R632,W632:X632,AC632:AD632,AI632:AJ632),
IF(AQ632=3,SUM(S632:T632,Y632:Z632,AE632:AF632,AK632:AL632),
SUM(IFERROR(WEEKDAY($H$2:$AL$2,2)&gt;5,)*H632:AL632))))+Таблица1[[#This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32" s="292" t="b">
        <f>IF(AR632&lt;=3,(IF((G632="5/24"),((база!$M$6*Таблица1[[#This Row],[сумма]]*Таблица1[[#This Row],[коэф]])),
IF((G632="4/24"),((база!$M$5*Таблица1[[#This Row],[сумма]]*Таблица1[[#This Row],[коэф]])),
IF((G632="3/24"),((база!$M$4*Таблица1[[#This Row],[сумма]]*Таблица1[[#This Row],[коэф]])),
IF((G632="5/16"),((база!$L$6*Таблица1[[#This Row],[сумма]]*Таблица1[[#This Row],[коэф]])),
IF((G632="4/16"),((база!$L$5*Таблица1[[#This Row],[сумма]]*Таблица1[[#This Row],[коэф]])),
IF((G632="3/16"),((база!$L$4*Таблица1[[#This Row],[сумма]]*Таблица1[[#This Row],[коэф]])),
IF((G632="4/4"),((база!$I$5*Таблица1[[#This Row],[сумма]]*Таблица1[[#This Row],[коэф]])),
IF(OR(G632="2/4",G632="3/4"),((база!$I$4*Таблица1[[#This Row],[сумма]]*Таблица1[[#This Row],[коэф]])),
IF((G632="5/8"),((база!$J$6*Таблица1[[#This Row],[сумма]]*Таблица1[[#This Row],[коэф]])),
IF((G632="4/8"),((база!$J$5*Таблица1[[#This Row],[сумма]]*Таблица1[[#This Row],[коэф]])),
IF(OR(G632="3/8",G632="2/8"),((база!$J$4*Таблица1[[#This Row],[сумма]]*Таблица1[[#This Row],[коэф]])))))))))))))),
(IF((G632="5/24"),((база!$M$6*Таблица1[[#This Row],[сумма]]*Таблица1[[#This Row],[коэф]])),
IF(OR(G632="4/24",G632="3/24"),((база!$M$5*Таблица1[[#This Row],[сумма]]*Таблица1[[#This Row],[коэф]])),
IF((G632="5/16"),((база!$L$6*Таблица1[[#This Row],[сумма]]*Таблица1[[#This Row],[коэф]])),
IF(OR(G632="4/16",G632="3/16"),((база!$L$5*Таблица1[[#This Row],[сумма]]*Таблица1[[#This Row],[коэф]])),
IF(OR(G632="2/4",G632="3/4",G632="4/4"),((база!$I$5*Таблица1[[#This Row],[сумма]]*Таблица1[[#This Row],[коэф]])),
IF((G632="5/8"),((база!$J$6*Таблица1[[#This Row],[сумма]]*Таблица1[[#This Row],[коэф]])),
IF(OR(G632="4/8",G632="3/8",G632="2/8"),((база!$J$5*Таблица1[[#This Row],[сумма]]*Таблица1[[#This Row],[коэф]])))))))))))</f>
        <v>0</v>
      </c>
      <c r="AP632" s="730" t="b">
        <f>IF(AR632&lt;=3,(IF((G632="5/24"),((база!$M$6*2*Таблица1[[#This Row],[Столбец1]]*Таблица1[[#This Row],[коэф]])),
IF((G632="4/24"),((база!$M$5*2*Таблица1[[#This Row],[Столбец1]]*Таблица1[[#This Row],[коэф]])),
IF((G632="3/24"),((база!$M$4*2*Таблица1[[#This Row],[Столбец1]]*Таблица1[[#This Row],[коэф]])),
IF((G632="5/16"),((база!$L$6*2*Таблица1[[#This Row],[Столбец1]]*Таблица1[[#This Row],[коэф]])),
IF((G632="4/16"),((база!$L$5*2*Таблица1[[#This Row],[Столбец1]]*Таблица1[[#This Row],[коэф]])),
IF((G632="3/16"),((база!$L$4*2*Таблица1[[#This Row],[Столбец1]]*Таблица1[[#This Row],[коэф]])),
IF((G632="4/4"),((база!$I$5*2*Таблица1[[#This Row],[Столбец1]]*Таблица1[[#This Row],[коэф]])),
IF(OR(G632="2/4",G632="3/4"),((база!$I$4*2*Таблица1[[#This Row],[Столбец1]]*Таблица1[[#This Row],[коэф]])),
IF((G632="5/8"),((база!$J$6*2*Таблица1[[#This Row],[Столбец1]]*Таблица1[[#This Row],[коэф]])),
IF((G632="4/8"),((база!$J$5*2*Таблица1[[#This Row],[Столбец1]]*Таблица1[[#This Row],[коэф]])),
IF(OR(G632="3/8",G632="2/8"),((база!$J$4*2*Таблица1[[#This Row],[Столбец1]]*Таблица1[[#This Row],[коэф]])))))))))))))),
(IF((G632="5/24"),((база!$M$6*2*Таблица1[[#This Row],[Столбец1]]*Таблица1[[#This Row],[коэф]])),
IF(OR(G632="4/24",G632="3/24"),((база!$M$5*2*Таблица1[[#This Row],[Столбец1]]*Таблица1[[#This Row],[коэф]])),
IF((G632="5/16"),((база!$L$6*2*Таблица1[[#This Row],[Столбец1]]*Таблица1[[#This Row],[коэф]])),
IF(OR(G632="4/16",G632="3/16"),((база!$L$5*2*Таблица1[[#This Row],[Столбец1]]*Таблица1[[#This Row],[коэф]])),
IF(OR(G632="2/4",G632="3/4",G632="4/4"),((база!$I$5*2*Таблица1[[#This Row],[Столбец1]]*Таблица1[[#This Row],[коэф]])),
IF((G632="5/8"),((база!$J$6*2*Таблица1[[#This Row],[Столбец1]]*Таблица1[[#This Row],[коэф]])),
IF(OR(G632="4/8",G632="3/8",G632="2/8"),((база!$J$5*2*Таблица1[[#This Row],[Столбец1]]*Таблица1[[#This Row],[коэф]])))))))))))</f>
        <v>0</v>
      </c>
      <c r="AQ632" s="712" t="str">
        <f>IFERROR(INDEX(база!T:T, MATCH(F632,база!Q:Q,0)),"")</f>
        <v/>
      </c>
      <c r="AR632" s="208" t="str">
        <f>IFERROR(INDEX(база!D:D, MATCH(F632,база!B:B,0)),"")</f>
        <v/>
      </c>
      <c r="AS632" s="758" t="str">
        <f>IFERROR(INDEX(база!E:E, MATCH(F632,база!B:B,0)),"")</f>
        <v/>
      </c>
    </row>
    <row r="633" spans="1:45" s="46" customFormat="1" ht="15">
      <c r="A633" s="66" t="str">
        <f t="shared" si="8"/>
        <v>январь</v>
      </c>
      <c r="B633" s="231">
        <v>2024</v>
      </c>
      <c r="C633" s="299"/>
      <c r="D633" s="61"/>
      <c r="E633" s="211"/>
      <c r="F633" s="680"/>
      <c r="G633" s="47"/>
      <c r="H633" s="563"/>
      <c r="I633" s="563"/>
      <c r="J633" s="563"/>
      <c r="K633" s="563"/>
      <c r="L633" s="563"/>
      <c r="M633" s="563"/>
      <c r="N633" s="563"/>
      <c r="O633" s="563"/>
      <c r="P633" s="300"/>
      <c r="Q633" s="563"/>
      <c r="R633" s="563"/>
      <c r="S633" s="563"/>
      <c r="T633" s="563"/>
      <c r="U633" s="563"/>
      <c r="V633" s="563"/>
      <c r="W633" s="563"/>
      <c r="X633" s="563"/>
      <c r="Y633" s="563"/>
      <c r="Z633" s="563"/>
      <c r="AA633" s="563"/>
      <c r="AB633" s="563"/>
      <c r="AC633" s="563"/>
      <c r="AD633" s="48"/>
      <c r="AE633" s="48"/>
      <c r="AF633" s="258"/>
      <c r="AG633" s="48"/>
      <c r="AH633" s="48"/>
      <c r="AI633" s="258"/>
      <c r="AJ633" s="258"/>
      <c r="AK633" s="258"/>
      <c r="AL633" s="258"/>
      <c r="AM633" s="212">
        <f>IF(AQ633=1,SUM(Q633:T633,W633:Z633,AC633:AF633,AI633:AL633),
IF(AQ633=2,SUM(P633,S633:V633,Y633:AB633,AE633:AH633,AK633:AL633),
IF(AQ633=3,SUM(P633:R633,U633:X633,AA633:AD633,AG633:AJ633),SUM(Таблица1[[#This Row],[1]:[31]])-Таблица1[[#This Row],[Столбец1]])))</f>
        <v>0</v>
      </c>
      <c r="AN633" s="778">
        <f t="array" ref="AN633">IF(AQ633=1,SUM(P633,U633:V633,AA633:AB633,AG633:AH633),
IF(AQ633=2,SUM(Q633:R633,W633:X633,AC633:AD633,AI633:AJ633),
IF(AQ633=3,SUM(S633:T633,Y633:Z633,AE633:AF633,AK633:AL633),
SUM(IFERROR(WEEKDAY($H$2:$AL$2,2)&gt;5,)*H633:AL633))))+Таблица1[[#This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33" s="292" t="b">
        <f>IF(AR633&lt;=3,(IF((G633="5/24"),((база!$M$6*Таблица1[[#This Row],[сумма]]*Таблица1[[#This Row],[коэф]])),
IF((G633="4/24"),((база!$M$5*Таблица1[[#This Row],[сумма]]*Таблица1[[#This Row],[коэф]])),
IF((G633="3/24"),((база!$M$4*Таблица1[[#This Row],[сумма]]*Таблица1[[#This Row],[коэф]])),
IF((G633="5/16"),((база!$L$6*Таблица1[[#This Row],[сумма]]*Таблица1[[#This Row],[коэф]])),
IF((G633="4/16"),((база!$L$5*Таблица1[[#This Row],[сумма]]*Таблица1[[#This Row],[коэф]])),
IF((G633="3/16"),((база!$L$4*Таблица1[[#This Row],[сумма]]*Таблица1[[#This Row],[коэф]])),
IF((G633="4/4"),((база!$I$5*Таблица1[[#This Row],[сумма]]*Таблица1[[#This Row],[коэф]])),
IF(OR(G633="2/4",G633="3/4"),((база!$I$4*Таблица1[[#This Row],[сумма]]*Таблица1[[#This Row],[коэф]])),
IF((G633="5/8"),((база!$J$6*Таблица1[[#This Row],[сумма]]*Таблица1[[#This Row],[коэф]])),
IF((G633="4/8"),((база!$J$5*Таблица1[[#This Row],[сумма]]*Таблица1[[#This Row],[коэф]])),
IF(OR(G633="3/8",G633="2/8"),((база!$J$4*Таблица1[[#This Row],[сумма]]*Таблица1[[#This Row],[коэф]])))))))))))))),
(IF((G633="5/24"),((база!$M$6*Таблица1[[#This Row],[сумма]]*Таблица1[[#This Row],[коэф]])),
IF(OR(G633="4/24",G633="3/24"),((база!$M$5*Таблица1[[#This Row],[сумма]]*Таблица1[[#This Row],[коэф]])),
IF((G633="5/16"),((база!$L$6*Таблица1[[#This Row],[сумма]]*Таблица1[[#This Row],[коэф]])),
IF(OR(G633="4/16",G633="3/16"),((база!$L$5*Таблица1[[#This Row],[сумма]]*Таблица1[[#This Row],[коэф]])),
IF(OR(G633="2/4",G633="3/4",G633="4/4"),((база!$I$5*Таблица1[[#This Row],[сумма]]*Таблица1[[#This Row],[коэф]])),
IF((G633="5/8"),((база!$J$6*Таблица1[[#This Row],[сумма]]*Таблица1[[#This Row],[коэф]])),
IF(OR(G633="4/8",G633="3/8",G633="2/8"),((база!$J$5*Таблица1[[#This Row],[сумма]]*Таблица1[[#This Row],[коэф]])))))))))))</f>
        <v>0</v>
      </c>
      <c r="AP633" s="730" t="b">
        <f>IF(AR633&lt;=3,(IF((G633="5/24"),((база!$M$6*2*Таблица1[[#This Row],[Столбец1]]*Таблица1[[#This Row],[коэф]])),
IF((G633="4/24"),((база!$M$5*2*Таблица1[[#This Row],[Столбец1]]*Таблица1[[#This Row],[коэф]])),
IF((G633="3/24"),((база!$M$4*2*Таблица1[[#This Row],[Столбец1]]*Таблица1[[#This Row],[коэф]])),
IF((G633="5/16"),((база!$L$6*2*Таблица1[[#This Row],[Столбец1]]*Таблица1[[#This Row],[коэф]])),
IF((G633="4/16"),((база!$L$5*2*Таблица1[[#This Row],[Столбец1]]*Таблица1[[#This Row],[коэф]])),
IF((G633="3/16"),((база!$L$4*2*Таблица1[[#This Row],[Столбец1]]*Таблица1[[#This Row],[коэф]])),
IF((G633="4/4"),((база!$I$5*2*Таблица1[[#This Row],[Столбец1]]*Таблица1[[#This Row],[коэф]])),
IF(OR(G633="2/4",G633="3/4"),((база!$I$4*2*Таблица1[[#This Row],[Столбец1]]*Таблица1[[#This Row],[коэф]])),
IF((G633="5/8"),((база!$J$6*2*Таблица1[[#This Row],[Столбец1]]*Таблица1[[#This Row],[коэф]])),
IF((G633="4/8"),((база!$J$5*2*Таблица1[[#This Row],[Столбец1]]*Таблица1[[#This Row],[коэф]])),
IF(OR(G633="3/8",G633="2/8"),((база!$J$4*2*Таблица1[[#This Row],[Столбец1]]*Таблица1[[#This Row],[коэф]])))))))))))))),
(IF((G633="5/24"),((база!$M$6*2*Таблица1[[#This Row],[Столбец1]]*Таблица1[[#This Row],[коэф]])),
IF(OR(G633="4/24",G633="3/24"),((база!$M$5*2*Таблица1[[#This Row],[Столбец1]]*Таблица1[[#This Row],[коэф]])),
IF((G633="5/16"),((база!$L$6*2*Таблица1[[#This Row],[Столбец1]]*Таблица1[[#This Row],[коэф]])),
IF(OR(G633="4/16",G633="3/16"),((база!$L$5*2*Таблица1[[#This Row],[Столбец1]]*Таблица1[[#This Row],[коэф]])),
IF(OR(G633="2/4",G633="3/4",G633="4/4"),((база!$I$5*2*Таблица1[[#This Row],[Столбец1]]*Таблица1[[#This Row],[коэф]])),
IF((G633="5/8"),((база!$J$6*2*Таблица1[[#This Row],[Столбец1]]*Таблица1[[#This Row],[коэф]])),
IF(OR(G633="4/8",G633="3/8",G633="2/8"),((база!$J$5*2*Таблица1[[#This Row],[Столбец1]]*Таблица1[[#This Row],[коэф]])))))))))))</f>
        <v>0</v>
      </c>
      <c r="AQ633" s="712" t="str">
        <f>IFERROR(INDEX(база!T:T, MATCH(F633,база!Q:Q,0)),"")</f>
        <v/>
      </c>
      <c r="AR633" s="208" t="str">
        <f>IFERROR(INDEX(база!D:D, MATCH(F633,база!B:B,0)),"")</f>
        <v/>
      </c>
      <c r="AS633" s="758" t="str">
        <f>IFERROR(INDEX(база!E:E, MATCH(F633,база!B:B,0)),"")</f>
        <v/>
      </c>
    </row>
    <row r="634" spans="1:45" s="46" customFormat="1" ht="15">
      <c r="A634" s="66" t="str">
        <f t="shared" si="8"/>
        <v>январь</v>
      </c>
      <c r="B634" s="231">
        <v>2024</v>
      </c>
      <c r="C634" s="60"/>
      <c r="D634" s="61"/>
      <c r="E634" s="211"/>
      <c r="F634" s="680"/>
      <c r="G634" s="47"/>
      <c r="H634" s="563"/>
      <c r="I634" s="563"/>
      <c r="J634" s="563"/>
      <c r="K634" s="563"/>
      <c r="L634" s="563"/>
      <c r="M634" s="563"/>
      <c r="N634" s="563"/>
      <c r="O634" s="563"/>
      <c r="P634" s="300"/>
      <c r="Q634" s="563"/>
      <c r="R634" s="563"/>
      <c r="S634" s="563"/>
      <c r="T634" s="563"/>
      <c r="U634" s="563"/>
      <c r="V634" s="563"/>
      <c r="W634" s="563"/>
      <c r="X634" s="563"/>
      <c r="Y634" s="563"/>
      <c r="Z634" s="563"/>
      <c r="AA634" s="563"/>
      <c r="AB634" s="563"/>
      <c r="AC634" s="563"/>
      <c r="AD634" s="48"/>
      <c r="AE634" s="48"/>
      <c r="AF634" s="258"/>
      <c r="AG634" s="48"/>
      <c r="AH634" s="48"/>
      <c r="AI634" s="48"/>
      <c r="AJ634" s="48"/>
      <c r="AK634" s="48"/>
      <c r="AL634" s="51"/>
      <c r="AM634" s="212">
        <f>IF(AQ634=1,SUM(Q634:T634,W634:Z634,AC634:AF634,AI634:AL634),
IF(AQ634=2,SUM(P634,S634:V634,Y634:AB634,AE634:AH634,AK634:AL634),
IF(AQ634=3,SUM(P634:R634,U634:X634,AA634:AD634,AG634:AJ634),SUM(Таблица1[[#This Row],[1]:[31]])-Таблица1[[#This Row],[Столбец1]])))</f>
        <v>0</v>
      </c>
      <c r="AN634" s="778">
        <f t="array" ref="AN634">IF(AQ634=1,SUM(P634,U634:V634,AA634:AB634,AG634:AH634),
IF(AQ634=2,SUM(Q634:R634,W634:X634,AC634:AD634,AI634:AJ634),
IF(AQ634=3,SUM(S634:T634,Y634:Z634,AE634:AF634,AK634:AL634),
SUM(IFERROR(WEEKDAY($H$2:$AL$2,2)&gt;5,)*H634:AL634))))+Таблица1[[#This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34" s="292" t="b">
        <f>IF(AR634&lt;=3,(IF((G634="5/24"),((база!$M$6*Таблица1[[#This Row],[сумма]]*Таблица1[[#This Row],[коэф]])),
IF((G634="4/24"),((база!$M$5*Таблица1[[#This Row],[сумма]]*Таблица1[[#This Row],[коэф]])),
IF((G634="3/24"),((база!$M$4*Таблица1[[#This Row],[сумма]]*Таблица1[[#This Row],[коэф]])),
IF((G634="5/16"),((база!$L$6*Таблица1[[#This Row],[сумма]]*Таблица1[[#This Row],[коэф]])),
IF((G634="4/16"),((база!$L$5*Таблица1[[#This Row],[сумма]]*Таблица1[[#This Row],[коэф]])),
IF((G634="3/16"),((база!$L$4*Таблица1[[#This Row],[сумма]]*Таблица1[[#This Row],[коэф]])),
IF((G634="4/4"),((база!$I$5*Таблица1[[#This Row],[сумма]]*Таблица1[[#This Row],[коэф]])),
IF(OR(G634="2/4",G634="3/4"),((база!$I$4*Таблица1[[#This Row],[сумма]]*Таблица1[[#This Row],[коэф]])),
IF((G634="5/8"),((база!$J$6*Таблица1[[#This Row],[сумма]]*Таблица1[[#This Row],[коэф]])),
IF((G634="4/8"),((база!$J$5*Таблица1[[#This Row],[сумма]]*Таблица1[[#This Row],[коэф]])),
IF(OR(G634="3/8",G634="2/8"),((база!$J$4*Таблица1[[#This Row],[сумма]]*Таблица1[[#This Row],[коэф]])))))))))))))),
(IF((G634="5/24"),((база!$M$6*Таблица1[[#This Row],[сумма]]*Таблица1[[#This Row],[коэф]])),
IF(OR(G634="4/24",G634="3/24"),((база!$M$5*Таблица1[[#This Row],[сумма]]*Таблица1[[#This Row],[коэф]])),
IF((G634="5/16"),((база!$L$6*Таблица1[[#This Row],[сумма]]*Таблица1[[#This Row],[коэф]])),
IF(OR(G634="4/16",G634="3/16"),((база!$L$5*Таблица1[[#This Row],[сумма]]*Таблица1[[#This Row],[коэф]])),
IF(OR(G634="2/4",G634="3/4",G634="4/4"),((база!$I$5*Таблица1[[#This Row],[сумма]]*Таблица1[[#This Row],[коэф]])),
IF((G634="5/8"),((база!$J$6*Таблица1[[#This Row],[сумма]]*Таблица1[[#This Row],[коэф]])),
IF(OR(G634="4/8",G634="3/8",G634="2/8"),((база!$J$5*Таблица1[[#This Row],[сумма]]*Таблица1[[#This Row],[коэф]])))))))))))</f>
        <v>0</v>
      </c>
      <c r="AP634" s="730" t="b">
        <f>IF(AR634&lt;=3,(IF((G634="5/24"),((база!$M$6*2*Таблица1[[#This Row],[Столбец1]]*Таблица1[[#This Row],[коэф]])),
IF((G634="4/24"),((база!$M$5*2*Таблица1[[#This Row],[Столбец1]]*Таблица1[[#This Row],[коэф]])),
IF((G634="3/24"),((база!$M$4*2*Таблица1[[#This Row],[Столбец1]]*Таблица1[[#This Row],[коэф]])),
IF((G634="5/16"),((база!$L$6*2*Таблица1[[#This Row],[Столбец1]]*Таблица1[[#This Row],[коэф]])),
IF((G634="4/16"),((база!$L$5*2*Таблица1[[#This Row],[Столбец1]]*Таблица1[[#This Row],[коэф]])),
IF((G634="3/16"),((база!$L$4*2*Таблица1[[#This Row],[Столбец1]]*Таблица1[[#This Row],[коэф]])),
IF((G634="4/4"),((база!$I$5*2*Таблица1[[#This Row],[Столбец1]]*Таблица1[[#This Row],[коэф]])),
IF(OR(G634="2/4",G634="3/4"),((база!$I$4*2*Таблица1[[#This Row],[Столбец1]]*Таблица1[[#This Row],[коэф]])),
IF((G634="5/8"),((база!$J$6*2*Таблица1[[#This Row],[Столбец1]]*Таблица1[[#This Row],[коэф]])),
IF((G634="4/8"),((база!$J$5*2*Таблица1[[#This Row],[Столбец1]]*Таблица1[[#This Row],[коэф]])),
IF(OR(G634="3/8",G634="2/8"),((база!$J$4*2*Таблица1[[#This Row],[Столбец1]]*Таблица1[[#This Row],[коэф]])))))))))))))),
(IF((G634="5/24"),((база!$M$6*2*Таблица1[[#This Row],[Столбец1]]*Таблица1[[#This Row],[коэф]])),
IF(OR(G634="4/24",G634="3/24"),((база!$M$5*2*Таблица1[[#This Row],[Столбец1]]*Таблица1[[#This Row],[коэф]])),
IF((G634="5/16"),((база!$L$6*2*Таблица1[[#This Row],[Столбец1]]*Таблица1[[#This Row],[коэф]])),
IF(OR(G634="4/16",G634="3/16"),((база!$L$5*2*Таблица1[[#This Row],[Столбец1]]*Таблица1[[#This Row],[коэф]])),
IF(OR(G634="2/4",G634="3/4",G634="4/4"),((база!$I$5*2*Таблица1[[#This Row],[Столбец1]]*Таблица1[[#This Row],[коэф]])),
IF((G634="5/8"),((база!$J$6*2*Таблица1[[#This Row],[Столбец1]]*Таблица1[[#This Row],[коэф]])),
IF(OR(G634="4/8",G634="3/8",G634="2/8"),((база!$J$5*2*Таблица1[[#This Row],[Столбец1]]*Таблица1[[#This Row],[коэф]])))))))))))</f>
        <v>0</v>
      </c>
      <c r="AQ634" s="712" t="str">
        <f>IFERROR(INDEX(база!T:T, MATCH(F634,база!Q:Q,0)),"")</f>
        <v/>
      </c>
      <c r="AR634" s="208" t="str">
        <f>IFERROR(INDEX(база!D:D, MATCH(F634,база!B:B,0)),"")</f>
        <v/>
      </c>
      <c r="AS634" s="758" t="str">
        <f>IFERROR(INDEX(база!E:E, MATCH(F634,база!B:B,0)),"")</f>
        <v/>
      </c>
    </row>
    <row r="635" spans="1:45" s="46" customFormat="1" ht="15">
      <c r="A635" s="66" t="str">
        <f t="shared" si="8"/>
        <v>январь</v>
      </c>
      <c r="B635" s="231">
        <v>2024</v>
      </c>
      <c r="C635" s="299"/>
      <c r="D635" s="61"/>
      <c r="E635" s="211"/>
      <c r="F635" s="680"/>
      <c r="G635" s="47"/>
      <c r="H635" s="563"/>
      <c r="I635" s="563"/>
      <c r="J635" s="563"/>
      <c r="K635" s="563"/>
      <c r="L635" s="563"/>
      <c r="M635" s="563"/>
      <c r="N635" s="563"/>
      <c r="O635" s="563"/>
      <c r="P635" s="300"/>
      <c r="Q635" s="563"/>
      <c r="R635" s="563"/>
      <c r="S635" s="563"/>
      <c r="T635" s="563"/>
      <c r="U635" s="563"/>
      <c r="V635" s="563"/>
      <c r="W635" s="563"/>
      <c r="X635" s="563"/>
      <c r="Y635" s="563"/>
      <c r="Z635" s="563"/>
      <c r="AA635" s="563"/>
      <c r="AB635" s="563"/>
      <c r="AC635" s="563"/>
      <c r="AD635" s="48"/>
      <c r="AE635" s="48"/>
      <c r="AF635" s="258"/>
      <c r="AG635" s="48"/>
      <c r="AH635" s="48"/>
      <c r="AI635" s="258"/>
      <c r="AJ635" s="258"/>
      <c r="AK635" s="258"/>
      <c r="AL635" s="258"/>
      <c r="AM635" s="212">
        <f>IF(AQ635=1,SUM(Q635:T635,W635:Z635,AC635:AF635,AI635:AL635),
IF(AQ635=2,SUM(P635,S635:V635,Y635:AB635,AE635:AH635,AK635:AL635),
IF(AQ635=3,SUM(P635:R635,U635:X635,AA635:AD635,AG635:AJ635),SUM(Таблица1[[#This Row],[1]:[31]])-Таблица1[[#This Row],[Столбец1]])))</f>
        <v>0</v>
      </c>
      <c r="AN635" s="778">
        <f t="array" ref="AN635">IF(AQ635=1,SUM(P635,U635:V635,AA635:AB635,AG635:AH635),
IF(AQ635=2,SUM(Q635:R635,W635:X635,AC635:AD635,AI635:AJ635),
IF(AQ635=3,SUM(S635:T635,Y635:Z635,AE635:AF635,AK635:AL635),
SUM(IFERROR(WEEKDAY($H$2:$AL$2,2)&gt;5,)*H635:AL635))))+Таблица1[[#This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35" s="292" t="b">
        <f>IF(AR635&lt;=3,(IF((G635="5/24"),((база!$M$6*Таблица1[[#This Row],[сумма]]*Таблица1[[#This Row],[коэф]])),
IF((G635="4/24"),((база!$M$5*Таблица1[[#This Row],[сумма]]*Таблица1[[#This Row],[коэф]])),
IF((G635="3/24"),((база!$M$4*Таблица1[[#This Row],[сумма]]*Таблица1[[#This Row],[коэф]])),
IF((G635="5/16"),((база!$L$6*Таблица1[[#This Row],[сумма]]*Таблица1[[#This Row],[коэф]])),
IF((G635="4/16"),((база!$L$5*Таблица1[[#This Row],[сумма]]*Таблица1[[#This Row],[коэф]])),
IF((G635="3/16"),((база!$L$4*Таблица1[[#This Row],[сумма]]*Таблица1[[#This Row],[коэф]])),
IF((G635="4/4"),((база!$I$5*Таблица1[[#This Row],[сумма]]*Таблица1[[#This Row],[коэф]])),
IF(OR(G635="2/4",G635="3/4"),((база!$I$4*Таблица1[[#This Row],[сумма]]*Таблица1[[#This Row],[коэф]])),
IF((G635="5/8"),((база!$J$6*Таблица1[[#This Row],[сумма]]*Таблица1[[#This Row],[коэф]])),
IF((G635="4/8"),((база!$J$5*Таблица1[[#This Row],[сумма]]*Таблица1[[#This Row],[коэф]])),
IF(OR(G635="3/8",G635="2/8"),((база!$J$4*Таблица1[[#This Row],[сумма]]*Таблица1[[#This Row],[коэф]])))))))))))))),
(IF((G635="5/24"),((база!$M$6*Таблица1[[#This Row],[сумма]]*Таблица1[[#This Row],[коэф]])),
IF(OR(G635="4/24",G635="3/24"),((база!$M$5*Таблица1[[#This Row],[сумма]]*Таблица1[[#This Row],[коэф]])),
IF((G635="5/16"),((база!$L$6*Таблица1[[#This Row],[сумма]]*Таблица1[[#This Row],[коэф]])),
IF(OR(G635="4/16",G635="3/16"),((база!$L$5*Таблица1[[#This Row],[сумма]]*Таблица1[[#This Row],[коэф]])),
IF(OR(G635="2/4",G635="3/4",G635="4/4"),((база!$I$5*Таблица1[[#This Row],[сумма]]*Таблица1[[#This Row],[коэф]])),
IF((G635="5/8"),((база!$J$6*Таблица1[[#This Row],[сумма]]*Таблица1[[#This Row],[коэф]])),
IF(OR(G635="4/8",G635="3/8",G635="2/8"),((база!$J$5*Таблица1[[#This Row],[сумма]]*Таблица1[[#This Row],[коэф]])))))))))))</f>
        <v>0</v>
      </c>
      <c r="AP635" s="730" t="b">
        <f>IF(AR635&lt;=3,(IF((G635="5/24"),((база!$M$6*2*Таблица1[[#This Row],[Столбец1]]*Таблица1[[#This Row],[коэф]])),
IF((G635="4/24"),((база!$M$5*2*Таблица1[[#This Row],[Столбец1]]*Таблица1[[#This Row],[коэф]])),
IF((G635="3/24"),((база!$M$4*2*Таблица1[[#This Row],[Столбец1]]*Таблица1[[#This Row],[коэф]])),
IF((G635="5/16"),((база!$L$6*2*Таблица1[[#This Row],[Столбец1]]*Таблица1[[#This Row],[коэф]])),
IF((G635="4/16"),((база!$L$5*2*Таблица1[[#This Row],[Столбец1]]*Таблица1[[#This Row],[коэф]])),
IF((G635="3/16"),((база!$L$4*2*Таблица1[[#This Row],[Столбец1]]*Таблица1[[#This Row],[коэф]])),
IF((G635="4/4"),((база!$I$5*2*Таблица1[[#This Row],[Столбец1]]*Таблица1[[#This Row],[коэф]])),
IF(OR(G635="2/4",G635="3/4"),((база!$I$4*2*Таблица1[[#This Row],[Столбец1]]*Таблица1[[#This Row],[коэф]])),
IF((G635="5/8"),((база!$J$6*2*Таблица1[[#This Row],[Столбец1]]*Таблица1[[#This Row],[коэф]])),
IF((G635="4/8"),((база!$J$5*2*Таблица1[[#This Row],[Столбец1]]*Таблица1[[#This Row],[коэф]])),
IF(OR(G635="3/8",G635="2/8"),((база!$J$4*2*Таблица1[[#This Row],[Столбец1]]*Таблица1[[#This Row],[коэф]])))))))))))))),
(IF((G635="5/24"),((база!$M$6*2*Таблица1[[#This Row],[Столбец1]]*Таблица1[[#This Row],[коэф]])),
IF(OR(G635="4/24",G635="3/24"),((база!$M$5*2*Таблица1[[#This Row],[Столбец1]]*Таблица1[[#This Row],[коэф]])),
IF((G635="5/16"),((база!$L$6*2*Таблица1[[#This Row],[Столбец1]]*Таблица1[[#This Row],[коэф]])),
IF(OR(G635="4/16",G635="3/16"),((база!$L$5*2*Таблица1[[#This Row],[Столбец1]]*Таблица1[[#This Row],[коэф]])),
IF(OR(G635="2/4",G635="3/4",G635="4/4"),((база!$I$5*2*Таблица1[[#This Row],[Столбец1]]*Таблица1[[#This Row],[коэф]])),
IF((G635="5/8"),((база!$J$6*2*Таблица1[[#This Row],[Столбец1]]*Таблица1[[#This Row],[коэф]])),
IF(OR(G635="4/8",G635="3/8",G635="2/8"),((база!$J$5*2*Таблица1[[#This Row],[Столбец1]]*Таблица1[[#This Row],[коэф]])))))))))))</f>
        <v>0</v>
      </c>
      <c r="AQ635" s="712" t="str">
        <f>IFERROR(INDEX(база!T:T, MATCH(F635,база!Q:Q,0)),"")</f>
        <v/>
      </c>
      <c r="AR635" s="208" t="str">
        <f>IFERROR(INDEX(база!D:D, MATCH(F635,база!B:B,0)),"")</f>
        <v/>
      </c>
      <c r="AS635" s="758" t="str">
        <f>IFERROR(INDEX(база!E:E, MATCH(F635,база!B:B,0)),"")</f>
        <v/>
      </c>
    </row>
    <row r="636" spans="1:45" s="46" customFormat="1" ht="15">
      <c r="A636" s="66" t="str">
        <f t="shared" si="8"/>
        <v>январь</v>
      </c>
      <c r="B636" s="231">
        <v>2024</v>
      </c>
      <c r="C636" s="299"/>
      <c r="D636" s="61"/>
      <c r="E636" s="211"/>
      <c r="F636" s="680"/>
      <c r="G636" s="47"/>
      <c r="H636" s="563"/>
      <c r="I636" s="563"/>
      <c r="J636" s="563"/>
      <c r="K636" s="563"/>
      <c r="L636" s="563"/>
      <c r="M636" s="563"/>
      <c r="N636" s="563"/>
      <c r="O636" s="563"/>
      <c r="P636" s="300"/>
      <c r="Q636" s="563"/>
      <c r="R636" s="563"/>
      <c r="S636" s="563"/>
      <c r="T636" s="563"/>
      <c r="U636" s="563"/>
      <c r="V636" s="563"/>
      <c r="W636" s="563"/>
      <c r="X636" s="563"/>
      <c r="Y636" s="563"/>
      <c r="Z636" s="563"/>
      <c r="AA636" s="563"/>
      <c r="AB636" s="563"/>
      <c r="AC636" s="563"/>
      <c r="AD636" s="48"/>
      <c r="AE636" s="48"/>
      <c r="AF636" s="258"/>
      <c r="AG636" s="48"/>
      <c r="AH636" s="48"/>
      <c r="AI636" s="48"/>
      <c r="AJ636" s="48"/>
      <c r="AK636" s="48"/>
      <c r="AL636" s="51"/>
      <c r="AM636" s="212">
        <f>IF(AQ636=1,SUM(Q636:T636,W636:Z636,AC636:AF636,AI636:AL636),
IF(AQ636=2,SUM(P636,S636:V636,Y636:AB636,AE636:AH636,AK636:AL636),
IF(AQ636=3,SUM(P636:R636,U636:X636,AA636:AD636,AG636:AJ636),SUM(Таблица1[[#This Row],[1]:[31]])-Таблица1[[#This Row],[Столбец1]])))</f>
        <v>0</v>
      </c>
      <c r="AN636" s="778">
        <f t="array" ref="AN636">IF(AQ636=1,SUM(P636,U636:V636,AA636:AB636,AG636:AH636),
IF(AQ636=2,SUM(Q636:R636,W636:X636,AC636:AD636,AI636:AJ636),
IF(AQ636=3,SUM(S636:T636,Y636:Z636,AE636:AF636,AK636:AL636),
SUM(IFERROR(WEEKDAY($H$2:$AL$2,2)&gt;5,)*H636:AL636))))+Таблица1[[#This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36" s="292" t="b">
        <f>IF(AR636&lt;=3,(IF((G636="5/24"),((база!$M$6*Таблица1[[#This Row],[сумма]]*Таблица1[[#This Row],[коэф]])),
IF((G636="4/24"),((база!$M$5*Таблица1[[#This Row],[сумма]]*Таблица1[[#This Row],[коэф]])),
IF((G636="3/24"),((база!$M$4*Таблица1[[#This Row],[сумма]]*Таблица1[[#This Row],[коэф]])),
IF((G636="5/16"),((база!$L$6*Таблица1[[#This Row],[сумма]]*Таблица1[[#This Row],[коэф]])),
IF((G636="4/16"),((база!$L$5*Таблица1[[#This Row],[сумма]]*Таблица1[[#This Row],[коэф]])),
IF((G636="3/16"),((база!$L$4*Таблица1[[#This Row],[сумма]]*Таблица1[[#This Row],[коэф]])),
IF((G636="4/4"),((база!$I$5*Таблица1[[#This Row],[сумма]]*Таблица1[[#This Row],[коэф]])),
IF(OR(G636="2/4",G636="3/4"),((база!$I$4*Таблица1[[#This Row],[сумма]]*Таблица1[[#This Row],[коэф]])),
IF((G636="5/8"),((база!$J$6*Таблица1[[#This Row],[сумма]]*Таблица1[[#This Row],[коэф]])),
IF((G636="4/8"),((база!$J$5*Таблица1[[#This Row],[сумма]]*Таблица1[[#This Row],[коэф]])),
IF(OR(G636="3/8",G636="2/8"),((база!$J$4*Таблица1[[#This Row],[сумма]]*Таблица1[[#This Row],[коэф]])))))))))))))),
(IF((G636="5/24"),((база!$M$6*Таблица1[[#This Row],[сумма]]*Таблица1[[#This Row],[коэф]])),
IF(OR(G636="4/24",G636="3/24"),((база!$M$5*Таблица1[[#This Row],[сумма]]*Таблица1[[#This Row],[коэф]])),
IF((G636="5/16"),((база!$L$6*Таблица1[[#This Row],[сумма]]*Таблица1[[#This Row],[коэф]])),
IF(OR(G636="4/16",G636="3/16"),((база!$L$5*Таблица1[[#This Row],[сумма]]*Таблица1[[#This Row],[коэф]])),
IF(OR(G636="2/4",G636="3/4",G636="4/4"),((база!$I$5*Таблица1[[#This Row],[сумма]]*Таблица1[[#This Row],[коэф]])),
IF((G636="5/8"),((база!$J$6*Таблица1[[#This Row],[сумма]]*Таблица1[[#This Row],[коэф]])),
IF(OR(G636="4/8",G636="3/8",G636="2/8"),((база!$J$5*Таблица1[[#This Row],[сумма]]*Таблица1[[#This Row],[коэф]])))))))))))</f>
        <v>0</v>
      </c>
      <c r="AP636" s="730" t="b">
        <f>IF(AR636&lt;=3,(IF((G636="5/24"),((база!$M$6*2*Таблица1[[#This Row],[Столбец1]]*Таблица1[[#This Row],[коэф]])),
IF((G636="4/24"),((база!$M$5*2*Таблица1[[#This Row],[Столбец1]]*Таблица1[[#This Row],[коэф]])),
IF((G636="3/24"),((база!$M$4*2*Таблица1[[#This Row],[Столбец1]]*Таблица1[[#This Row],[коэф]])),
IF((G636="5/16"),((база!$L$6*2*Таблица1[[#This Row],[Столбец1]]*Таблица1[[#This Row],[коэф]])),
IF((G636="4/16"),((база!$L$5*2*Таблица1[[#This Row],[Столбец1]]*Таблица1[[#This Row],[коэф]])),
IF((G636="3/16"),((база!$L$4*2*Таблица1[[#This Row],[Столбец1]]*Таблица1[[#This Row],[коэф]])),
IF((G636="4/4"),((база!$I$5*2*Таблица1[[#This Row],[Столбец1]]*Таблица1[[#This Row],[коэф]])),
IF(OR(G636="2/4",G636="3/4"),((база!$I$4*2*Таблица1[[#This Row],[Столбец1]]*Таблица1[[#This Row],[коэф]])),
IF((G636="5/8"),((база!$J$6*2*Таблица1[[#This Row],[Столбец1]]*Таблица1[[#This Row],[коэф]])),
IF((G636="4/8"),((база!$J$5*2*Таблица1[[#This Row],[Столбец1]]*Таблица1[[#This Row],[коэф]])),
IF(OR(G636="3/8",G636="2/8"),((база!$J$4*2*Таблица1[[#This Row],[Столбец1]]*Таблица1[[#This Row],[коэф]])))))))))))))),
(IF((G636="5/24"),((база!$M$6*2*Таблица1[[#This Row],[Столбец1]]*Таблица1[[#This Row],[коэф]])),
IF(OR(G636="4/24",G636="3/24"),((база!$M$5*2*Таблица1[[#This Row],[Столбец1]]*Таблица1[[#This Row],[коэф]])),
IF((G636="5/16"),((база!$L$6*2*Таблица1[[#This Row],[Столбец1]]*Таблица1[[#This Row],[коэф]])),
IF(OR(G636="4/16",G636="3/16"),((база!$L$5*2*Таблица1[[#This Row],[Столбец1]]*Таблица1[[#This Row],[коэф]])),
IF(OR(G636="2/4",G636="3/4",G636="4/4"),((база!$I$5*2*Таблица1[[#This Row],[Столбец1]]*Таблица1[[#This Row],[коэф]])),
IF((G636="5/8"),((база!$J$6*2*Таблица1[[#This Row],[Столбец1]]*Таблица1[[#This Row],[коэф]])),
IF(OR(G636="4/8",G636="3/8",G636="2/8"),((база!$J$5*2*Таблица1[[#This Row],[Столбец1]]*Таблица1[[#This Row],[коэф]])))))))))))</f>
        <v>0</v>
      </c>
      <c r="AQ636" s="712" t="str">
        <f>IFERROR(INDEX(база!T:T, MATCH(F636,база!Q:Q,0)),"")</f>
        <v/>
      </c>
      <c r="AR636" s="208" t="str">
        <f>IFERROR(INDEX(база!D:D, MATCH(F636,база!B:B,0)),"")</f>
        <v/>
      </c>
      <c r="AS636" s="758" t="str">
        <f>IFERROR(INDEX(база!E:E, MATCH(F636,база!B:B,0)),"")</f>
        <v/>
      </c>
    </row>
    <row r="637" spans="1:45" s="46" customFormat="1" ht="15">
      <c r="A637" s="66" t="str">
        <f t="shared" si="8"/>
        <v>январь</v>
      </c>
      <c r="B637" s="231">
        <v>2024</v>
      </c>
      <c r="C637" s="60"/>
      <c r="D637" s="61"/>
      <c r="E637" s="211"/>
      <c r="F637" s="680"/>
      <c r="G637" s="47"/>
      <c r="H637" s="563"/>
      <c r="I637" s="563"/>
      <c r="J637" s="563"/>
      <c r="K637" s="563"/>
      <c r="L637" s="563"/>
      <c r="M637" s="563"/>
      <c r="N637" s="563"/>
      <c r="O637" s="563"/>
      <c r="P637" s="300"/>
      <c r="Q637" s="563"/>
      <c r="R637" s="563"/>
      <c r="S637" s="563"/>
      <c r="T637" s="563"/>
      <c r="U637" s="563"/>
      <c r="V637" s="563"/>
      <c r="W637" s="563"/>
      <c r="X637" s="563"/>
      <c r="Y637" s="563"/>
      <c r="Z637" s="563"/>
      <c r="AA637" s="563"/>
      <c r="AB637" s="563"/>
      <c r="AC637" s="563"/>
      <c r="AD637" s="48"/>
      <c r="AE637" s="48"/>
      <c r="AF637" s="258"/>
      <c r="AG637" s="48"/>
      <c r="AH637" s="48"/>
      <c r="AI637" s="258"/>
      <c r="AJ637" s="258"/>
      <c r="AK637" s="258"/>
      <c r="AL637" s="258"/>
      <c r="AM637" s="212">
        <f>IF(AQ637=1,SUM(Q637:T637,W637:Z637,AC637:AF637,AI637:AL637),
IF(AQ637=2,SUM(P637,S637:V637,Y637:AB637,AE637:AH637,AK637:AL637),
IF(AQ637=3,SUM(P637:R637,U637:X637,AA637:AD637,AG637:AJ637),SUM(Таблица1[[#This Row],[1]:[31]])-Таблица1[[#This Row],[Столбец1]])))</f>
        <v>0</v>
      </c>
      <c r="AN637" s="778">
        <f t="array" ref="AN637">IF(AQ637=1,SUM(P637,U637:V637,AA637:AB637,AG637:AH637),
IF(AQ637=2,SUM(Q637:R637,W637:X637,AC637:AD637,AI637:AJ637),
IF(AQ637=3,SUM(S637:T637,Y637:Z637,AE637:AF637,AK637:AL637),
SUM(IFERROR(WEEKDAY($H$2:$AL$2,2)&gt;5,)*H637:AL637))))+Таблица1[[#This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37" s="292" t="b">
        <f>IF(AR637&lt;=3,(IF((G637="5/24"),((база!$M$6*Таблица1[[#This Row],[сумма]]*Таблица1[[#This Row],[коэф]])),
IF((G637="4/24"),((база!$M$5*Таблица1[[#This Row],[сумма]]*Таблица1[[#This Row],[коэф]])),
IF((G637="3/24"),((база!$M$4*Таблица1[[#This Row],[сумма]]*Таблица1[[#This Row],[коэф]])),
IF((G637="5/16"),((база!$L$6*Таблица1[[#This Row],[сумма]]*Таблица1[[#This Row],[коэф]])),
IF((G637="4/16"),((база!$L$5*Таблица1[[#This Row],[сумма]]*Таблица1[[#This Row],[коэф]])),
IF((G637="3/16"),((база!$L$4*Таблица1[[#This Row],[сумма]]*Таблица1[[#This Row],[коэф]])),
IF((G637="4/4"),((база!$I$5*Таблица1[[#This Row],[сумма]]*Таблица1[[#This Row],[коэф]])),
IF(OR(G637="2/4",G637="3/4"),((база!$I$4*Таблица1[[#This Row],[сумма]]*Таблица1[[#This Row],[коэф]])),
IF((G637="5/8"),((база!$J$6*Таблица1[[#This Row],[сумма]]*Таблица1[[#This Row],[коэф]])),
IF((G637="4/8"),((база!$J$5*Таблица1[[#This Row],[сумма]]*Таблица1[[#This Row],[коэф]])),
IF(OR(G637="3/8",G637="2/8"),((база!$J$4*Таблица1[[#This Row],[сумма]]*Таблица1[[#This Row],[коэф]])))))))))))))),
(IF((G637="5/24"),((база!$M$6*Таблица1[[#This Row],[сумма]]*Таблица1[[#This Row],[коэф]])),
IF(OR(G637="4/24",G637="3/24"),((база!$M$5*Таблица1[[#This Row],[сумма]]*Таблица1[[#This Row],[коэф]])),
IF((G637="5/16"),((база!$L$6*Таблица1[[#This Row],[сумма]]*Таблица1[[#This Row],[коэф]])),
IF(OR(G637="4/16",G637="3/16"),((база!$L$5*Таблица1[[#This Row],[сумма]]*Таблица1[[#This Row],[коэф]])),
IF(OR(G637="2/4",G637="3/4",G637="4/4"),((база!$I$5*Таблица1[[#This Row],[сумма]]*Таблица1[[#This Row],[коэф]])),
IF((G637="5/8"),((база!$J$6*Таблица1[[#This Row],[сумма]]*Таблица1[[#This Row],[коэф]])),
IF(OR(G637="4/8",G637="3/8",G637="2/8"),((база!$J$5*Таблица1[[#This Row],[сумма]]*Таблица1[[#This Row],[коэф]])))))))))))</f>
        <v>0</v>
      </c>
      <c r="AP637" s="730" t="b">
        <f>IF(AR637&lt;=3,(IF((G637="5/24"),((база!$M$6*2*Таблица1[[#This Row],[Столбец1]]*Таблица1[[#This Row],[коэф]])),
IF((G637="4/24"),((база!$M$5*2*Таблица1[[#This Row],[Столбец1]]*Таблица1[[#This Row],[коэф]])),
IF((G637="3/24"),((база!$M$4*2*Таблица1[[#This Row],[Столбец1]]*Таблица1[[#This Row],[коэф]])),
IF((G637="5/16"),((база!$L$6*2*Таблица1[[#This Row],[Столбец1]]*Таблица1[[#This Row],[коэф]])),
IF((G637="4/16"),((база!$L$5*2*Таблица1[[#This Row],[Столбец1]]*Таблица1[[#This Row],[коэф]])),
IF((G637="3/16"),((база!$L$4*2*Таблица1[[#This Row],[Столбец1]]*Таблица1[[#This Row],[коэф]])),
IF((G637="4/4"),((база!$I$5*2*Таблица1[[#This Row],[Столбец1]]*Таблица1[[#This Row],[коэф]])),
IF(OR(G637="2/4",G637="3/4"),((база!$I$4*2*Таблица1[[#This Row],[Столбец1]]*Таблица1[[#This Row],[коэф]])),
IF((G637="5/8"),((база!$J$6*2*Таблица1[[#This Row],[Столбец1]]*Таблица1[[#This Row],[коэф]])),
IF((G637="4/8"),((база!$J$5*2*Таблица1[[#This Row],[Столбец1]]*Таблица1[[#This Row],[коэф]])),
IF(OR(G637="3/8",G637="2/8"),((база!$J$4*2*Таблица1[[#This Row],[Столбец1]]*Таблица1[[#This Row],[коэф]])))))))))))))),
(IF((G637="5/24"),((база!$M$6*2*Таблица1[[#This Row],[Столбец1]]*Таблица1[[#This Row],[коэф]])),
IF(OR(G637="4/24",G637="3/24"),((база!$M$5*2*Таблица1[[#This Row],[Столбец1]]*Таблица1[[#This Row],[коэф]])),
IF((G637="5/16"),((база!$L$6*2*Таблица1[[#This Row],[Столбец1]]*Таблица1[[#This Row],[коэф]])),
IF(OR(G637="4/16",G637="3/16"),((база!$L$5*2*Таблица1[[#This Row],[Столбец1]]*Таблица1[[#This Row],[коэф]])),
IF(OR(G637="2/4",G637="3/4",G637="4/4"),((база!$I$5*2*Таблица1[[#This Row],[Столбец1]]*Таблица1[[#This Row],[коэф]])),
IF((G637="5/8"),((база!$J$6*2*Таблица1[[#This Row],[Столбец1]]*Таблица1[[#This Row],[коэф]])),
IF(OR(G637="4/8",G637="3/8",G637="2/8"),((база!$J$5*2*Таблица1[[#This Row],[Столбец1]]*Таблица1[[#This Row],[коэф]])))))))))))</f>
        <v>0</v>
      </c>
      <c r="AQ637" s="712" t="str">
        <f>IFERROR(INDEX(база!T:T, MATCH(F637,база!Q:Q,0)),"")</f>
        <v/>
      </c>
      <c r="AR637" s="208" t="str">
        <f>IFERROR(INDEX(база!D:D, MATCH(F637,база!B:B,0)),"")</f>
        <v/>
      </c>
      <c r="AS637" s="758" t="str">
        <f>IFERROR(INDEX(база!E:E, MATCH(F637,база!B:B,0)),"")</f>
        <v/>
      </c>
    </row>
    <row r="638" spans="1:45" s="46" customFormat="1" ht="15">
      <c r="A638" s="66" t="str">
        <f t="shared" si="8"/>
        <v>январь</v>
      </c>
      <c r="B638" s="231">
        <v>2024</v>
      </c>
      <c r="C638" s="299"/>
      <c r="D638" s="61"/>
      <c r="E638" s="211"/>
      <c r="F638" s="680"/>
      <c r="G638" s="47"/>
      <c r="H638" s="563"/>
      <c r="I638" s="563"/>
      <c r="J638" s="563"/>
      <c r="K638" s="563"/>
      <c r="L638" s="563"/>
      <c r="M638" s="563"/>
      <c r="N638" s="563"/>
      <c r="O638" s="563"/>
      <c r="P638" s="300"/>
      <c r="Q638" s="563"/>
      <c r="R638" s="563"/>
      <c r="S638" s="563"/>
      <c r="T638" s="563"/>
      <c r="U638" s="563"/>
      <c r="V638" s="563"/>
      <c r="W638" s="563"/>
      <c r="X638" s="563"/>
      <c r="Y638" s="563"/>
      <c r="Z638" s="563"/>
      <c r="AA638" s="563"/>
      <c r="AB638" s="563"/>
      <c r="AC638" s="563"/>
      <c r="AD638" s="48"/>
      <c r="AE638" s="48"/>
      <c r="AF638" s="258"/>
      <c r="AG638" s="48"/>
      <c r="AH638" s="48"/>
      <c r="AI638" s="48"/>
      <c r="AJ638" s="48"/>
      <c r="AK638" s="48"/>
      <c r="AL638" s="51"/>
      <c r="AM638" s="212">
        <f>IF(AQ638=1,SUM(Q638:T638,W638:Z638,AC638:AF638,AI638:AL638),
IF(AQ638=2,SUM(P638,S638:V638,Y638:AB638,AE638:AH638,AK638:AL638),
IF(AQ638=3,SUM(P638:R638,U638:X638,AA638:AD638,AG638:AJ638),SUM(Таблица1[[#This Row],[1]:[31]])-Таблица1[[#This Row],[Столбец1]])))</f>
        <v>0</v>
      </c>
      <c r="AN638" s="778">
        <f t="array" ref="AN638">IF(AQ638=1,SUM(P638,U638:V638,AA638:AB638,AG638:AH638),
IF(AQ638=2,SUM(Q638:R638,W638:X638,AC638:AD638,AI638:AJ638),
IF(AQ638=3,SUM(S638:T638,Y638:Z638,AE638:AF638,AK638:AL638),
SUM(IFERROR(WEEKDAY($H$2:$AL$2,2)&gt;5,)*H638:AL638))))+Таблица1[[#This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38" s="292" t="b">
        <f>IF(AR638&lt;=3,(IF((G638="5/24"),((база!$M$6*Таблица1[[#This Row],[сумма]]*Таблица1[[#This Row],[коэф]])),
IF((G638="4/24"),((база!$M$5*Таблица1[[#This Row],[сумма]]*Таблица1[[#This Row],[коэф]])),
IF((G638="3/24"),((база!$M$4*Таблица1[[#This Row],[сумма]]*Таблица1[[#This Row],[коэф]])),
IF((G638="5/16"),((база!$L$6*Таблица1[[#This Row],[сумма]]*Таблица1[[#This Row],[коэф]])),
IF((G638="4/16"),((база!$L$5*Таблица1[[#This Row],[сумма]]*Таблица1[[#This Row],[коэф]])),
IF((G638="3/16"),((база!$L$4*Таблица1[[#This Row],[сумма]]*Таблица1[[#This Row],[коэф]])),
IF((G638="4/4"),((база!$I$5*Таблица1[[#This Row],[сумма]]*Таблица1[[#This Row],[коэф]])),
IF(OR(G638="2/4",G638="3/4"),((база!$I$4*Таблица1[[#This Row],[сумма]]*Таблица1[[#This Row],[коэф]])),
IF((G638="5/8"),((база!$J$6*Таблица1[[#This Row],[сумма]]*Таблица1[[#This Row],[коэф]])),
IF((G638="4/8"),((база!$J$5*Таблица1[[#This Row],[сумма]]*Таблица1[[#This Row],[коэф]])),
IF(OR(G638="3/8",G638="2/8"),((база!$J$4*Таблица1[[#This Row],[сумма]]*Таблица1[[#This Row],[коэф]])))))))))))))),
(IF((G638="5/24"),((база!$M$6*Таблица1[[#This Row],[сумма]]*Таблица1[[#This Row],[коэф]])),
IF(OR(G638="4/24",G638="3/24"),((база!$M$5*Таблица1[[#This Row],[сумма]]*Таблица1[[#This Row],[коэф]])),
IF((G638="5/16"),((база!$L$6*Таблица1[[#This Row],[сумма]]*Таблица1[[#This Row],[коэф]])),
IF(OR(G638="4/16",G638="3/16"),((база!$L$5*Таблица1[[#This Row],[сумма]]*Таблица1[[#This Row],[коэф]])),
IF(OR(G638="2/4",G638="3/4",G638="4/4"),((база!$I$5*Таблица1[[#This Row],[сумма]]*Таблица1[[#This Row],[коэф]])),
IF((G638="5/8"),((база!$J$6*Таблица1[[#This Row],[сумма]]*Таблица1[[#This Row],[коэф]])),
IF(OR(G638="4/8",G638="3/8",G638="2/8"),((база!$J$5*Таблица1[[#This Row],[сумма]]*Таблица1[[#This Row],[коэф]])))))))))))</f>
        <v>0</v>
      </c>
      <c r="AP638" s="730" t="b">
        <f>IF(AR638&lt;=3,(IF((G638="5/24"),((база!$M$6*2*Таблица1[[#This Row],[Столбец1]]*Таблица1[[#This Row],[коэф]])),
IF((G638="4/24"),((база!$M$5*2*Таблица1[[#This Row],[Столбец1]]*Таблица1[[#This Row],[коэф]])),
IF((G638="3/24"),((база!$M$4*2*Таблица1[[#This Row],[Столбец1]]*Таблица1[[#This Row],[коэф]])),
IF((G638="5/16"),((база!$L$6*2*Таблица1[[#This Row],[Столбец1]]*Таблица1[[#This Row],[коэф]])),
IF((G638="4/16"),((база!$L$5*2*Таблица1[[#This Row],[Столбец1]]*Таблица1[[#This Row],[коэф]])),
IF((G638="3/16"),((база!$L$4*2*Таблица1[[#This Row],[Столбец1]]*Таблица1[[#This Row],[коэф]])),
IF((G638="4/4"),((база!$I$5*2*Таблица1[[#This Row],[Столбец1]]*Таблица1[[#This Row],[коэф]])),
IF(OR(G638="2/4",G638="3/4"),((база!$I$4*2*Таблица1[[#This Row],[Столбец1]]*Таблица1[[#This Row],[коэф]])),
IF((G638="5/8"),((база!$J$6*2*Таблица1[[#This Row],[Столбец1]]*Таблица1[[#This Row],[коэф]])),
IF((G638="4/8"),((база!$J$5*2*Таблица1[[#This Row],[Столбец1]]*Таблица1[[#This Row],[коэф]])),
IF(OR(G638="3/8",G638="2/8"),((база!$J$4*2*Таблица1[[#This Row],[Столбец1]]*Таблица1[[#This Row],[коэф]])))))))))))))),
(IF((G638="5/24"),((база!$M$6*2*Таблица1[[#This Row],[Столбец1]]*Таблица1[[#This Row],[коэф]])),
IF(OR(G638="4/24",G638="3/24"),((база!$M$5*2*Таблица1[[#This Row],[Столбец1]]*Таблица1[[#This Row],[коэф]])),
IF((G638="5/16"),((база!$L$6*2*Таблица1[[#This Row],[Столбец1]]*Таблица1[[#This Row],[коэф]])),
IF(OR(G638="4/16",G638="3/16"),((база!$L$5*2*Таблица1[[#This Row],[Столбец1]]*Таблица1[[#This Row],[коэф]])),
IF(OR(G638="2/4",G638="3/4",G638="4/4"),((база!$I$5*2*Таблица1[[#This Row],[Столбец1]]*Таблица1[[#This Row],[коэф]])),
IF((G638="5/8"),((база!$J$6*2*Таблица1[[#This Row],[Столбец1]]*Таблица1[[#This Row],[коэф]])),
IF(OR(G638="4/8",G638="3/8",G638="2/8"),((база!$J$5*2*Таблица1[[#This Row],[Столбец1]]*Таблица1[[#This Row],[коэф]])))))))))))</f>
        <v>0</v>
      </c>
      <c r="AQ638" s="712" t="str">
        <f>IFERROR(INDEX(база!T:T, MATCH(F638,база!Q:Q,0)),"")</f>
        <v/>
      </c>
      <c r="AR638" s="208" t="str">
        <f>IFERROR(INDEX(база!D:D, MATCH(F638,база!B:B,0)),"")</f>
        <v/>
      </c>
      <c r="AS638" s="758" t="str">
        <f>IFERROR(INDEX(база!E:E, MATCH(F638,база!B:B,0)),"")</f>
        <v/>
      </c>
    </row>
    <row r="639" spans="1:45" s="46" customFormat="1" ht="15">
      <c r="A639" s="66" t="str">
        <f t="shared" si="8"/>
        <v>январь</v>
      </c>
      <c r="B639" s="231">
        <v>2024</v>
      </c>
      <c r="C639" s="299"/>
      <c r="D639" s="61"/>
      <c r="E639" s="211"/>
      <c r="F639" s="680"/>
      <c r="G639" s="47"/>
      <c r="H639" s="563"/>
      <c r="I639" s="563"/>
      <c r="J639" s="563"/>
      <c r="K639" s="563"/>
      <c r="L639" s="563"/>
      <c r="M639" s="563"/>
      <c r="N639" s="563"/>
      <c r="O639" s="563"/>
      <c r="P639" s="300"/>
      <c r="Q639" s="563"/>
      <c r="R639" s="563"/>
      <c r="S639" s="563"/>
      <c r="T639" s="563"/>
      <c r="U639" s="563"/>
      <c r="V639" s="563"/>
      <c r="W639" s="563"/>
      <c r="X639" s="563"/>
      <c r="Y639" s="563"/>
      <c r="Z639" s="563"/>
      <c r="AA639" s="563"/>
      <c r="AB639" s="563"/>
      <c r="AC639" s="563"/>
      <c r="AD639" s="48"/>
      <c r="AE639" s="48"/>
      <c r="AF639" s="258"/>
      <c r="AG639" s="48"/>
      <c r="AH639" s="48"/>
      <c r="AI639" s="258"/>
      <c r="AJ639" s="258"/>
      <c r="AK639" s="258"/>
      <c r="AL639" s="258"/>
      <c r="AM639" s="212">
        <f>IF(AQ639=1,SUM(Q639:T639,W639:Z639,AC639:AF639,AI639:AL639),
IF(AQ639=2,SUM(P639,S639:V639,Y639:AB639,AE639:AH639,AK639:AL639),
IF(AQ639=3,SUM(P639:R639,U639:X639,AA639:AD639,AG639:AJ639),SUM(Таблица1[[#This Row],[1]:[31]])-Таблица1[[#This Row],[Столбец1]])))</f>
        <v>0</v>
      </c>
      <c r="AN639" s="778">
        <f t="array" ref="AN639">IF(AQ639=1,SUM(P639,U639:V639,AA639:AB639,AG639:AH639),
IF(AQ639=2,SUM(Q639:R639,W639:X639,AC639:AD639,AI639:AJ639),
IF(AQ639=3,SUM(S639:T639,Y639:Z639,AE639:AF639,AK639:AL639),
SUM(IFERROR(WEEKDAY($H$2:$AL$2,2)&gt;5,)*H639:AL639))))+Таблица1[[#This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39" s="292" t="b">
        <f>IF(AR639&lt;=3,(IF((G639="5/24"),((база!$M$6*Таблица1[[#This Row],[сумма]]*Таблица1[[#This Row],[коэф]])),
IF((G639="4/24"),((база!$M$5*Таблица1[[#This Row],[сумма]]*Таблица1[[#This Row],[коэф]])),
IF((G639="3/24"),((база!$M$4*Таблица1[[#This Row],[сумма]]*Таблица1[[#This Row],[коэф]])),
IF((G639="5/16"),((база!$L$6*Таблица1[[#This Row],[сумма]]*Таблица1[[#This Row],[коэф]])),
IF((G639="4/16"),((база!$L$5*Таблица1[[#This Row],[сумма]]*Таблица1[[#This Row],[коэф]])),
IF((G639="3/16"),((база!$L$4*Таблица1[[#This Row],[сумма]]*Таблица1[[#This Row],[коэф]])),
IF((G639="4/4"),((база!$I$5*Таблица1[[#This Row],[сумма]]*Таблица1[[#This Row],[коэф]])),
IF(OR(G639="2/4",G639="3/4"),((база!$I$4*Таблица1[[#This Row],[сумма]]*Таблица1[[#This Row],[коэф]])),
IF((G639="5/8"),((база!$J$6*Таблица1[[#This Row],[сумма]]*Таблица1[[#This Row],[коэф]])),
IF((G639="4/8"),((база!$J$5*Таблица1[[#This Row],[сумма]]*Таблица1[[#This Row],[коэф]])),
IF(OR(G639="3/8",G639="2/8"),((база!$J$4*Таблица1[[#This Row],[сумма]]*Таблица1[[#This Row],[коэф]])))))))))))))),
(IF((G639="5/24"),((база!$M$6*Таблица1[[#This Row],[сумма]]*Таблица1[[#This Row],[коэф]])),
IF(OR(G639="4/24",G639="3/24"),((база!$M$5*Таблица1[[#This Row],[сумма]]*Таблица1[[#This Row],[коэф]])),
IF((G639="5/16"),((база!$L$6*Таблица1[[#This Row],[сумма]]*Таблица1[[#This Row],[коэф]])),
IF(OR(G639="4/16",G639="3/16"),((база!$L$5*Таблица1[[#This Row],[сумма]]*Таблица1[[#This Row],[коэф]])),
IF(OR(G639="2/4",G639="3/4",G639="4/4"),((база!$I$5*Таблица1[[#This Row],[сумма]]*Таблица1[[#This Row],[коэф]])),
IF((G639="5/8"),((база!$J$6*Таблица1[[#This Row],[сумма]]*Таблица1[[#This Row],[коэф]])),
IF(OR(G639="4/8",G639="3/8",G639="2/8"),((база!$J$5*Таблица1[[#This Row],[сумма]]*Таблица1[[#This Row],[коэф]])))))))))))</f>
        <v>0</v>
      </c>
      <c r="AP639" s="730" t="b">
        <f>IF(AR639&lt;=3,(IF((G639="5/24"),((база!$M$6*2*Таблица1[[#This Row],[Столбец1]]*Таблица1[[#This Row],[коэф]])),
IF((G639="4/24"),((база!$M$5*2*Таблица1[[#This Row],[Столбец1]]*Таблица1[[#This Row],[коэф]])),
IF((G639="3/24"),((база!$M$4*2*Таблица1[[#This Row],[Столбец1]]*Таблица1[[#This Row],[коэф]])),
IF((G639="5/16"),((база!$L$6*2*Таблица1[[#This Row],[Столбец1]]*Таблица1[[#This Row],[коэф]])),
IF((G639="4/16"),((база!$L$5*2*Таблица1[[#This Row],[Столбец1]]*Таблица1[[#This Row],[коэф]])),
IF((G639="3/16"),((база!$L$4*2*Таблица1[[#This Row],[Столбец1]]*Таблица1[[#This Row],[коэф]])),
IF((G639="4/4"),((база!$I$5*2*Таблица1[[#This Row],[Столбец1]]*Таблица1[[#This Row],[коэф]])),
IF(OR(G639="2/4",G639="3/4"),((база!$I$4*2*Таблица1[[#This Row],[Столбец1]]*Таблица1[[#This Row],[коэф]])),
IF((G639="5/8"),((база!$J$6*2*Таблица1[[#This Row],[Столбец1]]*Таблица1[[#This Row],[коэф]])),
IF((G639="4/8"),((база!$J$5*2*Таблица1[[#This Row],[Столбец1]]*Таблица1[[#This Row],[коэф]])),
IF(OR(G639="3/8",G639="2/8"),((база!$J$4*2*Таблица1[[#This Row],[Столбец1]]*Таблица1[[#This Row],[коэф]])))))))))))))),
(IF((G639="5/24"),((база!$M$6*2*Таблица1[[#This Row],[Столбец1]]*Таблица1[[#This Row],[коэф]])),
IF(OR(G639="4/24",G639="3/24"),((база!$M$5*2*Таблица1[[#This Row],[Столбец1]]*Таблица1[[#This Row],[коэф]])),
IF((G639="5/16"),((база!$L$6*2*Таблица1[[#This Row],[Столбец1]]*Таблица1[[#This Row],[коэф]])),
IF(OR(G639="4/16",G639="3/16"),((база!$L$5*2*Таблица1[[#This Row],[Столбец1]]*Таблица1[[#This Row],[коэф]])),
IF(OR(G639="2/4",G639="3/4",G639="4/4"),((база!$I$5*2*Таблица1[[#This Row],[Столбец1]]*Таблица1[[#This Row],[коэф]])),
IF((G639="5/8"),((база!$J$6*2*Таблица1[[#This Row],[Столбец1]]*Таблица1[[#This Row],[коэф]])),
IF(OR(G639="4/8",G639="3/8",G639="2/8"),((база!$J$5*2*Таблица1[[#This Row],[Столбец1]]*Таблица1[[#This Row],[коэф]])))))))))))</f>
        <v>0</v>
      </c>
      <c r="AQ639" s="712" t="str">
        <f>IFERROR(INDEX(база!T:T, MATCH(F639,база!Q:Q,0)),"")</f>
        <v/>
      </c>
      <c r="AR639" s="208" t="str">
        <f>IFERROR(INDEX(база!D:D, MATCH(F639,база!B:B,0)),"")</f>
        <v/>
      </c>
      <c r="AS639" s="758" t="str">
        <f>IFERROR(INDEX(база!E:E, MATCH(F639,база!B:B,0)),"")</f>
        <v/>
      </c>
    </row>
    <row r="640" spans="1:45" s="46" customFormat="1" ht="15">
      <c r="A640" s="66" t="str">
        <f t="shared" si="8"/>
        <v>январь</v>
      </c>
      <c r="B640" s="231">
        <v>2024</v>
      </c>
      <c r="C640" s="299"/>
      <c r="D640" s="61"/>
      <c r="E640" s="211"/>
      <c r="F640" s="680"/>
      <c r="G640" s="47"/>
      <c r="H640" s="563"/>
      <c r="I640" s="563"/>
      <c r="J640" s="563"/>
      <c r="K640" s="563"/>
      <c r="L640" s="563"/>
      <c r="M640" s="563"/>
      <c r="N640" s="563"/>
      <c r="O640" s="563"/>
      <c r="P640" s="300"/>
      <c r="Q640" s="563"/>
      <c r="R640" s="563"/>
      <c r="S640" s="563"/>
      <c r="T640" s="563"/>
      <c r="U640" s="563"/>
      <c r="V640" s="563"/>
      <c r="W640" s="563"/>
      <c r="X640" s="563"/>
      <c r="Y640" s="563"/>
      <c r="Z640" s="563"/>
      <c r="AA640" s="563"/>
      <c r="AB640" s="563"/>
      <c r="AC640" s="563"/>
      <c r="AD640" s="48"/>
      <c r="AE640" s="48"/>
      <c r="AF640" s="258"/>
      <c r="AG640" s="48"/>
      <c r="AH640" s="48"/>
      <c r="AI640" s="48"/>
      <c r="AJ640" s="48"/>
      <c r="AK640" s="48"/>
      <c r="AL640" s="51"/>
      <c r="AM640" s="212">
        <f>IF(AQ640=1,SUM(Q640:T640,W640:Z640,AC640:AF640,AI640:AL640),
IF(AQ640=2,SUM(P640,S640:V640,Y640:AB640,AE640:AH640,AK640:AL640),
IF(AQ640=3,SUM(P640:R640,U640:X640,AA640:AD640,AG640:AJ640),SUM(Таблица1[[#This Row],[1]:[31]])-Таблица1[[#This Row],[Столбец1]])))</f>
        <v>0</v>
      </c>
      <c r="AN640" s="778">
        <f t="array" ref="AN640">IF(AQ640=1,SUM(P640,U640:V640,AA640:AB640,AG640:AH640),
IF(AQ640=2,SUM(Q640:R640,W640:X640,AC640:AD640,AI640:AJ640),
IF(AQ640=3,SUM(S640:T640,Y640:Z640,AE640:AF640,AK640:AL640),
SUM(IFERROR(WEEKDAY($H$2:$AL$2,2)&gt;5,)*H640:AL640))))+Таблица1[[#This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40" s="292" t="b">
        <f>IF(AR640&lt;=3,(IF((G640="5/24"),((база!$M$6*Таблица1[[#This Row],[сумма]]*Таблица1[[#This Row],[коэф]])),
IF((G640="4/24"),((база!$M$5*Таблица1[[#This Row],[сумма]]*Таблица1[[#This Row],[коэф]])),
IF((G640="3/24"),((база!$M$4*Таблица1[[#This Row],[сумма]]*Таблица1[[#This Row],[коэф]])),
IF((G640="5/16"),((база!$L$6*Таблица1[[#This Row],[сумма]]*Таблица1[[#This Row],[коэф]])),
IF((G640="4/16"),((база!$L$5*Таблица1[[#This Row],[сумма]]*Таблица1[[#This Row],[коэф]])),
IF((G640="3/16"),((база!$L$4*Таблица1[[#This Row],[сумма]]*Таблица1[[#This Row],[коэф]])),
IF((G640="4/4"),((база!$I$5*Таблица1[[#This Row],[сумма]]*Таблица1[[#This Row],[коэф]])),
IF(OR(G640="2/4",G640="3/4"),((база!$I$4*Таблица1[[#This Row],[сумма]]*Таблица1[[#This Row],[коэф]])),
IF((G640="5/8"),((база!$J$6*Таблица1[[#This Row],[сумма]]*Таблица1[[#This Row],[коэф]])),
IF((G640="4/8"),((база!$J$5*Таблица1[[#This Row],[сумма]]*Таблица1[[#This Row],[коэф]])),
IF(OR(G640="3/8",G640="2/8"),((база!$J$4*Таблица1[[#This Row],[сумма]]*Таблица1[[#This Row],[коэф]])))))))))))))),
(IF((G640="5/24"),((база!$M$6*Таблица1[[#This Row],[сумма]]*Таблица1[[#This Row],[коэф]])),
IF(OR(G640="4/24",G640="3/24"),((база!$M$5*Таблица1[[#This Row],[сумма]]*Таблица1[[#This Row],[коэф]])),
IF((G640="5/16"),((база!$L$6*Таблица1[[#This Row],[сумма]]*Таблица1[[#This Row],[коэф]])),
IF(OR(G640="4/16",G640="3/16"),((база!$L$5*Таблица1[[#This Row],[сумма]]*Таблица1[[#This Row],[коэф]])),
IF(OR(G640="2/4",G640="3/4",G640="4/4"),((база!$I$5*Таблица1[[#This Row],[сумма]]*Таблица1[[#This Row],[коэф]])),
IF((G640="5/8"),((база!$J$6*Таблица1[[#This Row],[сумма]]*Таблица1[[#This Row],[коэф]])),
IF(OR(G640="4/8",G640="3/8",G640="2/8"),((база!$J$5*Таблица1[[#This Row],[сумма]]*Таблица1[[#This Row],[коэф]])))))))))))</f>
        <v>0</v>
      </c>
      <c r="AP640" s="730" t="b">
        <f>IF(AR640&lt;=3,(IF((G640="5/24"),((база!$M$6*2*Таблица1[[#This Row],[Столбец1]]*Таблица1[[#This Row],[коэф]])),
IF((G640="4/24"),((база!$M$5*2*Таблица1[[#This Row],[Столбец1]]*Таблица1[[#This Row],[коэф]])),
IF((G640="3/24"),((база!$M$4*2*Таблица1[[#This Row],[Столбец1]]*Таблица1[[#This Row],[коэф]])),
IF((G640="5/16"),((база!$L$6*2*Таблица1[[#This Row],[Столбец1]]*Таблица1[[#This Row],[коэф]])),
IF((G640="4/16"),((база!$L$5*2*Таблица1[[#This Row],[Столбец1]]*Таблица1[[#This Row],[коэф]])),
IF((G640="3/16"),((база!$L$4*2*Таблица1[[#This Row],[Столбец1]]*Таблица1[[#This Row],[коэф]])),
IF((G640="4/4"),((база!$I$5*2*Таблица1[[#This Row],[Столбец1]]*Таблица1[[#This Row],[коэф]])),
IF(OR(G640="2/4",G640="3/4"),((база!$I$4*2*Таблица1[[#This Row],[Столбец1]]*Таблица1[[#This Row],[коэф]])),
IF((G640="5/8"),((база!$J$6*2*Таблица1[[#This Row],[Столбец1]]*Таблица1[[#This Row],[коэф]])),
IF((G640="4/8"),((база!$J$5*2*Таблица1[[#This Row],[Столбец1]]*Таблица1[[#This Row],[коэф]])),
IF(OR(G640="3/8",G640="2/8"),((база!$J$4*2*Таблица1[[#This Row],[Столбец1]]*Таблица1[[#This Row],[коэф]])))))))))))))),
(IF((G640="5/24"),((база!$M$6*2*Таблица1[[#This Row],[Столбец1]]*Таблица1[[#This Row],[коэф]])),
IF(OR(G640="4/24",G640="3/24"),((база!$M$5*2*Таблица1[[#This Row],[Столбец1]]*Таблица1[[#This Row],[коэф]])),
IF((G640="5/16"),((база!$L$6*2*Таблица1[[#This Row],[Столбец1]]*Таблица1[[#This Row],[коэф]])),
IF(OR(G640="4/16",G640="3/16"),((база!$L$5*2*Таблица1[[#This Row],[Столбец1]]*Таблица1[[#This Row],[коэф]])),
IF(OR(G640="2/4",G640="3/4",G640="4/4"),((база!$I$5*2*Таблица1[[#This Row],[Столбец1]]*Таблица1[[#This Row],[коэф]])),
IF((G640="5/8"),((база!$J$6*2*Таблица1[[#This Row],[Столбец1]]*Таблица1[[#This Row],[коэф]])),
IF(OR(G640="4/8",G640="3/8",G640="2/8"),((база!$J$5*2*Таблица1[[#This Row],[Столбец1]]*Таблица1[[#This Row],[коэф]])))))))))))</f>
        <v>0</v>
      </c>
      <c r="AQ640" s="712" t="str">
        <f>IFERROR(INDEX(база!T:T, MATCH(F640,база!Q:Q,0)),"")</f>
        <v/>
      </c>
      <c r="AR640" s="208" t="str">
        <f>IFERROR(INDEX(база!D:D, MATCH(F640,база!B:B,0)),"")</f>
        <v/>
      </c>
      <c r="AS640" s="758" t="str">
        <f>IFERROR(INDEX(база!E:E, MATCH(F640,база!B:B,0)),"")</f>
        <v/>
      </c>
    </row>
    <row r="641" spans="1:45" s="46" customFormat="1" ht="15">
      <c r="A641" s="66" t="str">
        <f t="shared" si="8"/>
        <v>январь</v>
      </c>
      <c r="B641" s="231">
        <v>2024</v>
      </c>
      <c r="C641" s="299"/>
      <c r="D641" s="61"/>
      <c r="E641" s="211"/>
      <c r="F641" s="680"/>
      <c r="G641" s="47"/>
      <c r="H641" s="563"/>
      <c r="I641" s="563"/>
      <c r="J641" s="563"/>
      <c r="K641" s="563"/>
      <c r="L641" s="563"/>
      <c r="M641" s="563"/>
      <c r="N641" s="563"/>
      <c r="O641" s="563"/>
      <c r="P641" s="300"/>
      <c r="Q641" s="563"/>
      <c r="R641" s="563"/>
      <c r="S641" s="563"/>
      <c r="T641" s="563"/>
      <c r="U641" s="563"/>
      <c r="V641" s="563"/>
      <c r="W641" s="563"/>
      <c r="X641" s="563"/>
      <c r="Y641" s="563"/>
      <c r="Z641" s="563"/>
      <c r="AA641" s="563"/>
      <c r="AB641" s="563"/>
      <c r="AC641" s="563"/>
      <c r="AD641" s="48"/>
      <c r="AE641" s="48"/>
      <c r="AF641" s="258"/>
      <c r="AG641" s="48"/>
      <c r="AH641" s="48"/>
      <c r="AI641" s="258"/>
      <c r="AJ641" s="258"/>
      <c r="AK641" s="258"/>
      <c r="AL641" s="258"/>
      <c r="AM641" s="212">
        <f>IF(AQ641=1,SUM(Q641:T641,W641:Z641,AC641:AF641,AI641:AL641),
IF(AQ641=2,SUM(P641,S641:V641,Y641:AB641,AE641:AH641,AK641:AL641),
IF(AQ641=3,SUM(P641:R641,U641:X641,AA641:AD641,AG641:AJ641),SUM(Таблица1[[#This Row],[1]:[31]])-Таблица1[[#This Row],[Столбец1]])))</f>
        <v>0</v>
      </c>
      <c r="AN641" s="778">
        <f t="array" ref="AN641">IF(AQ641=1,SUM(P641,U641:V641,AA641:AB641,AG641:AH641),
IF(AQ641=2,SUM(Q641:R641,W641:X641,AC641:AD641,AI641:AJ641),
IF(AQ641=3,SUM(S641:T641,Y641:Z641,AE641:AF641,AK641:AL641),
SUM(IFERROR(WEEKDAY($H$2:$AL$2,2)&gt;5,)*H641:AL641))))+Таблица1[[#This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41" s="292" t="b">
        <f>IF(AR641&lt;=3,(IF((G641="5/24"),((база!$M$6*Таблица1[[#This Row],[сумма]]*Таблица1[[#This Row],[коэф]])),
IF((G641="4/24"),((база!$M$5*Таблица1[[#This Row],[сумма]]*Таблица1[[#This Row],[коэф]])),
IF((G641="3/24"),((база!$M$4*Таблица1[[#This Row],[сумма]]*Таблица1[[#This Row],[коэф]])),
IF((G641="5/16"),((база!$L$6*Таблица1[[#This Row],[сумма]]*Таблица1[[#This Row],[коэф]])),
IF((G641="4/16"),((база!$L$5*Таблица1[[#This Row],[сумма]]*Таблица1[[#This Row],[коэф]])),
IF((G641="3/16"),((база!$L$4*Таблица1[[#This Row],[сумма]]*Таблица1[[#This Row],[коэф]])),
IF((G641="4/4"),((база!$I$5*Таблица1[[#This Row],[сумма]]*Таблица1[[#This Row],[коэф]])),
IF(OR(G641="2/4",G641="3/4"),((база!$I$4*Таблица1[[#This Row],[сумма]]*Таблица1[[#This Row],[коэф]])),
IF((G641="5/8"),((база!$J$6*Таблица1[[#This Row],[сумма]]*Таблица1[[#This Row],[коэф]])),
IF((G641="4/8"),((база!$J$5*Таблица1[[#This Row],[сумма]]*Таблица1[[#This Row],[коэф]])),
IF(OR(G641="3/8",G641="2/8"),((база!$J$4*Таблица1[[#This Row],[сумма]]*Таблица1[[#This Row],[коэф]])))))))))))))),
(IF((G641="5/24"),((база!$M$6*Таблица1[[#This Row],[сумма]]*Таблица1[[#This Row],[коэф]])),
IF(OR(G641="4/24",G641="3/24"),((база!$M$5*Таблица1[[#This Row],[сумма]]*Таблица1[[#This Row],[коэф]])),
IF((G641="5/16"),((база!$L$6*Таблица1[[#This Row],[сумма]]*Таблица1[[#This Row],[коэф]])),
IF(OR(G641="4/16",G641="3/16"),((база!$L$5*Таблица1[[#This Row],[сумма]]*Таблица1[[#This Row],[коэф]])),
IF(OR(G641="2/4",G641="3/4",G641="4/4"),((база!$I$5*Таблица1[[#This Row],[сумма]]*Таблица1[[#This Row],[коэф]])),
IF((G641="5/8"),((база!$J$6*Таблица1[[#This Row],[сумма]]*Таблица1[[#This Row],[коэф]])),
IF(OR(G641="4/8",G641="3/8",G641="2/8"),((база!$J$5*Таблица1[[#This Row],[сумма]]*Таблица1[[#This Row],[коэф]])))))))))))</f>
        <v>0</v>
      </c>
      <c r="AP641" s="730" t="b">
        <f>IF(AR641&lt;=3,(IF((G641="5/24"),((база!$M$6*2*Таблица1[[#This Row],[Столбец1]]*Таблица1[[#This Row],[коэф]])),
IF((G641="4/24"),((база!$M$5*2*Таблица1[[#This Row],[Столбец1]]*Таблица1[[#This Row],[коэф]])),
IF((G641="3/24"),((база!$M$4*2*Таблица1[[#This Row],[Столбец1]]*Таблица1[[#This Row],[коэф]])),
IF((G641="5/16"),((база!$L$6*2*Таблица1[[#This Row],[Столбец1]]*Таблица1[[#This Row],[коэф]])),
IF((G641="4/16"),((база!$L$5*2*Таблица1[[#This Row],[Столбец1]]*Таблица1[[#This Row],[коэф]])),
IF((G641="3/16"),((база!$L$4*2*Таблица1[[#This Row],[Столбец1]]*Таблица1[[#This Row],[коэф]])),
IF((G641="4/4"),((база!$I$5*2*Таблица1[[#This Row],[Столбец1]]*Таблица1[[#This Row],[коэф]])),
IF(OR(G641="2/4",G641="3/4"),((база!$I$4*2*Таблица1[[#This Row],[Столбец1]]*Таблица1[[#This Row],[коэф]])),
IF((G641="5/8"),((база!$J$6*2*Таблица1[[#This Row],[Столбец1]]*Таблица1[[#This Row],[коэф]])),
IF((G641="4/8"),((база!$J$5*2*Таблица1[[#This Row],[Столбец1]]*Таблица1[[#This Row],[коэф]])),
IF(OR(G641="3/8",G641="2/8"),((база!$J$4*2*Таблица1[[#This Row],[Столбец1]]*Таблица1[[#This Row],[коэф]])))))))))))))),
(IF((G641="5/24"),((база!$M$6*2*Таблица1[[#This Row],[Столбец1]]*Таблица1[[#This Row],[коэф]])),
IF(OR(G641="4/24",G641="3/24"),((база!$M$5*2*Таблица1[[#This Row],[Столбец1]]*Таблица1[[#This Row],[коэф]])),
IF((G641="5/16"),((база!$L$6*2*Таблица1[[#This Row],[Столбец1]]*Таблица1[[#This Row],[коэф]])),
IF(OR(G641="4/16",G641="3/16"),((база!$L$5*2*Таблица1[[#This Row],[Столбец1]]*Таблица1[[#This Row],[коэф]])),
IF(OR(G641="2/4",G641="3/4",G641="4/4"),((база!$I$5*2*Таблица1[[#This Row],[Столбец1]]*Таблица1[[#This Row],[коэф]])),
IF((G641="5/8"),((база!$J$6*2*Таблица1[[#This Row],[Столбец1]]*Таблица1[[#This Row],[коэф]])),
IF(OR(G641="4/8",G641="3/8",G641="2/8"),((база!$J$5*2*Таблица1[[#This Row],[Столбец1]]*Таблица1[[#This Row],[коэф]])))))))))))</f>
        <v>0</v>
      </c>
      <c r="AQ641" s="712" t="str">
        <f>IFERROR(INDEX(база!T:T, MATCH(F641,база!Q:Q,0)),"")</f>
        <v/>
      </c>
      <c r="AR641" s="208" t="str">
        <f>IFERROR(INDEX(база!D:D, MATCH(F641,база!B:B,0)),"")</f>
        <v/>
      </c>
      <c r="AS641" s="758" t="str">
        <f>IFERROR(INDEX(база!E:E, MATCH(F641,база!B:B,0)),"")</f>
        <v/>
      </c>
    </row>
    <row r="642" spans="1:45" s="46" customFormat="1" ht="15">
      <c r="A642" s="66" t="str">
        <f t="shared" si="8"/>
        <v>январь</v>
      </c>
      <c r="B642" s="231">
        <v>2024</v>
      </c>
      <c r="C642" s="299"/>
      <c r="D642" s="61"/>
      <c r="E642" s="211"/>
      <c r="F642" s="680"/>
      <c r="G642" s="47"/>
      <c r="H642" s="563"/>
      <c r="I642" s="563"/>
      <c r="J642" s="563"/>
      <c r="K642" s="563"/>
      <c r="L642" s="563"/>
      <c r="M642" s="563"/>
      <c r="N642" s="563"/>
      <c r="O642" s="563"/>
      <c r="P642" s="300"/>
      <c r="Q642" s="563"/>
      <c r="R642" s="563"/>
      <c r="S642" s="563"/>
      <c r="T642" s="563"/>
      <c r="U642" s="563"/>
      <c r="V642" s="563"/>
      <c r="W642" s="563"/>
      <c r="X642" s="563"/>
      <c r="Y642" s="563"/>
      <c r="Z642" s="563"/>
      <c r="AA642" s="563"/>
      <c r="AB642" s="563"/>
      <c r="AC642" s="563"/>
      <c r="AD642" s="48"/>
      <c r="AE642" s="48"/>
      <c r="AF642" s="258"/>
      <c r="AG642" s="48"/>
      <c r="AH642" s="48"/>
      <c r="AI642" s="48"/>
      <c r="AJ642" s="48"/>
      <c r="AK642" s="48"/>
      <c r="AL642" s="51"/>
      <c r="AM642" s="212">
        <f>IF(AQ642=1,SUM(Q642:T642,W642:Z642,AC642:AF642,AI642:AL642),
IF(AQ642=2,SUM(P642,S642:V642,Y642:AB642,AE642:AH642,AK642:AL642),
IF(AQ642=3,SUM(P642:R642,U642:X642,AA642:AD642,AG642:AJ642),SUM(Таблица1[[#This Row],[1]:[31]])-Таблица1[[#This Row],[Столбец1]])))</f>
        <v>0</v>
      </c>
      <c r="AN642" s="778">
        <f t="array" ref="AN642">IF(AQ642=1,SUM(P642,U642:V642,AA642:AB642,AG642:AH642),
IF(AQ642=2,SUM(Q642:R642,W642:X642,AC642:AD642,AI642:AJ642),
IF(AQ642=3,SUM(S642:T642,Y642:Z642,AE642:AF642,AK642:AL642),
SUM(IFERROR(WEEKDAY($H$2:$AL$2,2)&gt;5,)*H642:AL642))))+Таблица1[[#This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42" s="292" t="b">
        <f>IF(AR642&lt;=3,(IF((G642="5/24"),((база!$M$6*Таблица1[[#This Row],[сумма]]*Таблица1[[#This Row],[коэф]])),
IF((G642="4/24"),((база!$M$5*Таблица1[[#This Row],[сумма]]*Таблица1[[#This Row],[коэф]])),
IF((G642="3/24"),((база!$M$4*Таблица1[[#This Row],[сумма]]*Таблица1[[#This Row],[коэф]])),
IF((G642="5/16"),((база!$L$6*Таблица1[[#This Row],[сумма]]*Таблица1[[#This Row],[коэф]])),
IF((G642="4/16"),((база!$L$5*Таблица1[[#This Row],[сумма]]*Таблица1[[#This Row],[коэф]])),
IF((G642="3/16"),((база!$L$4*Таблица1[[#This Row],[сумма]]*Таблица1[[#This Row],[коэф]])),
IF((G642="4/4"),((база!$I$5*Таблица1[[#This Row],[сумма]]*Таблица1[[#This Row],[коэф]])),
IF(OR(G642="2/4",G642="3/4"),((база!$I$4*Таблица1[[#This Row],[сумма]]*Таблица1[[#This Row],[коэф]])),
IF((G642="5/8"),((база!$J$6*Таблица1[[#This Row],[сумма]]*Таблица1[[#This Row],[коэф]])),
IF((G642="4/8"),((база!$J$5*Таблица1[[#This Row],[сумма]]*Таблица1[[#This Row],[коэф]])),
IF(OR(G642="3/8",G642="2/8"),((база!$J$4*Таблица1[[#This Row],[сумма]]*Таблица1[[#This Row],[коэф]])))))))))))))),
(IF((G642="5/24"),((база!$M$6*Таблица1[[#This Row],[сумма]]*Таблица1[[#This Row],[коэф]])),
IF(OR(G642="4/24",G642="3/24"),((база!$M$5*Таблица1[[#This Row],[сумма]]*Таблица1[[#This Row],[коэф]])),
IF((G642="5/16"),((база!$L$6*Таблица1[[#This Row],[сумма]]*Таблица1[[#This Row],[коэф]])),
IF(OR(G642="4/16",G642="3/16"),((база!$L$5*Таблица1[[#This Row],[сумма]]*Таблица1[[#This Row],[коэф]])),
IF(OR(G642="2/4",G642="3/4",G642="4/4"),((база!$I$5*Таблица1[[#This Row],[сумма]]*Таблица1[[#This Row],[коэф]])),
IF((G642="5/8"),((база!$J$6*Таблица1[[#This Row],[сумма]]*Таблица1[[#This Row],[коэф]])),
IF(OR(G642="4/8",G642="3/8",G642="2/8"),((база!$J$5*Таблица1[[#This Row],[сумма]]*Таблица1[[#This Row],[коэф]])))))))))))</f>
        <v>0</v>
      </c>
      <c r="AP642" s="730" t="b">
        <f>IF(AR642&lt;=3,(IF((G642="5/24"),((база!$M$6*2*Таблица1[[#This Row],[Столбец1]]*Таблица1[[#This Row],[коэф]])),
IF((G642="4/24"),((база!$M$5*2*Таблица1[[#This Row],[Столбец1]]*Таблица1[[#This Row],[коэф]])),
IF((G642="3/24"),((база!$M$4*2*Таблица1[[#This Row],[Столбец1]]*Таблица1[[#This Row],[коэф]])),
IF((G642="5/16"),((база!$L$6*2*Таблица1[[#This Row],[Столбец1]]*Таблица1[[#This Row],[коэф]])),
IF((G642="4/16"),((база!$L$5*2*Таблица1[[#This Row],[Столбец1]]*Таблица1[[#This Row],[коэф]])),
IF((G642="3/16"),((база!$L$4*2*Таблица1[[#This Row],[Столбец1]]*Таблица1[[#This Row],[коэф]])),
IF((G642="4/4"),((база!$I$5*2*Таблица1[[#This Row],[Столбец1]]*Таблица1[[#This Row],[коэф]])),
IF(OR(G642="2/4",G642="3/4"),((база!$I$4*2*Таблица1[[#This Row],[Столбец1]]*Таблица1[[#This Row],[коэф]])),
IF((G642="5/8"),((база!$J$6*2*Таблица1[[#This Row],[Столбец1]]*Таблица1[[#This Row],[коэф]])),
IF((G642="4/8"),((база!$J$5*2*Таблица1[[#This Row],[Столбец1]]*Таблица1[[#This Row],[коэф]])),
IF(OR(G642="3/8",G642="2/8"),((база!$J$4*2*Таблица1[[#This Row],[Столбец1]]*Таблица1[[#This Row],[коэф]])))))))))))))),
(IF((G642="5/24"),((база!$M$6*2*Таблица1[[#This Row],[Столбец1]]*Таблица1[[#This Row],[коэф]])),
IF(OR(G642="4/24",G642="3/24"),((база!$M$5*2*Таблица1[[#This Row],[Столбец1]]*Таблица1[[#This Row],[коэф]])),
IF((G642="5/16"),((база!$L$6*2*Таблица1[[#This Row],[Столбец1]]*Таблица1[[#This Row],[коэф]])),
IF(OR(G642="4/16",G642="3/16"),((база!$L$5*2*Таблица1[[#This Row],[Столбец1]]*Таблица1[[#This Row],[коэф]])),
IF(OR(G642="2/4",G642="3/4",G642="4/4"),((база!$I$5*2*Таблица1[[#This Row],[Столбец1]]*Таблица1[[#This Row],[коэф]])),
IF((G642="5/8"),((база!$J$6*2*Таблица1[[#This Row],[Столбец1]]*Таблица1[[#This Row],[коэф]])),
IF(OR(G642="4/8",G642="3/8",G642="2/8"),((база!$J$5*2*Таблица1[[#This Row],[Столбец1]]*Таблица1[[#This Row],[коэф]])))))))))))</f>
        <v>0</v>
      </c>
      <c r="AQ642" s="712" t="str">
        <f>IFERROR(INDEX(база!T:T, MATCH(F642,база!Q:Q,0)),"")</f>
        <v/>
      </c>
      <c r="AR642" s="208" t="str">
        <f>IFERROR(INDEX(база!D:D, MATCH(F642,база!B:B,0)),"")</f>
        <v/>
      </c>
      <c r="AS642" s="758" t="str">
        <f>IFERROR(INDEX(база!E:E, MATCH(F642,база!B:B,0)),"")</f>
        <v/>
      </c>
    </row>
    <row r="643" spans="1:45" s="46" customFormat="1" ht="15">
      <c r="A643" s="66" t="str">
        <f t="shared" si="8"/>
        <v>январь</v>
      </c>
      <c r="B643" s="231">
        <v>2024</v>
      </c>
      <c r="C643" s="299"/>
      <c r="D643" s="61"/>
      <c r="E643" s="211"/>
      <c r="F643" s="680"/>
      <c r="G643" s="47"/>
      <c r="H643" s="563"/>
      <c r="I643" s="563"/>
      <c r="J643" s="563"/>
      <c r="K643" s="563"/>
      <c r="L643" s="563"/>
      <c r="M643" s="563"/>
      <c r="N643" s="563"/>
      <c r="O643" s="563"/>
      <c r="P643" s="300"/>
      <c r="Q643" s="563"/>
      <c r="R643" s="563"/>
      <c r="S643" s="563"/>
      <c r="T643" s="563"/>
      <c r="U643" s="563"/>
      <c r="V643" s="563"/>
      <c r="W643" s="563"/>
      <c r="X643" s="563"/>
      <c r="Y643" s="563"/>
      <c r="Z643" s="563"/>
      <c r="AA643" s="563"/>
      <c r="AB643" s="563"/>
      <c r="AC643" s="563"/>
      <c r="AD643" s="48"/>
      <c r="AE643" s="48"/>
      <c r="AF643" s="258"/>
      <c r="AG643" s="48"/>
      <c r="AH643" s="48"/>
      <c r="AI643" s="258"/>
      <c r="AJ643" s="258"/>
      <c r="AK643" s="258"/>
      <c r="AL643" s="258"/>
      <c r="AM643" s="212">
        <f>IF(AQ643=1,SUM(Q643:T643,W643:Z643,AC643:AF643,AI643:AL643),
IF(AQ643=2,SUM(P643,S643:V643,Y643:AB643,AE643:AH643,AK643:AL643),
IF(AQ643=3,SUM(P643:R643,U643:X643,AA643:AD643,AG643:AJ643),SUM(Таблица1[[#This Row],[1]:[31]])-Таблица1[[#This Row],[Столбец1]])))</f>
        <v>0</v>
      </c>
      <c r="AN643" s="778">
        <f t="array" ref="AN643">IF(AQ643=1,SUM(P643,U643:V643,AA643:AB643,AG643:AH643),
IF(AQ643=2,SUM(Q643:R643,W643:X643,AC643:AD643,AI643:AJ643),
IF(AQ643=3,SUM(S643:T643,Y643:Z643,AE643:AF643,AK643:AL643),
SUM(IFERROR(WEEKDAY($H$2:$AL$2,2)&gt;5,)*H643:AL643))))+Таблица1[[#This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43" s="292" t="b">
        <f>IF(AR643&lt;=3,(IF((G643="5/24"),((база!$M$6*Таблица1[[#This Row],[сумма]]*Таблица1[[#This Row],[коэф]])),
IF((G643="4/24"),((база!$M$5*Таблица1[[#This Row],[сумма]]*Таблица1[[#This Row],[коэф]])),
IF((G643="3/24"),((база!$M$4*Таблица1[[#This Row],[сумма]]*Таблица1[[#This Row],[коэф]])),
IF((G643="5/16"),((база!$L$6*Таблица1[[#This Row],[сумма]]*Таблица1[[#This Row],[коэф]])),
IF((G643="4/16"),((база!$L$5*Таблица1[[#This Row],[сумма]]*Таблица1[[#This Row],[коэф]])),
IF((G643="3/16"),((база!$L$4*Таблица1[[#This Row],[сумма]]*Таблица1[[#This Row],[коэф]])),
IF((G643="4/4"),((база!$I$5*Таблица1[[#This Row],[сумма]]*Таблица1[[#This Row],[коэф]])),
IF(OR(G643="2/4",G643="3/4"),((база!$I$4*Таблица1[[#This Row],[сумма]]*Таблица1[[#This Row],[коэф]])),
IF((G643="5/8"),((база!$J$6*Таблица1[[#This Row],[сумма]]*Таблица1[[#This Row],[коэф]])),
IF((G643="4/8"),((база!$J$5*Таблица1[[#This Row],[сумма]]*Таблица1[[#This Row],[коэф]])),
IF(OR(G643="3/8",G643="2/8"),((база!$J$4*Таблица1[[#This Row],[сумма]]*Таблица1[[#This Row],[коэф]])))))))))))))),
(IF((G643="5/24"),((база!$M$6*Таблица1[[#This Row],[сумма]]*Таблица1[[#This Row],[коэф]])),
IF(OR(G643="4/24",G643="3/24"),((база!$M$5*Таблица1[[#This Row],[сумма]]*Таблица1[[#This Row],[коэф]])),
IF((G643="5/16"),((база!$L$6*Таблица1[[#This Row],[сумма]]*Таблица1[[#This Row],[коэф]])),
IF(OR(G643="4/16",G643="3/16"),((база!$L$5*Таблица1[[#This Row],[сумма]]*Таблица1[[#This Row],[коэф]])),
IF(OR(G643="2/4",G643="3/4",G643="4/4"),((база!$I$5*Таблица1[[#This Row],[сумма]]*Таблица1[[#This Row],[коэф]])),
IF((G643="5/8"),((база!$J$6*Таблица1[[#This Row],[сумма]]*Таблица1[[#This Row],[коэф]])),
IF(OR(G643="4/8",G643="3/8",G643="2/8"),((база!$J$5*Таблица1[[#This Row],[сумма]]*Таблица1[[#This Row],[коэф]])))))))))))</f>
        <v>0</v>
      </c>
      <c r="AP643" s="730" t="b">
        <f>IF(AR643&lt;=3,(IF((G643="5/24"),((база!$M$6*2*Таблица1[[#This Row],[Столбец1]]*Таблица1[[#This Row],[коэф]])),
IF((G643="4/24"),((база!$M$5*2*Таблица1[[#This Row],[Столбец1]]*Таблица1[[#This Row],[коэф]])),
IF((G643="3/24"),((база!$M$4*2*Таблица1[[#This Row],[Столбец1]]*Таблица1[[#This Row],[коэф]])),
IF((G643="5/16"),((база!$L$6*2*Таблица1[[#This Row],[Столбец1]]*Таблица1[[#This Row],[коэф]])),
IF((G643="4/16"),((база!$L$5*2*Таблица1[[#This Row],[Столбец1]]*Таблица1[[#This Row],[коэф]])),
IF((G643="3/16"),((база!$L$4*2*Таблица1[[#This Row],[Столбец1]]*Таблица1[[#This Row],[коэф]])),
IF((G643="4/4"),((база!$I$5*2*Таблица1[[#This Row],[Столбец1]]*Таблица1[[#This Row],[коэф]])),
IF(OR(G643="2/4",G643="3/4"),((база!$I$4*2*Таблица1[[#This Row],[Столбец1]]*Таблица1[[#This Row],[коэф]])),
IF((G643="5/8"),((база!$J$6*2*Таблица1[[#This Row],[Столбец1]]*Таблица1[[#This Row],[коэф]])),
IF((G643="4/8"),((база!$J$5*2*Таблица1[[#This Row],[Столбец1]]*Таблица1[[#This Row],[коэф]])),
IF(OR(G643="3/8",G643="2/8"),((база!$J$4*2*Таблица1[[#This Row],[Столбец1]]*Таблица1[[#This Row],[коэф]])))))))))))))),
(IF((G643="5/24"),((база!$M$6*2*Таблица1[[#This Row],[Столбец1]]*Таблица1[[#This Row],[коэф]])),
IF(OR(G643="4/24",G643="3/24"),((база!$M$5*2*Таблица1[[#This Row],[Столбец1]]*Таблица1[[#This Row],[коэф]])),
IF((G643="5/16"),((база!$L$6*2*Таблица1[[#This Row],[Столбец1]]*Таблица1[[#This Row],[коэф]])),
IF(OR(G643="4/16",G643="3/16"),((база!$L$5*2*Таблица1[[#This Row],[Столбец1]]*Таблица1[[#This Row],[коэф]])),
IF(OR(G643="2/4",G643="3/4",G643="4/4"),((база!$I$5*2*Таблица1[[#This Row],[Столбец1]]*Таблица1[[#This Row],[коэф]])),
IF((G643="5/8"),((база!$J$6*2*Таблица1[[#This Row],[Столбец1]]*Таблица1[[#This Row],[коэф]])),
IF(OR(G643="4/8",G643="3/8",G643="2/8"),((база!$J$5*2*Таблица1[[#This Row],[Столбец1]]*Таблица1[[#This Row],[коэф]])))))))))))</f>
        <v>0</v>
      </c>
      <c r="AQ643" s="712" t="str">
        <f>IFERROR(INDEX(база!T:T, MATCH(F643,база!Q:Q,0)),"")</f>
        <v/>
      </c>
      <c r="AR643" s="208" t="str">
        <f>IFERROR(INDEX(база!D:D, MATCH(F643,база!B:B,0)),"")</f>
        <v/>
      </c>
      <c r="AS643" s="758" t="str">
        <f>IFERROR(INDEX(база!E:E, MATCH(F643,база!B:B,0)),"")</f>
        <v/>
      </c>
    </row>
    <row r="644" spans="1:45" s="46" customFormat="1" ht="15">
      <c r="A644" s="66" t="str">
        <f t="shared" si="8"/>
        <v>январь</v>
      </c>
      <c r="B644" s="231">
        <v>2024</v>
      </c>
      <c r="C644" s="60"/>
      <c r="D644" s="61"/>
      <c r="E644" s="211"/>
      <c r="F644" s="680"/>
      <c r="G644" s="47"/>
      <c r="H644" s="563"/>
      <c r="I644" s="563"/>
      <c r="J644" s="563"/>
      <c r="K644" s="563"/>
      <c r="L644" s="563"/>
      <c r="M644" s="563"/>
      <c r="N644" s="563"/>
      <c r="O644" s="563"/>
      <c r="P644" s="300"/>
      <c r="Q644" s="563"/>
      <c r="R644" s="563"/>
      <c r="S644" s="563"/>
      <c r="T644" s="563"/>
      <c r="U644" s="563"/>
      <c r="V644" s="563"/>
      <c r="W644" s="563"/>
      <c r="X644" s="563"/>
      <c r="Y644" s="563"/>
      <c r="Z644" s="563"/>
      <c r="AA644" s="563"/>
      <c r="AB644" s="563"/>
      <c r="AC644" s="563"/>
      <c r="AD644" s="48"/>
      <c r="AE644" s="48"/>
      <c r="AF644" s="258"/>
      <c r="AG644" s="48"/>
      <c r="AH644" s="48"/>
      <c r="AI644" s="48"/>
      <c r="AJ644" s="48"/>
      <c r="AK644" s="48"/>
      <c r="AL644" s="51"/>
      <c r="AM644" s="212">
        <f>IF(AQ644=1,SUM(Q644:T644,W644:Z644,AC644:AF644,AI644:AL644),
IF(AQ644=2,SUM(P644,S644:V644,Y644:AB644,AE644:AH644,AK644:AL644),
IF(AQ644=3,SUM(P644:R644,U644:X644,AA644:AD644,AG644:AJ644),SUM(Таблица1[[#This Row],[1]:[31]])-Таблица1[[#This Row],[Столбец1]])))</f>
        <v>0</v>
      </c>
      <c r="AN644" s="778">
        <f t="array" ref="AN644">IF(AQ644=1,SUM(P644,U644:V644,AA644:AB644,AG644:AH644),
IF(AQ644=2,SUM(Q644:R644,W644:X644,AC644:AD644,AI644:AJ644),
IF(AQ644=3,SUM(S644:T644,Y644:Z644,AE644:AF644,AK644:AL644),
SUM(IFERROR(WEEKDAY($H$2:$AL$2,2)&gt;5,)*H644:AL644))))+Таблица1[[#This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44" s="292" t="b">
        <f>IF(AR644&lt;=3,(IF((G644="5/24"),((база!$M$6*Таблица1[[#This Row],[сумма]]*Таблица1[[#This Row],[коэф]])),
IF((G644="4/24"),((база!$M$5*Таблица1[[#This Row],[сумма]]*Таблица1[[#This Row],[коэф]])),
IF((G644="3/24"),((база!$M$4*Таблица1[[#This Row],[сумма]]*Таблица1[[#This Row],[коэф]])),
IF((G644="5/16"),((база!$L$6*Таблица1[[#This Row],[сумма]]*Таблица1[[#This Row],[коэф]])),
IF((G644="4/16"),((база!$L$5*Таблица1[[#This Row],[сумма]]*Таблица1[[#This Row],[коэф]])),
IF((G644="3/16"),((база!$L$4*Таблица1[[#This Row],[сумма]]*Таблица1[[#This Row],[коэф]])),
IF((G644="4/4"),((база!$I$5*Таблица1[[#This Row],[сумма]]*Таблица1[[#This Row],[коэф]])),
IF(OR(G644="2/4",G644="3/4"),((база!$I$4*Таблица1[[#This Row],[сумма]]*Таблица1[[#This Row],[коэф]])),
IF((G644="5/8"),((база!$J$6*Таблица1[[#This Row],[сумма]]*Таблица1[[#This Row],[коэф]])),
IF((G644="4/8"),((база!$J$5*Таблица1[[#This Row],[сумма]]*Таблица1[[#This Row],[коэф]])),
IF(OR(G644="3/8",G644="2/8"),((база!$J$4*Таблица1[[#This Row],[сумма]]*Таблица1[[#This Row],[коэф]])))))))))))))),
(IF((G644="5/24"),((база!$M$6*Таблица1[[#This Row],[сумма]]*Таблица1[[#This Row],[коэф]])),
IF(OR(G644="4/24",G644="3/24"),((база!$M$5*Таблица1[[#This Row],[сумма]]*Таблица1[[#This Row],[коэф]])),
IF((G644="5/16"),((база!$L$6*Таблица1[[#This Row],[сумма]]*Таблица1[[#This Row],[коэф]])),
IF(OR(G644="4/16",G644="3/16"),((база!$L$5*Таблица1[[#This Row],[сумма]]*Таблица1[[#This Row],[коэф]])),
IF(OR(G644="2/4",G644="3/4",G644="4/4"),((база!$I$5*Таблица1[[#This Row],[сумма]]*Таблица1[[#This Row],[коэф]])),
IF((G644="5/8"),((база!$J$6*Таблица1[[#This Row],[сумма]]*Таблица1[[#This Row],[коэф]])),
IF(OR(G644="4/8",G644="3/8",G644="2/8"),((база!$J$5*Таблица1[[#This Row],[сумма]]*Таблица1[[#This Row],[коэф]])))))))))))</f>
        <v>0</v>
      </c>
      <c r="AP644" s="730" t="b">
        <f>IF(AR644&lt;=3,(IF((G644="5/24"),((база!$M$6*2*Таблица1[[#This Row],[Столбец1]]*Таблица1[[#This Row],[коэф]])),
IF((G644="4/24"),((база!$M$5*2*Таблица1[[#This Row],[Столбец1]]*Таблица1[[#This Row],[коэф]])),
IF((G644="3/24"),((база!$M$4*2*Таблица1[[#This Row],[Столбец1]]*Таблица1[[#This Row],[коэф]])),
IF((G644="5/16"),((база!$L$6*2*Таблица1[[#This Row],[Столбец1]]*Таблица1[[#This Row],[коэф]])),
IF((G644="4/16"),((база!$L$5*2*Таблица1[[#This Row],[Столбец1]]*Таблица1[[#This Row],[коэф]])),
IF((G644="3/16"),((база!$L$4*2*Таблица1[[#This Row],[Столбец1]]*Таблица1[[#This Row],[коэф]])),
IF((G644="4/4"),((база!$I$5*2*Таблица1[[#This Row],[Столбец1]]*Таблица1[[#This Row],[коэф]])),
IF(OR(G644="2/4",G644="3/4"),((база!$I$4*2*Таблица1[[#This Row],[Столбец1]]*Таблица1[[#This Row],[коэф]])),
IF((G644="5/8"),((база!$J$6*2*Таблица1[[#This Row],[Столбец1]]*Таблица1[[#This Row],[коэф]])),
IF((G644="4/8"),((база!$J$5*2*Таблица1[[#This Row],[Столбец1]]*Таблица1[[#This Row],[коэф]])),
IF(OR(G644="3/8",G644="2/8"),((база!$J$4*2*Таблица1[[#This Row],[Столбец1]]*Таблица1[[#This Row],[коэф]])))))))))))))),
(IF((G644="5/24"),((база!$M$6*2*Таблица1[[#This Row],[Столбец1]]*Таблица1[[#This Row],[коэф]])),
IF(OR(G644="4/24",G644="3/24"),((база!$M$5*2*Таблица1[[#This Row],[Столбец1]]*Таблица1[[#This Row],[коэф]])),
IF((G644="5/16"),((база!$L$6*2*Таблица1[[#This Row],[Столбец1]]*Таблица1[[#This Row],[коэф]])),
IF(OR(G644="4/16",G644="3/16"),((база!$L$5*2*Таблица1[[#This Row],[Столбец1]]*Таблица1[[#This Row],[коэф]])),
IF(OR(G644="2/4",G644="3/4",G644="4/4"),((база!$I$5*2*Таблица1[[#This Row],[Столбец1]]*Таблица1[[#This Row],[коэф]])),
IF((G644="5/8"),((база!$J$6*2*Таблица1[[#This Row],[Столбец1]]*Таблица1[[#This Row],[коэф]])),
IF(OR(G644="4/8",G644="3/8",G644="2/8"),((база!$J$5*2*Таблица1[[#This Row],[Столбец1]]*Таблица1[[#This Row],[коэф]])))))))))))</f>
        <v>0</v>
      </c>
      <c r="AQ644" s="712" t="str">
        <f>IFERROR(INDEX(база!T:T, MATCH(F644,база!Q:Q,0)),"")</f>
        <v/>
      </c>
      <c r="AR644" s="208" t="str">
        <f>IFERROR(INDEX(база!D:D, MATCH(F644,база!B:B,0)),"")</f>
        <v/>
      </c>
      <c r="AS644" s="758" t="str">
        <f>IFERROR(INDEX(база!E:E, MATCH(F644,база!B:B,0)),"")</f>
        <v/>
      </c>
    </row>
    <row r="645" spans="1:45" s="46" customFormat="1" ht="15">
      <c r="A645" s="66" t="str">
        <f t="shared" si="8"/>
        <v>январь</v>
      </c>
      <c r="B645" s="231">
        <v>2024</v>
      </c>
      <c r="C645" s="299"/>
      <c r="D645" s="61"/>
      <c r="E645" s="211"/>
      <c r="F645" s="680"/>
      <c r="G645" s="47"/>
      <c r="H645" s="563"/>
      <c r="I645" s="563"/>
      <c r="J645" s="563"/>
      <c r="K645" s="563"/>
      <c r="L645" s="563"/>
      <c r="M645" s="563"/>
      <c r="N645" s="563"/>
      <c r="O645" s="563"/>
      <c r="P645" s="300"/>
      <c r="Q645" s="563"/>
      <c r="R645" s="563"/>
      <c r="S645" s="563"/>
      <c r="T645" s="563"/>
      <c r="U645" s="563"/>
      <c r="V645" s="563"/>
      <c r="W645" s="563"/>
      <c r="X645" s="563"/>
      <c r="Y645" s="563"/>
      <c r="Z645" s="563"/>
      <c r="AA645" s="563"/>
      <c r="AB645" s="563"/>
      <c r="AC645" s="563"/>
      <c r="AD645" s="48"/>
      <c r="AE645" s="48"/>
      <c r="AF645" s="258"/>
      <c r="AG645" s="48"/>
      <c r="AH645" s="48"/>
      <c r="AI645" s="258"/>
      <c r="AJ645" s="258"/>
      <c r="AK645" s="258"/>
      <c r="AL645" s="258"/>
      <c r="AM645" s="212">
        <f>IF(AQ645=1,SUM(Q645:T645,W645:Z645,AC645:AF645,AI645:AL645),
IF(AQ645=2,SUM(P645,S645:V645,Y645:AB645,AE645:AH645,AK645:AL645),
IF(AQ645=3,SUM(P645:R645,U645:X645,AA645:AD645,AG645:AJ645),SUM(Таблица1[[#This Row],[1]:[31]])-Таблица1[[#This Row],[Столбец1]])))</f>
        <v>0</v>
      </c>
      <c r="AN645" s="778">
        <f t="array" ref="AN645">IF(AQ645=1,SUM(P645,U645:V645,AA645:AB645,AG645:AH645),
IF(AQ645=2,SUM(Q645:R645,W645:X645,AC645:AD645,AI645:AJ645),
IF(AQ645=3,SUM(S645:T645,Y645:Z645,AE645:AF645,AK645:AL645),
SUM(IFERROR(WEEKDAY($H$2:$AL$2,2)&gt;5,)*H645:AL645))))+Таблица1[[#This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45" s="292" t="b">
        <f>IF(AR645&lt;=3,(IF((G645="5/24"),((база!$M$6*Таблица1[[#This Row],[сумма]]*Таблица1[[#This Row],[коэф]])),
IF((G645="4/24"),((база!$M$5*Таблица1[[#This Row],[сумма]]*Таблица1[[#This Row],[коэф]])),
IF((G645="3/24"),((база!$M$4*Таблица1[[#This Row],[сумма]]*Таблица1[[#This Row],[коэф]])),
IF((G645="5/16"),((база!$L$6*Таблица1[[#This Row],[сумма]]*Таблица1[[#This Row],[коэф]])),
IF((G645="4/16"),((база!$L$5*Таблица1[[#This Row],[сумма]]*Таблица1[[#This Row],[коэф]])),
IF((G645="3/16"),((база!$L$4*Таблица1[[#This Row],[сумма]]*Таблица1[[#This Row],[коэф]])),
IF((G645="4/4"),((база!$I$5*Таблица1[[#This Row],[сумма]]*Таблица1[[#This Row],[коэф]])),
IF(OR(G645="2/4",G645="3/4"),((база!$I$4*Таблица1[[#This Row],[сумма]]*Таблица1[[#This Row],[коэф]])),
IF((G645="5/8"),((база!$J$6*Таблица1[[#This Row],[сумма]]*Таблица1[[#This Row],[коэф]])),
IF((G645="4/8"),((база!$J$5*Таблица1[[#This Row],[сумма]]*Таблица1[[#This Row],[коэф]])),
IF(OR(G645="3/8",G645="2/8"),((база!$J$4*Таблица1[[#This Row],[сумма]]*Таблица1[[#This Row],[коэф]])))))))))))))),
(IF((G645="5/24"),((база!$M$6*Таблица1[[#This Row],[сумма]]*Таблица1[[#This Row],[коэф]])),
IF(OR(G645="4/24",G645="3/24"),((база!$M$5*Таблица1[[#This Row],[сумма]]*Таблица1[[#This Row],[коэф]])),
IF((G645="5/16"),((база!$L$6*Таблица1[[#This Row],[сумма]]*Таблица1[[#This Row],[коэф]])),
IF(OR(G645="4/16",G645="3/16"),((база!$L$5*Таблица1[[#This Row],[сумма]]*Таблица1[[#This Row],[коэф]])),
IF(OR(G645="2/4",G645="3/4",G645="4/4"),((база!$I$5*Таблица1[[#This Row],[сумма]]*Таблица1[[#This Row],[коэф]])),
IF((G645="5/8"),((база!$J$6*Таблица1[[#This Row],[сумма]]*Таблица1[[#This Row],[коэф]])),
IF(OR(G645="4/8",G645="3/8",G645="2/8"),((база!$J$5*Таблица1[[#This Row],[сумма]]*Таблица1[[#This Row],[коэф]])))))))))))</f>
        <v>0</v>
      </c>
      <c r="AP645" s="730" t="b">
        <f>IF(AR645&lt;=3,(IF((G645="5/24"),((база!$M$6*2*Таблица1[[#This Row],[Столбец1]]*Таблица1[[#This Row],[коэф]])),
IF((G645="4/24"),((база!$M$5*2*Таблица1[[#This Row],[Столбец1]]*Таблица1[[#This Row],[коэф]])),
IF((G645="3/24"),((база!$M$4*2*Таблица1[[#This Row],[Столбец1]]*Таблица1[[#This Row],[коэф]])),
IF((G645="5/16"),((база!$L$6*2*Таблица1[[#This Row],[Столбец1]]*Таблица1[[#This Row],[коэф]])),
IF((G645="4/16"),((база!$L$5*2*Таблица1[[#This Row],[Столбец1]]*Таблица1[[#This Row],[коэф]])),
IF((G645="3/16"),((база!$L$4*2*Таблица1[[#This Row],[Столбец1]]*Таблица1[[#This Row],[коэф]])),
IF((G645="4/4"),((база!$I$5*2*Таблица1[[#This Row],[Столбец1]]*Таблица1[[#This Row],[коэф]])),
IF(OR(G645="2/4",G645="3/4"),((база!$I$4*2*Таблица1[[#This Row],[Столбец1]]*Таблица1[[#This Row],[коэф]])),
IF((G645="5/8"),((база!$J$6*2*Таблица1[[#This Row],[Столбец1]]*Таблица1[[#This Row],[коэф]])),
IF((G645="4/8"),((база!$J$5*2*Таблица1[[#This Row],[Столбец1]]*Таблица1[[#This Row],[коэф]])),
IF(OR(G645="3/8",G645="2/8"),((база!$J$4*2*Таблица1[[#This Row],[Столбец1]]*Таблица1[[#This Row],[коэф]])))))))))))))),
(IF((G645="5/24"),((база!$M$6*2*Таблица1[[#This Row],[Столбец1]]*Таблица1[[#This Row],[коэф]])),
IF(OR(G645="4/24",G645="3/24"),((база!$M$5*2*Таблица1[[#This Row],[Столбец1]]*Таблица1[[#This Row],[коэф]])),
IF((G645="5/16"),((база!$L$6*2*Таблица1[[#This Row],[Столбец1]]*Таблица1[[#This Row],[коэф]])),
IF(OR(G645="4/16",G645="3/16"),((база!$L$5*2*Таблица1[[#This Row],[Столбец1]]*Таблица1[[#This Row],[коэф]])),
IF(OR(G645="2/4",G645="3/4",G645="4/4"),((база!$I$5*2*Таблица1[[#This Row],[Столбец1]]*Таблица1[[#This Row],[коэф]])),
IF((G645="5/8"),((база!$J$6*2*Таблица1[[#This Row],[Столбец1]]*Таблица1[[#This Row],[коэф]])),
IF(OR(G645="4/8",G645="3/8",G645="2/8"),((база!$J$5*2*Таблица1[[#This Row],[Столбец1]]*Таблица1[[#This Row],[коэф]])))))))))))</f>
        <v>0</v>
      </c>
      <c r="AQ645" s="712" t="str">
        <f>IFERROR(INDEX(база!T:T, MATCH(F645,база!Q:Q,0)),"")</f>
        <v/>
      </c>
      <c r="AR645" s="208" t="str">
        <f>IFERROR(INDEX(база!D:D, MATCH(F645,база!B:B,0)),"")</f>
        <v/>
      </c>
      <c r="AS645" s="758" t="str">
        <f>IFERROR(INDEX(база!E:E, MATCH(F645,база!B:B,0)),"")</f>
        <v/>
      </c>
    </row>
    <row r="646" spans="1:45" s="46" customFormat="1" ht="15">
      <c r="A646" s="66" t="str">
        <f t="shared" si="8"/>
        <v>январь</v>
      </c>
      <c r="B646" s="231">
        <v>2024</v>
      </c>
      <c r="C646" s="299"/>
      <c r="D646" s="61"/>
      <c r="E646" s="211"/>
      <c r="F646" s="680"/>
      <c r="G646" s="47"/>
      <c r="H646" s="563"/>
      <c r="I646" s="563"/>
      <c r="J646" s="563"/>
      <c r="K646" s="563"/>
      <c r="L646" s="563"/>
      <c r="M646" s="563"/>
      <c r="N646" s="563"/>
      <c r="O646" s="563"/>
      <c r="P646" s="300"/>
      <c r="Q646" s="563"/>
      <c r="R646" s="563"/>
      <c r="S646" s="563"/>
      <c r="T646" s="563"/>
      <c r="U646" s="563"/>
      <c r="V646" s="563"/>
      <c r="W646" s="563"/>
      <c r="X646" s="563"/>
      <c r="Y646" s="563"/>
      <c r="Z646" s="563"/>
      <c r="AA646" s="563"/>
      <c r="AB646" s="563"/>
      <c r="AC646" s="563"/>
      <c r="AD646" s="48"/>
      <c r="AE646" s="48"/>
      <c r="AF646" s="258"/>
      <c r="AG646" s="48"/>
      <c r="AH646" s="48"/>
      <c r="AI646" s="48"/>
      <c r="AJ646" s="48"/>
      <c r="AK646" s="48"/>
      <c r="AL646" s="51"/>
      <c r="AM646" s="212">
        <f>IF(AQ646=1,SUM(Q646:T646,W646:Z646,AC646:AF646,AI646:AL646),
IF(AQ646=2,SUM(P646,S646:V646,Y646:AB646,AE646:AH646,AK646:AL646),
IF(AQ646=3,SUM(P646:R646,U646:X646,AA646:AD646,AG646:AJ646),SUM(Таблица1[[#This Row],[1]:[31]])-Таблица1[[#This Row],[Столбец1]])))</f>
        <v>0</v>
      </c>
      <c r="AN646" s="778">
        <f t="array" ref="AN646">IF(AQ646=1,SUM(P646,U646:V646,AA646:AB646,AG646:AH646),
IF(AQ646=2,SUM(Q646:R646,W646:X646,AC646:AD646,AI646:AJ646),
IF(AQ646=3,SUM(S646:T646,Y646:Z646,AE646:AF646,AK646:AL646),
SUM(IFERROR(WEEKDAY($H$2:$AL$2,2)&gt;5,)*H646:AL646))))+Таблица1[[#This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46" s="292" t="b">
        <f>IF(AR646&lt;=3,(IF((G646="5/24"),((база!$M$6*Таблица1[[#This Row],[сумма]]*Таблица1[[#This Row],[коэф]])),
IF((G646="4/24"),((база!$M$5*Таблица1[[#This Row],[сумма]]*Таблица1[[#This Row],[коэф]])),
IF((G646="3/24"),((база!$M$4*Таблица1[[#This Row],[сумма]]*Таблица1[[#This Row],[коэф]])),
IF((G646="5/16"),((база!$L$6*Таблица1[[#This Row],[сумма]]*Таблица1[[#This Row],[коэф]])),
IF((G646="4/16"),((база!$L$5*Таблица1[[#This Row],[сумма]]*Таблица1[[#This Row],[коэф]])),
IF((G646="3/16"),((база!$L$4*Таблица1[[#This Row],[сумма]]*Таблица1[[#This Row],[коэф]])),
IF((G646="4/4"),((база!$I$5*Таблица1[[#This Row],[сумма]]*Таблица1[[#This Row],[коэф]])),
IF(OR(G646="2/4",G646="3/4"),((база!$I$4*Таблица1[[#This Row],[сумма]]*Таблица1[[#This Row],[коэф]])),
IF((G646="5/8"),((база!$J$6*Таблица1[[#This Row],[сумма]]*Таблица1[[#This Row],[коэф]])),
IF((G646="4/8"),((база!$J$5*Таблица1[[#This Row],[сумма]]*Таблица1[[#This Row],[коэф]])),
IF(OR(G646="3/8",G646="2/8"),((база!$J$4*Таблица1[[#This Row],[сумма]]*Таблица1[[#This Row],[коэф]])))))))))))))),
(IF((G646="5/24"),((база!$M$6*Таблица1[[#This Row],[сумма]]*Таблица1[[#This Row],[коэф]])),
IF(OR(G646="4/24",G646="3/24"),((база!$M$5*Таблица1[[#This Row],[сумма]]*Таблица1[[#This Row],[коэф]])),
IF((G646="5/16"),((база!$L$6*Таблица1[[#This Row],[сумма]]*Таблица1[[#This Row],[коэф]])),
IF(OR(G646="4/16",G646="3/16"),((база!$L$5*Таблица1[[#This Row],[сумма]]*Таблица1[[#This Row],[коэф]])),
IF(OR(G646="2/4",G646="3/4",G646="4/4"),((база!$I$5*Таблица1[[#This Row],[сумма]]*Таблица1[[#This Row],[коэф]])),
IF((G646="5/8"),((база!$J$6*Таблица1[[#This Row],[сумма]]*Таблица1[[#This Row],[коэф]])),
IF(OR(G646="4/8",G646="3/8",G646="2/8"),((база!$J$5*Таблица1[[#This Row],[сумма]]*Таблица1[[#This Row],[коэф]])))))))))))</f>
        <v>0</v>
      </c>
      <c r="AP646" s="730" t="b">
        <f>IF(AR646&lt;=3,(IF((G646="5/24"),((база!$M$6*2*Таблица1[[#This Row],[Столбец1]]*Таблица1[[#This Row],[коэф]])),
IF((G646="4/24"),((база!$M$5*2*Таблица1[[#This Row],[Столбец1]]*Таблица1[[#This Row],[коэф]])),
IF((G646="3/24"),((база!$M$4*2*Таблица1[[#This Row],[Столбец1]]*Таблица1[[#This Row],[коэф]])),
IF((G646="5/16"),((база!$L$6*2*Таблица1[[#This Row],[Столбец1]]*Таблица1[[#This Row],[коэф]])),
IF((G646="4/16"),((база!$L$5*2*Таблица1[[#This Row],[Столбец1]]*Таблица1[[#This Row],[коэф]])),
IF((G646="3/16"),((база!$L$4*2*Таблица1[[#This Row],[Столбец1]]*Таблица1[[#This Row],[коэф]])),
IF((G646="4/4"),((база!$I$5*2*Таблица1[[#This Row],[Столбец1]]*Таблица1[[#This Row],[коэф]])),
IF(OR(G646="2/4",G646="3/4"),((база!$I$4*2*Таблица1[[#This Row],[Столбец1]]*Таблица1[[#This Row],[коэф]])),
IF((G646="5/8"),((база!$J$6*2*Таблица1[[#This Row],[Столбец1]]*Таблица1[[#This Row],[коэф]])),
IF((G646="4/8"),((база!$J$5*2*Таблица1[[#This Row],[Столбец1]]*Таблица1[[#This Row],[коэф]])),
IF(OR(G646="3/8",G646="2/8"),((база!$J$4*2*Таблица1[[#This Row],[Столбец1]]*Таблица1[[#This Row],[коэф]])))))))))))))),
(IF((G646="5/24"),((база!$M$6*2*Таблица1[[#This Row],[Столбец1]]*Таблица1[[#This Row],[коэф]])),
IF(OR(G646="4/24",G646="3/24"),((база!$M$5*2*Таблица1[[#This Row],[Столбец1]]*Таблица1[[#This Row],[коэф]])),
IF((G646="5/16"),((база!$L$6*2*Таблица1[[#This Row],[Столбец1]]*Таблица1[[#This Row],[коэф]])),
IF(OR(G646="4/16",G646="3/16"),((база!$L$5*2*Таблица1[[#This Row],[Столбец1]]*Таблица1[[#This Row],[коэф]])),
IF(OR(G646="2/4",G646="3/4",G646="4/4"),((база!$I$5*2*Таблица1[[#This Row],[Столбец1]]*Таблица1[[#This Row],[коэф]])),
IF((G646="5/8"),((база!$J$6*2*Таблица1[[#This Row],[Столбец1]]*Таблица1[[#This Row],[коэф]])),
IF(OR(G646="4/8",G646="3/8",G646="2/8"),((база!$J$5*2*Таблица1[[#This Row],[Столбец1]]*Таблица1[[#This Row],[коэф]])))))))))))</f>
        <v>0</v>
      </c>
      <c r="AQ646" s="712" t="str">
        <f>IFERROR(INDEX(база!T:T, MATCH(F646,база!Q:Q,0)),"")</f>
        <v/>
      </c>
      <c r="AR646" s="208" t="str">
        <f>IFERROR(INDEX(база!D:D, MATCH(F646,база!B:B,0)),"")</f>
        <v/>
      </c>
      <c r="AS646" s="758" t="str">
        <f>IFERROR(INDEX(база!E:E, MATCH(F646,база!B:B,0)),"")</f>
        <v/>
      </c>
    </row>
    <row r="647" spans="1:45" s="46" customFormat="1" ht="15">
      <c r="A647" s="66" t="str">
        <f t="shared" si="8"/>
        <v>январь</v>
      </c>
      <c r="B647" s="231">
        <v>2024</v>
      </c>
      <c r="C647" s="299"/>
      <c r="D647" s="61"/>
      <c r="E647" s="211"/>
      <c r="F647" s="680"/>
      <c r="G647" s="47"/>
      <c r="H647" s="563"/>
      <c r="I647" s="563"/>
      <c r="J647" s="563"/>
      <c r="K647" s="563"/>
      <c r="L647" s="563"/>
      <c r="M647" s="563"/>
      <c r="N647" s="563"/>
      <c r="O647" s="563"/>
      <c r="P647" s="300"/>
      <c r="Q647" s="563"/>
      <c r="R647" s="563"/>
      <c r="S647" s="563"/>
      <c r="T647" s="563"/>
      <c r="U647" s="563"/>
      <c r="V647" s="563"/>
      <c r="W647" s="563"/>
      <c r="X647" s="563"/>
      <c r="Y647" s="563"/>
      <c r="Z647" s="563"/>
      <c r="AA647" s="563"/>
      <c r="AB647" s="563"/>
      <c r="AC647" s="563"/>
      <c r="AD647" s="48"/>
      <c r="AE647" s="48"/>
      <c r="AF647" s="258"/>
      <c r="AG647" s="48"/>
      <c r="AH647" s="48"/>
      <c r="AI647" s="258"/>
      <c r="AJ647" s="258"/>
      <c r="AK647" s="258"/>
      <c r="AL647" s="258"/>
      <c r="AM647" s="212">
        <f>IF(AQ647=1,SUM(Q647:T647,W647:Z647,AC647:AF647,AI647:AL647),
IF(AQ647=2,SUM(P647,S647:V647,Y647:AB647,AE647:AH647,AK647:AL647),
IF(AQ647=3,SUM(P647:R647,U647:X647,AA647:AD647,AG647:AJ647),SUM(Таблица1[[#This Row],[1]:[31]])-Таблица1[[#This Row],[Столбец1]])))</f>
        <v>0</v>
      </c>
      <c r="AN647" s="778">
        <f t="array" ref="AN647">IF(AQ647=1,SUM(P647,U647:V647,AA647:AB647,AG647:AH647),
IF(AQ647=2,SUM(Q647:R647,W647:X647,AC647:AD647,AI647:AJ647),
IF(AQ647=3,SUM(S647:T647,Y647:Z647,AE647:AF647,AK647:AL647),
SUM(IFERROR(WEEKDAY($H$2:$AL$2,2)&gt;5,)*H647:AL647))))+Таблица1[[#This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47" s="292" t="b">
        <f>IF(AR647&lt;=3,(IF((G647="5/24"),((база!$M$6*Таблица1[[#This Row],[сумма]]*Таблица1[[#This Row],[коэф]])),
IF((G647="4/24"),((база!$M$5*Таблица1[[#This Row],[сумма]]*Таблица1[[#This Row],[коэф]])),
IF((G647="3/24"),((база!$M$4*Таблица1[[#This Row],[сумма]]*Таблица1[[#This Row],[коэф]])),
IF((G647="5/16"),((база!$L$6*Таблица1[[#This Row],[сумма]]*Таблица1[[#This Row],[коэф]])),
IF((G647="4/16"),((база!$L$5*Таблица1[[#This Row],[сумма]]*Таблица1[[#This Row],[коэф]])),
IF((G647="3/16"),((база!$L$4*Таблица1[[#This Row],[сумма]]*Таблица1[[#This Row],[коэф]])),
IF((G647="4/4"),((база!$I$5*Таблица1[[#This Row],[сумма]]*Таблица1[[#This Row],[коэф]])),
IF(OR(G647="2/4",G647="3/4"),((база!$I$4*Таблица1[[#This Row],[сумма]]*Таблица1[[#This Row],[коэф]])),
IF((G647="5/8"),((база!$J$6*Таблица1[[#This Row],[сумма]]*Таблица1[[#This Row],[коэф]])),
IF((G647="4/8"),((база!$J$5*Таблица1[[#This Row],[сумма]]*Таблица1[[#This Row],[коэф]])),
IF(OR(G647="3/8",G647="2/8"),((база!$J$4*Таблица1[[#This Row],[сумма]]*Таблица1[[#This Row],[коэф]])))))))))))))),
(IF((G647="5/24"),((база!$M$6*Таблица1[[#This Row],[сумма]]*Таблица1[[#This Row],[коэф]])),
IF(OR(G647="4/24",G647="3/24"),((база!$M$5*Таблица1[[#This Row],[сумма]]*Таблица1[[#This Row],[коэф]])),
IF((G647="5/16"),((база!$L$6*Таблица1[[#This Row],[сумма]]*Таблица1[[#This Row],[коэф]])),
IF(OR(G647="4/16",G647="3/16"),((база!$L$5*Таблица1[[#This Row],[сумма]]*Таблица1[[#This Row],[коэф]])),
IF(OR(G647="2/4",G647="3/4",G647="4/4"),((база!$I$5*Таблица1[[#This Row],[сумма]]*Таблица1[[#This Row],[коэф]])),
IF((G647="5/8"),((база!$J$6*Таблица1[[#This Row],[сумма]]*Таблица1[[#This Row],[коэф]])),
IF(OR(G647="4/8",G647="3/8",G647="2/8"),((база!$J$5*Таблица1[[#This Row],[сумма]]*Таблица1[[#This Row],[коэф]])))))))))))</f>
        <v>0</v>
      </c>
      <c r="AP647" s="730" t="b">
        <f>IF(AR647&lt;=3,(IF((G647="5/24"),((база!$M$6*2*Таблица1[[#This Row],[Столбец1]]*Таблица1[[#This Row],[коэф]])),
IF((G647="4/24"),((база!$M$5*2*Таблица1[[#This Row],[Столбец1]]*Таблица1[[#This Row],[коэф]])),
IF((G647="3/24"),((база!$M$4*2*Таблица1[[#This Row],[Столбец1]]*Таблица1[[#This Row],[коэф]])),
IF((G647="5/16"),((база!$L$6*2*Таблица1[[#This Row],[Столбец1]]*Таблица1[[#This Row],[коэф]])),
IF((G647="4/16"),((база!$L$5*2*Таблица1[[#This Row],[Столбец1]]*Таблица1[[#This Row],[коэф]])),
IF((G647="3/16"),((база!$L$4*2*Таблица1[[#This Row],[Столбец1]]*Таблица1[[#This Row],[коэф]])),
IF((G647="4/4"),((база!$I$5*2*Таблица1[[#This Row],[Столбец1]]*Таблица1[[#This Row],[коэф]])),
IF(OR(G647="2/4",G647="3/4"),((база!$I$4*2*Таблица1[[#This Row],[Столбец1]]*Таблица1[[#This Row],[коэф]])),
IF((G647="5/8"),((база!$J$6*2*Таблица1[[#This Row],[Столбец1]]*Таблица1[[#This Row],[коэф]])),
IF((G647="4/8"),((база!$J$5*2*Таблица1[[#This Row],[Столбец1]]*Таблица1[[#This Row],[коэф]])),
IF(OR(G647="3/8",G647="2/8"),((база!$J$4*2*Таблица1[[#This Row],[Столбец1]]*Таблица1[[#This Row],[коэф]])))))))))))))),
(IF((G647="5/24"),((база!$M$6*2*Таблица1[[#This Row],[Столбец1]]*Таблица1[[#This Row],[коэф]])),
IF(OR(G647="4/24",G647="3/24"),((база!$M$5*2*Таблица1[[#This Row],[Столбец1]]*Таблица1[[#This Row],[коэф]])),
IF((G647="5/16"),((база!$L$6*2*Таблица1[[#This Row],[Столбец1]]*Таблица1[[#This Row],[коэф]])),
IF(OR(G647="4/16",G647="3/16"),((база!$L$5*2*Таблица1[[#This Row],[Столбец1]]*Таблица1[[#This Row],[коэф]])),
IF(OR(G647="2/4",G647="3/4",G647="4/4"),((база!$I$5*2*Таблица1[[#This Row],[Столбец1]]*Таблица1[[#This Row],[коэф]])),
IF((G647="5/8"),((база!$J$6*2*Таблица1[[#This Row],[Столбец1]]*Таблица1[[#This Row],[коэф]])),
IF(OR(G647="4/8",G647="3/8",G647="2/8"),((база!$J$5*2*Таблица1[[#This Row],[Столбец1]]*Таблица1[[#This Row],[коэф]])))))))))))</f>
        <v>0</v>
      </c>
      <c r="AQ647" s="712" t="str">
        <f>IFERROR(INDEX(база!T:T, MATCH(F647,база!Q:Q,0)),"")</f>
        <v/>
      </c>
      <c r="AR647" s="208" t="str">
        <f>IFERROR(INDEX(база!D:D, MATCH(F647,база!B:B,0)),"")</f>
        <v/>
      </c>
      <c r="AS647" s="758" t="str">
        <f>IFERROR(INDEX(база!E:E, MATCH(F647,база!B:B,0)),"")</f>
        <v/>
      </c>
    </row>
    <row r="648" spans="1:45" s="46" customFormat="1" ht="15">
      <c r="A648" s="66" t="str">
        <f t="shared" si="8"/>
        <v>январь</v>
      </c>
      <c r="B648" s="231">
        <v>2024</v>
      </c>
      <c r="C648" s="299"/>
      <c r="D648" s="61"/>
      <c r="E648" s="211"/>
      <c r="F648" s="680"/>
      <c r="G648" s="47"/>
      <c r="H648" s="563"/>
      <c r="I648" s="563"/>
      <c r="J648" s="563"/>
      <c r="K648" s="563"/>
      <c r="L648" s="563"/>
      <c r="M648" s="563"/>
      <c r="N648" s="563"/>
      <c r="O648" s="563"/>
      <c r="P648" s="300"/>
      <c r="Q648" s="563"/>
      <c r="R648" s="563"/>
      <c r="S648" s="563"/>
      <c r="T648" s="563"/>
      <c r="U648" s="563"/>
      <c r="V648" s="563"/>
      <c r="W648" s="563"/>
      <c r="X648" s="563"/>
      <c r="Y648" s="563"/>
      <c r="Z648" s="563"/>
      <c r="AA648" s="563"/>
      <c r="AB648" s="563"/>
      <c r="AC648" s="563"/>
      <c r="AD648" s="48"/>
      <c r="AE648" s="48"/>
      <c r="AF648" s="258"/>
      <c r="AG648" s="48"/>
      <c r="AH648" s="48"/>
      <c r="AI648" s="48"/>
      <c r="AJ648" s="48"/>
      <c r="AK648" s="48"/>
      <c r="AL648" s="51"/>
      <c r="AM648" s="212">
        <f>IF(AQ648=1,SUM(Q648:T648,W648:Z648,AC648:AF648,AI648:AL648),
IF(AQ648=2,SUM(P648,S648:V648,Y648:AB648,AE648:AH648,AK648:AL648),
IF(AQ648=3,SUM(P648:R648,U648:X648,AA648:AD648,AG648:AJ648),SUM(Таблица1[[#This Row],[1]:[31]])-Таблица1[[#This Row],[Столбец1]])))</f>
        <v>0</v>
      </c>
      <c r="AN648" s="778">
        <f t="array" ref="AN648">IF(AQ648=1,SUM(P648,U648:V648,AA648:AB648,AG648:AH648),
IF(AQ648=2,SUM(Q648:R648,W648:X648,AC648:AD648,AI648:AJ648),
IF(AQ648=3,SUM(S648:T648,Y648:Z648,AE648:AF648,AK648:AL648),
SUM(IFERROR(WEEKDAY($H$2:$AL$2,2)&gt;5,)*H648:AL648))))+Таблица1[[#This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48" s="292" t="b">
        <f>IF(AR648&lt;=3,(IF((G648="5/24"),((база!$M$6*Таблица1[[#This Row],[сумма]]*Таблица1[[#This Row],[коэф]])),
IF((G648="4/24"),((база!$M$5*Таблица1[[#This Row],[сумма]]*Таблица1[[#This Row],[коэф]])),
IF((G648="3/24"),((база!$M$4*Таблица1[[#This Row],[сумма]]*Таблица1[[#This Row],[коэф]])),
IF((G648="5/16"),((база!$L$6*Таблица1[[#This Row],[сумма]]*Таблица1[[#This Row],[коэф]])),
IF((G648="4/16"),((база!$L$5*Таблица1[[#This Row],[сумма]]*Таблица1[[#This Row],[коэф]])),
IF((G648="3/16"),((база!$L$4*Таблица1[[#This Row],[сумма]]*Таблица1[[#This Row],[коэф]])),
IF((G648="4/4"),((база!$I$5*Таблица1[[#This Row],[сумма]]*Таблица1[[#This Row],[коэф]])),
IF(OR(G648="2/4",G648="3/4"),((база!$I$4*Таблица1[[#This Row],[сумма]]*Таблица1[[#This Row],[коэф]])),
IF((G648="5/8"),((база!$J$6*Таблица1[[#This Row],[сумма]]*Таблица1[[#This Row],[коэф]])),
IF((G648="4/8"),((база!$J$5*Таблица1[[#This Row],[сумма]]*Таблица1[[#This Row],[коэф]])),
IF(OR(G648="3/8",G648="2/8"),((база!$J$4*Таблица1[[#This Row],[сумма]]*Таблица1[[#This Row],[коэф]])))))))))))))),
(IF((G648="5/24"),((база!$M$6*Таблица1[[#This Row],[сумма]]*Таблица1[[#This Row],[коэф]])),
IF(OR(G648="4/24",G648="3/24"),((база!$M$5*Таблица1[[#This Row],[сумма]]*Таблица1[[#This Row],[коэф]])),
IF((G648="5/16"),((база!$L$6*Таблица1[[#This Row],[сумма]]*Таблица1[[#This Row],[коэф]])),
IF(OR(G648="4/16",G648="3/16"),((база!$L$5*Таблица1[[#This Row],[сумма]]*Таблица1[[#This Row],[коэф]])),
IF(OR(G648="2/4",G648="3/4",G648="4/4"),((база!$I$5*Таблица1[[#This Row],[сумма]]*Таблица1[[#This Row],[коэф]])),
IF((G648="5/8"),((база!$J$6*Таблица1[[#This Row],[сумма]]*Таблица1[[#This Row],[коэф]])),
IF(OR(G648="4/8",G648="3/8",G648="2/8"),((база!$J$5*Таблица1[[#This Row],[сумма]]*Таблица1[[#This Row],[коэф]])))))))))))</f>
        <v>0</v>
      </c>
      <c r="AP648" s="730" t="b">
        <f>IF(AR648&lt;=3,(IF((G648="5/24"),((база!$M$6*2*Таблица1[[#This Row],[Столбец1]]*Таблица1[[#This Row],[коэф]])),
IF((G648="4/24"),((база!$M$5*2*Таблица1[[#This Row],[Столбец1]]*Таблица1[[#This Row],[коэф]])),
IF((G648="3/24"),((база!$M$4*2*Таблица1[[#This Row],[Столбец1]]*Таблица1[[#This Row],[коэф]])),
IF((G648="5/16"),((база!$L$6*2*Таблица1[[#This Row],[Столбец1]]*Таблица1[[#This Row],[коэф]])),
IF((G648="4/16"),((база!$L$5*2*Таблица1[[#This Row],[Столбец1]]*Таблица1[[#This Row],[коэф]])),
IF((G648="3/16"),((база!$L$4*2*Таблица1[[#This Row],[Столбец1]]*Таблица1[[#This Row],[коэф]])),
IF((G648="4/4"),((база!$I$5*2*Таблица1[[#This Row],[Столбец1]]*Таблица1[[#This Row],[коэф]])),
IF(OR(G648="2/4",G648="3/4"),((база!$I$4*2*Таблица1[[#This Row],[Столбец1]]*Таблица1[[#This Row],[коэф]])),
IF((G648="5/8"),((база!$J$6*2*Таблица1[[#This Row],[Столбец1]]*Таблица1[[#This Row],[коэф]])),
IF((G648="4/8"),((база!$J$5*2*Таблица1[[#This Row],[Столбец1]]*Таблица1[[#This Row],[коэф]])),
IF(OR(G648="3/8",G648="2/8"),((база!$J$4*2*Таблица1[[#This Row],[Столбец1]]*Таблица1[[#This Row],[коэф]])))))))))))))),
(IF((G648="5/24"),((база!$M$6*2*Таблица1[[#This Row],[Столбец1]]*Таблица1[[#This Row],[коэф]])),
IF(OR(G648="4/24",G648="3/24"),((база!$M$5*2*Таблица1[[#This Row],[Столбец1]]*Таблица1[[#This Row],[коэф]])),
IF((G648="5/16"),((база!$L$6*2*Таблица1[[#This Row],[Столбец1]]*Таблица1[[#This Row],[коэф]])),
IF(OR(G648="4/16",G648="3/16"),((база!$L$5*2*Таблица1[[#This Row],[Столбец1]]*Таблица1[[#This Row],[коэф]])),
IF(OR(G648="2/4",G648="3/4",G648="4/4"),((база!$I$5*2*Таблица1[[#This Row],[Столбец1]]*Таблица1[[#This Row],[коэф]])),
IF((G648="5/8"),((база!$J$6*2*Таблица1[[#This Row],[Столбец1]]*Таблица1[[#This Row],[коэф]])),
IF(OR(G648="4/8",G648="3/8",G648="2/8"),((база!$J$5*2*Таблица1[[#This Row],[Столбец1]]*Таблица1[[#This Row],[коэф]])))))))))))</f>
        <v>0</v>
      </c>
      <c r="AQ648" s="712" t="str">
        <f>IFERROR(INDEX(база!T:T, MATCH(F648,база!Q:Q,0)),"")</f>
        <v/>
      </c>
      <c r="AR648" s="208" t="str">
        <f>IFERROR(INDEX(база!D:D, MATCH(F648,база!B:B,0)),"")</f>
        <v/>
      </c>
      <c r="AS648" s="758" t="str">
        <f>IFERROR(INDEX(база!E:E, MATCH(F648,база!B:B,0)),"")</f>
        <v/>
      </c>
    </row>
    <row r="649" spans="1:45" s="46" customFormat="1" ht="15">
      <c r="A649" s="66" t="str">
        <f t="shared" si="8"/>
        <v>январь</v>
      </c>
      <c r="B649" s="231">
        <v>2024</v>
      </c>
      <c r="C649" s="299"/>
      <c r="D649" s="61"/>
      <c r="E649" s="211"/>
      <c r="F649" s="680"/>
      <c r="G649" s="47"/>
      <c r="H649" s="563"/>
      <c r="I649" s="563"/>
      <c r="J649" s="563"/>
      <c r="K649" s="563"/>
      <c r="L649" s="563"/>
      <c r="M649" s="563"/>
      <c r="N649" s="563"/>
      <c r="O649" s="563"/>
      <c r="P649" s="300"/>
      <c r="Q649" s="563"/>
      <c r="R649" s="563"/>
      <c r="S649" s="563"/>
      <c r="T649" s="563"/>
      <c r="U649" s="563"/>
      <c r="V649" s="563"/>
      <c r="W649" s="563"/>
      <c r="X649" s="563"/>
      <c r="Y649" s="563"/>
      <c r="Z649" s="563"/>
      <c r="AA649" s="563"/>
      <c r="AB649" s="563"/>
      <c r="AC649" s="563"/>
      <c r="AD649" s="48"/>
      <c r="AE649" s="48"/>
      <c r="AF649" s="258"/>
      <c r="AG649" s="48"/>
      <c r="AH649" s="48"/>
      <c r="AI649" s="258"/>
      <c r="AJ649" s="258"/>
      <c r="AK649" s="258"/>
      <c r="AL649" s="258"/>
      <c r="AM649" s="212">
        <f>IF(AQ649=1,SUM(Q649:T649,W649:Z649,AC649:AF649,AI649:AL649),
IF(AQ649=2,SUM(P649,S649:V649,Y649:AB649,AE649:AH649,AK649:AL649),
IF(AQ649=3,SUM(P649:R649,U649:X649,AA649:AD649,AG649:AJ649),SUM(Таблица1[[#This Row],[1]:[31]])-Таблица1[[#This Row],[Столбец1]])))</f>
        <v>0</v>
      </c>
      <c r="AN649" s="778">
        <f t="array" ref="AN649">IF(AQ649=1,SUM(P649,U649:V649,AA649:AB649,AG649:AH649),
IF(AQ649=2,SUM(Q649:R649,W649:X649,AC649:AD649,AI649:AJ649),
IF(AQ649=3,SUM(S649:T649,Y649:Z649,AE649:AF649,AK649:AL649),
SUM(IFERROR(WEEKDAY($H$2:$AL$2,2)&gt;5,)*H649:AL649))))+Таблица1[[#This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49" s="292" t="b">
        <f>IF(AR649&lt;=3,(IF((G649="5/24"),((база!$M$6*Таблица1[[#This Row],[сумма]]*Таблица1[[#This Row],[коэф]])),
IF((G649="4/24"),((база!$M$5*Таблица1[[#This Row],[сумма]]*Таблица1[[#This Row],[коэф]])),
IF((G649="3/24"),((база!$M$4*Таблица1[[#This Row],[сумма]]*Таблица1[[#This Row],[коэф]])),
IF((G649="5/16"),((база!$L$6*Таблица1[[#This Row],[сумма]]*Таблица1[[#This Row],[коэф]])),
IF((G649="4/16"),((база!$L$5*Таблица1[[#This Row],[сумма]]*Таблица1[[#This Row],[коэф]])),
IF((G649="3/16"),((база!$L$4*Таблица1[[#This Row],[сумма]]*Таблица1[[#This Row],[коэф]])),
IF((G649="4/4"),((база!$I$5*Таблица1[[#This Row],[сумма]]*Таблица1[[#This Row],[коэф]])),
IF(OR(G649="2/4",G649="3/4"),((база!$I$4*Таблица1[[#This Row],[сумма]]*Таблица1[[#This Row],[коэф]])),
IF((G649="5/8"),((база!$J$6*Таблица1[[#This Row],[сумма]]*Таблица1[[#This Row],[коэф]])),
IF((G649="4/8"),((база!$J$5*Таблица1[[#This Row],[сумма]]*Таблица1[[#This Row],[коэф]])),
IF(OR(G649="3/8",G649="2/8"),((база!$J$4*Таблица1[[#This Row],[сумма]]*Таблица1[[#This Row],[коэф]])))))))))))))),
(IF((G649="5/24"),((база!$M$6*Таблица1[[#This Row],[сумма]]*Таблица1[[#This Row],[коэф]])),
IF(OR(G649="4/24",G649="3/24"),((база!$M$5*Таблица1[[#This Row],[сумма]]*Таблица1[[#This Row],[коэф]])),
IF((G649="5/16"),((база!$L$6*Таблица1[[#This Row],[сумма]]*Таблица1[[#This Row],[коэф]])),
IF(OR(G649="4/16",G649="3/16"),((база!$L$5*Таблица1[[#This Row],[сумма]]*Таблица1[[#This Row],[коэф]])),
IF(OR(G649="2/4",G649="3/4",G649="4/4"),((база!$I$5*Таблица1[[#This Row],[сумма]]*Таблица1[[#This Row],[коэф]])),
IF((G649="5/8"),((база!$J$6*Таблица1[[#This Row],[сумма]]*Таблица1[[#This Row],[коэф]])),
IF(OR(G649="4/8",G649="3/8",G649="2/8"),((база!$J$5*Таблица1[[#This Row],[сумма]]*Таблица1[[#This Row],[коэф]])))))))))))</f>
        <v>0</v>
      </c>
      <c r="AP649" s="730" t="b">
        <f>IF(AR649&lt;=3,(IF((G649="5/24"),((база!$M$6*2*Таблица1[[#This Row],[Столбец1]]*Таблица1[[#This Row],[коэф]])),
IF((G649="4/24"),((база!$M$5*2*Таблица1[[#This Row],[Столбец1]]*Таблица1[[#This Row],[коэф]])),
IF((G649="3/24"),((база!$M$4*2*Таблица1[[#This Row],[Столбец1]]*Таблица1[[#This Row],[коэф]])),
IF((G649="5/16"),((база!$L$6*2*Таблица1[[#This Row],[Столбец1]]*Таблица1[[#This Row],[коэф]])),
IF((G649="4/16"),((база!$L$5*2*Таблица1[[#This Row],[Столбец1]]*Таблица1[[#This Row],[коэф]])),
IF((G649="3/16"),((база!$L$4*2*Таблица1[[#This Row],[Столбец1]]*Таблица1[[#This Row],[коэф]])),
IF((G649="4/4"),((база!$I$5*2*Таблица1[[#This Row],[Столбец1]]*Таблица1[[#This Row],[коэф]])),
IF(OR(G649="2/4",G649="3/4"),((база!$I$4*2*Таблица1[[#This Row],[Столбец1]]*Таблица1[[#This Row],[коэф]])),
IF((G649="5/8"),((база!$J$6*2*Таблица1[[#This Row],[Столбец1]]*Таблица1[[#This Row],[коэф]])),
IF((G649="4/8"),((база!$J$5*2*Таблица1[[#This Row],[Столбец1]]*Таблица1[[#This Row],[коэф]])),
IF(OR(G649="3/8",G649="2/8"),((база!$J$4*2*Таблица1[[#This Row],[Столбец1]]*Таблица1[[#This Row],[коэф]])))))))))))))),
(IF((G649="5/24"),((база!$M$6*2*Таблица1[[#This Row],[Столбец1]]*Таблица1[[#This Row],[коэф]])),
IF(OR(G649="4/24",G649="3/24"),((база!$M$5*2*Таблица1[[#This Row],[Столбец1]]*Таблица1[[#This Row],[коэф]])),
IF((G649="5/16"),((база!$L$6*2*Таблица1[[#This Row],[Столбец1]]*Таблица1[[#This Row],[коэф]])),
IF(OR(G649="4/16",G649="3/16"),((база!$L$5*2*Таблица1[[#This Row],[Столбец1]]*Таблица1[[#This Row],[коэф]])),
IF(OR(G649="2/4",G649="3/4",G649="4/4"),((база!$I$5*2*Таблица1[[#This Row],[Столбец1]]*Таблица1[[#This Row],[коэф]])),
IF((G649="5/8"),((база!$J$6*2*Таблица1[[#This Row],[Столбец1]]*Таблица1[[#This Row],[коэф]])),
IF(OR(G649="4/8",G649="3/8",G649="2/8"),((база!$J$5*2*Таблица1[[#This Row],[Столбец1]]*Таблица1[[#This Row],[коэф]])))))))))))</f>
        <v>0</v>
      </c>
      <c r="AQ649" s="712" t="str">
        <f>IFERROR(INDEX(база!T:T, MATCH(F649,база!Q:Q,0)),"")</f>
        <v/>
      </c>
      <c r="AR649" s="208" t="str">
        <f>IFERROR(INDEX(база!D:D, MATCH(F649,база!B:B,0)),"")</f>
        <v/>
      </c>
      <c r="AS649" s="758" t="str">
        <f>IFERROR(INDEX(база!E:E, MATCH(F649,база!B:B,0)),"")</f>
        <v/>
      </c>
    </row>
    <row r="650" spans="1:45" s="46" customFormat="1" ht="15">
      <c r="A650" s="66" t="str">
        <f t="shared" si="8"/>
        <v>январь</v>
      </c>
      <c r="B650" s="231">
        <v>2024</v>
      </c>
      <c r="C650" s="299"/>
      <c r="D650" s="61"/>
      <c r="E650" s="211"/>
      <c r="F650" s="680"/>
      <c r="G650" s="47"/>
      <c r="H650" s="563"/>
      <c r="I650" s="563"/>
      <c r="J650" s="563"/>
      <c r="K650" s="563"/>
      <c r="L650" s="563"/>
      <c r="M650" s="563"/>
      <c r="N650" s="563"/>
      <c r="O650" s="563"/>
      <c r="P650" s="300"/>
      <c r="Q650" s="563"/>
      <c r="R650" s="563"/>
      <c r="S650" s="563"/>
      <c r="T650" s="563"/>
      <c r="U650" s="563"/>
      <c r="V650" s="563"/>
      <c r="W650" s="563"/>
      <c r="X650" s="563"/>
      <c r="Y650" s="563"/>
      <c r="Z650" s="563"/>
      <c r="AA650" s="563"/>
      <c r="AB650" s="563"/>
      <c r="AC650" s="563"/>
      <c r="AD650" s="48"/>
      <c r="AE650" s="48"/>
      <c r="AF650" s="258"/>
      <c r="AG650" s="48"/>
      <c r="AH650" s="48"/>
      <c r="AI650" s="48"/>
      <c r="AJ650" s="48"/>
      <c r="AK650" s="48"/>
      <c r="AL650" s="51"/>
      <c r="AM650" s="212">
        <f>IF(AQ650=1,SUM(Q650:T650,W650:Z650,AC650:AF650,AI650:AL650),
IF(AQ650=2,SUM(P650,S650:V650,Y650:AB650,AE650:AH650,AK650:AL650),
IF(AQ650=3,SUM(P650:R650,U650:X650,AA650:AD650,AG650:AJ650),SUM(Таблица1[[#This Row],[1]:[31]])-Таблица1[[#This Row],[Столбец1]])))</f>
        <v>0</v>
      </c>
      <c r="AN650" s="778">
        <f t="array" ref="AN650">IF(AQ650=1,SUM(P650,U650:V650,AA650:AB650,AG650:AH650),
IF(AQ650=2,SUM(Q650:R650,W650:X650,AC650:AD650,AI650:AJ650),
IF(AQ650=3,SUM(S650:T650,Y650:Z650,AE650:AF650,AK650:AL650),
SUM(IFERROR(WEEKDAY($H$2:$AL$2,2)&gt;5,)*H650:AL650))))+Таблица1[[#This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50" s="292" t="b">
        <f>IF(AR650&lt;=3,(IF((G650="5/24"),((база!$M$6*Таблица1[[#This Row],[сумма]]*Таблица1[[#This Row],[коэф]])),
IF((G650="4/24"),((база!$M$5*Таблица1[[#This Row],[сумма]]*Таблица1[[#This Row],[коэф]])),
IF((G650="3/24"),((база!$M$4*Таблица1[[#This Row],[сумма]]*Таблица1[[#This Row],[коэф]])),
IF((G650="5/16"),((база!$L$6*Таблица1[[#This Row],[сумма]]*Таблица1[[#This Row],[коэф]])),
IF((G650="4/16"),((база!$L$5*Таблица1[[#This Row],[сумма]]*Таблица1[[#This Row],[коэф]])),
IF((G650="3/16"),((база!$L$4*Таблица1[[#This Row],[сумма]]*Таблица1[[#This Row],[коэф]])),
IF((G650="4/4"),((база!$I$5*Таблица1[[#This Row],[сумма]]*Таблица1[[#This Row],[коэф]])),
IF(OR(G650="2/4",G650="3/4"),((база!$I$4*Таблица1[[#This Row],[сумма]]*Таблица1[[#This Row],[коэф]])),
IF((G650="5/8"),((база!$J$6*Таблица1[[#This Row],[сумма]]*Таблица1[[#This Row],[коэф]])),
IF((G650="4/8"),((база!$J$5*Таблица1[[#This Row],[сумма]]*Таблица1[[#This Row],[коэф]])),
IF(OR(G650="3/8",G650="2/8"),((база!$J$4*Таблица1[[#This Row],[сумма]]*Таблица1[[#This Row],[коэф]])))))))))))))),
(IF((G650="5/24"),((база!$M$6*Таблица1[[#This Row],[сумма]]*Таблица1[[#This Row],[коэф]])),
IF(OR(G650="4/24",G650="3/24"),((база!$M$5*Таблица1[[#This Row],[сумма]]*Таблица1[[#This Row],[коэф]])),
IF((G650="5/16"),((база!$L$6*Таблица1[[#This Row],[сумма]]*Таблица1[[#This Row],[коэф]])),
IF(OR(G650="4/16",G650="3/16"),((база!$L$5*Таблица1[[#This Row],[сумма]]*Таблица1[[#This Row],[коэф]])),
IF(OR(G650="2/4",G650="3/4",G650="4/4"),((база!$I$5*Таблица1[[#This Row],[сумма]]*Таблица1[[#This Row],[коэф]])),
IF((G650="5/8"),((база!$J$6*Таблица1[[#This Row],[сумма]]*Таблица1[[#This Row],[коэф]])),
IF(OR(G650="4/8",G650="3/8",G650="2/8"),((база!$J$5*Таблица1[[#This Row],[сумма]]*Таблица1[[#This Row],[коэф]])))))))))))</f>
        <v>0</v>
      </c>
      <c r="AP650" s="730" t="b">
        <f>IF(AR650&lt;=3,(IF((G650="5/24"),((база!$M$6*2*Таблица1[[#This Row],[Столбец1]]*Таблица1[[#This Row],[коэф]])),
IF((G650="4/24"),((база!$M$5*2*Таблица1[[#This Row],[Столбец1]]*Таблица1[[#This Row],[коэф]])),
IF((G650="3/24"),((база!$M$4*2*Таблица1[[#This Row],[Столбец1]]*Таблица1[[#This Row],[коэф]])),
IF((G650="5/16"),((база!$L$6*2*Таблица1[[#This Row],[Столбец1]]*Таблица1[[#This Row],[коэф]])),
IF((G650="4/16"),((база!$L$5*2*Таблица1[[#This Row],[Столбец1]]*Таблица1[[#This Row],[коэф]])),
IF((G650="3/16"),((база!$L$4*2*Таблица1[[#This Row],[Столбец1]]*Таблица1[[#This Row],[коэф]])),
IF((G650="4/4"),((база!$I$5*2*Таблица1[[#This Row],[Столбец1]]*Таблица1[[#This Row],[коэф]])),
IF(OR(G650="2/4",G650="3/4"),((база!$I$4*2*Таблица1[[#This Row],[Столбец1]]*Таблица1[[#This Row],[коэф]])),
IF((G650="5/8"),((база!$J$6*2*Таблица1[[#This Row],[Столбец1]]*Таблица1[[#This Row],[коэф]])),
IF((G650="4/8"),((база!$J$5*2*Таблица1[[#This Row],[Столбец1]]*Таблица1[[#This Row],[коэф]])),
IF(OR(G650="3/8",G650="2/8"),((база!$J$4*2*Таблица1[[#This Row],[Столбец1]]*Таблица1[[#This Row],[коэф]])))))))))))))),
(IF((G650="5/24"),((база!$M$6*2*Таблица1[[#This Row],[Столбец1]]*Таблица1[[#This Row],[коэф]])),
IF(OR(G650="4/24",G650="3/24"),((база!$M$5*2*Таблица1[[#This Row],[Столбец1]]*Таблица1[[#This Row],[коэф]])),
IF((G650="5/16"),((база!$L$6*2*Таблица1[[#This Row],[Столбец1]]*Таблица1[[#This Row],[коэф]])),
IF(OR(G650="4/16",G650="3/16"),((база!$L$5*2*Таблица1[[#This Row],[Столбец1]]*Таблица1[[#This Row],[коэф]])),
IF(OR(G650="2/4",G650="3/4",G650="4/4"),((база!$I$5*2*Таблица1[[#This Row],[Столбец1]]*Таблица1[[#This Row],[коэф]])),
IF((G650="5/8"),((база!$J$6*2*Таблица1[[#This Row],[Столбец1]]*Таблица1[[#This Row],[коэф]])),
IF(OR(G650="4/8",G650="3/8",G650="2/8"),((база!$J$5*2*Таблица1[[#This Row],[Столбец1]]*Таблица1[[#This Row],[коэф]])))))))))))</f>
        <v>0</v>
      </c>
      <c r="AQ650" s="712" t="str">
        <f>IFERROR(INDEX(база!T:T, MATCH(F650,база!Q:Q,0)),"")</f>
        <v/>
      </c>
      <c r="AR650" s="208" t="str">
        <f>IFERROR(INDEX(база!D:D, MATCH(F650,база!B:B,0)),"")</f>
        <v/>
      </c>
      <c r="AS650" s="758" t="str">
        <f>IFERROR(INDEX(база!E:E, MATCH(F650,база!B:B,0)),"")</f>
        <v/>
      </c>
    </row>
    <row r="651" spans="1:45" s="46" customFormat="1" ht="15">
      <c r="A651" s="66" t="str">
        <f t="shared" si="8"/>
        <v>январь</v>
      </c>
      <c r="B651" s="231">
        <v>2024</v>
      </c>
      <c r="C651" s="299"/>
      <c r="D651" s="61"/>
      <c r="E651" s="211"/>
      <c r="F651" s="680"/>
      <c r="G651" s="47"/>
      <c r="H651" s="563"/>
      <c r="I651" s="563"/>
      <c r="J651" s="563"/>
      <c r="K651" s="563"/>
      <c r="L651" s="563"/>
      <c r="M651" s="563"/>
      <c r="N651" s="563"/>
      <c r="O651" s="563"/>
      <c r="P651" s="300"/>
      <c r="Q651" s="563"/>
      <c r="R651" s="563"/>
      <c r="S651" s="563"/>
      <c r="T651" s="563"/>
      <c r="U651" s="563"/>
      <c r="V651" s="563"/>
      <c r="W651" s="563"/>
      <c r="X651" s="563"/>
      <c r="Y651" s="563"/>
      <c r="Z651" s="563"/>
      <c r="AA651" s="563"/>
      <c r="AB651" s="563"/>
      <c r="AC651" s="563"/>
      <c r="AD651" s="48"/>
      <c r="AE651" s="48"/>
      <c r="AF651" s="258"/>
      <c r="AG651" s="48"/>
      <c r="AH651" s="48"/>
      <c r="AI651" s="258"/>
      <c r="AJ651" s="258"/>
      <c r="AK651" s="258"/>
      <c r="AL651" s="258"/>
      <c r="AM651" s="212">
        <f>IF(AQ651=1,SUM(Q651:T651,W651:Z651,AC651:AF651,AI651:AL651),
IF(AQ651=2,SUM(P651,S651:V651,Y651:AB651,AE651:AH651,AK651:AL651),
IF(AQ651=3,SUM(P651:R651,U651:X651,AA651:AD651,AG651:AJ651),SUM(Таблица1[[#This Row],[1]:[31]])-Таблица1[[#This Row],[Столбец1]])))</f>
        <v>0</v>
      </c>
      <c r="AN651" s="778">
        <f t="array" ref="AN651">IF(AQ651=1,SUM(P651,U651:V651,AA651:AB651,AG651:AH651),
IF(AQ651=2,SUM(Q651:R651,W651:X651,AC651:AD651,AI651:AJ651),
IF(AQ651=3,SUM(S651:T651,Y651:Z651,AE651:AF651,AK651:AL651),
SUM(IFERROR(WEEKDAY($H$2:$AL$2,2)&gt;5,)*H651:AL651))))+Таблица1[[#This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51" s="292" t="b">
        <f>IF(AR651&lt;=3,(IF((G651="5/24"),((база!$M$6*Таблица1[[#This Row],[сумма]]*Таблица1[[#This Row],[коэф]])),
IF((G651="4/24"),((база!$M$5*Таблица1[[#This Row],[сумма]]*Таблица1[[#This Row],[коэф]])),
IF((G651="3/24"),((база!$M$4*Таблица1[[#This Row],[сумма]]*Таблица1[[#This Row],[коэф]])),
IF((G651="5/16"),((база!$L$6*Таблица1[[#This Row],[сумма]]*Таблица1[[#This Row],[коэф]])),
IF((G651="4/16"),((база!$L$5*Таблица1[[#This Row],[сумма]]*Таблица1[[#This Row],[коэф]])),
IF((G651="3/16"),((база!$L$4*Таблица1[[#This Row],[сумма]]*Таблица1[[#This Row],[коэф]])),
IF((G651="4/4"),((база!$I$5*Таблица1[[#This Row],[сумма]]*Таблица1[[#This Row],[коэф]])),
IF(OR(G651="2/4",G651="3/4"),((база!$I$4*Таблица1[[#This Row],[сумма]]*Таблица1[[#This Row],[коэф]])),
IF((G651="5/8"),((база!$J$6*Таблица1[[#This Row],[сумма]]*Таблица1[[#This Row],[коэф]])),
IF((G651="4/8"),((база!$J$5*Таблица1[[#This Row],[сумма]]*Таблица1[[#This Row],[коэф]])),
IF(OR(G651="3/8",G651="2/8"),((база!$J$4*Таблица1[[#This Row],[сумма]]*Таблица1[[#This Row],[коэф]])))))))))))))),
(IF((G651="5/24"),((база!$M$6*Таблица1[[#This Row],[сумма]]*Таблица1[[#This Row],[коэф]])),
IF(OR(G651="4/24",G651="3/24"),((база!$M$5*Таблица1[[#This Row],[сумма]]*Таблица1[[#This Row],[коэф]])),
IF((G651="5/16"),((база!$L$6*Таблица1[[#This Row],[сумма]]*Таблица1[[#This Row],[коэф]])),
IF(OR(G651="4/16",G651="3/16"),((база!$L$5*Таблица1[[#This Row],[сумма]]*Таблица1[[#This Row],[коэф]])),
IF(OR(G651="2/4",G651="3/4",G651="4/4"),((база!$I$5*Таблица1[[#This Row],[сумма]]*Таблица1[[#This Row],[коэф]])),
IF((G651="5/8"),((база!$J$6*Таблица1[[#This Row],[сумма]]*Таблица1[[#This Row],[коэф]])),
IF(OR(G651="4/8",G651="3/8",G651="2/8"),((база!$J$5*Таблица1[[#This Row],[сумма]]*Таблица1[[#This Row],[коэф]])))))))))))</f>
        <v>0</v>
      </c>
      <c r="AP651" s="730" t="b">
        <f>IF(AR651&lt;=3,(IF((G651="5/24"),((база!$M$6*2*Таблица1[[#This Row],[Столбец1]]*Таблица1[[#This Row],[коэф]])),
IF((G651="4/24"),((база!$M$5*2*Таблица1[[#This Row],[Столбец1]]*Таблица1[[#This Row],[коэф]])),
IF((G651="3/24"),((база!$M$4*2*Таблица1[[#This Row],[Столбец1]]*Таблица1[[#This Row],[коэф]])),
IF((G651="5/16"),((база!$L$6*2*Таблица1[[#This Row],[Столбец1]]*Таблица1[[#This Row],[коэф]])),
IF((G651="4/16"),((база!$L$5*2*Таблица1[[#This Row],[Столбец1]]*Таблица1[[#This Row],[коэф]])),
IF((G651="3/16"),((база!$L$4*2*Таблица1[[#This Row],[Столбец1]]*Таблица1[[#This Row],[коэф]])),
IF((G651="4/4"),((база!$I$5*2*Таблица1[[#This Row],[Столбец1]]*Таблица1[[#This Row],[коэф]])),
IF(OR(G651="2/4",G651="3/4"),((база!$I$4*2*Таблица1[[#This Row],[Столбец1]]*Таблица1[[#This Row],[коэф]])),
IF((G651="5/8"),((база!$J$6*2*Таблица1[[#This Row],[Столбец1]]*Таблица1[[#This Row],[коэф]])),
IF((G651="4/8"),((база!$J$5*2*Таблица1[[#This Row],[Столбец1]]*Таблица1[[#This Row],[коэф]])),
IF(OR(G651="3/8",G651="2/8"),((база!$J$4*2*Таблица1[[#This Row],[Столбец1]]*Таблица1[[#This Row],[коэф]])))))))))))))),
(IF((G651="5/24"),((база!$M$6*2*Таблица1[[#This Row],[Столбец1]]*Таблица1[[#This Row],[коэф]])),
IF(OR(G651="4/24",G651="3/24"),((база!$M$5*2*Таблица1[[#This Row],[Столбец1]]*Таблица1[[#This Row],[коэф]])),
IF((G651="5/16"),((база!$L$6*2*Таблица1[[#This Row],[Столбец1]]*Таблица1[[#This Row],[коэф]])),
IF(OR(G651="4/16",G651="3/16"),((база!$L$5*2*Таблица1[[#This Row],[Столбец1]]*Таблица1[[#This Row],[коэф]])),
IF(OR(G651="2/4",G651="3/4",G651="4/4"),((база!$I$5*2*Таблица1[[#This Row],[Столбец1]]*Таблица1[[#This Row],[коэф]])),
IF((G651="5/8"),((база!$J$6*2*Таблица1[[#This Row],[Столбец1]]*Таблица1[[#This Row],[коэф]])),
IF(OR(G651="4/8",G651="3/8",G651="2/8"),((база!$J$5*2*Таблица1[[#This Row],[Столбец1]]*Таблица1[[#This Row],[коэф]])))))))))))</f>
        <v>0</v>
      </c>
      <c r="AQ651" s="712" t="str">
        <f>IFERROR(INDEX(база!T:T, MATCH(F651,база!Q:Q,0)),"")</f>
        <v/>
      </c>
      <c r="AR651" s="208" t="str">
        <f>IFERROR(INDEX(база!D:D, MATCH(F651,база!B:B,0)),"")</f>
        <v/>
      </c>
      <c r="AS651" s="758" t="str">
        <f>IFERROR(INDEX(база!E:E, MATCH(F651,база!B:B,0)),"")</f>
        <v/>
      </c>
    </row>
    <row r="652" spans="1:45" s="46" customFormat="1" ht="15">
      <c r="A652" s="66" t="str">
        <f t="shared" si="8"/>
        <v>январь</v>
      </c>
      <c r="B652" s="231">
        <v>2024</v>
      </c>
      <c r="C652" s="299"/>
      <c r="D652" s="61"/>
      <c r="E652" s="211"/>
      <c r="F652" s="680"/>
      <c r="G652" s="47"/>
      <c r="H652" s="563"/>
      <c r="I652" s="563"/>
      <c r="J652" s="563"/>
      <c r="K652" s="563"/>
      <c r="L652" s="563"/>
      <c r="M652" s="563"/>
      <c r="N652" s="563"/>
      <c r="O652" s="563"/>
      <c r="P652" s="300"/>
      <c r="Q652" s="563"/>
      <c r="R652" s="563"/>
      <c r="S652" s="563"/>
      <c r="T652" s="563"/>
      <c r="U652" s="563"/>
      <c r="V652" s="563"/>
      <c r="W652" s="563"/>
      <c r="X652" s="563"/>
      <c r="Y652" s="563"/>
      <c r="Z652" s="563"/>
      <c r="AA652" s="563"/>
      <c r="AB652" s="563"/>
      <c r="AC652" s="563"/>
      <c r="AD652" s="48"/>
      <c r="AE652" s="48"/>
      <c r="AF652" s="258"/>
      <c r="AG652" s="48"/>
      <c r="AH652" s="48"/>
      <c r="AI652" s="48"/>
      <c r="AJ652" s="48"/>
      <c r="AK652" s="48"/>
      <c r="AL652" s="51"/>
      <c r="AM652" s="212">
        <f>IF(AQ652=1,SUM(Q652:T652,W652:Z652,AC652:AF652,AI652:AL652),
IF(AQ652=2,SUM(P652,S652:V652,Y652:AB652,AE652:AH652,AK652:AL652),
IF(AQ652=3,SUM(P652:R652,U652:X652,AA652:AD652,AG652:AJ652),SUM(Таблица1[[#This Row],[1]:[31]])-Таблица1[[#This Row],[Столбец1]])))</f>
        <v>0</v>
      </c>
      <c r="AN652" s="778">
        <f t="array" ref="AN652">IF(AQ652=1,SUM(P652,U652:V652,AA652:AB652,AG652:AH652),
IF(AQ652=2,SUM(Q652:R652,W652:X652,AC652:AD652,AI652:AJ652),
IF(AQ652=3,SUM(S652:T652,Y652:Z652,AE652:AF652,AK652:AL652),
SUM(IFERROR(WEEKDAY($H$2:$AL$2,2)&gt;5,)*H652:AL652))))+Таблица1[[#This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52" s="292" t="b">
        <f>IF(AR652&lt;=3,(IF((G652="5/24"),((база!$M$6*Таблица1[[#This Row],[сумма]]*Таблица1[[#This Row],[коэф]])),
IF((G652="4/24"),((база!$M$5*Таблица1[[#This Row],[сумма]]*Таблица1[[#This Row],[коэф]])),
IF((G652="3/24"),((база!$M$4*Таблица1[[#This Row],[сумма]]*Таблица1[[#This Row],[коэф]])),
IF((G652="5/16"),((база!$L$6*Таблица1[[#This Row],[сумма]]*Таблица1[[#This Row],[коэф]])),
IF((G652="4/16"),((база!$L$5*Таблица1[[#This Row],[сумма]]*Таблица1[[#This Row],[коэф]])),
IF((G652="3/16"),((база!$L$4*Таблица1[[#This Row],[сумма]]*Таблица1[[#This Row],[коэф]])),
IF((G652="4/4"),((база!$I$5*Таблица1[[#This Row],[сумма]]*Таблица1[[#This Row],[коэф]])),
IF(OR(G652="2/4",G652="3/4"),((база!$I$4*Таблица1[[#This Row],[сумма]]*Таблица1[[#This Row],[коэф]])),
IF((G652="5/8"),((база!$J$6*Таблица1[[#This Row],[сумма]]*Таблица1[[#This Row],[коэф]])),
IF((G652="4/8"),((база!$J$5*Таблица1[[#This Row],[сумма]]*Таблица1[[#This Row],[коэф]])),
IF(OR(G652="3/8",G652="2/8"),((база!$J$4*Таблица1[[#This Row],[сумма]]*Таблица1[[#This Row],[коэф]])))))))))))))),
(IF((G652="5/24"),((база!$M$6*Таблица1[[#This Row],[сумма]]*Таблица1[[#This Row],[коэф]])),
IF(OR(G652="4/24",G652="3/24"),((база!$M$5*Таблица1[[#This Row],[сумма]]*Таблица1[[#This Row],[коэф]])),
IF((G652="5/16"),((база!$L$6*Таблица1[[#This Row],[сумма]]*Таблица1[[#This Row],[коэф]])),
IF(OR(G652="4/16",G652="3/16"),((база!$L$5*Таблица1[[#This Row],[сумма]]*Таблица1[[#This Row],[коэф]])),
IF(OR(G652="2/4",G652="3/4",G652="4/4"),((база!$I$5*Таблица1[[#This Row],[сумма]]*Таблица1[[#This Row],[коэф]])),
IF((G652="5/8"),((база!$J$6*Таблица1[[#This Row],[сумма]]*Таблица1[[#This Row],[коэф]])),
IF(OR(G652="4/8",G652="3/8",G652="2/8"),((база!$J$5*Таблица1[[#This Row],[сумма]]*Таблица1[[#This Row],[коэф]])))))))))))</f>
        <v>0</v>
      </c>
      <c r="AP652" s="730" t="b">
        <f>IF(AR652&lt;=3,(IF((G652="5/24"),((база!$M$6*2*Таблица1[[#This Row],[Столбец1]]*Таблица1[[#This Row],[коэф]])),
IF((G652="4/24"),((база!$M$5*2*Таблица1[[#This Row],[Столбец1]]*Таблица1[[#This Row],[коэф]])),
IF((G652="3/24"),((база!$M$4*2*Таблица1[[#This Row],[Столбец1]]*Таблица1[[#This Row],[коэф]])),
IF((G652="5/16"),((база!$L$6*2*Таблица1[[#This Row],[Столбец1]]*Таблица1[[#This Row],[коэф]])),
IF((G652="4/16"),((база!$L$5*2*Таблица1[[#This Row],[Столбец1]]*Таблица1[[#This Row],[коэф]])),
IF((G652="3/16"),((база!$L$4*2*Таблица1[[#This Row],[Столбец1]]*Таблица1[[#This Row],[коэф]])),
IF((G652="4/4"),((база!$I$5*2*Таблица1[[#This Row],[Столбец1]]*Таблица1[[#This Row],[коэф]])),
IF(OR(G652="2/4",G652="3/4"),((база!$I$4*2*Таблица1[[#This Row],[Столбец1]]*Таблица1[[#This Row],[коэф]])),
IF((G652="5/8"),((база!$J$6*2*Таблица1[[#This Row],[Столбец1]]*Таблица1[[#This Row],[коэф]])),
IF((G652="4/8"),((база!$J$5*2*Таблица1[[#This Row],[Столбец1]]*Таблица1[[#This Row],[коэф]])),
IF(OR(G652="3/8",G652="2/8"),((база!$J$4*2*Таблица1[[#This Row],[Столбец1]]*Таблица1[[#This Row],[коэф]])))))))))))))),
(IF((G652="5/24"),((база!$M$6*2*Таблица1[[#This Row],[Столбец1]]*Таблица1[[#This Row],[коэф]])),
IF(OR(G652="4/24",G652="3/24"),((база!$M$5*2*Таблица1[[#This Row],[Столбец1]]*Таблица1[[#This Row],[коэф]])),
IF((G652="5/16"),((база!$L$6*2*Таблица1[[#This Row],[Столбец1]]*Таблица1[[#This Row],[коэф]])),
IF(OR(G652="4/16",G652="3/16"),((база!$L$5*2*Таблица1[[#This Row],[Столбец1]]*Таблица1[[#This Row],[коэф]])),
IF(OR(G652="2/4",G652="3/4",G652="4/4"),((база!$I$5*2*Таблица1[[#This Row],[Столбец1]]*Таблица1[[#This Row],[коэф]])),
IF((G652="5/8"),((база!$J$6*2*Таблица1[[#This Row],[Столбец1]]*Таблица1[[#This Row],[коэф]])),
IF(OR(G652="4/8",G652="3/8",G652="2/8"),((база!$J$5*2*Таблица1[[#This Row],[Столбец1]]*Таблица1[[#This Row],[коэф]])))))))))))</f>
        <v>0</v>
      </c>
      <c r="AQ652" s="712" t="str">
        <f>IFERROR(INDEX(база!T:T, MATCH(F652,база!Q:Q,0)),"")</f>
        <v/>
      </c>
      <c r="AR652" s="208" t="str">
        <f>IFERROR(INDEX(база!D:D, MATCH(F652,база!B:B,0)),"")</f>
        <v/>
      </c>
      <c r="AS652" s="758" t="str">
        <f>IFERROR(INDEX(база!E:E, MATCH(F652,база!B:B,0)),"")</f>
        <v/>
      </c>
    </row>
    <row r="653" spans="1:45" s="46" customFormat="1" ht="15">
      <c r="A653" s="66" t="str">
        <f t="shared" si="8"/>
        <v>январь</v>
      </c>
      <c r="B653" s="231">
        <v>2024</v>
      </c>
      <c r="C653" s="299"/>
      <c r="D653" s="61"/>
      <c r="E653" s="211"/>
      <c r="F653" s="680"/>
      <c r="G653" s="47"/>
      <c r="H653" s="563"/>
      <c r="I653" s="563"/>
      <c r="J653" s="563"/>
      <c r="K653" s="563"/>
      <c r="L653" s="563"/>
      <c r="M653" s="563"/>
      <c r="N653" s="563"/>
      <c r="O653" s="563"/>
      <c r="P653" s="300"/>
      <c r="Q653" s="563"/>
      <c r="R653" s="563"/>
      <c r="S653" s="563"/>
      <c r="T653" s="563"/>
      <c r="U653" s="563"/>
      <c r="V653" s="563"/>
      <c r="W653" s="563"/>
      <c r="X653" s="563"/>
      <c r="Y653" s="563"/>
      <c r="Z653" s="563"/>
      <c r="AA653" s="563"/>
      <c r="AB653" s="563"/>
      <c r="AC653" s="563"/>
      <c r="AD653" s="48"/>
      <c r="AE653" s="48"/>
      <c r="AF653" s="258"/>
      <c r="AG653" s="48"/>
      <c r="AH653" s="48"/>
      <c r="AI653" s="258"/>
      <c r="AJ653" s="258"/>
      <c r="AK653" s="258"/>
      <c r="AL653" s="258"/>
      <c r="AM653" s="212">
        <f>IF(AQ653=1,SUM(Q653:T653,W653:Z653,AC653:AF653,AI653:AL653),
IF(AQ653=2,SUM(P653,S653:V653,Y653:AB653,AE653:AH653,AK653:AL653),
IF(AQ653=3,SUM(P653:R653,U653:X653,AA653:AD653,AG653:AJ653),SUM(Таблица1[[#This Row],[1]:[31]])-Таблица1[[#This Row],[Столбец1]])))</f>
        <v>0</v>
      </c>
      <c r="AN653" s="778">
        <f t="array" ref="AN653">IF(AQ653=1,SUM(P653,U653:V653,AA653:AB653,AG653:AH653),
IF(AQ653=2,SUM(Q653:R653,W653:X653,AC653:AD653,AI653:AJ653),
IF(AQ653=3,SUM(S653:T653,Y653:Z653,AE653:AF653,AK653:AL653),
SUM(IFERROR(WEEKDAY($H$2:$AL$2,2)&gt;5,)*H653:AL653))))+Таблица1[[#This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53" s="292" t="b">
        <f>IF(AR653&lt;=3,(IF((G653="5/24"),((база!$M$6*Таблица1[[#This Row],[сумма]]*Таблица1[[#This Row],[коэф]])),
IF((G653="4/24"),((база!$M$5*Таблица1[[#This Row],[сумма]]*Таблица1[[#This Row],[коэф]])),
IF((G653="3/24"),((база!$M$4*Таблица1[[#This Row],[сумма]]*Таблица1[[#This Row],[коэф]])),
IF((G653="5/16"),((база!$L$6*Таблица1[[#This Row],[сумма]]*Таблица1[[#This Row],[коэф]])),
IF((G653="4/16"),((база!$L$5*Таблица1[[#This Row],[сумма]]*Таблица1[[#This Row],[коэф]])),
IF((G653="3/16"),((база!$L$4*Таблица1[[#This Row],[сумма]]*Таблица1[[#This Row],[коэф]])),
IF((G653="4/4"),((база!$I$5*Таблица1[[#This Row],[сумма]]*Таблица1[[#This Row],[коэф]])),
IF(OR(G653="2/4",G653="3/4"),((база!$I$4*Таблица1[[#This Row],[сумма]]*Таблица1[[#This Row],[коэф]])),
IF((G653="5/8"),((база!$J$6*Таблица1[[#This Row],[сумма]]*Таблица1[[#This Row],[коэф]])),
IF((G653="4/8"),((база!$J$5*Таблица1[[#This Row],[сумма]]*Таблица1[[#This Row],[коэф]])),
IF(OR(G653="3/8",G653="2/8"),((база!$J$4*Таблица1[[#This Row],[сумма]]*Таблица1[[#This Row],[коэф]])))))))))))))),
(IF((G653="5/24"),((база!$M$6*Таблица1[[#This Row],[сумма]]*Таблица1[[#This Row],[коэф]])),
IF(OR(G653="4/24",G653="3/24"),((база!$M$5*Таблица1[[#This Row],[сумма]]*Таблица1[[#This Row],[коэф]])),
IF((G653="5/16"),((база!$L$6*Таблица1[[#This Row],[сумма]]*Таблица1[[#This Row],[коэф]])),
IF(OR(G653="4/16",G653="3/16"),((база!$L$5*Таблица1[[#This Row],[сумма]]*Таблица1[[#This Row],[коэф]])),
IF(OR(G653="2/4",G653="3/4",G653="4/4"),((база!$I$5*Таблица1[[#This Row],[сумма]]*Таблица1[[#This Row],[коэф]])),
IF((G653="5/8"),((база!$J$6*Таблица1[[#This Row],[сумма]]*Таблица1[[#This Row],[коэф]])),
IF(OR(G653="4/8",G653="3/8",G653="2/8"),((база!$J$5*Таблица1[[#This Row],[сумма]]*Таблица1[[#This Row],[коэф]])))))))))))</f>
        <v>0</v>
      </c>
      <c r="AP653" s="730" t="b">
        <f>IF(AR653&lt;=3,(IF((G653="5/24"),((база!$M$6*2*Таблица1[[#This Row],[Столбец1]]*Таблица1[[#This Row],[коэф]])),
IF((G653="4/24"),((база!$M$5*2*Таблица1[[#This Row],[Столбец1]]*Таблица1[[#This Row],[коэф]])),
IF((G653="3/24"),((база!$M$4*2*Таблица1[[#This Row],[Столбец1]]*Таблица1[[#This Row],[коэф]])),
IF((G653="5/16"),((база!$L$6*2*Таблица1[[#This Row],[Столбец1]]*Таблица1[[#This Row],[коэф]])),
IF((G653="4/16"),((база!$L$5*2*Таблица1[[#This Row],[Столбец1]]*Таблица1[[#This Row],[коэф]])),
IF((G653="3/16"),((база!$L$4*2*Таблица1[[#This Row],[Столбец1]]*Таблица1[[#This Row],[коэф]])),
IF((G653="4/4"),((база!$I$5*2*Таблица1[[#This Row],[Столбец1]]*Таблица1[[#This Row],[коэф]])),
IF(OR(G653="2/4",G653="3/4"),((база!$I$4*2*Таблица1[[#This Row],[Столбец1]]*Таблица1[[#This Row],[коэф]])),
IF((G653="5/8"),((база!$J$6*2*Таблица1[[#This Row],[Столбец1]]*Таблица1[[#This Row],[коэф]])),
IF((G653="4/8"),((база!$J$5*2*Таблица1[[#This Row],[Столбец1]]*Таблица1[[#This Row],[коэф]])),
IF(OR(G653="3/8",G653="2/8"),((база!$J$4*2*Таблица1[[#This Row],[Столбец1]]*Таблица1[[#This Row],[коэф]])))))))))))))),
(IF((G653="5/24"),((база!$M$6*2*Таблица1[[#This Row],[Столбец1]]*Таблица1[[#This Row],[коэф]])),
IF(OR(G653="4/24",G653="3/24"),((база!$M$5*2*Таблица1[[#This Row],[Столбец1]]*Таблица1[[#This Row],[коэф]])),
IF((G653="5/16"),((база!$L$6*2*Таблица1[[#This Row],[Столбец1]]*Таблица1[[#This Row],[коэф]])),
IF(OR(G653="4/16",G653="3/16"),((база!$L$5*2*Таблица1[[#This Row],[Столбец1]]*Таблица1[[#This Row],[коэф]])),
IF(OR(G653="2/4",G653="3/4",G653="4/4"),((база!$I$5*2*Таблица1[[#This Row],[Столбец1]]*Таблица1[[#This Row],[коэф]])),
IF((G653="5/8"),((база!$J$6*2*Таблица1[[#This Row],[Столбец1]]*Таблица1[[#This Row],[коэф]])),
IF(OR(G653="4/8",G653="3/8",G653="2/8"),((база!$J$5*2*Таблица1[[#This Row],[Столбец1]]*Таблица1[[#This Row],[коэф]])))))))))))</f>
        <v>0</v>
      </c>
      <c r="AQ653" s="712" t="str">
        <f>IFERROR(INDEX(база!T:T, MATCH(F653,база!Q:Q,0)),"")</f>
        <v/>
      </c>
      <c r="AR653" s="208" t="str">
        <f>IFERROR(INDEX(база!D:D, MATCH(F653,база!B:B,0)),"")</f>
        <v/>
      </c>
      <c r="AS653" s="758" t="str">
        <f>IFERROR(INDEX(база!E:E, MATCH(F653,база!B:B,0)),"")</f>
        <v/>
      </c>
    </row>
    <row r="654" spans="1:45" s="46" customFormat="1" ht="15">
      <c r="A654" s="66" t="str">
        <f t="shared" si="8"/>
        <v>январь</v>
      </c>
      <c r="B654" s="231">
        <v>2024</v>
      </c>
      <c r="C654" s="60"/>
      <c r="D654" s="61"/>
      <c r="E654" s="211"/>
      <c r="F654" s="680"/>
      <c r="G654" s="47"/>
      <c r="H654" s="563"/>
      <c r="I654" s="563"/>
      <c r="J654" s="563"/>
      <c r="K654" s="563"/>
      <c r="L654" s="563"/>
      <c r="M654" s="563"/>
      <c r="N654" s="563"/>
      <c r="O654" s="563"/>
      <c r="P654" s="300"/>
      <c r="Q654" s="563"/>
      <c r="R654" s="563"/>
      <c r="S654" s="563"/>
      <c r="T654" s="563"/>
      <c r="U654" s="563"/>
      <c r="V654" s="563"/>
      <c r="W654" s="563"/>
      <c r="X654" s="563"/>
      <c r="Y654" s="563"/>
      <c r="Z654" s="563"/>
      <c r="AA654" s="563"/>
      <c r="AB654" s="563"/>
      <c r="AC654" s="563"/>
      <c r="AD654" s="48"/>
      <c r="AE654" s="48"/>
      <c r="AF654" s="258"/>
      <c r="AG654" s="48"/>
      <c r="AH654" s="48"/>
      <c r="AI654" s="48"/>
      <c r="AJ654" s="48"/>
      <c r="AK654" s="48"/>
      <c r="AL654" s="51"/>
      <c r="AM654" s="212">
        <f>IF(AQ654=1,SUM(Q654:T654,W654:Z654,AC654:AF654,AI654:AL654),
IF(AQ654=2,SUM(P654,S654:V654,Y654:AB654,AE654:AH654,AK654:AL654),
IF(AQ654=3,SUM(P654:R654,U654:X654,AA654:AD654,AG654:AJ654),SUM(Таблица1[[#This Row],[1]:[31]])-Таблица1[[#This Row],[Столбец1]])))</f>
        <v>0</v>
      </c>
      <c r="AN654" s="778">
        <f t="array" ref="AN654">IF(AQ654=1,SUM(P654,U654:V654,AA654:AB654,AG654:AH654),
IF(AQ654=2,SUM(Q654:R654,W654:X654,AC654:AD654,AI654:AJ654),
IF(AQ654=3,SUM(S654:T654,Y654:Z654,AE654:AF654,AK654:AL654),
SUM(IFERROR(WEEKDAY($H$2:$AL$2,2)&gt;5,)*H654:AL654))))+Таблица1[[#This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54" s="292" t="b">
        <f>IF(AR654&lt;=3,(IF((G654="5/24"),((база!$M$6*Таблица1[[#This Row],[сумма]]*Таблица1[[#This Row],[коэф]])),
IF((G654="4/24"),((база!$M$5*Таблица1[[#This Row],[сумма]]*Таблица1[[#This Row],[коэф]])),
IF((G654="3/24"),((база!$M$4*Таблица1[[#This Row],[сумма]]*Таблица1[[#This Row],[коэф]])),
IF((G654="5/16"),((база!$L$6*Таблица1[[#This Row],[сумма]]*Таблица1[[#This Row],[коэф]])),
IF((G654="4/16"),((база!$L$5*Таблица1[[#This Row],[сумма]]*Таблица1[[#This Row],[коэф]])),
IF((G654="3/16"),((база!$L$4*Таблица1[[#This Row],[сумма]]*Таблица1[[#This Row],[коэф]])),
IF((G654="4/4"),((база!$I$5*Таблица1[[#This Row],[сумма]]*Таблица1[[#This Row],[коэф]])),
IF(OR(G654="2/4",G654="3/4"),((база!$I$4*Таблица1[[#This Row],[сумма]]*Таблица1[[#This Row],[коэф]])),
IF((G654="5/8"),((база!$J$6*Таблица1[[#This Row],[сумма]]*Таблица1[[#This Row],[коэф]])),
IF((G654="4/8"),((база!$J$5*Таблица1[[#This Row],[сумма]]*Таблица1[[#This Row],[коэф]])),
IF(OR(G654="3/8",G654="2/8"),((база!$J$4*Таблица1[[#This Row],[сумма]]*Таблица1[[#This Row],[коэф]])))))))))))))),
(IF((G654="5/24"),((база!$M$6*Таблица1[[#This Row],[сумма]]*Таблица1[[#This Row],[коэф]])),
IF(OR(G654="4/24",G654="3/24"),((база!$M$5*Таблица1[[#This Row],[сумма]]*Таблица1[[#This Row],[коэф]])),
IF((G654="5/16"),((база!$L$6*Таблица1[[#This Row],[сумма]]*Таблица1[[#This Row],[коэф]])),
IF(OR(G654="4/16",G654="3/16"),((база!$L$5*Таблица1[[#This Row],[сумма]]*Таблица1[[#This Row],[коэф]])),
IF(OR(G654="2/4",G654="3/4",G654="4/4"),((база!$I$5*Таблица1[[#This Row],[сумма]]*Таблица1[[#This Row],[коэф]])),
IF((G654="5/8"),((база!$J$6*Таблица1[[#This Row],[сумма]]*Таблица1[[#This Row],[коэф]])),
IF(OR(G654="4/8",G654="3/8",G654="2/8"),((база!$J$5*Таблица1[[#This Row],[сумма]]*Таблица1[[#This Row],[коэф]])))))))))))</f>
        <v>0</v>
      </c>
      <c r="AP654" s="730" t="b">
        <f>IF(AR654&lt;=3,(IF((G654="5/24"),((база!$M$6*2*Таблица1[[#This Row],[Столбец1]]*Таблица1[[#This Row],[коэф]])),
IF((G654="4/24"),((база!$M$5*2*Таблица1[[#This Row],[Столбец1]]*Таблица1[[#This Row],[коэф]])),
IF((G654="3/24"),((база!$M$4*2*Таблица1[[#This Row],[Столбец1]]*Таблица1[[#This Row],[коэф]])),
IF((G654="5/16"),((база!$L$6*2*Таблица1[[#This Row],[Столбец1]]*Таблица1[[#This Row],[коэф]])),
IF((G654="4/16"),((база!$L$5*2*Таблица1[[#This Row],[Столбец1]]*Таблица1[[#This Row],[коэф]])),
IF((G654="3/16"),((база!$L$4*2*Таблица1[[#This Row],[Столбец1]]*Таблица1[[#This Row],[коэф]])),
IF((G654="4/4"),((база!$I$5*2*Таблица1[[#This Row],[Столбец1]]*Таблица1[[#This Row],[коэф]])),
IF(OR(G654="2/4",G654="3/4"),((база!$I$4*2*Таблица1[[#This Row],[Столбец1]]*Таблица1[[#This Row],[коэф]])),
IF((G654="5/8"),((база!$J$6*2*Таблица1[[#This Row],[Столбец1]]*Таблица1[[#This Row],[коэф]])),
IF((G654="4/8"),((база!$J$5*2*Таблица1[[#This Row],[Столбец1]]*Таблица1[[#This Row],[коэф]])),
IF(OR(G654="3/8",G654="2/8"),((база!$J$4*2*Таблица1[[#This Row],[Столбец1]]*Таблица1[[#This Row],[коэф]])))))))))))))),
(IF((G654="5/24"),((база!$M$6*2*Таблица1[[#This Row],[Столбец1]]*Таблица1[[#This Row],[коэф]])),
IF(OR(G654="4/24",G654="3/24"),((база!$M$5*2*Таблица1[[#This Row],[Столбец1]]*Таблица1[[#This Row],[коэф]])),
IF((G654="5/16"),((база!$L$6*2*Таблица1[[#This Row],[Столбец1]]*Таблица1[[#This Row],[коэф]])),
IF(OR(G654="4/16",G654="3/16"),((база!$L$5*2*Таблица1[[#This Row],[Столбец1]]*Таблица1[[#This Row],[коэф]])),
IF(OR(G654="2/4",G654="3/4",G654="4/4"),((база!$I$5*2*Таблица1[[#This Row],[Столбец1]]*Таблица1[[#This Row],[коэф]])),
IF((G654="5/8"),((база!$J$6*2*Таблица1[[#This Row],[Столбец1]]*Таблица1[[#This Row],[коэф]])),
IF(OR(G654="4/8",G654="3/8",G654="2/8"),((база!$J$5*2*Таблица1[[#This Row],[Столбец1]]*Таблица1[[#This Row],[коэф]])))))))))))</f>
        <v>0</v>
      </c>
      <c r="AQ654" s="712" t="str">
        <f>IFERROR(INDEX(база!T:T, MATCH(F654,база!Q:Q,0)),"")</f>
        <v/>
      </c>
      <c r="AR654" s="208" t="str">
        <f>IFERROR(INDEX(база!D:D, MATCH(F654,база!B:B,0)),"")</f>
        <v/>
      </c>
      <c r="AS654" s="758" t="str">
        <f>IFERROR(INDEX(база!E:E, MATCH(F654,база!B:B,0)),"")</f>
        <v/>
      </c>
    </row>
    <row r="655" spans="1:45" s="46" customFormat="1" ht="15">
      <c r="A655" s="66" t="str">
        <f t="shared" si="8"/>
        <v>январь</v>
      </c>
      <c r="B655" s="231">
        <v>2024</v>
      </c>
      <c r="C655" s="299"/>
      <c r="D655" s="61"/>
      <c r="E655" s="211"/>
      <c r="F655" s="680"/>
      <c r="G655" s="47"/>
      <c r="H655" s="563"/>
      <c r="I655" s="563"/>
      <c r="J655" s="563"/>
      <c r="K655" s="563"/>
      <c r="L655" s="563"/>
      <c r="M655" s="563"/>
      <c r="N655" s="563"/>
      <c r="O655" s="563"/>
      <c r="P655" s="300"/>
      <c r="Q655" s="563"/>
      <c r="R655" s="563"/>
      <c r="S655" s="563"/>
      <c r="T655" s="563"/>
      <c r="U655" s="563"/>
      <c r="V655" s="563"/>
      <c r="W655" s="563"/>
      <c r="X655" s="563"/>
      <c r="Y655" s="563"/>
      <c r="Z655" s="563"/>
      <c r="AA655" s="563"/>
      <c r="AB655" s="563"/>
      <c r="AC655" s="563"/>
      <c r="AD655" s="48"/>
      <c r="AE655" s="48"/>
      <c r="AF655" s="258"/>
      <c r="AG655" s="48"/>
      <c r="AH655" s="48"/>
      <c r="AI655" s="258"/>
      <c r="AJ655" s="258"/>
      <c r="AK655" s="258"/>
      <c r="AL655" s="258"/>
      <c r="AM655" s="212">
        <f>IF(AQ655=1,SUM(Q655:T655,W655:Z655,AC655:AF655,AI655:AL655),
IF(AQ655=2,SUM(P655,S655:V655,Y655:AB655,AE655:AH655,AK655:AL655),
IF(AQ655=3,SUM(P655:R655,U655:X655,AA655:AD655,AG655:AJ655),SUM(Таблица1[[#This Row],[1]:[31]])-Таблица1[[#This Row],[Столбец1]])))</f>
        <v>0</v>
      </c>
      <c r="AN655" s="778">
        <f t="array" ref="AN655">IF(AQ655=1,SUM(P655,U655:V655,AA655:AB655,AG655:AH655),
IF(AQ655=2,SUM(Q655:R655,W655:X655,AC655:AD655,AI655:AJ655),
IF(AQ655=3,SUM(S655:T655,Y655:Z655,AE655:AF655,AK655:AL655),
SUM(IFERROR(WEEKDAY($H$2:$AL$2,2)&gt;5,)*H655:AL655))))+Таблица1[[#This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55" s="292" t="b">
        <f>IF(AR655&lt;=3,(IF((G655="5/24"),((база!$M$6*Таблица1[[#This Row],[сумма]]*Таблица1[[#This Row],[коэф]])),
IF((G655="4/24"),((база!$M$5*Таблица1[[#This Row],[сумма]]*Таблица1[[#This Row],[коэф]])),
IF((G655="3/24"),((база!$M$4*Таблица1[[#This Row],[сумма]]*Таблица1[[#This Row],[коэф]])),
IF((G655="5/16"),((база!$L$6*Таблица1[[#This Row],[сумма]]*Таблица1[[#This Row],[коэф]])),
IF((G655="4/16"),((база!$L$5*Таблица1[[#This Row],[сумма]]*Таблица1[[#This Row],[коэф]])),
IF((G655="3/16"),((база!$L$4*Таблица1[[#This Row],[сумма]]*Таблица1[[#This Row],[коэф]])),
IF((G655="4/4"),((база!$I$5*Таблица1[[#This Row],[сумма]]*Таблица1[[#This Row],[коэф]])),
IF(OR(G655="2/4",G655="3/4"),((база!$I$4*Таблица1[[#This Row],[сумма]]*Таблица1[[#This Row],[коэф]])),
IF((G655="5/8"),((база!$J$6*Таблица1[[#This Row],[сумма]]*Таблица1[[#This Row],[коэф]])),
IF((G655="4/8"),((база!$J$5*Таблица1[[#This Row],[сумма]]*Таблица1[[#This Row],[коэф]])),
IF(OR(G655="3/8",G655="2/8"),((база!$J$4*Таблица1[[#This Row],[сумма]]*Таблица1[[#This Row],[коэф]])))))))))))))),
(IF((G655="5/24"),((база!$M$6*Таблица1[[#This Row],[сумма]]*Таблица1[[#This Row],[коэф]])),
IF(OR(G655="4/24",G655="3/24"),((база!$M$5*Таблица1[[#This Row],[сумма]]*Таблица1[[#This Row],[коэф]])),
IF((G655="5/16"),((база!$L$6*Таблица1[[#This Row],[сумма]]*Таблица1[[#This Row],[коэф]])),
IF(OR(G655="4/16",G655="3/16"),((база!$L$5*Таблица1[[#This Row],[сумма]]*Таблица1[[#This Row],[коэф]])),
IF(OR(G655="2/4",G655="3/4",G655="4/4"),((база!$I$5*Таблица1[[#This Row],[сумма]]*Таблица1[[#This Row],[коэф]])),
IF((G655="5/8"),((база!$J$6*Таблица1[[#This Row],[сумма]]*Таблица1[[#This Row],[коэф]])),
IF(OR(G655="4/8",G655="3/8",G655="2/8"),((база!$J$5*Таблица1[[#This Row],[сумма]]*Таблица1[[#This Row],[коэф]])))))))))))</f>
        <v>0</v>
      </c>
      <c r="AP655" s="730" t="b">
        <f>IF(AR655&lt;=3,(IF((G655="5/24"),((база!$M$6*2*Таблица1[[#This Row],[Столбец1]]*Таблица1[[#This Row],[коэф]])),
IF((G655="4/24"),((база!$M$5*2*Таблица1[[#This Row],[Столбец1]]*Таблица1[[#This Row],[коэф]])),
IF((G655="3/24"),((база!$M$4*2*Таблица1[[#This Row],[Столбец1]]*Таблица1[[#This Row],[коэф]])),
IF((G655="5/16"),((база!$L$6*2*Таблица1[[#This Row],[Столбец1]]*Таблица1[[#This Row],[коэф]])),
IF((G655="4/16"),((база!$L$5*2*Таблица1[[#This Row],[Столбец1]]*Таблица1[[#This Row],[коэф]])),
IF((G655="3/16"),((база!$L$4*2*Таблица1[[#This Row],[Столбец1]]*Таблица1[[#This Row],[коэф]])),
IF((G655="4/4"),((база!$I$5*2*Таблица1[[#This Row],[Столбец1]]*Таблица1[[#This Row],[коэф]])),
IF(OR(G655="2/4",G655="3/4"),((база!$I$4*2*Таблица1[[#This Row],[Столбец1]]*Таблица1[[#This Row],[коэф]])),
IF((G655="5/8"),((база!$J$6*2*Таблица1[[#This Row],[Столбец1]]*Таблица1[[#This Row],[коэф]])),
IF((G655="4/8"),((база!$J$5*2*Таблица1[[#This Row],[Столбец1]]*Таблица1[[#This Row],[коэф]])),
IF(OR(G655="3/8",G655="2/8"),((база!$J$4*2*Таблица1[[#This Row],[Столбец1]]*Таблица1[[#This Row],[коэф]])))))))))))))),
(IF((G655="5/24"),((база!$M$6*2*Таблица1[[#This Row],[Столбец1]]*Таблица1[[#This Row],[коэф]])),
IF(OR(G655="4/24",G655="3/24"),((база!$M$5*2*Таблица1[[#This Row],[Столбец1]]*Таблица1[[#This Row],[коэф]])),
IF((G655="5/16"),((база!$L$6*2*Таблица1[[#This Row],[Столбец1]]*Таблица1[[#This Row],[коэф]])),
IF(OR(G655="4/16",G655="3/16"),((база!$L$5*2*Таблица1[[#This Row],[Столбец1]]*Таблица1[[#This Row],[коэф]])),
IF(OR(G655="2/4",G655="3/4",G655="4/4"),((база!$I$5*2*Таблица1[[#This Row],[Столбец1]]*Таблица1[[#This Row],[коэф]])),
IF((G655="5/8"),((база!$J$6*2*Таблица1[[#This Row],[Столбец1]]*Таблица1[[#This Row],[коэф]])),
IF(OR(G655="4/8",G655="3/8",G655="2/8"),((база!$J$5*2*Таблица1[[#This Row],[Столбец1]]*Таблица1[[#This Row],[коэф]])))))))))))</f>
        <v>0</v>
      </c>
      <c r="AQ655" s="712" t="str">
        <f>IFERROR(INDEX(база!T:T, MATCH(F655,база!Q:Q,0)),"")</f>
        <v/>
      </c>
      <c r="AR655" s="208" t="str">
        <f>IFERROR(INDEX(база!D:D, MATCH(F655,база!B:B,0)),"")</f>
        <v/>
      </c>
      <c r="AS655" s="758" t="str">
        <f>IFERROR(INDEX(база!E:E, MATCH(F655,база!B:B,0)),"")</f>
        <v/>
      </c>
    </row>
    <row r="656" spans="1:45" s="46" customFormat="1" ht="15">
      <c r="A656" s="66" t="str">
        <f t="shared" si="8"/>
        <v>январь</v>
      </c>
      <c r="B656" s="231">
        <v>2024</v>
      </c>
      <c r="C656" s="299"/>
      <c r="D656" s="61"/>
      <c r="E656" s="211"/>
      <c r="F656" s="680"/>
      <c r="G656" s="47"/>
      <c r="H656" s="563"/>
      <c r="I656" s="563"/>
      <c r="J656" s="563"/>
      <c r="K656" s="563"/>
      <c r="L656" s="563"/>
      <c r="M656" s="563"/>
      <c r="N656" s="563"/>
      <c r="O656" s="563"/>
      <c r="P656" s="300"/>
      <c r="Q656" s="563"/>
      <c r="R656" s="563"/>
      <c r="S656" s="563"/>
      <c r="T656" s="563"/>
      <c r="U656" s="563"/>
      <c r="V656" s="563"/>
      <c r="W656" s="563"/>
      <c r="X656" s="563"/>
      <c r="Y656" s="563"/>
      <c r="Z656" s="563"/>
      <c r="AA656" s="563"/>
      <c r="AB656" s="563"/>
      <c r="AC656" s="563"/>
      <c r="AD656" s="48"/>
      <c r="AE656" s="48"/>
      <c r="AF656" s="258"/>
      <c r="AG656" s="48"/>
      <c r="AH656" s="48"/>
      <c r="AI656" s="48"/>
      <c r="AJ656" s="48"/>
      <c r="AK656" s="48"/>
      <c r="AL656" s="51"/>
      <c r="AM656" s="212">
        <f>IF(AQ656=1,SUM(Q656:T656,W656:Z656,AC656:AF656,AI656:AL656),
IF(AQ656=2,SUM(P656,S656:V656,Y656:AB656,AE656:AH656,AK656:AL656),
IF(AQ656=3,SUM(P656:R656,U656:X656,AA656:AD656,AG656:AJ656),SUM(Таблица1[[#This Row],[1]:[31]])-Таблица1[[#This Row],[Столбец1]])))</f>
        <v>0</v>
      </c>
      <c r="AN656" s="778">
        <f t="array" ref="AN656">IF(AQ656=1,SUM(P656,U656:V656,AA656:AB656,AG656:AH656),
IF(AQ656=2,SUM(Q656:R656,W656:X656,AC656:AD656,AI656:AJ656),
IF(AQ656=3,SUM(S656:T656,Y656:Z656,AE656:AF656,AK656:AL656),
SUM(IFERROR(WEEKDAY($H$2:$AL$2,2)&gt;5,)*H656:AL656))))+Таблица1[[#This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56" s="292" t="b">
        <f>IF(AR656&lt;=3,(IF((G656="5/24"),((база!$M$6*Таблица1[[#This Row],[сумма]]*Таблица1[[#This Row],[коэф]])),
IF((G656="4/24"),((база!$M$5*Таблица1[[#This Row],[сумма]]*Таблица1[[#This Row],[коэф]])),
IF((G656="3/24"),((база!$M$4*Таблица1[[#This Row],[сумма]]*Таблица1[[#This Row],[коэф]])),
IF((G656="5/16"),((база!$L$6*Таблица1[[#This Row],[сумма]]*Таблица1[[#This Row],[коэф]])),
IF((G656="4/16"),((база!$L$5*Таблица1[[#This Row],[сумма]]*Таблица1[[#This Row],[коэф]])),
IF((G656="3/16"),((база!$L$4*Таблица1[[#This Row],[сумма]]*Таблица1[[#This Row],[коэф]])),
IF((G656="4/4"),((база!$I$5*Таблица1[[#This Row],[сумма]]*Таблица1[[#This Row],[коэф]])),
IF(OR(G656="2/4",G656="3/4"),((база!$I$4*Таблица1[[#This Row],[сумма]]*Таблица1[[#This Row],[коэф]])),
IF((G656="5/8"),((база!$J$6*Таблица1[[#This Row],[сумма]]*Таблица1[[#This Row],[коэф]])),
IF((G656="4/8"),((база!$J$5*Таблица1[[#This Row],[сумма]]*Таблица1[[#This Row],[коэф]])),
IF(OR(G656="3/8",G656="2/8"),((база!$J$4*Таблица1[[#This Row],[сумма]]*Таблица1[[#This Row],[коэф]])))))))))))))),
(IF((G656="5/24"),((база!$M$6*Таблица1[[#This Row],[сумма]]*Таблица1[[#This Row],[коэф]])),
IF(OR(G656="4/24",G656="3/24"),((база!$M$5*Таблица1[[#This Row],[сумма]]*Таблица1[[#This Row],[коэф]])),
IF((G656="5/16"),((база!$L$6*Таблица1[[#This Row],[сумма]]*Таблица1[[#This Row],[коэф]])),
IF(OR(G656="4/16",G656="3/16"),((база!$L$5*Таблица1[[#This Row],[сумма]]*Таблица1[[#This Row],[коэф]])),
IF(OR(G656="2/4",G656="3/4",G656="4/4"),((база!$I$5*Таблица1[[#This Row],[сумма]]*Таблица1[[#This Row],[коэф]])),
IF((G656="5/8"),((база!$J$6*Таблица1[[#This Row],[сумма]]*Таблица1[[#This Row],[коэф]])),
IF(OR(G656="4/8",G656="3/8",G656="2/8"),((база!$J$5*Таблица1[[#This Row],[сумма]]*Таблица1[[#This Row],[коэф]])))))))))))</f>
        <v>0</v>
      </c>
      <c r="AP656" s="730" t="b">
        <f>IF(AR656&lt;=3,(IF((G656="5/24"),((база!$M$6*2*Таблица1[[#This Row],[Столбец1]]*Таблица1[[#This Row],[коэф]])),
IF((G656="4/24"),((база!$M$5*2*Таблица1[[#This Row],[Столбец1]]*Таблица1[[#This Row],[коэф]])),
IF((G656="3/24"),((база!$M$4*2*Таблица1[[#This Row],[Столбец1]]*Таблица1[[#This Row],[коэф]])),
IF((G656="5/16"),((база!$L$6*2*Таблица1[[#This Row],[Столбец1]]*Таблица1[[#This Row],[коэф]])),
IF((G656="4/16"),((база!$L$5*2*Таблица1[[#This Row],[Столбец1]]*Таблица1[[#This Row],[коэф]])),
IF((G656="3/16"),((база!$L$4*2*Таблица1[[#This Row],[Столбец1]]*Таблица1[[#This Row],[коэф]])),
IF((G656="4/4"),((база!$I$5*2*Таблица1[[#This Row],[Столбец1]]*Таблица1[[#This Row],[коэф]])),
IF(OR(G656="2/4",G656="3/4"),((база!$I$4*2*Таблица1[[#This Row],[Столбец1]]*Таблица1[[#This Row],[коэф]])),
IF((G656="5/8"),((база!$J$6*2*Таблица1[[#This Row],[Столбец1]]*Таблица1[[#This Row],[коэф]])),
IF((G656="4/8"),((база!$J$5*2*Таблица1[[#This Row],[Столбец1]]*Таблица1[[#This Row],[коэф]])),
IF(OR(G656="3/8",G656="2/8"),((база!$J$4*2*Таблица1[[#This Row],[Столбец1]]*Таблица1[[#This Row],[коэф]])))))))))))))),
(IF((G656="5/24"),((база!$M$6*2*Таблица1[[#This Row],[Столбец1]]*Таблица1[[#This Row],[коэф]])),
IF(OR(G656="4/24",G656="3/24"),((база!$M$5*2*Таблица1[[#This Row],[Столбец1]]*Таблица1[[#This Row],[коэф]])),
IF((G656="5/16"),((база!$L$6*2*Таблица1[[#This Row],[Столбец1]]*Таблица1[[#This Row],[коэф]])),
IF(OR(G656="4/16",G656="3/16"),((база!$L$5*2*Таблица1[[#This Row],[Столбец1]]*Таблица1[[#This Row],[коэф]])),
IF(OR(G656="2/4",G656="3/4",G656="4/4"),((база!$I$5*2*Таблица1[[#This Row],[Столбец1]]*Таблица1[[#This Row],[коэф]])),
IF((G656="5/8"),((база!$J$6*2*Таблица1[[#This Row],[Столбец1]]*Таблица1[[#This Row],[коэф]])),
IF(OR(G656="4/8",G656="3/8",G656="2/8"),((база!$J$5*2*Таблица1[[#This Row],[Столбец1]]*Таблица1[[#This Row],[коэф]])))))))))))</f>
        <v>0</v>
      </c>
      <c r="AQ656" s="712" t="str">
        <f>IFERROR(INDEX(база!T:T, MATCH(F656,база!Q:Q,0)),"")</f>
        <v/>
      </c>
      <c r="AR656" s="208" t="str">
        <f>IFERROR(INDEX(база!D:D, MATCH(F656,база!B:B,0)),"")</f>
        <v/>
      </c>
      <c r="AS656" s="758" t="str">
        <f>IFERROR(INDEX(база!E:E, MATCH(F656,база!B:B,0)),"")</f>
        <v/>
      </c>
    </row>
    <row r="657" spans="1:45" s="46" customFormat="1" ht="15">
      <c r="A657" s="66" t="str">
        <f t="shared" si="8"/>
        <v>январь</v>
      </c>
      <c r="B657" s="231">
        <v>2024</v>
      </c>
      <c r="C657" s="299"/>
      <c r="D657" s="61"/>
      <c r="E657" s="211"/>
      <c r="F657" s="680"/>
      <c r="G657" s="47"/>
      <c r="H657" s="563"/>
      <c r="I657" s="563"/>
      <c r="J657" s="563"/>
      <c r="K657" s="563"/>
      <c r="L657" s="563"/>
      <c r="M657" s="563"/>
      <c r="N657" s="563"/>
      <c r="O657" s="563"/>
      <c r="P657" s="300"/>
      <c r="Q657" s="563"/>
      <c r="R657" s="563"/>
      <c r="S657" s="563"/>
      <c r="T657" s="563"/>
      <c r="U657" s="563"/>
      <c r="V657" s="563"/>
      <c r="W657" s="563"/>
      <c r="X657" s="563"/>
      <c r="Y657" s="563"/>
      <c r="Z657" s="563"/>
      <c r="AA657" s="563"/>
      <c r="AB657" s="563"/>
      <c r="AC657" s="563"/>
      <c r="AD657" s="48"/>
      <c r="AE657" s="48"/>
      <c r="AF657" s="258"/>
      <c r="AG657" s="48"/>
      <c r="AH657" s="48"/>
      <c r="AI657" s="258"/>
      <c r="AJ657" s="258"/>
      <c r="AK657" s="258"/>
      <c r="AL657" s="258"/>
      <c r="AM657" s="212">
        <f>IF(AQ657=1,SUM(Q657:T657,W657:Z657,AC657:AF657,AI657:AL657),
IF(AQ657=2,SUM(P657,S657:V657,Y657:AB657,AE657:AH657,AK657:AL657),
IF(AQ657=3,SUM(P657:R657,U657:X657,AA657:AD657,AG657:AJ657),SUM(Таблица1[[#This Row],[1]:[31]])-Таблица1[[#This Row],[Столбец1]])))</f>
        <v>0</v>
      </c>
      <c r="AN657" s="778">
        <f t="array" ref="AN657">IF(AQ657=1,SUM(P657,U657:V657,AA657:AB657,AG657:AH657),
IF(AQ657=2,SUM(Q657:R657,W657:X657,AC657:AD657,AI657:AJ657),
IF(AQ657=3,SUM(S657:T657,Y657:Z657,AE657:AF657,AK657:AL657),
SUM(IFERROR(WEEKDAY($H$2:$AL$2,2)&gt;5,)*H657:AL657))))+Таблица1[[#This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57" s="292" t="b">
        <f>IF(AR657&lt;=3,(IF((G657="5/24"),((база!$M$6*Таблица1[[#This Row],[сумма]]*Таблица1[[#This Row],[коэф]])),
IF((G657="4/24"),((база!$M$5*Таблица1[[#This Row],[сумма]]*Таблица1[[#This Row],[коэф]])),
IF((G657="3/24"),((база!$M$4*Таблица1[[#This Row],[сумма]]*Таблица1[[#This Row],[коэф]])),
IF((G657="5/16"),((база!$L$6*Таблица1[[#This Row],[сумма]]*Таблица1[[#This Row],[коэф]])),
IF((G657="4/16"),((база!$L$5*Таблица1[[#This Row],[сумма]]*Таблица1[[#This Row],[коэф]])),
IF((G657="3/16"),((база!$L$4*Таблица1[[#This Row],[сумма]]*Таблица1[[#This Row],[коэф]])),
IF((G657="4/4"),((база!$I$5*Таблица1[[#This Row],[сумма]]*Таблица1[[#This Row],[коэф]])),
IF(OR(G657="2/4",G657="3/4"),((база!$I$4*Таблица1[[#This Row],[сумма]]*Таблица1[[#This Row],[коэф]])),
IF((G657="5/8"),((база!$J$6*Таблица1[[#This Row],[сумма]]*Таблица1[[#This Row],[коэф]])),
IF((G657="4/8"),((база!$J$5*Таблица1[[#This Row],[сумма]]*Таблица1[[#This Row],[коэф]])),
IF(OR(G657="3/8",G657="2/8"),((база!$J$4*Таблица1[[#This Row],[сумма]]*Таблица1[[#This Row],[коэф]])))))))))))))),
(IF((G657="5/24"),((база!$M$6*Таблица1[[#This Row],[сумма]]*Таблица1[[#This Row],[коэф]])),
IF(OR(G657="4/24",G657="3/24"),((база!$M$5*Таблица1[[#This Row],[сумма]]*Таблица1[[#This Row],[коэф]])),
IF((G657="5/16"),((база!$L$6*Таблица1[[#This Row],[сумма]]*Таблица1[[#This Row],[коэф]])),
IF(OR(G657="4/16",G657="3/16"),((база!$L$5*Таблица1[[#This Row],[сумма]]*Таблица1[[#This Row],[коэф]])),
IF(OR(G657="2/4",G657="3/4",G657="4/4"),((база!$I$5*Таблица1[[#This Row],[сумма]]*Таблица1[[#This Row],[коэф]])),
IF((G657="5/8"),((база!$J$6*Таблица1[[#This Row],[сумма]]*Таблица1[[#This Row],[коэф]])),
IF(OR(G657="4/8",G657="3/8",G657="2/8"),((база!$J$5*Таблица1[[#This Row],[сумма]]*Таблица1[[#This Row],[коэф]])))))))))))</f>
        <v>0</v>
      </c>
      <c r="AP657" s="730" t="b">
        <f>IF(AR657&lt;=3,(IF((G657="5/24"),((база!$M$6*2*Таблица1[[#This Row],[Столбец1]]*Таблица1[[#This Row],[коэф]])),
IF((G657="4/24"),((база!$M$5*2*Таблица1[[#This Row],[Столбец1]]*Таблица1[[#This Row],[коэф]])),
IF((G657="3/24"),((база!$M$4*2*Таблица1[[#This Row],[Столбец1]]*Таблица1[[#This Row],[коэф]])),
IF((G657="5/16"),((база!$L$6*2*Таблица1[[#This Row],[Столбец1]]*Таблица1[[#This Row],[коэф]])),
IF((G657="4/16"),((база!$L$5*2*Таблица1[[#This Row],[Столбец1]]*Таблица1[[#This Row],[коэф]])),
IF((G657="3/16"),((база!$L$4*2*Таблица1[[#This Row],[Столбец1]]*Таблица1[[#This Row],[коэф]])),
IF((G657="4/4"),((база!$I$5*2*Таблица1[[#This Row],[Столбец1]]*Таблица1[[#This Row],[коэф]])),
IF(OR(G657="2/4",G657="3/4"),((база!$I$4*2*Таблица1[[#This Row],[Столбец1]]*Таблица1[[#This Row],[коэф]])),
IF((G657="5/8"),((база!$J$6*2*Таблица1[[#This Row],[Столбец1]]*Таблица1[[#This Row],[коэф]])),
IF((G657="4/8"),((база!$J$5*2*Таблица1[[#This Row],[Столбец1]]*Таблица1[[#This Row],[коэф]])),
IF(OR(G657="3/8",G657="2/8"),((база!$J$4*2*Таблица1[[#This Row],[Столбец1]]*Таблица1[[#This Row],[коэф]])))))))))))))),
(IF((G657="5/24"),((база!$M$6*2*Таблица1[[#This Row],[Столбец1]]*Таблица1[[#This Row],[коэф]])),
IF(OR(G657="4/24",G657="3/24"),((база!$M$5*2*Таблица1[[#This Row],[Столбец1]]*Таблица1[[#This Row],[коэф]])),
IF((G657="5/16"),((база!$L$6*2*Таблица1[[#This Row],[Столбец1]]*Таблица1[[#This Row],[коэф]])),
IF(OR(G657="4/16",G657="3/16"),((база!$L$5*2*Таблица1[[#This Row],[Столбец1]]*Таблица1[[#This Row],[коэф]])),
IF(OR(G657="2/4",G657="3/4",G657="4/4"),((база!$I$5*2*Таблица1[[#This Row],[Столбец1]]*Таблица1[[#This Row],[коэф]])),
IF((G657="5/8"),((база!$J$6*2*Таблица1[[#This Row],[Столбец1]]*Таблица1[[#This Row],[коэф]])),
IF(OR(G657="4/8",G657="3/8",G657="2/8"),((база!$J$5*2*Таблица1[[#This Row],[Столбец1]]*Таблица1[[#This Row],[коэф]])))))))))))</f>
        <v>0</v>
      </c>
      <c r="AQ657" s="712" t="str">
        <f>IFERROR(INDEX(база!T:T, MATCH(F657,база!Q:Q,0)),"")</f>
        <v/>
      </c>
      <c r="AR657" s="208" t="str">
        <f>IFERROR(INDEX(база!D:D, MATCH(F657,база!B:B,0)),"")</f>
        <v/>
      </c>
      <c r="AS657" s="758" t="str">
        <f>IFERROR(INDEX(база!E:E, MATCH(F657,база!B:B,0)),"")</f>
        <v/>
      </c>
    </row>
    <row r="658" spans="1:45" s="46" customFormat="1" ht="15">
      <c r="A658" s="66" t="str">
        <f t="shared" si="8"/>
        <v>январь</v>
      </c>
      <c r="B658" s="231">
        <v>2024</v>
      </c>
      <c r="C658" s="299"/>
      <c r="D658" s="61"/>
      <c r="E658" s="211"/>
      <c r="F658" s="680"/>
      <c r="G658" s="47"/>
      <c r="H658" s="563"/>
      <c r="I658" s="563"/>
      <c r="J658" s="563"/>
      <c r="K658" s="563"/>
      <c r="L658" s="563"/>
      <c r="M658" s="563"/>
      <c r="N658" s="563"/>
      <c r="O658" s="563"/>
      <c r="P658" s="300"/>
      <c r="Q658" s="563"/>
      <c r="R658" s="563"/>
      <c r="S658" s="563"/>
      <c r="T658" s="563"/>
      <c r="U658" s="563"/>
      <c r="V658" s="563"/>
      <c r="W658" s="563"/>
      <c r="X658" s="563"/>
      <c r="Y658" s="563"/>
      <c r="Z658" s="563"/>
      <c r="AA658" s="563"/>
      <c r="AB658" s="563"/>
      <c r="AC658" s="563"/>
      <c r="AD658" s="48"/>
      <c r="AE658" s="48"/>
      <c r="AF658" s="258"/>
      <c r="AG658" s="48"/>
      <c r="AH658" s="48"/>
      <c r="AI658" s="48"/>
      <c r="AJ658" s="48"/>
      <c r="AK658" s="48"/>
      <c r="AL658" s="51"/>
      <c r="AM658" s="212">
        <f>IF(AQ658=1,SUM(Q658:T658,W658:Z658,AC658:AF658,AI658:AL658),
IF(AQ658=2,SUM(P658,S658:V658,Y658:AB658,AE658:AH658,AK658:AL658),
IF(AQ658=3,SUM(P658:R658,U658:X658,AA658:AD658,AG658:AJ658),SUM(Таблица1[[#This Row],[1]:[31]])-Таблица1[[#This Row],[Столбец1]])))</f>
        <v>0</v>
      </c>
      <c r="AN658" s="778">
        <f t="array" ref="AN658">IF(AQ658=1,SUM(P658,U658:V658,AA658:AB658,AG658:AH658),
IF(AQ658=2,SUM(Q658:R658,W658:X658,AC658:AD658,AI658:AJ658),
IF(AQ658=3,SUM(S658:T658,Y658:Z658,AE658:AF658,AK658:AL658),
SUM(IFERROR(WEEKDAY($H$2:$AL$2,2)&gt;5,)*H658:AL658))))+Таблица1[[#This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58" s="292" t="b">
        <f>IF(AR658&lt;=3,(IF((G658="5/24"),((база!$M$6*Таблица1[[#This Row],[сумма]]*Таблица1[[#This Row],[коэф]])),
IF((G658="4/24"),((база!$M$5*Таблица1[[#This Row],[сумма]]*Таблица1[[#This Row],[коэф]])),
IF((G658="3/24"),((база!$M$4*Таблица1[[#This Row],[сумма]]*Таблица1[[#This Row],[коэф]])),
IF((G658="5/16"),((база!$L$6*Таблица1[[#This Row],[сумма]]*Таблица1[[#This Row],[коэф]])),
IF((G658="4/16"),((база!$L$5*Таблица1[[#This Row],[сумма]]*Таблица1[[#This Row],[коэф]])),
IF((G658="3/16"),((база!$L$4*Таблица1[[#This Row],[сумма]]*Таблица1[[#This Row],[коэф]])),
IF((G658="4/4"),((база!$I$5*Таблица1[[#This Row],[сумма]]*Таблица1[[#This Row],[коэф]])),
IF(OR(G658="2/4",G658="3/4"),((база!$I$4*Таблица1[[#This Row],[сумма]]*Таблица1[[#This Row],[коэф]])),
IF((G658="5/8"),((база!$J$6*Таблица1[[#This Row],[сумма]]*Таблица1[[#This Row],[коэф]])),
IF((G658="4/8"),((база!$J$5*Таблица1[[#This Row],[сумма]]*Таблица1[[#This Row],[коэф]])),
IF(OR(G658="3/8",G658="2/8"),((база!$J$4*Таблица1[[#This Row],[сумма]]*Таблица1[[#This Row],[коэф]])))))))))))))),
(IF((G658="5/24"),((база!$M$6*Таблица1[[#This Row],[сумма]]*Таблица1[[#This Row],[коэф]])),
IF(OR(G658="4/24",G658="3/24"),((база!$M$5*Таблица1[[#This Row],[сумма]]*Таблица1[[#This Row],[коэф]])),
IF((G658="5/16"),((база!$L$6*Таблица1[[#This Row],[сумма]]*Таблица1[[#This Row],[коэф]])),
IF(OR(G658="4/16",G658="3/16"),((база!$L$5*Таблица1[[#This Row],[сумма]]*Таблица1[[#This Row],[коэф]])),
IF(OR(G658="2/4",G658="3/4",G658="4/4"),((база!$I$5*Таблица1[[#This Row],[сумма]]*Таблица1[[#This Row],[коэф]])),
IF((G658="5/8"),((база!$J$6*Таблица1[[#This Row],[сумма]]*Таблица1[[#This Row],[коэф]])),
IF(OR(G658="4/8",G658="3/8",G658="2/8"),((база!$J$5*Таблица1[[#This Row],[сумма]]*Таблица1[[#This Row],[коэф]])))))))))))</f>
        <v>0</v>
      </c>
      <c r="AP658" s="730" t="b">
        <f>IF(AR658&lt;=3,(IF((G658="5/24"),((база!$M$6*2*Таблица1[[#This Row],[Столбец1]]*Таблица1[[#This Row],[коэф]])),
IF((G658="4/24"),((база!$M$5*2*Таблица1[[#This Row],[Столбец1]]*Таблица1[[#This Row],[коэф]])),
IF((G658="3/24"),((база!$M$4*2*Таблица1[[#This Row],[Столбец1]]*Таблица1[[#This Row],[коэф]])),
IF((G658="5/16"),((база!$L$6*2*Таблица1[[#This Row],[Столбец1]]*Таблица1[[#This Row],[коэф]])),
IF((G658="4/16"),((база!$L$5*2*Таблица1[[#This Row],[Столбец1]]*Таблица1[[#This Row],[коэф]])),
IF((G658="3/16"),((база!$L$4*2*Таблица1[[#This Row],[Столбец1]]*Таблица1[[#This Row],[коэф]])),
IF((G658="4/4"),((база!$I$5*2*Таблица1[[#This Row],[Столбец1]]*Таблица1[[#This Row],[коэф]])),
IF(OR(G658="2/4",G658="3/4"),((база!$I$4*2*Таблица1[[#This Row],[Столбец1]]*Таблица1[[#This Row],[коэф]])),
IF((G658="5/8"),((база!$J$6*2*Таблица1[[#This Row],[Столбец1]]*Таблица1[[#This Row],[коэф]])),
IF((G658="4/8"),((база!$J$5*2*Таблица1[[#This Row],[Столбец1]]*Таблица1[[#This Row],[коэф]])),
IF(OR(G658="3/8",G658="2/8"),((база!$J$4*2*Таблица1[[#This Row],[Столбец1]]*Таблица1[[#This Row],[коэф]])))))))))))))),
(IF((G658="5/24"),((база!$M$6*2*Таблица1[[#This Row],[Столбец1]]*Таблица1[[#This Row],[коэф]])),
IF(OR(G658="4/24",G658="3/24"),((база!$M$5*2*Таблица1[[#This Row],[Столбец1]]*Таблица1[[#This Row],[коэф]])),
IF((G658="5/16"),((база!$L$6*2*Таблица1[[#This Row],[Столбец1]]*Таблица1[[#This Row],[коэф]])),
IF(OR(G658="4/16",G658="3/16"),((база!$L$5*2*Таблица1[[#This Row],[Столбец1]]*Таблица1[[#This Row],[коэф]])),
IF(OR(G658="2/4",G658="3/4",G658="4/4"),((база!$I$5*2*Таблица1[[#This Row],[Столбец1]]*Таблица1[[#This Row],[коэф]])),
IF((G658="5/8"),((база!$J$6*2*Таблица1[[#This Row],[Столбец1]]*Таблица1[[#This Row],[коэф]])),
IF(OR(G658="4/8",G658="3/8",G658="2/8"),((база!$J$5*2*Таблица1[[#This Row],[Столбец1]]*Таблица1[[#This Row],[коэф]])))))))))))</f>
        <v>0</v>
      </c>
      <c r="AQ658" s="712" t="str">
        <f>IFERROR(INDEX(база!T:T, MATCH(F658,база!Q:Q,0)),"")</f>
        <v/>
      </c>
      <c r="AR658" s="208" t="str">
        <f>IFERROR(INDEX(база!D:D, MATCH(F658,база!B:B,0)),"")</f>
        <v/>
      </c>
      <c r="AS658" s="758" t="str">
        <f>IFERROR(INDEX(база!E:E, MATCH(F658,база!B:B,0)),"")</f>
        <v/>
      </c>
    </row>
    <row r="659" spans="1:45" s="46" customFormat="1" ht="15">
      <c r="A659" s="66" t="str">
        <f t="shared" si="8"/>
        <v>январь</v>
      </c>
      <c r="B659" s="231">
        <v>2024</v>
      </c>
      <c r="C659" s="60"/>
      <c r="D659" s="61"/>
      <c r="E659" s="211"/>
      <c r="F659" s="680"/>
      <c r="G659" s="47"/>
      <c r="H659" s="563"/>
      <c r="I659" s="563"/>
      <c r="J659" s="563"/>
      <c r="K659" s="563"/>
      <c r="L659" s="563"/>
      <c r="M659" s="563"/>
      <c r="N659" s="563"/>
      <c r="O659" s="563"/>
      <c r="P659" s="300"/>
      <c r="Q659" s="563"/>
      <c r="R659" s="563"/>
      <c r="S659" s="563"/>
      <c r="T659" s="563"/>
      <c r="U659" s="563"/>
      <c r="V659" s="563"/>
      <c r="W659" s="563"/>
      <c r="X659" s="563"/>
      <c r="Y659" s="563"/>
      <c r="Z659" s="563"/>
      <c r="AA659" s="563"/>
      <c r="AB659" s="563"/>
      <c r="AC659" s="563"/>
      <c r="AD659" s="48"/>
      <c r="AE659" s="48"/>
      <c r="AF659" s="258"/>
      <c r="AG659" s="48"/>
      <c r="AH659" s="48"/>
      <c r="AI659" s="258"/>
      <c r="AJ659" s="258"/>
      <c r="AK659" s="258"/>
      <c r="AL659" s="258"/>
      <c r="AM659" s="212">
        <f>IF(AQ659=1,SUM(Q659:T659,W659:Z659,AC659:AF659,AI659:AL659),
IF(AQ659=2,SUM(P659,S659:V659,Y659:AB659,AE659:AH659,AK659:AL659),
IF(AQ659=3,SUM(P659:R659,U659:X659,AA659:AD659,AG659:AJ659),SUM(Таблица1[[#This Row],[1]:[31]])-Таблица1[[#This Row],[Столбец1]])))</f>
        <v>0</v>
      </c>
      <c r="AN659" s="778">
        <f t="array" ref="AN659">IF(AQ659=1,SUM(P659,U659:V659,AA659:AB659,AG659:AH659),
IF(AQ659=2,SUM(Q659:R659,W659:X659,AC659:AD659,AI659:AJ659),
IF(AQ659=3,SUM(S659:T659,Y659:Z659,AE659:AF659,AK659:AL659),
SUM(IFERROR(WEEKDAY($H$2:$AL$2,2)&gt;5,)*H659:AL659))))+Таблица1[[#This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59" s="292" t="b">
        <f>IF(AR659&lt;=3,(IF((G659="5/24"),((база!$M$6*Таблица1[[#This Row],[сумма]]*Таблица1[[#This Row],[коэф]])),
IF((G659="4/24"),((база!$M$5*Таблица1[[#This Row],[сумма]]*Таблица1[[#This Row],[коэф]])),
IF((G659="3/24"),((база!$M$4*Таблица1[[#This Row],[сумма]]*Таблица1[[#This Row],[коэф]])),
IF((G659="5/16"),((база!$L$6*Таблица1[[#This Row],[сумма]]*Таблица1[[#This Row],[коэф]])),
IF((G659="4/16"),((база!$L$5*Таблица1[[#This Row],[сумма]]*Таблица1[[#This Row],[коэф]])),
IF((G659="3/16"),((база!$L$4*Таблица1[[#This Row],[сумма]]*Таблица1[[#This Row],[коэф]])),
IF((G659="4/4"),((база!$I$5*Таблица1[[#This Row],[сумма]]*Таблица1[[#This Row],[коэф]])),
IF(OR(G659="2/4",G659="3/4"),((база!$I$4*Таблица1[[#This Row],[сумма]]*Таблица1[[#This Row],[коэф]])),
IF((G659="5/8"),((база!$J$6*Таблица1[[#This Row],[сумма]]*Таблица1[[#This Row],[коэф]])),
IF((G659="4/8"),((база!$J$5*Таблица1[[#This Row],[сумма]]*Таблица1[[#This Row],[коэф]])),
IF(OR(G659="3/8",G659="2/8"),((база!$J$4*Таблица1[[#This Row],[сумма]]*Таблица1[[#This Row],[коэф]])))))))))))))),
(IF((G659="5/24"),((база!$M$6*Таблица1[[#This Row],[сумма]]*Таблица1[[#This Row],[коэф]])),
IF(OR(G659="4/24",G659="3/24"),((база!$M$5*Таблица1[[#This Row],[сумма]]*Таблица1[[#This Row],[коэф]])),
IF((G659="5/16"),((база!$L$6*Таблица1[[#This Row],[сумма]]*Таблица1[[#This Row],[коэф]])),
IF(OR(G659="4/16",G659="3/16"),((база!$L$5*Таблица1[[#This Row],[сумма]]*Таблица1[[#This Row],[коэф]])),
IF(OR(G659="2/4",G659="3/4",G659="4/4"),((база!$I$5*Таблица1[[#This Row],[сумма]]*Таблица1[[#This Row],[коэф]])),
IF((G659="5/8"),((база!$J$6*Таблица1[[#This Row],[сумма]]*Таблица1[[#This Row],[коэф]])),
IF(OR(G659="4/8",G659="3/8",G659="2/8"),((база!$J$5*Таблица1[[#This Row],[сумма]]*Таблица1[[#This Row],[коэф]])))))))))))</f>
        <v>0</v>
      </c>
      <c r="AP659" s="730" t="b">
        <f>IF(AR659&lt;=3,(IF((G659="5/24"),((база!$M$6*2*Таблица1[[#This Row],[Столбец1]]*Таблица1[[#This Row],[коэф]])),
IF((G659="4/24"),((база!$M$5*2*Таблица1[[#This Row],[Столбец1]]*Таблица1[[#This Row],[коэф]])),
IF((G659="3/24"),((база!$M$4*2*Таблица1[[#This Row],[Столбец1]]*Таблица1[[#This Row],[коэф]])),
IF((G659="5/16"),((база!$L$6*2*Таблица1[[#This Row],[Столбец1]]*Таблица1[[#This Row],[коэф]])),
IF((G659="4/16"),((база!$L$5*2*Таблица1[[#This Row],[Столбец1]]*Таблица1[[#This Row],[коэф]])),
IF((G659="3/16"),((база!$L$4*2*Таблица1[[#This Row],[Столбец1]]*Таблица1[[#This Row],[коэф]])),
IF((G659="4/4"),((база!$I$5*2*Таблица1[[#This Row],[Столбец1]]*Таблица1[[#This Row],[коэф]])),
IF(OR(G659="2/4",G659="3/4"),((база!$I$4*2*Таблица1[[#This Row],[Столбец1]]*Таблица1[[#This Row],[коэф]])),
IF((G659="5/8"),((база!$J$6*2*Таблица1[[#This Row],[Столбец1]]*Таблица1[[#This Row],[коэф]])),
IF((G659="4/8"),((база!$J$5*2*Таблица1[[#This Row],[Столбец1]]*Таблица1[[#This Row],[коэф]])),
IF(OR(G659="3/8",G659="2/8"),((база!$J$4*2*Таблица1[[#This Row],[Столбец1]]*Таблица1[[#This Row],[коэф]])))))))))))))),
(IF((G659="5/24"),((база!$M$6*2*Таблица1[[#This Row],[Столбец1]]*Таблица1[[#This Row],[коэф]])),
IF(OR(G659="4/24",G659="3/24"),((база!$M$5*2*Таблица1[[#This Row],[Столбец1]]*Таблица1[[#This Row],[коэф]])),
IF((G659="5/16"),((база!$L$6*2*Таблица1[[#This Row],[Столбец1]]*Таблица1[[#This Row],[коэф]])),
IF(OR(G659="4/16",G659="3/16"),((база!$L$5*2*Таблица1[[#This Row],[Столбец1]]*Таблица1[[#This Row],[коэф]])),
IF(OR(G659="2/4",G659="3/4",G659="4/4"),((база!$I$5*2*Таблица1[[#This Row],[Столбец1]]*Таблица1[[#This Row],[коэф]])),
IF((G659="5/8"),((база!$J$6*2*Таблица1[[#This Row],[Столбец1]]*Таблица1[[#This Row],[коэф]])),
IF(OR(G659="4/8",G659="3/8",G659="2/8"),((база!$J$5*2*Таблица1[[#This Row],[Столбец1]]*Таблица1[[#This Row],[коэф]])))))))))))</f>
        <v>0</v>
      </c>
      <c r="AQ659" s="712" t="str">
        <f>IFERROR(INDEX(база!T:T, MATCH(F659,база!Q:Q,0)),"")</f>
        <v/>
      </c>
      <c r="AR659" s="208" t="str">
        <f>IFERROR(INDEX(база!D:D, MATCH(F659,база!B:B,0)),"")</f>
        <v/>
      </c>
      <c r="AS659" s="758" t="str">
        <f>IFERROR(INDEX(база!E:E, MATCH(F659,база!B:B,0)),"")</f>
        <v/>
      </c>
    </row>
    <row r="660" spans="1:45" s="46" customFormat="1" ht="15">
      <c r="A660" s="66" t="str">
        <f t="shared" si="8"/>
        <v>январь</v>
      </c>
      <c r="B660" s="231">
        <v>2024</v>
      </c>
      <c r="C660" s="299"/>
      <c r="D660" s="61"/>
      <c r="E660" s="211"/>
      <c r="F660" s="680"/>
      <c r="G660" s="47"/>
      <c r="H660" s="563"/>
      <c r="I660" s="563"/>
      <c r="J660" s="563"/>
      <c r="K660" s="563"/>
      <c r="L660" s="563"/>
      <c r="M660" s="563"/>
      <c r="N660" s="563"/>
      <c r="O660" s="563"/>
      <c r="P660" s="300"/>
      <c r="Q660" s="563"/>
      <c r="R660" s="563"/>
      <c r="S660" s="563"/>
      <c r="T660" s="563"/>
      <c r="U660" s="563"/>
      <c r="V660" s="563"/>
      <c r="W660" s="563"/>
      <c r="X660" s="563"/>
      <c r="Y660" s="563"/>
      <c r="Z660" s="563"/>
      <c r="AA660" s="563"/>
      <c r="AB660" s="563"/>
      <c r="AC660" s="563"/>
      <c r="AD660" s="48"/>
      <c r="AE660" s="48"/>
      <c r="AF660" s="258"/>
      <c r="AG660" s="48"/>
      <c r="AH660" s="48"/>
      <c r="AI660" s="48"/>
      <c r="AJ660" s="48"/>
      <c r="AK660" s="48"/>
      <c r="AL660" s="51"/>
      <c r="AM660" s="212">
        <f>IF(AQ660=1,SUM(Q660:T660,W660:Z660,AC660:AF660,AI660:AL660),
IF(AQ660=2,SUM(P660,S660:V660,Y660:AB660,AE660:AH660,AK660:AL660),
IF(AQ660=3,SUM(P660:R660,U660:X660,AA660:AD660,AG660:AJ660),SUM(Таблица1[[#This Row],[1]:[31]])-Таблица1[[#This Row],[Столбец1]])))</f>
        <v>0</v>
      </c>
      <c r="AN660" s="778">
        <f t="array" ref="AN660">IF(AQ660=1,SUM(P660,U660:V660,AA660:AB660,AG660:AH660),
IF(AQ660=2,SUM(Q660:R660,W660:X660,AC660:AD660,AI660:AJ660),
IF(AQ660=3,SUM(S660:T660,Y660:Z660,AE660:AF660,AK660:AL660),
SUM(IFERROR(WEEKDAY($H$2:$AL$2,2)&gt;5,)*H660:AL660))))+Таблица1[[#This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60" s="292" t="b">
        <f>IF(AR660&lt;=3,(IF((G660="5/24"),((база!$M$6*Таблица1[[#This Row],[сумма]]*Таблица1[[#This Row],[коэф]])),
IF((G660="4/24"),((база!$M$5*Таблица1[[#This Row],[сумма]]*Таблица1[[#This Row],[коэф]])),
IF((G660="3/24"),((база!$M$4*Таблица1[[#This Row],[сумма]]*Таблица1[[#This Row],[коэф]])),
IF((G660="5/16"),((база!$L$6*Таблица1[[#This Row],[сумма]]*Таблица1[[#This Row],[коэф]])),
IF((G660="4/16"),((база!$L$5*Таблица1[[#This Row],[сумма]]*Таблица1[[#This Row],[коэф]])),
IF((G660="3/16"),((база!$L$4*Таблица1[[#This Row],[сумма]]*Таблица1[[#This Row],[коэф]])),
IF((G660="4/4"),((база!$I$5*Таблица1[[#This Row],[сумма]]*Таблица1[[#This Row],[коэф]])),
IF(OR(G660="2/4",G660="3/4"),((база!$I$4*Таблица1[[#This Row],[сумма]]*Таблица1[[#This Row],[коэф]])),
IF((G660="5/8"),((база!$J$6*Таблица1[[#This Row],[сумма]]*Таблица1[[#This Row],[коэф]])),
IF((G660="4/8"),((база!$J$5*Таблица1[[#This Row],[сумма]]*Таблица1[[#This Row],[коэф]])),
IF(OR(G660="3/8",G660="2/8"),((база!$J$4*Таблица1[[#This Row],[сумма]]*Таблица1[[#This Row],[коэф]])))))))))))))),
(IF((G660="5/24"),((база!$M$6*Таблица1[[#This Row],[сумма]]*Таблица1[[#This Row],[коэф]])),
IF(OR(G660="4/24",G660="3/24"),((база!$M$5*Таблица1[[#This Row],[сумма]]*Таблица1[[#This Row],[коэф]])),
IF((G660="5/16"),((база!$L$6*Таблица1[[#This Row],[сумма]]*Таблица1[[#This Row],[коэф]])),
IF(OR(G660="4/16",G660="3/16"),((база!$L$5*Таблица1[[#This Row],[сумма]]*Таблица1[[#This Row],[коэф]])),
IF(OR(G660="2/4",G660="3/4",G660="4/4"),((база!$I$5*Таблица1[[#This Row],[сумма]]*Таблица1[[#This Row],[коэф]])),
IF((G660="5/8"),((база!$J$6*Таблица1[[#This Row],[сумма]]*Таблица1[[#This Row],[коэф]])),
IF(OR(G660="4/8",G660="3/8",G660="2/8"),((база!$J$5*Таблица1[[#This Row],[сумма]]*Таблица1[[#This Row],[коэф]])))))))))))</f>
        <v>0</v>
      </c>
      <c r="AP660" s="730" t="b">
        <f>IF(AR660&lt;=3,(IF((G660="5/24"),((база!$M$6*2*Таблица1[[#This Row],[Столбец1]]*Таблица1[[#This Row],[коэф]])),
IF((G660="4/24"),((база!$M$5*2*Таблица1[[#This Row],[Столбец1]]*Таблица1[[#This Row],[коэф]])),
IF((G660="3/24"),((база!$M$4*2*Таблица1[[#This Row],[Столбец1]]*Таблица1[[#This Row],[коэф]])),
IF((G660="5/16"),((база!$L$6*2*Таблица1[[#This Row],[Столбец1]]*Таблица1[[#This Row],[коэф]])),
IF((G660="4/16"),((база!$L$5*2*Таблица1[[#This Row],[Столбец1]]*Таблица1[[#This Row],[коэф]])),
IF((G660="3/16"),((база!$L$4*2*Таблица1[[#This Row],[Столбец1]]*Таблица1[[#This Row],[коэф]])),
IF((G660="4/4"),((база!$I$5*2*Таблица1[[#This Row],[Столбец1]]*Таблица1[[#This Row],[коэф]])),
IF(OR(G660="2/4",G660="3/4"),((база!$I$4*2*Таблица1[[#This Row],[Столбец1]]*Таблица1[[#This Row],[коэф]])),
IF((G660="5/8"),((база!$J$6*2*Таблица1[[#This Row],[Столбец1]]*Таблица1[[#This Row],[коэф]])),
IF((G660="4/8"),((база!$J$5*2*Таблица1[[#This Row],[Столбец1]]*Таблица1[[#This Row],[коэф]])),
IF(OR(G660="3/8",G660="2/8"),((база!$J$4*2*Таблица1[[#This Row],[Столбец1]]*Таблица1[[#This Row],[коэф]])))))))))))))),
(IF((G660="5/24"),((база!$M$6*2*Таблица1[[#This Row],[Столбец1]]*Таблица1[[#This Row],[коэф]])),
IF(OR(G660="4/24",G660="3/24"),((база!$M$5*2*Таблица1[[#This Row],[Столбец1]]*Таблица1[[#This Row],[коэф]])),
IF((G660="5/16"),((база!$L$6*2*Таблица1[[#This Row],[Столбец1]]*Таблица1[[#This Row],[коэф]])),
IF(OR(G660="4/16",G660="3/16"),((база!$L$5*2*Таблица1[[#This Row],[Столбец1]]*Таблица1[[#This Row],[коэф]])),
IF(OR(G660="2/4",G660="3/4",G660="4/4"),((база!$I$5*2*Таблица1[[#This Row],[Столбец1]]*Таблица1[[#This Row],[коэф]])),
IF((G660="5/8"),((база!$J$6*2*Таблица1[[#This Row],[Столбец1]]*Таблица1[[#This Row],[коэф]])),
IF(OR(G660="4/8",G660="3/8",G660="2/8"),((база!$J$5*2*Таблица1[[#This Row],[Столбец1]]*Таблица1[[#This Row],[коэф]])))))))))))</f>
        <v>0</v>
      </c>
      <c r="AQ660" s="712" t="str">
        <f>IFERROR(INDEX(база!T:T, MATCH(F660,база!Q:Q,0)),"")</f>
        <v/>
      </c>
      <c r="AR660" s="208" t="str">
        <f>IFERROR(INDEX(база!D:D, MATCH(F660,база!B:B,0)),"")</f>
        <v/>
      </c>
      <c r="AS660" s="758" t="str">
        <f>IFERROR(INDEX(база!E:E, MATCH(F660,база!B:B,0)),"")</f>
        <v/>
      </c>
    </row>
    <row r="661" spans="1:45" s="46" customFormat="1" ht="15">
      <c r="A661" s="66" t="str">
        <f t="shared" si="8"/>
        <v>январь</v>
      </c>
      <c r="B661" s="231">
        <v>2024</v>
      </c>
      <c r="C661" s="299"/>
      <c r="D661" s="61"/>
      <c r="E661" s="211"/>
      <c r="F661" s="680"/>
      <c r="G661" s="47"/>
      <c r="H661" s="563"/>
      <c r="I661" s="563"/>
      <c r="J661" s="563"/>
      <c r="K661" s="563"/>
      <c r="L661" s="563"/>
      <c r="M661" s="563"/>
      <c r="N661" s="563"/>
      <c r="O661" s="563"/>
      <c r="P661" s="300"/>
      <c r="Q661" s="563"/>
      <c r="R661" s="563"/>
      <c r="S661" s="563"/>
      <c r="T661" s="563"/>
      <c r="U661" s="563"/>
      <c r="V661" s="563"/>
      <c r="W661" s="563"/>
      <c r="X661" s="563"/>
      <c r="Y661" s="563"/>
      <c r="Z661" s="563"/>
      <c r="AA661" s="563"/>
      <c r="AB661" s="563"/>
      <c r="AC661" s="563"/>
      <c r="AD661" s="48"/>
      <c r="AE661" s="48"/>
      <c r="AF661" s="258"/>
      <c r="AG661" s="48"/>
      <c r="AH661" s="48"/>
      <c r="AI661" s="258"/>
      <c r="AJ661" s="258"/>
      <c r="AK661" s="258"/>
      <c r="AL661" s="258"/>
      <c r="AM661" s="212">
        <f>IF(AQ661=1,SUM(Q661:T661,W661:Z661,AC661:AF661,AI661:AL661),
IF(AQ661=2,SUM(P661,S661:V661,Y661:AB661,AE661:AH661,AK661:AL661),
IF(AQ661=3,SUM(P661:R661,U661:X661,AA661:AD661,AG661:AJ661),SUM(Таблица1[[#This Row],[1]:[31]])-Таблица1[[#This Row],[Столбец1]])))</f>
        <v>0</v>
      </c>
      <c r="AN661" s="778">
        <f t="array" ref="AN661">IF(AQ661=1,SUM(P661,U661:V661,AA661:AB661,AG661:AH661),
IF(AQ661=2,SUM(Q661:R661,W661:X661,AC661:AD661,AI661:AJ661),
IF(AQ661=3,SUM(S661:T661,Y661:Z661,AE661:AF661,AK661:AL661),
SUM(IFERROR(WEEKDAY($H$2:$AL$2,2)&gt;5,)*H661:AL661))))+Таблица1[[#This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61" s="292" t="b">
        <f>IF(AR661&lt;=3,(IF((G661="5/24"),((база!$M$6*Таблица1[[#This Row],[сумма]]*Таблица1[[#This Row],[коэф]])),
IF((G661="4/24"),((база!$M$5*Таблица1[[#This Row],[сумма]]*Таблица1[[#This Row],[коэф]])),
IF((G661="3/24"),((база!$M$4*Таблица1[[#This Row],[сумма]]*Таблица1[[#This Row],[коэф]])),
IF((G661="5/16"),((база!$L$6*Таблица1[[#This Row],[сумма]]*Таблица1[[#This Row],[коэф]])),
IF((G661="4/16"),((база!$L$5*Таблица1[[#This Row],[сумма]]*Таблица1[[#This Row],[коэф]])),
IF((G661="3/16"),((база!$L$4*Таблица1[[#This Row],[сумма]]*Таблица1[[#This Row],[коэф]])),
IF((G661="4/4"),((база!$I$5*Таблица1[[#This Row],[сумма]]*Таблица1[[#This Row],[коэф]])),
IF(OR(G661="2/4",G661="3/4"),((база!$I$4*Таблица1[[#This Row],[сумма]]*Таблица1[[#This Row],[коэф]])),
IF((G661="5/8"),((база!$J$6*Таблица1[[#This Row],[сумма]]*Таблица1[[#This Row],[коэф]])),
IF((G661="4/8"),((база!$J$5*Таблица1[[#This Row],[сумма]]*Таблица1[[#This Row],[коэф]])),
IF(OR(G661="3/8",G661="2/8"),((база!$J$4*Таблица1[[#This Row],[сумма]]*Таблица1[[#This Row],[коэф]])))))))))))))),
(IF((G661="5/24"),((база!$M$6*Таблица1[[#This Row],[сумма]]*Таблица1[[#This Row],[коэф]])),
IF(OR(G661="4/24",G661="3/24"),((база!$M$5*Таблица1[[#This Row],[сумма]]*Таблица1[[#This Row],[коэф]])),
IF((G661="5/16"),((база!$L$6*Таблица1[[#This Row],[сумма]]*Таблица1[[#This Row],[коэф]])),
IF(OR(G661="4/16",G661="3/16"),((база!$L$5*Таблица1[[#This Row],[сумма]]*Таблица1[[#This Row],[коэф]])),
IF(OR(G661="2/4",G661="3/4",G661="4/4"),((база!$I$5*Таблица1[[#This Row],[сумма]]*Таблица1[[#This Row],[коэф]])),
IF((G661="5/8"),((база!$J$6*Таблица1[[#This Row],[сумма]]*Таблица1[[#This Row],[коэф]])),
IF(OR(G661="4/8",G661="3/8",G661="2/8"),((база!$J$5*Таблица1[[#This Row],[сумма]]*Таблица1[[#This Row],[коэф]])))))))))))</f>
        <v>0</v>
      </c>
      <c r="AP661" s="730" t="b">
        <f>IF(AR661&lt;=3,(IF((G661="5/24"),((база!$M$6*2*Таблица1[[#This Row],[Столбец1]]*Таблица1[[#This Row],[коэф]])),
IF((G661="4/24"),((база!$M$5*2*Таблица1[[#This Row],[Столбец1]]*Таблица1[[#This Row],[коэф]])),
IF((G661="3/24"),((база!$M$4*2*Таблица1[[#This Row],[Столбец1]]*Таблица1[[#This Row],[коэф]])),
IF((G661="5/16"),((база!$L$6*2*Таблица1[[#This Row],[Столбец1]]*Таблица1[[#This Row],[коэф]])),
IF((G661="4/16"),((база!$L$5*2*Таблица1[[#This Row],[Столбец1]]*Таблица1[[#This Row],[коэф]])),
IF((G661="3/16"),((база!$L$4*2*Таблица1[[#This Row],[Столбец1]]*Таблица1[[#This Row],[коэф]])),
IF((G661="4/4"),((база!$I$5*2*Таблица1[[#This Row],[Столбец1]]*Таблица1[[#This Row],[коэф]])),
IF(OR(G661="2/4",G661="3/4"),((база!$I$4*2*Таблица1[[#This Row],[Столбец1]]*Таблица1[[#This Row],[коэф]])),
IF((G661="5/8"),((база!$J$6*2*Таблица1[[#This Row],[Столбец1]]*Таблица1[[#This Row],[коэф]])),
IF((G661="4/8"),((база!$J$5*2*Таблица1[[#This Row],[Столбец1]]*Таблица1[[#This Row],[коэф]])),
IF(OR(G661="3/8",G661="2/8"),((база!$J$4*2*Таблица1[[#This Row],[Столбец1]]*Таблица1[[#This Row],[коэф]])))))))))))))),
(IF((G661="5/24"),((база!$M$6*2*Таблица1[[#This Row],[Столбец1]]*Таблица1[[#This Row],[коэф]])),
IF(OR(G661="4/24",G661="3/24"),((база!$M$5*2*Таблица1[[#This Row],[Столбец1]]*Таблица1[[#This Row],[коэф]])),
IF((G661="5/16"),((база!$L$6*2*Таблица1[[#This Row],[Столбец1]]*Таблица1[[#This Row],[коэф]])),
IF(OR(G661="4/16",G661="3/16"),((база!$L$5*2*Таблица1[[#This Row],[Столбец1]]*Таблица1[[#This Row],[коэф]])),
IF(OR(G661="2/4",G661="3/4",G661="4/4"),((база!$I$5*2*Таблица1[[#This Row],[Столбец1]]*Таблица1[[#This Row],[коэф]])),
IF((G661="5/8"),((база!$J$6*2*Таблица1[[#This Row],[Столбец1]]*Таблица1[[#This Row],[коэф]])),
IF(OR(G661="4/8",G661="3/8",G661="2/8"),((база!$J$5*2*Таблица1[[#This Row],[Столбец1]]*Таблица1[[#This Row],[коэф]])))))))))))</f>
        <v>0</v>
      </c>
      <c r="AQ661" s="712" t="str">
        <f>IFERROR(INDEX(база!T:T, MATCH(F661,база!Q:Q,0)),"")</f>
        <v/>
      </c>
      <c r="AR661" s="208" t="str">
        <f>IFERROR(INDEX(база!D:D, MATCH(F661,база!B:B,0)),"")</f>
        <v/>
      </c>
      <c r="AS661" s="758" t="str">
        <f>IFERROR(INDEX(база!E:E, MATCH(F661,база!B:B,0)),"")</f>
        <v/>
      </c>
    </row>
    <row r="662" spans="1:45" s="46" customFormat="1" ht="15">
      <c r="A662" s="66" t="str">
        <f t="shared" si="8"/>
        <v>январь</v>
      </c>
      <c r="B662" s="231">
        <v>2024</v>
      </c>
      <c r="C662" s="299"/>
      <c r="D662" s="61"/>
      <c r="E662" s="211"/>
      <c r="F662" s="680"/>
      <c r="G662" s="47"/>
      <c r="H662" s="563"/>
      <c r="I662" s="563"/>
      <c r="J662" s="563"/>
      <c r="K662" s="563"/>
      <c r="L662" s="563"/>
      <c r="M662" s="563"/>
      <c r="N662" s="563"/>
      <c r="O662" s="563"/>
      <c r="P662" s="300"/>
      <c r="Q662" s="563"/>
      <c r="R662" s="563"/>
      <c r="S662" s="563"/>
      <c r="T662" s="563"/>
      <c r="U662" s="563"/>
      <c r="V662" s="563"/>
      <c r="W662" s="563"/>
      <c r="X662" s="563"/>
      <c r="Y662" s="563"/>
      <c r="Z662" s="563"/>
      <c r="AA662" s="563"/>
      <c r="AB662" s="563"/>
      <c r="AC662" s="563"/>
      <c r="AD662" s="48"/>
      <c r="AE662" s="48"/>
      <c r="AF662" s="258"/>
      <c r="AG662" s="48"/>
      <c r="AH662" s="48"/>
      <c r="AI662" s="48"/>
      <c r="AJ662" s="48"/>
      <c r="AK662" s="48"/>
      <c r="AL662" s="51"/>
      <c r="AM662" s="212">
        <f>IF(AQ662=1,SUM(Q662:T662,W662:Z662,AC662:AF662,AI662:AL662),
IF(AQ662=2,SUM(P662,S662:V662,Y662:AB662,AE662:AH662,AK662:AL662),
IF(AQ662=3,SUM(P662:R662,U662:X662,AA662:AD662,AG662:AJ662),SUM(Таблица1[[#This Row],[1]:[31]])-Таблица1[[#This Row],[Столбец1]])))</f>
        <v>0</v>
      </c>
      <c r="AN662" s="778">
        <f t="array" ref="AN662">IF(AQ662=1,SUM(P662,U662:V662,AA662:AB662,AG662:AH662),
IF(AQ662=2,SUM(Q662:R662,W662:X662,AC662:AD662,AI662:AJ662),
IF(AQ662=3,SUM(S662:T662,Y662:Z662,AE662:AF662,AK662:AL662),
SUM(IFERROR(WEEKDAY($H$2:$AL$2,2)&gt;5,)*H662:AL662))))+Таблица1[[#This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62" s="292" t="b">
        <f>IF(AR662&lt;=3,(IF((G662="5/24"),((база!$M$6*Таблица1[[#This Row],[сумма]]*Таблица1[[#This Row],[коэф]])),
IF((G662="4/24"),((база!$M$5*Таблица1[[#This Row],[сумма]]*Таблица1[[#This Row],[коэф]])),
IF((G662="3/24"),((база!$M$4*Таблица1[[#This Row],[сумма]]*Таблица1[[#This Row],[коэф]])),
IF((G662="5/16"),((база!$L$6*Таблица1[[#This Row],[сумма]]*Таблица1[[#This Row],[коэф]])),
IF((G662="4/16"),((база!$L$5*Таблица1[[#This Row],[сумма]]*Таблица1[[#This Row],[коэф]])),
IF((G662="3/16"),((база!$L$4*Таблица1[[#This Row],[сумма]]*Таблица1[[#This Row],[коэф]])),
IF((G662="4/4"),((база!$I$5*Таблица1[[#This Row],[сумма]]*Таблица1[[#This Row],[коэф]])),
IF(OR(G662="2/4",G662="3/4"),((база!$I$4*Таблица1[[#This Row],[сумма]]*Таблица1[[#This Row],[коэф]])),
IF((G662="5/8"),((база!$J$6*Таблица1[[#This Row],[сумма]]*Таблица1[[#This Row],[коэф]])),
IF((G662="4/8"),((база!$J$5*Таблица1[[#This Row],[сумма]]*Таблица1[[#This Row],[коэф]])),
IF(OR(G662="3/8",G662="2/8"),((база!$J$4*Таблица1[[#This Row],[сумма]]*Таблица1[[#This Row],[коэф]])))))))))))))),
(IF((G662="5/24"),((база!$M$6*Таблица1[[#This Row],[сумма]]*Таблица1[[#This Row],[коэф]])),
IF(OR(G662="4/24",G662="3/24"),((база!$M$5*Таблица1[[#This Row],[сумма]]*Таблица1[[#This Row],[коэф]])),
IF((G662="5/16"),((база!$L$6*Таблица1[[#This Row],[сумма]]*Таблица1[[#This Row],[коэф]])),
IF(OR(G662="4/16",G662="3/16"),((база!$L$5*Таблица1[[#This Row],[сумма]]*Таблица1[[#This Row],[коэф]])),
IF(OR(G662="2/4",G662="3/4",G662="4/4"),((база!$I$5*Таблица1[[#This Row],[сумма]]*Таблица1[[#This Row],[коэф]])),
IF((G662="5/8"),((база!$J$6*Таблица1[[#This Row],[сумма]]*Таблица1[[#This Row],[коэф]])),
IF(OR(G662="4/8",G662="3/8",G662="2/8"),((база!$J$5*Таблица1[[#This Row],[сумма]]*Таблица1[[#This Row],[коэф]])))))))))))</f>
        <v>0</v>
      </c>
      <c r="AP662" s="730" t="b">
        <f>IF(AR662&lt;=3,(IF((G662="5/24"),((база!$M$6*2*Таблица1[[#This Row],[Столбец1]]*Таблица1[[#This Row],[коэф]])),
IF((G662="4/24"),((база!$M$5*2*Таблица1[[#This Row],[Столбец1]]*Таблица1[[#This Row],[коэф]])),
IF((G662="3/24"),((база!$M$4*2*Таблица1[[#This Row],[Столбец1]]*Таблица1[[#This Row],[коэф]])),
IF((G662="5/16"),((база!$L$6*2*Таблица1[[#This Row],[Столбец1]]*Таблица1[[#This Row],[коэф]])),
IF((G662="4/16"),((база!$L$5*2*Таблица1[[#This Row],[Столбец1]]*Таблица1[[#This Row],[коэф]])),
IF((G662="3/16"),((база!$L$4*2*Таблица1[[#This Row],[Столбец1]]*Таблица1[[#This Row],[коэф]])),
IF((G662="4/4"),((база!$I$5*2*Таблица1[[#This Row],[Столбец1]]*Таблица1[[#This Row],[коэф]])),
IF(OR(G662="2/4",G662="3/4"),((база!$I$4*2*Таблица1[[#This Row],[Столбец1]]*Таблица1[[#This Row],[коэф]])),
IF((G662="5/8"),((база!$J$6*2*Таблица1[[#This Row],[Столбец1]]*Таблица1[[#This Row],[коэф]])),
IF((G662="4/8"),((база!$J$5*2*Таблица1[[#This Row],[Столбец1]]*Таблица1[[#This Row],[коэф]])),
IF(OR(G662="3/8",G662="2/8"),((база!$J$4*2*Таблица1[[#This Row],[Столбец1]]*Таблица1[[#This Row],[коэф]])))))))))))))),
(IF((G662="5/24"),((база!$M$6*2*Таблица1[[#This Row],[Столбец1]]*Таблица1[[#This Row],[коэф]])),
IF(OR(G662="4/24",G662="3/24"),((база!$M$5*2*Таблица1[[#This Row],[Столбец1]]*Таблица1[[#This Row],[коэф]])),
IF((G662="5/16"),((база!$L$6*2*Таблица1[[#This Row],[Столбец1]]*Таблица1[[#This Row],[коэф]])),
IF(OR(G662="4/16",G662="3/16"),((база!$L$5*2*Таблица1[[#This Row],[Столбец1]]*Таблица1[[#This Row],[коэф]])),
IF(OR(G662="2/4",G662="3/4",G662="4/4"),((база!$I$5*2*Таблица1[[#This Row],[Столбец1]]*Таблица1[[#This Row],[коэф]])),
IF((G662="5/8"),((база!$J$6*2*Таблица1[[#This Row],[Столбец1]]*Таблица1[[#This Row],[коэф]])),
IF(OR(G662="4/8",G662="3/8",G662="2/8"),((база!$J$5*2*Таблица1[[#This Row],[Столбец1]]*Таблица1[[#This Row],[коэф]])))))))))))</f>
        <v>0</v>
      </c>
      <c r="AQ662" s="712" t="str">
        <f>IFERROR(INDEX(база!T:T, MATCH(F662,база!Q:Q,0)),"")</f>
        <v/>
      </c>
      <c r="AR662" s="208" t="str">
        <f>IFERROR(INDEX(база!D:D, MATCH(F662,база!B:B,0)),"")</f>
        <v/>
      </c>
      <c r="AS662" s="758" t="str">
        <f>IFERROR(INDEX(база!E:E, MATCH(F662,база!B:B,0)),"")</f>
        <v/>
      </c>
    </row>
    <row r="663" spans="1:45" s="46" customFormat="1" ht="15">
      <c r="A663" s="66" t="str">
        <f t="shared" si="8"/>
        <v>январь</v>
      </c>
      <c r="B663" s="231">
        <v>2024</v>
      </c>
      <c r="C663" s="299"/>
      <c r="D663" s="61"/>
      <c r="E663" s="211"/>
      <c r="F663" s="680"/>
      <c r="G663" s="47"/>
      <c r="H663" s="563"/>
      <c r="I663" s="563"/>
      <c r="J663" s="563"/>
      <c r="K663" s="563"/>
      <c r="L663" s="563"/>
      <c r="M663" s="563"/>
      <c r="N663" s="563"/>
      <c r="O663" s="563"/>
      <c r="P663" s="300"/>
      <c r="Q663" s="563"/>
      <c r="R663" s="563"/>
      <c r="S663" s="563"/>
      <c r="T663" s="563"/>
      <c r="U663" s="563"/>
      <c r="V663" s="563"/>
      <c r="W663" s="563"/>
      <c r="X663" s="563"/>
      <c r="Y663" s="563"/>
      <c r="Z663" s="563"/>
      <c r="AA663" s="563"/>
      <c r="AB663" s="563"/>
      <c r="AC663" s="563"/>
      <c r="AD663" s="48"/>
      <c r="AE663" s="48"/>
      <c r="AF663" s="258"/>
      <c r="AG663" s="48"/>
      <c r="AH663" s="48"/>
      <c r="AI663" s="258"/>
      <c r="AJ663" s="258"/>
      <c r="AK663" s="258"/>
      <c r="AL663" s="258"/>
      <c r="AM663" s="212">
        <f>IF(AQ663=1,SUM(Q663:T663,W663:Z663,AC663:AF663,AI663:AL663),
IF(AQ663=2,SUM(P663,S663:V663,Y663:AB663,AE663:AH663,AK663:AL663),
IF(AQ663=3,SUM(P663:R663,U663:X663,AA663:AD663,AG663:AJ663),SUM(Таблица1[[#This Row],[1]:[31]])-Таблица1[[#This Row],[Столбец1]])))</f>
        <v>0</v>
      </c>
      <c r="AN663" s="778">
        <f t="array" ref="AN663">IF(AQ663=1,SUM(P663,U663:V663,AA663:AB663,AG663:AH663),
IF(AQ663=2,SUM(Q663:R663,W663:X663,AC663:AD663,AI663:AJ663),
IF(AQ663=3,SUM(S663:T663,Y663:Z663,AE663:AF663,AK663:AL663),
SUM(IFERROR(WEEKDAY($H$2:$AL$2,2)&gt;5,)*H663:AL663))))+Таблица1[[#This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63" s="292" t="b">
        <f>IF(AR663&lt;=3,(IF((G663="5/24"),((база!$M$6*Таблица1[[#This Row],[сумма]]*Таблица1[[#This Row],[коэф]])),
IF((G663="4/24"),((база!$M$5*Таблица1[[#This Row],[сумма]]*Таблица1[[#This Row],[коэф]])),
IF((G663="3/24"),((база!$M$4*Таблица1[[#This Row],[сумма]]*Таблица1[[#This Row],[коэф]])),
IF((G663="5/16"),((база!$L$6*Таблица1[[#This Row],[сумма]]*Таблица1[[#This Row],[коэф]])),
IF((G663="4/16"),((база!$L$5*Таблица1[[#This Row],[сумма]]*Таблица1[[#This Row],[коэф]])),
IF((G663="3/16"),((база!$L$4*Таблица1[[#This Row],[сумма]]*Таблица1[[#This Row],[коэф]])),
IF((G663="4/4"),((база!$I$5*Таблица1[[#This Row],[сумма]]*Таблица1[[#This Row],[коэф]])),
IF(OR(G663="2/4",G663="3/4"),((база!$I$4*Таблица1[[#This Row],[сумма]]*Таблица1[[#This Row],[коэф]])),
IF((G663="5/8"),((база!$J$6*Таблица1[[#This Row],[сумма]]*Таблица1[[#This Row],[коэф]])),
IF((G663="4/8"),((база!$J$5*Таблица1[[#This Row],[сумма]]*Таблица1[[#This Row],[коэф]])),
IF(OR(G663="3/8",G663="2/8"),((база!$J$4*Таблица1[[#This Row],[сумма]]*Таблица1[[#This Row],[коэф]])))))))))))))),
(IF((G663="5/24"),((база!$M$6*Таблица1[[#This Row],[сумма]]*Таблица1[[#This Row],[коэф]])),
IF(OR(G663="4/24",G663="3/24"),((база!$M$5*Таблица1[[#This Row],[сумма]]*Таблица1[[#This Row],[коэф]])),
IF((G663="5/16"),((база!$L$6*Таблица1[[#This Row],[сумма]]*Таблица1[[#This Row],[коэф]])),
IF(OR(G663="4/16",G663="3/16"),((база!$L$5*Таблица1[[#This Row],[сумма]]*Таблица1[[#This Row],[коэф]])),
IF(OR(G663="2/4",G663="3/4",G663="4/4"),((база!$I$5*Таблица1[[#This Row],[сумма]]*Таблица1[[#This Row],[коэф]])),
IF((G663="5/8"),((база!$J$6*Таблица1[[#This Row],[сумма]]*Таблица1[[#This Row],[коэф]])),
IF(OR(G663="4/8",G663="3/8",G663="2/8"),((база!$J$5*Таблица1[[#This Row],[сумма]]*Таблица1[[#This Row],[коэф]])))))))))))</f>
        <v>0</v>
      </c>
      <c r="AP663" s="730" t="b">
        <f>IF(AR663&lt;=3,(IF((G663="5/24"),((база!$M$6*2*Таблица1[[#This Row],[Столбец1]]*Таблица1[[#This Row],[коэф]])),
IF((G663="4/24"),((база!$M$5*2*Таблица1[[#This Row],[Столбец1]]*Таблица1[[#This Row],[коэф]])),
IF((G663="3/24"),((база!$M$4*2*Таблица1[[#This Row],[Столбец1]]*Таблица1[[#This Row],[коэф]])),
IF((G663="5/16"),((база!$L$6*2*Таблица1[[#This Row],[Столбец1]]*Таблица1[[#This Row],[коэф]])),
IF((G663="4/16"),((база!$L$5*2*Таблица1[[#This Row],[Столбец1]]*Таблица1[[#This Row],[коэф]])),
IF((G663="3/16"),((база!$L$4*2*Таблица1[[#This Row],[Столбец1]]*Таблица1[[#This Row],[коэф]])),
IF((G663="4/4"),((база!$I$5*2*Таблица1[[#This Row],[Столбец1]]*Таблица1[[#This Row],[коэф]])),
IF(OR(G663="2/4",G663="3/4"),((база!$I$4*2*Таблица1[[#This Row],[Столбец1]]*Таблица1[[#This Row],[коэф]])),
IF((G663="5/8"),((база!$J$6*2*Таблица1[[#This Row],[Столбец1]]*Таблица1[[#This Row],[коэф]])),
IF((G663="4/8"),((база!$J$5*2*Таблица1[[#This Row],[Столбец1]]*Таблица1[[#This Row],[коэф]])),
IF(OR(G663="3/8",G663="2/8"),((база!$J$4*2*Таблица1[[#This Row],[Столбец1]]*Таблица1[[#This Row],[коэф]])))))))))))))),
(IF((G663="5/24"),((база!$M$6*2*Таблица1[[#This Row],[Столбец1]]*Таблица1[[#This Row],[коэф]])),
IF(OR(G663="4/24",G663="3/24"),((база!$M$5*2*Таблица1[[#This Row],[Столбец1]]*Таблица1[[#This Row],[коэф]])),
IF((G663="5/16"),((база!$L$6*2*Таблица1[[#This Row],[Столбец1]]*Таблица1[[#This Row],[коэф]])),
IF(OR(G663="4/16",G663="3/16"),((база!$L$5*2*Таблица1[[#This Row],[Столбец1]]*Таблица1[[#This Row],[коэф]])),
IF(OR(G663="2/4",G663="3/4",G663="4/4"),((база!$I$5*2*Таблица1[[#This Row],[Столбец1]]*Таблица1[[#This Row],[коэф]])),
IF((G663="5/8"),((база!$J$6*2*Таблица1[[#This Row],[Столбец1]]*Таблица1[[#This Row],[коэф]])),
IF(OR(G663="4/8",G663="3/8",G663="2/8"),((база!$J$5*2*Таблица1[[#This Row],[Столбец1]]*Таблица1[[#This Row],[коэф]])))))))))))</f>
        <v>0</v>
      </c>
      <c r="AQ663" s="712" t="str">
        <f>IFERROR(INDEX(база!T:T, MATCH(F663,база!Q:Q,0)),"")</f>
        <v/>
      </c>
      <c r="AR663" s="208" t="str">
        <f>IFERROR(INDEX(база!D:D, MATCH(F663,база!B:B,0)),"")</f>
        <v/>
      </c>
      <c r="AS663" s="758" t="str">
        <f>IFERROR(INDEX(база!E:E, MATCH(F663,база!B:B,0)),"")</f>
        <v/>
      </c>
    </row>
    <row r="664" spans="1:45" s="46" customFormat="1" ht="15">
      <c r="A664" s="66" t="str">
        <f t="shared" si="8"/>
        <v>январь</v>
      </c>
      <c r="B664" s="231">
        <v>2024</v>
      </c>
      <c r="C664" s="299"/>
      <c r="D664" s="61"/>
      <c r="E664" s="211"/>
      <c r="F664" s="680"/>
      <c r="G664" s="47"/>
      <c r="H664" s="563"/>
      <c r="I664" s="563"/>
      <c r="J664" s="563"/>
      <c r="K664" s="563"/>
      <c r="L664" s="563"/>
      <c r="M664" s="563"/>
      <c r="N664" s="563"/>
      <c r="O664" s="563"/>
      <c r="P664" s="300"/>
      <c r="Q664" s="563"/>
      <c r="R664" s="563"/>
      <c r="S664" s="563"/>
      <c r="T664" s="563"/>
      <c r="U664" s="563"/>
      <c r="V664" s="563"/>
      <c r="W664" s="563"/>
      <c r="X664" s="563"/>
      <c r="Y664" s="563"/>
      <c r="Z664" s="563"/>
      <c r="AA664" s="563"/>
      <c r="AB664" s="563"/>
      <c r="AC664" s="563"/>
      <c r="AD664" s="48"/>
      <c r="AE664" s="48"/>
      <c r="AF664" s="258"/>
      <c r="AG664" s="48"/>
      <c r="AH664" s="48"/>
      <c r="AI664" s="48"/>
      <c r="AJ664" s="48"/>
      <c r="AK664" s="48"/>
      <c r="AL664" s="51"/>
      <c r="AM664" s="212">
        <f>IF(AQ664=1,SUM(Q664:T664,W664:Z664,AC664:AF664,AI664:AL664),
IF(AQ664=2,SUM(P664,S664:V664,Y664:AB664,AE664:AH664,AK664:AL664),
IF(AQ664=3,SUM(P664:R664,U664:X664,AA664:AD664,AG664:AJ664),SUM(Таблица1[[#This Row],[1]:[31]])-Таблица1[[#This Row],[Столбец1]])))</f>
        <v>0</v>
      </c>
      <c r="AN664" s="778">
        <f t="array" ref="AN664">IF(AQ664=1,SUM(P664,U664:V664,AA664:AB664,AG664:AH664),
IF(AQ664=2,SUM(Q664:R664,W664:X664,AC664:AD664,AI664:AJ664),
IF(AQ664=3,SUM(S664:T664,Y664:Z664,AE664:AF664,AK664:AL664),
SUM(IFERROR(WEEKDAY($H$2:$AL$2,2)&gt;5,)*H664:AL664))))+Таблица1[[#This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64" s="292" t="b">
        <f>IF(AR664&lt;=3,(IF((G664="5/24"),((база!$M$6*Таблица1[[#This Row],[сумма]]*Таблица1[[#This Row],[коэф]])),
IF((G664="4/24"),((база!$M$5*Таблица1[[#This Row],[сумма]]*Таблица1[[#This Row],[коэф]])),
IF((G664="3/24"),((база!$M$4*Таблица1[[#This Row],[сумма]]*Таблица1[[#This Row],[коэф]])),
IF((G664="5/16"),((база!$L$6*Таблица1[[#This Row],[сумма]]*Таблица1[[#This Row],[коэф]])),
IF((G664="4/16"),((база!$L$5*Таблица1[[#This Row],[сумма]]*Таблица1[[#This Row],[коэф]])),
IF((G664="3/16"),((база!$L$4*Таблица1[[#This Row],[сумма]]*Таблица1[[#This Row],[коэф]])),
IF((G664="4/4"),((база!$I$5*Таблица1[[#This Row],[сумма]]*Таблица1[[#This Row],[коэф]])),
IF(OR(G664="2/4",G664="3/4"),((база!$I$4*Таблица1[[#This Row],[сумма]]*Таблица1[[#This Row],[коэф]])),
IF((G664="5/8"),((база!$J$6*Таблица1[[#This Row],[сумма]]*Таблица1[[#This Row],[коэф]])),
IF((G664="4/8"),((база!$J$5*Таблица1[[#This Row],[сумма]]*Таблица1[[#This Row],[коэф]])),
IF(OR(G664="3/8",G664="2/8"),((база!$J$4*Таблица1[[#This Row],[сумма]]*Таблица1[[#This Row],[коэф]])))))))))))))),
(IF((G664="5/24"),((база!$M$6*Таблица1[[#This Row],[сумма]]*Таблица1[[#This Row],[коэф]])),
IF(OR(G664="4/24",G664="3/24"),((база!$M$5*Таблица1[[#This Row],[сумма]]*Таблица1[[#This Row],[коэф]])),
IF((G664="5/16"),((база!$L$6*Таблица1[[#This Row],[сумма]]*Таблица1[[#This Row],[коэф]])),
IF(OR(G664="4/16",G664="3/16"),((база!$L$5*Таблица1[[#This Row],[сумма]]*Таблица1[[#This Row],[коэф]])),
IF(OR(G664="2/4",G664="3/4",G664="4/4"),((база!$I$5*Таблица1[[#This Row],[сумма]]*Таблица1[[#This Row],[коэф]])),
IF((G664="5/8"),((база!$J$6*Таблица1[[#This Row],[сумма]]*Таблица1[[#This Row],[коэф]])),
IF(OR(G664="4/8",G664="3/8",G664="2/8"),((база!$J$5*Таблица1[[#This Row],[сумма]]*Таблица1[[#This Row],[коэф]])))))))))))</f>
        <v>0</v>
      </c>
      <c r="AP664" s="730" t="b">
        <f>IF(AR664&lt;=3,(IF((G664="5/24"),((база!$M$6*2*Таблица1[[#This Row],[Столбец1]]*Таблица1[[#This Row],[коэф]])),
IF((G664="4/24"),((база!$M$5*2*Таблица1[[#This Row],[Столбец1]]*Таблица1[[#This Row],[коэф]])),
IF((G664="3/24"),((база!$M$4*2*Таблица1[[#This Row],[Столбец1]]*Таблица1[[#This Row],[коэф]])),
IF((G664="5/16"),((база!$L$6*2*Таблица1[[#This Row],[Столбец1]]*Таблица1[[#This Row],[коэф]])),
IF((G664="4/16"),((база!$L$5*2*Таблица1[[#This Row],[Столбец1]]*Таблица1[[#This Row],[коэф]])),
IF((G664="3/16"),((база!$L$4*2*Таблица1[[#This Row],[Столбец1]]*Таблица1[[#This Row],[коэф]])),
IF((G664="4/4"),((база!$I$5*2*Таблица1[[#This Row],[Столбец1]]*Таблица1[[#This Row],[коэф]])),
IF(OR(G664="2/4",G664="3/4"),((база!$I$4*2*Таблица1[[#This Row],[Столбец1]]*Таблица1[[#This Row],[коэф]])),
IF((G664="5/8"),((база!$J$6*2*Таблица1[[#This Row],[Столбец1]]*Таблица1[[#This Row],[коэф]])),
IF((G664="4/8"),((база!$J$5*2*Таблица1[[#This Row],[Столбец1]]*Таблица1[[#This Row],[коэф]])),
IF(OR(G664="3/8",G664="2/8"),((база!$J$4*2*Таблица1[[#This Row],[Столбец1]]*Таблица1[[#This Row],[коэф]])))))))))))))),
(IF((G664="5/24"),((база!$M$6*2*Таблица1[[#This Row],[Столбец1]]*Таблица1[[#This Row],[коэф]])),
IF(OR(G664="4/24",G664="3/24"),((база!$M$5*2*Таблица1[[#This Row],[Столбец1]]*Таблица1[[#This Row],[коэф]])),
IF((G664="5/16"),((база!$L$6*2*Таблица1[[#This Row],[Столбец1]]*Таблица1[[#This Row],[коэф]])),
IF(OR(G664="4/16",G664="3/16"),((база!$L$5*2*Таблица1[[#This Row],[Столбец1]]*Таблица1[[#This Row],[коэф]])),
IF(OR(G664="2/4",G664="3/4",G664="4/4"),((база!$I$5*2*Таблица1[[#This Row],[Столбец1]]*Таблица1[[#This Row],[коэф]])),
IF((G664="5/8"),((база!$J$6*2*Таблица1[[#This Row],[Столбец1]]*Таблица1[[#This Row],[коэф]])),
IF(OR(G664="4/8",G664="3/8",G664="2/8"),((база!$J$5*2*Таблица1[[#This Row],[Столбец1]]*Таблица1[[#This Row],[коэф]])))))))))))</f>
        <v>0</v>
      </c>
      <c r="AQ664" s="712" t="str">
        <f>IFERROR(INDEX(база!T:T, MATCH(F664,база!Q:Q,0)),"")</f>
        <v/>
      </c>
      <c r="AR664" s="208" t="str">
        <f>IFERROR(INDEX(база!D:D, MATCH(F664,база!B:B,0)),"")</f>
        <v/>
      </c>
      <c r="AS664" s="758" t="str">
        <f>IFERROR(INDEX(база!E:E, MATCH(F664,база!B:B,0)),"")</f>
        <v/>
      </c>
    </row>
    <row r="665" spans="1:45" s="46" customFormat="1" ht="15">
      <c r="A665" s="66" t="str">
        <f t="shared" si="8"/>
        <v>январь</v>
      </c>
      <c r="B665" s="231">
        <v>2024</v>
      </c>
      <c r="C665" s="299"/>
      <c r="D665" s="61"/>
      <c r="E665" s="211"/>
      <c r="F665" s="680"/>
      <c r="G665" s="47"/>
      <c r="H665" s="563"/>
      <c r="I665" s="563"/>
      <c r="J665" s="563"/>
      <c r="K665" s="563"/>
      <c r="L665" s="563"/>
      <c r="M665" s="563"/>
      <c r="N665" s="563"/>
      <c r="O665" s="563"/>
      <c r="P665" s="300"/>
      <c r="Q665" s="563"/>
      <c r="R665" s="563"/>
      <c r="S665" s="563"/>
      <c r="T665" s="563"/>
      <c r="U665" s="563"/>
      <c r="V665" s="563"/>
      <c r="W665" s="563"/>
      <c r="X665" s="563"/>
      <c r="Y665" s="563"/>
      <c r="Z665" s="563"/>
      <c r="AA665" s="563"/>
      <c r="AB665" s="563"/>
      <c r="AC665" s="563"/>
      <c r="AD665" s="48"/>
      <c r="AE665" s="48"/>
      <c r="AF665" s="258"/>
      <c r="AG665" s="48"/>
      <c r="AH665" s="48"/>
      <c r="AI665" s="258"/>
      <c r="AJ665" s="258"/>
      <c r="AK665" s="258"/>
      <c r="AL665" s="258"/>
      <c r="AM665" s="212">
        <f>IF(AQ665=1,SUM(Q665:T665,W665:Z665,AC665:AF665,AI665:AL665),
IF(AQ665=2,SUM(P665,S665:V665,Y665:AB665,AE665:AH665,AK665:AL665),
IF(AQ665=3,SUM(P665:R665,U665:X665,AA665:AD665,AG665:AJ665),SUM(Таблица1[[#This Row],[1]:[31]])-Таблица1[[#This Row],[Столбец1]])))</f>
        <v>0</v>
      </c>
      <c r="AN665" s="778">
        <f t="array" ref="AN665">IF(AQ665=1,SUM(P665,U665:V665,AA665:AB665,AG665:AH665),
IF(AQ665=2,SUM(Q665:R665,W665:X665,AC665:AD665,AI665:AJ665),
IF(AQ665=3,SUM(S665:T665,Y665:Z665,AE665:AF665,AK665:AL665),
SUM(IFERROR(WEEKDAY($H$2:$AL$2,2)&gt;5,)*H665:AL665))))+Таблица1[[#This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65" s="292" t="b">
        <f>IF(AR665&lt;=3,(IF((G665="5/24"),((база!$M$6*Таблица1[[#This Row],[сумма]]*Таблица1[[#This Row],[коэф]])),
IF((G665="4/24"),((база!$M$5*Таблица1[[#This Row],[сумма]]*Таблица1[[#This Row],[коэф]])),
IF((G665="3/24"),((база!$M$4*Таблица1[[#This Row],[сумма]]*Таблица1[[#This Row],[коэф]])),
IF((G665="5/16"),((база!$L$6*Таблица1[[#This Row],[сумма]]*Таблица1[[#This Row],[коэф]])),
IF((G665="4/16"),((база!$L$5*Таблица1[[#This Row],[сумма]]*Таблица1[[#This Row],[коэф]])),
IF((G665="3/16"),((база!$L$4*Таблица1[[#This Row],[сумма]]*Таблица1[[#This Row],[коэф]])),
IF((G665="4/4"),((база!$I$5*Таблица1[[#This Row],[сумма]]*Таблица1[[#This Row],[коэф]])),
IF(OR(G665="2/4",G665="3/4"),((база!$I$4*Таблица1[[#This Row],[сумма]]*Таблица1[[#This Row],[коэф]])),
IF((G665="5/8"),((база!$J$6*Таблица1[[#This Row],[сумма]]*Таблица1[[#This Row],[коэф]])),
IF((G665="4/8"),((база!$J$5*Таблица1[[#This Row],[сумма]]*Таблица1[[#This Row],[коэф]])),
IF(OR(G665="3/8",G665="2/8"),((база!$J$4*Таблица1[[#This Row],[сумма]]*Таблица1[[#This Row],[коэф]])))))))))))))),
(IF((G665="5/24"),((база!$M$6*Таблица1[[#This Row],[сумма]]*Таблица1[[#This Row],[коэф]])),
IF(OR(G665="4/24",G665="3/24"),((база!$M$5*Таблица1[[#This Row],[сумма]]*Таблица1[[#This Row],[коэф]])),
IF((G665="5/16"),((база!$L$6*Таблица1[[#This Row],[сумма]]*Таблица1[[#This Row],[коэф]])),
IF(OR(G665="4/16",G665="3/16"),((база!$L$5*Таблица1[[#This Row],[сумма]]*Таблица1[[#This Row],[коэф]])),
IF(OR(G665="2/4",G665="3/4",G665="4/4"),((база!$I$5*Таблица1[[#This Row],[сумма]]*Таблица1[[#This Row],[коэф]])),
IF((G665="5/8"),((база!$J$6*Таблица1[[#This Row],[сумма]]*Таблица1[[#This Row],[коэф]])),
IF(OR(G665="4/8",G665="3/8",G665="2/8"),((база!$J$5*Таблица1[[#This Row],[сумма]]*Таблица1[[#This Row],[коэф]])))))))))))</f>
        <v>0</v>
      </c>
      <c r="AP665" s="730" t="b">
        <f>IF(AR665&lt;=3,(IF((G665="5/24"),((база!$M$6*2*Таблица1[[#This Row],[Столбец1]]*Таблица1[[#This Row],[коэф]])),
IF((G665="4/24"),((база!$M$5*2*Таблица1[[#This Row],[Столбец1]]*Таблица1[[#This Row],[коэф]])),
IF((G665="3/24"),((база!$M$4*2*Таблица1[[#This Row],[Столбец1]]*Таблица1[[#This Row],[коэф]])),
IF((G665="5/16"),((база!$L$6*2*Таблица1[[#This Row],[Столбец1]]*Таблица1[[#This Row],[коэф]])),
IF((G665="4/16"),((база!$L$5*2*Таблица1[[#This Row],[Столбец1]]*Таблица1[[#This Row],[коэф]])),
IF((G665="3/16"),((база!$L$4*2*Таблица1[[#This Row],[Столбец1]]*Таблица1[[#This Row],[коэф]])),
IF((G665="4/4"),((база!$I$5*2*Таблица1[[#This Row],[Столбец1]]*Таблица1[[#This Row],[коэф]])),
IF(OR(G665="2/4",G665="3/4"),((база!$I$4*2*Таблица1[[#This Row],[Столбец1]]*Таблица1[[#This Row],[коэф]])),
IF((G665="5/8"),((база!$J$6*2*Таблица1[[#This Row],[Столбец1]]*Таблица1[[#This Row],[коэф]])),
IF((G665="4/8"),((база!$J$5*2*Таблица1[[#This Row],[Столбец1]]*Таблица1[[#This Row],[коэф]])),
IF(OR(G665="3/8",G665="2/8"),((база!$J$4*2*Таблица1[[#This Row],[Столбец1]]*Таблица1[[#This Row],[коэф]])))))))))))))),
(IF((G665="5/24"),((база!$M$6*2*Таблица1[[#This Row],[Столбец1]]*Таблица1[[#This Row],[коэф]])),
IF(OR(G665="4/24",G665="3/24"),((база!$M$5*2*Таблица1[[#This Row],[Столбец1]]*Таблица1[[#This Row],[коэф]])),
IF((G665="5/16"),((база!$L$6*2*Таблица1[[#This Row],[Столбец1]]*Таблица1[[#This Row],[коэф]])),
IF(OR(G665="4/16",G665="3/16"),((база!$L$5*2*Таблица1[[#This Row],[Столбец1]]*Таблица1[[#This Row],[коэф]])),
IF(OR(G665="2/4",G665="3/4",G665="4/4"),((база!$I$5*2*Таблица1[[#This Row],[Столбец1]]*Таблица1[[#This Row],[коэф]])),
IF((G665="5/8"),((база!$J$6*2*Таблица1[[#This Row],[Столбец1]]*Таблица1[[#This Row],[коэф]])),
IF(OR(G665="4/8",G665="3/8",G665="2/8"),((база!$J$5*2*Таблица1[[#This Row],[Столбец1]]*Таблица1[[#This Row],[коэф]])))))))))))</f>
        <v>0</v>
      </c>
      <c r="AQ665" s="712" t="str">
        <f>IFERROR(INDEX(база!T:T, MATCH(F665,база!Q:Q,0)),"")</f>
        <v/>
      </c>
      <c r="AR665" s="208" t="str">
        <f>IFERROR(INDEX(база!D:D, MATCH(F665,база!B:B,0)),"")</f>
        <v/>
      </c>
      <c r="AS665" s="758" t="str">
        <f>IFERROR(INDEX(база!E:E, MATCH(F665,база!B:B,0)),"")</f>
        <v/>
      </c>
    </row>
    <row r="666" spans="1:45" s="46" customFormat="1" ht="15">
      <c r="A666" s="66" t="str">
        <f t="shared" si="8"/>
        <v>январь</v>
      </c>
      <c r="B666" s="231">
        <v>2024</v>
      </c>
      <c r="C666" s="299"/>
      <c r="D666" s="61"/>
      <c r="E666" s="211"/>
      <c r="F666" s="680"/>
      <c r="G666" s="47"/>
      <c r="H666" s="563"/>
      <c r="I666" s="563"/>
      <c r="J666" s="563"/>
      <c r="K666" s="563"/>
      <c r="L666" s="563"/>
      <c r="M666" s="563"/>
      <c r="N666" s="563"/>
      <c r="O666" s="563"/>
      <c r="P666" s="300"/>
      <c r="Q666" s="563"/>
      <c r="R666" s="563"/>
      <c r="S666" s="563"/>
      <c r="T666" s="563"/>
      <c r="U666" s="563"/>
      <c r="V666" s="563"/>
      <c r="W666" s="563"/>
      <c r="X666" s="563"/>
      <c r="Y666" s="563"/>
      <c r="Z666" s="563"/>
      <c r="AA666" s="563"/>
      <c r="AB666" s="563"/>
      <c r="AC666" s="563"/>
      <c r="AD666" s="48"/>
      <c r="AE666" s="48"/>
      <c r="AF666" s="258"/>
      <c r="AG666" s="48"/>
      <c r="AH666" s="48"/>
      <c r="AI666" s="48"/>
      <c r="AJ666" s="48"/>
      <c r="AK666" s="48"/>
      <c r="AL666" s="51"/>
      <c r="AM666" s="212">
        <f>IF(AQ666=1,SUM(Q666:T666,W666:Z666,AC666:AF666,AI666:AL666),
IF(AQ666=2,SUM(P666,S666:V666,Y666:AB666,AE666:AH666,AK666:AL666),
IF(AQ666=3,SUM(P666:R666,U666:X666,AA666:AD666,AG666:AJ666),SUM(Таблица1[[#This Row],[1]:[31]])-Таблица1[[#This Row],[Столбец1]])))</f>
        <v>0</v>
      </c>
      <c r="AN666" s="778">
        <f t="array" ref="AN666">IF(AQ666=1,SUM(P666,U666:V666,AA666:AB666,AG666:AH666),
IF(AQ666=2,SUM(Q666:R666,W666:X666,AC666:AD666,AI666:AJ666),
IF(AQ666=3,SUM(S666:T666,Y666:Z666,AE666:AF666,AK666:AL666),
SUM(IFERROR(WEEKDAY($H$2:$AL$2,2)&gt;5,)*H666:AL666))))+Таблица1[[#This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66" s="292" t="b">
        <f>IF(AR666&lt;=3,(IF((G666="5/24"),((база!$M$6*Таблица1[[#This Row],[сумма]]*Таблица1[[#This Row],[коэф]])),
IF((G666="4/24"),((база!$M$5*Таблица1[[#This Row],[сумма]]*Таблица1[[#This Row],[коэф]])),
IF((G666="3/24"),((база!$M$4*Таблица1[[#This Row],[сумма]]*Таблица1[[#This Row],[коэф]])),
IF((G666="5/16"),((база!$L$6*Таблица1[[#This Row],[сумма]]*Таблица1[[#This Row],[коэф]])),
IF((G666="4/16"),((база!$L$5*Таблица1[[#This Row],[сумма]]*Таблица1[[#This Row],[коэф]])),
IF((G666="3/16"),((база!$L$4*Таблица1[[#This Row],[сумма]]*Таблица1[[#This Row],[коэф]])),
IF((G666="4/4"),((база!$I$5*Таблица1[[#This Row],[сумма]]*Таблица1[[#This Row],[коэф]])),
IF(OR(G666="2/4",G666="3/4"),((база!$I$4*Таблица1[[#This Row],[сумма]]*Таблица1[[#This Row],[коэф]])),
IF((G666="5/8"),((база!$J$6*Таблица1[[#This Row],[сумма]]*Таблица1[[#This Row],[коэф]])),
IF((G666="4/8"),((база!$J$5*Таблица1[[#This Row],[сумма]]*Таблица1[[#This Row],[коэф]])),
IF(OR(G666="3/8",G666="2/8"),((база!$J$4*Таблица1[[#This Row],[сумма]]*Таблица1[[#This Row],[коэф]])))))))))))))),
(IF((G666="5/24"),((база!$M$6*Таблица1[[#This Row],[сумма]]*Таблица1[[#This Row],[коэф]])),
IF(OR(G666="4/24",G666="3/24"),((база!$M$5*Таблица1[[#This Row],[сумма]]*Таблица1[[#This Row],[коэф]])),
IF((G666="5/16"),((база!$L$6*Таблица1[[#This Row],[сумма]]*Таблица1[[#This Row],[коэф]])),
IF(OR(G666="4/16",G666="3/16"),((база!$L$5*Таблица1[[#This Row],[сумма]]*Таблица1[[#This Row],[коэф]])),
IF(OR(G666="2/4",G666="3/4",G666="4/4"),((база!$I$5*Таблица1[[#This Row],[сумма]]*Таблица1[[#This Row],[коэф]])),
IF((G666="5/8"),((база!$J$6*Таблица1[[#This Row],[сумма]]*Таблица1[[#This Row],[коэф]])),
IF(OR(G666="4/8",G666="3/8",G666="2/8"),((база!$J$5*Таблица1[[#This Row],[сумма]]*Таблица1[[#This Row],[коэф]])))))))))))</f>
        <v>0</v>
      </c>
      <c r="AP666" s="730" t="b">
        <f>IF(AR666&lt;=3,(IF((G666="5/24"),((база!$M$6*2*Таблица1[[#This Row],[Столбец1]]*Таблица1[[#This Row],[коэф]])),
IF((G666="4/24"),((база!$M$5*2*Таблица1[[#This Row],[Столбец1]]*Таблица1[[#This Row],[коэф]])),
IF((G666="3/24"),((база!$M$4*2*Таблица1[[#This Row],[Столбец1]]*Таблица1[[#This Row],[коэф]])),
IF((G666="5/16"),((база!$L$6*2*Таблица1[[#This Row],[Столбец1]]*Таблица1[[#This Row],[коэф]])),
IF((G666="4/16"),((база!$L$5*2*Таблица1[[#This Row],[Столбец1]]*Таблица1[[#This Row],[коэф]])),
IF((G666="3/16"),((база!$L$4*2*Таблица1[[#This Row],[Столбец1]]*Таблица1[[#This Row],[коэф]])),
IF((G666="4/4"),((база!$I$5*2*Таблица1[[#This Row],[Столбец1]]*Таблица1[[#This Row],[коэф]])),
IF(OR(G666="2/4",G666="3/4"),((база!$I$4*2*Таблица1[[#This Row],[Столбец1]]*Таблица1[[#This Row],[коэф]])),
IF((G666="5/8"),((база!$J$6*2*Таблица1[[#This Row],[Столбец1]]*Таблица1[[#This Row],[коэф]])),
IF((G666="4/8"),((база!$J$5*2*Таблица1[[#This Row],[Столбец1]]*Таблица1[[#This Row],[коэф]])),
IF(OR(G666="3/8",G666="2/8"),((база!$J$4*2*Таблица1[[#This Row],[Столбец1]]*Таблица1[[#This Row],[коэф]])))))))))))))),
(IF((G666="5/24"),((база!$M$6*2*Таблица1[[#This Row],[Столбец1]]*Таблица1[[#This Row],[коэф]])),
IF(OR(G666="4/24",G666="3/24"),((база!$M$5*2*Таблица1[[#This Row],[Столбец1]]*Таблица1[[#This Row],[коэф]])),
IF((G666="5/16"),((база!$L$6*2*Таблица1[[#This Row],[Столбец1]]*Таблица1[[#This Row],[коэф]])),
IF(OR(G666="4/16",G666="3/16"),((база!$L$5*2*Таблица1[[#This Row],[Столбец1]]*Таблица1[[#This Row],[коэф]])),
IF(OR(G666="2/4",G666="3/4",G666="4/4"),((база!$I$5*2*Таблица1[[#This Row],[Столбец1]]*Таблица1[[#This Row],[коэф]])),
IF((G666="5/8"),((база!$J$6*2*Таблица1[[#This Row],[Столбец1]]*Таблица1[[#This Row],[коэф]])),
IF(OR(G666="4/8",G666="3/8",G666="2/8"),((база!$J$5*2*Таблица1[[#This Row],[Столбец1]]*Таблица1[[#This Row],[коэф]])))))))))))</f>
        <v>0</v>
      </c>
      <c r="AQ666" s="712" t="str">
        <f>IFERROR(INDEX(база!T:T, MATCH(F666,база!Q:Q,0)),"")</f>
        <v/>
      </c>
      <c r="AR666" s="208" t="str">
        <f>IFERROR(INDEX(база!D:D, MATCH(F666,база!B:B,0)),"")</f>
        <v/>
      </c>
      <c r="AS666" s="758" t="str">
        <f>IFERROR(INDEX(база!E:E, MATCH(F666,база!B:B,0)),"")</f>
        <v/>
      </c>
    </row>
    <row r="667" spans="1:45" s="46" customFormat="1" ht="15">
      <c r="A667" s="66" t="str">
        <f t="shared" si="8"/>
        <v>январь</v>
      </c>
      <c r="B667" s="231">
        <v>2024</v>
      </c>
      <c r="C667" s="299"/>
      <c r="D667" s="61"/>
      <c r="E667" s="211"/>
      <c r="F667" s="680"/>
      <c r="G667" s="47"/>
      <c r="H667" s="563"/>
      <c r="I667" s="563"/>
      <c r="J667" s="563"/>
      <c r="K667" s="563"/>
      <c r="L667" s="563"/>
      <c r="M667" s="563"/>
      <c r="N667" s="563"/>
      <c r="O667" s="563"/>
      <c r="P667" s="300"/>
      <c r="Q667" s="563"/>
      <c r="R667" s="563"/>
      <c r="S667" s="563"/>
      <c r="T667" s="563"/>
      <c r="U667" s="563"/>
      <c r="V667" s="563"/>
      <c r="W667" s="563"/>
      <c r="X667" s="563"/>
      <c r="Y667" s="563"/>
      <c r="Z667" s="563"/>
      <c r="AA667" s="563"/>
      <c r="AB667" s="563"/>
      <c r="AC667" s="563"/>
      <c r="AD667" s="48"/>
      <c r="AE667" s="48"/>
      <c r="AF667" s="258"/>
      <c r="AG667" s="48"/>
      <c r="AH667" s="48"/>
      <c r="AI667" s="258"/>
      <c r="AJ667" s="258"/>
      <c r="AK667" s="258"/>
      <c r="AL667" s="258"/>
      <c r="AM667" s="212">
        <f>IF(AQ667=1,SUM(Q667:T667,W667:Z667,AC667:AF667,AI667:AL667),
IF(AQ667=2,SUM(P667,S667:V667,Y667:AB667,AE667:AH667,AK667:AL667),
IF(AQ667=3,SUM(P667:R667,U667:X667,AA667:AD667,AG667:AJ667),SUM(Таблица1[[#This Row],[1]:[31]])-Таблица1[[#This Row],[Столбец1]])))</f>
        <v>0</v>
      </c>
      <c r="AN667" s="778">
        <f t="array" ref="AN667">IF(AQ667=1,SUM(P667,U667:V667,AA667:AB667,AG667:AH667),
IF(AQ667=2,SUM(Q667:R667,W667:X667,AC667:AD667,AI667:AJ667),
IF(AQ667=3,SUM(S667:T667,Y667:Z667,AE667:AF667,AK667:AL667),
SUM(IFERROR(WEEKDAY($H$2:$AL$2,2)&gt;5,)*H667:AL667))))+Таблица1[[#This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67" s="292" t="b">
        <f>IF(AR667&lt;=3,(IF((G667="5/24"),((база!$M$6*Таблица1[[#This Row],[сумма]]*Таблица1[[#This Row],[коэф]])),
IF((G667="4/24"),((база!$M$5*Таблица1[[#This Row],[сумма]]*Таблица1[[#This Row],[коэф]])),
IF((G667="3/24"),((база!$M$4*Таблица1[[#This Row],[сумма]]*Таблица1[[#This Row],[коэф]])),
IF((G667="5/16"),((база!$L$6*Таблица1[[#This Row],[сумма]]*Таблица1[[#This Row],[коэф]])),
IF((G667="4/16"),((база!$L$5*Таблица1[[#This Row],[сумма]]*Таблица1[[#This Row],[коэф]])),
IF((G667="3/16"),((база!$L$4*Таблица1[[#This Row],[сумма]]*Таблица1[[#This Row],[коэф]])),
IF((G667="4/4"),((база!$I$5*Таблица1[[#This Row],[сумма]]*Таблица1[[#This Row],[коэф]])),
IF(OR(G667="2/4",G667="3/4"),((база!$I$4*Таблица1[[#This Row],[сумма]]*Таблица1[[#This Row],[коэф]])),
IF((G667="5/8"),((база!$J$6*Таблица1[[#This Row],[сумма]]*Таблица1[[#This Row],[коэф]])),
IF((G667="4/8"),((база!$J$5*Таблица1[[#This Row],[сумма]]*Таблица1[[#This Row],[коэф]])),
IF(OR(G667="3/8",G667="2/8"),((база!$J$4*Таблица1[[#This Row],[сумма]]*Таблица1[[#This Row],[коэф]])))))))))))))),
(IF((G667="5/24"),((база!$M$6*Таблица1[[#This Row],[сумма]]*Таблица1[[#This Row],[коэф]])),
IF(OR(G667="4/24",G667="3/24"),((база!$M$5*Таблица1[[#This Row],[сумма]]*Таблица1[[#This Row],[коэф]])),
IF((G667="5/16"),((база!$L$6*Таблица1[[#This Row],[сумма]]*Таблица1[[#This Row],[коэф]])),
IF(OR(G667="4/16",G667="3/16"),((база!$L$5*Таблица1[[#This Row],[сумма]]*Таблица1[[#This Row],[коэф]])),
IF(OR(G667="2/4",G667="3/4",G667="4/4"),((база!$I$5*Таблица1[[#This Row],[сумма]]*Таблица1[[#This Row],[коэф]])),
IF((G667="5/8"),((база!$J$6*Таблица1[[#This Row],[сумма]]*Таблица1[[#This Row],[коэф]])),
IF(OR(G667="4/8",G667="3/8",G667="2/8"),((база!$J$5*Таблица1[[#This Row],[сумма]]*Таблица1[[#This Row],[коэф]])))))))))))</f>
        <v>0</v>
      </c>
      <c r="AP667" s="730" t="b">
        <f>IF(AR667&lt;=3,(IF((G667="5/24"),((база!$M$6*2*Таблица1[[#This Row],[Столбец1]]*Таблица1[[#This Row],[коэф]])),
IF((G667="4/24"),((база!$M$5*2*Таблица1[[#This Row],[Столбец1]]*Таблица1[[#This Row],[коэф]])),
IF((G667="3/24"),((база!$M$4*2*Таблица1[[#This Row],[Столбец1]]*Таблица1[[#This Row],[коэф]])),
IF((G667="5/16"),((база!$L$6*2*Таблица1[[#This Row],[Столбец1]]*Таблица1[[#This Row],[коэф]])),
IF((G667="4/16"),((база!$L$5*2*Таблица1[[#This Row],[Столбец1]]*Таблица1[[#This Row],[коэф]])),
IF((G667="3/16"),((база!$L$4*2*Таблица1[[#This Row],[Столбец1]]*Таблица1[[#This Row],[коэф]])),
IF((G667="4/4"),((база!$I$5*2*Таблица1[[#This Row],[Столбец1]]*Таблица1[[#This Row],[коэф]])),
IF(OR(G667="2/4",G667="3/4"),((база!$I$4*2*Таблица1[[#This Row],[Столбец1]]*Таблица1[[#This Row],[коэф]])),
IF((G667="5/8"),((база!$J$6*2*Таблица1[[#This Row],[Столбец1]]*Таблица1[[#This Row],[коэф]])),
IF((G667="4/8"),((база!$J$5*2*Таблица1[[#This Row],[Столбец1]]*Таблица1[[#This Row],[коэф]])),
IF(OR(G667="3/8",G667="2/8"),((база!$J$4*2*Таблица1[[#This Row],[Столбец1]]*Таблица1[[#This Row],[коэф]])))))))))))))),
(IF((G667="5/24"),((база!$M$6*2*Таблица1[[#This Row],[Столбец1]]*Таблица1[[#This Row],[коэф]])),
IF(OR(G667="4/24",G667="3/24"),((база!$M$5*2*Таблица1[[#This Row],[Столбец1]]*Таблица1[[#This Row],[коэф]])),
IF((G667="5/16"),((база!$L$6*2*Таблица1[[#This Row],[Столбец1]]*Таблица1[[#This Row],[коэф]])),
IF(OR(G667="4/16",G667="3/16"),((база!$L$5*2*Таблица1[[#This Row],[Столбец1]]*Таблица1[[#This Row],[коэф]])),
IF(OR(G667="2/4",G667="3/4",G667="4/4"),((база!$I$5*2*Таблица1[[#This Row],[Столбец1]]*Таблица1[[#This Row],[коэф]])),
IF((G667="5/8"),((база!$J$6*2*Таблица1[[#This Row],[Столбец1]]*Таблица1[[#This Row],[коэф]])),
IF(OR(G667="4/8",G667="3/8",G667="2/8"),((база!$J$5*2*Таблица1[[#This Row],[Столбец1]]*Таблица1[[#This Row],[коэф]])))))))))))</f>
        <v>0</v>
      </c>
      <c r="AQ667" s="712" t="str">
        <f>IFERROR(INDEX(база!T:T, MATCH(F667,база!Q:Q,0)),"")</f>
        <v/>
      </c>
      <c r="AR667" s="208" t="str">
        <f>IFERROR(INDEX(база!D:D, MATCH(F667,база!B:B,0)),"")</f>
        <v/>
      </c>
      <c r="AS667" s="758" t="str">
        <f>IFERROR(INDEX(база!E:E, MATCH(F667,база!B:B,0)),"")</f>
        <v/>
      </c>
    </row>
    <row r="668" spans="1:45" s="46" customFormat="1" ht="15">
      <c r="A668" s="66" t="str">
        <f t="shared" si="8"/>
        <v>январь</v>
      </c>
      <c r="B668" s="231">
        <v>2024</v>
      </c>
      <c r="C668" s="299"/>
      <c r="D668" s="61"/>
      <c r="E668" s="211"/>
      <c r="F668" s="680"/>
      <c r="G668" s="47"/>
      <c r="H668" s="563"/>
      <c r="I668" s="563"/>
      <c r="J668" s="563"/>
      <c r="K668" s="563"/>
      <c r="L668" s="563"/>
      <c r="M668" s="563"/>
      <c r="N668" s="563"/>
      <c r="O668" s="563"/>
      <c r="P668" s="300"/>
      <c r="Q668" s="563"/>
      <c r="R668" s="563"/>
      <c r="S668" s="563"/>
      <c r="T668" s="563"/>
      <c r="U668" s="563"/>
      <c r="V668" s="563"/>
      <c r="W668" s="563"/>
      <c r="X668" s="563"/>
      <c r="Y668" s="563"/>
      <c r="Z668" s="563"/>
      <c r="AA668" s="563"/>
      <c r="AB668" s="563"/>
      <c r="AC668" s="563"/>
      <c r="AD668" s="48"/>
      <c r="AE668" s="48"/>
      <c r="AF668" s="258"/>
      <c r="AG668" s="48"/>
      <c r="AH668" s="48"/>
      <c r="AI668" s="48"/>
      <c r="AJ668" s="48"/>
      <c r="AK668" s="48"/>
      <c r="AL668" s="51"/>
      <c r="AM668" s="212">
        <f>IF(AQ668=1,SUM(Q668:T668,W668:Z668,AC668:AF668,AI668:AL668),
IF(AQ668=2,SUM(P668,S668:V668,Y668:AB668,AE668:AH668,AK668:AL668),
IF(AQ668=3,SUM(P668:R668,U668:X668,AA668:AD668,AG668:AJ668),SUM(Таблица1[[#This Row],[1]:[31]])-Таблица1[[#This Row],[Столбец1]])))</f>
        <v>0</v>
      </c>
      <c r="AN668" s="778">
        <f t="array" ref="AN668">IF(AQ668=1,SUM(P668,U668:V668,AA668:AB668,AG668:AH668),
IF(AQ668=2,SUM(Q668:R668,W668:X668,AC668:AD668,AI668:AJ668),
IF(AQ668=3,SUM(S668:T668,Y668:Z668,AE668:AF668,AK668:AL668),
SUM(IFERROR(WEEKDAY($H$2:$AL$2,2)&gt;5,)*H668:AL668))))+Таблица1[[#This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68" s="292" t="b">
        <f>IF(AR668&lt;=3,(IF((G668="5/24"),((база!$M$6*Таблица1[[#This Row],[сумма]]*Таблица1[[#This Row],[коэф]])),
IF((G668="4/24"),((база!$M$5*Таблица1[[#This Row],[сумма]]*Таблица1[[#This Row],[коэф]])),
IF((G668="3/24"),((база!$M$4*Таблица1[[#This Row],[сумма]]*Таблица1[[#This Row],[коэф]])),
IF((G668="5/16"),((база!$L$6*Таблица1[[#This Row],[сумма]]*Таблица1[[#This Row],[коэф]])),
IF((G668="4/16"),((база!$L$5*Таблица1[[#This Row],[сумма]]*Таблица1[[#This Row],[коэф]])),
IF((G668="3/16"),((база!$L$4*Таблица1[[#This Row],[сумма]]*Таблица1[[#This Row],[коэф]])),
IF((G668="4/4"),((база!$I$5*Таблица1[[#This Row],[сумма]]*Таблица1[[#This Row],[коэф]])),
IF(OR(G668="2/4",G668="3/4"),((база!$I$4*Таблица1[[#This Row],[сумма]]*Таблица1[[#This Row],[коэф]])),
IF((G668="5/8"),((база!$J$6*Таблица1[[#This Row],[сумма]]*Таблица1[[#This Row],[коэф]])),
IF((G668="4/8"),((база!$J$5*Таблица1[[#This Row],[сумма]]*Таблица1[[#This Row],[коэф]])),
IF(OR(G668="3/8",G668="2/8"),((база!$J$4*Таблица1[[#This Row],[сумма]]*Таблица1[[#This Row],[коэф]])))))))))))))),
(IF((G668="5/24"),((база!$M$6*Таблица1[[#This Row],[сумма]]*Таблица1[[#This Row],[коэф]])),
IF(OR(G668="4/24",G668="3/24"),((база!$M$5*Таблица1[[#This Row],[сумма]]*Таблица1[[#This Row],[коэф]])),
IF((G668="5/16"),((база!$L$6*Таблица1[[#This Row],[сумма]]*Таблица1[[#This Row],[коэф]])),
IF(OR(G668="4/16",G668="3/16"),((база!$L$5*Таблица1[[#This Row],[сумма]]*Таблица1[[#This Row],[коэф]])),
IF(OR(G668="2/4",G668="3/4",G668="4/4"),((база!$I$5*Таблица1[[#This Row],[сумма]]*Таблица1[[#This Row],[коэф]])),
IF((G668="5/8"),((база!$J$6*Таблица1[[#This Row],[сумма]]*Таблица1[[#This Row],[коэф]])),
IF(OR(G668="4/8",G668="3/8",G668="2/8"),((база!$J$5*Таблица1[[#This Row],[сумма]]*Таблица1[[#This Row],[коэф]])))))))))))</f>
        <v>0</v>
      </c>
      <c r="AP668" s="730" t="b">
        <f>IF(AR668&lt;=3,(IF((G668="5/24"),((база!$M$6*2*Таблица1[[#This Row],[Столбец1]]*Таблица1[[#This Row],[коэф]])),
IF((G668="4/24"),((база!$M$5*2*Таблица1[[#This Row],[Столбец1]]*Таблица1[[#This Row],[коэф]])),
IF((G668="3/24"),((база!$M$4*2*Таблица1[[#This Row],[Столбец1]]*Таблица1[[#This Row],[коэф]])),
IF((G668="5/16"),((база!$L$6*2*Таблица1[[#This Row],[Столбец1]]*Таблица1[[#This Row],[коэф]])),
IF((G668="4/16"),((база!$L$5*2*Таблица1[[#This Row],[Столбец1]]*Таблица1[[#This Row],[коэф]])),
IF((G668="3/16"),((база!$L$4*2*Таблица1[[#This Row],[Столбец1]]*Таблица1[[#This Row],[коэф]])),
IF((G668="4/4"),((база!$I$5*2*Таблица1[[#This Row],[Столбец1]]*Таблица1[[#This Row],[коэф]])),
IF(OR(G668="2/4",G668="3/4"),((база!$I$4*2*Таблица1[[#This Row],[Столбец1]]*Таблица1[[#This Row],[коэф]])),
IF((G668="5/8"),((база!$J$6*2*Таблица1[[#This Row],[Столбец1]]*Таблица1[[#This Row],[коэф]])),
IF((G668="4/8"),((база!$J$5*2*Таблица1[[#This Row],[Столбец1]]*Таблица1[[#This Row],[коэф]])),
IF(OR(G668="3/8",G668="2/8"),((база!$J$4*2*Таблица1[[#This Row],[Столбец1]]*Таблица1[[#This Row],[коэф]])))))))))))))),
(IF((G668="5/24"),((база!$M$6*2*Таблица1[[#This Row],[Столбец1]]*Таблица1[[#This Row],[коэф]])),
IF(OR(G668="4/24",G668="3/24"),((база!$M$5*2*Таблица1[[#This Row],[Столбец1]]*Таблица1[[#This Row],[коэф]])),
IF((G668="5/16"),((база!$L$6*2*Таблица1[[#This Row],[Столбец1]]*Таблица1[[#This Row],[коэф]])),
IF(OR(G668="4/16",G668="3/16"),((база!$L$5*2*Таблица1[[#This Row],[Столбец1]]*Таблица1[[#This Row],[коэф]])),
IF(OR(G668="2/4",G668="3/4",G668="4/4"),((база!$I$5*2*Таблица1[[#This Row],[Столбец1]]*Таблица1[[#This Row],[коэф]])),
IF((G668="5/8"),((база!$J$6*2*Таблица1[[#This Row],[Столбец1]]*Таблица1[[#This Row],[коэф]])),
IF(OR(G668="4/8",G668="3/8",G668="2/8"),((база!$J$5*2*Таблица1[[#This Row],[Столбец1]]*Таблица1[[#This Row],[коэф]])))))))))))</f>
        <v>0</v>
      </c>
      <c r="AQ668" s="712" t="str">
        <f>IFERROR(INDEX(база!T:T, MATCH(F668,база!Q:Q,0)),"")</f>
        <v/>
      </c>
      <c r="AR668" s="208" t="str">
        <f>IFERROR(INDEX(база!D:D, MATCH(F668,база!B:B,0)),"")</f>
        <v/>
      </c>
      <c r="AS668" s="758" t="str">
        <f>IFERROR(INDEX(база!E:E, MATCH(F668,база!B:B,0)),"")</f>
        <v/>
      </c>
    </row>
    <row r="669" spans="1:45" s="46" customFormat="1" ht="15">
      <c r="A669" s="66" t="str">
        <f t="shared" si="8"/>
        <v>январь</v>
      </c>
      <c r="B669" s="231">
        <v>2024</v>
      </c>
      <c r="C669" s="60"/>
      <c r="D669" s="61"/>
      <c r="E669" s="211"/>
      <c r="F669" s="680"/>
      <c r="G669" s="47"/>
      <c r="H669" s="563"/>
      <c r="I669" s="563"/>
      <c r="J669" s="563"/>
      <c r="K669" s="563"/>
      <c r="L669" s="563"/>
      <c r="M669" s="563"/>
      <c r="N669" s="563"/>
      <c r="O669" s="563"/>
      <c r="P669" s="300"/>
      <c r="Q669" s="563"/>
      <c r="R669" s="563"/>
      <c r="S669" s="563"/>
      <c r="T669" s="563"/>
      <c r="U669" s="563"/>
      <c r="V669" s="563"/>
      <c r="W669" s="563"/>
      <c r="X669" s="563"/>
      <c r="Y669" s="563"/>
      <c r="Z669" s="563"/>
      <c r="AA669" s="563"/>
      <c r="AB669" s="563"/>
      <c r="AC669" s="563"/>
      <c r="AD669" s="48"/>
      <c r="AE669" s="48"/>
      <c r="AF669" s="258"/>
      <c r="AG669" s="48"/>
      <c r="AH669" s="48"/>
      <c r="AI669" s="258"/>
      <c r="AJ669" s="258"/>
      <c r="AK669" s="258"/>
      <c r="AL669" s="258"/>
      <c r="AM669" s="212">
        <f>IF(AQ669=1,SUM(Q669:T669,W669:Z669,AC669:AF669,AI669:AL669),
IF(AQ669=2,SUM(P669,S669:V669,Y669:AB669,AE669:AH669,AK669:AL669),
IF(AQ669=3,SUM(P669:R669,U669:X669,AA669:AD669,AG669:AJ669),SUM(Таблица1[[#This Row],[1]:[31]])-Таблица1[[#This Row],[Столбец1]])))</f>
        <v>0</v>
      </c>
      <c r="AN669" s="778">
        <f t="array" ref="AN669">IF(AQ669=1,SUM(P669,U669:V669,AA669:AB669,AG669:AH669),
IF(AQ669=2,SUM(Q669:R669,W669:X669,AC669:AD669,AI669:AJ669),
IF(AQ669=3,SUM(S669:T669,Y669:Z669,AE669:AF669,AK669:AL669),
SUM(IFERROR(WEEKDAY($H$2:$AL$2,2)&gt;5,)*H669:AL669))))+Таблица1[[#This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69" s="292" t="b">
        <f>IF(AR669&lt;=3,(IF((G669="5/24"),((база!$M$6*Таблица1[[#This Row],[сумма]]*Таблица1[[#This Row],[коэф]])),
IF((G669="4/24"),((база!$M$5*Таблица1[[#This Row],[сумма]]*Таблица1[[#This Row],[коэф]])),
IF((G669="3/24"),((база!$M$4*Таблица1[[#This Row],[сумма]]*Таблица1[[#This Row],[коэф]])),
IF((G669="5/16"),((база!$L$6*Таблица1[[#This Row],[сумма]]*Таблица1[[#This Row],[коэф]])),
IF((G669="4/16"),((база!$L$5*Таблица1[[#This Row],[сумма]]*Таблица1[[#This Row],[коэф]])),
IF((G669="3/16"),((база!$L$4*Таблица1[[#This Row],[сумма]]*Таблица1[[#This Row],[коэф]])),
IF((G669="4/4"),((база!$I$5*Таблица1[[#This Row],[сумма]]*Таблица1[[#This Row],[коэф]])),
IF(OR(G669="2/4",G669="3/4"),((база!$I$4*Таблица1[[#This Row],[сумма]]*Таблица1[[#This Row],[коэф]])),
IF((G669="5/8"),((база!$J$6*Таблица1[[#This Row],[сумма]]*Таблица1[[#This Row],[коэф]])),
IF((G669="4/8"),((база!$J$5*Таблица1[[#This Row],[сумма]]*Таблица1[[#This Row],[коэф]])),
IF(OR(G669="3/8",G669="2/8"),((база!$J$4*Таблица1[[#This Row],[сумма]]*Таблица1[[#This Row],[коэф]])))))))))))))),
(IF((G669="5/24"),((база!$M$6*Таблица1[[#This Row],[сумма]]*Таблица1[[#This Row],[коэф]])),
IF(OR(G669="4/24",G669="3/24"),((база!$M$5*Таблица1[[#This Row],[сумма]]*Таблица1[[#This Row],[коэф]])),
IF((G669="5/16"),((база!$L$6*Таблица1[[#This Row],[сумма]]*Таблица1[[#This Row],[коэф]])),
IF(OR(G669="4/16",G669="3/16"),((база!$L$5*Таблица1[[#This Row],[сумма]]*Таблица1[[#This Row],[коэф]])),
IF(OR(G669="2/4",G669="3/4",G669="4/4"),((база!$I$5*Таблица1[[#This Row],[сумма]]*Таблица1[[#This Row],[коэф]])),
IF((G669="5/8"),((база!$J$6*Таблица1[[#This Row],[сумма]]*Таблица1[[#This Row],[коэф]])),
IF(OR(G669="4/8",G669="3/8",G669="2/8"),((база!$J$5*Таблица1[[#This Row],[сумма]]*Таблица1[[#This Row],[коэф]])))))))))))</f>
        <v>0</v>
      </c>
      <c r="AP669" s="730" t="b">
        <f>IF(AR669&lt;=3,(IF((G669="5/24"),((база!$M$6*2*Таблица1[[#This Row],[Столбец1]]*Таблица1[[#This Row],[коэф]])),
IF((G669="4/24"),((база!$M$5*2*Таблица1[[#This Row],[Столбец1]]*Таблица1[[#This Row],[коэф]])),
IF((G669="3/24"),((база!$M$4*2*Таблица1[[#This Row],[Столбец1]]*Таблица1[[#This Row],[коэф]])),
IF((G669="5/16"),((база!$L$6*2*Таблица1[[#This Row],[Столбец1]]*Таблица1[[#This Row],[коэф]])),
IF((G669="4/16"),((база!$L$5*2*Таблица1[[#This Row],[Столбец1]]*Таблица1[[#This Row],[коэф]])),
IF((G669="3/16"),((база!$L$4*2*Таблица1[[#This Row],[Столбец1]]*Таблица1[[#This Row],[коэф]])),
IF((G669="4/4"),((база!$I$5*2*Таблица1[[#This Row],[Столбец1]]*Таблица1[[#This Row],[коэф]])),
IF(OR(G669="2/4",G669="3/4"),((база!$I$4*2*Таблица1[[#This Row],[Столбец1]]*Таблица1[[#This Row],[коэф]])),
IF((G669="5/8"),((база!$J$6*2*Таблица1[[#This Row],[Столбец1]]*Таблица1[[#This Row],[коэф]])),
IF((G669="4/8"),((база!$J$5*2*Таблица1[[#This Row],[Столбец1]]*Таблица1[[#This Row],[коэф]])),
IF(OR(G669="3/8",G669="2/8"),((база!$J$4*2*Таблица1[[#This Row],[Столбец1]]*Таблица1[[#This Row],[коэф]])))))))))))))),
(IF((G669="5/24"),((база!$M$6*2*Таблица1[[#This Row],[Столбец1]]*Таблица1[[#This Row],[коэф]])),
IF(OR(G669="4/24",G669="3/24"),((база!$M$5*2*Таблица1[[#This Row],[Столбец1]]*Таблица1[[#This Row],[коэф]])),
IF((G669="5/16"),((база!$L$6*2*Таблица1[[#This Row],[Столбец1]]*Таблица1[[#This Row],[коэф]])),
IF(OR(G669="4/16",G669="3/16"),((база!$L$5*2*Таблица1[[#This Row],[Столбец1]]*Таблица1[[#This Row],[коэф]])),
IF(OR(G669="2/4",G669="3/4",G669="4/4"),((база!$I$5*2*Таблица1[[#This Row],[Столбец1]]*Таблица1[[#This Row],[коэф]])),
IF((G669="5/8"),((база!$J$6*2*Таблица1[[#This Row],[Столбец1]]*Таблица1[[#This Row],[коэф]])),
IF(OR(G669="4/8",G669="3/8",G669="2/8"),((база!$J$5*2*Таблица1[[#This Row],[Столбец1]]*Таблица1[[#This Row],[коэф]])))))))))))</f>
        <v>0</v>
      </c>
      <c r="AQ669" s="712" t="str">
        <f>IFERROR(INDEX(база!T:T, MATCH(F669,база!Q:Q,0)),"")</f>
        <v/>
      </c>
      <c r="AR669" s="208" t="str">
        <f>IFERROR(INDEX(база!D:D, MATCH(F669,база!B:B,0)),"")</f>
        <v/>
      </c>
      <c r="AS669" s="758" t="str">
        <f>IFERROR(INDEX(база!E:E, MATCH(F669,база!B:B,0)),"")</f>
        <v/>
      </c>
    </row>
    <row r="670" spans="1:45" s="46" customFormat="1" ht="15">
      <c r="A670" s="66" t="str">
        <f t="shared" si="8"/>
        <v>январь</v>
      </c>
      <c r="B670" s="231">
        <v>2024</v>
      </c>
      <c r="C670" s="299"/>
      <c r="D670" s="61"/>
      <c r="E670" s="211"/>
      <c r="F670" s="680"/>
      <c r="G670" s="47"/>
      <c r="H670" s="563"/>
      <c r="I670" s="563"/>
      <c r="J670" s="563"/>
      <c r="K670" s="563"/>
      <c r="L670" s="563"/>
      <c r="M670" s="563"/>
      <c r="N670" s="563"/>
      <c r="O670" s="563"/>
      <c r="P670" s="300"/>
      <c r="Q670" s="563"/>
      <c r="R670" s="563"/>
      <c r="S670" s="563"/>
      <c r="T670" s="563"/>
      <c r="U670" s="563"/>
      <c r="V670" s="563"/>
      <c r="W670" s="563"/>
      <c r="X670" s="563"/>
      <c r="Y670" s="563"/>
      <c r="Z670" s="563"/>
      <c r="AA670" s="563"/>
      <c r="AB670" s="563"/>
      <c r="AC670" s="563"/>
      <c r="AD670" s="48"/>
      <c r="AE670" s="48"/>
      <c r="AF670" s="258"/>
      <c r="AG670" s="48"/>
      <c r="AH670" s="48"/>
      <c r="AI670" s="48"/>
      <c r="AJ670" s="48"/>
      <c r="AK670" s="48"/>
      <c r="AL670" s="51"/>
      <c r="AM670" s="212">
        <f>IF(AQ670=1,SUM(Q670:T670,W670:Z670,AC670:AF670,AI670:AL670),
IF(AQ670=2,SUM(P670,S670:V670,Y670:AB670,AE670:AH670,AK670:AL670),
IF(AQ670=3,SUM(P670:R670,U670:X670,AA670:AD670,AG670:AJ670),SUM(Таблица1[[#This Row],[1]:[31]])-Таблица1[[#This Row],[Столбец1]])))</f>
        <v>0</v>
      </c>
      <c r="AN670" s="778">
        <f t="array" ref="AN670">IF(AQ670=1,SUM(P670,U670:V670,AA670:AB670,AG670:AH670),
IF(AQ670=2,SUM(Q670:R670,W670:X670,AC670:AD670,AI670:AJ670),
IF(AQ670=3,SUM(S670:T670,Y670:Z670,AE670:AF670,AK670:AL670),
SUM(IFERROR(WEEKDAY($H$2:$AL$2,2)&gt;5,)*H670:AL670))))+Таблица1[[#This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70" s="292" t="b">
        <f>IF(AR670&lt;=3,(IF((G670="5/24"),((база!$M$6*Таблица1[[#This Row],[сумма]]*Таблица1[[#This Row],[коэф]])),
IF((G670="4/24"),((база!$M$5*Таблица1[[#This Row],[сумма]]*Таблица1[[#This Row],[коэф]])),
IF((G670="3/24"),((база!$M$4*Таблица1[[#This Row],[сумма]]*Таблица1[[#This Row],[коэф]])),
IF((G670="5/16"),((база!$L$6*Таблица1[[#This Row],[сумма]]*Таблица1[[#This Row],[коэф]])),
IF((G670="4/16"),((база!$L$5*Таблица1[[#This Row],[сумма]]*Таблица1[[#This Row],[коэф]])),
IF((G670="3/16"),((база!$L$4*Таблица1[[#This Row],[сумма]]*Таблица1[[#This Row],[коэф]])),
IF((G670="4/4"),((база!$I$5*Таблица1[[#This Row],[сумма]]*Таблица1[[#This Row],[коэф]])),
IF(OR(G670="2/4",G670="3/4"),((база!$I$4*Таблица1[[#This Row],[сумма]]*Таблица1[[#This Row],[коэф]])),
IF((G670="5/8"),((база!$J$6*Таблица1[[#This Row],[сумма]]*Таблица1[[#This Row],[коэф]])),
IF((G670="4/8"),((база!$J$5*Таблица1[[#This Row],[сумма]]*Таблица1[[#This Row],[коэф]])),
IF(OR(G670="3/8",G670="2/8"),((база!$J$4*Таблица1[[#This Row],[сумма]]*Таблица1[[#This Row],[коэф]])))))))))))))),
(IF((G670="5/24"),((база!$M$6*Таблица1[[#This Row],[сумма]]*Таблица1[[#This Row],[коэф]])),
IF(OR(G670="4/24",G670="3/24"),((база!$M$5*Таблица1[[#This Row],[сумма]]*Таблица1[[#This Row],[коэф]])),
IF((G670="5/16"),((база!$L$6*Таблица1[[#This Row],[сумма]]*Таблица1[[#This Row],[коэф]])),
IF(OR(G670="4/16",G670="3/16"),((база!$L$5*Таблица1[[#This Row],[сумма]]*Таблица1[[#This Row],[коэф]])),
IF(OR(G670="2/4",G670="3/4",G670="4/4"),((база!$I$5*Таблица1[[#This Row],[сумма]]*Таблица1[[#This Row],[коэф]])),
IF((G670="5/8"),((база!$J$6*Таблица1[[#This Row],[сумма]]*Таблица1[[#This Row],[коэф]])),
IF(OR(G670="4/8",G670="3/8",G670="2/8"),((база!$J$5*Таблица1[[#This Row],[сумма]]*Таблица1[[#This Row],[коэф]])))))))))))</f>
        <v>0</v>
      </c>
      <c r="AP670" s="730" t="b">
        <f>IF(AR670&lt;=3,(IF((G670="5/24"),((база!$M$6*2*Таблица1[[#This Row],[Столбец1]]*Таблица1[[#This Row],[коэф]])),
IF((G670="4/24"),((база!$M$5*2*Таблица1[[#This Row],[Столбец1]]*Таблица1[[#This Row],[коэф]])),
IF((G670="3/24"),((база!$M$4*2*Таблица1[[#This Row],[Столбец1]]*Таблица1[[#This Row],[коэф]])),
IF((G670="5/16"),((база!$L$6*2*Таблица1[[#This Row],[Столбец1]]*Таблица1[[#This Row],[коэф]])),
IF((G670="4/16"),((база!$L$5*2*Таблица1[[#This Row],[Столбец1]]*Таблица1[[#This Row],[коэф]])),
IF((G670="3/16"),((база!$L$4*2*Таблица1[[#This Row],[Столбец1]]*Таблица1[[#This Row],[коэф]])),
IF((G670="4/4"),((база!$I$5*2*Таблица1[[#This Row],[Столбец1]]*Таблица1[[#This Row],[коэф]])),
IF(OR(G670="2/4",G670="3/4"),((база!$I$4*2*Таблица1[[#This Row],[Столбец1]]*Таблица1[[#This Row],[коэф]])),
IF((G670="5/8"),((база!$J$6*2*Таблица1[[#This Row],[Столбец1]]*Таблица1[[#This Row],[коэф]])),
IF((G670="4/8"),((база!$J$5*2*Таблица1[[#This Row],[Столбец1]]*Таблица1[[#This Row],[коэф]])),
IF(OR(G670="3/8",G670="2/8"),((база!$J$4*2*Таблица1[[#This Row],[Столбец1]]*Таблица1[[#This Row],[коэф]])))))))))))))),
(IF((G670="5/24"),((база!$M$6*2*Таблица1[[#This Row],[Столбец1]]*Таблица1[[#This Row],[коэф]])),
IF(OR(G670="4/24",G670="3/24"),((база!$M$5*2*Таблица1[[#This Row],[Столбец1]]*Таблица1[[#This Row],[коэф]])),
IF((G670="5/16"),((база!$L$6*2*Таблица1[[#This Row],[Столбец1]]*Таблица1[[#This Row],[коэф]])),
IF(OR(G670="4/16",G670="3/16"),((база!$L$5*2*Таблица1[[#This Row],[Столбец1]]*Таблица1[[#This Row],[коэф]])),
IF(OR(G670="2/4",G670="3/4",G670="4/4"),((база!$I$5*2*Таблица1[[#This Row],[Столбец1]]*Таблица1[[#This Row],[коэф]])),
IF((G670="5/8"),((база!$J$6*2*Таблица1[[#This Row],[Столбец1]]*Таблица1[[#This Row],[коэф]])),
IF(OR(G670="4/8",G670="3/8",G670="2/8"),((база!$J$5*2*Таблица1[[#This Row],[Столбец1]]*Таблица1[[#This Row],[коэф]])))))))))))</f>
        <v>0</v>
      </c>
      <c r="AQ670" s="712" t="str">
        <f>IFERROR(INDEX(база!T:T, MATCH(F670,база!Q:Q,0)),"")</f>
        <v/>
      </c>
      <c r="AR670" s="208" t="str">
        <f>IFERROR(INDEX(база!D:D, MATCH(F670,база!B:B,0)),"")</f>
        <v/>
      </c>
      <c r="AS670" s="758" t="str">
        <f>IFERROR(INDEX(база!E:E, MATCH(F670,база!B:B,0)),"")</f>
        <v/>
      </c>
    </row>
    <row r="671" spans="1:45" s="46" customFormat="1" ht="15">
      <c r="A671" s="66" t="str">
        <f t="shared" si="8"/>
        <v>январь</v>
      </c>
      <c r="B671" s="231">
        <v>2024</v>
      </c>
      <c r="C671" s="299"/>
      <c r="D671" s="61"/>
      <c r="E671" s="211"/>
      <c r="F671" s="680"/>
      <c r="G671" s="47"/>
      <c r="H671" s="563"/>
      <c r="I671" s="563"/>
      <c r="J671" s="563"/>
      <c r="K671" s="563"/>
      <c r="L671" s="563"/>
      <c r="M671" s="563"/>
      <c r="N671" s="563"/>
      <c r="O671" s="563"/>
      <c r="P671" s="300"/>
      <c r="Q671" s="563"/>
      <c r="R671" s="563"/>
      <c r="S671" s="563"/>
      <c r="T671" s="563"/>
      <c r="U671" s="563"/>
      <c r="V671" s="563"/>
      <c r="W671" s="563"/>
      <c r="X671" s="563"/>
      <c r="Y671" s="563"/>
      <c r="Z671" s="563"/>
      <c r="AA671" s="563"/>
      <c r="AB671" s="563"/>
      <c r="AC671" s="563"/>
      <c r="AD671" s="48"/>
      <c r="AE671" s="48"/>
      <c r="AF671" s="258"/>
      <c r="AG671" s="48"/>
      <c r="AH671" s="48"/>
      <c r="AI671" s="258"/>
      <c r="AJ671" s="258"/>
      <c r="AK671" s="258"/>
      <c r="AL671" s="258"/>
      <c r="AM671" s="212">
        <f>IF(AQ671=1,SUM(Q671:T671,W671:Z671,AC671:AF671,AI671:AL671),
IF(AQ671=2,SUM(P671,S671:V671,Y671:AB671,AE671:AH671,AK671:AL671),
IF(AQ671=3,SUM(P671:R671,U671:X671,AA671:AD671,AG671:AJ671),SUM(Таблица1[[#This Row],[1]:[31]])-Таблица1[[#This Row],[Столбец1]])))</f>
        <v>0</v>
      </c>
      <c r="AN671" s="778">
        <f t="array" ref="AN671">IF(AQ671=1,SUM(P671,U671:V671,AA671:AB671,AG671:AH671),
IF(AQ671=2,SUM(Q671:R671,W671:X671,AC671:AD671,AI671:AJ671),
IF(AQ671=3,SUM(S671:T671,Y671:Z671,AE671:AF671,AK671:AL671),
SUM(IFERROR(WEEKDAY($H$2:$AL$2,2)&gt;5,)*H671:AL671))))+Таблица1[[#This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71" s="292" t="b">
        <f>IF(AR671&lt;=3,(IF((G671="5/24"),((база!$M$6*Таблица1[[#This Row],[сумма]]*Таблица1[[#This Row],[коэф]])),
IF((G671="4/24"),((база!$M$5*Таблица1[[#This Row],[сумма]]*Таблица1[[#This Row],[коэф]])),
IF((G671="3/24"),((база!$M$4*Таблица1[[#This Row],[сумма]]*Таблица1[[#This Row],[коэф]])),
IF((G671="5/16"),((база!$L$6*Таблица1[[#This Row],[сумма]]*Таблица1[[#This Row],[коэф]])),
IF((G671="4/16"),((база!$L$5*Таблица1[[#This Row],[сумма]]*Таблица1[[#This Row],[коэф]])),
IF((G671="3/16"),((база!$L$4*Таблица1[[#This Row],[сумма]]*Таблица1[[#This Row],[коэф]])),
IF((G671="4/4"),((база!$I$5*Таблица1[[#This Row],[сумма]]*Таблица1[[#This Row],[коэф]])),
IF(OR(G671="2/4",G671="3/4"),((база!$I$4*Таблица1[[#This Row],[сумма]]*Таблица1[[#This Row],[коэф]])),
IF((G671="5/8"),((база!$J$6*Таблица1[[#This Row],[сумма]]*Таблица1[[#This Row],[коэф]])),
IF((G671="4/8"),((база!$J$5*Таблица1[[#This Row],[сумма]]*Таблица1[[#This Row],[коэф]])),
IF(OR(G671="3/8",G671="2/8"),((база!$J$4*Таблица1[[#This Row],[сумма]]*Таблица1[[#This Row],[коэф]])))))))))))))),
(IF((G671="5/24"),((база!$M$6*Таблица1[[#This Row],[сумма]]*Таблица1[[#This Row],[коэф]])),
IF(OR(G671="4/24",G671="3/24"),((база!$M$5*Таблица1[[#This Row],[сумма]]*Таблица1[[#This Row],[коэф]])),
IF((G671="5/16"),((база!$L$6*Таблица1[[#This Row],[сумма]]*Таблица1[[#This Row],[коэф]])),
IF(OR(G671="4/16",G671="3/16"),((база!$L$5*Таблица1[[#This Row],[сумма]]*Таблица1[[#This Row],[коэф]])),
IF(OR(G671="2/4",G671="3/4",G671="4/4"),((база!$I$5*Таблица1[[#This Row],[сумма]]*Таблица1[[#This Row],[коэф]])),
IF((G671="5/8"),((база!$J$6*Таблица1[[#This Row],[сумма]]*Таблица1[[#This Row],[коэф]])),
IF(OR(G671="4/8",G671="3/8",G671="2/8"),((база!$J$5*Таблица1[[#This Row],[сумма]]*Таблица1[[#This Row],[коэф]])))))))))))</f>
        <v>0</v>
      </c>
      <c r="AP671" s="730" t="b">
        <f>IF(AR671&lt;=3,(IF((G671="5/24"),((база!$M$6*2*Таблица1[[#This Row],[Столбец1]]*Таблица1[[#This Row],[коэф]])),
IF((G671="4/24"),((база!$M$5*2*Таблица1[[#This Row],[Столбец1]]*Таблица1[[#This Row],[коэф]])),
IF((G671="3/24"),((база!$M$4*2*Таблица1[[#This Row],[Столбец1]]*Таблица1[[#This Row],[коэф]])),
IF((G671="5/16"),((база!$L$6*2*Таблица1[[#This Row],[Столбец1]]*Таблица1[[#This Row],[коэф]])),
IF((G671="4/16"),((база!$L$5*2*Таблица1[[#This Row],[Столбец1]]*Таблица1[[#This Row],[коэф]])),
IF((G671="3/16"),((база!$L$4*2*Таблица1[[#This Row],[Столбец1]]*Таблица1[[#This Row],[коэф]])),
IF((G671="4/4"),((база!$I$5*2*Таблица1[[#This Row],[Столбец1]]*Таблица1[[#This Row],[коэф]])),
IF(OR(G671="2/4",G671="3/4"),((база!$I$4*2*Таблица1[[#This Row],[Столбец1]]*Таблица1[[#This Row],[коэф]])),
IF((G671="5/8"),((база!$J$6*2*Таблица1[[#This Row],[Столбец1]]*Таблица1[[#This Row],[коэф]])),
IF((G671="4/8"),((база!$J$5*2*Таблица1[[#This Row],[Столбец1]]*Таблица1[[#This Row],[коэф]])),
IF(OR(G671="3/8",G671="2/8"),((база!$J$4*2*Таблица1[[#This Row],[Столбец1]]*Таблица1[[#This Row],[коэф]])))))))))))))),
(IF((G671="5/24"),((база!$M$6*2*Таблица1[[#This Row],[Столбец1]]*Таблица1[[#This Row],[коэф]])),
IF(OR(G671="4/24",G671="3/24"),((база!$M$5*2*Таблица1[[#This Row],[Столбец1]]*Таблица1[[#This Row],[коэф]])),
IF((G671="5/16"),((база!$L$6*2*Таблица1[[#This Row],[Столбец1]]*Таблица1[[#This Row],[коэф]])),
IF(OR(G671="4/16",G671="3/16"),((база!$L$5*2*Таблица1[[#This Row],[Столбец1]]*Таблица1[[#This Row],[коэф]])),
IF(OR(G671="2/4",G671="3/4",G671="4/4"),((база!$I$5*2*Таблица1[[#This Row],[Столбец1]]*Таблица1[[#This Row],[коэф]])),
IF((G671="5/8"),((база!$J$6*2*Таблица1[[#This Row],[Столбец1]]*Таблица1[[#This Row],[коэф]])),
IF(OR(G671="4/8",G671="3/8",G671="2/8"),((база!$J$5*2*Таблица1[[#This Row],[Столбец1]]*Таблица1[[#This Row],[коэф]])))))))))))</f>
        <v>0</v>
      </c>
      <c r="AQ671" s="712" t="str">
        <f>IFERROR(INDEX(база!T:T, MATCH(F671,база!Q:Q,0)),"")</f>
        <v/>
      </c>
      <c r="AR671" s="208" t="str">
        <f>IFERROR(INDEX(база!D:D, MATCH(F671,база!B:B,0)),"")</f>
        <v/>
      </c>
      <c r="AS671" s="758" t="str">
        <f>IFERROR(INDEX(база!E:E, MATCH(F671,база!B:B,0)),"")</f>
        <v/>
      </c>
    </row>
    <row r="672" spans="1:45" s="46" customFormat="1" ht="15">
      <c r="A672" s="66" t="str">
        <f t="shared" si="8"/>
        <v>январь</v>
      </c>
      <c r="B672" s="231">
        <v>2024</v>
      </c>
      <c r="C672" s="299"/>
      <c r="D672" s="61"/>
      <c r="E672" s="211"/>
      <c r="F672" s="680"/>
      <c r="G672" s="47"/>
      <c r="H672" s="563"/>
      <c r="I672" s="563"/>
      <c r="J672" s="563"/>
      <c r="K672" s="563"/>
      <c r="L672" s="563"/>
      <c r="M672" s="563"/>
      <c r="N672" s="563"/>
      <c r="O672" s="563"/>
      <c r="P672" s="300"/>
      <c r="Q672" s="563"/>
      <c r="R672" s="563"/>
      <c r="S672" s="563"/>
      <c r="T672" s="563"/>
      <c r="U672" s="563"/>
      <c r="V672" s="563"/>
      <c r="W672" s="563"/>
      <c r="X672" s="563"/>
      <c r="Y672" s="563"/>
      <c r="Z672" s="563"/>
      <c r="AA672" s="563"/>
      <c r="AB672" s="563"/>
      <c r="AC672" s="563"/>
      <c r="AD672" s="48"/>
      <c r="AE672" s="48"/>
      <c r="AF672" s="258"/>
      <c r="AG672" s="48"/>
      <c r="AH672" s="48"/>
      <c r="AI672" s="48"/>
      <c r="AJ672" s="48"/>
      <c r="AK672" s="48"/>
      <c r="AL672" s="51"/>
      <c r="AM672" s="212">
        <f>IF(AQ672=1,SUM(Q672:T672,W672:Z672,AC672:AF672,AI672:AL672),
IF(AQ672=2,SUM(P672,S672:V672,Y672:AB672,AE672:AH672,AK672:AL672),
IF(AQ672=3,SUM(P672:R672,U672:X672,AA672:AD672,AG672:AJ672),SUM(Таблица1[[#This Row],[1]:[31]])-Таблица1[[#This Row],[Столбец1]])))</f>
        <v>0</v>
      </c>
      <c r="AN672" s="778">
        <f t="array" ref="AN672">IF(AQ672=1,SUM(P672,U672:V672,AA672:AB672,AG672:AH672),
IF(AQ672=2,SUM(Q672:R672,W672:X672,AC672:AD672,AI672:AJ672),
IF(AQ672=3,SUM(S672:T672,Y672:Z672,AE672:AF672,AK672:AL672),
SUM(IFERROR(WEEKDAY($H$2:$AL$2,2)&gt;5,)*H672:AL672))))+Таблица1[[#This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72" s="292" t="b">
        <f>IF(AR672&lt;=3,(IF((G672="5/24"),((база!$M$6*Таблица1[[#This Row],[сумма]]*Таблица1[[#This Row],[коэф]])),
IF((G672="4/24"),((база!$M$5*Таблица1[[#This Row],[сумма]]*Таблица1[[#This Row],[коэф]])),
IF((G672="3/24"),((база!$M$4*Таблица1[[#This Row],[сумма]]*Таблица1[[#This Row],[коэф]])),
IF((G672="5/16"),((база!$L$6*Таблица1[[#This Row],[сумма]]*Таблица1[[#This Row],[коэф]])),
IF((G672="4/16"),((база!$L$5*Таблица1[[#This Row],[сумма]]*Таблица1[[#This Row],[коэф]])),
IF((G672="3/16"),((база!$L$4*Таблица1[[#This Row],[сумма]]*Таблица1[[#This Row],[коэф]])),
IF((G672="4/4"),((база!$I$5*Таблица1[[#This Row],[сумма]]*Таблица1[[#This Row],[коэф]])),
IF(OR(G672="2/4",G672="3/4"),((база!$I$4*Таблица1[[#This Row],[сумма]]*Таблица1[[#This Row],[коэф]])),
IF((G672="5/8"),((база!$J$6*Таблица1[[#This Row],[сумма]]*Таблица1[[#This Row],[коэф]])),
IF((G672="4/8"),((база!$J$5*Таблица1[[#This Row],[сумма]]*Таблица1[[#This Row],[коэф]])),
IF(OR(G672="3/8",G672="2/8"),((база!$J$4*Таблица1[[#This Row],[сумма]]*Таблица1[[#This Row],[коэф]])))))))))))))),
(IF((G672="5/24"),((база!$M$6*Таблица1[[#This Row],[сумма]]*Таблица1[[#This Row],[коэф]])),
IF(OR(G672="4/24",G672="3/24"),((база!$M$5*Таблица1[[#This Row],[сумма]]*Таблица1[[#This Row],[коэф]])),
IF((G672="5/16"),((база!$L$6*Таблица1[[#This Row],[сумма]]*Таблица1[[#This Row],[коэф]])),
IF(OR(G672="4/16",G672="3/16"),((база!$L$5*Таблица1[[#This Row],[сумма]]*Таблица1[[#This Row],[коэф]])),
IF(OR(G672="2/4",G672="3/4",G672="4/4"),((база!$I$5*Таблица1[[#This Row],[сумма]]*Таблица1[[#This Row],[коэф]])),
IF((G672="5/8"),((база!$J$6*Таблица1[[#This Row],[сумма]]*Таблица1[[#This Row],[коэф]])),
IF(OR(G672="4/8",G672="3/8",G672="2/8"),((база!$J$5*Таблица1[[#This Row],[сумма]]*Таблица1[[#This Row],[коэф]])))))))))))</f>
        <v>0</v>
      </c>
      <c r="AP672" s="730" t="b">
        <f>IF(AR672&lt;=3,(IF((G672="5/24"),((база!$M$6*2*Таблица1[[#This Row],[Столбец1]]*Таблица1[[#This Row],[коэф]])),
IF((G672="4/24"),((база!$M$5*2*Таблица1[[#This Row],[Столбец1]]*Таблица1[[#This Row],[коэф]])),
IF((G672="3/24"),((база!$M$4*2*Таблица1[[#This Row],[Столбец1]]*Таблица1[[#This Row],[коэф]])),
IF((G672="5/16"),((база!$L$6*2*Таблица1[[#This Row],[Столбец1]]*Таблица1[[#This Row],[коэф]])),
IF((G672="4/16"),((база!$L$5*2*Таблица1[[#This Row],[Столбец1]]*Таблица1[[#This Row],[коэф]])),
IF((G672="3/16"),((база!$L$4*2*Таблица1[[#This Row],[Столбец1]]*Таблица1[[#This Row],[коэф]])),
IF((G672="4/4"),((база!$I$5*2*Таблица1[[#This Row],[Столбец1]]*Таблица1[[#This Row],[коэф]])),
IF(OR(G672="2/4",G672="3/4"),((база!$I$4*2*Таблица1[[#This Row],[Столбец1]]*Таблица1[[#This Row],[коэф]])),
IF((G672="5/8"),((база!$J$6*2*Таблица1[[#This Row],[Столбец1]]*Таблица1[[#This Row],[коэф]])),
IF((G672="4/8"),((база!$J$5*2*Таблица1[[#This Row],[Столбец1]]*Таблица1[[#This Row],[коэф]])),
IF(OR(G672="3/8",G672="2/8"),((база!$J$4*2*Таблица1[[#This Row],[Столбец1]]*Таблица1[[#This Row],[коэф]])))))))))))))),
(IF((G672="5/24"),((база!$M$6*2*Таблица1[[#This Row],[Столбец1]]*Таблица1[[#This Row],[коэф]])),
IF(OR(G672="4/24",G672="3/24"),((база!$M$5*2*Таблица1[[#This Row],[Столбец1]]*Таблица1[[#This Row],[коэф]])),
IF((G672="5/16"),((база!$L$6*2*Таблица1[[#This Row],[Столбец1]]*Таблица1[[#This Row],[коэф]])),
IF(OR(G672="4/16",G672="3/16"),((база!$L$5*2*Таблица1[[#This Row],[Столбец1]]*Таблица1[[#This Row],[коэф]])),
IF(OR(G672="2/4",G672="3/4",G672="4/4"),((база!$I$5*2*Таблица1[[#This Row],[Столбец1]]*Таблица1[[#This Row],[коэф]])),
IF((G672="5/8"),((база!$J$6*2*Таблица1[[#This Row],[Столбец1]]*Таблица1[[#This Row],[коэф]])),
IF(OR(G672="4/8",G672="3/8",G672="2/8"),((база!$J$5*2*Таблица1[[#This Row],[Столбец1]]*Таблица1[[#This Row],[коэф]])))))))))))</f>
        <v>0</v>
      </c>
      <c r="AQ672" s="712" t="str">
        <f>IFERROR(INDEX(база!T:T, MATCH(F672,база!Q:Q,0)),"")</f>
        <v/>
      </c>
      <c r="AR672" s="208" t="str">
        <f>IFERROR(INDEX(база!D:D, MATCH(F672,база!B:B,0)),"")</f>
        <v/>
      </c>
      <c r="AS672" s="758" t="str">
        <f>IFERROR(INDEX(база!E:E, MATCH(F672,база!B:B,0)),"")</f>
        <v/>
      </c>
    </row>
    <row r="673" spans="1:45" s="46" customFormat="1" ht="15">
      <c r="A673" s="66" t="str">
        <f t="shared" si="8"/>
        <v>январь</v>
      </c>
      <c r="B673" s="231">
        <v>2024</v>
      </c>
      <c r="C673" s="299"/>
      <c r="D673" s="61"/>
      <c r="E673" s="211"/>
      <c r="F673" s="680"/>
      <c r="G673" s="47"/>
      <c r="H673" s="563"/>
      <c r="I673" s="563"/>
      <c r="J673" s="563"/>
      <c r="K673" s="563"/>
      <c r="L673" s="563"/>
      <c r="M673" s="563"/>
      <c r="N673" s="563"/>
      <c r="O673" s="563"/>
      <c r="P673" s="300"/>
      <c r="Q673" s="563"/>
      <c r="R673" s="563"/>
      <c r="S673" s="563"/>
      <c r="T673" s="563"/>
      <c r="U673" s="563"/>
      <c r="V673" s="563"/>
      <c r="W673" s="563"/>
      <c r="X673" s="563"/>
      <c r="Y673" s="563"/>
      <c r="Z673" s="563"/>
      <c r="AA673" s="563"/>
      <c r="AB673" s="563"/>
      <c r="AC673" s="563"/>
      <c r="AD673" s="48"/>
      <c r="AE673" s="48"/>
      <c r="AF673" s="258"/>
      <c r="AG673" s="48"/>
      <c r="AH673" s="48"/>
      <c r="AI673" s="258"/>
      <c r="AJ673" s="258"/>
      <c r="AK673" s="258"/>
      <c r="AL673" s="258"/>
      <c r="AM673" s="212">
        <f>IF(AQ673=1,SUM(Q673:T673,W673:Z673,AC673:AF673,AI673:AL673),
IF(AQ673=2,SUM(P673,S673:V673,Y673:AB673,AE673:AH673,AK673:AL673),
IF(AQ673=3,SUM(P673:R673,U673:X673,AA673:AD673,AG673:AJ673),SUM(Таблица1[[#This Row],[1]:[31]])-Таблица1[[#This Row],[Столбец1]])))</f>
        <v>0</v>
      </c>
      <c r="AN673" s="778">
        <f t="array" ref="AN673">IF(AQ673=1,SUM(P673,U673:V673,AA673:AB673,AG673:AH673),
IF(AQ673=2,SUM(Q673:R673,W673:X673,AC673:AD673,AI673:AJ673),
IF(AQ673=3,SUM(S673:T673,Y673:Z673,AE673:AF673,AK673:AL673),
SUM(IFERROR(WEEKDAY($H$2:$AL$2,2)&gt;5,)*H673:AL673))))+Таблица1[[#This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73" s="292" t="b">
        <f>IF(AR673&lt;=3,(IF((G673="5/24"),((база!$M$6*Таблица1[[#This Row],[сумма]]*Таблица1[[#This Row],[коэф]])),
IF((G673="4/24"),((база!$M$5*Таблица1[[#This Row],[сумма]]*Таблица1[[#This Row],[коэф]])),
IF((G673="3/24"),((база!$M$4*Таблица1[[#This Row],[сумма]]*Таблица1[[#This Row],[коэф]])),
IF((G673="5/16"),((база!$L$6*Таблица1[[#This Row],[сумма]]*Таблица1[[#This Row],[коэф]])),
IF((G673="4/16"),((база!$L$5*Таблица1[[#This Row],[сумма]]*Таблица1[[#This Row],[коэф]])),
IF((G673="3/16"),((база!$L$4*Таблица1[[#This Row],[сумма]]*Таблица1[[#This Row],[коэф]])),
IF((G673="4/4"),((база!$I$5*Таблица1[[#This Row],[сумма]]*Таблица1[[#This Row],[коэф]])),
IF(OR(G673="2/4",G673="3/4"),((база!$I$4*Таблица1[[#This Row],[сумма]]*Таблица1[[#This Row],[коэф]])),
IF((G673="5/8"),((база!$J$6*Таблица1[[#This Row],[сумма]]*Таблица1[[#This Row],[коэф]])),
IF((G673="4/8"),((база!$J$5*Таблица1[[#This Row],[сумма]]*Таблица1[[#This Row],[коэф]])),
IF(OR(G673="3/8",G673="2/8"),((база!$J$4*Таблица1[[#This Row],[сумма]]*Таблица1[[#This Row],[коэф]])))))))))))))),
(IF((G673="5/24"),((база!$M$6*Таблица1[[#This Row],[сумма]]*Таблица1[[#This Row],[коэф]])),
IF(OR(G673="4/24",G673="3/24"),((база!$M$5*Таблица1[[#This Row],[сумма]]*Таблица1[[#This Row],[коэф]])),
IF((G673="5/16"),((база!$L$6*Таблица1[[#This Row],[сумма]]*Таблица1[[#This Row],[коэф]])),
IF(OR(G673="4/16",G673="3/16"),((база!$L$5*Таблица1[[#This Row],[сумма]]*Таблица1[[#This Row],[коэф]])),
IF(OR(G673="2/4",G673="3/4",G673="4/4"),((база!$I$5*Таблица1[[#This Row],[сумма]]*Таблица1[[#This Row],[коэф]])),
IF((G673="5/8"),((база!$J$6*Таблица1[[#This Row],[сумма]]*Таблица1[[#This Row],[коэф]])),
IF(OR(G673="4/8",G673="3/8",G673="2/8"),((база!$J$5*Таблица1[[#This Row],[сумма]]*Таблица1[[#This Row],[коэф]])))))))))))</f>
        <v>0</v>
      </c>
      <c r="AP673" s="730" t="b">
        <f>IF(AR673&lt;=3,(IF((G673="5/24"),((база!$M$6*2*Таблица1[[#This Row],[Столбец1]]*Таблица1[[#This Row],[коэф]])),
IF((G673="4/24"),((база!$M$5*2*Таблица1[[#This Row],[Столбец1]]*Таблица1[[#This Row],[коэф]])),
IF((G673="3/24"),((база!$M$4*2*Таблица1[[#This Row],[Столбец1]]*Таблица1[[#This Row],[коэф]])),
IF((G673="5/16"),((база!$L$6*2*Таблица1[[#This Row],[Столбец1]]*Таблица1[[#This Row],[коэф]])),
IF((G673="4/16"),((база!$L$5*2*Таблица1[[#This Row],[Столбец1]]*Таблица1[[#This Row],[коэф]])),
IF((G673="3/16"),((база!$L$4*2*Таблица1[[#This Row],[Столбец1]]*Таблица1[[#This Row],[коэф]])),
IF((G673="4/4"),((база!$I$5*2*Таблица1[[#This Row],[Столбец1]]*Таблица1[[#This Row],[коэф]])),
IF(OR(G673="2/4",G673="3/4"),((база!$I$4*2*Таблица1[[#This Row],[Столбец1]]*Таблица1[[#This Row],[коэф]])),
IF((G673="5/8"),((база!$J$6*2*Таблица1[[#This Row],[Столбец1]]*Таблица1[[#This Row],[коэф]])),
IF((G673="4/8"),((база!$J$5*2*Таблица1[[#This Row],[Столбец1]]*Таблица1[[#This Row],[коэф]])),
IF(OR(G673="3/8",G673="2/8"),((база!$J$4*2*Таблица1[[#This Row],[Столбец1]]*Таблица1[[#This Row],[коэф]])))))))))))))),
(IF((G673="5/24"),((база!$M$6*2*Таблица1[[#This Row],[Столбец1]]*Таблица1[[#This Row],[коэф]])),
IF(OR(G673="4/24",G673="3/24"),((база!$M$5*2*Таблица1[[#This Row],[Столбец1]]*Таблица1[[#This Row],[коэф]])),
IF((G673="5/16"),((база!$L$6*2*Таблица1[[#This Row],[Столбец1]]*Таблица1[[#This Row],[коэф]])),
IF(OR(G673="4/16",G673="3/16"),((база!$L$5*2*Таблица1[[#This Row],[Столбец1]]*Таблица1[[#This Row],[коэф]])),
IF(OR(G673="2/4",G673="3/4",G673="4/4"),((база!$I$5*2*Таблица1[[#This Row],[Столбец1]]*Таблица1[[#This Row],[коэф]])),
IF((G673="5/8"),((база!$J$6*2*Таблица1[[#This Row],[Столбец1]]*Таблица1[[#This Row],[коэф]])),
IF(OR(G673="4/8",G673="3/8",G673="2/8"),((база!$J$5*2*Таблица1[[#This Row],[Столбец1]]*Таблица1[[#This Row],[коэф]])))))))))))</f>
        <v>0</v>
      </c>
      <c r="AQ673" s="712" t="str">
        <f>IFERROR(INDEX(база!T:T, MATCH(F673,база!Q:Q,0)),"")</f>
        <v/>
      </c>
      <c r="AR673" s="208" t="str">
        <f>IFERROR(INDEX(база!D:D, MATCH(F673,база!B:B,0)),"")</f>
        <v/>
      </c>
      <c r="AS673" s="758" t="str">
        <f>IFERROR(INDEX(база!E:E, MATCH(F673,база!B:B,0)),"")</f>
        <v/>
      </c>
    </row>
    <row r="674" spans="1:45" s="46" customFormat="1" ht="15">
      <c r="A674" s="66" t="str">
        <f t="shared" si="8"/>
        <v>январь</v>
      </c>
      <c r="B674" s="231">
        <v>2024</v>
      </c>
      <c r="C674" s="299"/>
      <c r="D674" s="61"/>
      <c r="E674" s="211"/>
      <c r="F674" s="680"/>
      <c r="G674" s="47"/>
      <c r="H674" s="563"/>
      <c r="I674" s="563"/>
      <c r="J674" s="563"/>
      <c r="K674" s="563"/>
      <c r="L674" s="563"/>
      <c r="M674" s="563"/>
      <c r="N674" s="563"/>
      <c r="O674" s="563"/>
      <c r="P674" s="300"/>
      <c r="Q674" s="563"/>
      <c r="R674" s="563"/>
      <c r="S674" s="563"/>
      <c r="T674" s="563"/>
      <c r="U674" s="563"/>
      <c r="V674" s="563"/>
      <c r="W674" s="563"/>
      <c r="X674" s="563"/>
      <c r="Y674" s="563"/>
      <c r="Z674" s="563"/>
      <c r="AA674" s="563"/>
      <c r="AB674" s="563"/>
      <c r="AC674" s="563"/>
      <c r="AD674" s="48"/>
      <c r="AE674" s="48"/>
      <c r="AF674" s="258"/>
      <c r="AG674" s="48"/>
      <c r="AH674" s="48"/>
      <c r="AI674" s="48"/>
      <c r="AJ674" s="48"/>
      <c r="AK674" s="48"/>
      <c r="AL674" s="51"/>
      <c r="AM674" s="212">
        <f>IF(AQ674=1,SUM(Q674:T674,W674:Z674,AC674:AF674,AI674:AL674),
IF(AQ674=2,SUM(P674,S674:V674,Y674:AB674,AE674:AH674,AK674:AL674),
IF(AQ674=3,SUM(P674:R674,U674:X674,AA674:AD674,AG674:AJ674),SUM(Таблица1[[#This Row],[1]:[31]])-Таблица1[[#This Row],[Столбец1]])))</f>
        <v>0</v>
      </c>
      <c r="AN674" s="778">
        <f t="array" ref="AN674">IF(AQ674=1,SUM(P674,U674:V674,AA674:AB674,AG674:AH674),
IF(AQ674=2,SUM(Q674:R674,W674:X674,AC674:AD674,AI674:AJ674),
IF(AQ674=3,SUM(S674:T674,Y674:Z674,AE674:AF674,AK674:AL674),
SUM(IFERROR(WEEKDAY($H$2:$AL$2,2)&gt;5,)*H674:AL674))))+Таблица1[[#This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74" s="292" t="b">
        <f>IF(AR674&lt;=3,(IF((G674="5/24"),((база!$M$6*Таблица1[[#This Row],[сумма]]*Таблица1[[#This Row],[коэф]])),
IF((G674="4/24"),((база!$M$5*Таблица1[[#This Row],[сумма]]*Таблица1[[#This Row],[коэф]])),
IF((G674="3/24"),((база!$M$4*Таблица1[[#This Row],[сумма]]*Таблица1[[#This Row],[коэф]])),
IF((G674="5/16"),((база!$L$6*Таблица1[[#This Row],[сумма]]*Таблица1[[#This Row],[коэф]])),
IF((G674="4/16"),((база!$L$5*Таблица1[[#This Row],[сумма]]*Таблица1[[#This Row],[коэф]])),
IF((G674="3/16"),((база!$L$4*Таблица1[[#This Row],[сумма]]*Таблица1[[#This Row],[коэф]])),
IF((G674="4/4"),((база!$I$5*Таблица1[[#This Row],[сумма]]*Таблица1[[#This Row],[коэф]])),
IF(OR(G674="2/4",G674="3/4"),((база!$I$4*Таблица1[[#This Row],[сумма]]*Таблица1[[#This Row],[коэф]])),
IF((G674="5/8"),((база!$J$6*Таблица1[[#This Row],[сумма]]*Таблица1[[#This Row],[коэф]])),
IF((G674="4/8"),((база!$J$5*Таблица1[[#This Row],[сумма]]*Таблица1[[#This Row],[коэф]])),
IF(OR(G674="3/8",G674="2/8"),((база!$J$4*Таблица1[[#This Row],[сумма]]*Таблица1[[#This Row],[коэф]])))))))))))))),
(IF((G674="5/24"),((база!$M$6*Таблица1[[#This Row],[сумма]]*Таблица1[[#This Row],[коэф]])),
IF(OR(G674="4/24",G674="3/24"),((база!$M$5*Таблица1[[#This Row],[сумма]]*Таблица1[[#This Row],[коэф]])),
IF((G674="5/16"),((база!$L$6*Таблица1[[#This Row],[сумма]]*Таблица1[[#This Row],[коэф]])),
IF(OR(G674="4/16",G674="3/16"),((база!$L$5*Таблица1[[#This Row],[сумма]]*Таблица1[[#This Row],[коэф]])),
IF(OR(G674="2/4",G674="3/4",G674="4/4"),((база!$I$5*Таблица1[[#This Row],[сумма]]*Таблица1[[#This Row],[коэф]])),
IF((G674="5/8"),((база!$J$6*Таблица1[[#This Row],[сумма]]*Таблица1[[#This Row],[коэф]])),
IF(OR(G674="4/8",G674="3/8",G674="2/8"),((база!$J$5*Таблица1[[#This Row],[сумма]]*Таблица1[[#This Row],[коэф]])))))))))))</f>
        <v>0</v>
      </c>
      <c r="AP674" s="730" t="b">
        <f>IF(AR674&lt;=3,(IF((G674="5/24"),((база!$M$6*2*Таблица1[[#This Row],[Столбец1]]*Таблица1[[#This Row],[коэф]])),
IF((G674="4/24"),((база!$M$5*2*Таблица1[[#This Row],[Столбец1]]*Таблица1[[#This Row],[коэф]])),
IF((G674="3/24"),((база!$M$4*2*Таблица1[[#This Row],[Столбец1]]*Таблица1[[#This Row],[коэф]])),
IF((G674="5/16"),((база!$L$6*2*Таблица1[[#This Row],[Столбец1]]*Таблица1[[#This Row],[коэф]])),
IF((G674="4/16"),((база!$L$5*2*Таблица1[[#This Row],[Столбец1]]*Таблица1[[#This Row],[коэф]])),
IF((G674="3/16"),((база!$L$4*2*Таблица1[[#This Row],[Столбец1]]*Таблица1[[#This Row],[коэф]])),
IF((G674="4/4"),((база!$I$5*2*Таблица1[[#This Row],[Столбец1]]*Таблица1[[#This Row],[коэф]])),
IF(OR(G674="2/4",G674="3/4"),((база!$I$4*2*Таблица1[[#This Row],[Столбец1]]*Таблица1[[#This Row],[коэф]])),
IF((G674="5/8"),((база!$J$6*2*Таблица1[[#This Row],[Столбец1]]*Таблица1[[#This Row],[коэф]])),
IF((G674="4/8"),((база!$J$5*2*Таблица1[[#This Row],[Столбец1]]*Таблица1[[#This Row],[коэф]])),
IF(OR(G674="3/8",G674="2/8"),((база!$J$4*2*Таблица1[[#This Row],[Столбец1]]*Таблица1[[#This Row],[коэф]])))))))))))))),
(IF((G674="5/24"),((база!$M$6*2*Таблица1[[#This Row],[Столбец1]]*Таблица1[[#This Row],[коэф]])),
IF(OR(G674="4/24",G674="3/24"),((база!$M$5*2*Таблица1[[#This Row],[Столбец1]]*Таблица1[[#This Row],[коэф]])),
IF((G674="5/16"),((база!$L$6*2*Таблица1[[#This Row],[Столбец1]]*Таблица1[[#This Row],[коэф]])),
IF(OR(G674="4/16",G674="3/16"),((база!$L$5*2*Таблица1[[#This Row],[Столбец1]]*Таблица1[[#This Row],[коэф]])),
IF(OR(G674="2/4",G674="3/4",G674="4/4"),((база!$I$5*2*Таблица1[[#This Row],[Столбец1]]*Таблица1[[#This Row],[коэф]])),
IF((G674="5/8"),((база!$J$6*2*Таблица1[[#This Row],[Столбец1]]*Таблица1[[#This Row],[коэф]])),
IF(OR(G674="4/8",G674="3/8",G674="2/8"),((база!$J$5*2*Таблица1[[#This Row],[Столбец1]]*Таблица1[[#This Row],[коэф]])))))))))))</f>
        <v>0</v>
      </c>
      <c r="AQ674" s="712" t="str">
        <f>IFERROR(INDEX(база!T:T, MATCH(F674,база!Q:Q,0)),"")</f>
        <v/>
      </c>
      <c r="AR674" s="208" t="str">
        <f>IFERROR(INDEX(база!D:D, MATCH(F674,база!B:B,0)),"")</f>
        <v/>
      </c>
      <c r="AS674" s="758" t="str">
        <f>IFERROR(INDEX(база!E:E, MATCH(F674,база!B:B,0)),"")</f>
        <v/>
      </c>
    </row>
    <row r="675" spans="1:45" s="46" customFormat="1" ht="15">
      <c r="A675" s="66" t="str">
        <f t="shared" si="8"/>
        <v>январь</v>
      </c>
      <c r="B675" s="231">
        <v>2024</v>
      </c>
      <c r="C675" s="299"/>
      <c r="D675" s="61"/>
      <c r="E675" s="211"/>
      <c r="F675" s="680"/>
      <c r="G675" s="47"/>
      <c r="H675" s="563"/>
      <c r="I675" s="563"/>
      <c r="J675" s="563"/>
      <c r="K675" s="563"/>
      <c r="L675" s="563"/>
      <c r="M675" s="563"/>
      <c r="N675" s="563"/>
      <c r="O675" s="563"/>
      <c r="P675" s="300"/>
      <c r="Q675" s="563"/>
      <c r="R675" s="563"/>
      <c r="S675" s="563"/>
      <c r="T675" s="563"/>
      <c r="U675" s="563"/>
      <c r="V675" s="563"/>
      <c r="W675" s="563"/>
      <c r="X675" s="563"/>
      <c r="Y675" s="563"/>
      <c r="Z675" s="563"/>
      <c r="AA675" s="563"/>
      <c r="AB675" s="563"/>
      <c r="AC675" s="563"/>
      <c r="AD675" s="48"/>
      <c r="AE675" s="48"/>
      <c r="AF675" s="258"/>
      <c r="AG675" s="48"/>
      <c r="AH675" s="48"/>
      <c r="AI675" s="258"/>
      <c r="AJ675" s="258"/>
      <c r="AK675" s="258"/>
      <c r="AL675" s="258"/>
      <c r="AM675" s="212">
        <f>IF(AQ675=1,SUM(Q675:T675,W675:Z675,AC675:AF675,AI675:AL675),
IF(AQ675=2,SUM(P675,S675:V675,Y675:AB675,AE675:AH675,AK675:AL675),
IF(AQ675=3,SUM(P675:R675,U675:X675,AA675:AD675,AG675:AJ675),SUM(Таблица1[[#This Row],[1]:[31]])-Таблица1[[#This Row],[Столбец1]])))</f>
        <v>0</v>
      </c>
      <c r="AN675" s="778">
        <f t="array" ref="AN675">IF(AQ675=1,SUM(P675,U675:V675,AA675:AB675,AG675:AH675),
IF(AQ675=2,SUM(Q675:R675,W675:X675,AC675:AD675,AI675:AJ675),
IF(AQ675=3,SUM(S675:T675,Y675:Z675,AE675:AF675,AK675:AL675),
SUM(IFERROR(WEEKDAY($H$2:$AL$2,2)&gt;5,)*H675:AL675))))+Таблица1[[#This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75" s="292" t="b">
        <f>IF(AR675&lt;=3,(IF((G675="5/24"),((база!$M$6*Таблица1[[#This Row],[сумма]]*Таблица1[[#This Row],[коэф]])),
IF((G675="4/24"),((база!$M$5*Таблица1[[#This Row],[сумма]]*Таблица1[[#This Row],[коэф]])),
IF((G675="3/24"),((база!$M$4*Таблица1[[#This Row],[сумма]]*Таблица1[[#This Row],[коэф]])),
IF((G675="5/16"),((база!$L$6*Таблица1[[#This Row],[сумма]]*Таблица1[[#This Row],[коэф]])),
IF((G675="4/16"),((база!$L$5*Таблица1[[#This Row],[сумма]]*Таблица1[[#This Row],[коэф]])),
IF((G675="3/16"),((база!$L$4*Таблица1[[#This Row],[сумма]]*Таблица1[[#This Row],[коэф]])),
IF((G675="4/4"),((база!$I$5*Таблица1[[#This Row],[сумма]]*Таблица1[[#This Row],[коэф]])),
IF(OR(G675="2/4",G675="3/4"),((база!$I$4*Таблица1[[#This Row],[сумма]]*Таблица1[[#This Row],[коэф]])),
IF((G675="5/8"),((база!$J$6*Таблица1[[#This Row],[сумма]]*Таблица1[[#This Row],[коэф]])),
IF((G675="4/8"),((база!$J$5*Таблица1[[#This Row],[сумма]]*Таблица1[[#This Row],[коэф]])),
IF(OR(G675="3/8",G675="2/8"),((база!$J$4*Таблица1[[#This Row],[сумма]]*Таблица1[[#This Row],[коэф]])))))))))))))),
(IF((G675="5/24"),((база!$M$6*Таблица1[[#This Row],[сумма]]*Таблица1[[#This Row],[коэф]])),
IF(OR(G675="4/24",G675="3/24"),((база!$M$5*Таблица1[[#This Row],[сумма]]*Таблица1[[#This Row],[коэф]])),
IF((G675="5/16"),((база!$L$6*Таблица1[[#This Row],[сумма]]*Таблица1[[#This Row],[коэф]])),
IF(OR(G675="4/16",G675="3/16"),((база!$L$5*Таблица1[[#This Row],[сумма]]*Таблица1[[#This Row],[коэф]])),
IF(OR(G675="2/4",G675="3/4",G675="4/4"),((база!$I$5*Таблица1[[#This Row],[сумма]]*Таблица1[[#This Row],[коэф]])),
IF((G675="5/8"),((база!$J$6*Таблица1[[#This Row],[сумма]]*Таблица1[[#This Row],[коэф]])),
IF(OR(G675="4/8",G675="3/8",G675="2/8"),((база!$J$5*Таблица1[[#This Row],[сумма]]*Таблица1[[#This Row],[коэф]])))))))))))</f>
        <v>0</v>
      </c>
      <c r="AP675" s="730" t="b">
        <f>IF(AR675&lt;=3,(IF((G675="5/24"),((база!$M$6*2*Таблица1[[#This Row],[Столбец1]]*Таблица1[[#This Row],[коэф]])),
IF((G675="4/24"),((база!$M$5*2*Таблица1[[#This Row],[Столбец1]]*Таблица1[[#This Row],[коэф]])),
IF((G675="3/24"),((база!$M$4*2*Таблица1[[#This Row],[Столбец1]]*Таблица1[[#This Row],[коэф]])),
IF((G675="5/16"),((база!$L$6*2*Таблица1[[#This Row],[Столбец1]]*Таблица1[[#This Row],[коэф]])),
IF((G675="4/16"),((база!$L$5*2*Таблица1[[#This Row],[Столбец1]]*Таблица1[[#This Row],[коэф]])),
IF((G675="3/16"),((база!$L$4*2*Таблица1[[#This Row],[Столбец1]]*Таблица1[[#This Row],[коэф]])),
IF((G675="4/4"),((база!$I$5*2*Таблица1[[#This Row],[Столбец1]]*Таблица1[[#This Row],[коэф]])),
IF(OR(G675="2/4",G675="3/4"),((база!$I$4*2*Таблица1[[#This Row],[Столбец1]]*Таблица1[[#This Row],[коэф]])),
IF((G675="5/8"),((база!$J$6*2*Таблица1[[#This Row],[Столбец1]]*Таблица1[[#This Row],[коэф]])),
IF((G675="4/8"),((база!$J$5*2*Таблица1[[#This Row],[Столбец1]]*Таблица1[[#This Row],[коэф]])),
IF(OR(G675="3/8",G675="2/8"),((база!$J$4*2*Таблица1[[#This Row],[Столбец1]]*Таблица1[[#This Row],[коэф]])))))))))))))),
(IF((G675="5/24"),((база!$M$6*2*Таблица1[[#This Row],[Столбец1]]*Таблица1[[#This Row],[коэф]])),
IF(OR(G675="4/24",G675="3/24"),((база!$M$5*2*Таблица1[[#This Row],[Столбец1]]*Таблица1[[#This Row],[коэф]])),
IF((G675="5/16"),((база!$L$6*2*Таблица1[[#This Row],[Столбец1]]*Таблица1[[#This Row],[коэф]])),
IF(OR(G675="4/16",G675="3/16"),((база!$L$5*2*Таблица1[[#This Row],[Столбец1]]*Таблица1[[#This Row],[коэф]])),
IF(OR(G675="2/4",G675="3/4",G675="4/4"),((база!$I$5*2*Таблица1[[#This Row],[Столбец1]]*Таблица1[[#This Row],[коэф]])),
IF((G675="5/8"),((база!$J$6*2*Таблица1[[#This Row],[Столбец1]]*Таблица1[[#This Row],[коэф]])),
IF(OR(G675="4/8",G675="3/8",G675="2/8"),((база!$J$5*2*Таблица1[[#This Row],[Столбец1]]*Таблица1[[#This Row],[коэф]])))))))))))</f>
        <v>0</v>
      </c>
      <c r="AQ675" s="712" t="str">
        <f>IFERROR(INDEX(база!T:T, MATCH(F675,база!Q:Q,0)),"")</f>
        <v/>
      </c>
      <c r="AR675" s="208" t="str">
        <f>IFERROR(INDEX(база!D:D, MATCH(F675,база!B:B,0)),"")</f>
        <v/>
      </c>
      <c r="AS675" s="758" t="str">
        <f>IFERROR(INDEX(база!E:E, MATCH(F675,база!B:B,0)),"")</f>
        <v/>
      </c>
    </row>
    <row r="676" spans="1:45" s="46" customFormat="1" ht="15">
      <c r="A676" s="66" t="str">
        <f t="shared" si="8"/>
        <v>январь</v>
      </c>
      <c r="B676" s="231">
        <v>2024</v>
      </c>
      <c r="C676" s="299"/>
      <c r="D676" s="61"/>
      <c r="E676" s="211"/>
      <c r="F676" s="680"/>
      <c r="G676" s="47"/>
      <c r="H676" s="563"/>
      <c r="I676" s="563"/>
      <c r="J676" s="563"/>
      <c r="K676" s="563"/>
      <c r="L676" s="563"/>
      <c r="M676" s="563"/>
      <c r="N676" s="563"/>
      <c r="O676" s="563"/>
      <c r="P676" s="300"/>
      <c r="Q676" s="563"/>
      <c r="R676" s="563"/>
      <c r="S676" s="563"/>
      <c r="T676" s="563"/>
      <c r="U676" s="563"/>
      <c r="V676" s="563"/>
      <c r="W676" s="563"/>
      <c r="X676" s="563"/>
      <c r="Y676" s="563"/>
      <c r="Z676" s="563"/>
      <c r="AA676" s="563"/>
      <c r="AB676" s="563"/>
      <c r="AC676" s="563"/>
      <c r="AD676" s="48"/>
      <c r="AE676" s="48"/>
      <c r="AF676" s="258"/>
      <c r="AG676" s="48"/>
      <c r="AH676" s="48"/>
      <c r="AI676" s="48"/>
      <c r="AJ676" s="48"/>
      <c r="AK676" s="48"/>
      <c r="AL676" s="51"/>
      <c r="AM676" s="212">
        <f>IF(AQ676=1,SUM(Q676:T676,W676:Z676,AC676:AF676,AI676:AL676),
IF(AQ676=2,SUM(P676,S676:V676,Y676:AB676,AE676:AH676,AK676:AL676),
IF(AQ676=3,SUM(P676:R676,U676:X676,AA676:AD676,AG676:AJ676),SUM(Таблица1[[#This Row],[1]:[31]])-Таблица1[[#This Row],[Столбец1]])))</f>
        <v>0</v>
      </c>
      <c r="AN676" s="778">
        <f t="array" ref="AN676">IF(AQ676=1,SUM(P676,U676:V676,AA676:AB676,AG676:AH676),
IF(AQ676=2,SUM(Q676:R676,W676:X676,AC676:AD676,AI676:AJ676),
IF(AQ676=3,SUM(S676:T676,Y676:Z676,AE676:AF676,AK676:AL676),
SUM(IFERROR(WEEKDAY($H$2:$AL$2,2)&gt;5,)*H676:AL676))))+Таблица1[[#This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76" s="292" t="b">
        <f>IF(AR676&lt;=3,(IF((G676="5/24"),((база!$M$6*Таблица1[[#This Row],[сумма]]*Таблица1[[#This Row],[коэф]])),
IF((G676="4/24"),((база!$M$5*Таблица1[[#This Row],[сумма]]*Таблица1[[#This Row],[коэф]])),
IF((G676="3/24"),((база!$M$4*Таблица1[[#This Row],[сумма]]*Таблица1[[#This Row],[коэф]])),
IF((G676="5/16"),((база!$L$6*Таблица1[[#This Row],[сумма]]*Таблица1[[#This Row],[коэф]])),
IF((G676="4/16"),((база!$L$5*Таблица1[[#This Row],[сумма]]*Таблица1[[#This Row],[коэф]])),
IF((G676="3/16"),((база!$L$4*Таблица1[[#This Row],[сумма]]*Таблица1[[#This Row],[коэф]])),
IF((G676="4/4"),((база!$I$5*Таблица1[[#This Row],[сумма]]*Таблица1[[#This Row],[коэф]])),
IF(OR(G676="2/4",G676="3/4"),((база!$I$4*Таблица1[[#This Row],[сумма]]*Таблица1[[#This Row],[коэф]])),
IF((G676="5/8"),((база!$J$6*Таблица1[[#This Row],[сумма]]*Таблица1[[#This Row],[коэф]])),
IF((G676="4/8"),((база!$J$5*Таблица1[[#This Row],[сумма]]*Таблица1[[#This Row],[коэф]])),
IF(OR(G676="3/8",G676="2/8"),((база!$J$4*Таблица1[[#This Row],[сумма]]*Таблица1[[#This Row],[коэф]])))))))))))))),
(IF((G676="5/24"),((база!$M$6*Таблица1[[#This Row],[сумма]]*Таблица1[[#This Row],[коэф]])),
IF(OR(G676="4/24",G676="3/24"),((база!$M$5*Таблица1[[#This Row],[сумма]]*Таблица1[[#This Row],[коэф]])),
IF((G676="5/16"),((база!$L$6*Таблица1[[#This Row],[сумма]]*Таблица1[[#This Row],[коэф]])),
IF(OR(G676="4/16",G676="3/16"),((база!$L$5*Таблица1[[#This Row],[сумма]]*Таблица1[[#This Row],[коэф]])),
IF(OR(G676="2/4",G676="3/4",G676="4/4"),((база!$I$5*Таблица1[[#This Row],[сумма]]*Таблица1[[#This Row],[коэф]])),
IF((G676="5/8"),((база!$J$6*Таблица1[[#This Row],[сумма]]*Таблица1[[#This Row],[коэф]])),
IF(OR(G676="4/8",G676="3/8",G676="2/8"),((база!$J$5*Таблица1[[#This Row],[сумма]]*Таблица1[[#This Row],[коэф]])))))))))))</f>
        <v>0</v>
      </c>
      <c r="AP676" s="730" t="b">
        <f>IF(AR676&lt;=3,(IF((G676="5/24"),((база!$M$6*2*Таблица1[[#This Row],[Столбец1]]*Таблица1[[#This Row],[коэф]])),
IF((G676="4/24"),((база!$M$5*2*Таблица1[[#This Row],[Столбец1]]*Таблица1[[#This Row],[коэф]])),
IF((G676="3/24"),((база!$M$4*2*Таблица1[[#This Row],[Столбец1]]*Таблица1[[#This Row],[коэф]])),
IF((G676="5/16"),((база!$L$6*2*Таблица1[[#This Row],[Столбец1]]*Таблица1[[#This Row],[коэф]])),
IF((G676="4/16"),((база!$L$5*2*Таблица1[[#This Row],[Столбец1]]*Таблица1[[#This Row],[коэф]])),
IF((G676="3/16"),((база!$L$4*2*Таблица1[[#This Row],[Столбец1]]*Таблица1[[#This Row],[коэф]])),
IF((G676="4/4"),((база!$I$5*2*Таблица1[[#This Row],[Столбец1]]*Таблица1[[#This Row],[коэф]])),
IF(OR(G676="2/4",G676="3/4"),((база!$I$4*2*Таблица1[[#This Row],[Столбец1]]*Таблица1[[#This Row],[коэф]])),
IF((G676="5/8"),((база!$J$6*2*Таблица1[[#This Row],[Столбец1]]*Таблица1[[#This Row],[коэф]])),
IF((G676="4/8"),((база!$J$5*2*Таблица1[[#This Row],[Столбец1]]*Таблица1[[#This Row],[коэф]])),
IF(OR(G676="3/8",G676="2/8"),((база!$J$4*2*Таблица1[[#This Row],[Столбец1]]*Таблица1[[#This Row],[коэф]])))))))))))))),
(IF((G676="5/24"),((база!$M$6*2*Таблица1[[#This Row],[Столбец1]]*Таблица1[[#This Row],[коэф]])),
IF(OR(G676="4/24",G676="3/24"),((база!$M$5*2*Таблица1[[#This Row],[Столбец1]]*Таблица1[[#This Row],[коэф]])),
IF((G676="5/16"),((база!$L$6*2*Таблица1[[#This Row],[Столбец1]]*Таблица1[[#This Row],[коэф]])),
IF(OR(G676="4/16",G676="3/16"),((база!$L$5*2*Таблица1[[#This Row],[Столбец1]]*Таблица1[[#This Row],[коэф]])),
IF(OR(G676="2/4",G676="3/4",G676="4/4"),((база!$I$5*2*Таблица1[[#This Row],[Столбец1]]*Таблица1[[#This Row],[коэф]])),
IF((G676="5/8"),((база!$J$6*2*Таблица1[[#This Row],[Столбец1]]*Таблица1[[#This Row],[коэф]])),
IF(OR(G676="4/8",G676="3/8",G676="2/8"),((база!$J$5*2*Таблица1[[#This Row],[Столбец1]]*Таблица1[[#This Row],[коэф]])))))))))))</f>
        <v>0</v>
      </c>
      <c r="AQ676" s="712" t="str">
        <f>IFERROR(INDEX(база!T:T, MATCH(F676,база!Q:Q,0)),"")</f>
        <v/>
      </c>
      <c r="AR676" s="208" t="str">
        <f>IFERROR(INDEX(база!D:D, MATCH(F676,база!B:B,0)),"")</f>
        <v/>
      </c>
      <c r="AS676" s="758" t="str">
        <f>IFERROR(INDEX(база!E:E, MATCH(F676,база!B:B,0)),"")</f>
        <v/>
      </c>
    </row>
    <row r="677" spans="1:45" s="46" customFormat="1" ht="15">
      <c r="A677" s="66" t="str">
        <f t="shared" si="8"/>
        <v>январь</v>
      </c>
      <c r="B677" s="231">
        <v>2024</v>
      </c>
      <c r="C677" s="299"/>
      <c r="D677" s="61"/>
      <c r="E677" s="211"/>
      <c r="F677" s="680"/>
      <c r="G677" s="47"/>
      <c r="H677" s="563"/>
      <c r="I677" s="563"/>
      <c r="J677" s="563"/>
      <c r="K677" s="563"/>
      <c r="L677" s="563"/>
      <c r="M677" s="563"/>
      <c r="N677" s="563"/>
      <c r="O677" s="563"/>
      <c r="P677" s="300"/>
      <c r="Q677" s="563"/>
      <c r="R677" s="563"/>
      <c r="S677" s="563"/>
      <c r="T677" s="563"/>
      <c r="U677" s="563"/>
      <c r="V677" s="563"/>
      <c r="W677" s="563"/>
      <c r="X677" s="563"/>
      <c r="Y677" s="563"/>
      <c r="Z677" s="563"/>
      <c r="AA677" s="563"/>
      <c r="AB677" s="563"/>
      <c r="AC677" s="563"/>
      <c r="AD677" s="48"/>
      <c r="AE677" s="48"/>
      <c r="AF677" s="258"/>
      <c r="AG677" s="48"/>
      <c r="AH677" s="48"/>
      <c r="AI677" s="258"/>
      <c r="AJ677" s="258"/>
      <c r="AK677" s="258"/>
      <c r="AL677" s="258"/>
      <c r="AM677" s="212">
        <f>IF(AQ677=1,SUM(Q677:T677,W677:Z677,AC677:AF677,AI677:AL677),
IF(AQ677=2,SUM(P677,S677:V677,Y677:AB677,AE677:AH677,AK677:AL677),
IF(AQ677=3,SUM(P677:R677,U677:X677,AA677:AD677,AG677:AJ677),SUM(Таблица1[[#This Row],[1]:[31]])-Таблица1[[#This Row],[Столбец1]])))</f>
        <v>0</v>
      </c>
      <c r="AN677" s="778">
        <f t="array" ref="AN677">IF(AQ677=1,SUM(P677,U677:V677,AA677:AB677,AG677:AH677),
IF(AQ677=2,SUM(Q677:R677,W677:X677,AC677:AD677,AI677:AJ677),
IF(AQ677=3,SUM(S677:T677,Y677:Z677,AE677:AF677,AK677:AL677),
SUM(IFERROR(WEEKDAY($H$2:$AL$2,2)&gt;5,)*H677:AL677))))+Таблица1[[#This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77" s="292" t="b">
        <f>IF(AR677&lt;=3,(IF((G677="5/24"),((база!$M$6*Таблица1[[#This Row],[сумма]]*Таблица1[[#This Row],[коэф]])),
IF((G677="4/24"),((база!$M$5*Таблица1[[#This Row],[сумма]]*Таблица1[[#This Row],[коэф]])),
IF((G677="3/24"),((база!$M$4*Таблица1[[#This Row],[сумма]]*Таблица1[[#This Row],[коэф]])),
IF((G677="5/16"),((база!$L$6*Таблица1[[#This Row],[сумма]]*Таблица1[[#This Row],[коэф]])),
IF((G677="4/16"),((база!$L$5*Таблица1[[#This Row],[сумма]]*Таблица1[[#This Row],[коэф]])),
IF((G677="3/16"),((база!$L$4*Таблица1[[#This Row],[сумма]]*Таблица1[[#This Row],[коэф]])),
IF((G677="4/4"),((база!$I$5*Таблица1[[#This Row],[сумма]]*Таблица1[[#This Row],[коэф]])),
IF(OR(G677="2/4",G677="3/4"),((база!$I$4*Таблица1[[#This Row],[сумма]]*Таблица1[[#This Row],[коэф]])),
IF((G677="5/8"),((база!$J$6*Таблица1[[#This Row],[сумма]]*Таблица1[[#This Row],[коэф]])),
IF((G677="4/8"),((база!$J$5*Таблица1[[#This Row],[сумма]]*Таблица1[[#This Row],[коэф]])),
IF(OR(G677="3/8",G677="2/8"),((база!$J$4*Таблица1[[#This Row],[сумма]]*Таблица1[[#This Row],[коэф]])))))))))))))),
(IF((G677="5/24"),((база!$M$6*Таблица1[[#This Row],[сумма]]*Таблица1[[#This Row],[коэф]])),
IF(OR(G677="4/24",G677="3/24"),((база!$M$5*Таблица1[[#This Row],[сумма]]*Таблица1[[#This Row],[коэф]])),
IF((G677="5/16"),((база!$L$6*Таблица1[[#This Row],[сумма]]*Таблица1[[#This Row],[коэф]])),
IF(OR(G677="4/16",G677="3/16"),((база!$L$5*Таблица1[[#This Row],[сумма]]*Таблица1[[#This Row],[коэф]])),
IF(OR(G677="2/4",G677="3/4",G677="4/4"),((база!$I$5*Таблица1[[#This Row],[сумма]]*Таблица1[[#This Row],[коэф]])),
IF((G677="5/8"),((база!$J$6*Таблица1[[#This Row],[сумма]]*Таблица1[[#This Row],[коэф]])),
IF(OR(G677="4/8",G677="3/8",G677="2/8"),((база!$J$5*Таблица1[[#This Row],[сумма]]*Таблица1[[#This Row],[коэф]])))))))))))</f>
        <v>0</v>
      </c>
      <c r="AP677" s="730" t="b">
        <f>IF(AR677&lt;=3,(IF((G677="5/24"),((база!$M$6*2*Таблица1[[#This Row],[Столбец1]]*Таблица1[[#This Row],[коэф]])),
IF((G677="4/24"),((база!$M$5*2*Таблица1[[#This Row],[Столбец1]]*Таблица1[[#This Row],[коэф]])),
IF((G677="3/24"),((база!$M$4*2*Таблица1[[#This Row],[Столбец1]]*Таблица1[[#This Row],[коэф]])),
IF((G677="5/16"),((база!$L$6*2*Таблица1[[#This Row],[Столбец1]]*Таблица1[[#This Row],[коэф]])),
IF((G677="4/16"),((база!$L$5*2*Таблица1[[#This Row],[Столбец1]]*Таблица1[[#This Row],[коэф]])),
IF((G677="3/16"),((база!$L$4*2*Таблица1[[#This Row],[Столбец1]]*Таблица1[[#This Row],[коэф]])),
IF((G677="4/4"),((база!$I$5*2*Таблица1[[#This Row],[Столбец1]]*Таблица1[[#This Row],[коэф]])),
IF(OR(G677="2/4",G677="3/4"),((база!$I$4*2*Таблица1[[#This Row],[Столбец1]]*Таблица1[[#This Row],[коэф]])),
IF((G677="5/8"),((база!$J$6*2*Таблица1[[#This Row],[Столбец1]]*Таблица1[[#This Row],[коэф]])),
IF((G677="4/8"),((база!$J$5*2*Таблица1[[#This Row],[Столбец1]]*Таблица1[[#This Row],[коэф]])),
IF(OR(G677="3/8",G677="2/8"),((база!$J$4*2*Таблица1[[#This Row],[Столбец1]]*Таблица1[[#This Row],[коэф]])))))))))))))),
(IF((G677="5/24"),((база!$M$6*2*Таблица1[[#This Row],[Столбец1]]*Таблица1[[#This Row],[коэф]])),
IF(OR(G677="4/24",G677="3/24"),((база!$M$5*2*Таблица1[[#This Row],[Столбец1]]*Таблица1[[#This Row],[коэф]])),
IF((G677="5/16"),((база!$L$6*2*Таблица1[[#This Row],[Столбец1]]*Таблица1[[#This Row],[коэф]])),
IF(OR(G677="4/16",G677="3/16"),((база!$L$5*2*Таблица1[[#This Row],[Столбец1]]*Таблица1[[#This Row],[коэф]])),
IF(OR(G677="2/4",G677="3/4",G677="4/4"),((база!$I$5*2*Таблица1[[#This Row],[Столбец1]]*Таблица1[[#This Row],[коэф]])),
IF((G677="5/8"),((база!$J$6*2*Таблица1[[#This Row],[Столбец1]]*Таблица1[[#This Row],[коэф]])),
IF(OR(G677="4/8",G677="3/8",G677="2/8"),((база!$J$5*2*Таблица1[[#This Row],[Столбец1]]*Таблица1[[#This Row],[коэф]])))))))))))</f>
        <v>0</v>
      </c>
      <c r="AQ677" s="712" t="str">
        <f>IFERROR(INDEX(база!T:T, MATCH(F677,база!Q:Q,0)),"")</f>
        <v/>
      </c>
      <c r="AR677" s="208" t="str">
        <f>IFERROR(INDEX(база!D:D, MATCH(F677,база!B:B,0)),"")</f>
        <v/>
      </c>
      <c r="AS677" s="758" t="str">
        <f>IFERROR(INDEX(база!E:E, MATCH(F677,база!B:B,0)),"")</f>
        <v/>
      </c>
    </row>
    <row r="678" spans="1:45" s="46" customFormat="1" ht="15">
      <c r="A678" s="66" t="str">
        <f t="shared" si="8"/>
        <v>январь</v>
      </c>
      <c r="B678" s="231">
        <v>2024</v>
      </c>
      <c r="C678" s="299"/>
      <c r="D678" s="61"/>
      <c r="E678" s="211"/>
      <c r="F678" s="680"/>
      <c r="G678" s="47"/>
      <c r="H678" s="563"/>
      <c r="I678" s="563"/>
      <c r="J678" s="563"/>
      <c r="K678" s="563"/>
      <c r="L678" s="563"/>
      <c r="M678" s="563"/>
      <c r="N678" s="563"/>
      <c r="O678" s="563"/>
      <c r="P678" s="300"/>
      <c r="Q678" s="563"/>
      <c r="R678" s="563"/>
      <c r="S678" s="563"/>
      <c r="T678" s="563"/>
      <c r="U678" s="563"/>
      <c r="V678" s="563"/>
      <c r="W678" s="563"/>
      <c r="X678" s="563"/>
      <c r="Y678" s="563"/>
      <c r="Z678" s="563"/>
      <c r="AA678" s="563"/>
      <c r="AB678" s="563"/>
      <c r="AC678" s="563"/>
      <c r="AD678" s="48"/>
      <c r="AE678" s="48"/>
      <c r="AF678" s="258"/>
      <c r="AG678" s="48"/>
      <c r="AH678" s="48"/>
      <c r="AI678" s="48"/>
      <c r="AJ678" s="48"/>
      <c r="AK678" s="48"/>
      <c r="AL678" s="51"/>
      <c r="AM678" s="212">
        <f>IF(AQ678=1,SUM(Q678:T678,W678:Z678,AC678:AF678,AI678:AL678),
IF(AQ678=2,SUM(P678,S678:V678,Y678:AB678,AE678:AH678,AK678:AL678),
IF(AQ678=3,SUM(P678:R678,U678:X678,AA678:AD678,AG678:AJ678),SUM(Таблица1[[#This Row],[1]:[31]])-Таблица1[[#This Row],[Столбец1]])))</f>
        <v>0</v>
      </c>
      <c r="AN678" s="778">
        <f t="array" ref="AN678">IF(AQ678=1,SUM(P678,U678:V678,AA678:AB678,AG678:AH678),
IF(AQ678=2,SUM(Q678:R678,W678:X678,AC678:AD678,AI678:AJ678),
IF(AQ678=3,SUM(S678:T678,Y678:Z678,AE678:AF678,AK678:AL678),
SUM(IFERROR(WEEKDAY($H$2:$AL$2,2)&gt;5,)*H678:AL678))))+Таблица1[[#This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78" s="292" t="b">
        <f>IF(AR678&lt;=3,(IF((G678="5/24"),((база!$M$6*Таблица1[[#This Row],[сумма]]*Таблица1[[#This Row],[коэф]])),
IF((G678="4/24"),((база!$M$5*Таблица1[[#This Row],[сумма]]*Таблица1[[#This Row],[коэф]])),
IF((G678="3/24"),((база!$M$4*Таблица1[[#This Row],[сумма]]*Таблица1[[#This Row],[коэф]])),
IF((G678="5/16"),((база!$L$6*Таблица1[[#This Row],[сумма]]*Таблица1[[#This Row],[коэф]])),
IF((G678="4/16"),((база!$L$5*Таблица1[[#This Row],[сумма]]*Таблица1[[#This Row],[коэф]])),
IF((G678="3/16"),((база!$L$4*Таблица1[[#This Row],[сумма]]*Таблица1[[#This Row],[коэф]])),
IF((G678="4/4"),((база!$I$5*Таблица1[[#This Row],[сумма]]*Таблица1[[#This Row],[коэф]])),
IF(OR(G678="2/4",G678="3/4"),((база!$I$4*Таблица1[[#This Row],[сумма]]*Таблица1[[#This Row],[коэф]])),
IF((G678="5/8"),((база!$J$6*Таблица1[[#This Row],[сумма]]*Таблица1[[#This Row],[коэф]])),
IF((G678="4/8"),((база!$J$5*Таблица1[[#This Row],[сумма]]*Таблица1[[#This Row],[коэф]])),
IF(OR(G678="3/8",G678="2/8"),((база!$J$4*Таблица1[[#This Row],[сумма]]*Таблица1[[#This Row],[коэф]])))))))))))))),
(IF((G678="5/24"),((база!$M$6*Таблица1[[#This Row],[сумма]]*Таблица1[[#This Row],[коэф]])),
IF(OR(G678="4/24",G678="3/24"),((база!$M$5*Таблица1[[#This Row],[сумма]]*Таблица1[[#This Row],[коэф]])),
IF((G678="5/16"),((база!$L$6*Таблица1[[#This Row],[сумма]]*Таблица1[[#This Row],[коэф]])),
IF(OR(G678="4/16",G678="3/16"),((база!$L$5*Таблица1[[#This Row],[сумма]]*Таблица1[[#This Row],[коэф]])),
IF(OR(G678="2/4",G678="3/4",G678="4/4"),((база!$I$5*Таблица1[[#This Row],[сумма]]*Таблица1[[#This Row],[коэф]])),
IF((G678="5/8"),((база!$J$6*Таблица1[[#This Row],[сумма]]*Таблица1[[#This Row],[коэф]])),
IF(OR(G678="4/8",G678="3/8",G678="2/8"),((база!$J$5*Таблица1[[#This Row],[сумма]]*Таблица1[[#This Row],[коэф]])))))))))))</f>
        <v>0</v>
      </c>
      <c r="AP678" s="730" t="b">
        <f>IF(AR678&lt;=3,(IF((G678="5/24"),((база!$M$6*2*Таблица1[[#This Row],[Столбец1]]*Таблица1[[#This Row],[коэф]])),
IF((G678="4/24"),((база!$M$5*2*Таблица1[[#This Row],[Столбец1]]*Таблица1[[#This Row],[коэф]])),
IF((G678="3/24"),((база!$M$4*2*Таблица1[[#This Row],[Столбец1]]*Таблица1[[#This Row],[коэф]])),
IF((G678="5/16"),((база!$L$6*2*Таблица1[[#This Row],[Столбец1]]*Таблица1[[#This Row],[коэф]])),
IF((G678="4/16"),((база!$L$5*2*Таблица1[[#This Row],[Столбец1]]*Таблица1[[#This Row],[коэф]])),
IF((G678="3/16"),((база!$L$4*2*Таблица1[[#This Row],[Столбец1]]*Таблица1[[#This Row],[коэф]])),
IF((G678="4/4"),((база!$I$5*2*Таблица1[[#This Row],[Столбец1]]*Таблица1[[#This Row],[коэф]])),
IF(OR(G678="2/4",G678="3/4"),((база!$I$4*2*Таблица1[[#This Row],[Столбец1]]*Таблица1[[#This Row],[коэф]])),
IF((G678="5/8"),((база!$J$6*2*Таблица1[[#This Row],[Столбец1]]*Таблица1[[#This Row],[коэф]])),
IF((G678="4/8"),((база!$J$5*2*Таблица1[[#This Row],[Столбец1]]*Таблица1[[#This Row],[коэф]])),
IF(OR(G678="3/8",G678="2/8"),((база!$J$4*2*Таблица1[[#This Row],[Столбец1]]*Таблица1[[#This Row],[коэф]])))))))))))))),
(IF((G678="5/24"),((база!$M$6*2*Таблица1[[#This Row],[Столбец1]]*Таблица1[[#This Row],[коэф]])),
IF(OR(G678="4/24",G678="3/24"),((база!$M$5*2*Таблица1[[#This Row],[Столбец1]]*Таблица1[[#This Row],[коэф]])),
IF((G678="5/16"),((база!$L$6*2*Таблица1[[#This Row],[Столбец1]]*Таблица1[[#This Row],[коэф]])),
IF(OR(G678="4/16",G678="3/16"),((база!$L$5*2*Таблица1[[#This Row],[Столбец1]]*Таблица1[[#This Row],[коэф]])),
IF(OR(G678="2/4",G678="3/4",G678="4/4"),((база!$I$5*2*Таблица1[[#This Row],[Столбец1]]*Таблица1[[#This Row],[коэф]])),
IF((G678="5/8"),((база!$J$6*2*Таблица1[[#This Row],[Столбец1]]*Таблица1[[#This Row],[коэф]])),
IF(OR(G678="4/8",G678="3/8",G678="2/8"),((база!$J$5*2*Таблица1[[#This Row],[Столбец1]]*Таблица1[[#This Row],[коэф]])))))))))))</f>
        <v>0</v>
      </c>
      <c r="AQ678" s="712" t="str">
        <f>IFERROR(INDEX(база!T:T, MATCH(F678,база!Q:Q,0)),"")</f>
        <v/>
      </c>
      <c r="AR678" s="208" t="str">
        <f>IFERROR(INDEX(база!D:D, MATCH(F678,база!B:B,0)),"")</f>
        <v/>
      </c>
      <c r="AS678" s="758" t="str">
        <f>IFERROR(INDEX(база!E:E, MATCH(F678,база!B:B,0)),"")</f>
        <v/>
      </c>
    </row>
    <row r="679" spans="1:45" s="46" customFormat="1" ht="15">
      <c r="A679" s="66" t="str">
        <f t="shared" si="8"/>
        <v>январь</v>
      </c>
      <c r="B679" s="231">
        <v>2024</v>
      </c>
      <c r="C679" s="299"/>
      <c r="D679" s="61"/>
      <c r="E679" s="211"/>
      <c r="F679" s="680"/>
      <c r="G679" s="47"/>
      <c r="H679" s="563"/>
      <c r="I679" s="563"/>
      <c r="J679" s="563"/>
      <c r="K679" s="563"/>
      <c r="L679" s="563"/>
      <c r="M679" s="563"/>
      <c r="N679" s="563"/>
      <c r="O679" s="563"/>
      <c r="P679" s="300"/>
      <c r="Q679" s="563"/>
      <c r="R679" s="563"/>
      <c r="S679" s="563"/>
      <c r="T679" s="563"/>
      <c r="U679" s="563"/>
      <c r="V679" s="563"/>
      <c r="W679" s="563"/>
      <c r="X679" s="563"/>
      <c r="Y679" s="563"/>
      <c r="Z679" s="563"/>
      <c r="AA679" s="563"/>
      <c r="AB679" s="563"/>
      <c r="AC679" s="563"/>
      <c r="AD679" s="48"/>
      <c r="AE679" s="48"/>
      <c r="AF679" s="258"/>
      <c r="AG679" s="48"/>
      <c r="AH679" s="48"/>
      <c r="AI679" s="258"/>
      <c r="AJ679" s="258"/>
      <c r="AK679" s="258"/>
      <c r="AL679" s="258"/>
      <c r="AM679" s="212">
        <f>IF(AQ679=1,SUM(Q679:T679,W679:Z679,AC679:AF679,AI679:AL679),
IF(AQ679=2,SUM(P679,S679:V679,Y679:AB679,AE679:AH679,AK679:AL679),
IF(AQ679=3,SUM(P679:R679,U679:X679,AA679:AD679,AG679:AJ679),SUM(Таблица1[[#This Row],[1]:[31]])-Таблица1[[#This Row],[Столбец1]])))</f>
        <v>0</v>
      </c>
      <c r="AN679" s="778">
        <f t="array" ref="AN679">IF(AQ679=1,SUM(P679,U679:V679,AA679:AB679,AG679:AH679),
IF(AQ679=2,SUM(Q679:R679,W679:X679,AC679:AD679,AI679:AJ679),
IF(AQ679=3,SUM(S679:T679,Y679:Z679,AE679:AF679,AK679:AL679),
SUM(IFERROR(WEEKDAY($H$2:$AL$2,2)&gt;5,)*H679:AL679))))+Таблица1[[#This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79" s="292" t="b">
        <f>IF(AR679&lt;=3,(IF((G679="5/24"),((база!$M$6*Таблица1[[#This Row],[сумма]]*Таблица1[[#This Row],[коэф]])),
IF((G679="4/24"),((база!$M$5*Таблица1[[#This Row],[сумма]]*Таблица1[[#This Row],[коэф]])),
IF((G679="3/24"),((база!$M$4*Таблица1[[#This Row],[сумма]]*Таблица1[[#This Row],[коэф]])),
IF((G679="5/16"),((база!$L$6*Таблица1[[#This Row],[сумма]]*Таблица1[[#This Row],[коэф]])),
IF((G679="4/16"),((база!$L$5*Таблица1[[#This Row],[сумма]]*Таблица1[[#This Row],[коэф]])),
IF((G679="3/16"),((база!$L$4*Таблица1[[#This Row],[сумма]]*Таблица1[[#This Row],[коэф]])),
IF((G679="4/4"),((база!$I$5*Таблица1[[#This Row],[сумма]]*Таблица1[[#This Row],[коэф]])),
IF(OR(G679="2/4",G679="3/4"),((база!$I$4*Таблица1[[#This Row],[сумма]]*Таблица1[[#This Row],[коэф]])),
IF((G679="5/8"),((база!$J$6*Таблица1[[#This Row],[сумма]]*Таблица1[[#This Row],[коэф]])),
IF((G679="4/8"),((база!$J$5*Таблица1[[#This Row],[сумма]]*Таблица1[[#This Row],[коэф]])),
IF(OR(G679="3/8",G679="2/8"),((база!$J$4*Таблица1[[#This Row],[сумма]]*Таблица1[[#This Row],[коэф]])))))))))))))),
(IF((G679="5/24"),((база!$M$6*Таблица1[[#This Row],[сумма]]*Таблица1[[#This Row],[коэф]])),
IF(OR(G679="4/24",G679="3/24"),((база!$M$5*Таблица1[[#This Row],[сумма]]*Таблица1[[#This Row],[коэф]])),
IF((G679="5/16"),((база!$L$6*Таблица1[[#This Row],[сумма]]*Таблица1[[#This Row],[коэф]])),
IF(OR(G679="4/16",G679="3/16"),((база!$L$5*Таблица1[[#This Row],[сумма]]*Таблица1[[#This Row],[коэф]])),
IF(OR(G679="2/4",G679="3/4",G679="4/4"),((база!$I$5*Таблица1[[#This Row],[сумма]]*Таблица1[[#This Row],[коэф]])),
IF((G679="5/8"),((база!$J$6*Таблица1[[#This Row],[сумма]]*Таблица1[[#This Row],[коэф]])),
IF(OR(G679="4/8",G679="3/8",G679="2/8"),((база!$J$5*Таблица1[[#This Row],[сумма]]*Таблица1[[#This Row],[коэф]])))))))))))</f>
        <v>0</v>
      </c>
      <c r="AP679" s="730" t="b">
        <f>IF(AR679&lt;=3,(IF((G679="5/24"),((база!$M$6*2*Таблица1[[#This Row],[Столбец1]]*Таблица1[[#This Row],[коэф]])),
IF((G679="4/24"),((база!$M$5*2*Таблица1[[#This Row],[Столбец1]]*Таблица1[[#This Row],[коэф]])),
IF((G679="3/24"),((база!$M$4*2*Таблица1[[#This Row],[Столбец1]]*Таблица1[[#This Row],[коэф]])),
IF((G679="5/16"),((база!$L$6*2*Таблица1[[#This Row],[Столбец1]]*Таблица1[[#This Row],[коэф]])),
IF((G679="4/16"),((база!$L$5*2*Таблица1[[#This Row],[Столбец1]]*Таблица1[[#This Row],[коэф]])),
IF((G679="3/16"),((база!$L$4*2*Таблица1[[#This Row],[Столбец1]]*Таблица1[[#This Row],[коэф]])),
IF((G679="4/4"),((база!$I$5*2*Таблица1[[#This Row],[Столбец1]]*Таблица1[[#This Row],[коэф]])),
IF(OR(G679="2/4",G679="3/4"),((база!$I$4*2*Таблица1[[#This Row],[Столбец1]]*Таблица1[[#This Row],[коэф]])),
IF((G679="5/8"),((база!$J$6*2*Таблица1[[#This Row],[Столбец1]]*Таблица1[[#This Row],[коэф]])),
IF((G679="4/8"),((база!$J$5*2*Таблица1[[#This Row],[Столбец1]]*Таблица1[[#This Row],[коэф]])),
IF(OR(G679="3/8",G679="2/8"),((база!$J$4*2*Таблица1[[#This Row],[Столбец1]]*Таблица1[[#This Row],[коэф]])))))))))))))),
(IF((G679="5/24"),((база!$M$6*2*Таблица1[[#This Row],[Столбец1]]*Таблица1[[#This Row],[коэф]])),
IF(OR(G679="4/24",G679="3/24"),((база!$M$5*2*Таблица1[[#This Row],[Столбец1]]*Таблица1[[#This Row],[коэф]])),
IF((G679="5/16"),((база!$L$6*2*Таблица1[[#This Row],[Столбец1]]*Таблица1[[#This Row],[коэф]])),
IF(OR(G679="4/16",G679="3/16"),((база!$L$5*2*Таблица1[[#This Row],[Столбец1]]*Таблица1[[#This Row],[коэф]])),
IF(OR(G679="2/4",G679="3/4",G679="4/4"),((база!$I$5*2*Таблица1[[#This Row],[Столбец1]]*Таблица1[[#This Row],[коэф]])),
IF((G679="5/8"),((база!$J$6*2*Таблица1[[#This Row],[Столбец1]]*Таблица1[[#This Row],[коэф]])),
IF(OR(G679="4/8",G679="3/8",G679="2/8"),((база!$J$5*2*Таблица1[[#This Row],[Столбец1]]*Таблица1[[#This Row],[коэф]])))))))))))</f>
        <v>0</v>
      </c>
      <c r="AQ679" s="712" t="str">
        <f>IFERROR(INDEX(база!T:T, MATCH(F679,база!Q:Q,0)),"")</f>
        <v/>
      </c>
      <c r="AR679" s="208" t="str">
        <f>IFERROR(INDEX(база!D:D, MATCH(F679,база!B:B,0)),"")</f>
        <v/>
      </c>
      <c r="AS679" s="758" t="str">
        <f>IFERROR(INDEX(база!E:E, MATCH(F679,база!B:B,0)),"")</f>
        <v/>
      </c>
    </row>
    <row r="680" spans="1:45" s="46" customFormat="1" ht="15">
      <c r="A680" s="66" t="str">
        <f t="shared" si="8"/>
        <v>январь</v>
      </c>
      <c r="B680" s="231">
        <v>2024</v>
      </c>
      <c r="C680" s="299"/>
      <c r="D680" s="61"/>
      <c r="E680" s="211"/>
      <c r="F680" s="680"/>
      <c r="G680" s="47"/>
      <c r="H680" s="563"/>
      <c r="I680" s="563"/>
      <c r="J680" s="563"/>
      <c r="K680" s="563"/>
      <c r="L680" s="563"/>
      <c r="M680" s="563"/>
      <c r="N680" s="563"/>
      <c r="O680" s="563"/>
      <c r="P680" s="300"/>
      <c r="Q680" s="563"/>
      <c r="R680" s="563"/>
      <c r="S680" s="563"/>
      <c r="T680" s="563"/>
      <c r="U680" s="563"/>
      <c r="V680" s="563"/>
      <c r="W680" s="563"/>
      <c r="X680" s="563"/>
      <c r="Y680" s="563"/>
      <c r="Z680" s="563"/>
      <c r="AA680" s="563"/>
      <c r="AB680" s="563"/>
      <c r="AC680" s="563"/>
      <c r="AD680" s="48"/>
      <c r="AE680" s="48"/>
      <c r="AF680" s="258"/>
      <c r="AG680" s="48"/>
      <c r="AH680" s="48"/>
      <c r="AI680" s="48"/>
      <c r="AJ680" s="48"/>
      <c r="AK680" s="48"/>
      <c r="AL680" s="51"/>
      <c r="AM680" s="212">
        <f>IF(AQ680=1,SUM(Q680:T680,W680:Z680,AC680:AF680,AI680:AL680),
IF(AQ680=2,SUM(P680,S680:V680,Y680:AB680,AE680:AH680,AK680:AL680),
IF(AQ680=3,SUM(P680:R680,U680:X680,AA680:AD680,AG680:AJ680),SUM(Таблица1[[#This Row],[1]:[31]])-Таблица1[[#This Row],[Столбец1]])))</f>
        <v>0</v>
      </c>
      <c r="AN680" s="778">
        <f t="array" ref="AN680">IF(AQ680=1,SUM(P680,U680:V680,AA680:AB680,AG680:AH680),
IF(AQ680=2,SUM(Q680:R680,W680:X680,AC680:AD680,AI680:AJ680),
IF(AQ680=3,SUM(S680:T680,Y680:Z680,AE680:AF680,AK680:AL680),
SUM(IFERROR(WEEKDAY($H$2:$AL$2,2)&gt;5,)*H680:AL680))))+Таблица1[[#This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80" s="292" t="b">
        <f>IF(AR680&lt;=3,(IF((G680="5/24"),((база!$M$6*Таблица1[[#This Row],[сумма]]*Таблица1[[#This Row],[коэф]])),
IF((G680="4/24"),((база!$M$5*Таблица1[[#This Row],[сумма]]*Таблица1[[#This Row],[коэф]])),
IF((G680="3/24"),((база!$M$4*Таблица1[[#This Row],[сумма]]*Таблица1[[#This Row],[коэф]])),
IF((G680="5/16"),((база!$L$6*Таблица1[[#This Row],[сумма]]*Таблица1[[#This Row],[коэф]])),
IF((G680="4/16"),((база!$L$5*Таблица1[[#This Row],[сумма]]*Таблица1[[#This Row],[коэф]])),
IF((G680="3/16"),((база!$L$4*Таблица1[[#This Row],[сумма]]*Таблица1[[#This Row],[коэф]])),
IF((G680="4/4"),((база!$I$5*Таблица1[[#This Row],[сумма]]*Таблица1[[#This Row],[коэф]])),
IF(OR(G680="2/4",G680="3/4"),((база!$I$4*Таблица1[[#This Row],[сумма]]*Таблица1[[#This Row],[коэф]])),
IF((G680="5/8"),((база!$J$6*Таблица1[[#This Row],[сумма]]*Таблица1[[#This Row],[коэф]])),
IF((G680="4/8"),((база!$J$5*Таблица1[[#This Row],[сумма]]*Таблица1[[#This Row],[коэф]])),
IF(OR(G680="3/8",G680="2/8"),((база!$J$4*Таблица1[[#This Row],[сумма]]*Таблица1[[#This Row],[коэф]])))))))))))))),
(IF((G680="5/24"),((база!$M$6*Таблица1[[#This Row],[сумма]]*Таблица1[[#This Row],[коэф]])),
IF(OR(G680="4/24",G680="3/24"),((база!$M$5*Таблица1[[#This Row],[сумма]]*Таблица1[[#This Row],[коэф]])),
IF((G680="5/16"),((база!$L$6*Таблица1[[#This Row],[сумма]]*Таблица1[[#This Row],[коэф]])),
IF(OR(G680="4/16",G680="3/16"),((база!$L$5*Таблица1[[#This Row],[сумма]]*Таблица1[[#This Row],[коэф]])),
IF(OR(G680="2/4",G680="3/4",G680="4/4"),((база!$I$5*Таблица1[[#This Row],[сумма]]*Таблица1[[#This Row],[коэф]])),
IF((G680="5/8"),((база!$J$6*Таблица1[[#This Row],[сумма]]*Таблица1[[#This Row],[коэф]])),
IF(OR(G680="4/8",G680="3/8",G680="2/8"),((база!$J$5*Таблица1[[#This Row],[сумма]]*Таблица1[[#This Row],[коэф]])))))))))))</f>
        <v>0</v>
      </c>
      <c r="AP680" s="730" t="b">
        <f>IF(AR680&lt;=3,(IF((G680="5/24"),((база!$M$6*2*Таблица1[[#This Row],[Столбец1]]*Таблица1[[#This Row],[коэф]])),
IF((G680="4/24"),((база!$M$5*2*Таблица1[[#This Row],[Столбец1]]*Таблица1[[#This Row],[коэф]])),
IF((G680="3/24"),((база!$M$4*2*Таблица1[[#This Row],[Столбец1]]*Таблица1[[#This Row],[коэф]])),
IF((G680="5/16"),((база!$L$6*2*Таблица1[[#This Row],[Столбец1]]*Таблица1[[#This Row],[коэф]])),
IF((G680="4/16"),((база!$L$5*2*Таблица1[[#This Row],[Столбец1]]*Таблица1[[#This Row],[коэф]])),
IF((G680="3/16"),((база!$L$4*2*Таблица1[[#This Row],[Столбец1]]*Таблица1[[#This Row],[коэф]])),
IF((G680="4/4"),((база!$I$5*2*Таблица1[[#This Row],[Столбец1]]*Таблица1[[#This Row],[коэф]])),
IF(OR(G680="2/4",G680="3/4"),((база!$I$4*2*Таблица1[[#This Row],[Столбец1]]*Таблица1[[#This Row],[коэф]])),
IF((G680="5/8"),((база!$J$6*2*Таблица1[[#This Row],[Столбец1]]*Таблица1[[#This Row],[коэф]])),
IF((G680="4/8"),((база!$J$5*2*Таблица1[[#This Row],[Столбец1]]*Таблица1[[#This Row],[коэф]])),
IF(OR(G680="3/8",G680="2/8"),((база!$J$4*2*Таблица1[[#This Row],[Столбец1]]*Таблица1[[#This Row],[коэф]])))))))))))))),
(IF((G680="5/24"),((база!$M$6*2*Таблица1[[#This Row],[Столбец1]]*Таблица1[[#This Row],[коэф]])),
IF(OR(G680="4/24",G680="3/24"),((база!$M$5*2*Таблица1[[#This Row],[Столбец1]]*Таблица1[[#This Row],[коэф]])),
IF((G680="5/16"),((база!$L$6*2*Таблица1[[#This Row],[Столбец1]]*Таблица1[[#This Row],[коэф]])),
IF(OR(G680="4/16",G680="3/16"),((база!$L$5*2*Таблица1[[#This Row],[Столбец1]]*Таблица1[[#This Row],[коэф]])),
IF(OR(G680="2/4",G680="3/4",G680="4/4"),((база!$I$5*2*Таблица1[[#This Row],[Столбец1]]*Таблица1[[#This Row],[коэф]])),
IF((G680="5/8"),((база!$J$6*2*Таблица1[[#This Row],[Столбец1]]*Таблица1[[#This Row],[коэф]])),
IF(OR(G680="4/8",G680="3/8",G680="2/8"),((база!$J$5*2*Таблица1[[#This Row],[Столбец1]]*Таблица1[[#This Row],[коэф]])))))))))))</f>
        <v>0</v>
      </c>
      <c r="AQ680" s="712" t="str">
        <f>IFERROR(INDEX(база!T:T, MATCH(F680,база!Q:Q,0)),"")</f>
        <v/>
      </c>
      <c r="AR680" s="208" t="str">
        <f>IFERROR(INDEX(база!D:D, MATCH(F680,база!B:B,0)),"")</f>
        <v/>
      </c>
      <c r="AS680" s="758" t="str">
        <f>IFERROR(INDEX(база!E:E, MATCH(F680,база!B:B,0)),"")</f>
        <v/>
      </c>
    </row>
    <row r="681" spans="1:45" s="46" customFormat="1" ht="15">
      <c r="A681" s="66" t="str">
        <f t="shared" si="8"/>
        <v>январь</v>
      </c>
      <c r="B681" s="231">
        <v>2024</v>
      </c>
      <c r="C681" s="299"/>
      <c r="D681" s="61"/>
      <c r="E681" s="211"/>
      <c r="F681" s="680"/>
      <c r="G681" s="47"/>
      <c r="H681" s="563"/>
      <c r="I681" s="563"/>
      <c r="J681" s="563"/>
      <c r="K681" s="563"/>
      <c r="L681" s="563"/>
      <c r="M681" s="563"/>
      <c r="N681" s="563"/>
      <c r="O681" s="563"/>
      <c r="P681" s="300"/>
      <c r="Q681" s="563"/>
      <c r="R681" s="563"/>
      <c r="S681" s="563"/>
      <c r="T681" s="563"/>
      <c r="U681" s="563"/>
      <c r="V681" s="563"/>
      <c r="W681" s="563"/>
      <c r="X681" s="563"/>
      <c r="Y681" s="563"/>
      <c r="Z681" s="563"/>
      <c r="AA681" s="563"/>
      <c r="AB681" s="563"/>
      <c r="AC681" s="563"/>
      <c r="AD681" s="48"/>
      <c r="AE681" s="48"/>
      <c r="AF681" s="258"/>
      <c r="AG681" s="48"/>
      <c r="AH681" s="48"/>
      <c r="AI681" s="258"/>
      <c r="AJ681" s="258"/>
      <c r="AK681" s="258"/>
      <c r="AL681" s="258"/>
      <c r="AM681" s="212">
        <f>IF(AQ681=1,SUM(Q681:T681,W681:Z681,AC681:AF681,AI681:AL681),
IF(AQ681=2,SUM(P681,S681:V681,Y681:AB681,AE681:AH681,AK681:AL681),
IF(AQ681=3,SUM(P681:R681,U681:X681,AA681:AD681,AG681:AJ681),SUM(Таблица1[[#This Row],[1]:[31]])-Таблица1[[#This Row],[Столбец1]])))</f>
        <v>0</v>
      </c>
      <c r="AN681" s="778">
        <f t="array" ref="AN681">IF(AQ681=1,SUM(P681,U681:V681,AA681:AB681,AG681:AH681),
IF(AQ681=2,SUM(Q681:R681,W681:X681,AC681:AD681,AI681:AJ681),
IF(AQ681=3,SUM(S681:T681,Y681:Z681,AE681:AF681,AK681:AL681),
SUM(IFERROR(WEEKDAY($H$2:$AL$2,2)&gt;5,)*H681:AL681))))+Таблица1[[#This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81" s="292" t="b">
        <f>IF(AR681&lt;=3,(IF((G681="5/24"),((база!$M$6*Таблица1[[#This Row],[сумма]]*Таблица1[[#This Row],[коэф]])),
IF((G681="4/24"),((база!$M$5*Таблица1[[#This Row],[сумма]]*Таблица1[[#This Row],[коэф]])),
IF((G681="3/24"),((база!$M$4*Таблица1[[#This Row],[сумма]]*Таблица1[[#This Row],[коэф]])),
IF((G681="5/16"),((база!$L$6*Таблица1[[#This Row],[сумма]]*Таблица1[[#This Row],[коэф]])),
IF((G681="4/16"),((база!$L$5*Таблица1[[#This Row],[сумма]]*Таблица1[[#This Row],[коэф]])),
IF((G681="3/16"),((база!$L$4*Таблица1[[#This Row],[сумма]]*Таблица1[[#This Row],[коэф]])),
IF((G681="4/4"),((база!$I$5*Таблица1[[#This Row],[сумма]]*Таблица1[[#This Row],[коэф]])),
IF(OR(G681="2/4",G681="3/4"),((база!$I$4*Таблица1[[#This Row],[сумма]]*Таблица1[[#This Row],[коэф]])),
IF((G681="5/8"),((база!$J$6*Таблица1[[#This Row],[сумма]]*Таблица1[[#This Row],[коэф]])),
IF((G681="4/8"),((база!$J$5*Таблица1[[#This Row],[сумма]]*Таблица1[[#This Row],[коэф]])),
IF(OR(G681="3/8",G681="2/8"),((база!$J$4*Таблица1[[#This Row],[сумма]]*Таблица1[[#This Row],[коэф]])))))))))))))),
(IF((G681="5/24"),((база!$M$6*Таблица1[[#This Row],[сумма]]*Таблица1[[#This Row],[коэф]])),
IF(OR(G681="4/24",G681="3/24"),((база!$M$5*Таблица1[[#This Row],[сумма]]*Таблица1[[#This Row],[коэф]])),
IF((G681="5/16"),((база!$L$6*Таблица1[[#This Row],[сумма]]*Таблица1[[#This Row],[коэф]])),
IF(OR(G681="4/16",G681="3/16"),((база!$L$5*Таблица1[[#This Row],[сумма]]*Таблица1[[#This Row],[коэф]])),
IF(OR(G681="2/4",G681="3/4",G681="4/4"),((база!$I$5*Таблица1[[#This Row],[сумма]]*Таблица1[[#This Row],[коэф]])),
IF((G681="5/8"),((база!$J$6*Таблица1[[#This Row],[сумма]]*Таблица1[[#This Row],[коэф]])),
IF(OR(G681="4/8",G681="3/8",G681="2/8"),((база!$J$5*Таблица1[[#This Row],[сумма]]*Таблица1[[#This Row],[коэф]])))))))))))</f>
        <v>0</v>
      </c>
      <c r="AP681" s="730" t="b">
        <f>IF(AR681&lt;=3,(IF((G681="5/24"),((база!$M$6*2*Таблица1[[#This Row],[Столбец1]]*Таблица1[[#This Row],[коэф]])),
IF((G681="4/24"),((база!$M$5*2*Таблица1[[#This Row],[Столбец1]]*Таблица1[[#This Row],[коэф]])),
IF((G681="3/24"),((база!$M$4*2*Таблица1[[#This Row],[Столбец1]]*Таблица1[[#This Row],[коэф]])),
IF((G681="5/16"),((база!$L$6*2*Таблица1[[#This Row],[Столбец1]]*Таблица1[[#This Row],[коэф]])),
IF((G681="4/16"),((база!$L$5*2*Таблица1[[#This Row],[Столбец1]]*Таблица1[[#This Row],[коэф]])),
IF((G681="3/16"),((база!$L$4*2*Таблица1[[#This Row],[Столбец1]]*Таблица1[[#This Row],[коэф]])),
IF((G681="4/4"),((база!$I$5*2*Таблица1[[#This Row],[Столбец1]]*Таблица1[[#This Row],[коэф]])),
IF(OR(G681="2/4",G681="3/4"),((база!$I$4*2*Таблица1[[#This Row],[Столбец1]]*Таблица1[[#This Row],[коэф]])),
IF((G681="5/8"),((база!$J$6*2*Таблица1[[#This Row],[Столбец1]]*Таблица1[[#This Row],[коэф]])),
IF((G681="4/8"),((база!$J$5*2*Таблица1[[#This Row],[Столбец1]]*Таблица1[[#This Row],[коэф]])),
IF(OR(G681="3/8",G681="2/8"),((база!$J$4*2*Таблица1[[#This Row],[Столбец1]]*Таблица1[[#This Row],[коэф]])))))))))))))),
(IF((G681="5/24"),((база!$M$6*2*Таблица1[[#This Row],[Столбец1]]*Таблица1[[#This Row],[коэф]])),
IF(OR(G681="4/24",G681="3/24"),((база!$M$5*2*Таблица1[[#This Row],[Столбец1]]*Таблица1[[#This Row],[коэф]])),
IF((G681="5/16"),((база!$L$6*2*Таблица1[[#This Row],[Столбец1]]*Таблица1[[#This Row],[коэф]])),
IF(OR(G681="4/16",G681="3/16"),((база!$L$5*2*Таблица1[[#This Row],[Столбец1]]*Таблица1[[#This Row],[коэф]])),
IF(OR(G681="2/4",G681="3/4",G681="4/4"),((база!$I$5*2*Таблица1[[#This Row],[Столбец1]]*Таблица1[[#This Row],[коэф]])),
IF((G681="5/8"),((база!$J$6*2*Таблица1[[#This Row],[Столбец1]]*Таблица1[[#This Row],[коэф]])),
IF(OR(G681="4/8",G681="3/8",G681="2/8"),((база!$J$5*2*Таблица1[[#This Row],[Столбец1]]*Таблица1[[#This Row],[коэф]])))))))))))</f>
        <v>0</v>
      </c>
      <c r="AQ681" s="712" t="str">
        <f>IFERROR(INDEX(база!T:T, MATCH(F681,база!Q:Q,0)),"")</f>
        <v/>
      </c>
      <c r="AR681" s="208" t="str">
        <f>IFERROR(INDEX(база!D:D, MATCH(F681,база!B:B,0)),"")</f>
        <v/>
      </c>
      <c r="AS681" s="758" t="str">
        <f>IFERROR(INDEX(база!E:E, MATCH(F681,база!B:B,0)),"")</f>
        <v/>
      </c>
    </row>
    <row r="682" spans="1:45" s="46" customFormat="1" ht="15">
      <c r="A682" s="66" t="str">
        <f t="shared" si="8"/>
        <v>январь</v>
      </c>
      <c r="B682" s="231">
        <v>2024</v>
      </c>
      <c r="C682" s="299"/>
      <c r="D682" s="61"/>
      <c r="E682" s="211"/>
      <c r="F682" s="680"/>
      <c r="G682" s="47"/>
      <c r="H682" s="563"/>
      <c r="I682" s="563"/>
      <c r="J682" s="563"/>
      <c r="K682" s="563"/>
      <c r="L682" s="563"/>
      <c r="M682" s="563"/>
      <c r="N682" s="563"/>
      <c r="O682" s="563"/>
      <c r="P682" s="300"/>
      <c r="Q682" s="563"/>
      <c r="R682" s="563"/>
      <c r="S682" s="563"/>
      <c r="T682" s="563"/>
      <c r="U682" s="563"/>
      <c r="V682" s="563"/>
      <c r="W682" s="563"/>
      <c r="X682" s="563"/>
      <c r="Y682" s="563"/>
      <c r="Z682" s="563"/>
      <c r="AA682" s="563"/>
      <c r="AB682" s="563"/>
      <c r="AC682" s="563"/>
      <c r="AD682" s="48"/>
      <c r="AE682" s="48"/>
      <c r="AF682" s="258"/>
      <c r="AG682" s="48"/>
      <c r="AH682" s="48"/>
      <c r="AI682" s="48"/>
      <c r="AJ682" s="48"/>
      <c r="AK682" s="48"/>
      <c r="AL682" s="51"/>
      <c r="AM682" s="212">
        <f>IF(AQ682=1,SUM(Q682:T682,W682:Z682,AC682:AF682,AI682:AL682),
IF(AQ682=2,SUM(P682,S682:V682,Y682:AB682,AE682:AH682,AK682:AL682),
IF(AQ682=3,SUM(P682:R682,U682:X682,AA682:AD682,AG682:AJ682),SUM(Таблица1[[#This Row],[1]:[31]])-Таблица1[[#This Row],[Столбец1]])))</f>
        <v>0</v>
      </c>
      <c r="AN682" s="778">
        <f t="array" ref="AN682">IF(AQ682=1,SUM(P682,U682:V682,AA682:AB682,AG682:AH682),
IF(AQ682=2,SUM(Q682:R682,W682:X682,AC682:AD682,AI682:AJ682),
IF(AQ682=3,SUM(S682:T682,Y682:Z682,AE682:AF682,AK682:AL682),
SUM(IFERROR(WEEKDAY($H$2:$AL$2,2)&gt;5,)*H682:AL682))))+Таблица1[[#This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82" s="292" t="b">
        <f>IF(AR682&lt;=3,(IF((G682="5/24"),((база!$M$6*Таблица1[[#This Row],[сумма]]*Таблица1[[#This Row],[коэф]])),
IF((G682="4/24"),((база!$M$5*Таблица1[[#This Row],[сумма]]*Таблица1[[#This Row],[коэф]])),
IF((G682="3/24"),((база!$M$4*Таблица1[[#This Row],[сумма]]*Таблица1[[#This Row],[коэф]])),
IF((G682="5/16"),((база!$L$6*Таблица1[[#This Row],[сумма]]*Таблица1[[#This Row],[коэф]])),
IF((G682="4/16"),((база!$L$5*Таблица1[[#This Row],[сумма]]*Таблица1[[#This Row],[коэф]])),
IF((G682="3/16"),((база!$L$4*Таблица1[[#This Row],[сумма]]*Таблица1[[#This Row],[коэф]])),
IF((G682="4/4"),((база!$I$5*Таблица1[[#This Row],[сумма]]*Таблица1[[#This Row],[коэф]])),
IF(OR(G682="2/4",G682="3/4"),((база!$I$4*Таблица1[[#This Row],[сумма]]*Таблица1[[#This Row],[коэф]])),
IF((G682="5/8"),((база!$J$6*Таблица1[[#This Row],[сумма]]*Таблица1[[#This Row],[коэф]])),
IF((G682="4/8"),((база!$J$5*Таблица1[[#This Row],[сумма]]*Таблица1[[#This Row],[коэф]])),
IF(OR(G682="3/8",G682="2/8"),((база!$J$4*Таблица1[[#This Row],[сумма]]*Таблица1[[#This Row],[коэф]])))))))))))))),
(IF((G682="5/24"),((база!$M$6*Таблица1[[#This Row],[сумма]]*Таблица1[[#This Row],[коэф]])),
IF(OR(G682="4/24",G682="3/24"),((база!$M$5*Таблица1[[#This Row],[сумма]]*Таблица1[[#This Row],[коэф]])),
IF((G682="5/16"),((база!$L$6*Таблица1[[#This Row],[сумма]]*Таблица1[[#This Row],[коэф]])),
IF(OR(G682="4/16",G682="3/16"),((база!$L$5*Таблица1[[#This Row],[сумма]]*Таблица1[[#This Row],[коэф]])),
IF(OR(G682="2/4",G682="3/4",G682="4/4"),((база!$I$5*Таблица1[[#This Row],[сумма]]*Таблица1[[#This Row],[коэф]])),
IF((G682="5/8"),((база!$J$6*Таблица1[[#This Row],[сумма]]*Таблица1[[#This Row],[коэф]])),
IF(OR(G682="4/8",G682="3/8",G682="2/8"),((база!$J$5*Таблица1[[#This Row],[сумма]]*Таблица1[[#This Row],[коэф]])))))))))))</f>
        <v>0</v>
      </c>
      <c r="AP682" s="730" t="b">
        <f>IF(AR682&lt;=3,(IF((G682="5/24"),((база!$M$6*2*Таблица1[[#This Row],[Столбец1]]*Таблица1[[#This Row],[коэф]])),
IF((G682="4/24"),((база!$M$5*2*Таблица1[[#This Row],[Столбец1]]*Таблица1[[#This Row],[коэф]])),
IF((G682="3/24"),((база!$M$4*2*Таблица1[[#This Row],[Столбец1]]*Таблица1[[#This Row],[коэф]])),
IF((G682="5/16"),((база!$L$6*2*Таблица1[[#This Row],[Столбец1]]*Таблица1[[#This Row],[коэф]])),
IF((G682="4/16"),((база!$L$5*2*Таблица1[[#This Row],[Столбец1]]*Таблица1[[#This Row],[коэф]])),
IF((G682="3/16"),((база!$L$4*2*Таблица1[[#This Row],[Столбец1]]*Таблица1[[#This Row],[коэф]])),
IF((G682="4/4"),((база!$I$5*2*Таблица1[[#This Row],[Столбец1]]*Таблица1[[#This Row],[коэф]])),
IF(OR(G682="2/4",G682="3/4"),((база!$I$4*2*Таблица1[[#This Row],[Столбец1]]*Таблица1[[#This Row],[коэф]])),
IF((G682="5/8"),((база!$J$6*2*Таблица1[[#This Row],[Столбец1]]*Таблица1[[#This Row],[коэф]])),
IF((G682="4/8"),((база!$J$5*2*Таблица1[[#This Row],[Столбец1]]*Таблица1[[#This Row],[коэф]])),
IF(OR(G682="3/8",G682="2/8"),((база!$J$4*2*Таблица1[[#This Row],[Столбец1]]*Таблица1[[#This Row],[коэф]])))))))))))))),
(IF((G682="5/24"),((база!$M$6*2*Таблица1[[#This Row],[Столбец1]]*Таблица1[[#This Row],[коэф]])),
IF(OR(G682="4/24",G682="3/24"),((база!$M$5*2*Таблица1[[#This Row],[Столбец1]]*Таблица1[[#This Row],[коэф]])),
IF((G682="5/16"),((база!$L$6*2*Таблица1[[#This Row],[Столбец1]]*Таблица1[[#This Row],[коэф]])),
IF(OR(G682="4/16",G682="3/16"),((база!$L$5*2*Таблица1[[#This Row],[Столбец1]]*Таблица1[[#This Row],[коэф]])),
IF(OR(G682="2/4",G682="3/4",G682="4/4"),((база!$I$5*2*Таблица1[[#This Row],[Столбец1]]*Таблица1[[#This Row],[коэф]])),
IF((G682="5/8"),((база!$J$6*2*Таблица1[[#This Row],[Столбец1]]*Таблица1[[#This Row],[коэф]])),
IF(OR(G682="4/8",G682="3/8",G682="2/8"),((база!$J$5*2*Таблица1[[#This Row],[Столбец1]]*Таблица1[[#This Row],[коэф]])))))))))))</f>
        <v>0</v>
      </c>
      <c r="AQ682" s="712" t="str">
        <f>IFERROR(INDEX(база!T:T, MATCH(F682,база!Q:Q,0)),"")</f>
        <v/>
      </c>
      <c r="AR682" s="208" t="str">
        <f>IFERROR(INDEX(база!D:D, MATCH(F682,база!B:B,0)),"")</f>
        <v/>
      </c>
      <c r="AS682" s="758" t="str">
        <f>IFERROR(INDEX(база!E:E, MATCH(F682,база!B:B,0)),"")</f>
        <v/>
      </c>
    </row>
    <row r="683" spans="1:45" s="46" customFormat="1" ht="15">
      <c r="A683" s="66" t="str">
        <f t="shared" si="8"/>
        <v>январь</v>
      </c>
      <c r="B683" s="231">
        <v>2024</v>
      </c>
      <c r="C683" s="299"/>
      <c r="D683" s="61"/>
      <c r="E683" s="211"/>
      <c r="F683" s="680"/>
      <c r="G683" s="47"/>
      <c r="H683" s="563"/>
      <c r="I683" s="563"/>
      <c r="J683" s="563"/>
      <c r="K683" s="563"/>
      <c r="L683" s="563"/>
      <c r="M683" s="563"/>
      <c r="N683" s="563"/>
      <c r="O683" s="563"/>
      <c r="P683" s="300"/>
      <c r="Q683" s="563"/>
      <c r="R683" s="563"/>
      <c r="S683" s="563"/>
      <c r="T683" s="563"/>
      <c r="U683" s="563"/>
      <c r="V683" s="563"/>
      <c r="W683" s="563"/>
      <c r="X683" s="563"/>
      <c r="Y683" s="563"/>
      <c r="Z683" s="563"/>
      <c r="AA683" s="563"/>
      <c r="AB683" s="563"/>
      <c r="AC683" s="563"/>
      <c r="AD683" s="48"/>
      <c r="AE683" s="48"/>
      <c r="AF683" s="258"/>
      <c r="AG683" s="48"/>
      <c r="AH683" s="48"/>
      <c r="AI683" s="258"/>
      <c r="AJ683" s="258"/>
      <c r="AK683" s="258"/>
      <c r="AL683" s="258"/>
      <c r="AM683" s="212">
        <f>IF(AQ683=1,SUM(Q683:T683,W683:Z683,AC683:AF683,AI683:AL683),
IF(AQ683=2,SUM(P683,S683:V683,Y683:AB683,AE683:AH683,AK683:AL683),
IF(AQ683=3,SUM(P683:R683,U683:X683,AA683:AD683,AG683:AJ683),SUM(Таблица1[[#This Row],[1]:[31]])-Таблица1[[#This Row],[Столбец1]])))</f>
        <v>0</v>
      </c>
      <c r="AN683" s="778">
        <f t="array" ref="AN683">IF(AQ683=1,SUM(P683,U683:V683,AA683:AB683,AG683:AH683),
IF(AQ683=2,SUM(Q683:R683,W683:X683,AC683:AD683,AI683:AJ683),
IF(AQ683=3,SUM(S683:T683,Y683:Z683,AE683:AF683,AK683:AL683),
SUM(IFERROR(WEEKDAY($H$2:$AL$2,2)&gt;5,)*H683:AL683))))+Таблица1[[#This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83" s="292" t="b">
        <f>IF(AR683&lt;=3,(IF((G683="5/24"),((база!$M$6*Таблица1[[#This Row],[сумма]]*Таблица1[[#This Row],[коэф]])),
IF((G683="4/24"),((база!$M$5*Таблица1[[#This Row],[сумма]]*Таблица1[[#This Row],[коэф]])),
IF((G683="3/24"),((база!$M$4*Таблица1[[#This Row],[сумма]]*Таблица1[[#This Row],[коэф]])),
IF((G683="5/16"),((база!$L$6*Таблица1[[#This Row],[сумма]]*Таблица1[[#This Row],[коэф]])),
IF((G683="4/16"),((база!$L$5*Таблица1[[#This Row],[сумма]]*Таблица1[[#This Row],[коэф]])),
IF((G683="3/16"),((база!$L$4*Таблица1[[#This Row],[сумма]]*Таблица1[[#This Row],[коэф]])),
IF((G683="4/4"),((база!$I$5*Таблица1[[#This Row],[сумма]]*Таблица1[[#This Row],[коэф]])),
IF(OR(G683="2/4",G683="3/4"),((база!$I$4*Таблица1[[#This Row],[сумма]]*Таблица1[[#This Row],[коэф]])),
IF((G683="5/8"),((база!$J$6*Таблица1[[#This Row],[сумма]]*Таблица1[[#This Row],[коэф]])),
IF((G683="4/8"),((база!$J$5*Таблица1[[#This Row],[сумма]]*Таблица1[[#This Row],[коэф]])),
IF(OR(G683="3/8",G683="2/8"),((база!$J$4*Таблица1[[#This Row],[сумма]]*Таблица1[[#This Row],[коэф]])))))))))))))),
(IF((G683="5/24"),((база!$M$6*Таблица1[[#This Row],[сумма]]*Таблица1[[#This Row],[коэф]])),
IF(OR(G683="4/24",G683="3/24"),((база!$M$5*Таблица1[[#This Row],[сумма]]*Таблица1[[#This Row],[коэф]])),
IF((G683="5/16"),((база!$L$6*Таблица1[[#This Row],[сумма]]*Таблица1[[#This Row],[коэф]])),
IF(OR(G683="4/16",G683="3/16"),((база!$L$5*Таблица1[[#This Row],[сумма]]*Таблица1[[#This Row],[коэф]])),
IF(OR(G683="2/4",G683="3/4",G683="4/4"),((база!$I$5*Таблица1[[#This Row],[сумма]]*Таблица1[[#This Row],[коэф]])),
IF((G683="5/8"),((база!$J$6*Таблица1[[#This Row],[сумма]]*Таблица1[[#This Row],[коэф]])),
IF(OR(G683="4/8",G683="3/8",G683="2/8"),((база!$J$5*Таблица1[[#This Row],[сумма]]*Таблица1[[#This Row],[коэф]])))))))))))</f>
        <v>0</v>
      </c>
      <c r="AP683" s="730" t="b">
        <f>IF(AR683&lt;=3,(IF((G683="5/24"),((база!$M$6*2*Таблица1[[#This Row],[Столбец1]]*Таблица1[[#This Row],[коэф]])),
IF((G683="4/24"),((база!$M$5*2*Таблица1[[#This Row],[Столбец1]]*Таблица1[[#This Row],[коэф]])),
IF((G683="3/24"),((база!$M$4*2*Таблица1[[#This Row],[Столбец1]]*Таблица1[[#This Row],[коэф]])),
IF((G683="5/16"),((база!$L$6*2*Таблица1[[#This Row],[Столбец1]]*Таблица1[[#This Row],[коэф]])),
IF((G683="4/16"),((база!$L$5*2*Таблица1[[#This Row],[Столбец1]]*Таблица1[[#This Row],[коэф]])),
IF((G683="3/16"),((база!$L$4*2*Таблица1[[#This Row],[Столбец1]]*Таблица1[[#This Row],[коэф]])),
IF((G683="4/4"),((база!$I$5*2*Таблица1[[#This Row],[Столбец1]]*Таблица1[[#This Row],[коэф]])),
IF(OR(G683="2/4",G683="3/4"),((база!$I$4*2*Таблица1[[#This Row],[Столбец1]]*Таблица1[[#This Row],[коэф]])),
IF((G683="5/8"),((база!$J$6*2*Таблица1[[#This Row],[Столбец1]]*Таблица1[[#This Row],[коэф]])),
IF((G683="4/8"),((база!$J$5*2*Таблица1[[#This Row],[Столбец1]]*Таблица1[[#This Row],[коэф]])),
IF(OR(G683="3/8",G683="2/8"),((база!$J$4*2*Таблица1[[#This Row],[Столбец1]]*Таблица1[[#This Row],[коэф]])))))))))))))),
(IF((G683="5/24"),((база!$M$6*2*Таблица1[[#This Row],[Столбец1]]*Таблица1[[#This Row],[коэф]])),
IF(OR(G683="4/24",G683="3/24"),((база!$M$5*2*Таблица1[[#This Row],[Столбец1]]*Таблица1[[#This Row],[коэф]])),
IF((G683="5/16"),((база!$L$6*2*Таблица1[[#This Row],[Столбец1]]*Таблица1[[#This Row],[коэф]])),
IF(OR(G683="4/16",G683="3/16"),((база!$L$5*2*Таблица1[[#This Row],[Столбец1]]*Таблица1[[#This Row],[коэф]])),
IF(OR(G683="2/4",G683="3/4",G683="4/4"),((база!$I$5*2*Таблица1[[#This Row],[Столбец1]]*Таблица1[[#This Row],[коэф]])),
IF((G683="5/8"),((база!$J$6*2*Таблица1[[#This Row],[Столбец1]]*Таблица1[[#This Row],[коэф]])),
IF(OR(G683="4/8",G683="3/8",G683="2/8"),((база!$J$5*2*Таблица1[[#This Row],[Столбец1]]*Таблица1[[#This Row],[коэф]])))))))))))</f>
        <v>0</v>
      </c>
      <c r="AQ683" s="712" t="str">
        <f>IFERROR(INDEX(база!T:T, MATCH(F683,база!Q:Q,0)),"")</f>
        <v/>
      </c>
      <c r="AR683" s="208" t="str">
        <f>IFERROR(INDEX(база!D:D, MATCH(F683,база!B:B,0)),"")</f>
        <v/>
      </c>
      <c r="AS683" s="758" t="str">
        <f>IFERROR(INDEX(база!E:E, MATCH(F683,база!B:B,0)),"")</f>
        <v/>
      </c>
    </row>
    <row r="684" spans="1:45" s="46" customFormat="1" ht="15">
      <c r="A684" s="66" t="str">
        <f t="shared" si="8"/>
        <v>январь</v>
      </c>
      <c r="B684" s="231">
        <v>2024</v>
      </c>
      <c r="C684" s="299"/>
      <c r="D684" s="61"/>
      <c r="E684" s="211"/>
      <c r="F684" s="680"/>
      <c r="G684" s="47"/>
      <c r="H684" s="563"/>
      <c r="I684" s="563"/>
      <c r="J684" s="563"/>
      <c r="K684" s="563"/>
      <c r="L684" s="563"/>
      <c r="M684" s="563"/>
      <c r="N684" s="563"/>
      <c r="O684" s="563"/>
      <c r="P684" s="300"/>
      <c r="Q684" s="563"/>
      <c r="R684" s="563"/>
      <c r="S684" s="563"/>
      <c r="T684" s="563"/>
      <c r="U684" s="563"/>
      <c r="V684" s="563"/>
      <c r="W684" s="563"/>
      <c r="X684" s="563"/>
      <c r="Y684" s="563"/>
      <c r="Z684" s="563"/>
      <c r="AA684" s="563"/>
      <c r="AB684" s="563"/>
      <c r="AC684" s="563"/>
      <c r="AD684" s="48"/>
      <c r="AE684" s="48"/>
      <c r="AF684" s="258"/>
      <c r="AG684" s="48"/>
      <c r="AH684" s="48"/>
      <c r="AI684" s="48"/>
      <c r="AJ684" s="48"/>
      <c r="AK684" s="48"/>
      <c r="AL684" s="51"/>
      <c r="AM684" s="212">
        <f>IF(AQ684=1,SUM(Q684:T684,W684:Z684,AC684:AF684,AI684:AL684),
IF(AQ684=2,SUM(P684,S684:V684,Y684:AB684,AE684:AH684,AK684:AL684),
IF(AQ684=3,SUM(P684:R684,U684:X684,AA684:AD684,AG684:AJ684),SUM(Таблица1[[#This Row],[1]:[31]])-Таблица1[[#This Row],[Столбец1]])))</f>
        <v>0</v>
      </c>
      <c r="AN684" s="778">
        <f t="array" ref="AN684">IF(AQ684=1,SUM(P684,U684:V684,AA684:AB684,AG684:AH684),
IF(AQ684=2,SUM(Q684:R684,W684:X684,AC684:AD684,AI684:AJ684),
IF(AQ684=3,SUM(S684:T684,Y684:Z684,AE684:AF684,AK684:AL684),
SUM(IFERROR(WEEKDAY($H$2:$AL$2,2)&gt;5,)*H684:AL684))))+Таблица1[[#This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84" s="292" t="b">
        <f>IF(AR684&lt;=3,(IF((G684="5/24"),((база!$M$6*Таблица1[[#This Row],[сумма]]*Таблица1[[#This Row],[коэф]])),
IF((G684="4/24"),((база!$M$5*Таблица1[[#This Row],[сумма]]*Таблица1[[#This Row],[коэф]])),
IF((G684="3/24"),((база!$M$4*Таблица1[[#This Row],[сумма]]*Таблица1[[#This Row],[коэф]])),
IF((G684="5/16"),((база!$L$6*Таблица1[[#This Row],[сумма]]*Таблица1[[#This Row],[коэф]])),
IF((G684="4/16"),((база!$L$5*Таблица1[[#This Row],[сумма]]*Таблица1[[#This Row],[коэф]])),
IF((G684="3/16"),((база!$L$4*Таблица1[[#This Row],[сумма]]*Таблица1[[#This Row],[коэф]])),
IF((G684="4/4"),((база!$I$5*Таблица1[[#This Row],[сумма]]*Таблица1[[#This Row],[коэф]])),
IF(OR(G684="2/4",G684="3/4"),((база!$I$4*Таблица1[[#This Row],[сумма]]*Таблица1[[#This Row],[коэф]])),
IF((G684="5/8"),((база!$J$6*Таблица1[[#This Row],[сумма]]*Таблица1[[#This Row],[коэф]])),
IF((G684="4/8"),((база!$J$5*Таблица1[[#This Row],[сумма]]*Таблица1[[#This Row],[коэф]])),
IF(OR(G684="3/8",G684="2/8"),((база!$J$4*Таблица1[[#This Row],[сумма]]*Таблица1[[#This Row],[коэф]])))))))))))))),
(IF((G684="5/24"),((база!$M$6*Таблица1[[#This Row],[сумма]]*Таблица1[[#This Row],[коэф]])),
IF(OR(G684="4/24",G684="3/24"),((база!$M$5*Таблица1[[#This Row],[сумма]]*Таблица1[[#This Row],[коэф]])),
IF((G684="5/16"),((база!$L$6*Таблица1[[#This Row],[сумма]]*Таблица1[[#This Row],[коэф]])),
IF(OR(G684="4/16",G684="3/16"),((база!$L$5*Таблица1[[#This Row],[сумма]]*Таблица1[[#This Row],[коэф]])),
IF(OR(G684="2/4",G684="3/4",G684="4/4"),((база!$I$5*Таблица1[[#This Row],[сумма]]*Таблица1[[#This Row],[коэф]])),
IF((G684="5/8"),((база!$J$6*Таблица1[[#This Row],[сумма]]*Таблица1[[#This Row],[коэф]])),
IF(OR(G684="4/8",G684="3/8",G684="2/8"),((база!$J$5*Таблица1[[#This Row],[сумма]]*Таблица1[[#This Row],[коэф]])))))))))))</f>
        <v>0</v>
      </c>
      <c r="AP684" s="730" t="b">
        <f>IF(AR684&lt;=3,(IF((G684="5/24"),((база!$M$6*2*Таблица1[[#This Row],[Столбец1]]*Таблица1[[#This Row],[коэф]])),
IF((G684="4/24"),((база!$M$5*2*Таблица1[[#This Row],[Столбец1]]*Таблица1[[#This Row],[коэф]])),
IF((G684="3/24"),((база!$M$4*2*Таблица1[[#This Row],[Столбец1]]*Таблица1[[#This Row],[коэф]])),
IF((G684="5/16"),((база!$L$6*2*Таблица1[[#This Row],[Столбец1]]*Таблица1[[#This Row],[коэф]])),
IF((G684="4/16"),((база!$L$5*2*Таблица1[[#This Row],[Столбец1]]*Таблица1[[#This Row],[коэф]])),
IF((G684="3/16"),((база!$L$4*2*Таблица1[[#This Row],[Столбец1]]*Таблица1[[#This Row],[коэф]])),
IF((G684="4/4"),((база!$I$5*2*Таблица1[[#This Row],[Столбец1]]*Таблица1[[#This Row],[коэф]])),
IF(OR(G684="2/4",G684="3/4"),((база!$I$4*2*Таблица1[[#This Row],[Столбец1]]*Таблица1[[#This Row],[коэф]])),
IF((G684="5/8"),((база!$J$6*2*Таблица1[[#This Row],[Столбец1]]*Таблица1[[#This Row],[коэф]])),
IF((G684="4/8"),((база!$J$5*2*Таблица1[[#This Row],[Столбец1]]*Таблица1[[#This Row],[коэф]])),
IF(OR(G684="3/8",G684="2/8"),((база!$J$4*2*Таблица1[[#This Row],[Столбец1]]*Таблица1[[#This Row],[коэф]])))))))))))))),
(IF((G684="5/24"),((база!$M$6*2*Таблица1[[#This Row],[Столбец1]]*Таблица1[[#This Row],[коэф]])),
IF(OR(G684="4/24",G684="3/24"),((база!$M$5*2*Таблица1[[#This Row],[Столбец1]]*Таблица1[[#This Row],[коэф]])),
IF((G684="5/16"),((база!$L$6*2*Таблица1[[#This Row],[Столбец1]]*Таблица1[[#This Row],[коэф]])),
IF(OR(G684="4/16",G684="3/16"),((база!$L$5*2*Таблица1[[#This Row],[Столбец1]]*Таблица1[[#This Row],[коэф]])),
IF(OR(G684="2/4",G684="3/4",G684="4/4"),((база!$I$5*2*Таблица1[[#This Row],[Столбец1]]*Таблица1[[#This Row],[коэф]])),
IF((G684="5/8"),((база!$J$6*2*Таблица1[[#This Row],[Столбец1]]*Таблица1[[#This Row],[коэф]])),
IF(OR(G684="4/8",G684="3/8",G684="2/8"),((база!$J$5*2*Таблица1[[#This Row],[Столбец1]]*Таблица1[[#This Row],[коэф]])))))))))))</f>
        <v>0</v>
      </c>
      <c r="AQ684" s="712" t="str">
        <f>IFERROR(INDEX(база!T:T, MATCH(F684,база!Q:Q,0)),"")</f>
        <v/>
      </c>
      <c r="AR684" s="208" t="str">
        <f>IFERROR(INDEX(база!D:D, MATCH(F684,база!B:B,0)),"")</f>
        <v/>
      </c>
      <c r="AS684" s="758" t="str">
        <f>IFERROR(INDEX(база!E:E, MATCH(F684,база!B:B,0)),"")</f>
        <v/>
      </c>
    </row>
    <row r="685" spans="1:45" s="46" customFormat="1" ht="15">
      <c r="A685" s="66" t="str">
        <f t="shared" si="8"/>
        <v>январь</v>
      </c>
      <c r="B685" s="231">
        <v>2024</v>
      </c>
      <c r="C685" s="299"/>
      <c r="D685" s="61"/>
      <c r="E685" s="211"/>
      <c r="F685" s="680"/>
      <c r="G685" s="47"/>
      <c r="H685" s="563"/>
      <c r="I685" s="563"/>
      <c r="J685" s="563"/>
      <c r="K685" s="563"/>
      <c r="L685" s="563"/>
      <c r="M685" s="563"/>
      <c r="N685" s="563"/>
      <c r="O685" s="563"/>
      <c r="P685" s="300"/>
      <c r="Q685" s="563"/>
      <c r="R685" s="563"/>
      <c r="S685" s="563"/>
      <c r="T685" s="563"/>
      <c r="U685" s="563"/>
      <c r="V685" s="563"/>
      <c r="W685" s="563"/>
      <c r="X685" s="563"/>
      <c r="Y685" s="563"/>
      <c r="Z685" s="563"/>
      <c r="AA685" s="563"/>
      <c r="AB685" s="563"/>
      <c r="AC685" s="563"/>
      <c r="AD685" s="48"/>
      <c r="AE685" s="48"/>
      <c r="AF685" s="258"/>
      <c r="AG685" s="48"/>
      <c r="AH685" s="48"/>
      <c r="AI685" s="258"/>
      <c r="AJ685" s="258"/>
      <c r="AK685" s="258"/>
      <c r="AL685" s="258"/>
      <c r="AM685" s="212">
        <f>IF(AQ685=1,SUM(Q685:T685,W685:Z685,AC685:AF685,AI685:AL685),
IF(AQ685=2,SUM(P685,S685:V685,Y685:AB685,AE685:AH685,AK685:AL685),
IF(AQ685=3,SUM(P685:R685,U685:X685,AA685:AD685,AG685:AJ685),SUM(Таблица1[[#This Row],[1]:[31]])-Таблица1[[#This Row],[Столбец1]])))</f>
        <v>0</v>
      </c>
      <c r="AN685" s="778">
        <f t="array" ref="AN685">IF(AQ685=1,SUM(P685,U685:V685,AA685:AB685,AG685:AH685),
IF(AQ685=2,SUM(Q685:R685,W685:X685,AC685:AD685,AI685:AJ685),
IF(AQ685=3,SUM(S685:T685,Y685:Z685,AE685:AF685,AK685:AL685),
SUM(IFERROR(WEEKDAY($H$2:$AL$2,2)&gt;5,)*H685:AL685))))+Таблица1[[#This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85" s="292" t="b">
        <f>IF(AR685&lt;=3,(IF((G685="5/24"),((база!$M$6*Таблица1[[#This Row],[сумма]]*Таблица1[[#This Row],[коэф]])),
IF((G685="4/24"),((база!$M$5*Таблица1[[#This Row],[сумма]]*Таблица1[[#This Row],[коэф]])),
IF((G685="3/24"),((база!$M$4*Таблица1[[#This Row],[сумма]]*Таблица1[[#This Row],[коэф]])),
IF((G685="5/16"),((база!$L$6*Таблица1[[#This Row],[сумма]]*Таблица1[[#This Row],[коэф]])),
IF((G685="4/16"),((база!$L$5*Таблица1[[#This Row],[сумма]]*Таблица1[[#This Row],[коэф]])),
IF((G685="3/16"),((база!$L$4*Таблица1[[#This Row],[сумма]]*Таблица1[[#This Row],[коэф]])),
IF((G685="4/4"),((база!$I$5*Таблица1[[#This Row],[сумма]]*Таблица1[[#This Row],[коэф]])),
IF(OR(G685="2/4",G685="3/4"),((база!$I$4*Таблица1[[#This Row],[сумма]]*Таблица1[[#This Row],[коэф]])),
IF((G685="5/8"),((база!$J$6*Таблица1[[#This Row],[сумма]]*Таблица1[[#This Row],[коэф]])),
IF((G685="4/8"),((база!$J$5*Таблица1[[#This Row],[сумма]]*Таблица1[[#This Row],[коэф]])),
IF(OR(G685="3/8",G685="2/8"),((база!$J$4*Таблица1[[#This Row],[сумма]]*Таблица1[[#This Row],[коэф]])))))))))))))),
(IF((G685="5/24"),((база!$M$6*Таблица1[[#This Row],[сумма]]*Таблица1[[#This Row],[коэф]])),
IF(OR(G685="4/24",G685="3/24"),((база!$M$5*Таблица1[[#This Row],[сумма]]*Таблица1[[#This Row],[коэф]])),
IF((G685="5/16"),((база!$L$6*Таблица1[[#This Row],[сумма]]*Таблица1[[#This Row],[коэф]])),
IF(OR(G685="4/16",G685="3/16"),((база!$L$5*Таблица1[[#This Row],[сумма]]*Таблица1[[#This Row],[коэф]])),
IF(OR(G685="2/4",G685="3/4",G685="4/4"),((база!$I$5*Таблица1[[#This Row],[сумма]]*Таблица1[[#This Row],[коэф]])),
IF((G685="5/8"),((база!$J$6*Таблица1[[#This Row],[сумма]]*Таблица1[[#This Row],[коэф]])),
IF(OR(G685="4/8",G685="3/8",G685="2/8"),((база!$J$5*Таблица1[[#This Row],[сумма]]*Таблица1[[#This Row],[коэф]])))))))))))</f>
        <v>0</v>
      </c>
      <c r="AP685" s="730" t="b">
        <f>IF(AR685&lt;=3,(IF((G685="5/24"),((база!$M$6*2*Таблица1[[#This Row],[Столбец1]]*Таблица1[[#This Row],[коэф]])),
IF((G685="4/24"),((база!$M$5*2*Таблица1[[#This Row],[Столбец1]]*Таблица1[[#This Row],[коэф]])),
IF((G685="3/24"),((база!$M$4*2*Таблица1[[#This Row],[Столбец1]]*Таблица1[[#This Row],[коэф]])),
IF((G685="5/16"),((база!$L$6*2*Таблица1[[#This Row],[Столбец1]]*Таблица1[[#This Row],[коэф]])),
IF((G685="4/16"),((база!$L$5*2*Таблица1[[#This Row],[Столбец1]]*Таблица1[[#This Row],[коэф]])),
IF((G685="3/16"),((база!$L$4*2*Таблица1[[#This Row],[Столбец1]]*Таблица1[[#This Row],[коэф]])),
IF((G685="4/4"),((база!$I$5*2*Таблица1[[#This Row],[Столбец1]]*Таблица1[[#This Row],[коэф]])),
IF(OR(G685="2/4",G685="3/4"),((база!$I$4*2*Таблица1[[#This Row],[Столбец1]]*Таблица1[[#This Row],[коэф]])),
IF((G685="5/8"),((база!$J$6*2*Таблица1[[#This Row],[Столбец1]]*Таблица1[[#This Row],[коэф]])),
IF((G685="4/8"),((база!$J$5*2*Таблица1[[#This Row],[Столбец1]]*Таблица1[[#This Row],[коэф]])),
IF(OR(G685="3/8",G685="2/8"),((база!$J$4*2*Таблица1[[#This Row],[Столбец1]]*Таблица1[[#This Row],[коэф]])))))))))))))),
(IF((G685="5/24"),((база!$M$6*2*Таблица1[[#This Row],[Столбец1]]*Таблица1[[#This Row],[коэф]])),
IF(OR(G685="4/24",G685="3/24"),((база!$M$5*2*Таблица1[[#This Row],[Столбец1]]*Таблица1[[#This Row],[коэф]])),
IF((G685="5/16"),((база!$L$6*2*Таблица1[[#This Row],[Столбец1]]*Таблица1[[#This Row],[коэф]])),
IF(OR(G685="4/16",G685="3/16"),((база!$L$5*2*Таблица1[[#This Row],[Столбец1]]*Таблица1[[#This Row],[коэф]])),
IF(OR(G685="2/4",G685="3/4",G685="4/4"),((база!$I$5*2*Таблица1[[#This Row],[Столбец1]]*Таблица1[[#This Row],[коэф]])),
IF((G685="5/8"),((база!$J$6*2*Таблица1[[#This Row],[Столбец1]]*Таблица1[[#This Row],[коэф]])),
IF(OR(G685="4/8",G685="3/8",G685="2/8"),((база!$J$5*2*Таблица1[[#This Row],[Столбец1]]*Таблица1[[#This Row],[коэф]])))))))))))</f>
        <v>0</v>
      </c>
      <c r="AQ685" s="712" t="str">
        <f>IFERROR(INDEX(база!T:T, MATCH(F685,база!Q:Q,0)),"")</f>
        <v/>
      </c>
      <c r="AR685" s="208" t="str">
        <f>IFERROR(INDEX(база!D:D, MATCH(F685,база!B:B,0)),"")</f>
        <v/>
      </c>
      <c r="AS685" s="758" t="str">
        <f>IFERROR(INDEX(база!E:E, MATCH(F685,база!B:B,0)),"")</f>
        <v/>
      </c>
    </row>
    <row r="686" spans="1:45" s="46" customFormat="1" ht="15">
      <c r="A686" s="66" t="str">
        <f t="shared" si="8"/>
        <v>январь</v>
      </c>
      <c r="B686" s="231">
        <v>2024</v>
      </c>
      <c r="C686" s="299"/>
      <c r="D686" s="61"/>
      <c r="E686" s="211"/>
      <c r="F686" s="680"/>
      <c r="G686" s="47"/>
      <c r="H686" s="563"/>
      <c r="I686" s="563"/>
      <c r="J686" s="563"/>
      <c r="K686" s="563"/>
      <c r="L686" s="563"/>
      <c r="M686" s="563"/>
      <c r="N686" s="563"/>
      <c r="O686" s="563"/>
      <c r="P686" s="300"/>
      <c r="Q686" s="563"/>
      <c r="R686" s="563"/>
      <c r="S686" s="563"/>
      <c r="T686" s="563"/>
      <c r="U686" s="563"/>
      <c r="V686" s="563"/>
      <c r="W686" s="563"/>
      <c r="X686" s="563"/>
      <c r="Y686" s="563"/>
      <c r="Z686" s="563"/>
      <c r="AA686" s="563"/>
      <c r="AB686" s="563"/>
      <c r="AC686" s="563"/>
      <c r="AD686" s="48"/>
      <c r="AE686" s="48"/>
      <c r="AF686" s="258"/>
      <c r="AG686" s="48"/>
      <c r="AH686" s="48"/>
      <c r="AI686" s="48"/>
      <c r="AJ686" s="48"/>
      <c r="AK686" s="48"/>
      <c r="AL686" s="51"/>
      <c r="AM686" s="212">
        <f>IF(AQ686=1,SUM(Q686:T686,W686:Z686,AC686:AF686,AI686:AL686),
IF(AQ686=2,SUM(P686,S686:V686,Y686:AB686,AE686:AH686,AK686:AL686),
IF(AQ686=3,SUM(P686:R686,U686:X686,AA686:AD686,AG686:AJ686),SUM(Таблица1[[#This Row],[1]:[31]])-Таблица1[[#This Row],[Столбец1]])))</f>
        <v>0</v>
      </c>
      <c r="AN686" s="778">
        <f t="array" ref="AN686">IF(AQ686=1,SUM(P686,U686:V686,AA686:AB686,AG686:AH686),
IF(AQ686=2,SUM(Q686:R686,W686:X686,AC686:AD686,AI686:AJ686),
IF(AQ686=3,SUM(S686:T686,Y686:Z686,AE686:AF686,AK686:AL686),
SUM(IFERROR(WEEKDAY($H$2:$AL$2,2)&gt;5,)*H686:AL686))))+Таблица1[[#This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86" s="292" t="b">
        <f>IF(AR686&lt;=3,(IF((G686="5/24"),((база!$M$6*Таблица1[[#This Row],[сумма]]*Таблица1[[#This Row],[коэф]])),
IF((G686="4/24"),((база!$M$5*Таблица1[[#This Row],[сумма]]*Таблица1[[#This Row],[коэф]])),
IF((G686="3/24"),((база!$M$4*Таблица1[[#This Row],[сумма]]*Таблица1[[#This Row],[коэф]])),
IF((G686="5/16"),((база!$L$6*Таблица1[[#This Row],[сумма]]*Таблица1[[#This Row],[коэф]])),
IF((G686="4/16"),((база!$L$5*Таблица1[[#This Row],[сумма]]*Таблица1[[#This Row],[коэф]])),
IF((G686="3/16"),((база!$L$4*Таблица1[[#This Row],[сумма]]*Таблица1[[#This Row],[коэф]])),
IF((G686="4/4"),((база!$I$5*Таблица1[[#This Row],[сумма]]*Таблица1[[#This Row],[коэф]])),
IF(OR(G686="2/4",G686="3/4"),((база!$I$4*Таблица1[[#This Row],[сумма]]*Таблица1[[#This Row],[коэф]])),
IF((G686="5/8"),((база!$J$6*Таблица1[[#This Row],[сумма]]*Таблица1[[#This Row],[коэф]])),
IF((G686="4/8"),((база!$J$5*Таблица1[[#This Row],[сумма]]*Таблица1[[#This Row],[коэф]])),
IF(OR(G686="3/8",G686="2/8"),((база!$J$4*Таблица1[[#This Row],[сумма]]*Таблица1[[#This Row],[коэф]])))))))))))))),
(IF((G686="5/24"),((база!$M$6*Таблица1[[#This Row],[сумма]]*Таблица1[[#This Row],[коэф]])),
IF(OR(G686="4/24",G686="3/24"),((база!$M$5*Таблица1[[#This Row],[сумма]]*Таблица1[[#This Row],[коэф]])),
IF((G686="5/16"),((база!$L$6*Таблица1[[#This Row],[сумма]]*Таблица1[[#This Row],[коэф]])),
IF(OR(G686="4/16",G686="3/16"),((база!$L$5*Таблица1[[#This Row],[сумма]]*Таблица1[[#This Row],[коэф]])),
IF(OR(G686="2/4",G686="3/4",G686="4/4"),((база!$I$5*Таблица1[[#This Row],[сумма]]*Таблица1[[#This Row],[коэф]])),
IF((G686="5/8"),((база!$J$6*Таблица1[[#This Row],[сумма]]*Таблица1[[#This Row],[коэф]])),
IF(OR(G686="4/8",G686="3/8",G686="2/8"),((база!$J$5*Таблица1[[#This Row],[сумма]]*Таблица1[[#This Row],[коэф]])))))))))))</f>
        <v>0</v>
      </c>
      <c r="AP686" s="730" t="b">
        <f>IF(AR686&lt;=3,(IF((G686="5/24"),((база!$M$6*2*Таблица1[[#This Row],[Столбец1]]*Таблица1[[#This Row],[коэф]])),
IF((G686="4/24"),((база!$M$5*2*Таблица1[[#This Row],[Столбец1]]*Таблица1[[#This Row],[коэф]])),
IF((G686="3/24"),((база!$M$4*2*Таблица1[[#This Row],[Столбец1]]*Таблица1[[#This Row],[коэф]])),
IF((G686="5/16"),((база!$L$6*2*Таблица1[[#This Row],[Столбец1]]*Таблица1[[#This Row],[коэф]])),
IF((G686="4/16"),((база!$L$5*2*Таблица1[[#This Row],[Столбец1]]*Таблица1[[#This Row],[коэф]])),
IF((G686="3/16"),((база!$L$4*2*Таблица1[[#This Row],[Столбец1]]*Таблица1[[#This Row],[коэф]])),
IF((G686="4/4"),((база!$I$5*2*Таблица1[[#This Row],[Столбец1]]*Таблица1[[#This Row],[коэф]])),
IF(OR(G686="2/4",G686="3/4"),((база!$I$4*2*Таблица1[[#This Row],[Столбец1]]*Таблица1[[#This Row],[коэф]])),
IF((G686="5/8"),((база!$J$6*2*Таблица1[[#This Row],[Столбец1]]*Таблица1[[#This Row],[коэф]])),
IF((G686="4/8"),((база!$J$5*2*Таблица1[[#This Row],[Столбец1]]*Таблица1[[#This Row],[коэф]])),
IF(OR(G686="3/8",G686="2/8"),((база!$J$4*2*Таблица1[[#This Row],[Столбец1]]*Таблица1[[#This Row],[коэф]])))))))))))))),
(IF((G686="5/24"),((база!$M$6*2*Таблица1[[#This Row],[Столбец1]]*Таблица1[[#This Row],[коэф]])),
IF(OR(G686="4/24",G686="3/24"),((база!$M$5*2*Таблица1[[#This Row],[Столбец1]]*Таблица1[[#This Row],[коэф]])),
IF((G686="5/16"),((база!$L$6*2*Таблица1[[#This Row],[Столбец1]]*Таблица1[[#This Row],[коэф]])),
IF(OR(G686="4/16",G686="3/16"),((база!$L$5*2*Таблица1[[#This Row],[Столбец1]]*Таблица1[[#This Row],[коэф]])),
IF(OR(G686="2/4",G686="3/4",G686="4/4"),((база!$I$5*2*Таблица1[[#This Row],[Столбец1]]*Таблица1[[#This Row],[коэф]])),
IF((G686="5/8"),((база!$J$6*2*Таблица1[[#This Row],[Столбец1]]*Таблица1[[#This Row],[коэф]])),
IF(OR(G686="4/8",G686="3/8",G686="2/8"),((база!$J$5*2*Таблица1[[#This Row],[Столбец1]]*Таблица1[[#This Row],[коэф]])))))))))))</f>
        <v>0</v>
      </c>
      <c r="AQ686" s="712" t="str">
        <f>IFERROR(INDEX(база!T:T, MATCH(F686,база!Q:Q,0)),"")</f>
        <v/>
      </c>
      <c r="AR686" s="208" t="str">
        <f>IFERROR(INDEX(база!D:D, MATCH(F686,база!B:B,0)),"")</f>
        <v/>
      </c>
      <c r="AS686" s="758" t="str">
        <f>IFERROR(INDEX(база!E:E, MATCH(F686,база!B:B,0)),"")</f>
        <v/>
      </c>
    </row>
    <row r="687" spans="1:45" s="46" customFormat="1" ht="15">
      <c r="A687" s="66" t="str">
        <f t="shared" si="8"/>
        <v>январь</v>
      </c>
      <c r="B687" s="231">
        <v>2024</v>
      </c>
      <c r="C687" s="299"/>
      <c r="D687" s="61"/>
      <c r="E687" s="211"/>
      <c r="F687" s="680"/>
      <c r="G687" s="47"/>
      <c r="H687" s="563"/>
      <c r="I687" s="563"/>
      <c r="J687" s="563"/>
      <c r="K687" s="563"/>
      <c r="L687" s="563"/>
      <c r="M687" s="563"/>
      <c r="N687" s="563"/>
      <c r="O687" s="563"/>
      <c r="P687" s="300"/>
      <c r="Q687" s="563"/>
      <c r="R687" s="563"/>
      <c r="S687" s="563"/>
      <c r="T687" s="563"/>
      <c r="U687" s="563"/>
      <c r="V687" s="563"/>
      <c r="W687" s="563"/>
      <c r="X687" s="563"/>
      <c r="Y687" s="563"/>
      <c r="Z687" s="563"/>
      <c r="AA687" s="563"/>
      <c r="AB687" s="563"/>
      <c r="AC687" s="563"/>
      <c r="AD687" s="48"/>
      <c r="AE687" s="48"/>
      <c r="AF687" s="258"/>
      <c r="AG687" s="48"/>
      <c r="AH687" s="48"/>
      <c r="AI687" s="258"/>
      <c r="AJ687" s="258"/>
      <c r="AK687" s="258"/>
      <c r="AL687" s="258"/>
      <c r="AM687" s="212">
        <f>IF(AQ687=1,SUM(Q687:T687,W687:Z687,AC687:AF687,AI687:AL687),
IF(AQ687=2,SUM(P687,S687:V687,Y687:AB687,AE687:AH687,AK687:AL687),
IF(AQ687=3,SUM(P687:R687,U687:X687,AA687:AD687,AG687:AJ687),SUM(Таблица1[[#This Row],[1]:[31]])-Таблица1[[#This Row],[Столбец1]])))</f>
        <v>0</v>
      </c>
      <c r="AN687" s="778">
        <f t="array" ref="AN687">IF(AQ687=1,SUM(P687,U687:V687,AA687:AB687,AG687:AH687),
IF(AQ687=2,SUM(Q687:R687,W687:X687,AC687:AD687,AI687:AJ687),
IF(AQ687=3,SUM(S687:T687,Y687:Z687,AE687:AF687,AK687:AL687),
SUM(IFERROR(WEEKDAY($H$2:$AL$2,2)&gt;5,)*H687:AL687))))+Таблица1[[#This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87" s="292" t="b">
        <f>IF(AR687&lt;=3,(IF((G687="5/24"),((база!$M$6*Таблица1[[#This Row],[сумма]]*Таблица1[[#This Row],[коэф]])),
IF((G687="4/24"),((база!$M$5*Таблица1[[#This Row],[сумма]]*Таблица1[[#This Row],[коэф]])),
IF((G687="3/24"),((база!$M$4*Таблица1[[#This Row],[сумма]]*Таблица1[[#This Row],[коэф]])),
IF((G687="5/16"),((база!$L$6*Таблица1[[#This Row],[сумма]]*Таблица1[[#This Row],[коэф]])),
IF((G687="4/16"),((база!$L$5*Таблица1[[#This Row],[сумма]]*Таблица1[[#This Row],[коэф]])),
IF((G687="3/16"),((база!$L$4*Таблица1[[#This Row],[сумма]]*Таблица1[[#This Row],[коэф]])),
IF((G687="4/4"),((база!$I$5*Таблица1[[#This Row],[сумма]]*Таблица1[[#This Row],[коэф]])),
IF(OR(G687="2/4",G687="3/4"),((база!$I$4*Таблица1[[#This Row],[сумма]]*Таблица1[[#This Row],[коэф]])),
IF((G687="5/8"),((база!$J$6*Таблица1[[#This Row],[сумма]]*Таблица1[[#This Row],[коэф]])),
IF((G687="4/8"),((база!$J$5*Таблица1[[#This Row],[сумма]]*Таблица1[[#This Row],[коэф]])),
IF(OR(G687="3/8",G687="2/8"),((база!$J$4*Таблица1[[#This Row],[сумма]]*Таблица1[[#This Row],[коэф]])))))))))))))),
(IF((G687="5/24"),((база!$M$6*Таблица1[[#This Row],[сумма]]*Таблица1[[#This Row],[коэф]])),
IF(OR(G687="4/24",G687="3/24"),((база!$M$5*Таблица1[[#This Row],[сумма]]*Таблица1[[#This Row],[коэф]])),
IF((G687="5/16"),((база!$L$6*Таблица1[[#This Row],[сумма]]*Таблица1[[#This Row],[коэф]])),
IF(OR(G687="4/16",G687="3/16"),((база!$L$5*Таблица1[[#This Row],[сумма]]*Таблица1[[#This Row],[коэф]])),
IF(OR(G687="2/4",G687="3/4",G687="4/4"),((база!$I$5*Таблица1[[#This Row],[сумма]]*Таблица1[[#This Row],[коэф]])),
IF((G687="5/8"),((база!$J$6*Таблица1[[#This Row],[сумма]]*Таблица1[[#This Row],[коэф]])),
IF(OR(G687="4/8",G687="3/8",G687="2/8"),((база!$J$5*Таблица1[[#This Row],[сумма]]*Таблица1[[#This Row],[коэф]])))))))))))</f>
        <v>0</v>
      </c>
      <c r="AP687" s="730" t="b">
        <f>IF(AR687&lt;=3,(IF((G687="5/24"),((база!$M$6*2*Таблица1[[#This Row],[Столбец1]]*Таблица1[[#This Row],[коэф]])),
IF((G687="4/24"),((база!$M$5*2*Таблица1[[#This Row],[Столбец1]]*Таблица1[[#This Row],[коэф]])),
IF((G687="3/24"),((база!$M$4*2*Таблица1[[#This Row],[Столбец1]]*Таблица1[[#This Row],[коэф]])),
IF((G687="5/16"),((база!$L$6*2*Таблица1[[#This Row],[Столбец1]]*Таблица1[[#This Row],[коэф]])),
IF((G687="4/16"),((база!$L$5*2*Таблица1[[#This Row],[Столбец1]]*Таблица1[[#This Row],[коэф]])),
IF((G687="3/16"),((база!$L$4*2*Таблица1[[#This Row],[Столбец1]]*Таблица1[[#This Row],[коэф]])),
IF((G687="4/4"),((база!$I$5*2*Таблица1[[#This Row],[Столбец1]]*Таблица1[[#This Row],[коэф]])),
IF(OR(G687="2/4",G687="3/4"),((база!$I$4*2*Таблица1[[#This Row],[Столбец1]]*Таблица1[[#This Row],[коэф]])),
IF((G687="5/8"),((база!$J$6*2*Таблица1[[#This Row],[Столбец1]]*Таблица1[[#This Row],[коэф]])),
IF((G687="4/8"),((база!$J$5*2*Таблица1[[#This Row],[Столбец1]]*Таблица1[[#This Row],[коэф]])),
IF(OR(G687="3/8",G687="2/8"),((база!$J$4*2*Таблица1[[#This Row],[Столбец1]]*Таблица1[[#This Row],[коэф]])))))))))))))),
(IF((G687="5/24"),((база!$M$6*2*Таблица1[[#This Row],[Столбец1]]*Таблица1[[#This Row],[коэф]])),
IF(OR(G687="4/24",G687="3/24"),((база!$M$5*2*Таблица1[[#This Row],[Столбец1]]*Таблица1[[#This Row],[коэф]])),
IF((G687="5/16"),((база!$L$6*2*Таблица1[[#This Row],[Столбец1]]*Таблица1[[#This Row],[коэф]])),
IF(OR(G687="4/16",G687="3/16"),((база!$L$5*2*Таблица1[[#This Row],[Столбец1]]*Таблица1[[#This Row],[коэф]])),
IF(OR(G687="2/4",G687="3/4",G687="4/4"),((база!$I$5*2*Таблица1[[#This Row],[Столбец1]]*Таблица1[[#This Row],[коэф]])),
IF((G687="5/8"),((база!$J$6*2*Таблица1[[#This Row],[Столбец1]]*Таблица1[[#This Row],[коэф]])),
IF(OR(G687="4/8",G687="3/8",G687="2/8"),((база!$J$5*2*Таблица1[[#This Row],[Столбец1]]*Таблица1[[#This Row],[коэф]])))))))))))</f>
        <v>0</v>
      </c>
      <c r="AQ687" s="712" t="str">
        <f>IFERROR(INDEX(база!T:T, MATCH(F687,база!Q:Q,0)),"")</f>
        <v/>
      </c>
      <c r="AR687" s="208" t="str">
        <f>IFERROR(INDEX(база!D:D, MATCH(F687,база!B:B,0)),"")</f>
        <v/>
      </c>
      <c r="AS687" s="758" t="str">
        <f>IFERROR(INDEX(база!E:E, MATCH(F687,база!B:B,0)),"")</f>
        <v/>
      </c>
    </row>
    <row r="688" spans="1:45" s="46" customFormat="1" ht="15">
      <c r="A688" s="66" t="str">
        <f t="shared" si="8"/>
        <v>январь</v>
      </c>
      <c r="B688" s="231">
        <v>2024</v>
      </c>
      <c r="C688" s="299"/>
      <c r="D688" s="61"/>
      <c r="E688" s="211"/>
      <c r="F688" s="680"/>
      <c r="G688" s="47"/>
      <c r="H688" s="563"/>
      <c r="I688" s="563"/>
      <c r="J688" s="563"/>
      <c r="K688" s="563"/>
      <c r="L688" s="563"/>
      <c r="M688" s="563"/>
      <c r="N688" s="563"/>
      <c r="O688" s="563"/>
      <c r="P688" s="300"/>
      <c r="Q688" s="563"/>
      <c r="R688" s="563"/>
      <c r="S688" s="563"/>
      <c r="T688" s="563"/>
      <c r="U688" s="563"/>
      <c r="V688" s="563"/>
      <c r="W688" s="563"/>
      <c r="X688" s="563"/>
      <c r="Y688" s="563"/>
      <c r="Z688" s="563"/>
      <c r="AA688" s="563"/>
      <c r="AB688" s="563"/>
      <c r="AC688" s="563"/>
      <c r="AD688" s="48"/>
      <c r="AE688" s="48"/>
      <c r="AF688" s="258"/>
      <c r="AG688" s="48"/>
      <c r="AH688" s="48"/>
      <c r="AI688" s="48"/>
      <c r="AJ688" s="48"/>
      <c r="AK688" s="48"/>
      <c r="AL688" s="51"/>
      <c r="AM688" s="212">
        <f>IF(AQ688=1,SUM(Q688:T688,W688:Z688,AC688:AF688,AI688:AL688),
IF(AQ688=2,SUM(P688,S688:V688,Y688:AB688,AE688:AH688,AK688:AL688),
IF(AQ688=3,SUM(P688:R688,U688:X688,AA688:AD688,AG688:AJ688),SUM(Таблица1[[#This Row],[1]:[31]])-Таблица1[[#This Row],[Столбец1]])))</f>
        <v>0</v>
      </c>
      <c r="AN688" s="778">
        <f t="array" ref="AN688">IF(AQ688=1,SUM(P688,U688:V688,AA688:AB688,AG688:AH688),
IF(AQ688=2,SUM(Q688:R688,W688:X688,AC688:AD688,AI688:AJ688),
IF(AQ688=3,SUM(S688:T688,Y688:Z688,AE688:AF688,AK688:AL688),
SUM(IFERROR(WEEKDAY($H$2:$AL$2,2)&gt;5,)*H688:AL688))))+Таблица1[[#This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88" s="292" t="b">
        <f>IF(AR688&lt;=3,(IF((G688="5/24"),((база!$M$6*Таблица1[[#This Row],[сумма]]*Таблица1[[#This Row],[коэф]])),
IF((G688="4/24"),((база!$M$5*Таблица1[[#This Row],[сумма]]*Таблица1[[#This Row],[коэф]])),
IF((G688="3/24"),((база!$M$4*Таблица1[[#This Row],[сумма]]*Таблица1[[#This Row],[коэф]])),
IF((G688="5/16"),((база!$L$6*Таблица1[[#This Row],[сумма]]*Таблица1[[#This Row],[коэф]])),
IF((G688="4/16"),((база!$L$5*Таблица1[[#This Row],[сумма]]*Таблица1[[#This Row],[коэф]])),
IF((G688="3/16"),((база!$L$4*Таблица1[[#This Row],[сумма]]*Таблица1[[#This Row],[коэф]])),
IF((G688="4/4"),((база!$I$5*Таблица1[[#This Row],[сумма]]*Таблица1[[#This Row],[коэф]])),
IF(OR(G688="2/4",G688="3/4"),((база!$I$4*Таблица1[[#This Row],[сумма]]*Таблица1[[#This Row],[коэф]])),
IF((G688="5/8"),((база!$J$6*Таблица1[[#This Row],[сумма]]*Таблица1[[#This Row],[коэф]])),
IF((G688="4/8"),((база!$J$5*Таблица1[[#This Row],[сумма]]*Таблица1[[#This Row],[коэф]])),
IF(OR(G688="3/8",G688="2/8"),((база!$J$4*Таблица1[[#This Row],[сумма]]*Таблица1[[#This Row],[коэф]])))))))))))))),
(IF((G688="5/24"),((база!$M$6*Таблица1[[#This Row],[сумма]]*Таблица1[[#This Row],[коэф]])),
IF(OR(G688="4/24",G688="3/24"),((база!$M$5*Таблица1[[#This Row],[сумма]]*Таблица1[[#This Row],[коэф]])),
IF((G688="5/16"),((база!$L$6*Таблица1[[#This Row],[сумма]]*Таблица1[[#This Row],[коэф]])),
IF(OR(G688="4/16",G688="3/16"),((база!$L$5*Таблица1[[#This Row],[сумма]]*Таблица1[[#This Row],[коэф]])),
IF(OR(G688="2/4",G688="3/4",G688="4/4"),((база!$I$5*Таблица1[[#This Row],[сумма]]*Таблица1[[#This Row],[коэф]])),
IF((G688="5/8"),((база!$J$6*Таблица1[[#This Row],[сумма]]*Таблица1[[#This Row],[коэф]])),
IF(OR(G688="4/8",G688="3/8",G688="2/8"),((база!$J$5*Таблица1[[#This Row],[сумма]]*Таблица1[[#This Row],[коэф]])))))))))))</f>
        <v>0</v>
      </c>
      <c r="AP688" s="730" t="b">
        <f>IF(AR688&lt;=3,(IF((G688="5/24"),((база!$M$6*2*Таблица1[[#This Row],[Столбец1]]*Таблица1[[#This Row],[коэф]])),
IF((G688="4/24"),((база!$M$5*2*Таблица1[[#This Row],[Столбец1]]*Таблица1[[#This Row],[коэф]])),
IF((G688="3/24"),((база!$M$4*2*Таблица1[[#This Row],[Столбец1]]*Таблица1[[#This Row],[коэф]])),
IF((G688="5/16"),((база!$L$6*2*Таблица1[[#This Row],[Столбец1]]*Таблица1[[#This Row],[коэф]])),
IF((G688="4/16"),((база!$L$5*2*Таблица1[[#This Row],[Столбец1]]*Таблица1[[#This Row],[коэф]])),
IF((G688="3/16"),((база!$L$4*2*Таблица1[[#This Row],[Столбец1]]*Таблица1[[#This Row],[коэф]])),
IF((G688="4/4"),((база!$I$5*2*Таблица1[[#This Row],[Столбец1]]*Таблица1[[#This Row],[коэф]])),
IF(OR(G688="2/4",G688="3/4"),((база!$I$4*2*Таблица1[[#This Row],[Столбец1]]*Таблица1[[#This Row],[коэф]])),
IF((G688="5/8"),((база!$J$6*2*Таблица1[[#This Row],[Столбец1]]*Таблица1[[#This Row],[коэф]])),
IF((G688="4/8"),((база!$J$5*2*Таблица1[[#This Row],[Столбец1]]*Таблица1[[#This Row],[коэф]])),
IF(OR(G688="3/8",G688="2/8"),((база!$J$4*2*Таблица1[[#This Row],[Столбец1]]*Таблица1[[#This Row],[коэф]])))))))))))))),
(IF((G688="5/24"),((база!$M$6*2*Таблица1[[#This Row],[Столбец1]]*Таблица1[[#This Row],[коэф]])),
IF(OR(G688="4/24",G688="3/24"),((база!$M$5*2*Таблица1[[#This Row],[Столбец1]]*Таблица1[[#This Row],[коэф]])),
IF((G688="5/16"),((база!$L$6*2*Таблица1[[#This Row],[Столбец1]]*Таблица1[[#This Row],[коэф]])),
IF(OR(G688="4/16",G688="3/16"),((база!$L$5*2*Таблица1[[#This Row],[Столбец1]]*Таблица1[[#This Row],[коэф]])),
IF(OR(G688="2/4",G688="3/4",G688="4/4"),((база!$I$5*2*Таблица1[[#This Row],[Столбец1]]*Таблица1[[#This Row],[коэф]])),
IF((G688="5/8"),((база!$J$6*2*Таблица1[[#This Row],[Столбец1]]*Таблица1[[#This Row],[коэф]])),
IF(OR(G688="4/8",G688="3/8",G688="2/8"),((база!$J$5*2*Таблица1[[#This Row],[Столбец1]]*Таблица1[[#This Row],[коэф]])))))))))))</f>
        <v>0</v>
      </c>
      <c r="AQ688" s="712" t="str">
        <f>IFERROR(INDEX(база!T:T, MATCH(F688,база!Q:Q,0)),"")</f>
        <v/>
      </c>
      <c r="AR688" s="208" t="str">
        <f>IFERROR(INDEX(база!D:D, MATCH(F688,база!B:B,0)),"")</f>
        <v/>
      </c>
      <c r="AS688" s="758" t="str">
        <f>IFERROR(INDEX(база!E:E, MATCH(F688,база!B:B,0)),"")</f>
        <v/>
      </c>
    </row>
    <row r="689" spans="1:47" s="46" customFormat="1" ht="15">
      <c r="A689" s="66" t="str">
        <f t="shared" si="8"/>
        <v>январь</v>
      </c>
      <c r="B689" s="231">
        <v>2024</v>
      </c>
      <c r="C689" s="299"/>
      <c r="D689" s="61"/>
      <c r="E689" s="211"/>
      <c r="F689" s="680"/>
      <c r="G689" s="47"/>
      <c r="H689" s="563"/>
      <c r="I689" s="563"/>
      <c r="J689" s="563"/>
      <c r="K689" s="563"/>
      <c r="L689" s="563"/>
      <c r="M689" s="563"/>
      <c r="N689" s="563"/>
      <c r="O689" s="563"/>
      <c r="P689" s="300"/>
      <c r="Q689" s="563"/>
      <c r="R689" s="563"/>
      <c r="S689" s="563"/>
      <c r="T689" s="563"/>
      <c r="U689" s="563"/>
      <c r="V689" s="563"/>
      <c r="W689" s="563"/>
      <c r="X689" s="563"/>
      <c r="Y689" s="563"/>
      <c r="Z689" s="563"/>
      <c r="AA689" s="563"/>
      <c r="AB689" s="563"/>
      <c r="AC689" s="563"/>
      <c r="AD689" s="48"/>
      <c r="AE689" s="48"/>
      <c r="AF689" s="258"/>
      <c r="AG689" s="48"/>
      <c r="AH689" s="48"/>
      <c r="AI689" s="258"/>
      <c r="AJ689" s="258"/>
      <c r="AK689" s="258"/>
      <c r="AL689" s="258"/>
      <c r="AM689" s="212">
        <f>IF(AQ689=1,SUM(Q689:T689,W689:Z689,AC689:AF689,AI689:AL689),
IF(AQ689=2,SUM(P689,S689:V689,Y689:AB689,AE689:AH689,AK689:AL689),
IF(AQ689=3,SUM(P689:R689,U689:X689,AA689:AD689,AG689:AJ689),SUM(Таблица1[[#This Row],[1]:[31]])-Таблица1[[#This Row],[Столбец1]])))</f>
        <v>0</v>
      </c>
      <c r="AN689" s="778">
        <f t="array" ref="AN689">IF(AQ689=1,SUM(P689,U689:V689,AA689:AB689,AG689:AH689),
IF(AQ689=2,SUM(Q689:R689,W689:X689,AC689:AD689,AI689:AJ689),
IF(AQ689=3,SUM(S689:T689,Y689:Z689,AE689:AF689,AK689:AL689),
SUM(IFERROR(WEEKDAY($H$2:$AL$2,2)&gt;5,)*H689:AL689))))+Таблица1[[#This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89" s="292" t="b">
        <f>IF(AR689&lt;=3,(IF((G689="5/24"),((база!$M$6*Таблица1[[#This Row],[сумма]]*Таблица1[[#This Row],[коэф]])),
IF((G689="4/24"),((база!$M$5*Таблица1[[#This Row],[сумма]]*Таблица1[[#This Row],[коэф]])),
IF((G689="3/24"),((база!$M$4*Таблица1[[#This Row],[сумма]]*Таблица1[[#This Row],[коэф]])),
IF((G689="5/16"),((база!$L$6*Таблица1[[#This Row],[сумма]]*Таблица1[[#This Row],[коэф]])),
IF((G689="4/16"),((база!$L$5*Таблица1[[#This Row],[сумма]]*Таблица1[[#This Row],[коэф]])),
IF((G689="3/16"),((база!$L$4*Таблица1[[#This Row],[сумма]]*Таблица1[[#This Row],[коэф]])),
IF((G689="4/4"),((база!$I$5*Таблица1[[#This Row],[сумма]]*Таблица1[[#This Row],[коэф]])),
IF(OR(G689="2/4",G689="3/4"),((база!$I$4*Таблица1[[#This Row],[сумма]]*Таблица1[[#This Row],[коэф]])),
IF((G689="5/8"),((база!$J$6*Таблица1[[#This Row],[сумма]]*Таблица1[[#This Row],[коэф]])),
IF((G689="4/8"),((база!$J$5*Таблица1[[#This Row],[сумма]]*Таблица1[[#This Row],[коэф]])),
IF(OR(G689="3/8",G689="2/8"),((база!$J$4*Таблица1[[#This Row],[сумма]]*Таблица1[[#This Row],[коэф]])))))))))))))),
(IF((G689="5/24"),((база!$M$6*Таблица1[[#This Row],[сумма]]*Таблица1[[#This Row],[коэф]])),
IF(OR(G689="4/24",G689="3/24"),((база!$M$5*Таблица1[[#This Row],[сумма]]*Таблица1[[#This Row],[коэф]])),
IF((G689="5/16"),((база!$L$6*Таблица1[[#This Row],[сумма]]*Таблица1[[#This Row],[коэф]])),
IF(OR(G689="4/16",G689="3/16"),((база!$L$5*Таблица1[[#This Row],[сумма]]*Таблица1[[#This Row],[коэф]])),
IF(OR(G689="2/4",G689="3/4",G689="4/4"),((база!$I$5*Таблица1[[#This Row],[сумма]]*Таблица1[[#This Row],[коэф]])),
IF((G689="5/8"),((база!$J$6*Таблица1[[#This Row],[сумма]]*Таблица1[[#This Row],[коэф]])),
IF(OR(G689="4/8",G689="3/8",G689="2/8"),((база!$J$5*Таблица1[[#This Row],[сумма]]*Таблица1[[#This Row],[коэф]])))))))))))</f>
        <v>0</v>
      </c>
      <c r="AP689" s="730" t="b">
        <f>IF(AR689&lt;=3,(IF((G689="5/24"),((база!$M$6*2*Таблица1[[#This Row],[Столбец1]]*Таблица1[[#This Row],[коэф]])),
IF((G689="4/24"),((база!$M$5*2*Таблица1[[#This Row],[Столбец1]]*Таблица1[[#This Row],[коэф]])),
IF((G689="3/24"),((база!$M$4*2*Таблица1[[#This Row],[Столбец1]]*Таблица1[[#This Row],[коэф]])),
IF((G689="5/16"),((база!$L$6*2*Таблица1[[#This Row],[Столбец1]]*Таблица1[[#This Row],[коэф]])),
IF((G689="4/16"),((база!$L$5*2*Таблица1[[#This Row],[Столбец1]]*Таблица1[[#This Row],[коэф]])),
IF((G689="3/16"),((база!$L$4*2*Таблица1[[#This Row],[Столбец1]]*Таблица1[[#This Row],[коэф]])),
IF((G689="4/4"),((база!$I$5*2*Таблица1[[#This Row],[Столбец1]]*Таблица1[[#This Row],[коэф]])),
IF(OR(G689="2/4",G689="3/4"),((база!$I$4*2*Таблица1[[#This Row],[Столбец1]]*Таблица1[[#This Row],[коэф]])),
IF((G689="5/8"),((база!$J$6*2*Таблица1[[#This Row],[Столбец1]]*Таблица1[[#This Row],[коэф]])),
IF((G689="4/8"),((база!$J$5*2*Таблица1[[#This Row],[Столбец1]]*Таблица1[[#This Row],[коэф]])),
IF(OR(G689="3/8",G689="2/8"),((база!$J$4*2*Таблица1[[#This Row],[Столбец1]]*Таблица1[[#This Row],[коэф]])))))))))))))),
(IF((G689="5/24"),((база!$M$6*2*Таблица1[[#This Row],[Столбец1]]*Таблица1[[#This Row],[коэф]])),
IF(OR(G689="4/24",G689="3/24"),((база!$M$5*2*Таблица1[[#This Row],[Столбец1]]*Таблица1[[#This Row],[коэф]])),
IF((G689="5/16"),((база!$L$6*2*Таблица1[[#This Row],[Столбец1]]*Таблица1[[#This Row],[коэф]])),
IF(OR(G689="4/16",G689="3/16"),((база!$L$5*2*Таблица1[[#This Row],[Столбец1]]*Таблица1[[#This Row],[коэф]])),
IF(OR(G689="2/4",G689="3/4",G689="4/4"),((база!$I$5*2*Таблица1[[#This Row],[Столбец1]]*Таблица1[[#This Row],[коэф]])),
IF((G689="5/8"),((база!$J$6*2*Таблица1[[#This Row],[Столбец1]]*Таблица1[[#This Row],[коэф]])),
IF(OR(G689="4/8",G689="3/8",G689="2/8"),((база!$J$5*2*Таблица1[[#This Row],[Столбец1]]*Таблица1[[#This Row],[коэф]])))))))))))</f>
        <v>0</v>
      </c>
      <c r="AQ689" s="712" t="str">
        <f>IFERROR(INDEX(база!T:T, MATCH(F689,база!Q:Q,0)),"")</f>
        <v/>
      </c>
      <c r="AR689" s="208" t="str">
        <f>IFERROR(INDEX(база!D:D, MATCH(F689,база!B:B,0)),"")</f>
        <v/>
      </c>
      <c r="AS689" s="758" t="str">
        <f>IFERROR(INDEX(база!E:E, MATCH(F689,база!B:B,0)),"")</f>
        <v/>
      </c>
    </row>
    <row r="690" spans="1:47" s="46" customFormat="1" ht="15">
      <c r="A690" s="66" t="str">
        <f t="shared" si="8"/>
        <v>январь</v>
      </c>
      <c r="B690" s="231">
        <v>2024</v>
      </c>
      <c r="C690" s="299"/>
      <c r="D690" s="61"/>
      <c r="E690" s="211"/>
      <c r="F690" s="680"/>
      <c r="G690" s="47"/>
      <c r="H690" s="563"/>
      <c r="I690" s="563"/>
      <c r="J690" s="563"/>
      <c r="K690" s="563"/>
      <c r="L690" s="563"/>
      <c r="M690" s="563"/>
      <c r="N690" s="563"/>
      <c r="O690" s="563"/>
      <c r="P690" s="300"/>
      <c r="Q690" s="563"/>
      <c r="R690" s="563"/>
      <c r="S690" s="563"/>
      <c r="T690" s="563"/>
      <c r="U690" s="563"/>
      <c r="V690" s="563"/>
      <c r="W690" s="563"/>
      <c r="X690" s="563"/>
      <c r="Y690" s="563"/>
      <c r="Z690" s="563"/>
      <c r="AA690" s="563"/>
      <c r="AB690" s="563"/>
      <c r="AC690" s="563"/>
      <c r="AD690" s="48"/>
      <c r="AE690" s="48"/>
      <c r="AF690" s="258"/>
      <c r="AG690" s="48"/>
      <c r="AH690" s="48"/>
      <c r="AI690" s="48"/>
      <c r="AJ690" s="48"/>
      <c r="AK690" s="48"/>
      <c r="AL690" s="51"/>
      <c r="AM690" s="212">
        <f>IF(AQ690=1,SUM(Q690:T690,W690:Z690,AC690:AF690,AI690:AL690),
IF(AQ690=2,SUM(P690,S690:V690,Y690:AB690,AE690:AH690,AK690:AL690),
IF(AQ690=3,SUM(P690:R690,U690:X690,AA690:AD690,AG690:AJ690),SUM(Таблица1[[#This Row],[1]:[31]])-Таблица1[[#This Row],[Столбец1]])))</f>
        <v>0</v>
      </c>
      <c r="AN690" s="778">
        <f t="array" ref="AN690">IF(AQ690=1,SUM(P690,U690:V690,AA690:AB690,AG690:AH690),
IF(AQ690=2,SUM(Q690:R690,W690:X690,AC690:AD690,AI690:AJ690),
IF(AQ690=3,SUM(S690:T690,Y690:Z690,AE690:AF690,AK690:AL690),
SUM(IFERROR(WEEKDAY($H$2:$AL$2,2)&gt;5,)*H690:AL690))))+Таблица1[[#This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90" s="292" t="b">
        <f>IF(AR690&lt;=3,(IF((G690="5/24"),((база!$M$6*Таблица1[[#This Row],[сумма]]*Таблица1[[#This Row],[коэф]])),
IF((G690="4/24"),((база!$M$5*Таблица1[[#This Row],[сумма]]*Таблица1[[#This Row],[коэф]])),
IF((G690="3/24"),((база!$M$4*Таблица1[[#This Row],[сумма]]*Таблица1[[#This Row],[коэф]])),
IF((G690="5/16"),((база!$L$6*Таблица1[[#This Row],[сумма]]*Таблица1[[#This Row],[коэф]])),
IF((G690="4/16"),((база!$L$5*Таблица1[[#This Row],[сумма]]*Таблица1[[#This Row],[коэф]])),
IF((G690="3/16"),((база!$L$4*Таблица1[[#This Row],[сумма]]*Таблица1[[#This Row],[коэф]])),
IF((G690="4/4"),((база!$I$5*Таблица1[[#This Row],[сумма]]*Таблица1[[#This Row],[коэф]])),
IF(OR(G690="2/4",G690="3/4"),((база!$I$4*Таблица1[[#This Row],[сумма]]*Таблица1[[#This Row],[коэф]])),
IF((G690="5/8"),((база!$J$6*Таблица1[[#This Row],[сумма]]*Таблица1[[#This Row],[коэф]])),
IF((G690="4/8"),((база!$J$5*Таблица1[[#This Row],[сумма]]*Таблица1[[#This Row],[коэф]])),
IF(OR(G690="3/8",G690="2/8"),((база!$J$4*Таблица1[[#This Row],[сумма]]*Таблица1[[#This Row],[коэф]])))))))))))))),
(IF((G690="5/24"),((база!$M$6*Таблица1[[#This Row],[сумма]]*Таблица1[[#This Row],[коэф]])),
IF(OR(G690="4/24",G690="3/24"),((база!$M$5*Таблица1[[#This Row],[сумма]]*Таблица1[[#This Row],[коэф]])),
IF((G690="5/16"),((база!$L$6*Таблица1[[#This Row],[сумма]]*Таблица1[[#This Row],[коэф]])),
IF(OR(G690="4/16",G690="3/16"),((база!$L$5*Таблица1[[#This Row],[сумма]]*Таблица1[[#This Row],[коэф]])),
IF(OR(G690="2/4",G690="3/4",G690="4/4"),((база!$I$5*Таблица1[[#This Row],[сумма]]*Таблица1[[#This Row],[коэф]])),
IF((G690="5/8"),((база!$J$6*Таблица1[[#This Row],[сумма]]*Таблица1[[#This Row],[коэф]])),
IF(OR(G690="4/8",G690="3/8",G690="2/8"),((база!$J$5*Таблица1[[#This Row],[сумма]]*Таблица1[[#This Row],[коэф]])))))))))))</f>
        <v>0</v>
      </c>
      <c r="AP690" s="730" t="b">
        <f>IF(AR690&lt;=3,(IF((G690="5/24"),((база!$M$6*2*Таблица1[[#This Row],[Столбец1]]*Таблица1[[#This Row],[коэф]])),
IF((G690="4/24"),((база!$M$5*2*Таблица1[[#This Row],[Столбец1]]*Таблица1[[#This Row],[коэф]])),
IF((G690="3/24"),((база!$M$4*2*Таблица1[[#This Row],[Столбец1]]*Таблица1[[#This Row],[коэф]])),
IF((G690="5/16"),((база!$L$6*2*Таблица1[[#This Row],[Столбец1]]*Таблица1[[#This Row],[коэф]])),
IF((G690="4/16"),((база!$L$5*2*Таблица1[[#This Row],[Столбец1]]*Таблица1[[#This Row],[коэф]])),
IF((G690="3/16"),((база!$L$4*2*Таблица1[[#This Row],[Столбец1]]*Таблица1[[#This Row],[коэф]])),
IF((G690="4/4"),((база!$I$5*2*Таблица1[[#This Row],[Столбец1]]*Таблица1[[#This Row],[коэф]])),
IF(OR(G690="2/4",G690="3/4"),((база!$I$4*2*Таблица1[[#This Row],[Столбец1]]*Таблица1[[#This Row],[коэф]])),
IF((G690="5/8"),((база!$J$6*2*Таблица1[[#This Row],[Столбец1]]*Таблица1[[#This Row],[коэф]])),
IF((G690="4/8"),((база!$J$5*2*Таблица1[[#This Row],[Столбец1]]*Таблица1[[#This Row],[коэф]])),
IF(OR(G690="3/8",G690="2/8"),((база!$J$4*2*Таблица1[[#This Row],[Столбец1]]*Таблица1[[#This Row],[коэф]])))))))))))))),
(IF((G690="5/24"),((база!$M$6*2*Таблица1[[#This Row],[Столбец1]]*Таблица1[[#This Row],[коэф]])),
IF(OR(G690="4/24",G690="3/24"),((база!$M$5*2*Таблица1[[#This Row],[Столбец1]]*Таблица1[[#This Row],[коэф]])),
IF((G690="5/16"),((база!$L$6*2*Таблица1[[#This Row],[Столбец1]]*Таблица1[[#This Row],[коэф]])),
IF(OR(G690="4/16",G690="3/16"),((база!$L$5*2*Таблица1[[#This Row],[Столбец1]]*Таблица1[[#This Row],[коэф]])),
IF(OR(G690="2/4",G690="3/4",G690="4/4"),((база!$I$5*2*Таблица1[[#This Row],[Столбец1]]*Таблица1[[#This Row],[коэф]])),
IF((G690="5/8"),((база!$J$6*2*Таблица1[[#This Row],[Столбец1]]*Таблица1[[#This Row],[коэф]])),
IF(OR(G690="4/8",G690="3/8",G690="2/8"),((база!$J$5*2*Таблица1[[#This Row],[Столбец1]]*Таблица1[[#This Row],[коэф]])))))))))))</f>
        <v>0</v>
      </c>
      <c r="AQ690" s="712" t="str">
        <f>IFERROR(INDEX(база!T:T, MATCH(F690,база!Q:Q,0)),"")</f>
        <v/>
      </c>
      <c r="AR690" s="208" t="str">
        <f>IFERROR(INDEX(база!D:D, MATCH(F690,база!B:B,0)),"")</f>
        <v/>
      </c>
      <c r="AS690" s="758" t="str">
        <f>IFERROR(INDEX(база!E:E, MATCH(F690,база!B:B,0)),"")</f>
        <v/>
      </c>
    </row>
    <row r="691" spans="1:47" ht="15">
      <c r="A691" s="66" t="str">
        <f>A592</f>
        <v>январь</v>
      </c>
      <c r="B691" s="231">
        <v>2024</v>
      </c>
      <c r="C691" s="299"/>
      <c r="D691" s="61"/>
      <c r="E691" s="211"/>
      <c r="F691" s="680"/>
      <c r="G691" s="47"/>
      <c r="H691" s="563"/>
      <c r="I691" s="563"/>
      <c r="J691" s="563"/>
      <c r="K691" s="563"/>
      <c r="L691" s="563"/>
      <c r="M691" s="563"/>
      <c r="N691" s="563"/>
      <c r="O691" s="563"/>
      <c r="P691" s="300"/>
      <c r="Q691" s="563"/>
      <c r="R691" s="563"/>
      <c r="S691" s="563"/>
      <c r="T691" s="563"/>
      <c r="U691" s="563"/>
      <c r="V691" s="563"/>
      <c r="W691" s="563"/>
      <c r="X691" s="563"/>
      <c r="Y691" s="563"/>
      <c r="Z691" s="563"/>
      <c r="AA691" s="563"/>
      <c r="AB691" s="563"/>
      <c r="AC691" s="563"/>
      <c r="AD691" s="48"/>
      <c r="AE691" s="48"/>
      <c r="AF691" s="258"/>
      <c r="AG691" s="48"/>
      <c r="AH691" s="48"/>
      <c r="AI691" s="258"/>
      <c r="AJ691" s="258"/>
      <c r="AK691" s="258"/>
      <c r="AL691" s="258"/>
      <c r="AM691" s="212">
        <f>IF(AQ691=1,SUM(Q691:T691,W691:Z691,AC691:AF691,AI691:AL691),
IF(AQ691=2,SUM(P691,S691:V691,Y691:AB691,AE691:AH691,AK691:AL691),
IF(AQ691=3,SUM(P691:R691,U691:X691,AA691:AD691,AG691:AJ691),SUM(Таблица1[[#This Row],[1]:[31]])-Таблица1[[#This Row],[Столбец1]])))</f>
        <v>0</v>
      </c>
      <c r="AN691" s="778">
        <f t="array" ref="AN691">IF(AQ691=1,SUM(P691,U691:V691,AA691:AB691,AG691:AH691),
IF(AQ691=2,SUM(Q691:R691,W691:X691,AC691:AD691,AI691:AJ691),
IF(AQ691=3,SUM(S691:T691,Y691:Z691,AE691:AF691,AK691:AL691),
SUM(IFERROR(WEEKDAY($H$2:$AL$2,2)&gt;5,)*H691:AL691))))+Таблица1[[#This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91" s="292" t="b">
        <f>IF(AR691&lt;=3,(IF((G691="5/24"),((база!$M$6*Таблица1[[#This Row],[сумма]]*Таблица1[[#This Row],[коэф]])),
IF((G691="4/24"),((база!$M$5*Таблица1[[#This Row],[сумма]]*Таблица1[[#This Row],[коэф]])),
IF((G691="3/24"),((база!$M$4*Таблица1[[#This Row],[сумма]]*Таблица1[[#This Row],[коэф]])),
IF((G691="5/16"),((база!$L$6*Таблица1[[#This Row],[сумма]]*Таблица1[[#This Row],[коэф]])),
IF((G691="4/16"),((база!$L$5*Таблица1[[#This Row],[сумма]]*Таблица1[[#This Row],[коэф]])),
IF((G691="3/16"),((база!$L$4*Таблица1[[#This Row],[сумма]]*Таблица1[[#This Row],[коэф]])),
IF((G691="4/4"),((база!$I$5*Таблица1[[#This Row],[сумма]]*Таблица1[[#This Row],[коэф]])),
IF(OR(G691="2/4",G691="3/4"),((база!$I$4*Таблица1[[#This Row],[сумма]]*Таблица1[[#This Row],[коэф]])),
IF((G691="5/8"),((база!$J$6*Таблица1[[#This Row],[сумма]]*Таблица1[[#This Row],[коэф]])),
IF((G691="4/8"),((база!$J$5*Таблица1[[#This Row],[сумма]]*Таблица1[[#This Row],[коэф]])),
IF(OR(G691="3/8",G691="2/8"),((база!$J$4*Таблица1[[#This Row],[сумма]]*Таблица1[[#This Row],[коэф]])))))))))))))),
(IF((G691="5/24"),((база!$M$6*Таблица1[[#This Row],[сумма]]*Таблица1[[#This Row],[коэф]])),
IF(OR(G691="4/24",G691="3/24"),((база!$M$5*Таблица1[[#This Row],[сумма]]*Таблица1[[#This Row],[коэф]])),
IF((G691="5/16"),((база!$L$6*Таблица1[[#This Row],[сумма]]*Таблица1[[#This Row],[коэф]])),
IF(OR(G691="4/16",G691="3/16"),((база!$L$5*Таблица1[[#This Row],[сумма]]*Таблица1[[#This Row],[коэф]])),
IF(OR(G691="2/4",G691="3/4",G691="4/4"),((база!$I$5*Таблица1[[#This Row],[сумма]]*Таблица1[[#This Row],[коэф]])),
IF((G691="5/8"),((база!$J$6*Таблица1[[#This Row],[сумма]]*Таблица1[[#This Row],[коэф]])),
IF(OR(G691="4/8",G691="3/8",G691="2/8"),((база!$J$5*Таблица1[[#This Row],[сумма]]*Таблица1[[#This Row],[коэф]])))))))))))</f>
        <v>0</v>
      </c>
      <c r="AP691" s="730" t="b">
        <f>IF(AR691&lt;=3,(IF((G691="5/24"),((база!$M$6*2*Таблица1[[#This Row],[Столбец1]]*Таблица1[[#This Row],[коэф]])),
IF((G691="4/24"),((база!$M$5*2*Таблица1[[#This Row],[Столбец1]]*Таблица1[[#This Row],[коэф]])),
IF((G691="3/24"),((база!$M$4*2*Таблица1[[#This Row],[Столбец1]]*Таблица1[[#This Row],[коэф]])),
IF((G691="5/16"),((база!$L$6*2*Таблица1[[#This Row],[Столбец1]]*Таблица1[[#This Row],[коэф]])),
IF((G691="4/16"),((база!$L$5*2*Таблица1[[#This Row],[Столбец1]]*Таблица1[[#This Row],[коэф]])),
IF((G691="3/16"),((база!$L$4*2*Таблица1[[#This Row],[Столбец1]]*Таблица1[[#This Row],[коэф]])),
IF((G691="4/4"),((база!$I$5*2*Таблица1[[#This Row],[Столбец1]]*Таблица1[[#This Row],[коэф]])),
IF(OR(G691="2/4",G691="3/4"),((база!$I$4*2*Таблица1[[#This Row],[Столбец1]]*Таблица1[[#This Row],[коэф]])),
IF((G691="5/8"),((база!$J$6*2*Таблица1[[#This Row],[Столбец1]]*Таблица1[[#This Row],[коэф]])),
IF((G691="4/8"),((база!$J$5*2*Таблица1[[#This Row],[Столбец1]]*Таблица1[[#This Row],[коэф]])),
IF(OR(G691="3/8",G691="2/8"),((база!$J$4*2*Таблица1[[#This Row],[Столбец1]]*Таблица1[[#This Row],[коэф]])))))))))))))),
(IF((G691="5/24"),((база!$M$6*2*Таблица1[[#This Row],[Столбец1]]*Таблица1[[#This Row],[коэф]])),
IF(OR(G691="4/24",G691="3/24"),((база!$M$5*2*Таблица1[[#This Row],[Столбец1]]*Таблица1[[#This Row],[коэф]])),
IF((G691="5/16"),((база!$L$6*2*Таблица1[[#This Row],[Столбец1]]*Таблица1[[#This Row],[коэф]])),
IF(OR(G691="4/16",G691="3/16"),((база!$L$5*2*Таблица1[[#This Row],[Столбец1]]*Таблица1[[#This Row],[коэф]])),
IF(OR(G691="2/4",G691="3/4",G691="4/4"),((база!$I$5*2*Таблица1[[#This Row],[Столбец1]]*Таблица1[[#This Row],[коэф]])),
IF((G691="5/8"),((база!$J$6*2*Таблица1[[#This Row],[Столбец1]]*Таблица1[[#This Row],[коэф]])),
IF(OR(G691="4/8",G691="3/8",G691="2/8"),((база!$J$5*2*Таблица1[[#This Row],[Столбец1]]*Таблица1[[#This Row],[коэф]])))))))))))</f>
        <v>0</v>
      </c>
      <c r="AQ691" s="712" t="str">
        <f>IFERROR(INDEX(база!T:T, MATCH(F691,база!Q:Q,0)),"")</f>
        <v/>
      </c>
      <c r="AR691" s="208" t="str">
        <f>IFERROR(INDEX(база!D:D, MATCH(F691,база!B:B,0)),"")</f>
        <v/>
      </c>
      <c r="AS691" s="758" t="str">
        <f>IFERROR(INDEX(база!E:E, MATCH(F691,база!B:B,0)),"")</f>
        <v/>
      </c>
      <c r="AT691" s="46"/>
      <c r="AU691" s="46"/>
    </row>
    <row r="692" spans="1:47" ht="15">
      <c r="A692" s="66" t="str">
        <f t="shared" si="8"/>
        <v>январь</v>
      </c>
      <c r="B692" s="231">
        <v>2024</v>
      </c>
      <c r="C692" s="299"/>
      <c r="D692" s="61"/>
      <c r="E692" s="211"/>
      <c r="F692" s="680"/>
      <c r="G692" s="47"/>
      <c r="H692" s="563"/>
      <c r="I692" s="563"/>
      <c r="J692" s="563"/>
      <c r="K692" s="563"/>
      <c r="L692" s="563"/>
      <c r="M692" s="563"/>
      <c r="N692" s="563"/>
      <c r="O692" s="563"/>
      <c r="P692" s="300"/>
      <c r="Q692" s="563"/>
      <c r="R692" s="563"/>
      <c r="S692" s="563"/>
      <c r="T692" s="563"/>
      <c r="U692" s="563"/>
      <c r="V692" s="563"/>
      <c r="W692" s="563"/>
      <c r="X692" s="563"/>
      <c r="Y692" s="563"/>
      <c r="Z692" s="563"/>
      <c r="AA692" s="563"/>
      <c r="AB692" s="563"/>
      <c r="AC692" s="563"/>
      <c r="AD692" s="48"/>
      <c r="AE692" s="48"/>
      <c r="AF692" s="258"/>
      <c r="AG692" s="48"/>
      <c r="AH692" s="48"/>
      <c r="AI692" s="48"/>
      <c r="AJ692" s="48"/>
      <c r="AK692" s="48"/>
      <c r="AL692" s="51"/>
      <c r="AM692" s="212">
        <f>IF(AQ692=1,SUM(Q692:T692,W692:Z692,AC692:AF692,AI692:AL692),
IF(AQ692=2,SUM(P692,S692:V692,Y692:AB692,AE692:AH692,AK692:AL692),
IF(AQ692=3,SUM(P692:R692,U692:X692,AA692:AD692,AG692:AJ692),SUM(Таблица1[[#This Row],[1]:[31]])-Таблица1[[#This Row],[Столбец1]])))</f>
        <v>0</v>
      </c>
      <c r="AN692" s="778">
        <f t="array" ref="AN692">IF(AQ692=1,SUM(P692,U692:V692,AA692:AB692,AG692:AH692),
IF(AQ692=2,SUM(Q692:R692,W692:X692,AC692:AD692,AI692:AJ692),
IF(AQ692=3,SUM(S692:T692,Y692:Z692,AE692:AF692,AK692:AL692),
SUM(IFERROR(WEEKDAY($H$2:$AL$2,2)&gt;5,)*H692:AL692))))+Таблица1[[#This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92" s="292" t="b">
        <f>IF(AR692&lt;=3,(IF((G692="5/24"),((база!$M$6*Таблица1[[#This Row],[сумма]]*Таблица1[[#This Row],[коэф]])),
IF((G692="4/24"),((база!$M$5*Таблица1[[#This Row],[сумма]]*Таблица1[[#This Row],[коэф]])),
IF((G692="3/24"),((база!$M$4*Таблица1[[#This Row],[сумма]]*Таблица1[[#This Row],[коэф]])),
IF((G692="5/16"),((база!$L$6*Таблица1[[#This Row],[сумма]]*Таблица1[[#This Row],[коэф]])),
IF((G692="4/16"),((база!$L$5*Таблица1[[#This Row],[сумма]]*Таблица1[[#This Row],[коэф]])),
IF((G692="3/16"),((база!$L$4*Таблица1[[#This Row],[сумма]]*Таблица1[[#This Row],[коэф]])),
IF((G692="4/4"),((база!$I$5*Таблица1[[#This Row],[сумма]]*Таблица1[[#This Row],[коэф]])),
IF(OR(G692="2/4",G692="3/4"),((база!$I$4*Таблица1[[#This Row],[сумма]]*Таблица1[[#This Row],[коэф]])),
IF((G692="5/8"),((база!$J$6*Таблица1[[#This Row],[сумма]]*Таблица1[[#This Row],[коэф]])),
IF((G692="4/8"),((база!$J$5*Таблица1[[#This Row],[сумма]]*Таблица1[[#This Row],[коэф]])),
IF(OR(G692="3/8",G692="2/8"),((база!$J$4*Таблица1[[#This Row],[сумма]]*Таблица1[[#This Row],[коэф]])))))))))))))),
(IF((G692="5/24"),((база!$M$6*Таблица1[[#This Row],[сумма]]*Таблица1[[#This Row],[коэф]])),
IF(OR(G692="4/24",G692="3/24"),((база!$M$5*Таблица1[[#This Row],[сумма]]*Таблица1[[#This Row],[коэф]])),
IF((G692="5/16"),((база!$L$6*Таблица1[[#This Row],[сумма]]*Таблица1[[#This Row],[коэф]])),
IF(OR(G692="4/16",G692="3/16"),((база!$L$5*Таблица1[[#This Row],[сумма]]*Таблица1[[#This Row],[коэф]])),
IF(OR(G692="2/4",G692="3/4",G692="4/4"),((база!$I$5*Таблица1[[#This Row],[сумма]]*Таблица1[[#This Row],[коэф]])),
IF((G692="5/8"),((база!$J$6*Таблица1[[#This Row],[сумма]]*Таблица1[[#This Row],[коэф]])),
IF(OR(G692="4/8",G692="3/8",G692="2/8"),((база!$J$5*Таблица1[[#This Row],[сумма]]*Таблица1[[#This Row],[коэф]])))))))))))</f>
        <v>0</v>
      </c>
      <c r="AP692" s="730" t="b">
        <f>IF(AR692&lt;=3,(IF((G692="5/24"),((база!$M$6*2*Таблица1[[#This Row],[Столбец1]]*Таблица1[[#This Row],[коэф]])),
IF((G692="4/24"),((база!$M$5*2*Таблица1[[#This Row],[Столбец1]]*Таблица1[[#This Row],[коэф]])),
IF((G692="3/24"),((база!$M$4*2*Таблица1[[#This Row],[Столбец1]]*Таблица1[[#This Row],[коэф]])),
IF((G692="5/16"),((база!$L$6*2*Таблица1[[#This Row],[Столбец1]]*Таблица1[[#This Row],[коэф]])),
IF((G692="4/16"),((база!$L$5*2*Таблица1[[#This Row],[Столбец1]]*Таблица1[[#This Row],[коэф]])),
IF((G692="3/16"),((база!$L$4*2*Таблица1[[#This Row],[Столбец1]]*Таблица1[[#This Row],[коэф]])),
IF((G692="4/4"),((база!$I$5*2*Таблица1[[#This Row],[Столбец1]]*Таблица1[[#This Row],[коэф]])),
IF(OR(G692="2/4",G692="3/4"),((база!$I$4*2*Таблица1[[#This Row],[Столбец1]]*Таблица1[[#This Row],[коэф]])),
IF((G692="5/8"),((база!$J$6*2*Таблица1[[#This Row],[Столбец1]]*Таблица1[[#This Row],[коэф]])),
IF((G692="4/8"),((база!$J$5*2*Таблица1[[#This Row],[Столбец1]]*Таблица1[[#This Row],[коэф]])),
IF(OR(G692="3/8",G692="2/8"),((база!$J$4*2*Таблица1[[#This Row],[Столбец1]]*Таблица1[[#This Row],[коэф]])))))))))))))),
(IF((G692="5/24"),((база!$M$6*2*Таблица1[[#This Row],[Столбец1]]*Таблица1[[#This Row],[коэф]])),
IF(OR(G692="4/24",G692="3/24"),((база!$M$5*2*Таблица1[[#This Row],[Столбец1]]*Таблица1[[#This Row],[коэф]])),
IF((G692="5/16"),((база!$L$6*2*Таблица1[[#This Row],[Столбец1]]*Таблица1[[#This Row],[коэф]])),
IF(OR(G692="4/16",G692="3/16"),((база!$L$5*2*Таблица1[[#This Row],[Столбец1]]*Таблица1[[#This Row],[коэф]])),
IF(OR(G692="2/4",G692="3/4",G692="4/4"),((база!$I$5*2*Таблица1[[#This Row],[Столбец1]]*Таблица1[[#This Row],[коэф]])),
IF((G692="5/8"),((база!$J$6*2*Таблица1[[#This Row],[Столбец1]]*Таблица1[[#This Row],[коэф]])),
IF(OR(G692="4/8",G692="3/8",G692="2/8"),((база!$J$5*2*Таблица1[[#This Row],[Столбец1]]*Таблица1[[#This Row],[коэф]])))))))))))</f>
        <v>0</v>
      </c>
      <c r="AQ692" s="712" t="str">
        <f>IFERROR(INDEX(база!T:T, MATCH(F692,база!Q:Q,0)),"")</f>
        <v/>
      </c>
      <c r="AR692" s="208" t="str">
        <f>IFERROR(INDEX(база!D:D, MATCH(F692,база!B:B,0)),"")</f>
        <v/>
      </c>
      <c r="AS692" s="758" t="str">
        <f>IFERROR(INDEX(база!E:E, MATCH(F692,база!B:B,0)),"")</f>
        <v/>
      </c>
    </row>
    <row r="693" spans="1:47" ht="15">
      <c r="A693" s="66" t="str">
        <f t="shared" si="8"/>
        <v>январь</v>
      </c>
      <c r="B693" s="231">
        <v>2024</v>
      </c>
      <c r="C693" s="299"/>
      <c r="D693" s="61"/>
      <c r="E693" s="211"/>
      <c r="F693" s="680"/>
      <c r="G693" s="47"/>
      <c r="H693" s="563"/>
      <c r="I693" s="563"/>
      <c r="J693" s="563"/>
      <c r="K693" s="563"/>
      <c r="L693" s="563"/>
      <c r="M693" s="563"/>
      <c r="N693" s="563"/>
      <c r="O693" s="563"/>
      <c r="P693" s="300"/>
      <c r="Q693" s="563"/>
      <c r="R693" s="563"/>
      <c r="S693" s="563"/>
      <c r="T693" s="563"/>
      <c r="U693" s="563"/>
      <c r="V693" s="563"/>
      <c r="W693" s="563"/>
      <c r="X693" s="563"/>
      <c r="Y693" s="563"/>
      <c r="Z693" s="563"/>
      <c r="AA693" s="563"/>
      <c r="AB693" s="563"/>
      <c r="AC693" s="563"/>
      <c r="AD693" s="48"/>
      <c r="AE693" s="48"/>
      <c r="AF693" s="258"/>
      <c r="AG693" s="48"/>
      <c r="AH693" s="48"/>
      <c r="AI693" s="258"/>
      <c r="AJ693" s="258"/>
      <c r="AK693" s="258"/>
      <c r="AL693" s="258"/>
      <c r="AM693" s="212">
        <f>IF(AQ693=1,SUM(Q693:T693,W693:Z693,AC693:AF693,AI693:AL693),
IF(AQ693=2,SUM(P693,S693:V693,Y693:AB693,AE693:AH693,AK693:AL693),
IF(AQ693=3,SUM(P693:R693,U693:X693,AA693:AD693,AG693:AJ693),SUM(Таблица1[[#This Row],[1]:[31]])-Таблица1[[#This Row],[Столбец1]])))</f>
        <v>0</v>
      </c>
      <c r="AN693" s="778">
        <f t="array" ref="AN693">IF(AQ693=1,SUM(P693,U693:V693,AA693:AB693,AG693:AH693),
IF(AQ693=2,SUM(Q693:R693,W693:X693,AC693:AD693,AI693:AJ693),
IF(AQ693=3,SUM(S693:T693,Y693:Z693,AE693:AF693,AK693:AL693),
SUM(IFERROR(WEEKDAY($H$2:$AL$2,2)&gt;5,)*H693:AL693))))+Таблица1[[#This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93" s="292" t="b">
        <f>IF(AR693&lt;=3,(IF((G693="5/24"),((база!$M$6*Таблица1[[#This Row],[сумма]]*Таблица1[[#This Row],[коэф]])),
IF((G693="4/24"),((база!$M$5*Таблица1[[#This Row],[сумма]]*Таблица1[[#This Row],[коэф]])),
IF((G693="3/24"),((база!$M$4*Таблица1[[#This Row],[сумма]]*Таблица1[[#This Row],[коэф]])),
IF((G693="5/16"),((база!$L$6*Таблица1[[#This Row],[сумма]]*Таблица1[[#This Row],[коэф]])),
IF((G693="4/16"),((база!$L$5*Таблица1[[#This Row],[сумма]]*Таблица1[[#This Row],[коэф]])),
IF((G693="3/16"),((база!$L$4*Таблица1[[#This Row],[сумма]]*Таблица1[[#This Row],[коэф]])),
IF((G693="4/4"),((база!$I$5*Таблица1[[#This Row],[сумма]]*Таблица1[[#This Row],[коэф]])),
IF(OR(G693="2/4",G693="3/4"),((база!$I$4*Таблица1[[#This Row],[сумма]]*Таблица1[[#This Row],[коэф]])),
IF((G693="5/8"),((база!$J$6*Таблица1[[#This Row],[сумма]]*Таблица1[[#This Row],[коэф]])),
IF((G693="4/8"),((база!$J$5*Таблица1[[#This Row],[сумма]]*Таблица1[[#This Row],[коэф]])),
IF(OR(G693="3/8",G693="2/8"),((база!$J$4*Таблица1[[#This Row],[сумма]]*Таблица1[[#This Row],[коэф]])))))))))))))),
(IF((G693="5/24"),((база!$M$6*Таблица1[[#This Row],[сумма]]*Таблица1[[#This Row],[коэф]])),
IF(OR(G693="4/24",G693="3/24"),((база!$M$5*Таблица1[[#This Row],[сумма]]*Таблица1[[#This Row],[коэф]])),
IF((G693="5/16"),((база!$L$6*Таблица1[[#This Row],[сумма]]*Таблица1[[#This Row],[коэф]])),
IF(OR(G693="4/16",G693="3/16"),((база!$L$5*Таблица1[[#This Row],[сумма]]*Таблица1[[#This Row],[коэф]])),
IF(OR(G693="2/4",G693="3/4",G693="4/4"),((база!$I$5*Таблица1[[#This Row],[сумма]]*Таблица1[[#This Row],[коэф]])),
IF((G693="5/8"),((база!$J$6*Таблица1[[#This Row],[сумма]]*Таблица1[[#This Row],[коэф]])),
IF(OR(G693="4/8",G693="3/8",G693="2/8"),((база!$J$5*Таблица1[[#This Row],[сумма]]*Таблица1[[#This Row],[коэф]])))))))))))</f>
        <v>0</v>
      </c>
      <c r="AP693" s="730" t="b">
        <f>IF(AR693&lt;=3,(IF((G693="5/24"),((база!$M$6*2*Таблица1[[#This Row],[Столбец1]]*Таблица1[[#This Row],[коэф]])),
IF((G693="4/24"),((база!$M$5*2*Таблица1[[#This Row],[Столбец1]]*Таблица1[[#This Row],[коэф]])),
IF((G693="3/24"),((база!$M$4*2*Таблица1[[#This Row],[Столбец1]]*Таблица1[[#This Row],[коэф]])),
IF((G693="5/16"),((база!$L$6*2*Таблица1[[#This Row],[Столбец1]]*Таблица1[[#This Row],[коэф]])),
IF((G693="4/16"),((база!$L$5*2*Таблица1[[#This Row],[Столбец1]]*Таблица1[[#This Row],[коэф]])),
IF((G693="3/16"),((база!$L$4*2*Таблица1[[#This Row],[Столбец1]]*Таблица1[[#This Row],[коэф]])),
IF((G693="4/4"),((база!$I$5*2*Таблица1[[#This Row],[Столбец1]]*Таблица1[[#This Row],[коэф]])),
IF(OR(G693="2/4",G693="3/4"),((база!$I$4*2*Таблица1[[#This Row],[Столбец1]]*Таблица1[[#This Row],[коэф]])),
IF((G693="5/8"),((база!$J$6*2*Таблица1[[#This Row],[Столбец1]]*Таблица1[[#This Row],[коэф]])),
IF((G693="4/8"),((база!$J$5*2*Таблица1[[#This Row],[Столбец1]]*Таблица1[[#This Row],[коэф]])),
IF(OR(G693="3/8",G693="2/8"),((база!$J$4*2*Таблица1[[#This Row],[Столбец1]]*Таблица1[[#This Row],[коэф]])))))))))))))),
(IF((G693="5/24"),((база!$M$6*2*Таблица1[[#This Row],[Столбец1]]*Таблица1[[#This Row],[коэф]])),
IF(OR(G693="4/24",G693="3/24"),((база!$M$5*2*Таблица1[[#This Row],[Столбец1]]*Таблица1[[#This Row],[коэф]])),
IF((G693="5/16"),((база!$L$6*2*Таблица1[[#This Row],[Столбец1]]*Таблица1[[#This Row],[коэф]])),
IF(OR(G693="4/16",G693="3/16"),((база!$L$5*2*Таблица1[[#This Row],[Столбец1]]*Таблица1[[#This Row],[коэф]])),
IF(OR(G693="2/4",G693="3/4",G693="4/4"),((база!$I$5*2*Таблица1[[#This Row],[Столбец1]]*Таблица1[[#This Row],[коэф]])),
IF((G693="5/8"),((база!$J$6*2*Таблица1[[#This Row],[Столбец1]]*Таблица1[[#This Row],[коэф]])),
IF(OR(G693="4/8",G693="3/8",G693="2/8"),((база!$J$5*2*Таблица1[[#This Row],[Столбец1]]*Таблица1[[#This Row],[коэф]])))))))))))</f>
        <v>0</v>
      </c>
      <c r="AQ693" s="712" t="str">
        <f>IFERROR(INDEX(база!T:T, MATCH(F693,база!Q:Q,0)),"")</f>
        <v/>
      </c>
      <c r="AR693" s="208" t="str">
        <f>IFERROR(INDEX(база!D:D, MATCH(F693,база!B:B,0)),"")</f>
        <v/>
      </c>
      <c r="AS693" s="758" t="str">
        <f>IFERROR(INDEX(база!E:E, MATCH(F693,база!B:B,0)),"")</f>
        <v/>
      </c>
    </row>
    <row r="694" spans="1:47" ht="15">
      <c r="A694" s="66" t="str">
        <f t="shared" si="8"/>
        <v>январь</v>
      </c>
      <c r="B694" s="231">
        <v>2024</v>
      </c>
      <c r="C694" s="299"/>
      <c r="D694" s="61"/>
      <c r="E694" s="211"/>
      <c r="F694" s="680"/>
      <c r="G694" s="47"/>
      <c r="H694" s="563"/>
      <c r="I694" s="563"/>
      <c r="J694" s="563"/>
      <c r="K694" s="563"/>
      <c r="L694" s="563"/>
      <c r="M694" s="563"/>
      <c r="N694" s="563"/>
      <c r="O694" s="563"/>
      <c r="P694" s="300"/>
      <c r="Q694" s="563"/>
      <c r="R694" s="563"/>
      <c r="S694" s="563"/>
      <c r="T694" s="563"/>
      <c r="U694" s="563"/>
      <c r="V694" s="563"/>
      <c r="W694" s="563"/>
      <c r="X694" s="563"/>
      <c r="Y694" s="563"/>
      <c r="Z694" s="563"/>
      <c r="AA694" s="563"/>
      <c r="AB694" s="563"/>
      <c r="AC694" s="563"/>
      <c r="AD694" s="48"/>
      <c r="AE694" s="48"/>
      <c r="AF694" s="258"/>
      <c r="AG694" s="48"/>
      <c r="AH694" s="48"/>
      <c r="AI694" s="48"/>
      <c r="AJ694" s="48"/>
      <c r="AK694" s="48"/>
      <c r="AL694" s="51"/>
      <c r="AM694" s="212">
        <f>IF(AQ694=1,SUM(Q694:T694,W694:Z694,AC694:AF694,AI694:AL694),
IF(AQ694=2,SUM(P694,S694:V694,Y694:AB694,AE694:AH694,AK694:AL694),
IF(AQ694=3,SUM(P694:R694,U694:X694,AA694:AD694,AG694:AJ694),SUM(Таблица1[[#This Row],[1]:[31]])-Таблица1[[#This Row],[Столбец1]])))</f>
        <v>0</v>
      </c>
      <c r="AN694" s="778">
        <f t="array" ref="AN694">IF(AQ694=1,SUM(P694,U694:V694,AA694:AB694,AG694:AH694),
IF(AQ694=2,SUM(Q694:R694,W694:X694,AC694:AD694,AI694:AJ694),
IF(AQ694=3,SUM(S694:T694,Y694:Z694,AE694:AF694,AK694:AL694),
SUM(IFERROR(WEEKDAY($H$2:$AL$2,2)&gt;5,)*H694:AL694))))+Таблица1[[#This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94" s="292" t="b">
        <f>IF(AR694&lt;=3,(IF((G694="5/24"),((база!$M$6*Таблица1[[#This Row],[сумма]]*Таблица1[[#This Row],[коэф]])),
IF((G694="4/24"),((база!$M$5*Таблица1[[#This Row],[сумма]]*Таблица1[[#This Row],[коэф]])),
IF((G694="3/24"),((база!$M$4*Таблица1[[#This Row],[сумма]]*Таблица1[[#This Row],[коэф]])),
IF((G694="5/16"),((база!$L$6*Таблица1[[#This Row],[сумма]]*Таблица1[[#This Row],[коэф]])),
IF((G694="4/16"),((база!$L$5*Таблица1[[#This Row],[сумма]]*Таблица1[[#This Row],[коэф]])),
IF((G694="3/16"),((база!$L$4*Таблица1[[#This Row],[сумма]]*Таблица1[[#This Row],[коэф]])),
IF((G694="4/4"),((база!$I$5*Таблица1[[#This Row],[сумма]]*Таблица1[[#This Row],[коэф]])),
IF(OR(G694="2/4",G694="3/4"),((база!$I$4*Таблица1[[#This Row],[сумма]]*Таблица1[[#This Row],[коэф]])),
IF((G694="5/8"),((база!$J$6*Таблица1[[#This Row],[сумма]]*Таблица1[[#This Row],[коэф]])),
IF((G694="4/8"),((база!$J$5*Таблица1[[#This Row],[сумма]]*Таблица1[[#This Row],[коэф]])),
IF(OR(G694="3/8",G694="2/8"),((база!$J$4*Таблица1[[#This Row],[сумма]]*Таблица1[[#This Row],[коэф]])))))))))))))),
(IF((G694="5/24"),((база!$M$6*Таблица1[[#This Row],[сумма]]*Таблица1[[#This Row],[коэф]])),
IF(OR(G694="4/24",G694="3/24"),((база!$M$5*Таблица1[[#This Row],[сумма]]*Таблица1[[#This Row],[коэф]])),
IF((G694="5/16"),((база!$L$6*Таблица1[[#This Row],[сумма]]*Таблица1[[#This Row],[коэф]])),
IF(OR(G694="4/16",G694="3/16"),((база!$L$5*Таблица1[[#This Row],[сумма]]*Таблица1[[#This Row],[коэф]])),
IF(OR(G694="2/4",G694="3/4",G694="4/4"),((база!$I$5*Таблица1[[#This Row],[сумма]]*Таблица1[[#This Row],[коэф]])),
IF((G694="5/8"),((база!$J$6*Таблица1[[#This Row],[сумма]]*Таблица1[[#This Row],[коэф]])),
IF(OR(G694="4/8",G694="3/8",G694="2/8"),((база!$J$5*Таблица1[[#This Row],[сумма]]*Таблица1[[#This Row],[коэф]])))))))))))</f>
        <v>0</v>
      </c>
      <c r="AP694" s="730" t="b">
        <f>IF(AR694&lt;=3,(IF((G694="5/24"),((база!$M$6*2*Таблица1[[#This Row],[Столбец1]]*Таблица1[[#This Row],[коэф]])),
IF((G694="4/24"),((база!$M$5*2*Таблица1[[#This Row],[Столбец1]]*Таблица1[[#This Row],[коэф]])),
IF((G694="3/24"),((база!$M$4*2*Таблица1[[#This Row],[Столбец1]]*Таблица1[[#This Row],[коэф]])),
IF((G694="5/16"),((база!$L$6*2*Таблица1[[#This Row],[Столбец1]]*Таблица1[[#This Row],[коэф]])),
IF((G694="4/16"),((база!$L$5*2*Таблица1[[#This Row],[Столбец1]]*Таблица1[[#This Row],[коэф]])),
IF((G694="3/16"),((база!$L$4*2*Таблица1[[#This Row],[Столбец1]]*Таблица1[[#This Row],[коэф]])),
IF((G694="4/4"),((база!$I$5*2*Таблица1[[#This Row],[Столбец1]]*Таблица1[[#This Row],[коэф]])),
IF(OR(G694="2/4",G694="3/4"),((база!$I$4*2*Таблица1[[#This Row],[Столбец1]]*Таблица1[[#This Row],[коэф]])),
IF((G694="5/8"),((база!$J$6*2*Таблица1[[#This Row],[Столбец1]]*Таблица1[[#This Row],[коэф]])),
IF((G694="4/8"),((база!$J$5*2*Таблица1[[#This Row],[Столбец1]]*Таблица1[[#This Row],[коэф]])),
IF(OR(G694="3/8",G694="2/8"),((база!$J$4*2*Таблица1[[#This Row],[Столбец1]]*Таблица1[[#This Row],[коэф]])))))))))))))),
(IF((G694="5/24"),((база!$M$6*2*Таблица1[[#This Row],[Столбец1]]*Таблица1[[#This Row],[коэф]])),
IF(OR(G694="4/24",G694="3/24"),((база!$M$5*2*Таблица1[[#This Row],[Столбец1]]*Таблица1[[#This Row],[коэф]])),
IF((G694="5/16"),((база!$L$6*2*Таблица1[[#This Row],[Столбец1]]*Таблица1[[#This Row],[коэф]])),
IF(OR(G694="4/16",G694="3/16"),((база!$L$5*2*Таблица1[[#This Row],[Столбец1]]*Таблица1[[#This Row],[коэф]])),
IF(OR(G694="2/4",G694="3/4",G694="4/4"),((база!$I$5*2*Таблица1[[#This Row],[Столбец1]]*Таблица1[[#This Row],[коэф]])),
IF((G694="5/8"),((база!$J$6*2*Таблица1[[#This Row],[Столбец1]]*Таблица1[[#This Row],[коэф]])),
IF(OR(G694="4/8",G694="3/8",G694="2/8"),((база!$J$5*2*Таблица1[[#This Row],[Столбец1]]*Таблица1[[#This Row],[коэф]])))))))))))</f>
        <v>0</v>
      </c>
      <c r="AQ694" s="712" t="str">
        <f>IFERROR(INDEX(база!T:T, MATCH(F694,база!Q:Q,0)),"")</f>
        <v/>
      </c>
      <c r="AR694" s="208" t="str">
        <f>IFERROR(INDEX(база!D:D, MATCH(F694,база!B:B,0)),"")</f>
        <v/>
      </c>
      <c r="AS694" s="758" t="str">
        <f>IFERROR(INDEX(база!E:E, MATCH(F694,база!B:B,0)),"")</f>
        <v/>
      </c>
    </row>
    <row r="695" spans="1:47" ht="15">
      <c r="A695" s="66" t="str">
        <f t="shared" si="8"/>
        <v>январь</v>
      </c>
      <c r="B695" s="231">
        <v>2024</v>
      </c>
      <c r="C695" s="299"/>
      <c r="D695" s="61"/>
      <c r="E695" s="211"/>
      <c r="F695" s="680"/>
      <c r="G695" s="47"/>
      <c r="H695" s="563"/>
      <c r="I695" s="563"/>
      <c r="J695" s="563"/>
      <c r="K695" s="563"/>
      <c r="L695" s="563"/>
      <c r="M695" s="563"/>
      <c r="N695" s="563"/>
      <c r="O695" s="563"/>
      <c r="P695" s="300"/>
      <c r="Q695" s="563"/>
      <c r="R695" s="563"/>
      <c r="S695" s="563"/>
      <c r="T695" s="563"/>
      <c r="U695" s="563"/>
      <c r="V695" s="563"/>
      <c r="W695" s="563"/>
      <c r="X695" s="563"/>
      <c r="Y695" s="563"/>
      <c r="Z695" s="563"/>
      <c r="AA695" s="563"/>
      <c r="AB695" s="563"/>
      <c r="AC695" s="563"/>
      <c r="AD695" s="48"/>
      <c r="AE695" s="48"/>
      <c r="AF695" s="258"/>
      <c r="AG695" s="48"/>
      <c r="AH695" s="48"/>
      <c r="AI695" s="258"/>
      <c r="AJ695" s="258"/>
      <c r="AK695" s="258"/>
      <c r="AL695" s="258"/>
      <c r="AM695" s="212">
        <f>IF(AQ695=1,SUM(Q695:T695,W695:Z695,AC695:AF695,AI695:AL695),
IF(AQ695=2,SUM(P695,S695:V695,Y695:AB695,AE695:AH695,AK695:AL695),
IF(AQ695=3,SUM(P695:R695,U695:X695,AA695:AD695,AG695:AJ695),SUM(Таблица1[[#This Row],[1]:[31]])-Таблица1[[#This Row],[Столбец1]])))</f>
        <v>0</v>
      </c>
      <c r="AN695" s="778">
        <f t="array" ref="AN695">IF(AQ695=1,SUM(P695,U695:V695,AA695:AB695,AG695:AH695),
IF(AQ695=2,SUM(Q695:R695,W695:X695,AC695:AD695,AI695:AJ695),
IF(AQ695=3,SUM(S695:T695,Y695:Z695,AE695:AF695,AK695:AL695),
SUM(IFERROR(WEEKDAY($H$2:$AL$2,2)&gt;5,)*H695:AL695))))+Таблица1[[#This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95" s="292" t="b">
        <f>IF(AR695&lt;=3,(IF((G695="5/24"),((база!$M$6*Таблица1[[#This Row],[сумма]]*Таблица1[[#This Row],[коэф]])),
IF((G695="4/24"),((база!$M$5*Таблица1[[#This Row],[сумма]]*Таблица1[[#This Row],[коэф]])),
IF((G695="3/24"),((база!$M$4*Таблица1[[#This Row],[сумма]]*Таблица1[[#This Row],[коэф]])),
IF((G695="5/16"),((база!$L$6*Таблица1[[#This Row],[сумма]]*Таблица1[[#This Row],[коэф]])),
IF((G695="4/16"),((база!$L$5*Таблица1[[#This Row],[сумма]]*Таблица1[[#This Row],[коэф]])),
IF((G695="3/16"),((база!$L$4*Таблица1[[#This Row],[сумма]]*Таблица1[[#This Row],[коэф]])),
IF((G695="4/4"),((база!$I$5*Таблица1[[#This Row],[сумма]]*Таблица1[[#This Row],[коэф]])),
IF(OR(G695="2/4",G695="3/4"),((база!$I$4*Таблица1[[#This Row],[сумма]]*Таблица1[[#This Row],[коэф]])),
IF((G695="5/8"),((база!$J$6*Таблица1[[#This Row],[сумма]]*Таблица1[[#This Row],[коэф]])),
IF((G695="4/8"),((база!$J$5*Таблица1[[#This Row],[сумма]]*Таблица1[[#This Row],[коэф]])),
IF(OR(G695="3/8",G695="2/8"),((база!$J$4*Таблица1[[#This Row],[сумма]]*Таблица1[[#This Row],[коэф]])))))))))))))),
(IF((G695="5/24"),((база!$M$6*Таблица1[[#This Row],[сумма]]*Таблица1[[#This Row],[коэф]])),
IF(OR(G695="4/24",G695="3/24"),((база!$M$5*Таблица1[[#This Row],[сумма]]*Таблица1[[#This Row],[коэф]])),
IF((G695="5/16"),((база!$L$6*Таблица1[[#This Row],[сумма]]*Таблица1[[#This Row],[коэф]])),
IF(OR(G695="4/16",G695="3/16"),((база!$L$5*Таблица1[[#This Row],[сумма]]*Таблица1[[#This Row],[коэф]])),
IF(OR(G695="2/4",G695="3/4",G695="4/4"),((база!$I$5*Таблица1[[#This Row],[сумма]]*Таблица1[[#This Row],[коэф]])),
IF((G695="5/8"),((база!$J$6*Таблица1[[#This Row],[сумма]]*Таблица1[[#This Row],[коэф]])),
IF(OR(G695="4/8",G695="3/8",G695="2/8"),((база!$J$5*Таблица1[[#This Row],[сумма]]*Таблица1[[#This Row],[коэф]])))))))))))</f>
        <v>0</v>
      </c>
      <c r="AP695" s="730" t="b">
        <f>IF(AR695&lt;=3,(IF((G695="5/24"),((база!$M$6*2*Таблица1[[#This Row],[Столбец1]]*Таблица1[[#This Row],[коэф]])),
IF((G695="4/24"),((база!$M$5*2*Таблица1[[#This Row],[Столбец1]]*Таблица1[[#This Row],[коэф]])),
IF((G695="3/24"),((база!$M$4*2*Таблица1[[#This Row],[Столбец1]]*Таблица1[[#This Row],[коэф]])),
IF((G695="5/16"),((база!$L$6*2*Таблица1[[#This Row],[Столбец1]]*Таблица1[[#This Row],[коэф]])),
IF((G695="4/16"),((база!$L$5*2*Таблица1[[#This Row],[Столбец1]]*Таблица1[[#This Row],[коэф]])),
IF((G695="3/16"),((база!$L$4*2*Таблица1[[#This Row],[Столбец1]]*Таблица1[[#This Row],[коэф]])),
IF((G695="4/4"),((база!$I$5*2*Таблица1[[#This Row],[Столбец1]]*Таблица1[[#This Row],[коэф]])),
IF(OR(G695="2/4",G695="3/4"),((база!$I$4*2*Таблица1[[#This Row],[Столбец1]]*Таблица1[[#This Row],[коэф]])),
IF((G695="5/8"),((база!$J$6*2*Таблица1[[#This Row],[Столбец1]]*Таблица1[[#This Row],[коэф]])),
IF((G695="4/8"),((база!$J$5*2*Таблица1[[#This Row],[Столбец1]]*Таблица1[[#This Row],[коэф]])),
IF(OR(G695="3/8",G695="2/8"),((база!$J$4*2*Таблица1[[#This Row],[Столбец1]]*Таблица1[[#This Row],[коэф]])))))))))))))),
(IF((G695="5/24"),((база!$M$6*2*Таблица1[[#This Row],[Столбец1]]*Таблица1[[#This Row],[коэф]])),
IF(OR(G695="4/24",G695="3/24"),((база!$M$5*2*Таблица1[[#This Row],[Столбец1]]*Таблица1[[#This Row],[коэф]])),
IF((G695="5/16"),((база!$L$6*2*Таблица1[[#This Row],[Столбец1]]*Таблица1[[#This Row],[коэф]])),
IF(OR(G695="4/16",G695="3/16"),((база!$L$5*2*Таблица1[[#This Row],[Столбец1]]*Таблица1[[#This Row],[коэф]])),
IF(OR(G695="2/4",G695="3/4",G695="4/4"),((база!$I$5*2*Таблица1[[#This Row],[Столбец1]]*Таблица1[[#This Row],[коэф]])),
IF((G695="5/8"),((база!$J$6*2*Таблица1[[#This Row],[Столбец1]]*Таблица1[[#This Row],[коэф]])),
IF(OR(G695="4/8",G695="3/8",G695="2/8"),((база!$J$5*2*Таблица1[[#This Row],[Столбец1]]*Таблица1[[#This Row],[коэф]])))))))))))</f>
        <v>0</v>
      </c>
      <c r="AQ695" s="712" t="str">
        <f>IFERROR(INDEX(база!T:T, MATCH(F695,база!Q:Q,0)),"")</f>
        <v/>
      </c>
      <c r="AR695" s="208" t="str">
        <f>IFERROR(INDEX(база!D:D, MATCH(F695,база!B:B,0)),"")</f>
        <v/>
      </c>
      <c r="AS695" s="758" t="str">
        <f>IFERROR(INDEX(база!E:E, MATCH(F695,база!B:B,0)),"")</f>
        <v/>
      </c>
    </row>
    <row r="696" spans="1:47" ht="15">
      <c r="A696" s="66" t="str">
        <f t="shared" si="8"/>
        <v>январь</v>
      </c>
      <c r="B696" s="231">
        <v>2024</v>
      </c>
      <c r="C696" s="299"/>
      <c r="D696" s="61"/>
      <c r="E696" s="211"/>
      <c r="F696" s="680"/>
      <c r="G696" s="47"/>
      <c r="H696" s="563"/>
      <c r="I696" s="563"/>
      <c r="J696" s="563"/>
      <c r="K696" s="563"/>
      <c r="L696" s="563"/>
      <c r="M696" s="563"/>
      <c r="N696" s="563"/>
      <c r="O696" s="563"/>
      <c r="P696" s="300"/>
      <c r="Q696" s="563"/>
      <c r="R696" s="563"/>
      <c r="S696" s="563"/>
      <c r="T696" s="563"/>
      <c r="U696" s="563"/>
      <c r="V696" s="563"/>
      <c r="W696" s="563"/>
      <c r="X696" s="563"/>
      <c r="Y696" s="563"/>
      <c r="Z696" s="563"/>
      <c r="AA696" s="563"/>
      <c r="AB696" s="563"/>
      <c r="AC696" s="563"/>
      <c r="AD696" s="48"/>
      <c r="AE696" s="48"/>
      <c r="AF696" s="258"/>
      <c r="AG696" s="48"/>
      <c r="AH696" s="48"/>
      <c r="AI696" s="48"/>
      <c r="AJ696" s="48"/>
      <c r="AK696" s="48"/>
      <c r="AL696" s="51"/>
      <c r="AM696" s="212">
        <f>IF(AQ696=1,SUM(Q696:T696,W696:Z696,AC696:AF696,AI696:AL696),
IF(AQ696=2,SUM(P696,S696:V696,Y696:AB696,AE696:AH696,AK696:AL696),
IF(AQ696=3,SUM(P696:R696,U696:X696,AA696:AD696,AG696:AJ696),SUM(Таблица1[[#This Row],[1]:[31]])-Таблица1[[#This Row],[Столбец1]])))</f>
        <v>0</v>
      </c>
      <c r="AN696" s="778">
        <f t="array" ref="AN696">IF(AQ696=1,SUM(P696,U696:V696,AA696:AB696,AG696:AH696),
IF(AQ696=2,SUM(Q696:R696,W696:X696,AC696:AD696,AI696:AJ696),
IF(AQ696=3,SUM(S696:T696,Y696:Z696,AE696:AF696,AK696:AL696),
SUM(IFERROR(WEEKDAY($H$2:$AL$2,2)&gt;5,)*H696:AL696))))+Таблица1[[#This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96" s="292" t="b">
        <f>IF(AR696&lt;=3,(IF((G696="5/24"),((база!$M$6*Таблица1[[#This Row],[сумма]]*Таблица1[[#This Row],[коэф]])),
IF((G696="4/24"),((база!$M$5*Таблица1[[#This Row],[сумма]]*Таблица1[[#This Row],[коэф]])),
IF((G696="3/24"),((база!$M$4*Таблица1[[#This Row],[сумма]]*Таблица1[[#This Row],[коэф]])),
IF((G696="5/16"),((база!$L$6*Таблица1[[#This Row],[сумма]]*Таблица1[[#This Row],[коэф]])),
IF((G696="4/16"),((база!$L$5*Таблица1[[#This Row],[сумма]]*Таблица1[[#This Row],[коэф]])),
IF((G696="3/16"),((база!$L$4*Таблица1[[#This Row],[сумма]]*Таблица1[[#This Row],[коэф]])),
IF((G696="4/4"),((база!$I$5*Таблица1[[#This Row],[сумма]]*Таблица1[[#This Row],[коэф]])),
IF(OR(G696="2/4",G696="3/4"),((база!$I$4*Таблица1[[#This Row],[сумма]]*Таблица1[[#This Row],[коэф]])),
IF((G696="5/8"),((база!$J$6*Таблица1[[#This Row],[сумма]]*Таблица1[[#This Row],[коэф]])),
IF((G696="4/8"),((база!$J$5*Таблица1[[#This Row],[сумма]]*Таблица1[[#This Row],[коэф]])),
IF(OR(G696="3/8",G696="2/8"),((база!$J$4*Таблица1[[#This Row],[сумма]]*Таблица1[[#This Row],[коэф]])))))))))))))),
(IF((G696="5/24"),((база!$M$6*Таблица1[[#This Row],[сумма]]*Таблица1[[#This Row],[коэф]])),
IF(OR(G696="4/24",G696="3/24"),((база!$M$5*Таблица1[[#This Row],[сумма]]*Таблица1[[#This Row],[коэф]])),
IF((G696="5/16"),((база!$L$6*Таблица1[[#This Row],[сумма]]*Таблица1[[#This Row],[коэф]])),
IF(OR(G696="4/16",G696="3/16"),((база!$L$5*Таблица1[[#This Row],[сумма]]*Таблица1[[#This Row],[коэф]])),
IF(OR(G696="2/4",G696="3/4",G696="4/4"),((база!$I$5*Таблица1[[#This Row],[сумма]]*Таблица1[[#This Row],[коэф]])),
IF((G696="5/8"),((база!$J$6*Таблица1[[#This Row],[сумма]]*Таблица1[[#This Row],[коэф]])),
IF(OR(G696="4/8",G696="3/8",G696="2/8"),((база!$J$5*Таблица1[[#This Row],[сумма]]*Таблица1[[#This Row],[коэф]])))))))))))</f>
        <v>0</v>
      </c>
      <c r="AP696" s="730" t="b">
        <f>IF(AR696&lt;=3,(IF((G696="5/24"),((база!$M$6*2*Таблица1[[#This Row],[Столбец1]]*Таблица1[[#This Row],[коэф]])),
IF((G696="4/24"),((база!$M$5*2*Таблица1[[#This Row],[Столбец1]]*Таблица1[[#This Row],[коэф]])),
IF((G696="3/24"),((база!$M$4*2*Таблица1[[#This Row],[Столбец1]]*Таблица1[[#This Row],[коэф]])),
IF((G696="5/16"),((база!$L$6*2*Таблица1[[#This Row],[Столбец1]]*Таблица1[[#This Row],[коэф]])),
IF((G696="4/16"),((база!$L$5*2*Таблица1[[#This Row],[Столбец1]]*Таблица1[[#This Row],[коэф]])),
IF((G696="3/16"),((база!$L$4*2*Таблица1[[#This Row],[Столбец1]]*Таблица1[[#This Row],[коэф]])),
IF((G696="4/4"),((база!$I$5*2*Таблица1[[#This Row],[Столбец1]]*Таблица1[[#This Row],[коэф]])),
IF(OR(G696="2/4",G696="3/4"),((база!$I$4*2*Таблица1[[#This Row],[Столбец1]]*Таблица1[[#This Row],[коэф]])),
IF((G696="5/8"),((база!$J$6*2*Таблица1[[#This Row],[Столбец1]]*Таблица1[[#This Row],[коэф]])),
IF((G696="4/8"),((база!$J$5*2*Таблица1[[#This Row],[Столбец1]]*Таблица1[[#This Row],[коэф]])),
IF(OR(G696="3/8",G696="2/8"),((база!$J$4*2*Таблица1[[#This Row],[Столбец1]]*Таблица1[[#This Row],[коэф]])))))))))))))),
(IF((G696="5/24"),((база!$M$6*2*Таблица1[[#This Row],[Столбец1]]*Таблица1[[#This Row],[коэф]])),
IF(OR(G696="4/24",G696="3/24"),((база!$M$5*2*Таблица1[[#This Row],[Столбец1]]*Таблица1[[#This Row],[коэф]])),
IF((G696="5/16"),((база!$L$6*2*Таблица1[[#This Row],[Столбец1]]*Таблица1[[#This Row],[коэф]])),
IF(OR(G696="4/16",G696="3/16"),((база!$L$5*2*Таблица1[[#This Row],[Столбец1]]*Таблица1[[#This Row],[коэф]])),
IF(OR(G696="2/4",G696="3/4",G696="4/4"),((база!$I$5*2*Таблица1[[#This Row],[Столбец1]]*Таблица1[[#This Row],[коэф]])),
IF((G696="5/8"),((база!$J$6*2*Таблица1[[#This Row],[Столбец1]]*Таблица1[[#This Row],[коэф]])),
IF(OR(G696="4/8",G696="3/8",G696="2/8"),((база!$J$5*2*Таблица1[[#This Row],[Столбец1]]*Таблица1[[#This Row],[коэф]])))))))))))</f>
        <v>0</v>
      </c>
      <c r="AQ696" s="712" t="str">
        <f>IFERROR(INDEX(база!T:T, MATCH(F696,база!Q:Q,0)),"")</f>
        <v/>
      </c>
      <c r="AR696" s="208" t="str">
        <f>IFERROR(INDEX(база!D:D, MATCH(F696,база!B:B,0)),"")</f>
        <v/>
      </c>
      <c r="AS696" s="758" t="str">
        <f>IFERROR(INDEX(база!E:E, MATCH(F696,база!B:B,0)),"")</f>
        <v/>
      </c>
    </row>
    <row r="697" spans="1:47" ht="15">
      <c r="A697" s="66" t="str">
        <f t="shared" si="8"/>
        <v>январь</v>
      </c>
      <c r="B697" s="231">
        <v>2024</v>
      </c>
      <c r="C697" s="299"/>
      <c r="D697" s="61"/>
      <c r="E697" s="211"/>
      <c r="F697" s="680"/>
      <c r="G697" s="47"/>
      <c r="H697" s="563"/>
      <c r="I697" s="563"/>
      <c r="J697" s="563"/>
      <c r="K697" s="563"/>
      <c r="L697" s="563"/>
      <c r="M697" s="563"/>
      <c r="N697" s="563"/>
      <c r="O697" s="563"/>
      <c r="P697" s="300"/>
      <c r="Q697" s="563"/>
      <c r="R697" s="563"/>
      <c r="S697" s="563"/>
      <c r="T697" s="563"/>
      <c r="U697" s="563"/>
      <c r="V697" s="563"/>
      <c r="W697" s="563"/>
      <c r="X697" s="563"/>
      <c r="Y697" s="563"/>
      <c r="Z697" s="563"/>
      <c r="AA697" s="563"/>
      <c r="AB697" s="563"/>
      <c r="AC697" s="563"/>
      <c r="AD697" s="48"/>
      <c r="AE697" s="48"/>
      <c r="AF697" s="258"/>
      <c r="AG697" s="48"/>
      <c r="AH697" s="48"/>
      <c r="AI697" s="258"/>
      <c r="AJ697" s="258"/>
      <c r="AK697" s="258"/>
      <c r="AL697" s="258"/>
      <c r="AM697" s="212">
        <f>IF(AQ697=1,SUM(Q697:T697,W697:Z697,AC697:AF697,AI697:AL697),
IF(AQ697=2,SUM(P697,S697:V697,Y697:AB697,AE697:AH697,AK697:AL697),
IF(AQ697=3,SUM(P697:R697,U697:X697,AA697:AD697,AG697:AJ697),SUM(Таблица1[[#This Row],[1]:[31]])-Таблица1[[#This Row],[Столбец1]])))</f>
        <v>0</v>
      </c>
      <c r="AN697" s="778">
        <f t="array" ref="AN697">IF(AQ697=1,SUM(P697,U697:V697,AA697:AB697,AG697:AH697),
IF(AQ697=2,SUM(Q697:R697,W697:X697,AC697:AD697,AI697:AJ697),
IF(AQ697=3,SUM(S697:T697,Y697:Z697,AE697:AF697,AK697:AL697),
SUM(IFERROR(WEEKDAY($H$2:$AL$2,2)&gt;5,)*H697:AL697))))+Таблица1[[#This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97" s="292" t="b">
        <f>IF(AR697&lt;=3,(IF((G697="5/24"),((база!$M$6*Таблица1[[#This Row],[сумма]]*Таблица1[[#This Row],[коэф]])),
IF((G697="4/24"),((база!$M$5*Таблица1[[#This Row],[сумма]]*Таблица1[[#This Row],[коэф]])),
IF((G697="3/24"),((база!$M$4*Таблица1[[#This Row],[сумма]]*Таблица1[[#This Row],[коэф]])),
IF((G697="5/16"),((база!$L$6*Таблица1[[#This Row],[сумма]]*Таблица1[[#This Row],[коэф]])),
IF((G697="4/16"),((база!$L$5*Таблица1[[#This Row],[сумма]]*Таблица1[[#This Row],[коэф]])),
IF((G697="3/16"),((база!$L$4*Таблица1[[#This Row],[сумма]]*Таблица1[[#This Row],[коэф]])),
IF((G697="4/4"),((база!$I$5*Таблица1[[#This Row],[сумма]]*Таблица1[[#This Row],[коэф]])),
IF(OR(G697="2/4",G697="3/4"),((база!$I$4*Таблица1[[#This Row],[сумма]]*Таблица1[[#This Row],[коэф]])),
IF((G697="5/8"),((база!$J$6*Таблица1[[#This Row],[сумма]]*Таблица1[[#This Row],[коэф]])),
IF((G697="4/8"),((база!$J$5*Таблица1[[#This Row],[сумма]]*Таблица1[[#This Row],[коэф]])),
IF(OR(G697="3/8",G697="2/8"),((база!$J$4*Таблица1[[#This Row],[сумма]]*Таблица1[[#This Row],[коэф]])))))))))))))),
(IF((G697="5/24"),((база!$M$6*Таблица1[[#This Row],[сумма]]*Таблица1[[#This Row],[коэф]])),
IF(OR(G697="4/24",G697="3/24"),((база!$M$5*Таблица1[[#This Row],[сумма]]*Таблица1[[#This Row],[коэф]])),
IF((G697="5/16"),((база!$L$6*Таблица1[[#This Row],[сумма]]*Таблица1[[#This Row],[коэф]])),
IF(OR(G697="4/16",G697="3/16"),((база!$L$5*Таблица1[[#This Row],[сумма]]*Таблица1[[#This Row],[коэф]])),
IF(OR(G697="2/4",G697="3/4",G697="4/4"),((база!$I$5*Таблица1[[#This Row],[сумма]]*Таблица1[[#This Row],[коэф]])),
IF((G697="5/8"),((база!$J$6*Таблица1[[#This Row],[сумма]]*Таблица1[[#This Row],[коэф]])),
IF(OR(G697="4/8",G697="3/8",G697="2/8"),((база!$J$5*Таблица1[[#This Row],[сумма]]*Таблица1[[#This Row],[коэф]])))))))))))</f>
        <v>0</v>
      </c>
      <c r="AP697" s="730" t="b">
        <f>IF(AR697&lt;=3,(IF((G697="5/24"),((база!$M$6*2*Таблица1[[#This Row],[Столбец1]]*Таблица1[[#This Row],[коэф]])),
IF((G697="4/24"),((база!$M$5*2*Таблица1[[#This Row],[Столбец1]]*Таблица1[[#This Row],[коэф]])),
IF((G697="3/24"),((база!$M$4*2*Таблица1[[#This Row],[Столбец1]]*Таблица1[[#This Row],[коэф]])),
IF((G697="5/16"),((база!$L$6*2*Таблица1[[#This Row],[Столбец1]]*Таблица1[[#This Row],[коэф]])),
IF((G697="4/16"),((база!$L$5*2*Таблица1[[#This Row],[Столбец1]]*Таблица1[[#This Row],[коэф]])),
IF((G697="3/16"),((база!$L$4*2*Таблица1[[#This Row],[Столбец1]]*Таблица1[[#This Row],[коэф]])),
IF((G697="4/4"),((база!$I$5*2*Таблица1[[#This Row],[Столбец1]]*Таблица1[[#This Row],[коэф]])),
IF(OR(G697="2/4",G697="3/4"),((база!$I$4*2*Таблица1[[#This Row],[Столбец1]]*Таблица1[[#This Row],[коэф]])),
IF((G697="5/8"),((база!$J$6*2*Таблица1[[#This Row],[Столбец1]]*Таблица1[[#This Row],[коэф]])),
IF((G697="4/8"),((база!$J$5*2*Таблица1[[#This Row],[Столбец1]]*Таблица1[[#This Row],[коэф]])),
IF(OR(G697="3/8",G697="2/8"),((база!$J$4*2*Таблица1[[#This Row],[Столбец1]]*Таблица1[[#This Row],[коэф]])))))))))))))),
(IF((G697="5/24"),((база!$M$6*2*Таблица1[[#This Row],[Столбец1]]*Таблица1[[#This Row],[коэф]])),
IF(OR(G697="4/24",G697="3/24"),((база!$M$5*2*Таблица1[[#This Row],[Столбец1]]*Таблица1[[#This Row],[коэф]])),
IF((G697="5/16"),((база!$L$6*2*Таблица1[[#This Row],[Столбец1]]*Таблица1[[#This Row],[коэф]])),
IF(OR(G697="4/16",G697="3/16"),((база!$L$5*2*Таблица1[[#This Row],[Столбец1]]*Таблица1[[#This Row],[коэф]])),
IF(OR(G697="2/4",G697="3/4",G697="4/4"),((база!$I$5*2*Таблица1[[#This Row],[Столбец1]]*Таблица1[[#This Row],[коэф]])),
IF((G697="5/8"),((база!$J$6*2*Таблица1[[#This Row],[Столбец1]]*Таблица1[[#This Row],[коэф]])),
IF(OR(G697="4/8",G697="3/8",G697="2/8"),((база!$J$5*2*Таблица1[[#This Row],[Столбец1]]*Таблица1[[#This Row],[коэф]])))))))))))</f>
        <v>0</v>
      </c>
      <c r="AQ697" s="712" t="str">
        <f>IFERROR(INDEX(база!T:T, MATCH(F697,база!Q:Q,0)),"")</f>
        <v/>
      </c>
      <c r="AR697" s="208" t="str">
        <f>IFERROR(INDEX(база!D:D, MATCH(F697,база!B:B,0)),"")</f>
        <v/>
      </c>
      <c r="AS697" s="758" t="str">
        <f>IFERROR(INDEX(база!E:E, MATCH(F697,база!B:B,0)),"")</f>
        <v/>
      </c>
    </row>
    <row r="698" spans="1:47" ht="15">
      <c r="A698" s="66" t="str">
        <f t="shared" si="8"/>
        <v>январь</v>
      </c>
      <c r="B698" s="231">
        <v>2024</v>
      </c>
      <c r="C698" s="299"/>
      <c r="D698" s="61"/>
      <c r="E698" s="211"/>
      <c r="F698" s="680"/>
      <c r="G698" s="47"/>
      <c r="H698" s="563"/>
      <c r="I698" s="563"/>
      <c r="J698" s="563"/>
      <c r="K698" s="563"/>
      <c r="L698" s="563"/>
      <c r="M698" s="563"/>
      <c r="N698" s="563"/>
      <c r="O698" s="563"/>
      <c r="P698" s="300"/>
      <c r="Q698" s="563"/>
      <c r="R698" s="563"/>
      <c r="S698" s="563"/>
      <c r="T698" s="563"/>
      <c r="U698" s="563"/>
      <c r="V698" s="563"/>
      <c r="W698" s="563"/>
      <c r="X698" s="563"/>
      <c r="Y698" s="563"/>
      <c r="Z698" s="563"/>
      <c r="AA698" s="563"/>
      <c r="AB698" s="563"/>
      <c r="AC698" s="563"/>
      <c r="AD698" s="48"/>
      <c r="AE698" s="48"/>
      <c r="AF698" s="258"/>
      <c r="AG698" s="48"/>
      <c r="AH698" s="48"/>
      <c r="AI698" s="48"/>
      <c r="AJ698" s="48"/>
      <c r="AK698" s="48"/>
      <c r="AL698" s="51"/>
      <c r="AM698" s="212">
        <f>IF(AQ698=1,SUM(Q698:T698,W698:Z698,AC698:AF698,AI698:AL698),
IF(AQ698=2,SUM(P698,S698:V698,Y698:AB698,AE698:AH698,AK698:AL698),
IF(AQ698=3,SUM(P698:R698,U698:X698,AA698:AD698,AG698:AJ698),SUM(Таблица1[[#This Row],[1]:[31]])-Таблица1[[#This Row],[Столбец1]])))</f>
        <v>0</v>
      </c>
      <c r="AN698" s="778">
        <f t="array" ref="AN698">IF(AQ698=1,SUM(P698,U698:V698,AA698:AB698,AG698:AH698),
IF(AQ698=2,SUM(Q698:R698,W698:X698,AC698:AD698,AI698:AJ698),
IF(AQ698=3,SUM(S698:T698,Y698:Z698,AE698:AF698,AK698:AL698),
SUM(IFERROR(WEEKDAY($H$2:$AL$2,2)&gt;5,)*H698:AL698))))+Таблица1[[#This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98" s="292" t="b">
        <f>IF(AR698&lt;=3,(IF((G698="5/24"),((база!$M$6*Таблица1[[#This Row],[сумма]]*Таблица1[[#This Row],[коэф]])),
IF((G698="4/24"),((база!$M$5*Таблица1[[#This Row],[сумма]]*Таблица1[[#This Row],[коэф]])),
IF((G698="3/24"),((база!$M$4*Таблица1[[#This Row],[сумма]]*Таблица1[[#This Row],[коэф]])),
IF((G698="5/16"),((база!$L$6*Таблица1[[#This Row],[сумма]]*Таблица1[[#This Row],[коэф]])),
IF((G698="4/16"),((база!$L$5*Таблица1[[#This Row],[сумма]]*Таблица1[[#This Row],[коэф]])),
IF((G698="3/16"),((база!$L$4*Таблица1[[#This Row],[сумма]]*Таблица1[[#This Row],[коэф]])),
IF((G698="4/4"),((база!$I$5*Таблица1[[#This Row],[сумма]]*Таблица1[[#This Row],[коэф]])),
IF(OR(G698="2/4",G698="3/4"),((база!$I$4*Таблица1[[#This Row],[сумма]]*Таблица1[[#This Row],[коэф]])),
IF((G698="5/8"),((база!$J$6*Таблица1[[#This Row],[сумма]]*Таблица1[[#This Row],[коэф]])),
IF((G698="4/8"),((база!$J$5*Таблица1[[#This Row],[сумма]]*Таблица1[[#This Row],[коэф]])),
IF(OR(G698="3/8",G698="2/8"),((база!$J$4*Таблица1[[#This Row],[сумма]]*Таблица1[[#This Row],[коэф]])))))))))))))),
(IF((G698="5/24"),((база!$M$6*Таблица1[[#This Row],[сумма]]*Таблица1[[#This Row],[коэф]])),
IF(OR(G698="4/24",G698="3/24"),((база!$M$5*Таблица1[[#This Row],[сумма]]*Таблица1[[#This Row],[коэф]])),
IF((G698="5/16"),((база!$L$6*Таблица1[[#This Row],[сумма]]*Таблица1[[#This Row],[коэф]])),
IF(OR(G698="4/16",G698="3/16"),((база!$L$5*Таблица1[[#This Row],[сумма]]*Таблица1[[#This Row],[коэф]])),
IF(OR(G698="2/4",G698="3/4",G698="4/4"),((база!$I$5*Таблица1[[#This Row],[сумма]]*Таблица1[[#This Row],[коэф]])),
IF((G698="5/8"),((база!$J$6*Таблица1[[#This Row],[сумма]]*Таблица1[[#This Row],[коэф]])),
IF(OR(G698="4/8",G698="3/8",G698="2/8"),((база!$J$5*Таблица1[[#This Row],[сумма]]*Таблица1[[#This Row],[коэф]])))))))))))</f>
        <v>0</v>
      </c>
      <c r="AP698" s="730" t="b">
        <f>IF(AR698&lt;=3,(IF((G698="5/24"),((база!$M$6*2*Таблица1[[#This Row],[Столбец1]]*Таблица1[[#This Row],[коэф]])),
IF((G698="4/24"),((база!$M$5*2*Таблица1[[#This Row],[Столбец1]]*Таблица1[[#This Row],[коэф]])),
IF((G698="3/24"),((база!$M$4*2*Таблица1[[#This Row],[Столбец1]]*Таблица1[[#This Row],[коэф]])),
IF((G698="5/16"),((база!$L$6*2*Таблица1[[#This Row],[Столбец1]]*Таблица1[[#This Row],[коэф]])),
IF((G698="4/16"),((база!$L$5*2*Таблица1[[#This Row],[Столбец1]]*Таблица1[[#This Row],[коэф]])),
IF((G698="3/16"),((база!$L$4*2*Таблица1[[#This Row],[Столбец1]]*Таблица1[[#This Row],[коэф]])),
IF((G698="4/4"),((база!$I$5*2*Таблица1[[#This Row],[Столбец1]]*Таблица1[[#This Row],[коэф]])),
IF(OR(G698="2/4",G698="3/4"),((база!$I$4*2*Таблица1[[#This Row],[Столбец1]]*Таблица1[[#This Row],[коэф]])),
IF((G698="5/8"),((база!$J$6*2*Таблица1[[#This Row],[Столбец1]]*Таблица1[[#This Row],[коэф]])),
IF((G698="4/8"),((база!$J$5*2*Таблица1[[#This Row],[Столбец1]]*Таблица1[[#This Row],[коэф]])),
IF(OR(G698="3/8",G698="2/8"),((база!$J$4*2*Таблица1[[#This Row],[Столбец1]]*Таблица1[[#This Row],[коэф]])))))))))))))),
(IF((G698="5/24"),((база!$M$6*2*Таблица1[[#This Row],[Столбец1]]*Таблица1[[#This Row],[коэф]])),
IF(OR(G698="4/24",G698="3/24"),((база!$M$5*2*Таблица1[[#This Row],[Столбец1]]*Таблица1[[#This Row],[коэф]])),
IF((G698="5/16"),((база!$L$6*2*Таблица1[[#This Row],[Столбец1]]*Таблица1[[#This Row],[коэф]])),
IF(OR(G698="4/16",G698="3/16"),((база!$L$5*2*Таблица1[[#This Row],[Столбец1]]*Таблица1[[#This Row],[коэф]])),
IF(OR(G698="2/4",G698="3/4",G698="4/4"),((база!$I$5*2*Таблица1[[#This Row],[Столбец1]]*Таблица1[[#This Row],[коэф]])),
IF((G698="5/8"),((база!$J$6*2*Таблица1[[#This Row],[Столбец1]]*Таблица1[[#This Row],[коэф]])),
IF(OR(G698="4/8",G698="3/8",G698="2/8"),((база!$J$5*2*Таблица1[[#This Row],[Столбец1]]*Таблица1[[#This Row],[коэф]])))))))))))</f>
        <v>0</v>
      </c>
      <c r="AQ698" s="712" t="str">
        <f>IFERROR(INDEX(база!T:T, MATCH(F698,база!Q:Q,0)),"")</f>
        <v/>
      </c>
      <c r="AR698" s="208" t="str">
        <f>IFERROR(INDEX(база!D:D, MATCH(F698,база!B:B,0)),"")</f>
        <v/>
      </c>
      <c r="AS698" s="758" t="str">
        <f>IFERROR(INDEX(база!E:E, MATCH(F698,база!B:B,0)),"")</f>
        <v/>
      </c>
    </row>
    <row r="699" spans="1:47" ht="15">
      <c r="A699" s="66" t="str">
        <f t="shared" si="8"/>
        <v>январь</v>
      </c>
      <c r="B699" s="231">
        <v>2024</v>
      </c>
      <c r="C699" s="299"/>
      <c r="D699" s="61"/>
      <c r="E699" s="211"/>
      <c r="F699" s="680"/>
      <c r="G699" s="47"/>
      <c r="H699" s="563"/>
      <c r="I699" s="563"/>
      <c r="J699" s="563"/>
      <c r="K699" s="563"/>
      <c r="L699" s="563"/>
      <c r="M699" s="563"/>
      <c r="N699" s="563"/>
      <c r="O699" s="563"/>
      <c r="P699" s="300"/>
      <c r="Q699" s="563"/>
      <c r="R699" s="563"/>
      <c r="S699" s="563"/>
      <c r="T699" s="563"/>
      <c r="U699" s="563"/>
      <c r="V699" s="563"/>
      <c r="W699" s="563"/>
      <c r="X699" s="563"/>
      <c r="Y699" s="563"/>
      <c r="Z699" s="563"/>
      <c r="AA699" s="563"/>
      <c r="AB699" s="563"/>
      <c r="AC699" s="563"/>
      <c r="AD699" s="48"/>
      <c r="AE699" s="48"/>
      <c r="AF699" s="258"/>
      <c r="AG699" s="48"/>
      <c r="AH699" s="48"/>
      <c r="AI699" s="258"/>
      <c r="AJ699" s="258"/>
      <c r="AK699" s="258"/>
      <c r="AL699" s="258"/>
      <c r="AM699" s="212">
        <f>IF(AQ699=1,SUM(Q699:T699,W699:Z699,AC699:AF699,AI699:AL699),
IF(AQ699=2,SUM(P699,S699:V699,Y699:AB699,AE699:AH699,AK699:AL699),
IF(AQ699=3,SUM(P699:R699,U699:X699,AA699:AD699,AG699:AJ699),SUM(Таблица1[[#This Row],[1]:[31]])-Таблица1[[#This Row],[Столбец1]])))</f>
        <v>0</v>
      </c>
      <c r="AN699" s="778">
        <f t="array" ref="AN699">IF(AQ699=1,SUM(P699,U699:V699,AA699:AB699,AG699:AH699),
IF(AQ699=2,SUM(Q699:R699,W699:X699,AC699:AD699,AI699:AJ699),
IF(AQ699=3,SUM(S699:T699,Y699:Z699,AE699:AF699,AK699:AL699),
SUM(IFERROR(WEEKDAY($H$2:$AL$2,2)&gt;5,)*H699:AL699))))+Таблица1[[#This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699" s="292" t="b">
        <f>IF(AR699&lt;=3,(IF((G699="5/24"),((база!$M$6*Таблица1[[#This Row],[сумма]]*Таблица1[[#This Row],[коэф]])),
IF((G699="4/24"),((база!$M$5*Таблица1[[#This Row],[сумма]]*Таблица1[[#This Row],[коэф]])),
IF((G699="3/24"),((база!$M$4*Таблица1[[#This Row],[сумма]]*Таблица1[[#This Row],[коэф]])),
IF((G699="5/16"),((база!$L$6*Таблица1[[#This Row],[сумма]]*Таблица1[[#This Row],[коэф]])),
IF((G699="4/16"),((база!$L$5*Таблица1[[#This Row],[сумма]]*Таблица1[[#This Row],[коэф]])),
IF((G699="3/16"),((база!$L$4*Таблица1[[#This Row],[сумма]]*Таблица1[[#This Row],[коэф]])),
IF((G699="4/4"),((база!$I$5*Таблица1[[#This Row],[сумма]]*Таблица1[[#This Row],[коэф]])),
IF(OR(G699="2/4",G699="3/4"),((база!$I$4*Таблица1[[#This Row],[сумма]]*Таблица1[[#This Row],[коэф]])),
IF((G699="5/8"),((база!$J$6*Таблица1[[#This Row],[сумма]]*Таблица1[[#This Row],[коэф]])),
IF((G699="4/8"),((база!$J$5*Таблица1[[#This Row],[сумма]]*Таблица1[[#This Row],[коэф]])),
IF(OR(G699="3/8",G699="2/8"),((база!$J$4*Таблица1[[#This Row],[сумма]]*Таблица1[[#This Row],[коэф]])))))))))))))),
(IF((G699="5/24"),((база!$M$6*Таблица1[[#This Row],[сумма]]*Таблица1[[#This Row],[коэф]])),
IF(OR(G699="4/24",G699="3/24"),((база!$M$5*Таблица1[[#This Row],[сумма]]*Таблица1[[#This Row],[коэф]])),
IF((G699="5/16"),((база!$L$6*Таблица1[[#This Row],[сумма]]*Таблица1[[#This Row],[коэф]])),
IF(OR(G699="4/16",G699="3/16"),((база!$L$5*Таблица1[[#This Row],[сумма]]*Таблица1[[#This Row],[коэф]])),
IF(OR(G699="2/4",G699="3/4",G699="4/4"),((база!$I$5*Таблица1[[#This Row],[сумма]]*Таблица1[[#This Row],[коэф]])),
IF((G699="5/8"),((база!$J$6*Таблица1[[#This Row],[сумма]]*Таблица1[[#This Row],[коэф]])),
IF(OR(G699="4/8",G699="3/8",G699="2/8"),((база!$J$5*Таблица1[[#This Row],[сумма]]*Таблица1[[#This Row],[коэф]])))))))))))</f>
        <v>0</v>
      </c>
      <c r="AP699" s="730" t="b">
        <f>IF(AR699&lt;=3,(IF((G699="5/24"),((база!$M$6*2*Таблица1[[#This Row],[Столбец1]]*Таблица1[[#This Row],[коэф]])),
IF((G699="4/24"),((база!$M$5*2*Таблица1[[#This Row],[Столбец1]]*Таблица1[[#This Row],[коэф]])),
IF((G699="3/24"),((база!$M$4*2*Таблица1[[#This Row],[Столбец1]]*Таблица1[[#This Row],[коэф]])),
IF((G699="5/16"),((база!$L$6*2*Таблица1[[#This Row],[Столбец1]]*Таблица1[[#This Row],[коэф]])),
IF((G699="4/16"),((база!$L$5*2*Таблица1[[#This Row],[Столбец1]]*Таблица1[[#This Row],[коэф]])),
IF((G699="3/16"),((база!$L$4*2*Таблица1[[#This Row],[Столбец1]]*Таблица1[[#This Row],[коэф]])),
IF((G699="4/4"),((база!$I$5*2*Таблица1[[#This Row],[Столбец1]]*Таблица1[[#This Row],[коэф]])),
IF(OR(G699="2/4",G699="3/4"),((база!$I$4*2*Таблица1[[#This Row],[Столбец1]]*Таблица1[[#This Row],[коэф]])),
IF((G699="5/8"),((база!$J$6*2*Таблица1[[#This Row],[Столбец1]]*Таблица1[[#This Row],[коэф]])),
IF((G699="4/8"),((база!$J$5*2*Таблица1[[#This Row],[Столбец1]]*Таблица1[[#This Row],[коэф]])),
IF(OR(G699="3/8",G699="2/8"),((база!$J$4*2*Таблица1[[#This Row],[Столбец1]]*Таблица1[[#This Row],[коэф]])))))))))))))),
(IF((G699="5/24"),((база!$M$6*2*Таблица1[[#This Row],[Столбец1]]*Таблица1[[#This Row],[коэф]])),
IF(OR(G699="4/24",G699="3/24"),((база!$M$5*2*Таблица1[[#This Row],[Столбец1]]*Таблица1[[#This Row],[коэф]])),
IF((G699="5/16"),((база!$L$6*2*Таблица1[[#This Row],[Столбец1]]*Таблица1[[#This Row],[коэф]])),
IF(OR(G699="4/16",G699="3/16"),((база!$L$5*2*Таблица1[[#This Row],[Столбец1]]*Таблица1[[#This Row],[коэф]])),
IF(OR(G699="2/4",G699="3/4",G699="4/4"),((база!$I$5*2*Таблица1[[#This Row],[Столбец1]]*Таблица1[[#This Row],[коэф]])),
IF((G699="5/8"),((база!$J$6*2*Таблица1[[#This Row],[Столбец1]]*Таблица1[[#This Row],[коэф]])),
IF(OR(G699="4/8",G699="3/8",G699="2/8"),((база!$J$5*2*Таблица1[[#This Row],[Столбец1]]*Таблица1[[#This Row],[коэф]])))))))))))</f>
        <v>0</v>
      </c>
      <c r="AQ699" s="712" t="str">
        <f>IFERROR(INDEX(база!T:T, MATCH(F699,база!Q:Q,0)),"")</f>
        <v/>
      </c>
      <c r="AR699" s="208" t="str">
        <f>IFERROR(INDEX(база!D:D, MATCH(F699,база!B:B,0)),"")</f>
        <v/>
      </c>
      <c r="AS699" s="758" t="str">
        <f>IFERROR(INDEX(база!E:E, MATCH(F699,база!B:B,0)),"")</f>
        <v/>
      </c>
    </row>
    <row r="700" spans="1:47" ht="15">
      <c r="A700" s="66" t="str">
        <f t="shared" si="8"/>
        <v>январь</v>
      </c>
      <c r="B700" s="231">
        <v>2024</v>
      </c>
      <c r="C700" s="299"/>
      <c r="D700" s="61"/>
      <c r="E700" s="211"/>
      <c r="F700" s="680"/>
      <c r="G700" s="47"/>
      <c r="H700" s="563"/>
      <c r="I700" s="563"/>
      <c r="J700" s="563"/>
      <c r="K700" s="563"/>
      <c r="L700" s="563"/>
      <c r="M700" s="563"/>
      <c r="N700" s="563"/>
      <c r="O700" s="563"/>
      <c r="P700" s="300"/>
      <c r="Q700" s="563"/>
      <c r="R700" s="563"/>
      <c r="S700" s="563"/>
      <c r="T700" s="563"/>
      <c r="U700" s="563"/>
      <c r="V700" s="563"/>
      <c r="W700" s="563"/>
      <c r="X700" s="563"/>
      <c r="Y700" s="563"/>
      <c r="Z700" s="563"/>
      <c r="AA700" s="563"/>
      <c r="AB700" s="563"/>
      <c r="AC700" s="563"/>
      <c r="AD700" s="48"/>
      <c r="AE700" s="48"/>
      <c r="AF700" s="258"/>
      <c r="AG700" s="48"/>
      <c r="AH700" s="48"/>
      <c r="AI700" s="48"/>
      <c r="AJ700" s="48"/>
      <c r="AK700" s="48"/>
      <c r="AL700" s="51"/>
      <c r="AM700" s="212">
        <f>IF(AQ700=1,SUM(Q700:T700,W700:Z700,AC700:AF700,AI700:AL700),
IF(AQ700=2,SUM(P700,S700:V700,Y700:AB700,AE700:AH700,AK700:AL700),
IF(AQ700=3,SUM(P700:R700,U700:X700,AA700:AD700,AG700:AJ700),SUM(Таблица1[[#This Row],[1]:[31]])-Таблица1[[#This Row],[Столбец1]])))</f>
        <v>0</v>
      </c>
      <c r="AN700" s="778">
        <f t="array" ref="AN700">IF(AQ700=1,SUM(P700,U700:V700,AA700:AB700,AG700:AH700),
IF(AQ700=2,SUM(Q700:R700,W700:X700,AC700:AD700,AI700:AJ700),
IF(AQ700=3,SUM(S700:T700,Y700:Z700,AE700:AF700,AK700:AL700),
SUM(IFERROR(WEEKDAY($H$2:$AL$2,2)&gt;5,)*H700:AL700))))+Таблица1[[#This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00" s="292" t="b">
        <f>IF(AR700&lt;=3,(IF((G700="5/24"),((база!$M$6*Таблица1[[#This Row],[сумма]]*Таблица1[[#This Row],[коэф]])),
IF((G700="4/24"),((база!$M$5*Таблица1[[#This Row],[сумма]]*Таблица1[[#This Row],[коэф]])),
IF((G700="3/24"),((база!$M$4*Таблица1[[#This Row],[сумма]]*Таблица1[[#This Row],[коэф]])),
IF((G700="5/16"),((база!$L$6*Таблица1[[#This Row],[сумма]]*Таблица1[[#This Row],[коэф]])),
IF((G700="4/16"),((база!$L$5*Таблица1[[#This Row],[сумма]]*Таблица1[[#This Row],[коэф]])),
IF((G700="3/16"),((база!$L$4*Таблица1[[#This Row],[сумма]]*Таблица1[[#This Row],[коэф]])),
IF((G700="4/4"),((база!$I$5*Таблица1[[#This Row],[сумма]]*Таблица1[[#This Row],[коэф]])),
IF(OR(G700="2/4",G700="3/4"),((база!$I$4*Таблица1[[#This Row],[сумма]]*Таблица1[[#This Row],[коэф]])),
IF((G700="5/8"),((база!$J$6*Таблица1[[#This Row],[сумма]]*Таблица1[[#This Row],[коэф]])),
IF((G700="4/8"),((база!$J$5*Таблица1[[#This Row],[сумма]]*Таблица1[[#This Row],[коэф]])),
IF(OR(G700="3/8",G700="2/8"),((база!$J$4*Таблица1[[#This Row],[сумма]]*Таблица1[[#This Row],[коэф]])))))))))))))),
(IF((G700="5/24"),((база!$M$6*Таблица1[[#This Row],[сумма]]*Таблица1[[#This Row],[коэф]])),
IF(OR(G700="4/24",G700="3/24"),((база!$M$5*Таблица1[[#This Row],[сумма]]*Таблица1[[#This Row],[коэф]])),
IF((G700="5/16"),((база!$L$6*Таблица1[[#This Row],[сумма]]*Таблица1[[#This Row],[коэф]])),
IF(OR(G700="4/16",G700="3/16"),((база!$L$5*Таблица1[[#This Row],[сумма]]*Таблица1[[#This Row],[коэф]])),
IF(OR(G700="2/4",G700="3/4",G700="4/4"),((база!$I$5*Таблица1[[#This Row],[сумма]]*Таблица1[[#This Row],[коэф]])),
IF((G700="5/8"),((база!$J$6*Таблица1[[#This Row],[сумма]]*Таблица1[[#This Row],[коэф]])),
IF(OR(G700="4/8",G700="3/8",G700="2/8"),((база!$J$5*Таблица1[[#This Row],[сумма]]*Таблица1[[#This Row],[коэф]])))))))))))</f>
        <v>0</v>
      </c>
      <c r="AP700" s="730" t="b">
        <f>IF(AR700&lt;=3,(IF((G700="5/24"),((база!$M$6*2*Таблица1[[#This Row],[Столбец1]]*Таблица1[[#This Row],[коэф]])),
IF((G700="4/24"),((база!$M$5*2*Таблица1[[#This Row],[Столбец1]]*Таблица1[[#This Row],[коэф]])),
IF((G700="3/24"),((база!$M$4*2*Таблица1[[#This Row],[Столбец1]]*Таблица1[[#This Row],[коэф]])),
IF((G700="5/16"),((база!$L$6*2*Таблица1[[#This Row],[Столбец1]]*Таблица1[[#This Row],[коэф]])),
IF((G700="4/16"),((база!$L$5*2*Таблица1[[#This Row],[Столбец1]]*Таблица1[[#This Row],[коэф]])),
IF((G700="3/16"),((база!$L$4*2*Таблица1[[#This Row],[Столбец1]]*Таблица1[[#This Row],[коэф]])),
IF((G700="4/4"),((база!$I$5*2*Таблица1[[#This Row],[Столбец1]]*Таблица1[[#This Row],[коэф]])),
IF(OR(G700="2/4",G700="3/4"),((база!$I$4*2*Таблица1[[#This Row],[Столбец1]]*Таблица1[[#This Row],[коэф]])),
IF((G700="5/8"),((база!$J$6*2*Таблица1[[#This Row],[Столбец1]]*Таблица1[[#This Row],[коэф]])),
IF((G700="4/8"),((база!$J$5*2*Таблица1[[#This Row],[Столбец1]]*Таблица1[[#This Row],[коэф]])),
IF(OR(G700="3/8",G700="2/8"),((база!$J$4*2*Таблица1[[#This Row],[Столбец1]]*Таблица1[[#This Row],[коэф]])))))))))))))),
(IF((G700="5/24"),((база!$M$6*2*Таблица1[[#This Row],[Столбец1]]*Таблица1[[#This Row],[коэф]])),
IF(OR(G700="4/24",G700="3/24"),((база!$M$5*2*Таблица1[[#This Row],[Столбец1]]*Таблица1[[#This Row],[коэф]])),
IF((G700="5/16"),((база!$L$6*2*Таблица1[[#This Row],[Столбец1]]*Таблица1[[#This Row],[коэф]])),
IF(OR(G700="4/16",G700="3/16"),((база!$L$5*2*Таблица1[[#This Row],[Столбец1]]*Таблица1[[#This Row],[коэф]])),
IF(OR(G700="2/4",G700="3/4",G700="4/4"),((база!$I$5*2*Таблица1[[#This Row],[Столбец1]]*Таблица1[[#This Row],[коэф]])),
IF((G700="5/8"),((база!$J$6*2*Таблица1[[#This Row],[Столбец1]]*Таблица1[[#This Row],[коэф]])),
IF(OR(G700="4/8",G700="3/8",G700="2/8"),((база!$J$5*2*Таблица1[[#This Row],[Столбец1]]*Таблица1[[#This Row],[коэф]])))))))))))</f>
        <v>0</v>
      </c>
      <c r="AQ700" s="712" t="str">
        <f>IFERROR(INDEX(база!T:T, MATCH(F700,база!Q:Q,0)),"")</f>
        <v/>
      </c>
      <c r="AR700" s="208" t="str">
        <f>IFERROR(INDEX(база!D:D, MATCH(F700,база!B:B,0)),"")</f>
        <v/>
      </c>
      <c r="AS700" s="758" t="str">
        <f>IFERROR(INDEX(база!E:E, MATCH(F700,база!B:B,0)),"")</f>
        <v/>
      </c>
    </row>
    <row r="701" spans="1:47" ht="15">
      <c r="A701" s="66" t="str">
        <f t="shared" si="8"/>
        <v>январь</v>
      </c>
      <c r="B701" s="231">
        <v>2024</v>
      </c>
      <c r="C701" s="299"/>
      <c r="D701" s="61"/>
      <c r="E701" s="211"/>
      <c r="F701" s="680"/>
      <c r="G701" s="47"/>
      <c r="H701" s="563"/>
      <c r="I701" s="563"/>
      <c r="J701" s="563"/>
      <c r="K701" s="563"/>
      <c r="L701" s="563"/>
      <c r="M701" s="563"/>
      <c r="N701" s="563"/>
      <c r="O701" s="563"/>
      <c r="P701" s="300"/>
      <c r="Q701" s="563"/>
      <c r="R701" s="563"/>
      <c r="S701" s="563"/>
      <c r="T701" s="563"/>
      <c r="U701" s="563"/>
      <c r="V701" s="563"/>
      <c r="W701" s="563"/>
      <c r="X701" s="563"/>
      <c r="Y701" s="563"/>
      <c r="Z701" s="563"/>
      <c r="AA701" s="563"/>
      <c r="AB701" s="563"/>
      <c r="AC701" s="563"/>
      <c r="AD701" s="48"/>
      <c r="AE701" s="48"/>
      <c r="AF701" s="258"/>
      <c r="AG701" s="48"/>
      <c r="AH701" s="48"/>
      <c r="AI701" s="258"/>
      <c r="AJ701" s="258"/>
      <c r="AK701" s="258"/>
      <c r="AL701" s="258"/>
      <c r="AM701" s="212">
        <f>IF(AQ701=1,SUM(Q701:T701,W701:Z701,AC701:AF701,AI701:AL701),
IF(AQ701=2,SUM(P701,S701:V701,Y701:AB701,AE701:AH701,AK701:AL701),
IF(AQ701=3,SUM(P701:R701,U701:X701,AA701:AD701,AG701:AJ701),SUM(Таблица1[[#This Row],[1]:[31]])-Таблица1[[#This Row],[Столбец1]])))</f>
        <v>0</v>
      </c>
      <c r="AN701" s="778">
        <f t="array" ref="AN701">IF(AQ701=1,SUM(P701,U701:V701,AA701:AB701,AG701:AH701),
IF(AQ701=2,SUM(Q701:R701,W701:X701,AC701:AD701,AI701:AJ701),
IF(AQ701=3,SUM(S701:T701,Y701:Z701,AE701:AF701,AK701:AL701),
SUM(IFERROR(WEEKDAY($H$2:$AL$2,2)&gt;5,)*H701:AL701))))+Таблица1[[#This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01" s="292" t="b">
        <f>IF(AR701&lt;=3,(IF((G701="5/24"),((база!$M$6*Таблица1[[#This Row],[сумма]]*Таблица1[[#This Row],[коэф]])),
IF((G701="4/24"),((база!$M$5*Таблица1[[#This Row],[сумма]]*Таблица1[[#This Row],[коэф]])),
IF((G701="3/24"),((база!$M$4*Таблица1[[#This Row],[сумма]]*Таблица1[[#This Row],[коэф]])),
IF((G701="5/16"),((база!$L$6*Таблица1[[#This Row],[сумма]]*Таблица1[[#This Row],[коэф]])),
IF((G701="4/16"),((база!$L$5*Таблица1[[#This Row],[сумма]]*Таблица1[[#This Row],[коэф]])),
IF((G701="3/16"),((база!$L$4*Таблица1[[#This Row],[сумма]]*Таблица1[[#This Row],[коэф]])),
IF((G701="4/4"),((база!$I$5*Таблица1[[#This Row],[сумма]]*Таблица1[[#This Row],[коэф]])),
IF(OR(G701="2/4",G701="3/4"),((база!$I$4*Таблица1[[#This Row],[сумма]]*Таблица1[[#This Row],[коэф]])),
IF((G701="5/8"),((база!$J$6*Таблица1[[#This Row],[сумма]]*Таблица1[[#This Row],[коэф]])),
IF((G701="4/8"),((база!$J$5*Таблица1[[#This Row],[сумма]]*Таблица1[[#This Row],[коэф]])),
IF(OR(G701="3/8",G701="2/8"),((база!$J$4*Таблица1[[#This Row],[сумма]]*Таблица1[[#This Row],[коэф]])))))))))))))),
(IF((G701="5/24"),((база!$M$6*Таблица1[[#This Row],[сумма]]*Таблица1[[#This Row],[коэф]])),
IF(OR(G701="4/24",G701="3/24"),((база!$M$5*Таблица1[[#This Row],[сумма]]*Таблица1[[#This Row],[коэф]])),
IF((G701="5/16"),((база!$L$6*Таблица1[[#This Row],[сумма]]*Таблица1[[#This Row],[коэф]])),
IF(OR(G701="4/16",G701="3/16"),((база!$L$5*Таблица1[[#This Row],[сумма]]*Таблица1[[#This Row],[коэф]])),
IF(OR(G701="2/4",G701="3/4",G701="4/4"),((база!$I$5*Таблица1[[#This Row],[сумма]]*Таблица1[[#This Row],[коэф]])),
IF((G701="5/8"),((база!$J$6*Таблица1[[#This Row],[сумма]]*Таблица1[[#This Row],[коэф]])),
IF(OR(G701="4/8",G701="3/8",G701="2/8"),((база!$J$5*Таблица1[[#This Row],[сумма]]*Таблица1[[#This Row],[коэф]])))))))))))</f>
        <v>0</v>
      </c>
      <c r="AP701" s="730" t="b">
        <f>IF(AR701&lt;=3,(IF((G701="5/24"),((база!$M$6*2*Таблица1[[#This Row],[Столбец1]]*Таблица1[[#This Row],[коэф]])),
IF((G701="4/24"),((база!$M$5*2*Таблица1[[#This Row],[Столбец1]]*Таблица1[[#This Row],[коэф]])),
IF((G701="3/24"),((база!$M$4*2*Таблица1[[#This Row],[Столбец1]]*Таблица1[[#This Row],[коэф]])),
IF((G701="5/16"),((база!$L$6*2*Таблица1[[#This Row],[Столбец1]]*Таблица1[[#This Row],[коэф]])),
IF((G701="4/16"),((база!$L$5*2*Таблица1[[#This Row],[Столбец1]]*Таблица1[[#This Row],[коэф]])),
IF((G701="3/16"),((база!$L$4*2*Таблица1[[#This Row],[Столбец1]]*Таблица1[[#This Row],[коэф]])),
IF((G701="4/4"),((база!$I$5*2*Таблица1[[#This Row],[Столбец1]]*Таблица1[[#This Row],[коэф]])),
IF(OR(G701="2/4",G701="3/4"),((база!$I$4*2*Таблица1[[#This Row],[Столбец1]]*Таблица1[[#This Row],[коэф]])),
IF((G701="5/8"),((база!$J$6*2*Таблица1[[#This Row],[Столбец1]]*Таблица1[[#This Row],[коэф]])),
IF((G701="4/8"),((база!$J$5*2*Таблица1[[#This Row],[Столбец1]]*Таблица1[[#This Row],[коэф]])),
IF(OR(G701="3/8",G701="2/8"),((база!$J$4*2*Таблица1[[#This Row],[Столбец1]]*Таблица1[[#This Row],[коэф]])))))))))))))),
(IF((G701="5/24"),((база!$M$6*2*Таблица1[[#This Row],[Столбец1]]*Таблица1[[#This Row],[коэф]])),
IF(OR(G701="4/24",G701="3/24"),((база!$M$5*2*Таблица1[[#This Row],[Столбец1]]*Таблица1[[#This Row],[коэф]])),
IF((G701="5/16"),((база!$L$6*2*Таблица1[[#This Row],[Столбец1]]*Таблица1[[#This Row],[коэф]])),
IF(OR(G701="4/16",G701="3/16"),((база!$L$5*2*Таблица1[[#This Row],[Столбец1]]*Таблица1[[#This Row],[коэф]])),
IF(OR(G701="2/4",G701="3/4",G701="4/4"),((база!$I$5*2*Таблица1[[#This Row],[Столбец1]]*Таблица1[[#This Row],[коэф]])),
IF((G701="5/8"),((база!$J$6*2*Таблица1[[#This Row],[Столбец1]]*Таблица1[[#This Row],[коэф]])),
IF(OR(G701="4/8",G701="3/8",G701="2/8"),((база!$J$5*2*Таблица1[[#This Row],[Столбец1]]*Таблица1[[#This Row],[коэф]])))))))))))</f>
        <v>0</v>
      </c>
      <c r="AQ701" s="712" t="str">
        <f>IFERROR(INDEX(база!T:T, MATCH(F701,база!Q:Q,0)),"")</f>
        <v/>
      </c>
      <c r="AR701" s="208" t="str">
        <f>IFERROR(INDEX(база!D:D, MATCH(F701,база!B:B,0)),"")</f>
        <v/>
      </c>
      <c r="AS701" s="758" t="str">
        <f>IFERROR(INDEX(база!E:E, MATCH(F701,база!B:B,0)),"")</f>
        <v/>
      </c>
    </row>
    <row r="702" spans="1:47" ht="15">
      <c r="A702" s="66" t="str">
        <f t="shared" si="8"/>
        <v>январь</v>
      </c>
      <c r="B702" s="231">
        <v>2024</v>
      </c>
      <c r="C702" s="299"/>
      <c r="D702" s="61"/>
      <c r="E702" s="211"/>
      <c r="F702" s="680"/>
      <c r="G702" s="47"/>
      <c r="H702" s="563"/>
      <c r="I702" s="563"/>
      <c r="J702" s="563"/>
      <c r="K702" s="563"/>
      <c r="L702" s="563"/>
      <c r="M702" s="563"/>
      <c r="N702" s="563"/>
      <c r="O702" s="563"/>
      <c r="P702" s="300"/>
      <c r="Q702" s="563"/>
      <c r="R702" s="563"/>
      <c r="S702" s="563"/>
      <c r="T702" s="563"/>
      <c r="U702" s="563"/>
      <c r="V702" s="563"/>
      <c r="W702" s="563"/>
      <c r="X702" s="563"/>
      <c r="Y702" s="563"/>
      <c r="Z702" s="563"/>
      <c r="AA702" s="563"/>
      <c r="AB702" s="563"/>
      <c r="AC702" s="563"/>
      <c r="AD702" s="48"/>
      <c r="AE702" s="48"/>
      <c r="AF702" s="258"/>
      <c r="AG702" s="48"/>
      <c r="AH702" s="48"/>
      <c r="AI702" s="48"/>
      <c r="AJ702" s="48"/>
      <c r="AK702" s="48"/>
      <c r="AL702" s="51"/>
      <c r="AM702" s="212">
        <f>IF(AQ702=1,SUM(Q702:T702,W702:Z702,AC702:AF702,AI702:AL702),
IF(AQ702=2,SUM(P702,S702:V702,Y702:AB702,AE702:AH702,AK702:AL702),
IF(AQ702=3,SUM(P702:R702,U702:X702,AA702:AD702,AG702:AJ702),SUM(Таблица1[[#This Row],[1]:[31]])-Таблица1[[#This Row],[Столбец1]])))</f>
        <v>0</v>
      </c>
      <c r="AN702" s="778">
        <f t="array" ref="AN702">IF(AQ702=1,SUM(P702,U702:V702,AA702:AB702,AG702:AH702),
IF(AQ702=2,SUM(Q702:R702,W702:X702,AC702:AD702,AI702:AJ702),
IF(AQ702=3,SUM(S702:T702,Y702:Z702,AE702:AF702,AK702:AL702),
SUM(IFERROR(WEEKDAY($H$2:$AL$2,2)&gt;5,)*H702:AL702))))+Таблица1[[#This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02" s="292" t="b">
        <f>IF(AR702&lt;=3,(IF((G702="5/24"),((база!$M$6*Таблица1[[#This Row],[сумма]]*Таблица1[[#This Row],[коэф]])),
IF((G702="4/24"),((база!$M$5*Таблица1[[#This Row],[сумма]]*Таблица1[[#This Row],[коэф]])),
IF((G702="3/24"),((база!$M$4*Таблица1[[#This Row],[сумма]]*Таблица1[[#This Row],[коэф]])),
IF((G702="5/16"),((база!$L$6*Таблица1[[#This Row],[сумма]]*Таблица1[[#This Row],[коэф]])),
IF((G702="4/16"),((база!$L$5*Таблица1[[#This Row],[сумма]]*Таблица1[[#This Row],[коэф]])),
IF((G702="3/16"),((база!$L$4*Таблица1[[#This Row],[сумма]]*Таблица1[[#This Row],[коэф]])),
IF((G702="4/4"),((база!$I$5*Таблица1[[#This Row],[сумма]]*Таблица1[[#This Row],[коэф]])),
IF(OR(G702="2/4",G702="3/4"),((база!$I$4*Таблица1[[#This Row],[сумма]]*Таблица1[[#This Row],[коэф]])),
IF((G702="5/8"),((база!$J$6*Таблица1[[#This Row],[сумма]]*Таблица1[[#This Row],[коэф]])),
IF((G702="4/8"),((база!$J$5*Таблица1[[#This Row],[сумма]]*Таблица1[[#This Row],[коэф]])),
IF(OR(G702="3/8",G702="2/8"),((база!$J$4*Таблица1[[#This Row],[сумма]]*Таблица1[[#This Row],[коэф]])))))))))))))),
(IF((G702="5/24"),((база!$M$6*Таблица1[[#This Row],[сумма]]*Таблица1[[#This Row],[коэф]])),
IF(OR(G702="4/24",G702="3/24"),((база!$M$5*Таблица1[[#This Row],[сумма]]*Таблица1[[#This Row],[коэф]])),
IF((G702="5/16"),((база!$L$6*Таблица1[[#This Row],[сумма]]*Таблица1[[#This Row],[коэф]])),
IF(OR(G702="4/16",G702="3/16"),((база!$L$5*Таблица1[[#This Row],[сумма]]*Таблица1[[#This Row],[коэф]])),
IF(OR(G702="2/4",G702="3/4",G702="4/4"),((база!$I$5*Таблица1[[#This Row],[сумма]]*Таблица1[[#This Row],[коэф]])),
IF((G702="5/8"),((база!$J$6*Таблица1[[#This Row],[сумма]]*Таблица1[[#This Row],[коэф]])),
IF(OR(G702="4/8",G702="3/8",G702="2/8"),((база!$J$5*Таблица1[[#This Row],[сумма]]*Таблица1[[#This Row],[коэф]])))))))))))</f>
        <v>0</v>
      </c>
      <c r="AP702" s="730" t="b">
        <f>IF(AR702&lt;=3,(IF((G702="5/24"),((база!$M$6*2*Таблица1[[#This Row],[Столбец1]]*Таблица1[[#This Row],[коэф]])),
IF((G702="4/24"),((база!$M$5*2*Таблица1[[#This Row],[Столбец1]]*Таблица1[[#This Row],[коэф]])),
IF((G702="3/24"),((база!$M$4*2*Таблица1[[#This Row],[Столбец1]]*Таблица1[[#This Row],[коэф]])),
IF((G702="5/16"),((база!$L$6*2*Таблица1[[#This Row],[Столбец1]]*Таблица1[[#This Row],[коэф]])),
IF((G702="4/16"),((база!$L$5*2*Таблица1[[#This Row],[Столбец1]]*Таблица1[[#This Row],[коэф]])),
IF((G702="3/16"),((база!$L$4*2*Таблица1[[#This Row],[Столбец1]]*Таблица1[[#This Row],[коэф]])),
IF((G702="4/4"),((база!$I$5*2*Таблица1[[#This Row],[Столбец1]]*Таблица1[[#This Row],[коэф]])),
IF(OR(G702="2/4",G702="3/4"),((база!$I$4*2*Таблица1[[#This Row],[Столбец1]]*Таблица1[[#This Row],[коэф]])),
IF((G702="5/8"),((база!$J$6*2*Таблица1[[#This Row],[Столбец1]]*Таблица1[[#This Row],[коэф]])),
IF((G702="4/8"),((база!$J$5*2*Таблица1[[#This Row],[Столбец1]]*Таблица1[[#This Row],[коэф]])),
IF(OR(G702="3/8",G702="2/8"),((база!$J$4*2*Таблица1[[#This Row],[Столбец1]]*Таблица1[[#This Row],[коэф]])))))))))))))),
(IF((G702="5/24"),((база!$M$6*2*Таблица1[[#This Row],[Столбец1]]*Таблица1[[#This Row],[коэф]])),
IF(OR(G702="4/24",G702="3/24"),((база!$M$5*2*Таблица1[[#This Row],[Столбец1]]*Таблица1[[#This Row],[коэф]])),
IF((G702="5/16"),((база!$L$6*2*Таблица1[[#This Row],[Столбец1]]*Таблица1[[#This Row],[коэф]])),
IF(OR(G702="4/16",G702="3/16"),((база!$L$5*2*Таблица1[[#This Row],[Столбец1]]*Таблица1[[#This Row],[коэф]])),
IF(OR(G702="2/4",G702="3/4",G702="4/4"),((база!$I$5*2*Таблица1[[#This Row],[Столбец1]]*Таблица1[[#This Row],[коэф]])),
IF((G702="5/8"),((база!$J$6*2*Таблица1[[#This Row],[Столбец1]]*Таблица1[[#This Row],[коэф]])),
IF(OR(G702="4/8",G702="3/8",G702="2/8"),((база!$J$5*2*Таблица1[[#This Row],[Столбец1]]*Таблица1[[#This Row],[коэф]])))))))))))</f>
        <v>0</v>
      </c>
      <c r="AQ702" s="712" t="str">
        <f>IFERROR(INDEX(база!T:T, MATCH(F702,база!Q:Q,0)),"")</f>
        <v/>
      </c>
      <c r="AR702" s="208" t="str">
        <f>IFERROR(INDEX(база!D:D, MATCH(F702,база!B:B,0)),"")</f>
        <v/>
      </c>
      <c r="AS702" s="758" t="str">
        <f>IFERROR(INDEX(база!E:E, MATCH(F702,база!B:B,0)),"")</f>
        <v/>
      </c>
    </row>
    <row r="703" spans="1:47" ht="15">
      <c r="A703" s="66" t="str">
        <f t="shared" si="8"/>
        <v>январь</v>
      </c>
      <c r="B703" s="231">
        <v>2024</v>
      </c>
      <c r="C703" s="299"/>
      <c r="D703" s="61"/>
      <c r="E703" s="211"/>
      <c r="F703" s="680"/>
      <c r="G703" s="47"/>
      <c r="H703" s="563"/>
      <c r="I703" s="563"/>
      <c r="J703" s="563"/>
      <c r="K703" s="563"/>
      <c r="L703" s="563"/>
      <c r="M703" s="563"/>
      <c r="N703" s="563"/>
      <c r="O703" s="563"/>
      <c r="P703" s="300"/>
      <c r="Q703" s="563"/>
      <c r="R703" s="563"/>
      <c r="S703" s="563"/>
      <c r="T703" s="563"/>
      <c r="U703" s="563"/>
      <c r="V703" s="563"/>
      <c r="W703" s="563"/>
      <c r="X703" s="563"/>
      <c r="Y703" s="563"/>
      <c r="Z703" s="563"/>
      <c r="AA703" s="563"/>
      <c r="AB703" s="563"/>
      <c r="AC703" s="563"/>
      <c r="AD703" s="48"/>
      <c r="AE703" s="48"/>
      <c r="AF703" s="258"/>
      <c r="AG703" s="48"/>
      <c r="AH703" s="48"/>
      <c r="AI703" s="258"/>
      <c r="AJ703" s="258"/>
      <c r="AK703" s="258"/>
      <c r="AL703" s="258"/>
      <c r="AM703" s="212">
        <f>IF(AQ703=1,SUM(Q703:T703,W703:Z703,AC703:AF703,AI703:AL703),
IF(AQ703=2,SUM(P703,S703:V703,Y703:AB703,AE703:AH703,AK703:AL703),
IF(AQ703=3,SUM(P703:R703,U703:X703,AA703:AD703,AG703:AJ703),SUM(Таблица1[[#This Row],[1]:[31]])-Таблица1[[#This Row],[Столбец1]])))</f>
        <v>0</v>
      </c>
      <c r="AN703" s="778">
        <f t="array" ref="AN703">IF(AQ703=1,SUM(P703,U703:V703,AA703:AB703,AG703:AH703),
IF(AQ703=2,SUM(Q703:R703,W703:X703,AC703:AD703,AI703:AJ703),
IF(AQ703=3,SUM(S703:T703,Y703:Z703,AE703:AF703,AK703:AL703),
SUM(IFERROR(WEEKDAY($H$2:$AL$2,2)&gt;5,)*H703:AL703))))+Таблица1[[#This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03" s="292" t="b">
        <f>IF(AR703&lt;=3,(IF((G703="5/24"),((база!$M$6*Таблица1[[#This Row],[сумма]]*Таблица1[[#This Row],[коэф]])),
IF((G703="4/24"),((база!$M$5*Таблица1[[#This Row],[сумма]]*Таблица1[[#This Row],[коэф]])),
IF((G703="3/24"),((база!$M$4*Таблица1[[#This Row],[сумма]]*Таблица1[[#This Row],[коэф]])),
IF((G703="5/16"),((база!$L$6*Таблица1[[#This Row],[сумма]]*Таблица1[[#This Row],[коэф]])),
IF((G703="4/16"),((база!$L$5*Таблица1[[#This Row],[сумма]]*Таблица1[[#This Row],[коэф]])),
IF((G703="3/16"),((база!$L$4*Таблица1[[#This Row],[сумма]]*Таблица1[[#This Row],[коэф]])),
IF((G703="4/4"),((база!$I$5*Таблица1[[#This Row],[сумма]]*Таблица1[[#This Row],[коэф]])),
IF(OR(G703="2/4",G703="3/4"),((база!$I$4*Таблица1[[#This Row],[сумма]]*Таблица1[[#This Row],[коэф]])),
IF((G703="5/8"),((база!$J$6*Таблица1[[#This Row],[сумма]]*Таблица1[[#This Row],[коэф]])),
IF((G703="4/8"),((база!$J$5*Таблица1[[#This Row],[сумма]]*Таблица1[[#This Row],[коэф]])),
IF(OR(G703="3/8",G703="2/8"),((база!$J$4*Таблица1[[#This Row],[сумма]]*Таблица1[[#This Row],[коэф]])))))))))))))),
(IF((G703="5/24"),((база!$M$6*Таблица1[[#This Row],[сумма]]*Таблица1[[#This Row],[коэф]])),
IF(OR(G703="4/24",G703="3/24"),((база!$M$5*Таблица1[[#This Row],[сумма]]*Таблица1[[#This Row],[коэф]])),
IF((G703="5/16"),((база!$L$6*Таблица1[[#This Row],[сумма]]*Таблица1[[#This Row],[коэф]])),
IF(OR(G703="4/16",G703="3/16"),((база!$L$5*Таблица1[[#This Row],[сумма]]*Таблица1[[#This Row],[коэф]])),
IF(OR(G703="2/4",G703="3/4",G703="4/4"),((база!$I$5*Таблица1[[#This Row],[сумма]]*Таблица1[[#This Row],[коэф]])),
IF((G703="5/8"),((база!$J$6*Таблица1[[#This Row],[сумма]]*Таблица1[[#This Row],[коэф]])),
IF(OR(G703="4/8",G703="3/8",G703="2/8"),((база!$J$5*Таблица1[[#This Row],[сумма]]*Таблица1[[#This Row],[коэф]])))))))))))</f>
        <v>0</v>
      </c>
      <c r="AP703" s="730" t="b">
        <f>IF(AR703&lt;=3,(IF((G703="5/24"),((база!$M$6*2*Таблица1[[#This Row],[Столбец1]]*Таблица1[[#This Row],[коэф]])),
IF((G703="4/24"),((база!$M$5*2*Таблица1[[#This Row],[Столбец1]]*Таблица1[[#This Row],[коэф]])),
IF((G703="3/24"),((база!$M$4*2*Таблица1[[#This Row],[Столбец1]]*Таблица1[[#This Row],[коэф]])),
IF((G703="5/16"),((база!$L$6*2*Таблица1[[#This Row],[Столбец1]]*Таблица1[[#This Row],[коэф]])),
IF((G703="4/16"),((база!$L$5*2*Таблица1[[#This Row],[Столбец1]]*Таблица1[[#This Row],[коэф]])),
IF((G703="3/16"),((база!$L$4*2*Таблица1[[#This Row],[Столбец1]]*Таблица1[[#This Row],[коэф]])),
IF((G703="4/4"),((база!$I$5*2*Таблица1[[#This Row],[Столбец1]]*Таблица1[[#This Row],[коэф]])),
IF(OR(G703="2/4",G703="3/4"),((база!$I$4*2*Таблица1[[#This Row],[Столбец1]]*Таблица1[[#This Row],[коэф]])),
IF((G703="5/8"),((база!$J$6*2*Таблица1[[#This Row],[Столбец1]]*Таблица1[[#This Row],[коэф]])),
IF((G703="4/8"),((база!$J$5*2*Таблица1[[#This Row],[Столбец1]]*Таблица1[[#This Row],[коэф]])),
IF(OR(G703="3/8",G703="2/8"),((база!$J$4*2*Таблица1[[#This Row],[Столбец1]]*Таблица1[[#This Row],[коэф]])))))))))))))),
(IF((G703="5/24"),((база!$M$6*2*Таблица1[[#This Row],[Столбец1]]*Таблица1[[#This Row],[коэф]])),
IF(OR(G703="4/24",G703="3/24"),((база!$M$5*2*Таблица1[[#This Row],[Столбец1]]*Таблица1[[#This Row],[коэф]])),
IF((G703="5/16"),((база!$L$6*2*Таблица1[[#This Row],[Столбец1]]*Таблица1[[#This Row],[коэф]])),
IF(OR(G703="4/16",G703="3/16"),((база!$L$5*2*Таблица1[[#This Row],[Столбец1]]*Таблица1[[#This Row],[коэф]])),
IF(OR(G703="2/4",G703="3/4",G703="4/4"),((база!$I$5*2*Таблица1[[#This Row],[Столбец1]]*Таблица1[[#This Row],[коэф]])),
IF((G703="5/8"),((база!$J$6*2*Таблица1[[#This Row],[Столбец1]]*Таблица1[[#This Row],[коэф]])),
IF(OR(G703="4/8",G703="3/8",G703="2/8"),((база!$J$5*2*Таблица1[[#This Row],[Столбец1]]*Таблица1[[#This Row],[коэф]])))))))))))</f>
        <v>0</v>
      </c>
      <c r="AQ703" s="712" t="str">
        <f>IFERROR(INDEX(база!T:T, MATCH(F703,база!Q:Q,0)),"")</f>
        <v/>
      </c>
      <c r="AR703" s="208" t="str">
        <f>IFERROR(INDEX(база!D:D, MATCH(F703,база!B:B,0)),"")</f>
        <v/>
      </c>
      <c r="AS703" s="758" t="str">
        <f>IFERROR(INDEX(база!E:E, MATCH(F703,база!B:B,0)),"")</f>
        <v/>
      </c>
    </row>
    <row r="704" spans="1:47" ht="15">
      <c r="A704" s="66" t="str">
        <f t="shared" si="8"/>
        <v>январь</v>
      </c>
      <c r="B704" s="231">
        <v>2024</v>
      </c>
      <c r="C704" s="299"/>
      <c r="D704" s="61"/>
      <c r="E704" s="211"/>
      <c r="F704" s="680"/>
      <c r="G704" s="47"/>
      <c r="H704" s="563"/>
      <c r="I704" s="563"/>
      <c r="J704" s="563"/>
      <c r="K704" s="563"/>
      <c r="L704" s="563"/>
      <c r="M704" s="563"/>
      <c r="N704" s="563"/>
      <c r="O704" s="563"/>
      <c r="P704" s="300"/>
      <c r="Q704" s="563"/>
      <c r="R704" s="563"/>
      <c r="S704" s="563"/>
      <c r="T704" s="563"/>
      <c r="U704" s="563"/>
      <c r="V704" s="563"/>
      <c r="W704" s="563"/>
      <c r="X704" s="563"/>
      <c r="Y704" s="563"/>
      <c r="Z704" s="563"/>
      <c r="AA704" s="563"/>
      <c r="AB704" s="563"/>
      <c r="AC704" s="563"/>
      <c r="AD704" s="48"/>
      <c r="AE704" s="48"/>
      <c r="AF704" s="258"/>
      <c r="AG704" s="48"/>
      <c r="AH704" s="48"/>
      <c r="AI704" s="48"/>
      <c r="AJ704" s="48"/>
      <c r="AK704" s="48"/>
      <c r="AL704" s="51"/>
      <c r="AM704" s="212">
        <f>IF(AQ704=1,SUM(Q704:T704,W704:Z704,AC704:AF704,AI704:AL704),
IF(AQ704=2,SUM(P704,S704:V704,Y704:AB704,AE704:AH704,AK704:AL704),
IF(AQ704=3,SUM(P704:R704,U704:X704,AA704:AD704,AG704:AJ704),SUM(Таблица1[[#This Row],[1]:[31]])-Таблица1[[#This Row],[Столбец1]])))</f>
        <v>0</v>
      </c>
      <c r="AN704" s="778">
        <f t="array" ref="AN704">IF(AQ704=1,SUM(P704,U704:V704,AA704:AB704,AG704:AH704),
IF(AQ704=2,SUM(Q704:R704,W704:X704,AC704:AD704,AI704:AJ704),
IF(AQ704=3,SUM(S704:T704,Y704:Z704,AE704:AF704,AK704:AL704),
SUM(IFERROR(WEEKDAY($H$2:$AL$2,2)&gt;5,)*H704:AL704))))+Таблица1[[#This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04" s="292" t="b">
        <f>IF(AR704&lt;=3,(IF((G704="5/24"),((база!$M$6*Таблица1[[#This Row],[сумма]]*Таблица1[[#This Row],[коэф]])),
IF((G704="4/24"),((база!$M$5*Таблица1[[#This Row],[сумма]]*Таблица1[[#This Row],[коэф]])),
IF((G704="3/24"),((база!$M$4*Таблица1[[#This Row],[сумма]]*Таблица1[[#This Row],[коэф]])),
IF((G704="5/16"),((база!$L$6*Таблица1[[#This Row],[сумма]]*Таблица1[[#This Row],[коэф]])),
IF((G704="4/16"),((база!$L$5*Таблица1[[#This Row],[сумма]]*Таблица1[[#This Row],[коэф]])),
IF((G704="3/16"),((база!$L$4*Таблица1[[#This Row],[сумма]]*Таблица1[[#This Row],[коэф]])),
IF((G704="4/4"),((база!$I$5*Таблица1[[#This Row],[сумма]]*Таблица1[[#This Row],[коэф]])),
IF(OR(G704="2/4",G704="3/4"),((база!$I$4*Таблица1[[#This Row],[сумма]]*Таблица1[[#This Row],[коэф]])),
IF((G704="5/8"),((база!$J$6*Таблица1[[#This Row],[сумма]]*Таблица1[[#This Row],[коэф]])),
IF((G704="4/8"),((база!$J$5*Таблица1[[#This Row],[сумма]]*Таблица1[[#This Row],[коэф]])),
IF(OR(G704="3/8",G704="2/8"),((база!$J$4*Таблица1[[#This Row],[сумма]]*Таблица1[[#This Row],[коэф]])))))))))))))),
(IF((G704="5/24"),((база!$M$6*Таблица1[[#This Row],[сумма]]*Таблица1[[#This Row],[коэф]])),
IF(OR(G704="4/24",G704="3/24"),((база!$M$5*Таблица1[[#This Row],[сумма]]*Таблица1[[#This Row],[коэф]])),
IF((G704="5/16"),((база!$L$6*Таблица1[[#This Row],[сумма]]*Таблица1[[#This Row],[коэф]])),
IF(OR(G704="4/16",G704="3/16"),((база!$L$5*Таблица1[[#This Row],[сумма]]*Таблица1[[#This Row],[коэф]])),
IF(OR(G704="2/4",G704="3/4",G704="4/4"),((база!$I$5*Таблица1[[#This Row],[сумма]]*Таблица1[[#This Row],[коэф]])),
IF((G704="5/8"),((база!$J$6*Таблица1[[#This Row],[сумма]]*Таблица1[[#This Row],[коэф]])),
IF(OR(G704="4/8",G704="3/8",G704="2/8"),((база!$J$5*Таблица1[[#This Row],[сумма]]*Таблица1[[#This Row],[коэф]])))))))))))</f>
        <v>0</v>
      </c>
      <c r="AP704" s="730" t="b">
        <f>IF(AR704&lt;=3,(IF((G704="5/24"),((база!$M$6*2*Таблица1[[#This Row],[Столбец1]]*Таблица1[[#This Row],[коэф]])),
IF((G704="4/24"),((база!$M$5*2*Таблица1[[#This Row],[Столбец1]]*Таблица1[[#This Row],[коэф]])),
IF((G704="3/24"),((база!$M$4*2*Таблица1[[#This Row],[Столбец1]]*Таблица1[[#This Row],[коэф]])),
IF((G704="5/16"),((база!$L$6*2*Таблица1[[#This Row],[Столбец1]]*Таблица1[[#This Row],[коэф]])),
IF((G704="4/16"),((база!$L$5*2*Таблица1[[#This Row],[Столбец1]]*Таблица1[[#This Row],[коэф]])),
IF((G704="3/16"),((база!$L$4*2*Таблица1[[#This Row],[Столбец1]]*Таблица1[[#This Row],[коэф]])),
IF((G704="4/4"),((база!$I$5*2*Таблица1[[#This Row],[Столбец1]]*Таблица1[[#This Row],[коэф]])),
IF(OR(G704="2/4",G704="3/4"),((база!$I$4*2*Таблица1[[#This Row],[Столбец1]]*Таблица1[[#This Row],[коэф]])),
IF((G704="5/8"),((база!$J$6*2*Таблица1[[#This Row],[Столбец1]]*Таблица1[[#This Row],[коэф]])),
IF((G704="4/8"),((база!$J$5*2*Таблица1[[#This Row],[Столбец1]]*Таблица1[[#This Row],[коэф]])),
IF(OR(G704="3/8",G704="2/8"),((база!$J$4*2*Таблица1[[#This Row],[Столбец1]]*Таблица1[[#This Row],[коэф]])))))))))))))),
(IF((G704="5/24"),((база!$M$6*2*Таблица1[[#This Row],[Столбец1]]*Таблица1[[#This Row],[коэф]])),
IF(OR(G704="4/24",G704="3/24"),((база!$M$5*2*Таблица1[[#This Row],[Столбец1]]*Таблица1[[#This Row],[коэф]])),
IF((G704="5/16"),((база!$L$6*2*Таблица1[[#This Row],[Столбец1]]*Таблица1[[#This Row],[коэф]])),
IF(OR(G704="4/16",G704="3/16"),((база!$L$5*2*Таблица1[[#This Row],[Столбец1]]*Таблица1[[#This Row],[коэф]])),
IF(OR(G704="2/4",G704="3/4",G704="4/4"),((база!$I$5*2*Таблица1[[#This Row],[Столбец1]]*Таблица1[[#This Row],[коэф]])),
IF((G704="5/8"),((база!$J$6*2*Таблица1[[#This Row],[Столбец1]]*Таблица1[[#This Row],[коэф]])),
IF(OR(G704="4/8",G704="3/8",G704="2/8"),((база!$J$5*2*Таблица1[[#This Row],[Столбец1]]*Таблица1[[#This Row],[коэф]])))))))))))</f>
        <v>0</v>
      </c>
      <c r="AQ704" s="712" t="str">
        <f>IFERROR(INDEX(база!T:T, MATCH(F704,база!Q:Q,0)),"")</f>
        <v/>
      </c>
      <c r="AR704" s="208" t="str">
        <f>IFERROR(INDEX(база!D:D, MATCH(F704,база!B:B,0)),"")</f>
        <v/>
      </c>
      <c r="AS704" s="758" t="str">
        <f>IFERROR(INDEX(база!E:E, MATCH(F704,база!B:B,0)),"")</f>
        <v/>
      </c>
    </row>
    <row r="705" spans="1:45" ht="15">
      <c r="A705" s="66" t="str">
        <f t="shared" si="8"/>
        <v>январь</v>
      </c>
      <c r="B705" s="231">
        <v>2024</v>
      </c>
      <c r="C705" s="299"/>
      <c r="D705" s="61"/>
      <c r="E705" s="211"/>
      <c r="F705" s="680"/>
      <c r="G705" s="47"/>
      <c r="H705" s="563"/>
      <c r="I705" s="563"/>
      <c r="J705" s="563"/>
      <c r="K705" s="563"/>
      <c r="L705" s="563"/>
      <c r="M705" s="563"/>
      <c r="N705" s="563"/>
      <c r="O705" s="563"/>
      <c r="P705" s="300"/>
      <c r="Q705" s="563"/>
      <c r="R705" s="563"/>
      <c r="S705" s="563"/>
      <c r="T705" s="563"/>
      <c r="U705" s="563"/>
      <c r="V705" s="563"/>
      <c r="W705" s="563"/>
      <c r="X705" s="563"/>
      <c r="Y705" s="563"/>
      <c r="Z705" s="563"/>
      <c r="AA705" s="563"/>
      <c r="AB705" s="563"/>
      <c r="AC705" s="563"/>
      <c r="AD705" s="48"/>
      <c r="AE705" s="48"/>
      <c r="AF705" s="258"/>
      <c r="AG705" s="48"/>
      <c r="AH705" s="48"/>
      <c r="AI705" s="258"/>
      <c r="AJ705" s="258"/>
      <c r="AK705" s="258"/>
      <c r="AL705" s="258"/>
      <c r="AM705" s="212">
        <f>IF(AQ705=1,SUM(Q705:T705,W705:Z705,AC705:AF705,AI705:AL705),
IF(AQ705=2,SUM(P705,S705:V705,Y705:AB705,AE705:AH705,AK705:AL705),
IF(AQ705=3,SUM(P705:R705,U705:X705,AA705:AD705,AG705:AJ705),SUM(Таблица1[[#This Row],[1]:[31]])-Таблица1[[#This Row],[Столбец1]])))</f>
        <v>0</v>
      </c>
      <c r="AN705" s="778">
        <f t="array" ref="AN705">IF(AQ705=1,SUM(P705,U705:V705,AA705:AB705,AG705:AH705),
IF(AQ705=2,SUM(Q705:R705,W705:X705,AC705:AD705,AI705:AJ705),
IF(AQ705=3,SUM(S705:T705,Y705:Z705,AE705:AF705,AK705:AL705),
SUM(IFERROR(WEEKDAY($H$2:$AL$2,2)&gt;5,)*H705:AL705))))+Таблица1[[#This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05" s="292" t="b">
        <f>IF(AR705&lt;=3,(IF((G705="5/24"),((база!$M$6*Таблица1[[#This Row],[сумма]]*Таблица1[[#This Row],[коэф]])),
IF((G705="4/24"),((база!$M$5*Таблица1[[#This Row],[сумма]]*Таблица1[[#This Row],[коэф]])),
IF((G705="3/24"),((база!$M$4*Таблица1[[#This Row],[сумма]]*Таблица1[[#This Row],[коэф]])),
IF((G705="5/16"),((база!$L$6*Таблица1[[#This Row],[сумма]]*Таблица1[[#This Row],[коэф]])),
IF((G705="4/16"),((база!$L$5*Таблица1[[#This Row],[сумма]]*Таблица1[[#This Row],[коэф]])),
IF((G705="3/16"),((база!$L$4*Таблица1[[#This Row],[сумма]]*Таблица1[[#This Row],[коэф]])),
IF((G705="4/4"),((база!$I$5*Таблица1[[#This Row],[сумма]]*Таблица1[[#This Row],[коэф]])),
IF(OR(G705="2/4",G705="3/4"),((база!$I$4*Таблица1[[#This Row],[сумма]]*Таблица1[[#This Row],[коэф]])),
IF((G705="5/8"),((база!$J$6*Таблица1[[#This Row],[сумма]]*Таблица1[[#This Row],[коэф]])),
IF((G705="4/8"),((база!$J$5*Таблица1[[#This Row],[сумма]]*Таблица1[[#This Row],[коэф]])),
IF(OR(G705="3/8",G705="2/8"),((база!$J$4*Таблица1[[#This Row],[сумма]]*Таблица1[[#This Row],[коэф]])))))))))))))),
(IF((G705="5/24"),((база!$M$6*Таблица1[[#This Row],[сумма]]*Таблица1[[#This Row],[коэф]])),
IF(OR(G705="4/24",G705="3/24"),((база!$M$5*Таблица1[[#This Row],[сумма]]*Таблица1[[#This Row],[коэф]])),
IF((G705="5/16"),((база!$L$6*Таблица1[[#This Row],[сумма]]*Таблица1[[#This Row],[коэф]])),
IF(OR(G705="4/16",G705="3/16"),((база!$L$5*Таблица1[[#This Row],[сумма]]*Таблица1[[#This Row],[коэф]])),
IF(OR(G705="2/4",G705="3/4",G705="4/4"),((база!$I$5*Таблица1[[#This Row],[сумма]]*Таблица1[[#This Row],[коэф]])),
IF((G705="5/8"),((база!$J$6*Таблица1[[#This Row],[сумма]]*Таблица1[[#This Row],[коэф]])),
IF(OR(G705="4/8",G705="3/8",G705="2/8"),((база!$J$5*Таблица1[[#This Row],[сумма]]*Таблица1[[#This Row],[коэф]])))))))))))</f>
        <v>0</v>
      </c>
      <c r="AP705" s="730" t="b">
        <f>IF(AR705&lt;=3,(IF((G705="5/24"),((база!$M$6*2*Таблица1[[#This Row],[Столбец1]]*Таблица1[[#This Row],[коэф]])),
IF((G705="4/24"),((база!$M$5*2*Таблица1[[#This Row],[Столбец1]]*Таблица1[[#This Row],[коэф]])),
IF((G705="3/24"),((база!$M$4*2*Таблица1[[#This Row],[Столбец1]]*Таблица1[[#This Row],[коэф]])),
IF((G705="5/16"),((база!$L$6*2*Таблица1[[#This Row],[Столбец1]]*Таблица1[[#This Row],[коэф]])),
IF((G705="4/16"),((база!$L$5*2*Таблица1[[#This Row],[Столбец1]]*Таблица1[[#This Row],[коэф]])),
IF((G705="3/16"),((база!$L$4*2*Таблица1[[#This Row],[Столбец1]]*Таблица1[[#This Row],[коэф]])),
IF((G705="4/4"),((база!$I$5*2*Таблица1[[#This Row],[Столбец1]]*Таблица1[[#This Row],[коэф]])),
IF(OR(G705="2/4",G705="3/4"),((база!$I$4*2*Таблица1[[#This Row],[Столбец1]]*Таблица1[[#This Row],[коэф]])),
IF((G705="5/8"),((база!$J$6*2*Таблица1[[#This Row],[Столбец1]]*Таблица1[[#This Row],[коэф]])),
IF((G705="4/8"),((база!$J$5*2*Таблица1[[#This Row],[Столбец1]]*Таблица1[[#This Row],[коэф]])),
IF(OR(G705="3/8",G705="2/8"),((база!$J$4*2*Таблица1[[#This Row],[Столбец1]]*Таблица1[[#This Row],[коэф]])))))))))))))),
(IF((G705="5/24"),((база!$M$6*2*Таблица1[[#This Row],[Столбец1]]*Таблица1[[#This Row],[коэф]])),
IF(OR(G705="4/24",G705="3/24"),((база!$M$5*2*Таблица1[[#This Row],[Столбец1]]*Таблица1[[#This Row],[коэф]])),
IF((G705="5/16"),((база!$L$6*2*Таблица1[[#This Row],[Столбец1]]*Таблица1[[#This Row],[коэф]])),
IF(OR(G705="4/16",G705="3/16"),((база!$L$5*2*Таблица1[[#This Row],[Столбец1]]*Таблица1[[#This Row],[коэф]])),
IF(OR(G705="2/4",G705="3/4",G705="4/4"),((база!$I$5*2*Таблица1[[#This Row],[Столбец1]]*Таблица1[[#This Row],[коэф]])),
IF((G705="5/8"),((база!$J$6*2*Таблица1[[#This Row],[Столбец1]]*Таблица1[[#This Row],[коэф]])),
IF(OR(G705="4/8",G705="3/8",G705="2/8"),((база!$J$5*2*Таблица1[[#This Row],[Столбец1]]*Таблица1[[#This Row],[коэф]])))))))))))</f>
        <v>0</v>
      </c>
      <c r="AQ705" s="712" t="str">
        <f>IFERROR(INDEX(база!T:T, MATCH(F705,база!Q:Q,0)),"")</f>
        <v/>
      </c>
      <c r="AR705" s="208" t="str">
        <f>IFERROR(INDEX(база!D:D, MATCH(F705,база!B:B,0)),"")</f>
        <v/>
      </c>
      <c r="AS705" s="758" t="str">
        <f>IFERROR(INDEX(база!E:E, MATCH(F705,база!B:B,0)),"")</f>
        <v/>
      </c>
    </row>
    <row r="706" spans="1:45" ht="15">
      <c r="A706" s="66" t="str">
        <f t="shared" si="8"/>
        <v>январь</v>
      </c>
      <c r="B706" s="231">
        <v>2024</v>
      </c>
      <c r="C706" s="299"/>
      <c r="D706" s="61"/>
      <c r="E706" s="211"/>
      <c r="F706" s="680"/>
      <c r="G706" s="47"/>
      <c r="H706" s="563"/>
      <c r="I706" s="563"/>
      <c r="J706" s="563"/>
      <c r="K706" s="563"/>
      <c r="L706" s="563"/>
      <c r="M706" s="563"/>
      <c r="N706" s="563"/>
      <c r="O706" s="563"/>
      <c r="P706" s="300"/>
      <c r="Q706" s="563"/>
      <c r="R706" s="563"/>
      <c r="S706" s="563"/>
      <c r="T706" s="563"/>
      <c r="U706" s="563"/>
      <c r="V706" s="563"/>
      <c r="W706" s="563"/>
      <c r="X706" s="563"/>
      <c r="Y706" s="563"/>
      <c r="Z706" s="563"/>
      <c r="AA706" s="563"/>
      <c r="AB706" s="563"/>
      <c r="AC706" s="563"/>
      <c r="AD706" s="48"/>
      <c r="AE706" s="48"/>
      <c r="AF706" s="258"/>
      <c r="AG706" s="48"/>
      <c r="AH706" s="48"/>
      <c r="AI706" s="48"/>
      <c r="AJ706" s="48"/>
      <c r="AK706" s="48"/>
      <c r="AL706" s="51"/>
      <c r="AM706" s="212">
        <f>IF(AQ706=1,SUM(Q706:T706,W706:Z706,AC706:AF706,AI706:AL706),
IF(AQ706=2,SUM(P706,S706:V706,Y706:AB706,AE706:AH706,AK706:AL706),
IF(AQ706=3,SUM(P706:R706,U706:X706,AA706:AD706,AG706:AJ706),SUM(Таблица1[[#This Row],[1]:[31]])-Таблица1[[#This Row],[Столбец1]])))</f>
        <v>0</v>
      </c>
      <c r="AN706" s="778">
        <f t="array" ref="AN706">IF(AQ706=1,SUM(P706,U706:V706,AA706:AB706,AG706:AH706),
IF(AQ706=2,SUM(Q706:R706,W706:X706,AC706:AD706,AI706:AJ706),
IF(AQ706=3,SUM(S706:T706,Y706:Z706,AE706:AF706,AK706:AL706),
SUM(IFERROR(WEEKDAY($H$2:$AL$2,2)&gt;5,)*H706:AL706))))+Таблица1[[#This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06" s="292" t="b">
        <f>IF(AR706&lt;=3,(IF((G706="5/24"),((база!$M$6*Таблица1[[#This Row],[сумма]]*Таблица1[[#This Row],[коэф]])),
IF((G706="4/24"),((база!$M$5*Таблица1[[#This Row],[сумма]]*Таблица1[[#This Row],[коэф]])),
IF((G706="3/24"),((база!$M$4*Таблица1[[#This Row],[сумма]]*Таблица1[[#This Row],[коэф]])),
IF((G706="5/16"),((база!$L$6*Таблица1[[#This Row],[сумма]]*Таблица1[[#This Row],[коэф]])),
IF((G706="4/16"),((база!$L$5*Таблица1[[#This Row],[сумма]]*Таблица1[[#This Row],[коэф]])),
IF((G706="3/16"),((база!$L$4*Таблица1[[#This Row],[сумма]]*Таблица1[[#This Row],[коэф]])),
IF((G706="4/4"),((база!$I$5*Таблица1[[#This Row],[сумма]]*Таблица1[[#This Row],[коэф]])),
IF(OR(G706="2/4",G706="3/4"),((база!$I$4*Таблица1[[#This Row],[сумма]]*Таблица1[[#This Row],[коэф]])),
IF((G706="5/8"),((база!$J$6*Таблица1[[#This Row],[сумма]]*Таблица1[[#This Row],[коэф]])),
IF((G706="4/8"),((база!$J$5*Таблица1[[#This Row],[сумма]]*Таблица1[[#This Row],[коэф]])),
IF(OR(G706="3/8",G706="2/8"),((база!$J$4*Таблица1[[#This Row],[сумма]]*Таблица1[[#This Row],[коэф]])))))))))))))),
(IF((G706="5/24"),((база!$M$6*Таблица1[[#This Row],[сумма]]*Таблица1[[#This Row],[коэф]])),
IF(OR(G706="4/24",G706="3/24"),((база!$M$5*Таблица1[[#This Row],[сумма]]*Таблица1[[#This Row],[коэф]])),
IF((G706="5/16"),((база!$L$6*Таблица1[[#This Row],[сумма]]*Таблица1[[#This Row],[коэф]])),
IF(OR(G706="4/16",G706="3/16"),((база!$L$5*Таблица1[[#This Row],[сумма]]*Таблица1[[#This Row],[коэф]])),
IF(OR(G706="2/4",G706="3/4",G706="4/4"),((база!$I$5*Таблица1[[#This Row],[сумма]]*Таблица1[[#This Row],[коэф]])),
IF((G706="5/8"),((база!$J$6*Таблица1[[#This Row],[сумма]]*Таблица1[[#This Row],[коэф]])),
IF(OR(G706="4/8",G706="3/8",G706="2/8"),((база!$J$5*Таблица1[[#This Row],[сумма]]*Таблица1[[#This Row],[коэф]])))))))))))</f>
        <v>0</v>
      </c>
      <c r="AP706" s="730" t="b">
        <f>IF(AR706&lt;=3,(IF((G706="5/24"),((база!$M$6*2*Таблица1[[#This Row],[Столбец1]]*Таблица1[[#This Row],[коэф]])),
IF((G706="4/24"),((база!$M$5*2*Таблица1[[#This Row],[Столбец1]]*Таблица1[[#This Row],[коэф]])),
IF((G706="3/24"),((база!$M$4*2*Таблица1[[#This Row],[Столбец1]]*Таблица1[[#This Row],[коэф]])),
IF((G706="5/16"),((база!$L$6*2*Таблица1[[#This Row],[Столбец1]]*Таблица1[[#This Row],[коэф]])),
IF((G706="4/16"),((база!$L$5*2*Таблица1[[#This Row],[Столбец1]]*Таблица1[[#This Row],[коэф]])),
IF((G706="3/16"),((база!$L$4*2*Таблица1[[#This Row],[Столбец1]]*Таблица1[[#This Row],[коэф]])),
IF((G706="4/4"),((база!$I$5*2*Таблица1[[#This Row],[Столбец1]]*Таблица1[[#This Row],[коэф]])),
IF(OR(G706="2/4",G706="3/4"),((база!$I$4*2*Таблица1[[#This Row],[Столбец1]]*Таблица1[[#This Row],[коэф]])),
IF((G706="5/8"),((база!$J$6*2*Таблица1[[#This Row],[Столбец1]]*Таблица1[[#This Row],[коэф]])),
IF((G706="4/8"),((база!$J$5*2*Таблица1[[#This Row],[Столбец1]]*Таблица1[[#This Row],[коэф]])),
IF(OR(G706="3/8",G706="2/8"),((база!$J$4*2*Таблица1[[#This Row],[Столбец1]]*Таблица1[[#This Row],[коэф]])))))))))))))),
(IF((G706="5/24"),((база!$M$6*2*Таблица1[[#This Row],[Столбец1]]*Таблица1[[#This Row],[коэф]])),
IF(OR(G706="4/24",G706="3/24"),((база!$M$5*2*Таблица1[[#This Row],[Столбец1]]*Таблица1[[#This Row],[коэф]])),
IF((G706="5/16"),((база!$L$6*2*Таблица1[[#This Row],[Столбец1]]*Таблица1[[#This Row],[коэф]])),
IF(OR(G706="4/16",G706="3/16"),((база!$L$5*2*Таблица1[[#This Row],[Столбец1]]*Таблица1[[#This Row],[коэф]])),
IF(OR(G706="2/4",G706="3/4",G706="4/4"),((база!$I$5*2*Таблица1[[#This Row],[Столбец1]]*Таблица1[[#This Row],[коэф]])),
IF((G706="5/8"),((база!$J$6*2*Таблица1[[#This Row],[Столбец1]]*Таблица1[[#This Row],[коэф]])),
IF(OR(G706="4/8",G706="3/8",G706="2/8"),((база!$J$5*2*Таблица1[[#This Row],[Столбец1]]*Таблица1[[#This Row],[коэф]])))))))))))</f>
        <v>0</v>
      </c>
      <c r="AQ706" s="712" t="str">
        <f>IFERROR(INDEX(база!T:T, MATCH(F706,база!Q:Q,0)),"")</f>
        <v/>
      </c>
      <c r="AR706" s="208" t="str">
        <f>IFERROR(INDEX(база!D:D, MATCH(F706,база!B:B,0)),"")</f>
        <v/>
      </c>
      <c r="AS706" s="758" t="str">
        <f>IFERROR(INDEX(база!E:E, MATCH(F706,база!B:B,0)),"")</f>
        <v/>
      </c>
    </row>
    <row r="707" spans="1:45" ht="15">
      <c r="A707" s="66" t="str">
        <f t="shared" si="8"/>
        <v>январь</v>
      </c>
      <c r="B707" s="231">
        <v>2024</v>
      </c>
      <c r="C707" s="299"/>
      <c r="D707" s="61"/>
      <c r="E707" s="211"/>
      <c r="F707" s="680"/>
      <c r="G707" s="47"/>
      <c r="H707" s="563"/>
      <c r="I707" s="563"/>
      <c r="J707" s="563"/>
      <c r="K707" s="563"/>
      <c r="L707" s="563"/>
      <c r="M707" s="563"/>
      <c r="N707" s="563"/>
      <c r="O707" s="563"/>
      <c r="P707" s="300"/>
      <c r="Q707" s="563"/>
      <c r="R707" s="563"/>
      <c r="S707" s="563"/>
      <c r="T707" s="563"/>
      <c r="U707" s="563"/>
      <c r="V707" s="563"/>
      <c r="W707" s="563"/>
      <c r="X707" s="563"/>
      <c r="Y707" s="563"/>
      <c r="Z707" s="563"/>
      <c r="AA707" s="563"/>
      <c r="AB707" s="563"/>
      <c r="AC707" s="563"/>
      <c r="AD707" s="48"/>
      <c r="AE707" s="48"/>
      <c r="AF707" s="258"/>
      <c r="AG707" s="48"/>
      <c r="AH707" s="48"/>
      <c r="AI707" s="258"/>
      <c r="AJ707" s="258"/>
      <c r="AK707" s="258"/>
      <c r="AL707" s="258"/>
      <c r="AM707" s="212">
        <f>IF(AQ707=1,SUM(Q707:T707,W707:Z707,AC707:AF707,AI707:AL707),
IF(AQ707=2,SUM(P707,S707:V707,Y707:AB707,AE707:AH707,AK707:AL707),
IF(AQ707=3,SUM(P707:R707,U707:X707,AA707:AD707,AG707:AJ707),SUM(Таблица1[[#This Row],[1]:[31]])-Таблица1[[#This Row],[Столбец1]])))</f>
        <v>0</v>
      </c>
      <c r="AN707" s="778">
        <f t="array" ref="AN707">IF(AQ707=1,SUM(P707,U707:V707,AA707:AB707,AG707:AH707),
IF(AQ707=2,SUM(Q707:R707,W707:X707,AC707:AD707,AI707:AJ707),
IF(AQ707=3,SUM(S707:T707,Y707:Z707,AE707:AF707,AK707:AL707),
SUM(IFERROR(WEEKDAY($H$2:$AL$2,2)&gt;5,)*H707:AL707))))+Таблица1[[#This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07" s="292" t="b">
        <f>IF(AR707&lt;=3,(IF((G707="5/24"),((база!$M$6*Таблица1[[#This Row],[сумма]]*Таблица1[[#This Row],[коэф]])),
IF((G707="4/24"),((база!$M$5*Таблица1[[#This Row],[сумма]]*Таблица1[[#This Row],[коэф]])),
IF((G707="3/24"),((база!$M$4*Таблица1[[#This Row],[сумма]]*Таблица1[[#This Row],[коэф]])),
IF((G707="5/16"),((база!$L$6*Таблица1[[#This Row],[сумма]]*Таблица1[[#This Row],[коэф]])),
IF((G707="4/16"),((база!$L$5*Таблица1[[#This Row],[сумма]]*Таблица1[[#This Row],[коэф]])),
IF((G707="3/16"),((база!$L$4*Таблица1[[#This Row],[сумма]]*Таблица1[[#This Row],[коэф]])),
IF((G707="4/4"),((база!$I$5*Таблица1[[#This Row],[сумма]]*Таблица1[[#This Row],[коэф]])),
IF(OR(G707="2/4",G707="3/4"),((база!$I$4*Таблица1[[#This Row],[сумма]]*Таблица1[[#This Row],[коэф]])),
IF((G707="5/8"),((база!$J$6*Таблица1[[#This Row],[сумма]]*Таблица1[[#This Row],[коэф]])),
IF((G707="4/8"),((база!$J$5*Таблица1[[#This Row],[сумма]]*Таблица1[[#This Row],[коэф]])),
IF(OR(G707="3/8",G707="2/8"),((база!$J$4*Таблица1[[#This Row],[сумма]]*Таблица1[[#This Row],[коэф]])))))))))))))),
(IF((G707="5/24"),((база!$M$6*Таблица1[[#This Row],[сумма]]*Таблица1[[#This Row],[коэф]])),
IF(OR(G707="4/24",G707="3/24"),((база!$M$5*Таблица1[[#This Row],[сумма]]*Таблица1[[#This Row],[коэф]])),
IF((G707="5/16"),((база!$L$6*Таблица1[[#This Row],[сумма]]*Таблица1[[#This Row],[коэф]])),
IF(OR(G707="4/16",G707="3/16"),((база!$L$5*Таблица1[[#This Row],[сумма]]*Таблица1[[#This Row],[коэф]])),
IF(OR(G707="2/4",G707="3/4",G707="4/4"),((база!$I$5*Таблица1[[#This Row],[сумма]]*Таблица1[[#This Row],[коэф]])),
IF((G707="5/8"),((база!$J$6*Таблица1[[#This Row],[сумма]]*Таблица1[[#This Row],[коэф]])),
IF(OR(G707="4/8",G707="3/8",G707="2/8"),((база!$J$5*Таблица1[[#This Row],[сумма]]*Таблица1[[#This Row],[коэф]])))))))))))</f>
        <v>0</v>
      </c>
      <c r="AP707" s="730" t="b">
        <f>IF(AR707&lt;=3,(IF((G707="5/24"),((база!$M$6*2*Таблица1[[#This Row],[Столбец1]]*Таблица1[[#This Row],[коэф]])),
IF((G707="4/24"),((база!$M$5*2*Таблица1[[#This Row],[Столбец1]]*Таблица1[[#This Row],[коэф]])),
IF((G707="3/24"),((база!$M$4*2*Таблица1[[#This Row],[Столбец1]]*Таблица1[[#This Row],[коэф]])),
IF((G707="5/16"),((база!$L$6*2*Таблица1[[#This Row],[Столбец1]]*Таблица1[[#This Row],[коэф]])),
IF((G707="4/16"),((база!$L$5*2*Таблица1[[#This Row],[Столбец1]]*Таблица1[[#This Row],[коэф]])),
IF((G707="3/16"),((база!$L$4*2*Таблица1[[#This Row],[Столбец1]]*Таблица1[[#This Row],[коэф]])),
IF((G707="4/4"),((база!$I$5*2*Таблица1[[#This Row],[Столбец1]]*Таблица1[[#This Row],[коэф]])),
IF(OR(G707="2/4",G707="3/4"),((база!$I$4*2*Таблица1[[#This Row],[Столбец1]]*Таблица1[[#This Row],[коэф]])),
IF((G707="5/8"),((база!$J$6*2*Таблица1[[#This Row],[Столбец1]]*Таблица1[[#This Row],[коэф]])),
IF((G707="4/8"),((база!$J$5*2*Таблица1[[#This Row],[Столбец1]]*Таблица1[[#This Row],[коэф]])),
IF(OR(G707="3/8",G707="2/8"),((база!$J$4*2*Таблица1[[#This Row],[Столбец1]]*Таблица1[[#This Row],[коэф]])))))))))))))),
(IF((G707="5/24"),((база!$M$6*2*Таблица1[[#This Row],[Столбец1]]*Таблица1[[#This Row],[коэф]])),
IF(OR(G707="4/24",G707="3/24"),((база!$M$5*2*Таблица1[[#This Row],[Столбец1]]*Таблица1[[#This Row],[коэф]])),
IF((G707="5/16"),((база!$L$6*2*Таблица1[[#This Row],[Столбец1]]*Таблица1[[#This Row],[коэф]])),
IF(OR(G707="4/16",G707="3/16"),((база!$L$5*2*Таблица1[[#This Row],[Столбец1]]*Таблица1[[#This Row],[коэф]])),
IF(OR(G707="2/4",G707="3/4",G707="4/4"),((база!$I$5*2*Таблица1[[#This Row],[Столбец1]]*Таблица1[[#This Row],[коэф]])),
IF((G707="5/8"),((база!$J$6*2*Таблица1[[#This Row],[Столбец1]]*Таблица1[[#This Row],[коэф]])),
IF(OR(G707="4/8",G707="3/8",G707="2/8"),((база!$J$5*2*Таблица1[[#This Row],[Столбец1]]*Таблица1[[#This Row],[коэф]])))))))))))</f>
        <v>0</v>
      </c>
      <c r="AQ707" s="712" t="str">
        <f>IFERROR(INDEX(база!T:T, MATCH(F707,база!Q:Q,0)),"")</f>
        <v/>
      </c>
      <c r="AR707" s="208" t="str">
        <f>IFERROR(INDEX(база!D:D, MATCH(F707,база!B:B,0)),"")</f>
        <v/>
      </c>
      <c r="AS707" s="758" t="str">
        <f>IFERROR(INDEX(база!E:E, MATCH(F707,база!B:B,0)),"")</f>
        <v/>
      </c>
    </row>
    <row r="708" spans="1:45" ht="15">
      <c r="A708" s="66" t="str">
        <f t="shared" si="8"/>
        <v>январь</v>
      </c>
      <c r="B708" s="231">
        <v>2024</v>
      </c>
      <c r="C708" s="299"/>
      <c r="D708" s="61"/>
      <c r="E708" s="211"/>
      <c r="F708" s="680"/>
      <c r="G708" s="47"/>
      <c r="H708" s="563"/>
      <c r="I708" s="563"/>
      <c r="J708" s="563"/>
      <c r="K708" s="563"/>
      <c r="L708" s="563"/>
      <c r="M708" s="563"/>
      <c r="N708" s="563"/>
      <c r="O708" s="563"/>
      <c r="P708" s="300"/>
      <c r="Q708" s="563"/>
      <c r="R708" s="563"/>
      <c r="S708" s="563"/>
      <c r="T708" s="563"/>
      <c r="U708" s="563"/>
      <c r="V708" s="563"/>
      <c r="W708" s="563"/>
      <c r="X708" s="563"/>
      <c r="Y708" s="563"/>
      <c r="Z708" s="563"/>
      <c r="AA708" s="563"/>
      <c r="AB708" s="563"/>
      <c r="AC708" s="563"/>
      <c r="AD708" s="48"/>
      <c r="AE708" s="48"/>
      <c r="AF708" s="258"/>
      <c r="AG708" s="48"/>
      <c r="AH708" s="48"/>
      <c r="AI708" s="48"/>
      <c r="AJ708" s="48"/>
      <c r="AK708" s="48"/>
      <c r="AL708" s="51"/>
      <c r="AM708" s="212">
        <f>IF(AQ708=1,SUM(Q708:T708,W708:Z708,AC708:AF708,AI708:AL708),
IF(AQ708=2,SUM(P708,S708:V708,Y708:AB708,AE708:AH708,AK708:AL708),
IF(AQ708=3,SUM(P708:R708,U708:X708,AA708:AD708,AG708:AJ708),SUM(Таблица1[[#This Row],[1]:[31]])-Таблица1[[#This Row],[Столбец1]])))</f>
        <v>0</v>
      </c>
      <c r="AN708" s="778">
        <f t="array" ref="AN708">IF(AQ708=1,SUM(P708,U708:V708,AA708:AB708,AG708:AH708),
IF(AQ708=2,SUM(Q708:R708,W708:X708,AC708:AD708,AI708:AJ708),
IF(AQ708=3,SUM(S708:T708,Y708:Z708,AE708:AF708,AK708:AL708),
SUM(IFERROR(WEEKDAY($H$2:$AL$2,2)&gt;5,)*H708:AL708))))+Таблица1[[#This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08" s="292" t="b">
        <f>IF(AR708&lt;=3,(IF((G708="5/24"),((база!$M$6*Таблица1[[#This Row],[сумма]]*Таблица1[[#This Row],[коэф]])),
IF((G708="4/24"),((база!$M$5*Таблица1[[#This Row],[сумма]]*Таблица1[[#This Row],[коэф]])),
IF((G708="3/24"),((база!$M$4*Таблица1[[#This Row],[сумма]]*Таблица1[[#This Row],[коэф]])),
IF((G708="5/16"),((база!$L$6*Таблица1[[#This Row],[сумма]]*Таблица1[[#This Row],[коэф]])),
IF((G708="4/16"),((база!$L$5*Таблица1[[#This Row],[сумма]]*Таблица1[[#This Row],[коэф]])),
IF((G708="3/16"),((база!$L$4*Таблица1[[#This Row],[сумма]]*Таблица1[[#This Row],[коэф]])),
IF((G708="4/4"),((база!$I$5*Таблица1[[#This Row],[сумма]]*Таблица1[[#This Row],[коэф]])),
IF(OR(G708="2/4",G708="3/4"),((база!$I$4*Таблица1[[#This Row],[сумма]]*Таблица1[[#This Row],[коэф]])),
IF((G708="5/8"),((база!$J$6*Таблица1[[#This Row],[сумма]]*Таблица1[[#This Row],[коэф]])),
IF((G708="4/8"),((база!$J$5*Таблица1[[#This Row],[сумма]]*Таблица1[[#This Row],[коэф]])),
IF(OR(G708="3/8",G708="2/8"),((база!$J$4*Таблица1[[#This Row],[сумма]]*Таблица1[[#This Row],[коэф]])))))))))))))),
(IF((G708="5/24"),((база!$M$6*Таблица1[[#This Row],[сумма]]*Таблица1[[#This Row],[коэф]])),
IF(OR(G708="4/24",G708="3/24"),((база!$M$5*Таблица1[[#This Row],[сумма]]*Таблица1[[#This Row],[коэф]])),
IF((G708="5/16"),((база!$L$6*Таблица1[[#This Row],[сумма]]*Таблица1[[#This Row],[коэф]])),
IF(OR(G708="4/16",G708="3/16"),((база!$L$5*Таблица1[[#This Row],[сумма]]*Таблица1[[#This Row],[коэф]])),
IF(OR(G708="2/4",G708="3/4",G708="4/4"),((база!$I$5*Таблица1[[#This Row],[сумма]]*Таблица1[[#This Row],[коэф]])),
IF((G708="5/8"),((база!$J$6*Таблица1[[#This Row],[сумма]]*Таблица1[[#This Row],[коэф]])),
IF(OR(G708="4/8",G708="3/8",G708="2/8"),((база!$J$5*Таблица1[[#This Row],[сумма]]*Таблица1[[#This Row],[коэф]])))))))))))</f>
        <v>0</v>
      </c>
      <c r="AP708" s="730" t="b">
        <f>IF(AR708&lt;=3,(IF((G708="5/24"),((база!$M$6*2*Таблица1[[#This Row],[Столбец1]]*Таблица1[[#This Row],[коэф]])),
IF((G708="4/24"),((база!$M$5*2*Таблица1[[#This Row],[Столбец1]]*Таблица1[[#This Row],[коэф]])),
IF((G708="3/24"),((база!$M$4*2*Таблица1[[#This Row],[Столбец1]]*Таблица1[[#This Row],[коэф]])),
IF((G708="5/16"),((база!$L$6*2*Таблица1[[#This Row],[Столбец1]]*Таблица1[[#This Row],[коэф]])),
IF((G708="4/16"),((база!$L$5*2*Таблица1[[#This Row],[Столбец1]]*Таблица1[[#This Row],[коэф]])),
IF((G708="3/16"),((база!$L$4*2*Таблица1[[#This Row],[Столбец1]]*Таблица1[[#This Row],[коэф]])),
IF((G708="4/4"),((база!$I$5*2*Таблица1[[#This Row],[Столбец1]]*Таблица1[[#This Row],[коэф]])),
IF(OR(G708="2/4",G708="3/4"),((база!$I$4*2*Таблица1[[#This Row],[Столбец1]]*Таблица1[[#This Row],[коэф]])),
IF((G708="5/8"),((база!$J$6*2*Таблица1[[#This Row],[Столбец1]]*Таблица1[[#This Row],[коэф]])),
IF((G708="4/8"),((база!$J$5*2*Таблица1[[#This Row],[Столбец1]]*Таблица1[[#This Row],[коэф]])),
IF(OR(G708="3/8",G708="2/8"),((база!$J$4*2*Таблица1[[#This Row],[Столбец1]]*Таблица1[[#This Row],[коэф]])))))))))))))),
(IF((G708="5/24"),((база!$M$6*2*Таблица1[[#This Row],[Столбец1]]*Таблица1[[#This Row],[коэф]])),
IF(OR(G708="4/24",G708="3/24"),((база!$M$5*2*Таблица1[[#This Row],[Столбец1]]*Таблица1[[#This Row],[коэф]])),
IF((G708="5/16"),((база!$L$6*2*Таблица1[[#This Row],[Столбец1]]*Таблица1[[#This Row],[коэф]])),
IF(OR(G708="4/16",G708="3/16"),((база!$L$5*2*Таблица1[[#This Row],[Столбец1]]*Таблица1[[#This Row],[коэф]])),
IF(OR(G708="2/4",G708="3/4",G708="4/4"),((база!$I$5*2*Таблица1[[#This Row],[Столбец1]]*Таблица1[[#This Row],[коэф]])),
IF((G708="5/8"),((база!$J$6*2*Таблица1[[#This Row],[Столбец1]]*Таблица1[[#This Row],[коэф]])),
IF(OR(G708="4/8",G708="3/8",G708="2/8"),((база!$J$5*2*Таблица1[[#This Row],[Столбец1]]*Таблица1[[#This Row],[коэф]])))))))))))</f>
        <v>0</v>
      </c>
      <c r="AQ708" s="712" t="str">
        <f>IFERROR(INDEX(база!T:T, MATCH(F708,база!Q:Q,0)),"")</f>
        <v/>
      </c>
      <c r="AR708" s="208" t="str">
        <f>IFERROR(INDEX(база!D:D, MATCH(F708,база!B:B,0)),"")</f>
        <v/>
      </c>
      <c r="AS708" s="758" t="str">
        <f>IFERROR(INDEX(база!E:E, MATCH(F708,база!B:B,0)),"")</f>
        <v/>
      </c>
    </row>
    <row r="709" spans="1:45" ht="15">
      <c r="A709" s="66" t="str">
        <f t="shared" si="8"/>
        <v>январь</v>
      </c>
      <c r="B709" s="231">
        <v>2024</v>
      </c>
      <c r="C709" s="299"/>
      <c r="D709" s="61"/>
      <c r="E709" s="211"/>
      <c r="F709" s="680"/>
      <c r="G709" s="47"/>
      <c r="H709" s="563"/>
      <c r="I709" s="563"/>
      <c r="J709" s="563"/>
      <c r="K709" s="563"/>
      <c r="L709" s="563"/>
      <c r="M709" s="563"/>
      <c r="N709" s="563"/>
      <c r="O709" s="563"/>
      <c r="P709" s="300"/>
      <c r="Q709" s="563"/>
      <c r="R709" s="563"/>
      <c r="S709" s="563"/>
      <c r="T709" s="563"/>
      <c r="U709" s="563"/>
      <c r="V709" s="563"/>
      <c r="W709" s="563"/>
      <c r="X709" s="563"/>
      <c r="Y709" s="563"/>
      <c r="Z709" s="563"/>
      <c r="AA709" s="563"/>
      <c r="AB709" s="563"/>
      <c r="AC709" s="563"/>
      <c r="AD709" s="48"/>
      <c r="AE709" s="48"/>
      <c r="AF709" s="258"/>
      <c r="AG709" s="48"/>
      <c r="AH709" s="48"/>
      <c r="AI709" s="258"/>
      <c r="AJ709" s="258"/>
      <c r="AK709" s="258"/>
      <c r="AL709" s="258"/>
      <c r="AM709" s="212">
        <f>IF(AQ709=1,SUM(Q709:T709,W709:Z709,AC709:AF709,AI709:AL709),
IF(AQ709=2,SUM(P709,S709:V709,Y709:AB709,AE709:AH709,AK709:AL709),
IF(AQ709=3,SUM(P709:R709,U709:X709,AA709:AD709,AG709:AJ709),SUM(Таблица1[[#This Row],[1]:[31]])-Таблица1[[#This Row],[Столбец1]])))</f>
        <v>0</v>
      </c>
      <c r="AN709" s="778">
        <f t="array" ref="AN709">IF(AQ709=1,SUM(P709,U709:V709,AA709:AB709,AG709:AH709),
IF(AQ709=2,SUM(Q709:R709,W709:X709,AC709:AD709,AI709:AJ709),
IF(AQ709=3,SUM(S709:T709,Y709:Z709,AE709:AF709,AK709:AL709),
SUM(IFERROR(WEEKDAY($H$2:$AL$2,2)&gt;5,)*H709:AL709))))+Таблица1[[#This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09" s="292" t="b">
        <f>IF(AR709&lt;=3,(IF((G709="5/24"),((база!$M$6*Таблица1[[#This Row],[сумма]]*Таблица1[[#This Row],[коэф]])),
IF((G709="4/24"),((база!$M$5*Таблица1[[#This Row],[сумма]]*Таблица1[[#This Row],[коэф]])),
IF((G709="3/24"),((база!$M$4*Таблица1[[#This Row],[сумма]]*Таблица1[[#This Row],[коэф]])),
IF((G709="5/16"),((база!$L$6*Таблица1[[#This Row],[сумма]]*Таблица1[[#This Row],[коэф]])),
IF((G709="4/16"),((база!$L$5*Таблица1[[#This Row],[сумма]]*Таблица1[[#This Row],[коэф]])),
IF((G709="3/16"),((база!$L$4*Таблица1[[#This Row],[сумма]]*Таблица1[[#This Row],[коэф]])),
IF((G709="4/4"),((база!$I$5*Таблица1[[#This Row],[сумма]]*Таблица1[[#This Row],[коэф]])),
IF(OR(G709="2/4",G709="3/4"),((база!$I$4*Таблица1[[#This Row],[сумма]]*Таблица1[[#This Row],[коэф]])),
IF((G709="5/8"),((база!$J$6*Таблица1[[#This Row],[сумма]]*Таблица1[[#This Row],[коэф]])),
IF((G709="4/8"),((база!$J$5*Таблица1[[#This Row],[сумма]]*Таблица1[[#This Row],[коэф]])),
IF(OR(G709="3/8",G709="2/8"),((база!$J$4*Таблица1[[#This Row],[сумма]]*Таблица1[[#This Row],[коэф]])))))))))))))),
(IF((G709="5/24"),((база!$M$6*Таблица1[[#This Row],[сумма]]*Таблица1[[#This Row],[коэф]])),
IF(OR(G709="4/24",G709="3/24"),((база!$M$5*Таблица1[[#This Row],[сумма]]*Таблица1[[#This Row],[коэф]])),
IF((G709="5/16"),((база!$L$6*Таблица1[[#This Row],[сумма]]*Таблица1[[#This Row],[коэф]])),
IF(OR(G709="4/16",G709="3/16"),((база!$L$5*Таблица1[[#This Row],[сумма]]*Таблица1[[#This Row],[коэф]])),
IF(OR(G709="2/4",G709="3/4",G709="4/4"),((база!$I$5*Таблица1[[#This Row],[сумма]]*Таблица1[[#This Row],[коэф]])),
IF((G709="5/8"),((база!$J$6*Таблица1[[#This Row],[сумма]]*Таблица1[[#This Row],[коэф]])),
IF(OR(G709="4/8",G709="3/8",G709="2/8"),((база!$J$5*Таблица1[[#This Row],[сумма]]*Таблица1[[#This Row],[коэф]])))))))))))</f>
        <v>0</v>
      </c>
      <c r="AP709" s="730" t="b">
        <f>IF(AR709&lt;=3,(IF((G709="5/24"),((база!$M$6*2*Таблица1[[#This Row],[Столбец1]]*Таблица1[[#This Row],[коэф]])),
IF((G709="4/24"),((база!$M$5*2*Таблица1[[#This Row],[Столбец1]]*Таблица1[[#This Row],[коэф]])),
IF((G709="3/24"),((база!$M$4*2*Таблица1[[#This Row],[Столбец1]]*Таблица1[[#This Row],[коэф]])),
IF((G709="5/16"),((база!$L$6*2*Таблица1[[#This Row],[Столбец1]]*Таблица1[[#This Row],[коэф]])),
IF((G709="4/16"),((база!$L$5*2*Таблица1[[#This Row],[Столбец1]]*Таблица1[[#This Row],[коэф]])),
IF((G709="3/16"),((база!$L$4*2*Таблица1[[#This Row],[Столбец1]]*Таблица1[[#This Row],[коэф]])),
IF((G709="4/4"),((база!$I$5*2*Таблица1[[#This Row],[Столбец1]]*Таблица1[[#This Row],[коэф]])),
IF(OR(G709="2/4",G709="3/4"),((база!$I$4*2*Таблица1[[#This Row],[Столбец1]]*Таблица1[[#This Row],[коэф]])),
IF((G709="5/8"),((база!$J$6*2*Таблица1[[#This Row],[Столбец1]]*Таблица1[[#This Row],[коэф]])),
IF((G709="4/8"),((база!$J$5*2*Таблица1[[#This Row],[Столбец1]]*Таблица1[[#This Row],[коэф]])),
IF(OR(G709="3/8",G709="2/8"),((база!$J$4*2*Таблица1[[#This Row],[Столбец1]]*Таблица1[[#This Row],[коэф]])))))))))))))),
(IF((G709="5/24"),((база!$M$6*2*Таблица1[[#This Row],[Столбец1]]*Таблица1[[#This Row],[коэф]])),
IF(OR(G709="4/24",G709="3/24"),((база!$M$5*2*Таблица1[[#This Row],[Столбец1]]*Таблица1[[#This Row],[коэф]])),
IF((G709="5/16"),((база!$L$6*2*Таблица1[[#This Row],[Столбец1]]*Таблица1[[#This Row],[коэф]])),
IF(OR(G709="4/16",G709="3/16"),((база!$L$5*2*Таблица1[[#This Row],[Столбец1]]*Таблица1[[#This Row],[коэф]])),
IF(OR(G709="2/4",G709="3/4",G709="4/4"),((база!$I$5*2*Таблица1[[#This Row],[Столбец1]]*Таблица1[[#This Row],[коэф]])),
IF((G709="5/8"),((база!$J$6*2*Таблица1[[#This Row],[Столбец1]]*Таблица1[[#This Row],[коэф]])),
IF(OR(G709="4/8",G709="3/8",G709="2/8"),((база!$J$5*2*Таблица1[[#This Row],[Столбец1]]*Таблица1[[#This Row],[коэф]])))))))))))</f>
        <v>0</v>
      </c>
      <c r="AQ709" s="712" t="str">
        <f>IFERROR(INDEX(база!T:T, MATCH(F709,база!Q:Q,0)),"")</f>
        <v/>
      </c>
      <c r="AR709" s="208" t="str">
        <f>IFERROR(INDEX(база!D:D, MATCH(F709,база!B:B,0)),"")</f>
        <v/>
      </c>
      <c r="AS709" s="758" t="str">
        <f>IFERROR(INDEX(база!E:E, MATCH(F709,база!B:B,0)),"")</f>
        <v/>
      </c>
    </row>
    <row r="710" spans="1:45" ht="15">
      <c r="A710" s="66" t="str">
        <f t="shared" si="8"/>
        <v>январь</v>
      </c>
      <c r="B710" s="231">
        <v>2024</v>
      </c>
      <c r="C710" s="299"/>
      <c r="D710" s="61"/>
      <c r="E710" s="211"/>
      <c r="F710" s="680"/>
      <c r="G710" s="47"/>
      <c r="H710" s="563"/>
      <c r="I710" s="563"/>
      <c r="J710" s="563"/>
      <c r="K710" s="563"/>
      <c r="L710" s="563"/>
      <c r="M710" s="563"/>
      <c r="N710" s="563"/>
      <c r="O710" s="563"/>
      <c r="P710" s="300"/>
      <c r="Q710" s="563"/>
      <c r="R710" s="563"/>
      <c r="S710" s="563"/>
      <c r="T710" s="563"/>
      <c r="U710" s="563"/>
      <c r="V710" s="563"/>
      <c r="W710" s="563"/>
      <c r="X710" s="563"/>
      <c r="Y710" s="563"/>
      <c r="Z710" s="563"/>
      <c r="AA710" s="563"/>
      <c r="AB710" s="563"/>
      <c r="AC710" s="563"/>
      <c r="AD710" s="48"/>
      <c r="AE710" s="48"/>
      <c r="AF710" s="258"/>
      <c r="AG710" s="48"/>
      <c r="AH710" s="48"/>
      <c r="AI710" s="48"/>
      <c r="AJ710" s="48"/>
      <c r="AK710" s="48"/>
      <c r="AL710" s="51"/>
      <c r="AM710" s="212">
        <f>IF(AQ710=1,SUM(Q710:T710,W710:Z710,AC710:AF710,AI710:AL710),
IF(AQ710=2,SUM(P710,S710:V710,Y710:AB710,AE710:AH710,AK710:AL710),
IF(AQ710=3,SUM(P710:R710,U710:X710,AA710:AD710,AG710:AJ710),SUM(Таблица1[[#This Row],[1]:[31]])-Таблица1[[#This Row],[Столбец1]])))</f>
        <v>0</v>
      </c>
      <c r="AN710" s="778">
        <f t="array" ref="AN710">IF(AQ710=1,SUM(P710,U710:V710,AA710:AB710,AG710:AH710),
IF(AQ710=2,SUM(Q710:R710,W710:X710,AC710:AD710,AI710:AJ710),
IF(AQ710=3,SUM(S710:T710,Y710:Z710,AE710:AF710,AK710:AL710),
SUM(IFERROR(WEEKDAY($H$2:$AL$2,2)&gt;5,)*H710:AL710))))+Таблица1[[#This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10" s="292" t="b">
        <f>IF(AR710&lt;=3,(IF((G710="5/24"),((база!$M$6*Таблица1[[#This Row],[сумма]]*Таблица1[[#This Row],[коэф]])),
IF((G710="4/24"),((база!$M$5*Таблица1[[#This Row],[сумма]]*Таблица1[[#This Row],[коэф]])),
IF((G710="3/24"),((база!$M$4*Таблица1[[#This Row],[сумма]]*Таблица1[[#This Row],[коэф]])),
IF((G710="5/16"),((база!$L$6*Таблица1[[#This Row],[сумма]]*Таблица1[[#This Row],[коэф]])),
IF((G710="4/16"),((база!$L$5*Таблица1[[#This Row],[сумма]]*Таблица1[[#This Row],[коэф]])),
IF((G710="3/16"),((база!$L$4*Таблица1[[#This Row],[сумма]]*Таблица1[[#This Row],[коэф]])),
IF((G710="4/4"),((база!$I$5*Таблица1[[#This Row],[сумма]]*Таблица1[[#This Row],[коэф]])),
IF(OR(G710="2/4",G710="3/4"),((база!$I$4*Таблица1[[#This Row],[сумма]]*Таблица1[[#This Row],[коэф]])),
IF((G710="5/8"),((база!$J$6*Таблица1[[#This Row],[сумма]]*Таблица1[[#This Row],[коэф]])),
IF((G710="4/8"),((база!$J$5*Таблица1[[#This Row],[сумма]]*Таблица1[[#This Row],[коэф]])),
IF(OR(G710="3/8",G710="2/8"),((база!$J$4*Таблица1[[#This Row],[сумма]]*Таблица1[[#This Row],[коэф]])))))))))))))),
(IF((G710="5/24"),((база!$M$6*Таблица1[[#This Row],[сумма]]*Таблица1[[#This Row],[коэф]])),
IF(OR(G710="4/24",G710="3/24"),((база!$M$5*Таблица1[[#This Row],[сумма]]*Таблица1[[#This Row],[коэф]])),
IF((G710="5/16"),((база!$L$6*Таблица1[[#This Row],[сумма]]*Таблица1[[#This Row],[коэф]])),
IF(OR(G710="4/16",G710="3/16"),((база!$L$5*Таблица1[[#This Row],[сумма]]*Таблица1[[#This Row],[коэф]])),
IF(OR(G710="2/4",G710="3/4",G710="4/4"),((база!$I$5*Таблица1[[#This Row],[сумма]]*Таблица1[[#This Row],[коэф]])),
IF((G710="5/8"),((база!$J$6*Таблица1[[#This Row],[сумма]]*Таблица1[[#This Row],[коэф]])),
IF(OR(G710="4/8",G710="3/8",G710="2/8"),((база!$J$5*Таблица1[[#This Row],[сумма]]*Таблица1[[#This Row],[коэф]])))))))))))</f>
        <v>0</v>
      </c>
      <c r="AP710" s="730" t="b">
        <f>IF(AR710&lt;=3,(IF((G710="5/24"),((база!$M$6*2*Таблица1[[#This Row],[Столбец1]]*Таблица1[[#This Row],[коэф]])),
IF((G710="4/24"),((база!$M$5*2*Таблица1[[#This Row],[Столбец1]]*Таблица1[[#This Row],[коэф]])),
IF((G710="3/24"),((база!$M$4*2*Таблица1[[#This Row],[Столбец1]]*Таблица1[[#This Row],[коэф]])),
IF((G710="5/16"),((база!$L$6*2*Таблица1[[#This Row],[Столбец1]]*Таблица1[[#This Row],[коэф]])),
IF((G710="4/16"),((база!$L$5*2*Таблица1[[#This Row],[Столбец1]]*Таблица1[[#This Row],[коэф]])),
IF((G710="3/16"),((база!$L$4*2*Таблица1[[#This Row],[Столбец1]]*Таблица1[[#This Row],[коэф]])),
IF((G710="4/4"),((база!$I$5*2*Таблица1[[#This Row],[Столбец1]]*Таблица1[[#This Row],[коэф]])),
IF(OR(G710="2/4",G710="3/4"),((база!$I$4*2*Таблица1[[#This Row],[Столбец1]]*Таблица1[[#This Row],[коэф]])),
IF((G710="5/8"),((база!$J$6*2*Таблица1[[#This Row],[Столбец1]]*Таблица1[[#This Row],[коэф]])),
IF((G710="4/8"),((база!$J$5*2*Таблица1[[#This Row],[Столбец1]]*Таблица1[[#This Row],[коэф]])),
IF(OR(G710="3/8",G710="2/8"),((база!$J$4*2*Таблица1[[#This Row],[Столбец1]]*Таблица1[[#This Row],[коэф]])))))))))))))),
(IF((G710="5/24"),((база!$M$6*2*Таблица1[[#This Row],[Столбец1]]*Таблица1[[#This Row],[коэф]])),
IF(OR(G710="4/24",G710="3/24"),((база!$M$5*2*Таблица1[[#This Row],[Столбец1]]*Таблица1[[#This Row],[коэф]])),
IF((G710="5/16"),((база!$L$6*2*Таблица1[[#This Row],[Столбец1]]*Таблица1[[#This Row],[коэф]])),
IF(OR(G710="4/16",G710="3/16"),((база!$L$5*2*Таблица1[[#This Row],[Столбец1]]*Таблица1[[#This Row],[коэф]])),
IF(OR(G710="2/4",G710="3/4",G710="4/4"),((база!$I$5*2*Таблица1[[#This Row],[Столбец1]]*Таблица1[[#This Row],[коэф]])),
IF((G710="5/8"),((база!$J$6*2*Таблица1[[#This Row],[Столбец1]]*Таблица1[[#This Row],[коэф]])),
IF(OR(G710="4/8",G710="3/8",G710="2/8"),((база!$J$5*2*Таблица1[[#This Row],[Столбец1]]*Таблица1[[#This Row],[коэф]])))))))))))</f>
        <v>0</v>
      </c>
      <c r="AQ710" s="712" t="str">
        <f>IFERROR(INDEX(база!T:T, MATCH(F710,база!Q:Q,0)),"")</f>
        <v/>
      </c>
      <c r="AR710" s="208" t="str">
        <f>IFERROR(INDEX(база!D:D, MATCH(F710,база!B:B,0)),"")</f>
        <v/>
      </c>
      <c r="AS710" s="758" t="str">
        <f>IFERROR(INDEX(база!E:E, MATCH(F710,база!B:B,0)),"")</f>
        <v/>
      </c>
    </row>
    <row r="711" spans="1:45" ht="15">
      <c r="A711" s="66" t="str">
        <f t="shared" si="8"/>
        <v>январь</v>
      </c>
      <c r="B711" s="231">
        <v>2024</v>
      </c>
      <c r="C711" s="299"/>
      <c r="D711" s="61"/>
      <c r="E711" s="211"/>
      <c r="F711" s="680"/>
      <c r="G711" s="47"/>
      <c r="H711" s="563"/>
      <c r="I711" s="563"/>
      <c r="J711" s="563"/>
      <c r="K711" s="563"/>
      <c r="L711" s="563"/>
      <c r="M711" s="563"/>
      <c r="N711" s="563"/>
      <c r="O711" s="563"/>
      <c r="P711" s="300"/>
      <c r="Q711" s="563"/>
      <c r="R711" s="563"/>
      <c r="S711" s="563"/>
      <c r="T711" s="563"/>
      <c r="U711" s="563"/>
      <c r="V711" s="563"/>
      <c r="W711" s="563"/>
      <c r="X711" s="563"/>
      <c r="Y711" s="563"/>
      <c r="Z711" s="563"/>
      <c r="AA711" s="563"/>
      <c r="AB711" s="563"/>
      <c r="AC711" s="563"/>
      <c r="AD711" s="48"/>
      <c r="AE711" s="48"/>
      <c r="AF711" s="258"/>
      <c r="AG711" s="48"/>
      <c r="AH711" s="48"/>
      <c r="AI711" s="258"/>
      <c r="AJ711" s="258"/>
      <c r="AK711" s="258"/>
      <c r="AL711" s="258"/>
      <c r="AM711" s="212">
        <f>IF(AQ711=1,SUM(Q711:T711,W711:Z711,AC711:AF711,AI711:AL711),
IF(AQ711=2,SUM(P711,S711:V711,Y711:AB711,AE711:AH711,AK711:AL711),
IF(AQ711=3,SUM(P711:R711,U711:X711,AA711:AD711,AG711:AJ711),SUM(Таблица1[[#This Row],[1]:[31]])-Таблица1[[#This Row],[Столбец1]])))</f>
        <v>0</v>
      </c>
      <c r="AN711" s="778">
        <f t="array" ref="AN711">IF(AQ711=1,SUM(P711,U711:V711,AA711:AB711,AG711:AH711),
IF(AQ711=2,SUM(Q711:R711,W711:X711,AC711:AD711,AI711:AJ711),
IF(AQ711=3,SUM(S711:T711,Y711:Z711,AE711:AF711,AK711:AL711),
SUM(IFERROR(WEEKDAY($H$2:$AL$2,2)&gt;5,)*H711:AL711))))+Таблица1[[#This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11" s="292" t="b">
        <f>IF(AR711&lt;=3,(IF((G711="5/24"),((база!$M$6*Таблица1[[#This Row],[сумма]]*Таблица1[[#This Row],[коэф]])),
IF((G711="4/24"),((база!$M$5*Таблица1[[#This Row],[сумма]]*Таблица1[[#This Row],[коэф]])),
IF((G711="3/24"),((база!$M$4*Таблица1[[#This Row],[сумма]]*Таблица1[[#This Row],[коэф]])),
IF((G711="5/16"),((база!$L$6*Таблица1[[#This Row],[сумма]]*Таблица1[[#This Row],[коэф]])),
IF((G711="4/16"),((база!$L$5*Таблица1[[#This Row],[сумма]]*Таблица1[[#This Row],[коэф]])),
IF((G711="3/16"),((база!$L$4*Таблица1[[#This Row],[сумма]]*Таблица1[[#This Row],[коэф]])),
IF((G711="4/4"),((база!$I$5*Таблица1[[#This Row],[сумма]]*Таблица1[[#This Row],[коэф]])),
IF(OR(G711="2/4",G711="3/4"),((база!$I$4*Таблица1[[#This Row],[сумма]]*Таблица1[[#This Row],[коэф]])),
IF((G711="5/8"),((база!$J$6*Таблица1[[#This Row],[сумма]]*Таблица1[[#This Row],[коэф]])),
IF((G711="4/8"),((база!$J$5*Таблица1[[#This Row],[сумма]]*Таблица1[[#This Row],[коэф]])),
IF(OR(G711="3/8",G711="2/8"),((база!$J$4*Таблица1[[#This Row],[сумма]]*Таблица1[[#This Row],[коэф]])))))))))))))),
(IF((G711="5/24"),((база!$M$6*Таблица1[[#This Row],[сумма]]*Таблица1[[#This Row],[коэф]])),
IF(OR(G711="4/24",G711="3/24"),((база!$M$5*Таблица1[[#This Row],[сумма]]*Таблица1[[#This Row],[коэф]])),
IF((G711="5/16"),((база!$L$6*Таблица1[[#This Row],[сумма]]*Таблица1[[#This Row],[коэф]])),
IF(OR(G711="4/16",G711="3/16"),((база!$L$5*Таблица1[[#This Row],[сумма]]*Таблица1[[#This Row],[коэф]])),
IF(OR(G711="2/4",G711="3/4",G711="4/4"),((база!$I$5*Таблица1[[#This Row],[сумма]]*Таблица1[[#This Row],[коэф]])),
IF((G711="5/8"),((база!$J$6*Таблица1[[#This Row],[сумма]]*Таблица1[[#This Row],[коэф]])),
IF(OR(G711="4/8",G711="3/8",G711="2/8"),((база!$J$5*Таблица1[[#This Row],[сумма]]*Таблица1[[#This Row],[коэф]])))))))))))</f>
        <v>0</v>
      </c>
      <c r="AP711" s="730" t="b">
        <f>IF(AR711&lt;=3,(IF((G711="5/24"),((база!$M$6*2*Таблица1[[#This Row],[Столбец1]]*Таблица1[[#This Row],[коэф]])),
IF((G711="4/24"),((база!$M$5*2*Таблица1[[#This Row],[Столбец1]]*Таблица1[[#This Row],[коэф]])),
IF((G711="3/24"),((база!$M$4*2*Таблица1[[#This Row],[Столбец1]]*Таблица1[[#This Row],[коэф]])),
IF((G711="5/16"),((база!$L$6*2*Таблица1[[#This Row],[Столбец1]]*Таблица1[[#This Row],[коэф]])),
IF((G711="4/16"),((база!$L$5*2*Таблица1[[#This Row],[Столбец1]]*Таблица1[[#This Row],[коэф]])),
IF((G711="3/16"),((база!$L$4*2*Таблица1[[#This Row],[Столбец1]]*Таблица1[[#This Row],[коэф]])),
IF((G711="4/4"),((база!$I$5*2*Таблица1[[#This Row],[Столбец1]]*Таблица1[[#This Row],[коэф]])),
IF(OR(G711="2/4",G711="3/4"),((база!$I$4*2*Таблица1[[#This Row],[Столбец1]]*Таблица1[[#This Row],[коэф]])),
IF((G711="5/8"),((база!$J$6*2*Таблица1[[#This Row],[Столбец1]]*Таблица1[[#This Row],[коэф]])),
IF((G711="4/8"),((база!$J$5*2*Таблица1[[#This Row],[Столбец1]]*Таблица1[[#This Row],[коэф]])),
IF(OR(G711="3/8",G711="2/8"),((база!$J$4*2*Таблица1[[#This Row],[Столбец1]]*Таблица1[[#This Row],[коэф]])))))))))))))),
(IF((G711="5/24"),((база!$M$6*2*Таблица1[[#This Row],[Столбец1]]*Таблица1[[#This Row],[коэф]])),
IF(OR(G711="4/24",G711="3/24"),((база!$M$5*2*Таблица1[[#This Row],[Столбец1]]*Таблица1[[#This Row],[коэф]])),
IF((G711="5/16"),((база!$L$6*2*Таблица1[[#This Row],[Столбец1]]*Таблица1[[#This Row],[коэф]])),
IF(OR(G711="4/16",G711="3/16"),((база!$L$5*2*Таблица1[[#This Row],[Столбец1]]*Таблица1[[#This Row],[коэф]])),
IF(OR(G711="2/4",G711="3/4",G711="4/4"),((база!$I$5*2*Таблица1[[#This Row],[Столбец1]]*Таблица1[[#This Row],[коэф]])),
IF((G711="5/8"),((база!$J$6*2*Таблица1[[#This Row],[Столбец1]]*Таблица1[[#This Row],[коэф]])),
IF(OR(G711="4/8",G711="3/8",G711="2/8"),((база!$J$5*2*Таблица1[[#This Row],[Столбец1]]*Таблица1[[#This Row],[коэф]])))))))))))</f>
        <v>0</v>
      </c>
      <c r="AQ711" s="712" t="str">
        <f>IFERROR(INDEX(база!T:T, MATCH(F711,база!Q:Q,0)),"")</f>
        <v/>
      </c>
      <c r="AR711" s="208" t="str">
        <f>IFERROR(INDEX(база!D:D, MATCH(F711,база!B:B,0)),"")</f>
        <v/>
      </c>
      <c r="AS711" s="758" t="str">
        <f>IFERROR(INDEX(база!E:E, MATCH(F711,база!B:B,0)),"")</f>
        <v/>
      </c>
    </row>
    <row r="712" spans="1:45" ht="15">
      <c r="A712" s="66" t="str">
        <f t="shared" si="8"/>
        <v>январь</v>
      </c>
      <c r="B712" s="231">
        <v>2024</v>
      </c>
      <c r="C712" s="299"/>
      <c r="D712" s="61"/>
      <c r="E712" s="211"/>
      <c r="F712" s="680"/>
      <c r="G712" s="47"/>
      <c r="H712" s="563"/>
      <c r="I712" s="563"/>
      <c r="J712" s="563"/>
      <c r="K712" s="563"/>
      <c r="L712" s="563"/>
      <c r="M712" s="563"/>
      <c r="N712" s="563"/>
      <c r="O712" s="563"/>
      <c r="P712" s="300"/>
      <c r="Q712" s="563"/>
      <c r="R712" s="563"/>
      <c r="S712" s="563"/>
      <c r="T712" s="563"/>
      <c r="U712" s="563"/>
      <c r="V712" s="563"/>
      <c r="W712" s="563"/>
      <c r="X712" s="563"/>
      <c r="Y712" s="563"/>
      <c r="Z712" s="563"/>
      <c r="AA712" s="563"/>
      <c r="AB712" s="563"/>
      <c r="AC712" s="563"/>
      <c r="AD712" s="48"/>
      <c r="AE712" s="48"/>
      <c r="AF712" s="258"/>
      <c r="AG712" s="48"/>
      <c r="AH712" s="48"/>
      <c r="AI712" s="48"/>
      <c r="AJ712" s="48"/>
      <c r="AK712" s="48"/>
      <c r="AL712" s="51"/>
      <c r="AM712" s="212">
        <f>IF(AQ712=1,SUM(Q712:T712,W712:Z712,AC712:AF712,AI712:AL712),
IF(AQ712=2,SUM(P712,S712:V712,Y712:AB712,AE712:AH712,AK712:AL712),
IF(AQ712=3,SUM(P712:R712,U712:X712,AA712:AD712,AG712:AJ712),SUM(Таблица1[[#This Row],[1]:[31]])-Таблица1[[#This Row],[Столбец1]])))</f>
        <v>0</v>
      </c>
      <c r="AN712" s="778">
        <f t="array" ref="AN712">IF(AQ712=1,SUM(P712,U712:V712,AA712:AB712,AG712:AH712),
IF(AQ712=2,SUM(Q712:R712,W712:X712,AC712:AD712,AI712:AJ712),
IF(AQ712=3,SUM(S712:T712,Y712:Z712,AE712:AF712,AK712:AL712),
SUM(IFERROR(WEEKDAY($H$2:$AL$2,2)&gt;5,)*H712:AL712))))+Таблица1[[#This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12" s="292" t="b">
        <f>IF(AR712&lt;=3,(IF((G712="5/24"),((база!$M$6*Таблица1[[#This Row],[сумма]]*Таблица1[[#This Row],[коэф]])),
IF((G712="4/24"),((база!$M$5*Таблица1[[#This Row],[сумма]]*Таблица1[[#This Row],[коэф]])),
IF((G712="3/24"),((база!$M$4*Таблица1[[#This Row],[сумма]]*Таблица1[[#This Row],[коэф]])),
IF((G712="5/16"),((база!$L$6*Таблица1[[#This Row],[сумма]]*Таблица1[[#This Row],[коэф]])),
IF((G712="4/16"),((база!$L$5*Таблица1[[#This Row],[сумма]]*Таблица1[[#This Row],[коэф]])),
IF((G712="3/16"),((база!$L$4*Таблица1[[#This Row],[сумма]]*Таблица1[[#This Row],[коэф]])),
IF((G712="4/4"),((база!$I$5*Таблица1[[#This Row],[сумма]]*Таблица1[[#This Row],[коэф]])),
IF(OR(G712="2/4",G712="3/4"),((база!$I$4*Таблица1[[#This Row],[сумма]]*Таблица1[[#This Row],[коэф]])),
IF((G712="5/8"),((база!$J$6*Таблица1[[#This Row],[сумма]]*Таблица1[[#This Row],[коэф]])),
IF((G712="4/8"),((база!$J$5*Таблица1[[#This Row],[сумма]]*Таблица1[[#This Row],[коэф]])),
IF(OR(G712="3/8",G712="2/8"),((база!$J$4*Таблица1[[#This Row],[сумма]]*Таблица1[[#This Row],[коэф]])))))))))))))),
(IF((G712="5/24"),((база!$M$6*Таблица1[[#This Row],[сумма]]*Таблица1[[#This Row],[коэф]])),
IF(OR(G712="4/24",G712="3/24"),((база!$M$5*Таблица1[[#This Row],[сумма]]*Таблица1[[#This Row],[коэф]])),
IF((G712="5/16"),((база!$L$6*Таблица1[[#This Row],[сумма]]*Таблица1[[#This Row],[коэф]])),
IF(OR(G712="4/16",G712="3/16"),((база!$L$5*Таблица1[[#This Row],[сумма]]*Таблица1[[#This Row],[коэф]])),
IF(OR(G712="2/4",G712="3/4",G712="4/4"),((база!$I$5*Таблица1[[#This Row],[сумма]]*Таблица1[[#This Row],[коэф]])),
IF((G712="5/8"),((база!$J$6*Таблица1[[#This Row],[сумма]]*Таблица1[[#This Row],[коэф]])),
IF(OR(G712="4/8",G712="3/8",G712="2/8"),((база!$J$5*Таблица1[[#This Row],[сумма]]*Таблица1[[#This Row],[коэф]])))))))))))</f>
        <v>0</v>
      </c>
      <c r="AP712" s="730" t="b">
        <f>IF(AR712&lt;=3,(IF((G712="5/24"),((база!$M$6*2*Таблица1[[#This Row],[Столбец1]]*Таблица1[[#This Row],[коэф]])),
IF((G712="4/24"),((база!$M$5*2*Таблица1[[#This Row],[Столбец1]]*Таблица1[[#This Row],[коэф]])),
IF((G712="3/24"),((база!$M$4*2*Таблица1[[#This Row],[Столбец1]]*Таблица1[[#This Row],[коэф]])),
IF((G712="5/16"),((база!$L$6*2*Таблица1[[#This Row],[Столбец1]]*Таблица1[[#This Row],[коэф]])),
IF((G712="4/16"),((база!$L$5*2*Таблица1[[#This Row],[Столбец1]]*Таблица1[[#This Row],[коэф]])),
IF((G712="3/16"),((база!$L$4*2*Таблица1[[#This Row],[Столбец1]]*Таблица1[[#This Row],[коэф]])),
IF((G712="4/4"),((база!$I$5*2*Таблица1[[#This Row],[Столбец1]]*Таблица1[[#This Row],[коэф]])),
IF(OR(G712="2/4",G712="3/4"),((база!$I$4*2*Таблица1[[#This Row],[Столбец1]]*Таблица1[[#This Row],[коэф]])),
IF((G712="5/8"),((база!$J$6*2*Таблица1[[#This Row],[Столбец1]]*Таблица1[[#This Row],[коэф]])),
IF((G712="4/8"),((база!$J$5*2*Таблица1[[#This Row],[Столбец1]]*Таблица1[[#This Row],[коэф]])),
IF(OR(G712="3/8",G712="2/8"),((база!$J$4*2*Таблица1[[#This Row],[Столбец1]]*Таблица1[[#This Row],[коэф]])))))))))))))),
(IF((G712="5/24"),((база!$M$6*2*Таблица1[[#This Row],[Столбец1]]*Таблица1[[#This Row],[коэф]])),
IF(OR(G712="4/24",G712="3/24"),((база!$M$5*2*Таблица1[[#This Row],[Столбец1]]*Таблица1[[#This Row],[коэф]])),
IF((G712="5/16"),((база!$L$6*2*Таблица1[[#This Row],[Столбец1]]*Таблица1[[#This Row],[коэф]])),
IF(OR(G712="4/16",G712="3/16"),((база!$L$5*2*Таблица1[[#This Row],[Столбец1]]*Таблица1[[#This Row],[коэф]])),
IF(OR(G712="2/4",G712="3/4",G712="4/4"),((база!$I$5*2*Таблица1[[#This Row],[Столбец1]]*Таблица1[[#This Row],[коэф]])),
IF((G712="5/8"),((база!$J$6*2*Таблица1[[#This Row],[Столбец1]]*Таблица1[[#This Row],[коэф]])),
IF(OR(G712="4/8",G712="3/8",G712="2/8"),((база!$J$5*2*Таблица1[[#This Row],[Столбец1]]*Таблица1[[#This Row],[коэф]])))))))))))</f>
        <v>0</v>
      </c>
      <c r="AQ712" s="712" t="str">
        <f>IFERROR(INDEX(база!T:T, MATCH(F712,база!Q:Q,0)),"")</f>
        <v/>
      </c>
      <c r="AR712" s="208" t="str">
        <f>IFERROR(INDEX(база!D:D, MATCH(F712,база!B:B,0)),"")</f>
        <v/>
      </c>
      <c r="AS712" s="758" t="str">
        <f>IFERROR(INDEX(база!E:E, MATCH(F712,база!B:B,0)),"")</f>
        <v/>
      </c>
    </row>
    <row r="713" spans="1:45" ht="15">
      <c r="A713" s="66" t="str">
        <f t="shared" si="8"/>
        <v>январь</v>
      </c>
      <c r="B713" s="231">
        <v>2024</v>
      </c>
      <c r="C713" s="299"/>
      <c r="D713" s="61"/>
      <c r="E713" s="211"/>
      <c r="F713" s="680"/>
      <c r="G713" s="47"/>
      <c r="H713" s="563"/>
      <c r="I713" s="563"/>
      <c r="J713" s="563"/>
      <c r="K713" s="563"/>
      <c r="L713" s="563"/>
      <c r="M713" s="563"/>
      <c r="N713" s="563"/>
      <c r="O713" s="563"/>
      <c r="P713" s="300"/>
      <c r="Q713" s="563"/>
      <c r="R713" s="563"/>
      <c r="S713" s="563"/>
      <c r="T713" s="563"/>
      <c r="U713" s="563"/>
      <c r="V713" s="563"/>
      <c r="W713" s="563"/>
      <c r="X713" s="563"/>
      <c r="Y713" s="563"/>
      <c r="Z713" s="563"/>
      <c r="AA713" s="563"/>
      <c r="AB713" s="563"/>
      <c r="AC713" s="563"/>
      <c r="AD713" s="48"/>
      <c r="AE713" s="48"/>
      <c r="AF713" s="258"/>
      <c r="AG713" s="48"/>
      <c r="AH713" s="48"/>
      <c r="AI713" s="258"/>
      <c r="AJ713" s="258"/>
      <c r="AK713" s="258"/>
      <c r="AL713" s="258"/>
      <c r="AM713" s="212">
        <f>IF(AQ713=1,SUM(Q713:T713,W713:Z713,AC713:AF713,AI713:AL713),
IF(AQ713=2,SUM(P713,S713:V713,Y713:AB713,AE713:AH713,AK713:AL713),
IF(AQ713=3,SUM(P713:R713,U713:X713,AA713:AD713,AG713:AJ713),SUM(Таблица1[[#This Row],[1]:[31]])-Таблица1[[#This Row],[Столбец1]])))</f>
        <v>0</v>
      </c>
      <c r="AN713" s="778">
        <f t="array" ref="AN713">IF(AQ713=1,SUM(P713,U713:V713,AA713:AB713,AG713:AH713),
IF(AQ713=2,SUM(Q713:R713,W713:X713,AC713:AD713,AI713:AJ713),
IF(AQ713=3,SUM(S713:T713,Y713:Z713,AE713:AF713,AK713:AL713),
SUM(IFERROR(WEEKDAY($H$2:$AL$2,2)&gt;5,)*H713:AL713))))+Таблица1[[#This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13" s="292" t="b">
        <f>IF(AR713&lt;=3,(IF((G713="5/24"),((база!$M$6*Таблица1[[#This Row],[сумма]]*Таблица1[[#This Row],[коэф]])),
IF((G713="4/24"),((база!$M$5*Таблица1[[#This Row],[сумма]]*Таблица1[[#This Row],[коэф]])),
IF((G713="3/24"),((база!$M$4*Таблица1[[#This Row],[сумма]]*Таблица1[[#This Row],[коэф]])),
IF((G713="5/16"),((база!$L$6*Таблица1[[#This Row],[сумма]]*Таблица1[[#This Row],[коэф]])),
IF((G713="4/16"),((база!$L$5*Таблица1[[#This Row],[сумма]]*Таблица1[[#This Row],[коэф]])),
IF((G713="3/16"),((база!$L$4*Таблица1[[#This Row],[сумма]]*Таблица1[[#This Row],[коэф]])),
IF((G713="4/4"),((база!$I$5*Таблица1[[#This Row],[сумма]]*Таблица1[[#This Row],[коэф]])),
IF(OR(G713="2/4",G713="3/4"),((база!$I$4*Таблица1[[#This Row],[сумма]]*Таблица1[[#This Row],[коэф]])),
IF((G713="5/8"),((база!$J$6*Таблица1[[#This Row],[сумма]]*Таблица1[[#This Row],[коэф]])),
IF((G713="4/8"),((база!$J$5*Таблица1[[#This Row],[сумма]]*Таблица1[[#This Row],[коэф]])),
IF(OR(G713="3/8",G713="2/8"),((база!$J$4*Таблица1[[#This Row],[сумма]]*Таблица1[[#This Row],[коэф]])))))))))))))),
(IF((G713="5/24"),((база!$M$6*Таблица1[[#This Row],[сумма]]*Таблица1[[#This Row],[коэф]])),
IF(OR(G713="4/24",G713="3/24"),((база!$M$5*Таблица1[[#This Row],[сумма]]*Таблица1[[#This Row],[коэф]])),
IF((G713="5/16"),((база!$L$6*Таблица1[[#This Row],[сумма]]*Таблица1[[#This Row],[коэф]])),
IF(OR(G713="4/16",G713="3/16"),((база!$L$5*Таблица1[[#This Row],[сумма]]*Таблица1[[#This Row],[коэф]])),
IF(OR(G713="2/4",G713="3/4",G713="4/4"),((база!$I$5*Таблица1[[#This Row],[сумма]]*Таблица1[[#This Row],[коэф]])),
IF((G713="5/8"),((база!$J$6*Таблица1[[#This Row],[сумма]]*Таблица1[[#This Row],[коэф]])),
IF(OR(G713="4/8",G713="3/8",G713="2/8"),((база!$J$5*Таблица1[[#This Row],[сумма]]*Таблица1[[#This Row],[коэф]])))))))))))</f>
        <v>0</v>
      </c>
      <c r="AP713" s="730" t="b">
        <f>IF(AR713&lt;=3,(IF((G713="5/24"),((база!$M$6*2*Таблица1[[#This Row],[Столбец1]]*Таблица1[[#This Row],[коэф]])),
IF((G713="4/24"),((база!$M$5*2*Таблица1[[#This Row],[Столбец1]]*Таблица1[[#This Row],[коэф]])),
IF((G713="3/24"),((база!$M$4*2*Таблица1[[#This Row],[Столбец1]]*Таблица1[[#This Row],[коэф]])),
IF((G713="5/16"),((база!$L$6*2*Таблица1[[#This Row],[Столбец1]]*Таблица1[[#This Row],[коэф]])),
IF((G713="4/16"),((база!$L$5*2*Таблица1[[#This Row],[Столбец1]]*Таблица1[[#This Row],[коэф]])),
IF((G713="3/16"),((база!$L$4*2*Таблица1[[#This Row],[Столбец1]]*Таблица1[[#This Row],[коэф]])),
IF((G713="4/4"),((база!$I$5*2*Таблица1[[#This Row],[Столбец1]]*Таблица1[[#This Row],[коэф]])),
IF(OR(G713="2/4",G713="3/4"),((база!$I$4*2*Таблица1[[#This Row],[Столбец1]]*Таблица1[[#This Row],[коэф]])),
IF((G713="5/8"),((база!$J$6*2*Таблица1[[#This Row],[Столбец1]]*Таблица1[[#This Row],[коэф]])),
IF((G713="4/8"),((база!$J$5*2*Таблица1[[#This Row],[Столбец1]]*Таблица1[[#This Row],[коэф]])),
IF(OR(G713="3/8",G713="2/8"),((база!$J$4*2*Таблица1[[#This Row],[Столбец1]]*Таблица1[[#This Row],[коэф]])))))))))))))),
(IF((G713="5/24"),((база!$M$6*2*Таблица1[[#This Row],[Столбец1]]*Таблица1[[#This Row],[коэф]])),
IF(OR(G713="4/24",G713="3/24"),((база!$M$5*2*Таблица1[[#This Row],[Столбец1]]*Таблица1[[#This Row],[коэф]])),
IF((G713="5/16"),((база!$L$6*2*Таблица1[[#This Row],[Столбец1]]*Таблица1[[#This Row],[коэф]])),
IF(OR(G713="4/16",G713="3/16"),((база!$L$5*2*Таблица1[[#This Row],[Столбец1]]*Таблица1[[#This Row],[коэф]])),
IF(OR(G713="2/4",G713="3/4",G713="4/4"),((база!$I$5*2*Таблица1[[#This Row],[Столбец1]]*Таблица1[[#This Row],[коэф]])),
IF((G713="5/8"),((база!$J$6*2*Таблица1[[#This Row],[Столбец1]]*Таблица1[[#This Row],[коэф]])),
IF(OR(G713="4/8",G713="3/8",G713="2/8"),((база!$J$5*2*Таблица1[[#This Row],[Столбец1]]*Таблица1[[#This Row],[коэф]])))))))))))</f>
        <v>0</v>
      </c>
      <c r="AQ713" s="712" t="str">
        <f>IFERROR(INDEX(база!T:T, MATCH(F713,база!Q:Q,0)),"")</f>
        <v/>
      </c>
      <c r="AR713" s="208" t="str">
        <f>IFERROR(INDEX(база!D:D, MATCH(F713,база!B:B,0)),"")</f>
        <v/>
      </c>
      <c r="AS713" s="758" t="str">
        <f>IFERROR(INDEX(база!E:E, MATCH(F713,база!B:B,0)),"")</f>
        <v/>
      </c>
    </row>
    <row r="714" spans="1:45" ht="15">
      <c r="A714" s="66" t="str">
        <f t="shared" si="8"/>
        <v>январь</v>
      </c>
      <c r="B714" s="231">
        <v>2024</v>
      </c>
      <c r="C714" s="299"/>
      <c r="D714" s="61"/>
      <c r="E714" s="211"/>
      <c r="F714" s="680"/>
      <c r="G714" s="47"/>
      <c r="H714" s="563"/>
      <c r="I714" s="563"/>
      <c r="J714" s="563"/>
      <c r="K714" s="563"/>
      <c r="L714" s="563"/>
      <c r="M714" s="563"/>
      <c r="N714" s="563"/>
      <c r="O714" s="563"/>
      <c r="P714" s="300"/>
      <c r="Q714" s="563"/>
      <c r="R714" s="563"/>
      <c r="S714" s="563"/>
      <c r="T714" s="563"/>
      <c r="U714" s="563"/>
      <c r="V714" s="563"/>
      <c r="W714" s="563"/>
      <c r="X714" s="563"/>
      <c r="Y714" s="563"/>
      <c r="Z714" s="563"/>
      <c r="AA714" s="563"/>
      <c r="AB714" s="563"/>
      <c r="AC714" s="563"/>
      <c r="AD714" s="48"/>
      <c r="AE714" s="48"/>
      <c r="AF714" s="258"/>
      <c r="AG714" s="48"/>
      <c r="AH714" s="48"/>
      <c r="AI714" s="48"/>
      <c r="AJ714" s="48"/>
      <c r="AK714" s="48"/>
      <c r="AL714" s="51"/>
      <c r="AM714" s="212">
        <f>IF(AQ714=1,SUM(Q714:T714,W714:Z714,AC714:AF714,AI714:AL714),
IF(AQ714=2,SUM(P714,S714:V714,Y714:AB714,AE714:AH714,AK714:AL714),
IF(AQ714=3,SUM(P714:R714,U714:X714,AA714:AD714,AG714:AJ714),SUM(Таблица1[[#This Row],[1]:[31]])-Таблица1[[#This Row],[Столбец1]])))</f>
        <v>0</v>
      </c>
      <c r="AN714" s="778">
        <f t="array" ref="AN714">IF(AQ714=1,SUM(P714,U714:V714,AA714:AB714,AG714:AH714),
IF(AQ714=2,SUM(Q714:R714,W714:X714,AC714:AD714,AI714:AJ714),
IF(AQ714=3,SUM(S714:T714,Y714:Z714,AE714:AF714,AK714:AL714),
SUM(IFERROR(WEEKDAY($H$2:$AL$2,2)&gt;5,)*H714:AL714))))+Таблица1[[#This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14" s="292" t="b">
        <f>IF(AR714&lt;=3,(IF((G714="5/24"),((база!$M$6*Таблица1[[#This Row],[сумма]]*Таблица1[[#This Row],[коэф]])),
IF((G714="4/24"),((база!$M$5*Таблица1[[#This Row],[сумма]]*Таблица1[[#This Row],[коэф]])),
IF((G714="3/24"),((база!$M$4*Таблица1[[#This Row],[сумма]]*Таблица1[[#This Row],[коэф]])),
IF((G714="5/16"),((база!$L$6*Таблица1[[#This Row],[сумма]]*Таблица1[[#This Row],[коэф]])),
IF((G714="4/16"),((база!$L$5*Таблица1[[#This Row],[сумма]]*Таблица1[[#This Row],[коэф]])),
IF((G714="3/16"),((база!$L$4*Таблица1[[#This Row],[сумма]]*Таблица1[[#This Row],[коэф]])),
IF((G714="4/4"),((база!$I$5*Таблица1[[#This Row],[сумма]]*Таблица1[[#This Row],[коэф]])),
IF(OR(G714="2/4",G714="3/4"),((база!$I$4*Таблица1[[#This Row],[сумма]]*Таблица1[[#This Row],[коэф]])),
IF((G714="5/8"),((база!$J$6*Таблица1[[#This Row],[сумма]]*Таблица1[[#This Row],[коэф]])),
IF((G714="4/8"),((база!$J$5*Таблица1[[#This Row],[сумма]]*Таблица1[[#This Row],[коэф]])),
IF(OR(G714="3/8",G714="2/8"),((база!$J$4*Таблица1[[#This Row],[сумма]]*Таблица1[[#This Row],[коэф]])))))))))))))),
(IF((G714="5/24"),((база!$M$6*Таблица1[[#This Row],[сумма]]*Таблица1[[#This Row],[коэф]])),
IF(OR(G714="4/24",G714="3/24"),((база!$M$5*Таблица1[[#This Row],[сумма]]*Таблица1[[#This Row],[коэф]])),
IF((G714="5/16"),((база!$L$6*Таблица1[[#This Row],[сумма]]*Таблица1[[#This Row],[коэф]])),
IF(OR(G714="4/16",G714="3/16"),((база!$L$5*Таблица1[[#This Row],[сумма]]*Таблица1[[#This Row],[коэф]])),
IF(OR(G714="2/4",G714="3/4",G714="4/4"),((база!$I$5*Таблица1[[#This Row],[сумма]]*Таблица1[[#This Row],[коэф]])),
IF((G714="5/8"),((база!$J$6*Таблица1[[#This Row],[сумма]]*Таблица1[[#This Row],[коэф]])),
IF(OR(G714="4/8",G714="3/8",G714="2/8"),((база!$J$5*Таблица1[[#This Row],[сумма]]*Таблица1[[#This Row],[коэф]])))))))))))</f>
        <v>0</v>
      </c>
      <c r="AP714" s="730" t="b">
        <f>IF(AR714&lt;=3,(IF((G714="5/24"),((база!$M$6*2*Таблица1[[#This Row],[Столбец1]]*Таблица1[[#This Row],[коэф]])),
IF((G714="4/24"),((база!$M$5*2*Таблица1[[#This Row],[Столбец1]]*Таблица1[[#This Row],[коэф]])),
IF((G714="3/24"),((база!$M$4*2*Таблица1[[#This Row],[Столбец1]]*Таблица1[[#This Row],[коэф]])),
IF((G714="5/16"),((база!$L$6*2*Таблица1[[#This Row],[Столбец1]]*Таблица1[[#This Row],[коэф]])),
IF((G714="4/16"),((база!$L$5*2*Таблица1[[#This Row],[Столбец1]]*Таблица1[[#This Row],[коэф]])),
IF((G714="3/16"),((база!$L$4*2*Таблица1[[#This Row],[Столбец1]]*Таблица1[[#This Row],[коэф]])),
IF((G714="4/4"),((база!$I$5*2*Таблица1[[#This Row],[Столбец1]]*Таблица1[[#This Row],[коэф]])),
IF(OR(G714="2/4",G714="3/4"),((база!$I$4*2*Таблица1[[#This Row],[Столбец1]]*Таблица1[[#This Row],[коэф]])),
IF((G714="5/8"),((база!$J$6*2*Таблица1[[#This Row],[Столбец1]]*Таблица1[[#This Row],[коэф]])),
IF((G714="4/8"),((база!$J$5*2*Таблица1[[#This Row],[Столбец1]]*Таблица1[[#This Row],[коэф]])),
IF(OR(G714="3/8",G714="2/8"),((база!$J$4*2*Таблица1[[#This Row],[Столбец1]]*Таблица1[[#This Row],[коэф]])))))))))))))),
(IF((G714="5/24"),((база!$M$6*2*Таблица1[[#This Row],[Столбец1]]*Таблица1[[#This Row],[коэф]])),
IF(OR(G714="4/24",G714="3/24"),((база!$M$5*2*Таблица1[[#This Row],[Столбец1]]*Таблица1[[#This Row],[коэф]])),
IF((G714="5/16"),((база!$L$6*2*Таблица1[[#This Row],[Столбец1]]*Таблица1[[#This Row],[коэф]])),
IF(OR(G714="4/16",G714="3/16"),((база!$L$5*2*Таблица1[[#This Row],[Столбец1]]*Таблица1[[#This Row],[коэф]])),
IF(OR(G714="2/4",G714="3/4",G714="4/4"),((база!$I$5*2*Таблица1[[#This Row],[Столбец1]]*Таблица1[[#This Row],[коэф]])),
IF((G714="5/8"),((база!$J$6*2*Таблица1[[#This Row],[Столбец1]]*Таблица1[[#This Row],[коэф]])),
IF(OR(G714="4/8",G714="3/8",G714="2/8"),((база!$J$5*2*Таблица1[[#This Row],[Столбец1]]*Таблица1[[#This Row],[коэф]])))))))))))</f>
        <v>0</v>
      </c>
      <c r="AQ714" s="712" t="str">
        <f>IFERROR(INDEX(база!T:T, MATCH(F714,база!Q:Q,0)),"")</f>
        <v/>
      </c>
      <c r="AR714" s="208" t="str">
        <f>IFERROR(INDEX(база!D:D, MATCH(F714,база!B:B,0)),"")</f>
        <v/>
      </c>
      <c r="AS714" s="758" t="str">
        <f>IFERROR(INDEX(база!E:E, MATCH(F714,база!B:B,0)),"")</f>
        <v/>
      </c>
    </row>
    <row r="715" spans="1:45" ht="15">
      <c r="A715" s="66" t="str">
        <f t="shared" si="8"/>
        <v>январь</v>
      </c>
      <c r="B715" s="231">
        <v>2024</v>
      </c>
      <c r="C715" s="299"/>
      <c r="D715" s="61"/>
      <c r="E715" s="211"/>
      <c r="F715" s="680"/>
      <c r="G715" s="47"/>
      <c r="H715" s="563"/>
      <c r="I715" s="563"/>
      <c r="J715" s="563"/>
      <c r="K715" s="563"/>
      <c r="L715" s="563"/>
      <c r="M715" s="563"/>
      <c r="N715" s="563"/>
      <c r="O715" s="563"/>
      <c r="P715" s="300"/>
      <c r="Q715" s="563"/>
      <c r="R715" s="563"/>
      <c r="S715" s="563"/>
      <c r="T715" s="563"/>
      <c r="U715" s="563"/>
      <c r="V715" s="563"/>
      <c r="W715" s="563"/>
      <c r="X715" s="563"/>
      <c r="Y715" s="563"/>
      <c r="Z715" s="563"/>
      <c r="AA715" s="563"/>
      <c r="AB715" s="563"/>
      <c r="AC715" s="563"/>
      <c r="AD715" s="48"/>
      <c r="AE715" s="48"/>
      <c r="AF715" s="258"/>
      <c r="AG715" s="48"/>
      <c r="AH715" s="48"/>
      <c r="AI715" s="258"/>
      <c r="AJ715" s="258"/>
      <c r="AK715" s="258"/>
      <c r="AL715" s="258"/>
      <c r="AM715" s="212">
        <f>IF(AQ715=1,SUM(Q715:T715,W715:Z715,AC715:AF715,AI715:AL715),
IF(AQ715=2,SUM(P715,S715:V715,Y715:AB715,AE715:AH715,AK715:AL715),
IF(AQ715=3,SUM(P715:R715,U715:X715,AA715:AD715,AG715:AJ715),SUM(Таблица1[[#This Row],[1]:[31]])-Таблица1[[#This Row],[Столбец1]])))</f>
        <v>0</v>
      </c>
      <c r="AN715" s="778">
        <f t="array" ref="AN715">IF(AQ715=1,SUM(P715,U715:V715,AA715:AB715,AG715:AH715),
IF(AQ715=2,SUM(Q715:R715,W715:X715,AC715:AD715,AI715:AJ715),
IF(AQ715=3,SUM(S715:T715,Y715:Z715,AE715:AF715,AK715:AL715),
SUM(IFERROR(WEEKDAY($H$2:$AL$2,2)&gt;5,)*H715:AL715))))+Таблица1[[#This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15" s="292" t="b">
        <f>IF(AR715&lt;=3,(IF((G715="5/24"),((база!$M$6*Таблица1[[#This Row],[сумма]]*Таблица1[[#This Row],[коэф]])),
IF((G715="4/24"),((база!$M$5*Таблица1[[#This Row],[сумма]]*Таблица1[[#This Row],[коэф]])),
IF((G715="3/24"),((база!$M$4*Таблица1[[#This Row],[сумма]]*Таблица1[[#This Row],[коэф]])),
IF((G715="5/16"),((база!$L$6*Таблица1[[#This Row],[сумма]]*Таблица1[[#This Row],[коэф]])),
IF((G715="4/16"),((база!$L$5*Таблица1[[#This Row],[сумма]]*Таблица1[[#This Row],[коэф]])),
IF((G715="3/16"),((база!$L$4*Таблица1[[#This Row],[сумма]]*Таблица1[[#This Row],[коэф]])),
IF((G715="4/4"),((база!$I$5*Таблица1[[#This Row],[сумма]]*Таблица1[[#This Row],[коэф]])),
IF(OR(G715="2/4",G715="3/4"),((база!$I$4*Таблица1[[#This Row],[сумма]]*Таблица1[[#This Row],[коэф]])),
IF((G715="5/8"),((база!$J$6*Таблица1[[#This Row],[сумма]]*Таблица1[[#This Row],[коэф]])),
IF((G715="4/8"),((база!$J$5*Таблица1[[#This Row],[сумма]]*Таблица1[[#This Row],[коэф]])),
IF(OR(G715="3/8",G715="2/8"),((база!$J$4*Таблица1[[#This Row],[сумма]]*Таблица1[[#This Row],[коэф]])))))))))))))),
(IF((G715="5/24"),((база!$M$6*Таблица1[[#This Row],[сумма]]*Таблица1[[#This Row],[коэф]])),
IF(OR(G715="4/24",G715="3/24"),((база!$M$5*Таблица1[[#This Row],[сумма]]*Таблица1[[#This Row],[коэф]])),
IF((G715="5/16"),((база!$L$6*Таблица1[[#This Row],[сумма]]*Таблица1[[#This Row],[коэф]])),
IF(OR(G715="4/16",G715="3/16"),((база!$L$5*Таблица1[[#This Row],[сумма]]*Таблица1[[#This Row],[коэф]])),
IF(OR(G715="2/4",G715="3/4",G715="4/4"),((база!$I$5*Таблица1[[#This Row],[сумма]]*Таблица1[[#This Row],[коэф]])),
IF((G715="5/8"),((база!$J$6*Таблица1[[#This Row],[сумма]]*Таблица1[[#This Row],[коэф]])),
IF(OR(G715="4/8",G715="3/8",G715="2/8"),((база!$J$5*Таблица1[[#This Row],[сумма]]*Таблица1[[#This Row],[коэф]])))))))))))</f>
        <v>0</v>
      </c>
      <c r="AP715" s="730" t="b">
        <f>IF(AR715&lt;=3,(IF((G715="5/24"),((база!$M$6*2*Таблица1[[#This Row],[Столбец1]]*Таблица1[[#This Row],[коэф]])),
IF((G715="4/24"),((база!$M$5*2*Таблица1[[#This Row],[Столбец1]]*Таблица1[[#This Row],[коэф]])),
IF((G715="3/24"),((база!$M$4*2*Таблица1[[#This Row],[Столбец1]]*Таблица1[[#This Row],[коэф]])),
IF((G715="5/16"),((база!$L$6*2*Таблица1[[#This Row],[Столбец1]]*Таблица1[[#This Row],[коэф]])),
IF((G715="4/16"),((база!$L$5*2*Таблица1[[#This Row],[Столбец1]]*Таблица1[[#This Row],[коэф]])),
IF((G715="3/16"),((база!$L$4*2*Таблица1[[#This Row],[Столбец1]]*Таблица1[[#This Row],[коэф]])),
IF((G715="4/4"),((база!$I$5*2*Таблица1[[#This Row],[Столбец1]]*Таблица1[[#This Row],[коэф]])),
IF(OR(G715="2/4",G715="3/4"),((база!$I$4*2*Таблица1[[#This Row],[Столбец1]]*Таблица1[[#This Row],[коэф]])),
IF((G715="5/8"),((база!$J$6*2*Таблица1[[#This Row],[Столбец1]]*Таблица1[[#This Row],[коэф]])),
IF((G715="4/8"),((база!$J$5*2*Таблица1[[#This Row],[Столбец1]]*Таблица1[[#This Row],[коэф]])),
IF(OR(G715="3/8",G715="2/8"),((база!$J$4*2*Таблица1[[#This Row],[Столбец1]]*Таблица1[[#This Row],[коэф]])))))))))))))),
(IF((G715="5/24"),((база!$M$6*2*Таблица1[[#This Row],[Столбец1]]*Таблица1[[#This Row],[коэф]])),
IF(OR(G715="4/24",G715="3/24"),((база!$M$5*2*Таблица1[[#This Row],[Столбец1]]*Таблица1[[#This Row],[коэф]])),
IF((G715="5/16"),((база!$L$6*2*Таблица1[[#This Row],[Столбец1]]*Таблица1[[#This Row],[коэф]])),
IF(OR(G715="4/16",G715="3/16"),((база!$L$5*2*Таблица1[[#This Row],[Столбец1]]*Таблица1[[#This Row],[коэф]])),
IF(OR(G715="2/4",G715="3/4",G715="4/4"),((база!$I$5*2*Таблица1[[#This Row],[Столбец1]]*Таблица1[[#This Row],[коэф]])),
IF((G715="5/8"),((база!$J$6*2*Таблица1[[#This Row],[Столбец1]]*Таблица1[[#This Row],[коэф]])),
IF(OR(G715="4/8",G715="3/8",G715="2/8"),((база!$J$5*2*Таблица1[[#This Row],[Столбец1]]*Таблица1[[#This Row],[коэф]])))))))))))</f>
        <v>0</v>
      </c>
      <c r="AQ715" s="712" t="str">
        <f>IFERROR(INDEX(база!T:T, MATCH(F715,база!Q:Q,0)),"")</f>
        <v/>
      </c>
      <c r="AR715" s="208" t="str">
        <f>IFERROR(INDEX(база!D:D, MATCH(F715,база!B:B,0)),"")</f>
        <v/>
      </c>
      <c r="AS715" s="758" t="str">
        <f>IFERROR(INDEX(база!E:E, MATCH(F715,база!B:B,0)),"")</f>
        <v/>
      </c>
    </row>
    <row r="716" spans="1:45" ht="15">
      <c r="A716" s="66" t="str">
        <f t="shared" si="8"/>
        <v>январь</v>
      </c>
      <c r="B716" s="231">
        <v>2024</v>
      </c>
      <c r="C716" s="299"/>
      <c r="D716" s="61"/>
      <c r="E716" s="211"/>
      <c r="F716" s="680"/>
      <c r="G716" s="47"/>
      <c r="H716" s="563"/>
      <c r="I716" s="563"/>
      <c r="J716" s="563"/>
      <c r="K716" s="563"/>
      <c r="L716" s="563"/>
      <c r="M716" s="563"/>
      <c r="N716" s="563"/>
      <c r="O716" s="563"/>
      <c r="P716" s="300"/>
      <c r="Q716" s="563"/>
      <c r="R716" s="563"/>
      <c r="S716" s="563"/>
      <c r="T716" s="563"/>
      <c r="U716" s="563"/>
      <c r="V716" s="563"/>
      <c r="W716" s="563"/>
      <c r="X716" s="563"/>
      <c r="Y716" s="563"/>
      <c r="Z716" s="563"/>
      <c r="AA716" s="563"/>
      <c r="AB716" s="563"/>
      <c r="AC716" s="563"/>
      <c r="AD716" s="48"/>
      <c r="AE716" s="48"/>
      <c r="AF716" s="258"/>
      <c r="AG716" s="48"/>
      <c r="AH716" s="48"/>
      <c r="AI716" s="48"/>
      <c r="AJ716" s="48"/>
      <c r="AK716" s="48"/>
      <c r="AL716" s="51"/>
      <c r="AM716" s="212">
        <f>IF(AQ716=1,SUM(Q716:T716,W716:Z716,AC716:AF716,AI716:AL716),
IF(AQ716=2,SUM(P716,S716:V716,Y716:AB716,AE716:AH716,AK716:AL716),
IF(AQ716=3,SUM(P716:R716,U716:X716,AA716:AD716,AG716:AJ716),SUM(Таблица1[[#This Row],[1]:[31]])-Таблица1[[#This Row],[Столбец1]])))</f>
        <v>0</v>
      </c>
      <c r="AN716" s="778">
        <f t="array" ref="AN716">IF(AQ716=1,SUM(P716,U716:V716,AA716:AB716,AG716:AH716),
IF(AQ716=2,SUM(Q716:R716,W716:X716,AC716:AD716,AI716:AJ716),
IF(AQ716=3,SUM(S716:T716,Y716:Z716,AE716:AF716,AK716:AL716),
SUM(IFERROR(WEEKDAY($H$2:$AL$2,2)&gt;5,)*H716:AL716))))+Таблица1[[#This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16" s="292" t="b">
        <f>IF(AR716&lt;=3,(IF((G716="5/24"),((база!$M$6*Таблица1[[#This Row],[сумма]]*Таблица1[[#This Row],[коэф]])),
IF((G716="4/24"),((база!$M$5*Таблица1[[#This Row],[сумма]]*Таблица1[[#This Row],[коэф]])),
IF((G716="3/24"),((база!$M$4*Таблица1[[#This Row],[сумма]]*Таблица1[[#This Row],[коэф]])),
IF((G716="5/16"),((база!$L$6*Таблица1[[#This Row],[сумма]]*Таблица1[[#This Row],[коэф]])),
IF((G716="4/16"),((база!$L$5*Таблица1[[#This Row],[сумма]]*Таблица1[[#This Row],[коэф]])),
IF((G716="3/16"),((база!$L$4*Таблица1[[#This Row],[сумма]]*Таблица1[[#This Row],[коэф]])),
IF((G716="4/4"),((база!$I$5*Таблица1[[#This Row],[сумма]]*Таблица1[[#This Row],[коэф]])),
IF(OR(G716="2/4",G716="3/4"),((база!$I$4*Таблица1[[#This Row],[сумма]]*Таблица1[[#This Row],[коэф]])),
IF((G716="5/8"),((база!$J$6*Таблица1[[#This Row],[сумма]]*Таблица1[[#This Row],[коэф]])),
IF((G716="4/8"),((база!$J$5*Таблица1[[#This Row],[сумма]]*Таблица1[[#This Row],[коэф]])),
IF(OR(G716="3/8",G716="2/8"),((база!$J$4*Таблица1[[#This Row],[сумма]]*Таблица1[[#This Row],[коэф]])))))))))))))),
(IF((G716="5/24"),((база!$M$6*Таблица1[[#This Row],[сумма]]*Таблица1[[#This Row],[коэф]])),
IF(OR(G716="4/24",G716="3/24"),((база!$M$5*Таблица1[[#This Row],[сумма]]*Таблица1[[#This Row],[коэф]])),
IF((G716="5/16"),((база!$L$6*Таблица1[[#This Row],[сумма]]*Таблица1[[#This Row],[коэф]])),
IF(OR(G716="4/16",G716="3/16"),((база!$L$5*Таблица1[[#This Row],[сумма]]*Таблица1[[#This Row],[коэф]])),
IF(OR(G716="2/4",G716="3/4",G716="4/4"),((база!$I$5*Таблица1[[#This Row],[сумма]]*Таблица1[[#This Row],[коэф]])),
IF((G716="5/8"),((база!$J$6*Таблица1[[#This Row],[сумма]]*Таблица1[[#This Row],[коэф]])),
IF(OR(G716="4/8",G716="3/8",G716="2/8"),((база!$J$5*Таблица1[[#This Row],[сумма]]*Таблица1[[#This Row],[коэф]])))))))))))</f>
        <v>0</v>
      </c>
      <c r="AP716" s="730" t="b">
        <f>IF(AR716&lt;=3,(IF((G716="5/24"),((база!$M$6*2*Таблица1[[#This Row],[Столбец1]]*Таблица1[[#This Row],[коэф]])),
IF((G716="4/24"),((база!$M$5*2*Таблица1[[#This Row],[Столбец1]]*Таблица1[[#This Row],[коэф]])),
IF((G716="3/24"),((база!$M$4*2*Таблица1[[#This Row],[Столбец1]]*Таблица1[[#This Row],[коэф]])),
IF((G716="5/16"),((база!$L$6*2*Таблица1[[#This Row],[Столбец1]]*Таблица1[[#This Row],[коэф]])),
IF((G716="4/16"),((база!$L$5*2*Таблица1[[#This Row],[Столбец1]]*Таблица1[[#This Row],[коэф]])),
IF((G716="3/16"),((база!$L$4*2*Таблица1[[#This Row],[Столбец1]]*Таблица1[[#This Row],[коэф]])),
IF((G716="4/4"),((база!$I$5*2*Таблица1[[#This Row],[Столбец1]]*Таблица1[[#This Row],[коэф]])),
IF(OR(G716="2/4",G716="3/4"),((база!$I$4*2*Таблица1[[#This Row],[Столбец1]]*Таблица1[[#This Row],[коэф]])),
IF((G716="5/8"),((база!$J$6*2*Таблица1[[#This Row],[Столбец1]]*Таблица1[[#This Row],[коэф]])),
IF((G716="4/8"),((база!$J$5*2*Таблица1[[#This Row],[Столбец1]]*Таблица1[[#This Row],[коэф]])),
IF(OR(G716="3/8",G716="2/8"),((база!$J$4*2*Таблица1[[#This Row],[Столбец1]]*Таблица1[[#This Row],[коэф]])))))))))))))),
(IF((G716="5/24"),((база!$M$6*2*Таблица1[[#This Row],[Столбец1]]*Таблица1[[#This Row],[коэф]])),
IF(OR(G716="4/24",G716="3/24"),((база!$M$5*2*Таблица1[[#This Row],[Столбец1]]*Таблица1[[#This Row],[коэф]])),
IF((G716="5/16"),((база!$L$6*2*Таблица1[[#This Row],[Столбец1]]*Таблица1[[#This Row],[коэф]])),
IF(OR(G716="4/16",G716="3/16"),((база!$L$5*2*Таблица1[[#This Row],[Столбец1]]*Таблица1[[#This Row],[коэф]])),
IF(OR(G716="2/4",G716="3/4",G716="4/4"),((база!$I$5*2*Таблица1[[#This Row],[Столбец1]]*Таблица1[[#This Row],[коэф]])),
IF((G716="5/8"),((база!$J$6*2*Таблица1[[#This Row],[Столбец1]]*Таблица1[[#This Row],[коэф]])),
IF(OR(G716="4/8",G716="3/8",G716="2/8"),((база!$J$5*2*Таблица1[[#This Row],[Столбец1]]*Таблица1[[#This Row],[коэф]])))))))))))</f>
        <v>0</v>
      </c>
      <c r="AQ716" s="712" t="str">
        <f>IFERROR(INDEX(база!T:T, MATCH(F716,база!Q:Q,0)),"")</f>
        <v/>
      </c>
      <c r="AR716" s="208" t="str">
        <f>IFERROR(INDEX(база!D:D, MATCH(F716,база!B:B,0)),"")</f>
        <v/>
      </c>
      <c r="AS716" s="758" t="str">
        <f>IFERROR(INDEX(база!E:E, MATCH(F716,база!B:B,0)),"")</f>
        <v/>
      </c>
    </row>
    <row r="717" spans="1:45" ht="15">
      <c r="A717" s="66" t="str">
        <f t="shared" si="8"/>
        <v>январь</v>
      </c>
      <c r="B717" s="231">
        <v>2024</v>
      </c>
      <c r="C717" s="299"/>
      <c r="D717" s="61"/>
      <c r="E717" s="211"/>
      <c r="F717" s="680"/>
      <c r="G717" s="47"/>
      <c r="H717" s="563"/>
      <c r="I717" s="563"/>
      <c r="J717" s="563"/>
      <c r="K717" s="563"/>
      <c r="L717" s="563"/>
      <c r="M717" s="563"/>
      <c r="N717" s="563"/>
      <c r="O717" s="563"/>
      <c r="P717" s="300"/>
      <c r="Q717" s="563"/>
      <c r="R717" s="563"/>
      <c r="S717" s="563"/>
      <c r="T717" s="563"/>
      <c r="U717" s="563"/>
      <c r="V717" s="563"/>
      <c r="W717" s="563"/>
      <c r="X717" s="563"/>
      <c r="Y717" s="563"/>
      <c r="Z717" s="563"/>
      <c r="AA717" s="563"/>
      <c r="AB717" s="563"/>
      <c r="AC717" s="563"/>
      <c r="AD717" s="48"/>
      <c r="AE717" s="48"/>
      <c r="AF717" s="258"/>
      <c r="AG717" s="48"/>
      <c r="AH717" s="48"/>
      <c r="AI717" s="258"/>
      <c r="AJ717" s="258"/>
      <c r="AK717" s="258"/>
      <c r="AL717" s="258"/>
      <c r="AM717" s="212">
        <f>IF(AQ717=1,SUM(Q717:T717,W717:Z717,AC717:AF717,AI717:AL717),
IF(AQ717=2,SUM(P717,S717:V717,Y717:AB717,AE717:AH717,AK717:AL717),
IF(AQ717=3,SUM(P717:R717,U717:X717,AA717:AD717,AG717:AJ717),SUM(Таблица1[[#This Row],[1]:[31]])-Таблица1[[#This Row],[Столбец1]])))</f>
        <v>0</v>
      </c>
      <c r="AN717" s="778">
        <f t="array" ref="AN717">IF(AQ717=1,SUM(P717,U717:V717,AA717:AB717,AG717:AH717),
IF(AQ717=2,SUM(Q717:R717,W717:X717,AC717:AD717,AI717:AJ717),
IF(AQ717=3,SUM(S717:T717,Y717:Z717,AE717:AF717,AK717:AL717),
SUM(IFERROR(WEEKDAY($H$2:$AL$2,2)&gt;5,)*H717:AL717))))+Таблица1[[#This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17" s="292" t="b">
        <f>IF(AR717&lt;=3,(IF((G717="5/24"),((база!$M$6*Таблица1[[#This Row],[сумма]]*Таблица1[[#This Row],[коэф]])),
IF((G717="4/24"),((база!$M$5*Таблица1[[#This Row],[сумма]]*Таблица1[[#This Row],[коэф]])),
IF((G717="3/24"),((база!$M$4*Таблица1[[#This Row],[сумма]]*Таблица1[[#This Row],[коэф]])),
IF((G717="5/16"),((база!$L$6*Таблица1[[#This Row],[сумма]]*Таблица1[[#This Row],[коэф]])),
IF((G717="4/16"),((база!$L$5*Таблица1[[#This Row],[сумма]]*Таблица1[[#This Row],[коэф]])),
IF((G717="3/16"),((база!$L$4*Таблица1[[#This Row],[сумма]]*Таблица1[[#This Row],[коэф]])),
IF((G717="4/4"),((база!$I$5*Таблица1[[#This Row],[сумма]]*Таблица1[[#This Row],[коэф]])),
IF(OR(G717="2/4",G717="3/4"),((база!$I$4*Таблица1[[#This Row],[сумма]]*Таблица1[[#This Row],[коэф]])),
IF((G717="5/8"),((база!$J$6*Таблица1[[#This Row],[сумма]]*Таблица1[[#This Row],[коэф]])),
IF((G717="4/8"),((база!$J$5*Таблица1[[#This Row],[сумма]]*Таблица1[[#This Row],[коэф]])),
IF(OR(G717="3/8",G717="2/8"),((база!$J$4*Таблица1[[#This Row],[сумма]]*Таблица1[[#This Row],[коэф]])))))))))))))),
(IF((G717="5/24"),((база!$M$6*Таблица1[[#This Row],[сумма]]*Таблица1[[#This Row],[коэф]])),
IF(OR(G717="4/24",G717="3/24"),((база!$M$5*Таблица1[[#This Row],[сумма]]*Таблица1[[#This Row],[коэф]])),
IF((G717="5/16"),((база!$L$6*Таблица1[[#This Row],[сумма]]*Таблица1[[#This Row],[коэф]])),
IF(OR(G717="4/16",G717="3/16"),((база!$L$5*Таблица1[[#This Row],[сумма]]*Таблица1[[#This Row],[коэф]])),
IF(OR(G717="2/4",G717="3/4",G717="4/4"),((база!$I$5*Таблица1[[#This Row],[сумма]]*Таблица1[[#This Row],[коэф]])),
IF((G717="5/8"),((база!$J$6*Таблица1[[#This Row],[сумма]]*Таблица1[[#This Row],[коэф]])),
IF(OR(G717="4/8",G717="3/8",G717="2/8"),((база!$J$5*Таблица1[[#This Row],[сумма]]*Таблица1[[#This Row],[коэф]])))))))))))</f>
        <v>0</v>
      </c>
      <c r="AP717" s="730" t="b">
        <f>IF(AR717&lt;=3,(IF((G717="5/24"),((база!$M$6*2*Таблица1[[#This Row],[Столбец1]]*Таблица1[[#This Row],[коэф]])),
IF((G717="4/24"),((база!$M$5*2*Таблица1[[#This Row],[Столбец1]]*Таблица1[[#This Row],[коэф]])),
IF((G717="3/24"),((база!$M$4*2*Таблица1[[#This Row],[Столбец1]]*Таблица1[[#This Row],[коэф]])),
IF((G717="5/16"),((база!$L$6*2*Таблица1[[#This Row],[Столбец1]]*Таблица1[[#This Row],[коэф]])),
IF((G717="4/16"),((база!$L$5*2*Таблица1[[#This Row],[Столбец1]]*Таблица1[[#This Row],[коэф]])),
IF((G717="3/16"),((база!$L$4*2*Таблица1[[#This Row],[Столбец1]]*Таблица1[[#This Row],[коэф]])),
IF((G717="4/4"),((база!$I$5*2*Таблица1[[#This Row],[Столбец1]]*Таблица1[[#This Row],[коэф]])),
IF(OR(G717="2/4",G717="3/4"),((база!$I$4*2*Таблица1[[#This Row],[Столбец1]]*Таблица1[[#This Row],[коэф]])),
IF((G717="5/8"),((база!$J$6*2*Таблица1[[#This Row],[Столбец1]]*Таблица1[[#This Row],[коэф]])),
IF((G717="4/8"),((база!$J$5*2*Таблица1[[#This Row],[Столбец1]]*Таблица1[[#This Row],[коэф]])),
IF(OR(G717="3/8",G717="2/8"),((база!$J$4*2*Таблица1[[#This Row],[Столбец1]]*Таблица1[[#This Row],[коэф]])))))))))))))),
(IF((G717="5/24"),((база!$M$6*2*Таблица1[[#This Row],[Столбец1]]*Таблица1[[#This Row],[коэф]])),
IF(OR(G717="4/24",G717="3/24"),((база!$M$5*2*Таблица1[[#This Row],[Столбец1]]*Таблица1[[#This Row],[коэф]])),
IF((G717="5/16"),((база!$L$6*2*Таблица1[[#This Row],[Столбец1]]*Таблица1[[#This Row],[коэф]])),
IF(OR(G717="4/16",G717="3/16"),((база!$L$5*2*Таблица1[[#This Row],[Столбец1]]*Таблица1[[#This Row],[коэф]])),
IF(OR(G717="2/4",G717="3/4",G717="4/4"),((база!$I$5*2*Таблица1[[#This Row],[Столбец1]]*Таблица1[[#This Row],[коэф]])),
IF((G717="5/8"),((база!$J$6*2*Таблица1[[#This Row],[Столбец1]]*Таблица1[[#This Row],[коэф]])),
IF(OR(G717="4/8",G717="3/8",G717="2/8"),((база!$J$5*2*Таблица1[[#This Row],[Столбец1]]*Таблица1[[#This Row],[коэф]])))))))))))</f>
        <v>0</v>
      </c>
      <c r="AQ717" s="712" t="str">
        <f>IFERROR(INDEX(база!T:T, MATCH(F717,база!Q:Q,0)),"")</f>
        <v/>
      </c>
      <c r="AR717" s="208" t="str">
        <f>IFERROR(INDEX(база!D:D, MATCH(F717,база!B:B,0)),"")</f>
        <v/>
      </c>
      <c r="AS717" s="758" t="str">
        <f>IFERROR(INDEX(база!E:E, MATCH(F717,база!B:B,0)),"")</f>
        <v/>
      </c>
    </row>
    <row r="718" spans="1:45" ht="15">
      <c r="A718" s="66" t="str">
        <f t="shared" si="8"/>
        <v>январь</v>
      </c>
      <c r="B718" s="231">
        <v>2024</v>
      </c>
      <c r="C718" s="299"/>
      <c r="D718" s="61"/>
      <c r="E718" s="211"/>
      <c r="F718" s="680"/>
      <c r="G718" s="47"/>
      <c r="H718" s="563"/>
      <c r="I718" s="563"/>
      <c r="J718" s="563"/>
      <c r="K718" s="563"/>
      <c r="L718" s="563"/>
      <c r="M718" s="563"/>
      <c r="N718" s="563"/>
      <c r="O718" s="563"/>
      <c r="P718" s="300"/>
      <c r="Q718" s="563"/>
      <c r="R718" s="563"/>
      <c r="S718" s="563"/>
      <c r="T718" s="563"/>
      <c r="U718" s="563"/>
      <c r="V718" s="563"/>
      <c r="W718" s="563"/>
      <c r="X718" s="563"/>
      <c r="Y718" s="563"/>
      <c r="Z718" s="563"/>
      <c r="AA718" s="563"/>
      <c r="AB718" s="563"/>
      <c r="AC718" s="563"/>
      <c r="AD718" s="48"/>
      <c r="AE718" s="48"/>
      <c r="AF718" s="258"/>
      <c r="AG718" s="48"/>
      <c r="AH718" s="48"/>
      <c r="AI718" s="48"/>
      <c r="AJ718" s="48"/>
      <c r="AK718" s="48"/>
      <c r="AL718" s="51"/>
      <c r="AM718" s="212">
        <f>IF(AQ718=1,SUM(Q718:T718,W718:Z718,AC718:AF718,AI718:AL718),
IF(AQ718=2,SUM(P718,S718:V718,Y718:AB718,AE718:AH718,AK718:AL718),
IF(AQ718=3,SUM(P718:R718,U718:X718,AA718:AD718,AG718:AJ718),SUM(Таблица1[[#This Row],[1]:[31]])-Таблица1[[#This Row],[Столбец1]])))</f>
        <v>0</v>
      </c>
      <c r="AN718" s="778">
        <f t="array" ref="AN718">IF(AQ718=1,SUM(P718,U718:V718,AA718:AB718,AG718:AH718),
IF(AQ718=2,SUM(Q718:R718,W718:X718,AC718:AD718,AI718:AJ718),
IF(AQ718=3,SUM(S718:T718,Y718:Z718,AE718:AF718,AK718:AL718),
SUM(IFERROR(WEEKDAY($H$2:$AL$2,2)&gt;5,)*H718:AL718))))+Таблица1[[#This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18" s="292" t="b">
        <f>IF(AR718&lt;=3,(IF((G718="5/24"),((база!$M$6*Таблица1[[#This Row],[сумма]]*Таблица1[[#This Row],[коэф]])),
IF((G718="4/24"),((база!$M$5*Таблица1[[#This Row],[сумма]]*Таблица1[[#This Row],[коэф]])),
IF((G718="3/24"),((база!$M$4*Таблица1[[#This Row],[сумма]]*Таблица1[[#This Row],[коэф]])),
IF((G718="5/16"),((база!$L$6*Таблица1[[#This Row],[сумма]]*Таблица1[[#This Row],[коэф]])),
IF((G718="4/16"),((база!$L$5*Таблица1[[#This Row],[сумма]]*Таблица1[[#This Row],[коэф]])),
IF((G718="3/16"),((база!$L$4*Таблица1[[#This Row],[сумма]]*Таблица1[[#This Row],[коэф]])),
IF((G718="4/4"),((база!$I$5*Таблица1[[#This Row],[сумма]]*Таблица1[[#This Row],[коэф]])),
IF(OR(G718="2/4",G718="3/4"),((база!$I$4*Таблица1[[#This Row],[сумма]]*Таблица1[[#This Row],[коэф]])),
IF((G718="5/8"),((база!$J$6*Таблица1[[#This Row],[сумма]]*Таблица1[[#This Row],[коэф]])),
IF((G718="4/8"),((база!$J$5*Таблица1[[#This Row],[сумма]]*Таблица1[[#This Row],[коэф]])),
IF(OR(G718="3/8",G718="2/8"),((база!$J$4*Таблица1[[#This Row],[сумма]]*Таблица1[[#This Row],[коэф]])))))))))))))),
(IF((G718="5/24"),((база!$M$6*Таблица1[[#This Row],[сумма]]*Таблица1[[#This Row],[коэф]])),
IF(OR(G718="4/24",G718="3/24"),((база!$M$5*Таблица1[[#This Row],[сумма]]*Таблица1[[#This Row],[коэф]])),
IF((G718="5/16"),((база!$L$6*Таблица1[[#This Row],[сумма]]*Таблица1[[#This Row],[коэф]])),
IF(OR(G718="4/16",G718="3/16"),((база!$L$5*Таблица1[[#This Row],[сумма]]*Таблица1[[#This Row],[коэф]])),
IF(OR(G718="2/4",G718="3/4",G718="4/4"),((база!$I$5*Таблица1[[#This Row],[сумма]]*Таблица1[[#This Row],[коэф]])),
IF((G718="5/8"),((база!$J$6*Таблица1[[#This Row],[сумма]]*Таблица1[[#This Row],[коэф]])),
IF(OR(G718="4/8",G718="3/8",G718="2/8"),((база!$J$5*Таблица1[[#This Row],[сумма]]*Таблица1[[#This Row],[коэф]])))))))))))</f>
        <v>0</v>
      </c>
      <c r="AP718" s="730" t="b">
        <f>IF(AR718&lt;=3,(IF((G718="5/24"),((база!$M$6*2*Таблица1[[#This Row],[Столбец1]]*Таблица1[[#This Row],[коэф]])),
IF((G718="4/24"),((база!$M$5*2*Таблица1[[#This Row],[Столбец1]]*Таблица1[[#This Row],[коэф]])),
IF((G718="3/24"),((база!$M$4*2*Таблица1[[#This Row],[Столбец1]]*Таблица1[[#This Row],[коэф]])),
IF((G718="5/16"),((база!$L$6*2*Таблица1[[#This Row],[Столбец1]]*Таблица1[[#This Row],[коэф]])),
IF((G718="4/16"),((база!$L$5*2*Таблица1[[#This Row],[Столбец1]]*Таблица1[[#This Row],[коэф]])),
IF((G718="3/16"),((база!$L$4*2*Таблица1[[#This Row],[Столбец1]]*Таблица1[[#This Row],[коэф]])),
IF((G718="4/4"),((база!$I$5*2*Таблица1[[#This Row],[Столбец1]]*Таблица1[[#This Row],[коэф]])),
IF(OR(G718="2/4",G718="3/4"),((база!$I$4*2*Таблица1[[#This Row],[Столбец1]]*Таблица1[[#This Row],[коэф]])),
IF((G718="5/8"),((база!$J$6*2*Таблица1[[#This Row],[Столбец1]]*Таблица1[[#This Row],[коэф]])),
IF((G718="4/8"),((база!$J$5*2*Таблица1[[#This Row],[Столбец1]]*Таблица1[[#This Row],[коэф]])),
IF(OR(G718="3/8",G718="2/8"),((база!$J$4*2*Таблица1[[#This Row],[Столбец1]]*Таблица1[[#This Row],[коэф]])))))))))))))),
(IF((G718="5/24"),((база!$M$6*2*Таблица1[[#This Row],[Столбец1]]*Таблица1[[#This Row],[коэф]])),
IF(OR(G718="4/24",G718="3/24"),((база!$M$5*2*Таблица1[[#This Row],[Столбец1]]*Таблица1[[#This Row],[коэф]])),
IF((G718="5/16"),((база!$L$6*2*Таблица1[[#This Row],[Столбец1]]*Таблица1[[#This Row],[коэф]])),
IF(OR(G718="4/16",G718="3/16"),((база!$L$5*2*Таблица1[[#This Row],[Столбец1]]*Таблица1[[#This Row],[коэф]])),
IF(OR(G718="2/4",G718="3/4",G718="4/4"),((база!$I$5*2*Таблица1[[#This Row],[Столбец1]]*Таблица1[[#This Row],[коэф]])),
IF((G718="5/8"),((база!$J$6*2*Таблица1[[#This Row],[Столбец1]]*Таблица1[[#This Row],[коэф]])),
IF(OR(G718="4/8",G718="3/8",G718="2/8"),((база!$J$5*2*Таблица1[[#This Row],[Столбец1]]*Таблица1[[#This Row],[коэф]])))))))))))</f>
        <v>0</v>
      </c>
      <c r="AQ718" s="712" t="str">
        <f>IFERROR(INDEX(база!T:T, MATCH(F718,база!Q:Q,0)),"")</f>
        <v/>
      </c>
      <c r="AR718" s="208" t="str">
        <f>IFERROR(INDEX(база!D:D, MATCH(F718,база!B:B,0)),"")</f>
        <v/>
      </c>
      <c r="AS718" s="758" t="str">
        <f>IFERROR(INDEX(база!E:E, MATCH(F718,база!B:B,0)),"")</f>
        <v/>
      </c>
    </row>
    <row r="719" spans="1:45" ht="15">
      <c r="A719" s="66" t="str">
        <f t="shared" si="8"/>
        <v>январь</v>
      </c>
      <c r="B719" s="231">
        <v>2024</v>
      </c>
      <c r="C719" s="299"/>
      <c r="D719" s="61"/>
      <c r="E719" s="211"/>
      <c r="F719" s="680"/>
      <c r="G719" s="47"/>
      <c r="H719" s="563"/>
      <c r="I719" s="563"/>
      <c r="J719" s="563"/>
      <c r="K719" s="563"/>
      <c r="L719" s="563"/>
      <c r="M719" s="563"/>
      <c r="N719" s="563"/>
      <c r="O719" s="563"/>
      <c r="P719" s="300"/>
      <c r="Q719" s="563"/>
      <c r="R719" s="563"/>
      <c r="S719" s="563"/>
      <c r="T719" s="563"/>
      <c r="U719" s="563"/>
      <c r="V719" s="563"/>
      <c r="W719" s="563"/>
      <c r="X719" s="563"/>
      <c r="Y719" s="563"/>
      <c r="Z719" s="563"/>
      <c r="AA719" s="563"/>
      <c r="AB719" s="563"/>
      <c r="AC719" s="563"/>
      <c r="AD719" s="48"/>
      <c r="AE719" s="48"/>
      <c r="AF719" s="258"/>
      <c r="AG719" s="48"/>
      <c r="AH719" s="48"/>
      <c r="AI719" s="258"/>
      <c r="AJ719" s="258"/>
      <c r="AK719" s="258"/>
      <c r="AL719" s="258"/>
      <c r="AM719" s="212">
        <f>IF(AQ719=1,SUM(Q719:T719,W719:Z719,AC719:AF719,AI719:AL719),
IF(AQ719=2,SUM(P719,S719:V719,Y719:AB719,AE719:AH719,AK719:AL719),
IF(AQ719=3,SUM(P719:R719,U719:X719,AA719:AD719,AG719:AJ719),SUM(Таблица1[[#This Row],[1]:[31]])-Таблица1[[#This Row],[Столбец1]])))</f>
        <v>0</v>
      </c>
      <c r="AN719" s="778">
        <f t="array" ref="AN719">IF(AQ719=1,SUM(P719,U719:V719,AA719:AB719,AG719:AH719),
IF(AQ719=2,SUM(Q719:R719,W719:X719,AC719:AD719,AI719:AJ719),
IF(AQ719=3,SUM(S719:T719,Y719:Z719,AE719:AF719,AK719:AL719),
SUM(IFERROR(WEEKDAY($H$2:$AL$2,2)&gt;5,)*H719:AL719))))+Таблица1[[#This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19" s="292" t="b">
        <f>IF(AR719&lt;=3,(IF((G719="5/24"),((база!$M$6*Таблица1[[#This Row],[сумма]]*Таблица1[[#This Row],[коэф]])),
IF((G719="4/24"),((база!$M$5*Таблица1[[#This Row],[сумма]]*Таблица1[[#This Row],[коэф]])),
IF((G719="3/24"),((база!$M$4*Таблица1[[#This Row],[сумма]]*Таблица1[[#This Row],[коэф]])),
IF((G719="5/16"),((база!$L$6*Таблица1[[#This Row],[сумма]]*Таблица1[[#This Row],[коэф]])),
IF((G719="4/16"),((база!$L$5*Таблица1[[#This Row],[сумма]]*Таблица1[[#This Row],[коэф]])),
IF((G719="3/16"),((база!$L$4*Таблица1[[#This Row],[сумма]]*Таблица1[[#This Row],[коэф]])),
IF((G719="4/4"),((база!$I$5*Таблица1[[#This Row],[сумма]]*Таблица1[[#This Row],[коэф]])),
IF(OR(G719="2/4",G719="3/4"),((база!$I$4*Таблица1[[#This Row],[сумма]]*Таблица1[[#This Row],[коэф]])),
IF((G719="5/8"),((база!$J$6*Таблица1[[#This Row],[сумма]]*Таблица1[[#This Row],[коэф]])),
IF((G719="4/8"),((база!$J$5*Таблица1[[#This Row],[сумма]]*Таблица1[[#This Row],[коэф]])),
IF(OR(G719="3/8",G719="2/8"),((база!$J$4*Таблица1[[#This Row],[сумма]]*Таблица1[[#This Row],[коэф]])))))))))))))),
(IF((G719="5/24"),((база!$M$6*Таблица1[[#This Row],[сумма]]*Таблица1[[#This Row],[коэф]])),
IF(OR(G719="4/24",G719="3/24"),((база!$M$5*Таблица1[[#This Row],[сумма]]*Таблица1[[#This Row],[коэф]])),
IF((G719="5/16"),((база!$L$6*Таблица1[[#This Row],[сумма]]*Таблица1[[#This Row],[коэф]])),
IF(OR(G719="4/16",G719="3/16"),((база!$L$5*Таблица1[[#This Row],[сумма]]*Таблица1[[#This Row],[коэф]])),
IF(OR(G719="2/4",G719="3/4",G719="4/4"),((база!$I$5*Таблица1[[#This Row],[сумма]]*Таблица1[[#This Row],[коэф]])),
IF((G719="5/8"),((база!$J$6*Таблица1[[#This Row],[сумма]]*Таблица1[[#This Row],[коэф]])),
IF(OR(G719="4/8",G719="3/8",G719="2/8"),((база!$J$5*Таблица1[[#This Row],[сумма]]*Таблица1[[#This Row],[коэф]])))))))))))</f>
        <v>0</v>
      </c>
      <c r="AP719" s="730" t="b">
        <f>IF(AR719&lt;=3,(IF((G719="5/24"),((база!$M$6*2*Таблица1[[#This Row],[Столбец1]]*Таблица1[[#This Row],[коэф]])),
IF((G719="4/24"),((база!$M$5*2*Таблица1[[#This Row],[Столбец1]]*Таблица1[[#This Row],[коэф]])),
IF((G719="3/24"),((база!$M$4*2*Таблица1[[#This Row],[Столбец1]]*Таблица1[[#This Row],[коэф]])),
IF((G719="5/16"),((база!$L$6*2*Таблица1[[#This Row],[Столбец1]]*Таблица1[[#This Row],[коэф]])),
IF((G719="4/16"),((база!$L$5*2*Таблица1[[#This Row],[Столбец1]]*Таблица1[[#This Row],[коэф]])),
IF((G719="3/16"),((база!$L$4*2*Таблица1[[#This Row],[Столбец1]]*Таблица1[[#This Row],[коэф]])),
IF((G719="4/4"),((база!$I$5*2*Таблица1[[#This Row],[Столбец1]]*Таблица1[[#This Row],[коэф]])),
IF(OR(G719="2/4",G719="3/4"),((база!$I$4*2*Таблица1[[#This Row],[Столбец1]]*Таблица1[[#This Row],[коэф]])),
IF((G719="5/8"),((база!$J$6*2*Таблица1[[#This Row],[Столбец1]]*Таблица1[[#This Row],[коэф]])),
IF((G719="4/8"),((база!$J$5*2*Таблица1[[#This Row],[Столбец1]]*Таблица1[[#This Row],[коэф]])),
IF(OR(G719="3/8",G719="2/8"),((база!$J$4*2*Таблица1[[#This Row],[Столбец1]]*Таблица1[[#This Row],[коэф]])))))))))))))),
(IF((G719="5/24"),((база!$M$6*2*Таблица1[[#This Row],[Столбец1]]*Таблица1[[#This Row],[коэф]])),
IF(OR(G719="4/24",G719="3/24"),((база!$M$5*2*Таблица1[[#This Row],[Столбец1]]*Таблица1[[#This Row],[коэф]])),
IF((G719="5/16"),((база!$L$6*2*Таблица1[[#This Row],[Столбец1]]*Таблица1[[#This Row],[коэф]])),
IF(OR(G719="4/16",G719="3/16"),((база!$L$5*2*Таблица1[[#This Row],[Столбец1]]*Таблица1[[#This Row],[коэф]])),
IF(OR(G719="2/4",G719="3/4",G719="4/4"),((база!$I$5*2*Таблица1[[#This Row],[Столбец1]]*Таблица1[[#This Row],[коэф]])),
IF((G719="5/8"),((база!$J$6*2*Таблица1[[#This Row],[Столбец1]]*Таблица1[[#This Row],[коэф]])),
IF(OR(G719="4/8",G719="3/8",G719="2/8"),((база!$J$5*2*Таблица1[[#This Row],[Столбец1]]*Таблица1[[#This Row],[коэф]])))))))))))</f>
        <v>0</v>
      </c>
      <c r="AQ719" s="712" t="str">
        <f>IFERROR(INDEX(база!T:T, MATCH(F719,база!Q:Q,0)),"")</f>
        <v/>
      </c>
      <c r="AR719" s="208" t="str">
        <f>IFERROR(INDEX(база!D:D, MATCH(F719,база!B:B,0)),"")</f>
        <v/>
      </c>
      <c r="AS719" s="758" t="str">
        <f>IFERROR(INDEX(база!E:E, MATCH(F719,база!B:B,0)),"")</f>
        <v/>
      </c>
    </row>
    <row r="720" spans="1:45" ht="15">
      <c r="A720" s="66" t="str">
        <f t="shared" si="8"/>
        <v>январь</v>
      </c>
      <c r="B720" s="231">
        <v>2024</v>
      </c>
      <c r="C720" s="299"/>
      <c r="D720" s="61"/>
      <c r="E720" s="211"/>
      <c r="F720" s="680"/>
      <c r="G720" s="47"/>
      <c r="H720" s="563"/>
      <c r="I720" s="563"/>
      <c r="J720" s="563"/>
      <c r="K720" s="563"/>
      <c r="L720" s="563"/>
      <c r="M720" s="563"/>
      <c r="N720" s="563"/>
      <c r="O720" s="563"/>
      <c r="P720" s="300"/>
      <c r="Q720" s="563"/>
      <c r="R720" s="563"/>
      <c r="S720" s="563"/>
      <c r="T720" s="563"/>
      <c r="U720" s="563"/>
      <c r="V720" s="563"/>
      <c r="W720" s="563"/>
      <c r="X720" s="563"/>
      <c r="Y720" s="563"/>
      <c r="Z720" s="563"/>
      <c r="AA720" s="563"/>
      <c r="AB720" s="563"/>
      <c r="AC720" s="563"/>
      <c r="AD720" s="48"/>
      <c r="AE720" s="48"/>
      <c r="AF720" s="258"/>
      <c r="AG720" s="48"/>
      <c r="AH720" s="48"/>
      <c r="AI720" s="48"/>
      <c r="AJ720" s="48"/>
      <c r="AK720" s="48"/>
      <c r="AL720" s="51"/>
      <c r="AM720" s="212">
        <f>IF(AQ720=1,SUM(Q720:T720,W720:Z720,AC720:AF720,AI720:AL720),
IF(AQ720=2,SUM(P720,S720:V720,Y720:AB720,AE720:AH720,AK720:AL720),
IF(AQ720=3,SUM(P720:R720,U720:X720,AA720:AD720,AG720:AJ720),SUM(Таблица1[[#This Row],[1]:[31]])-Таблица1[[#This Row],[Столбец1]])))</f>
        <v>0</v>
      </c>
      <c r="AN720" s="778">
        <f t="array" ref="AN720">IF(AQ720=1,SUM(P720,U720:V720,AA720:AB720,AG720:AH720),
IF(AQ720=2,SUM(Q720:R720,W720:X720,AC720:AD720,AI720:AJ720),
IF(AQ720=3,SUM(S720:T720,Y720:Z720,AE720:AF720,AK720:AL720),
SUM(IFERROR(WEEKDAY($H$2:$AL$2,2)&gt;5,)*H720:AL720))))+Таблица1[[#This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20" s="292" t="b">
        <f>IF(AR720&lt;=3,(IF((G720="5/24"),((база!$M$6*Таблица1[[#This Row],[сумма]]*Таблица1[[#This Row],[коэф]])),
IF((G720="4/24"),((база!$M$5*Таблица1[[#This Row],[сумма]]*Таблица1[[#This Row],[коэф]])),
IF((G720="3/24"),((база!$M$4*Таблица1[[#This Row],[сумма]]*Таблица1[[#This Row],[коэф]])),
IF((G720="5/16"),((база!$L$6*Таблица1[[#This Row],[сумма]]*Таблица1[[#This Row],[коэф]])),
IF((G720="4/16"),((база!$L$5*Таблица1[[#This Row],[сумма]]*Таблица1[[#This Row],[коэф]])),
IF((G720="3/16"),((база!$L$4*Таблица1[[#This Row],[сумма]]*Таблица1[[#This Row],[коэф]])),
IF((G720="4/4"),((база!$I$5*Таблица1[[#This Row],[сумма]]*Таблица1[[#This Row],[коэф]])),
IF(OR(G720="2/4",G720="3/4"),((база!$I$4*Таблица1[[#This Row],[сумма]]*Таблица1[[#This Row],[коэф]])),
IF((G720="5/8"),((база!$J$6*Таблица1[[#This Row],[сумма]]*Таблица1[[#This Row],[коэф]])),
IF((G720="4/8"),((база!$J$5*Таблица1[[#This Row],[сумма]]*Таблица1[[#This Row],[коэф]])),
IF(OR(G720="3/8",G720="2/8"),((база!$J$4*Таблица1[[#This Row],[сумма]]*Таблица1[[#This Row],[коэф]])))))))))))))),
(IF((G720="5/24"),((база!$M$6*Таблица1[[#This Row],[сумма]]*Таблица1[[#This Row],[коэф]])),
IF(OR(G720="4/24",G720="3/24"),((база!$M$5*Таблица1[[#This Row],[сумма]]*Таблица1[[#This Row],[коэф]])),
IF((G720="5/16"),((база!$L$6*Таблица1[[#This Row],[сумма]]*Таблица1[[#This Row],[коэф]])),
IF(OR(G720="4/16",G720="3/16"),((база!$L$5*Таблица1[[#This Row],[сумма]]*Таблица1[[#This Row],[коэф]])),
IF(OR(G720="2/4",G720="3/4",G720="4/4"),((база!$I$5*Таблица1[[#This Row],[сумма]]*Таблица1[[#This Row],[коэф]])),
IF((G720="5/8"),((база!$J$6*Таблица1[[#This Row],[сумма]]*Таблица1[[#This Row],[коэф]])),
IF(OR(G720="4/8",G720="3/8",G720="2/8"),((база!$J$5*Таблица1[[#This Row],[сумма]]*Таблица1[[#This Row],[коэф]])))))))))))</f>
        <v>0</v>
      </c>
      <c r="AP720" s="730" t="b">
        <f>IF(AR720&lt;=3,(IF((G720="5/24"),((база!$M$6*2*Таблица1[[#This Row],[Столбец1]]*Таблица1[[#This Row],[коэф]])),
IF((G720="4/24"),((база!$M$5*2*Таблица1[[#This Row],[Столбец1]]*Таблица1[[#This Row],[коэф]])),
IF((G720="3/24"),((база!$M$4*2*Таблица1[[#This Row],[Столбец1]]*Таблица1[[#This Row],[коэф]])),
IF((G720="5/16"),((база!$L$6*2*Таблица1[[#This Row],[Столбец1]]*Таблица1[[#This Row],[коэф]])),
IF((G720="4/16"),((база!$L$5*2*Таблица1[[#This Row],[Столбец1]]*Таблица1[[#This Row],[коэф]])),
IF((G720="3/16"),((база!$L$4*2*Таблица1[[#This Row],[Столбец1]]*Таблица1[[#This Row],[коэф]])),
IF((G720="4/4"),((база!$I$5*2*Таблица1[[#This Row],[Столбец1]]*Таблица1[[#This Row],[коэф]])),
IF(OR(G720="2/4",G720="3/4"),((база!$I$4*2*Таблица1[[#This Row],[Столбец1]]*Таблица1[[#This Row],[коэф]])),
IF((G720="5/8"),((база!$J$6*2*Таблица1[[#This Row],[Столбец1]]*Таблица1[[#This Row],[коэф]])),
IF((G720="4/8"),((база!$J$5*2*Таблица1[[#This Row],[Столбец1]]*Таблица1[[#This Row],[коэф]])),
IF(OR(G720="3/8",G720="2/8"),((база!$J$4*2*Таблица1[[#This Row],[Столбец1]]*Таблица1[[#This Row],[коэф]])))))))))))))),
(IF((G720="5/24"),((база!$M$6*2*Таблица1[[#This Row],[Столбец1]]*Таблица1[[#This Row],[коэф]])),
IF(OR(G720="4/24",G720="3/24"),((база!$M$5*2*Таблица1[[#This Row],[Столбец1]]*Таблица1[[#This Row],[коэф]])),
IF((G720="5/16"),((база!$L$6*2*Таблица1[[#This Row],[Столбец1]]*Таблица1[[#This Row],[коэф]])),
IF(OR(G720="4/16",G720="3/16"),((база!$L$5*2*Таблица1[[#This Row],[Столбец1]]*Таблица1[[#This Row],[коэф]])),
IF(OR(G720="2/4",G720="3/4",G720="4/4"),((база!$I$5*2*Таблица1[[#This Row],[Столбец1]]*Таблица1[[#This Row],[коэф]])),
IF((G720="5/8"),((база!$J$6*2*Таблица1[[#This Row],[Столбец1]]*Таблица1[[#This Row],[коэф]])),
IF(OR(G720="4/8",G720="3/8",G720="2/8"),((база!$J$5*2*Таблица1[[#This Row],[Столбец1]]*Таблица1[[#This Row],[коэф]])))))))))))</f>
        <v>0</v>
      </c>
      <c r="AQ720" s="712" t="str">
        <f>IFERROR(INDEX(база!T:T, MATCH(F720,база!Q:Q,0)),"")</f>
        <v/>
      </c>
      <c r="AR720" s="208" t="str">
        <f>IFERROR(INDEX(база!D:D, MATCH(F720,база!B:B,0)),"")</f>
        <v/>
      </c>
      <c r="AS720" s="758" t="str">
        <f>IFERROR(INDEX(база!E:E, MATCH(F720,база!B:B,0)),"")</f>
        <v/>
      </c>
    </row>
    <row r="721" spans="1:45" ht="15">
      <c r="A721" s="66" t="str">
        <f t="shared" ref="A721:A784" si="11">A720</f>
        <v>январь</v>
      </c>
      <c r="B721" s="231">
        <v>2024</v>
      </c>
      <c r="C721" s="299"/>
      <c r="D721" s="61"/>
      <c r="E721" s="211"/>
      <c r="F721" s="680"/>
      <c r="G721" s="47"/>
      <c r="H721" s="563"/>
      <c r="I721" s="563"/>
      <c r="J721" s="563"/>
      <c r="K721" s="563"/>
      <c r="L721" s="563"/>
      <c r="M721" s="563"/>
      <c r="N721" s="563"/>
      <c r="O721" s="563"/>
      <c r="P721" s="300"/>
      <c r="Q721" s="563"/>
      <c r="R721" s="563"/>
      <c r="S721" s="563"/>
      <c r="T721" s="563"/>
      <c r="U721" s="563"/>
      <c r="V721" s="563"/>
      <c r="W721" s="563"/>
      <c r="X721" s="563"/>
      <c r="Y721" s="563"/>
      <c r="Z721" s="563"/>
      <c r="AA721" s="563"/>
      <c r="AB721" s="563"/>
      <c r="AC721" s="563"/>
      <c r="AD721" s="48"/>
      <c r="AE721" s="48"/>
      <c r="AF721" s="258"/>
      <c r="AG721" s="48"/>
      <c r="AH721" s="48"/>
      <c r="AI721" s="258"/>
      <c r="AJ721" s="258"/>
      <c r="AK721" s="258"/>
      <c r="AL721" s="258"/>
      <c r="AM721" s="212">
        <f>IF(AQ721=1,SUM(Q721:T721,W721:Z721,AC721:AF721,AI721:AL721),
IF(AQ721=2,SUM(P721,S721:V721,Y721:AB721,AE721:AH721,AK721:AL721),
IF(AQ721=3,SUM(P721:R721,U721:X721,AA721:AD721,AG721:AJ721),SUM(Таблица1[[#This Row],[1]:[31]])-Таблица1[[#This Row],[Столбец1]])))</f>
        <v>0</v>
      </c>
      <c r="AN721" s="778">
        <f t="array" ref="AN721">IF(AQ721=1,SUM(P721,U721:V721,AA721:AB721,AG721:AH721),
IF(AQ721=2,SUM(Q721:R721,W721:X721,AC721:AD721,AI721:AJ721),
IF(AQ721=3,SUM(S721:T721,Y721:Z721,AE721:AF721,AK721:AL721),
SUM(IFERROR(WEEKDAY($H$2:$AL$2,2)&gt;5,)*H721:AL721))))+Таблица1[[#This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21" s="292" t="b">
        <f>IF(AR721&lt;=3,(IF((G721="5/24"),((база!$M$6*Таблица1[[#This Row],[сумма]]*Таблица1[[#This Row],[коэф]])),
IF((G721="4/24"),((база!$M$5*Таблица1[[#This Row],[сумма]]*Таблица1[[#This Row],[коэф]])),
IF((G721="3/24"),((база!$M$4*Таблица1[[#This Row],[сумма]]*Таблица1[[#This Row],[коэф]])),
IF((G721="5/16"),((база!$L$6*Таблица1[[#This Row],[сумма]]*Таблица1[[#This Row],[коэф]])),
IF((G721="4/16"),((база!$L$5*Таблица1[[#This Row],[сумма]]*Таблица1[[#This Row],[коэф]])),
IF((G721="3/16"),((база!$L$4*Таблица1[[#This Row],[сумма]]*Таблица1[[#This Row],[коэф]])),
IF((G721="4/4"),((база!$I$5*Таблица1[[#This Row],[сумма]]*Таблица1[[#This Row],[коэф]])),
IF(OR(G721="2/4",G721="3/4"),((база!$I$4*Таблица1[[#This Row],[сумма]]*Таблица1[[#This Row],[коэф]])),
IF((G721="5/8"),((база!$J$6*Таблица1[[#This Row],[сумма]]*Таблица1[[#This Row],[коэф]])),
IF((G721="4/8"),((база!$J$5*Таблица1[[#This Row],[сумма]]*Таблица1[[#This Row],[коэф]])),
IF(OR(G721="3/8",G721="2/8"),((база!$J$4*Таблица1[[#This Row],[сумма]]*Таблица1[[#This Row],[коэф]])))))))))))))),
(IF((G721="5/24"),((база!$M$6*Таблица1[[#This Row],[сумма]]*Таблица1[[#This Row],[коэф]])),
IF(OR(G721="4/24",G721="3/24"),((база!$M$5*Таблица1[[#This Row],[сумма]]*Таблица1[[#This Row],[коэф]])),
IF((G721="5/16"),((база!$L$6*Таблица1[[#This Row],[сумма]]*Таблица1[[#This Row],[коэф]])),
IF(OR(G721="4/16",G721="3/16"),((база!$L$5*Таблица1[[#This Row],[сумма]]*Таблица1[[#This Row],[коэф]])),
IF(OR(G721="2/4",G721="3/4",G721="4/4"),((база!$I$5*Таблица1[[#This Row],[сумма]]*Таблица1[[#This Row],[коэф]])),
IF((G721="5/8"),((база!$J$6*Таблица1[[#This Row],[сумма]]*Таблица1[[#This Row],[коэф]])),
IF(OR(G721="4/8",G721="3/8",G721="2/8"),((база!$J$5*Таблица1[[#This Row],[сумма]]*Таблица1[[#This Row],[коэф]])))))))))))</f>
        <v>0</v>
      </c>
      <c r="AP721" s="730" t="b">
        <f>IF(AR721&lt;=3,(IF((G721="5/24"),((база!$M$6*2*Таблица1[[#This Row],[Столбец1]]*Таблица1[[#This Row],[коэф]])),
IF((G721="4/24"),((база!$M$5*2*Таблица1[[#This Row],[Столбец1]]*Таблица1[[#This Row],[коэф]])),
IF((G721="3/24"),((база!$M$4*2*Таблица1[[#This Row],[Столбец1]]*Таблица1[[#This Row],[коэф]])),
IF((G721="5/16"),((база!$L$6*2*Таблица1[[#This Row],[Столбец1]]*Таблица1[[#This Row],[коэф]])),
IF((G721="4/16"),((база!$L$5*2*Таблица1[[#This Row],[Столбец1]]*Таблица1[[#This Row],[коэф]])),
IF((G721="3/16"),((база!$L$4*2*Таблица1[[#This Row],[Столбец1]]*Таблица1[[#This Row],[коэф]])),
IF((G721="4/4"),((база!$I$5*2*Таблица1[[#This Row],[Столбец1]]*Таблица1[[#This Row],[коэф]])),
IF(OR(G721="2/4",G721="3/4"),((база!$I$4*2*Таблица1[[#This Row],[Столбец1]]*Таблица1[[#This Row],[коэф]])),
IF((G721="5/8"),((база!$J$6*2*Таблица1[[#This Row],[Столбец1]]*Таблица1[[#This Row],[коэф]])),
IF((G721="4/8"),((база!$J$5*2*Таблица1[[#This Row],[Столбец1]]*Таблица1[[#This Row],[коэф]])),
IF(OR(G721="3/8",G721="2/8"),((база!$J$4*2*Таблица1[[#This Row],[Столбец1]]*Таблица1[[#This Row],[коэф]])))))))))))))),
(IF((G721="5/24"),((база!$M$6*2*Таблица1[[#This Row],[Столбец1]]*Таблица1[[#This Row],[коэф]])),
IF(OR(G721="4/24",G721="3/24"),((база!$M$5*2*Таблица1[[#This Row],[Столбец1]]*Таблица1[[#This Row],[коэф]])),
IF((G721="5/16"),((база!$L$6*2*Таблица1[[#This Row],[Столбец1]]*Таблица1[[#This Row],[коэф]])),
IF(OR(G721="4/16",G721="3/16"),((база!$L$5*2*Таблица1[[#This Row],[Столбец1]]*Таблица1[[#This Row],[коэф]])),
IF(OR(G721="2/4",G721="3/4",G721="4/4"),((база!$I$5*2*Таблица1[[#This Row],[Столбец1]]*Таблица1[[#This Row],[коэф]])),
IF((G721="5/8"),((база!$J$6*2*Таблица1[[#This Row],[Столбец1]]*Таблица1[[#This Row],[коэф]])),
IF(OR(G721="4/8",G721="3/8",G721="2/8"),((база!$J$5*2*Таблица1[[#This Row],[Столбец1]]*Таблица1[[#This Row],[коэф]])))))))))))</f>
        <v>0</v>
      </c>
      <c r="AQ721" s="712" t="str">
        <f>IFERROR(INDEX(база!T:T, MATCH(F721,база!Q:Q,0)),"")</f>
        <v/>
      </c>
      <c r="AR721" s="208" t="str">
        <f>IFERROR(INDEX(база!D:D, MATCH(F721,база!B:B,0)),"")</f>
        <v/>
      </c>
      <c r="AS721" s="758" t="str">
        <f>IFERROR(INDEX(база!E:E, MATCH(F721,база!B:B,0)),"")</f>
        <v/>
      </c>
    </row>
    <row r="722" spans="1:45" ht="15">
      <c r="A722" s="66" t="str">
        <f t="shared" si="11"/>
        <v>январь</v>
      </c>
      <c r="B722" s="231">
        <v>2024</v>
      </c>
      <c r="C722" s="299"/>
      <c r="D722" s="61"/>
      <c r="E722" s="211"/>
      <c r="F722" s="680"/>
      <c r="G722" s="47"/>
      <c r="H722" s="563"/>
      <c r="I722" s="563"/>
      <c r="J722" s="563"/>
      <c r="K722" s="563"/>
      <c r="L722" s="563"/>
      <c r="M722" s="563"/>
      <c r="N722" s="563"/>
      <c r="O722" s="563"/>
      <c r="P722" s="300"/>
      <c r="Q722" s="563"/>
      <c r="R722" s="563"/>
      <c r="S722" s="563"/>
      <c r="T722" s="563"/>
      <c r="U722" s="563"/>
      <c r="V722" s="563"/>
      <c r="W722" s="563"/>
      <c r="X722" s="563"/>
      <c r="Y722" s="563"/>
      <c r="Z722" s="563"/>
      <c r="AA722" s="563"/>
      <c r="AB722" s="563"/>
      <c r="AC722" s="563"/>
      <c r="AD722" s="48"/>
      <c r="AE722" s="48"/>
      <c r="AF722" s="258"/>
      <c r="AG722" s="48"/>
      <c r="AH722" s="48"/>
      <c r="AI722" s="48"/>
      <c r="AJ722" s="48"/>
      <c r="AK722" s="48"/>
      <c r="AL722" s="51"/>
      <c r="AM722" s="212">
        <f>IF(AQ722=1,SUM(Q722:T722,W722:Z722,AC722:AF722,AI722:AL722),
IF(AQ722=2,SUM(P722,S722:V722,Y722:AB722,AE722:AH722,AK722:AL722),
IF(AQ722=3,SUM(P722:R722,U722:X722,AA722:AD722,AG722:AJ722),SUM(Таблица1[[#This Row],[1]:[31]])-Таблица1[[#This Row],[Столбец1]])))</f>
        <v>0</v>
      </c>
      <c r="AN722" s="778">
        <f t="array" ref="AN722">IF(AQ722=1,SUM(P722,U722:V722,AA722:AB722,AG722:AH722),
IF(AQ722=2,SUM(Q722:R722,W722:X722,AC722:AD722,AI722:AJ722),
IF(AQ722=3,SUM(S722:T722,Y722:Z722,AE722:AF722,AK722:AL722),
SUM(IFERROR(WEEKDAY($H$2:$AL$2,2)&gt;5,)*H722:AL722))))+Таблица1[[#This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22" s="292" t="b">
        <f>IF(AR722&lt;=3,(IF((G722="5/24"),((база!$M$6*Таблица1[[#This Row],[сумма]]*Таблица1[[#This Row],[коэф]])),
IF((G722="4/24"),((база!$M$5*Таблица1[[#This Row],[сумма]]*Таблица1[[#This Row],[коэф]])),
IF((G722="3/24"),((база!$M$4*Таблица1[[#This Row],[сумма]]*Таблица1[[#This Row],[коэф]])),
IF((G722="5/16"),((база!$L$6*Таблица1[[#This Row],[сумма]]*Таблица1[[#This Row],[коэф]])),
IF((G722="4/16"),((база!$L$5*Таблица1[[#This Row],[сумма]]*Таблица1[[#This Row],[коэф]])),
IF((G722="3/16"),((база!$L$4*Таблица1[[#This Row],[сумма]]*Таблица1[[#This Row],[коэф]])),
IF((G722="4/4"),((база!$I$5*Таблица1[[#This Row],[сумма]]*Таблица1[[#This Row],[коэф]])),
IF(OR(G722="2/4",G722="3/4"),((база!$I$4*Таблица1[[#This Row],[сумма]]*Таблица1[[#This Row],[коэф]])),
IF((G722="5/8"),((база!$J$6*Таблица1[[#This Row],[сумма]]*Таблица1[[#This Row],[коэф]])),
IF((G722="4/8"),((база!$J$5*Таблица1[[#This Row],[сумма]]*Таблица1[[#This Row],[коэф]])),
IF(OR(G722="3/8",G722="2/8"),((база!$J$4*Таблица1[[#This Row],[сумма]]*Таблица1[[#This Row],[коэф]])))))))))))))),
(IF((G722="5/24"),((база!$M$6*Таблица1[[#This Row],[сумма]]*Таблица1[[#This Row],[коэф]])),
IF(OR(G722="4/24",G722="3/24"),((база!$M$5*Таблица1[[#This Row],[сумма]]*Таблица1[[#This Row],[коэф]])),
IF((G722="5/16"),((база!$L$6*Таблица1[[#This Row],[сумма]]*Таблица1[[#This Row],[коэф]])),
IF(OR(G722="4/16",G722="3/16"),((база!$L$5*Таблица1[[#This Row],[сумма]]*Таблица1[[#This Row],[коэф]])),
IF(OR(G722="2/4",G722="3/4",G722="4/4"),((база!$I$5*Таблица1[[#This Row],[сумма]]*Таблица1[[#This Row],[коэф]])),
IF((G722="5/8"),((база!$J$6*Таблица1[[#This Row],[сумма]]*Таблица1[[#This Row],[коэф]])),
IF(OR(G722="4/8",G722="3/8",G722="2/8"),((база!$J$5*Таблица1[[#This Row],[сумма]]*Таблица1[[#This Row],[коэф]])))))))))))</f>
        <v>0</v>
      </c>
      <c r="AP722" s="730" t="b">
        <f>IF(AR722&lt;=3,(IF((G722="5/24"),((база!$M$6*2*Таблица1[[#This Row],[Столбец1]]*Таблица1[[#This Row],[коэф]])),
IF((G722="4/24"),((база!$M$5*2*Таблица1[[#This Row],[Столбец1]]*Таблица1[[#This Row],[коэф]])),
IF((G722="3/24"),((база!$M$4*2*Таблица1[[#This Row],[Столбец1]]*Таблица1[[#This Row],[коэф]])),
IF((G722="5/16"),((база!$L$6*2*Таблица1[[#This Row],[Столбец1]]*Таблица1[[#This Row],[коэф]])),
IF((G722="4/16"),((база!$L$5*2*Таблица1[[#This Row],[Столбец1]]*Таблица1[[#This Row],[коэф]])),
IF((G722="3/16"),((база!$L$4*2*Таблица1[[#This Row],[Столбец1]]*Таблица1[[#This Row],[коэф]])),
IF((G722="4/4"),((база!$I$5*2*Таблица1[[#This Row],[Столбец1]]*Таблица1[[#This Row],[коэф]])),
IF(OR(G722="2/4",G722="3/4"),((база!$I$4*2*Таблица1[[#This Row],[Столбец1]]*Таблица1[[#This Row],[коэф]])),
IF((G722="5/8"),((база!$J$6*2*Таблица1[[#This Row],[Столбец1]]*Таблица1[[#This Row],[коэф]])),
IF((G722="4/8"),((база!$J$5*2*Таблица1[[#This Row],[Столбец1]]*Таблица1[[#This Row],[коэф]])),
IF(OR(G722="3/8",G722="2/8"),((база!$J$4*2*Таблица1[[#This Row],[Столбец1]]*Таблица1[[#This Row],[коэф]])))))))))))))),
(IF((G722="5/24"),((база!$M$6*2*Таблица1[[#This Row],[Столбец1]]*Таблица1[[#This Row],[коэф]])),
IF(OR(G722="4/24",G722="3/24"),((база!$M$5*2*Таблица1[[#This Row],[Столбец1]]*Таблица1[[#This Row],[коэф]])),
IF((G722="5/16"),((база!$L$6*2*Таблица1[[#This Row],[Столбец1]]*Таблица1[[#This Row],[коэф]])),
IF(OR(G722="4/16",G722="3/16"),((база!$L$5*2*Таблица1[[#This Row],[Столбец1]]*Таблица1[[#This Row],[коэф]])),
IF(OR(G722="2/4",G722="3/4",G722="4/4"),((база!$I$5*2*Таблица1[[#This Row],[Столбец1]]*Таблица1[[#This Row],[коэф]])),
IF((G722="5/8"),((база!$J$6*2*Таблица1[[#This Row],[Столбец1]]*Таблица1[[#This Row],[коэф]])),
IF(OR(G722="4/8",G722="3/8",G722="2/8"),((база!$J$5*2*Таблица1[[#This Row],[Столбец1]]*Таблица1[[#This Row],[коэф]])))))))))))</f>
        <v>0</v>
      </c>
      <c r="AQ722" s="712" t="str">
        <f>IFERROR(INDEX(база!T:T, MATCH(F722,база!Q:Q,0)),"")</f>
        <v/>
      </c>
      <c r="AR722" s="208" t="str">
        <f>IFERROR(INDEX(база!D:D, MATCH(F722,база!B:B,0)),"")</f>
        <v/>
      </c>
      <c r="AS722" s="758" t="str">
        <f>IFERROR(INDEX(база!E:E, MATCH(F722,база!B:B,0)),"")</f>
        <v/>
      </c>
    </row>
    <row r="723" spans="1:45" ht="15">
      <c r="A723" s="66" t="str">
        <f t="shared" si="11"/>
        <v>январь</v>
      </c>
      <c r="B723" s="231">
        <v>2024</v>
      </c>
      <c r="C723" s="299"/>
      <c r="D723" s="61"/>
      <c r="E723" s="211"/>
      <c r="F723" s="680"/>
      <c r="G723" s="47"/>
      <c r="H723" s="563"/>
      <c r="I723" s="563"/>
      <c r="J723" s="563"/>
      <c r="K723" s="563"/>
      <c r="L723" s="563"/>
      <c r="M723" s="563"/>
      <c r="N723" s="563"/>
      <c r="O723" s="563"/>
      <c r="P723" s="300"/>
      <c r="Q723" s="563"/>
      <c r="R723" s="563"/>
      <c r="S723" s="563"/>
      <c r="T723" s="563"/>
      <c r="U723" s="563"/>
      <c r="V723" s="563"/>
      <c r="W723" s="563"/>
      <c r="X723" s="563"/>
      <c r="Y723" s="563"/>
      <c r="Z723" s="563"/>
      <c r="AA723" s="563"/>
      <c r="AB723" s="563"/>
      <c r="AC723" s="563"/>
      <c r="AD723" s="48"/>
      <c r="AE723" s="48"/>
      <c r="AF723" s="258"/>
      <c r="AG723" s="48"/>
      <c r="AH723" s="48"/>
      <c r="AI723" s="258"/>
      <c r="AJ723" s="258"/>
      <c r="AK723" s="258"/>
      <c r="AL723" s="258"/>
      <c r="AM723" s="212">
        <f>IF(AQ723=1,SUM(Q723:T723,W723:Z723,AC723:AF723,AI723:AL723),
IF(AQ723=2,SUM(P723,S723:V723,Y723:AB723,AE723:AH723,AK723:AL723),
IF(AQ723=3,SUM(P723:R723,U723:X723,AA723:AD723,AG723:AJ723),SUM(Таблица1[[#This Row],[1]:[31]])-Таблица1[[#This Row],[Столбец1]])))</f>
        <v>0</v>
      </c>
      <c r="AN723" s="778">
        <f t="array" ref="AN723">IF(AQ723=1,SUM(P723,U723:V723,AA723:AB723,AG723:AH723),
IF(AQ723=2,SUM(Q723:R723,W723:X723,AC723:AD723,AI723:AJ723),
IF(AQ723=3,SUM(S723:T723,Y723:Z723,AE723:AF723,AK723:AL723),
SUM(IFERROR(WEEKDAY($H$2:$AL$2,2)&gt;5,)*H723:AL723))))+Таблица1[[#This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23" s="292" t="b">
        <f>IF(AR723&lt;=3,(IF((G723="5/24"),((база!$M$6*Таблица1[[#This Row],[сумма]]*Таблица1[[#This Row],[коэф]])),
IF((G723="4/24"),((база!$M$5*Таблица1[[#This Row],[сумма]]*Таблица1[[#This Row],[коэф]])),
IF((G723="3/24"),((база!$M$4*Таблица1[[#This Row],[сумма]]*Таблица1[[#This Row],[коэф]])),
IF((G723="5/16"),((база!$L$6*Таблица1[[#This Row],[сумма]]*Таблица1[[#This Row],[коэф]])),
IF((G723="4/16"),((база!$L$5*Таблица1[[#This Row],[сумма]]*Таблица1[[#This Row],[коэф]])),
IF((G723="3/16"),((база!$L$4*Таблица1[[#This Row],[сумма]]*Таблица1[[#This Row],[коэф]])),
IF((G723="4/4"),((база!$I$5*Таблица1[[#This Row],[сумма]]*Таблица1[[#This Row],[коэф]])),
IF(OR(G723="2/4",G723="3/4"),((база!$I$4*Таблица1[[#This Row],[сумма]]*Таблица1[[#This Row],[коэф]])),
IF((G723="5/8"),((база!$J$6*Таблица1[[#This Row],[сумма]]*Таблица1[[#This Row],[коэф]])),
IF((G723="4/8"),((база!$J$5*Таблица1[[#This Row],[сумма]]*Таблица1[[#This Row],[коэф]])),
IF(OR(G723="3/8",G723="2/8"),((база!$J$4*Таблица1[[#This Row],[сумма]]*Таблица1[[#This Row],[коэф]])))))))))))))),
(IF((G723="5/24"),((база!$M$6*Таблица1[[#This Row],[сумма]]*Таблица1[[#This Row],[коэф]])),
IF(OR(G723="4/24",G723="3/24"),((база!$M$5*Таблица1[[#This Row],[сумма]]*Таблица1[[#This Row],[коэф]])),
IF((G723="5/16"),((база!$L$6*Таблица1[[#This Row],[сумма]]*Таблица1[[#This Row],[коэф]])),
IF(OR(G723="4/16",G723="3/16"),((база!$L$5*Таблица1[[#This Row],[сумма]]*Таблица1[[#This Row],[коэф]])),
IF(OR(G723="2/4",G723="3/4",G723="4/4"),((база!$I$5*Таблица1[[#This Row],[сумма]]*Таблица1[[#This Row],[коэф]])),
IF((G723="5/8"),((база!$J$6*Таблица1[[#This Row],[сумма]]*Таблица1[[#This Row],[коэф]])),
IF(OR(G723="4/8",G723="3/8",G723="2/8"),((база!$J$5*Таблица1[[#This Row],[сумма]]*Таблица1[[#This Row],[коэф]])))))))))))</f>
        <v>0</v>
      </c>
      <c r="AP723" s="730" t="b">
        <f>IF(AR723&lt;=3,(IF((G723="5/24"),((база!$M$6*2*Таблица1[[#This Row],[Столбец1]]*Таблица1[[#This Row],[коэф]])),
IF((G723="4/24"),((база!$M$5*2*Таблица1[[#This Row],[Столбец1]]*Таблица1[[#This Row],[коэф]])),
IF((G723="3/24"),((база!$M$4*2*Таблица1[[#This Row],[Столбец1]]*Таблица1[[#This Row],[коэф]])),
IF((G723="5/16"),((база!$L$6*2*Таблица1[[#This Row],[Столбец1]]*Таблица1[[#This Row],[коэф]])),
IF((G723="4/16"),((база!$L$5*2*Таблица1[[#This Row],[Столбец1]]*Таблица1[[#This Row],[коэф]])),
IF((G723="3/16"),((база!$L$4*2*Таблица1[[#This Row],[Столбец1]]*Таблица1[[#This Row],[коэф]])),
IF((G723="4/4"),((база!$I$5*2*Таблица1[[#This Row],[Столбец1]]*Таблица1[[#This Row],[коэф]])),
IF(OR(G723="2/4",G723="3/4"),((база!$I$4*2*Таблица1[[#This Row],[Столбец1]]*Таблица1[[#This Row],[коэф]])),
IF((G723="5/8"),((база!$J$6*2*Таблица1[[#This Row],[Столбец1]]*Таблица1[[#This Row],[коэф]])),
IF((G723="4/8"),((база!$J$5*2*Таблица1[[#This Row],[Столбец1]]*Таблица1[[#This Row],[коэф]])),
IF(OR(G723="3/8",G723="2/8"),((база!$J$4*2*Таблица1[[#This Row],[Столбец1]]*Таблица1[[#This Row],[коэф]])))))))))))))),
(IF((G723="5/24"),((база!$M$6*2*Таблица1[[#This Row],[Столбец1]]*Таблица1[[#This Row],[коэф]])),
IF(OR(G723="4/24",G723="3/24"),((база!$M$5*2*Таблица1[[#This Row],[Столбец1]]*Таблица1[[#This Row],[коэф]])),
IF((G723="5/16"),((база!$L$6*2*Таблица1[[#This Row],[Столбец1]]*Таблица1[[#This Row],[коэф]])),
IF(OR(G723="4/16",G723="3/16"),((база!$L$5*2*Таблица1[[#This Row],[Столбец1]]*Таблица1[[#This Row],[коэф]])),
IF(OR(G723="2/4",G723="3/4",G723="4/4"),((база!$I$5*2*Таблица1[[#This Row],[Столбец1]]*Таблица1[[#This Row],[коэф]])),
IF((G723="5/8"),((база!$J$6*2*Таблица1[[#This Row],[Столбец1]]*Таблица1[[#This Row],[коэф]])),
IF(OR(G723="4/8",G723="3/8",G723="2/8"),((база!$J$5*2*Таблица1[[#This Row],[Столбец1]]*Таблица1[[#This Row],[коэф]])))))))))))</f>
        <v>0</v>
      </c>
      <c r="AQ723" s="712" t="str">
        <f>IFERROR(INDEX(база!T:T, MATCH(F723,база!Q:Q,0)),"")</f>
        <v/>
      </c>
      <c r="AR723" s="208" t="str">
        <f>IFERROR(INDEX(база!D:D, MATCH(F723,база!B:B,0)),"")</f>
        <v/>
      </c>
      <c r="AS723" s="758" t="str">
        <f>IFERROR(INDEX(база!E:E, MATCH(F723,база!B:B,0)),"")</f>
        <v/>
      </c>
    </row>
    <row r="724" spans="1:45" ht="15">
      <c r="A724" s="66" t="str">
        <f t="shared" si="11"/>
        <v>январь</v>
      </c>
      <c r="B724" s="231">
        <v>2024</v>
      </c>
      <c r="C724" s="299"/>
      <c r="D724" s="61"/>
      <c r="E724" s="211"/>
      <c r="F724" s="680"/>
      <c r="G724" s="47"/>
      <c r="H724" s="563"/>
      <c r="I724" s="563"/>
      <c r="J724" s="563"/>
      <c r="K724" s="563"/>
      <c r="L724" s="563"/>
      <c r="M724" s="563"/>
      <c r="N724" s="563"/>
      <c r="O724" s="563"/>
      <c r="P724" s="300"/>
      <c r="Q724" s="563"/>
      <c r="R724" s="563"/>
      <c r="S724" s="563"/>
      <c r="T724" s="563"/>
      <c r="U724" s="563"/>
      <c r="V724" s="563"/>
      <c r="W724" s="563"/>
      <c r="X724" s="563"/>
      <c r="Y724" s="563"/>
      <c r="Z724" s="563"/>
      <c r="AA724" s="563"/>
      <c r="AB724" s="563"/>
      <c r="AC724" s="563"/>
      <c r="AD724" s="48"/>
      <c r="AE724" s="48"/>
      <c r="AF724" s="258"/>
      <c r="AG724" s="48"/>
      <c r="AH724" s="48"/>
      <c r="AI724" s="48"/>
      <c r="AJ724" s="48"/>
      <c r="AK724" s="48"/>
      <c r="AL724" s="51"/>
      <c r="AM724" s="212">
        <f>IF(AQ724=1,SUM(Q724:T724,W724:Z724,AC724:AF724,AI724:AL724),
IF(AQ724=2,SUM(P724,S724:V724,Y724:AB724,AE724:AH724,AK724:AL724),
IF(AQ724=3,SUM(P724:R724,U724:X724,AA724:AD724,AG724:AJ724),SUM(Таблица1[[#This Row],[1]:[31]])-Таблица1[[#This Row],[Столбец1]])))</f>
        <v>0</v>
      </c>
      <c r="AN724" s="778">
        <f t="array" ref="AN724">IF(AQ724=1,SUM(P724,U724:V724,AA724:AB724,AG724:AH724),
IF(AQ724=2,SUM(Q724:R724,W724:X724,AC724:AD724,AI724:AJ724),
IF(AQ724=3,SUM(S724:T724,Y724:Z724,AE724:AF724,AK724:AL724),
SUM(IFERROR(WEEKDAY($H$2:$AL$2,2)&gt;5,)*H724:AL724))))+Таблица1[[#This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24" s="292" t="b">
        <f>IF(AR724&lt;=3,(IF((G724="5/24"),((база!$M$6*Таблица1[[#This Row],[сумма]]*Таблица1[[#This Row],[коэф]])),
IF((G724="4/24"),((база!$M$5*Таблица1[[#This Row],[сумма]]*Таблица1[[#This Row],[коэф]])),
IF((G724="3/24"),((база!$M$4*Таблица1[[#This Row],[сумма]]*Таблица1[[#This Row],[коэф]])),
IF((G724="5/16"),((база!$L$6*Таблица1[[#This Row],[сумма]]*Таблица1[[#This Row],[коэф]])),
IF((G724="4/16"),((база!$L$5*Таблица1[[#This Row],[сумма]]*Таблица1[[#This Row],[коэф]])),
IF((G724="3/16"),((база!$L$4*Таблица1[[#This Row],[сумма]]*Таблица1[[#This Row],[коэф]])),
IF((G724="4/4"),((база!$I$5*Таблица1[[#This Row],[сумма]]*Таблица1[[#This Row],[коэф]])),
IF(OR(G724="2/4",G724="3/4"),((база!$I$4*Таблица1[[#This Row],[сумма]]*Таблица1[[#This Row],[коэф]])),
IF((G724="5/8"),((база!$J$6*Таблица1[[#This Row],[сумма]]*Таблица1[[#This Row],[коэф]])),
IF((G724="4/8"),((база!$J$5*Таблица1[[#This Row],[сумма]]*Таблица1[[#This Row],[коэф]])),
IF(OR(G724="3/8",G724="2/8"),((база!$J$4*Таблица1[[#This Row],[сумма]]*Таблица1[[#This Row],[коэф]])))))))))))))),
(IF((G724="5/24"),((база!$M$6*Таблица1[[#This Row],[сумма]]*Таблица1[[#This Row],[коэф]])),
IF(OR(G724="4/24",G724="3/24"),((база!$M$5*Таблица1[[#This Row],[сумма]]*Таблица1[[#This Row],[коэф]])),
IF((G724="5/16"),((база!$L$6*Таблица1[[#This Row],[сумма]]*Таблица1[[#This Row],[коэф]])),
IF(OR(G724="4/16",G724="3/16"),((база!$L$5*Таблица1[[#This Row],[сумма]]*Таблица1[[#This Row],[коэф]])),
IF(OR(G724="2/4",G724="3/4",G724="4/4"),((база!$I$5*Таблица1[[#This Row],[сумма]]*Таблица1[[#This Row],[коэф]])),
IF((G724="5/8"),((база!$J$6*Таблица1[[#This Row],[сумма]]*Таблица1[[#This Row],[коэф]])),
IF(OR(G724="4/8",G724="3/8",G724="2/8"),((база!$J$5*Таблица1[[#This Row],[сумма]]*Таблица1[[#This Row],[коэф]])))))))))))</f>
        <v>0</v>
      </c>
      <c r="AP724" s="730" t="b">
        <f>IF(AR724&lt;=3,(IF((G724="5/24"),((база!$M$6*2*Таблица1[[#This Row],[Столбец1]]*Таблица1[[#This Row],[коэф]])),
IF((G724="4/24"),((база!$M$5*2*Таблица1[[#This Row],[Столбец1]]*Таблица1[[#This Row],[коэф]])),
IF((G724="3/24"),((база!$M$4*2*Таблица1[[#This Row],[Столбец1]]*Таблица1[[#This Row],[коэф]])),
IF((G724="5/16"),((база!$L$6*2*Таблица1[[#This Row],[Столбец1]]*Таблица1[[#This Row],[коэф]])),
IF((G724="4/16"),((база!$L$5*2*Таблица1[[#This Row],[Столбец1]]*Таблица1[[#This Row],[коэф]])),
IF((G724="3/16"),((база!$L$4*2*Таблица1[[#This Row],[Столбец1]]*Таблица1[[#This Row],[коэф]])),
IF((G724="4/4"),((база!$I$5*2*Таблица1[[#This Row],[Столбец1]]*Таблица1[[#This Row],[коэф]])),
IF(OR(G724="2/4",G724="3/4"),((база!$I$4*2*Таблица1[[#This Row],[Столбец1]]*Таблица1[[#This Row],[коэф]])),
IF((G724="5/8"),((база!$J$6*2*Таблица1[[#This Row],[Столбец1]]*Таблица1[[#This Row],[коэф]])),
IF((G724="4/8"),((база!$J$5*2*Таблица1[[#This Row],[Столбец1]]*Таблица1[[#This Row],[коэф]])),
IF(OR(G724="3/8",G724="2/8"),((база!$J$4*2*Таблица1[[#This Row],[Столбец1]]*Таблица1[[#This Row],[коэф]])))))))))))))),
(IF((G724="5/24"),((база!$M$6*2*Таблица1[[#This Row],[Столбец1]]*Таблица1[[#This Row],[коэф]])),
IF(OR(G724="4/24",G724="3/24"),((база!$M$5*2*Таблица1[[#This Row],[Столбец1]]*Таблица1[[#This Row],[коэф]])),
IF((G724="5/16"),((база!$L$6*2*Таблица1[[#This Row],[Столбец1]]*Таблица1[[#This Row],[коэф]])),
IF(OR(G724="4/16",G724="3/16"),((база!$L$5*2*Таблица1[[#This Row],[Столбец1]]*Таблица1[[#This Row],[коэф]])),
IF(OR(G724="2/4",G724="3/4",G724="4/4"),((база!$I$5*2*Таблица1[[#This Row],[Столбец1]]*Таблица1[[#This Row],[коэф]])),
IF((G724="5/8"),((база!$J$6*2*Таблица1[[#This Row],[Столбец1]]*Таблица1[[#This Row],[коэф]])),
IF(OR(G724="4/8",G724="3/8",G724="2/8"),((база!$J$5*2*Таблица1[[#This Row],[Столбец1]]*Таблица1[[#This Row],[коэф]])))))))))))</f>
        <v>0</v>
      </c>
      <c r="AQ724" s="712" t="str">
        <f>IFERROR(INDEX(база!T:T, MATCH(F724,база!Q:Q,0)),"")</f>
        <v/>
      </c>
      <c r="AR724" s="208" t="str">
        <f>IFERROR(INDEX(база!D:D, MATCH(F724,база!B:B,0)),"")</f>
        <v/>
      </c>
      <c r="AS724" s="758" t="str">
        <f>IFERROR(INDEX(база!E:E, MATCH(F724,база!B:B,0)),"")</f>
        <v/>
      </c>
    </row>
    <row r="725" spans="1:45" ht="15">
      <c r="A725" s="66" t="str">
        <f t="shared" si="11"/>
        <v>январь</v>
      </c>
      <c r="B725" s="231">
        <v>2024</v>
      </c>
      <c r="C725" s="299"/>
      <c r="D725" s="61"/>
      <c r="E725" s="211"/>
      <c r="F725" s="680"/>
      <c r="G725" s="47"/>
      <c r="H725" s="563"/>
      <c r="I725" s="563"/>
      <c r="J725" s="563"/>
      <c r="K725" s="563"/>
      <c r="L725" s="563"/>
      <c r="M725" s="563"/>
      <c r="N725" s="563"/>
      <c r="O725" s="563"/>
      <c r="P725" s="300"/>
      <c r="Q725" s="563"/>
      <c r="R725" s="563"/>
      <c r="S725" s="563"/>
      <c r="T725" s="563"/>
      <c r="U725" s="563"/>
      <c r="V725" s="563"/>
      <c r="W725" s="563"/>
      <c r="X725" s="563"/>
      <c r="Y725" s="563"/>
      <c r="Z725" s="563"/>
      <c r="AA725" s="563"/>
      <c r="AB725" s="563"/>
      <c r="AC725" s="563"/>
      <c r="AD725" s="48"/>
      <c r="AE725" s="48"/>
      <c r="AF725" s="258"/>
      <c r="AG725" s="48"/>
      <c r="AH725" s="48"/>
      <c r="AI725" s="258"/>
      <c r="AJ725" s="258"/>
      <c r="AK725" s="258"/>
      <c r="AL725" s="258"/>
      <c r="AM725" s="212">
        <f>IF(AQ725=1,SUM(Q725:T725,W725:Z725,AC725:AF725,AI725:AL725),
IF(AQ725=2,SUM(P725,S725:V725,Y725:AB725,AE725:AH725,AK725:AL725),
IF(AQ725=3,SUM(P725:R725,U725:X725,AA725:AD725,AG725:AJ725),SUM(Таблица1[[#This Row],[1]:[31]])-Таблица1[[#This Row],[Столбец1]])))</f>
        <v>0</v>
      </c>
      <c r="AN725" s="778">
        <f t="array" ref="AN725">IF(AQ725=1,SUM(P725,U725:V725,AA725:AB725,AG725:AH725),
IF(AQ725=2,SUM(Q725:R725,W725:X725,AC725:AD725,AI725:AJ725),
IF(AQ725=3,SUM(S725:T725,Y725:Z725,AE725:AF725,AK725:AL725),
SUM(IFERROR(WEEKDAY($H$2:$AL$2,2)&gt;5,)*H725:AL725))))+Таблица1[[#This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25" s="292" t="b">
        <f>IF(AR725&lt;=3,(IF((G725="5/24"),((база!$M$6*Таблица1[[#This Row],[сумма]]*Таблица1[[#This Row],[коэф]])),
IF((G725="4/24"),((база!$M$5*Таблица1[[#This Row],[сумма]]*Таблица1[[#This Row],[коэф]])),
IF((G725="3/24"),((база!$M$4*Таблица1[[#This Row],[сумма]]*Таблица1[[#This Row],[коэф]])),
IF((G725="5/16"),((база!$L$6*Таблица1[[#This Row],[сумма]]*Таблица1[[#This Row],[коэф]])),
IF((G725="4/16"),((база!$L$5*Таблица1[[#This Row],[сумма]]*Таблица1[[#This Row],[коэф]])),
IF((G725="3/16"),((база!$L$4*Таблица1[[#This Row],[сумма]]*Таблица1[[#This Row],[коэф]])),
IF((G725="4/4"),((база!$I$5*Таблица1[[#This Row],[сумма]]*Таблица1[[#This Row],[коэф]])),
IF(OR(G725="2/4",G725="3/4"),((база!$I$4*Таблица1[[#This Row],[сумма]]*Таблица1[[#This Row],[коэф]])),
IF((G725="5/8"),((база!$J$6*Таблица1[[#This Row],[сумма]]*Таблица1[[#This Row],[коэф]])),
IF((G725="4/8"),((база!$J$5*Таблица1[[#This Row],[сумма]]*Таблица1[[#This Row],[коэф]])),
IF(OR(G725="3/8",G725="2/8"),((база!$J$4*Таблица1[[#This Row],[сумма]]*Таблица1[[#This Row],[коэф]])))))))))))))),
(IF((G725="5/24"),((база!$M$6*Таблица1[[#This Row],[сумма]]*Таблица1[[#This Row],[коэф]])),
IF(OR(G725="4/24",G725="3/24"),((база!$M$5*Таблица1[[#This Row],[сумма]]*Таблица1[[#This Row],[коэф]])),
IF((G725="5/16"),((база!$L$6*Таблица1[[#This Row],[сумма]]*Таблица1[[#This Row],[коэф]])),
IF(OR(G725="4/16",G725="3/16"),((база!$L$5*Таблица1[[#This Row],[сумма]]*Таблица1[[#This Row],[коэф]])),
IF(OR(G725="2/4",G725="3/4",G725="4/4"),((база!$I$5*Таблица1[[#This Row],[сумма]]*Таблица1[[#This Row],[коэф]])),
IF((G725="5/8"),((база!$J$6*Таблица1[[#This Row],[сумма]]*Таблица1[[#This Row],[коэф]])),
IF(OR(G725="4/8",G725="3/8",G725="2/8"),((база!$J$5*Таблица1[[#This Row],[сумма]]*Таблица1[[#This Row],[коэф]])))))))))))</f>
        <v>0</v>
      </c>
      <c r="AP725" s="730" t="b">
        <f>IF(AR725&lt;=3,(IF((G725="5/24"),((база!$M$6*2*Таблица1[[#This Row],[Столбец1]]*Таблица1[[#This Row],[коэф]])),
IF((G725="4/24"),((база!$M$5*2*Таблица1[[#This Row],[Столбец1]]*Таблица1[[#This Row],[коэф]])),
IF((G725="3/24"),((база!$M$4*2*Таблица1[[#This Row],[Столбец1]]*Таблица1[[#This Row],[коэф]])),
IF((G725="5/16"),((база!$L$6*2*Таблица1[[#This Row],[Столбец1]]*Таблица1[[#This Row],[коэф]])),
IF((G725="4/16"),((база!$L$5*2*Таблица1[[#This Row],[Столбец1]]*Таблица1[[#This Row],[коэф]])),
IF((G725="3/16"),((база!$L$4*2*Таблица1[[#This Row],[Столбец1]]*Таблица1[[#This Row],[коэф]])),
IF((G725="4/4"),((база!$I$5*2*Таблица1[[#This Row],[Столбец1]]*Таблица1[[#This Row],[коэф]])),
IF(OR(G725="2/4",G725="3/4"),((база!$I$4*2*Таблица1[[#This Row],[Столбец1]]*Таблица1[[#This Row],[коэф]])),
IF((G725="5/8"),((база!$J$6*2*Таблица1[[#This Row],[Столбец1]]*Таблица1[[#This Row],[коэф]])),
IF((G725="4/8"),((база!$J$5*2*Таблица1[[#This Row],[Столбец1]]*Таблица1[[#This Row],[коэф]])),
IF(OR(G725="3/8",G725="2/8"),((база!$J$4*2*Таблица1[[#This Row],[Столбец1]]*Таблица1[[#This Row],[коэф]])))))))))))))),
(IF((G725="5/24"),((база!$M$6*2*Таблица1[[#This Row],[Столбец1]]*Таблица1[[#This Row],[коэф]])),
IF(OR(G725="4/24",G725="3/24"),((база!$M$5*2*Таблица1[[#This Row],[Столбец1]]*Таблица1[[#This Row],[коэф]])),
IF((G725="5/16"),((база!$L$6*2*Таблица1[[#This Row],[Столбец1]]*Таблица1[[#This Row],[коэф]])),
IF(OR(G725="4/16",G725="3/16"),((база!$L$5*2*Таблица1[[#This Row],[Столбец1]]*Таблица1[[#This Row],[коэф]])),
IF(OR(G725="2/4",G725="3/4",G725="4/4"),((база!$I$5*2*Таблица1[[#This Row],[Столбец1]]*Таблица1[[#This Row],[коэф]])),
IF((G725="5/8"),((база!$J$6*2*Таблица1[[#This Row],[Столбец1]]*Таблица1[[#This Row],[коэф]])),
IF(OR(G725="4/8",G725="3/8",G725="2/8"),((база!$J$5*2*Таблица1[[#This Row],[Столбец1]]*Таблица1[[#This Row],[коэф]])))))))))))</f>
        <v>0</v>
      </c>
      <c r="AQ725" s="712" t="str">
        <f>IFERROR(INDEX(база!T:T, MATCH(F725,база!Q:Q,0)),"")</f>
        <v/>
      </c>
      <c r="AR725" s="208" t="str">
        <f>IFERROR(INDEX(база!D:D, MATCH(F725,база!B:B,0)),"")</f>
        <v/>
      </c>
      <c r="AS725" s="758" t="str">
        <f>IFERROR(INDEX(база!E:E, MATCH(F725,база!B:B,0)),"")</f>
        <v/>
      </c>
    </row>
    <row r="726" spans="1:45" ht="15">
      <c r="A726" s="66" t="str">
        <f t="shared" si="11"/>
        <v>январь</v>
      </c>
      <c r="B726" s="231">
        <v>2024</v>
      </c>
      <c r="C726" s="299"/>
      <c r="D726" s="61"/>
      <c r="E726" s="211"/>
      <c r="F726" s="680"/>
      <c r="G726" s="47"/>
      <c r="H726" s="563"/>
      <c r="I726" s="563"/>
      <c r="J726" s="563"/>
      <c r="K726" s="563"/>
      <c r="L726" s="563"/>
      <c r="M726" s="563"/>
      <c r="N726" s="563"/>
      <c r="O726" s="563"/>
      <c r="P726" s="300"/>
      <c r="Q726" s="563"/>
      <c r="R726" s="563"/>
      <c r="S726" s="563"/>
      <c r="T726" s="563"/>
      <c r="U726" s="563"/>
      <c r="V726" s="563"/>
      <c r="W726" s="563"/>
      <c r="X726" s="563"/>
      <c r="Y726" s="563"/>
      <c r="Z726" s="563"/>
      <c r="AA726" s="563"/>
      <c r="AB726" s="563"/>
      <c r="AC726" s="563"/>
      <c r="AD726" s="48"/>
      <c r="AE726" s="48"/>
      <c r="AF726" s="258"/>
      <c r="AG726" s="48"/>
      <c r="AH726" s="48"/>
      <c r="AI726" s="48"/>
      <c r="AJ726" s="48"/>
      <c r="AK726" s="48"/>
      <c r="AL726" s="51"/>
      <c r="AM726" s="212">
        <f>IF(AQ726=1,SUM(Q726:T726,W726:Z726,AC726:AF726,AI726:AL726),
IF(AQ726=2,SUM(P726,S726:V726,Y726:AB726,AE726:AH726,AK726:AL726),
IF(AQ726=3,SUM(P726:R726,U726:X726,AA726:AD726,AG726:AJ726),SUM(Таблица1[[#This Row],[1]:[31]])-Таблица1[[#This Row],[Столбец1]])))</f>
        <v>0</v>
      </c>
      <c r="AN726" s="778">
        <f t="array" ref="AN726">IF(AQ726=1,SUM(P726,U726:V726,AA726:AB726,AG726:AH726),
IF(AQ726=2,SUM(Q726:R726,W726:X726,AC726:AD726,AI726:AJ726),
IF(AQ726=3,SUM(S726:T726,Y726:Z726,AE726:AF726,AK726:AL726),
SUM(IFERROR(WEEKDAY($H$2:$AL$2,2)&gt;5,)*H726:AL726))))+Таблица1[[#This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26" s="292" t="b">
        <f>IF(AR726&lt;=3,(IF((G726="5/24"),((база!$M$6*Таблица1[[#This Row],[сумма]]*Таблица1[[#This Row],[коэф]])),
IF((G726="4/24"),((база!$M$5*Таблица1[[#This Row],[сумма]]*Таблица1[[#This Row],[коэф]])),
IF((G726="3/24"),((база!$M$4*Таблица1[[#This Row],[сумма]]*Таблица1[[#This Row],[коэф]])),
IF((G726="5/16"),((база!$L$6*Таблица1[[#This Row],[сумма]]*Таблица1[[#This Row],[коэф]])),
IF((G726="4/16"),((база!$L$5*Таблица1[[#This Row],[сумма]]*Таблица1[[#This Row],[коэф]])),
IF((G726="3/16"),((база!$L$4*Таблица1[[#This Row],[сумма]]*Таблица1[[#This Row],[коэф]])),
IF((G726="4/4"),((база!$I$5*Таблица1[[#This Row],[сумма]]*Таблица1[[#This Row],[коэф]])),
IF(OR(G726="2/4",G726="3/4"),((база!$I$4*Таблица1[[#This Row],[сумма]]*Таблица1[[#This Row],[коэф]])),
IF((G726="5/8"),((база!$J$6*Таблица1[[#This Row],[сумма]]*Таблица1[[#This Row],[коэф]])),
IF((G726="4/8"),((база!$J$5*Таблица1[[#This Row],[сумма]]*Таблица1[[#This Row],[коэф]])),
IF(OR(G726="3/8",G726="2/8"),((база!$J$4*Таблица1[[#This Row],[сумма]]*Таблица1[[#This Row],[коэф]])))))))))))))),
(IF((G726="5/24"),((база!$M$6*Таблица1[[#This Row],[сумма]]*Таблица1[[#This Row],[коэф]])),
IF(OR(G726="4/24",G726="3/24"),((база!$M$5*Таблица1[[#This Row],[сумма]]*Таблица1[[#This Row],[коэф]])),
IF((G726="5/16"),((база!$L$6*Таблица1[[#This Row],[сумма]]*Таблица1[[#This Row],[коэф]])),
IF(OR(G726="4/16",G726="3/16"),((база!$L$5*Таблица1[[#This Row],[сумма]]*Таблица1[[#This Row],[коэф]])),
IF(OR(G726="2/4",G726="3/4",G726="4/4"),((база!$I$5*Таблица1[[#This Row],[сумма]]*Таблица1[[#This Row],[коэф]])),
IF((G726="5/8"),((база!$J$6*Таблица1[[#This Row],[сумма]]*Таблица1[[#This Row],[коэф]])),
IF(OR(G726="4/8",G726="3/8",G726="2/8"),((база!$J$5*Таблица1[[#This Row],[сумма]]*Таблица1[[#This Row],[коэф]])))))))))))</f>
        <v>0</v>
      </c>
      <c r="AP726" s="730" t="b">
        <f>IF(AR726&lt;=3,(IF((G726="5/24"),((база!$M$6*2*Таблица1[[#This Row],[Столбец1]]*Таблица1[[#This Row],[коэф]])),
IF((G726="4/24"),((база!$M$5*2*Таблица1[[#This Row],[Столбец1]]*Таблица1[[#This Row],[коэф]])),
IF((G726="3/24"),((база!$M$4*2*Таблица1[[#This Row],[Столбец1]]*Таблица1[[#This Row],[коэф]])),
IF((G726="5/16"),((база!$L$6*2*Таблица1[[#This Row],[Столбец1]]*Таблица1[[#This Row],[коэф]])),
IF((G726="4/16"),((база!$L$5*2*Таблица1[[#This Row],[Столбец1]]*Таблица1[[#This Row],[коэф]])),
IF((G726="3/16"),((база!$L$4*2*Таблица1[[#This Row],[Столбец1]]*Таблица1[[#This Row],[коэф]])),
IF((G726="4/4"),((база!$I$5*2*Таблица1[[#This Row],[Столбец1]]*Таблица1[[#This Row],[коэф]])),
IF(OR(G726="2/4",G726="3/4"),((база!$I$4*2*Таблица1[[#This Row],[Столбец1]]*Таблица1[[#This Row],[коэф]])),
IF((G726="5/8"),((база!$J$6*2*Таблица1[[#This Row],[Столбец1]]*Таблица1[[#This Row],[коэф]])),
IF((G726="4/8"),((база!$J$5*2*Таблица1[[#This Row],[Столбец1]]*Таблица1[[#This Row],[коэф]])),
IF(OR(G726="3/8",G726="2/8"),((база!$J$4*2*Таблица1[[#This Row],[Столбец1]]*Таблица1[[#This Row],[коэф]])))))))))))))),
(IF((G726="5/24"),((база!$M$6*2*Таблица1[[#This Row],[Столбец1]]*Таблица1[[#This Row],[коэф]])),
IF(OR(G726="4/24",G726="3/24"),((база!$M$5*2*Таблица1[[#This Row],[Столбец1]]*Таблица1[[#This Row],[коэф]])),
IF((G726="5/16"),((база!$L$6*2*Таблица1[[#This Row],[Столбец1]]*Таблица1[[#This Row],[коэф]])),
IF(OR(G726="4/16",G726="3/16"),((база!$L$5*2*Таблица1[[#This Row],[Столбец1]]*Таблица1[[#This Row],[коэф]])),
IF(OR(G726="2/4",G726="3/4",G726="4/4"),((база!$I$5*2*Таблица1[[#This Row],[Столбец1]]*Таблица1[[#This Row],[коэф]])),
IF((G726="5/8"),((база!$J$6*2*Таблица1[[#This Row],[Столбец1]]*Таблица1[[#This Row],[коэф]])),
IF(OR(G726="4/8",G726="3/8",G726="2/8"),((база!$J$5*2*Таблица1[[#This Row],[Столбец1]]*Таблица1[[#This Row],[коэф]])))))))))))</f>
        <v>0</v>
      </c>
      <c r="AQ726" s="712" t="str">
        <f>IFERROR(INDEX(база!T:T, MATCH(F726,база!Q:Q,0)),"")</f>
        <v/>
      </c>
      <c r="AR726" s="208" t="str">
        <f>IFERROR(INDEX(база!D:D, MATCH(F726,база!B:B,0)),"")</f>
        <v/>
      </c>
      <c r="AS726" s="758" t="str">
        <f>IFERROR(INDEX(база!E:E, MATCH(F726,база!B:B,0)),"")</f>
        <v/>
      </c>
    </row>
    <row r="727" spans="1:45" ht="15">
      <c r="A727" s="66" t="str">
        <f t="shared" si="11"/>
        <v>январь</v>
      </c>
      <c r="B727" s="231">
        <v>2024</v>
      </c>
      <c r="C727" s="299"/>
      <c r="D727" s="61"/>
      <c r="E727" s="211"/>
      <c r="F727" s="680"/>
      <c r="G727" s="47"/>
      <c r="H727" s="563"/>
      <c r="I727" s="563"/>
      <c r="J727" s="563"/>
      <c r="K727" s="563"/>
      <c r="L727" s="563"/>
      <c r="M727" s="563"/>
      <c r="N727" s="563"/>
      <c r="O727" s="563"/>
      <c r="P727" s="300"/>
      <c r="Q727" s="563"/>
      <c r="R727" s="563"/>
      <c r="S727" s="563"/>
      <c r="T727" s="563"/>
      <c r="U727" s="563"/>
      <c r="V727" s="563"/>
      <c r="W727" s="563"/>
      <c r="X727" s="563"/>
      <c r="Y727" s="563"/>
      <c r="Z727" s="563"/>
      <c r="AA727" s="563"/>
      <c r="AB727" s="563"/>
      <c r="AC727" s="563"/>
      <c r="AD727" s="48"/>
      <c r="AE727" s="48"/>
      <c r="AF727" s="258"/>
      <c r="AG727" s="48"/>
      <c r="AH727" s="48"/>
      <c r="AI727" s="258"/>
      <c r="AJ727" s="258"/>
      <c r="AK727" s="258"/>
      <c r="AL727" s="258"/>
      <c r="AM727" s="212">
        <f>IF(AQ727=1,SUM(Q727:T727,W727:Z727,AC727:AF727,AI727:AL727),
IF(AQ727=2,SUM(P727,S727:V727,Y727:AB727,AE727:AH727,AK727:AL727),
IF(AQ727=3,SUM(P727:R727,U727:X727,AA727:AD727,AG727:AJ727),SUM(Таблица1[[#This Row],[1]:[31]])-Таблица1[[#This Row],[Столбец1]])))</f>
        <v>0</v>
      </c>
      <c r="AN727" s="778">
        <f t="array" ref="AN727">IF(AQ727=1,SUM(P727,U727:V727,AA727:AB727,AG727:AH727),
IF(AQ727=2,SUM(Q727:R727,W727:X727,AC727:AD727,AI727:AJ727),
IF(AQ727=3,SUM(S727:T727,Y727:Z727,AE727:AF727,AK727:AL727),
SUM(IFERROR(WEEKDAY($H$2:$AL$2,2)&gt;5,)*H727:AL727))))+Таблица1[[#This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27" s="292" t="b">
        <f>IF(AR727&lt;=3,(IF((G727="5/24"),((база!$M$6*Таблица1[[#This Row],[сумма]]*Таблица1[[#This Row],[коэф]])),
IF((G727="4/24"),((база!$M$5*Таблица1[[#This Row],[сумма]]*Таблица1[[#This Row],[коэф]])),
IF((G727="3/24"),((база!$M$4*Таблица1[[#This Row],[сумма]]*Таблица1[[#This Row],[коэф]])),
IF((G727="5/16"),((база!$L$6*Таблица1[[#This Row],[сумма]]*Таблица1[[#This Row],[коэф]])),
IF((G727="4/16"),((база!$L$5*Таблица1[[#This Row],[сумма]]*Таблица1[[#This Row],[коэф]])),
IF((G727="3/16"),((база!$L$4*Таблица1[[#This Row],[сумма]]*Таблица1[[#This Row],[коэф]])),
IF((G727="4/4"),((база!$I$5*Таблица1[[#This Row],[сумма]]*Таблица1[[#This Row],[коэф]])),
IF(OR(G727="2/4",G727="3/4"),((база!$I$4*Таблица1[[#This Row],[сумма]]*Таблица1[[#This Row],[коэф]])),
IF((G727="5/8"),((база!$J$6*Таблица1[[#This Row],[сумма]]*Таблица1[[#This Row],[коэф]])),
IF((G727="4/8"),((база!$J$5*Таблица1[[#This Row],[сумма]]*Таблица1[[#This Row],[коэф]])),
IF(OR(G727="3/8",G727="2/8"),((база!$J$4*Таблица1[[#This Row],[сумма]]*Таблица1[[#This Row],[коэф]])))))))))))))),
(IF((G727="5/24"),((база!$M$6*Таблица1[[#This Row],[сумма]]*Таблица1[[#This Row],[коэф]])),
IF(OR(G727="4/24",G727="3/24"),((база!$M$5*Таблица1[[#This Row],[сумма]]*Таблица1[[#This Row],[коэф]])),
IF((G727="5/16"),((база!$L$6*Таблица1[[#This Row],[сумма]]*Таблица1[[#This Row],[коэф]])),
IF(OR(G727="4/16",G727="3/16"),((база!$L$5*Таблица1[[#This Row],[сумма]]*Таблица1[[#This Row],[коэф]])),
IF(OR(G727="2/4",G727="3/4",G727="4/4"),((база!$I$5*Таблица1[[#This Row],[сумма]]*Таблица1[[#This Row],[коэф]])),
IF((G727="5/8"),((база!$J$6*Таблица1[[#This Row],[сумма]]*Таблица1[[#This Row],[коэф]])),
IF(OR(G727="4/8",G727="3/8",G727="2/8"),((база!$J$5*Таблица1[[#This Row],[сумма]]*Таблица1[[#This Row],[коэф]])))))))))))</f>
        <v>0</v>
      </c>
      <c r="AP727" s="730" t="b">
        <f>IF(AR727&lt;=3,(IF((G727="5/24"),((база!$M$6*2*Таблица1[[#This Row],[Столбец1]]*Таблица1[[#This Row],[коэф]])),
IF((G727="4/24"),((база!$M$5*2*Таблица1[[#This Row],[Столбец1]]*Таблица1[[#This Row],[коэф]])),
IF((G727="3/24"),((база!$M$4*2*Таблица1[[#This Row],[Столбец1]]*Таблица1[[#This Row],[коэф]])),
IF((G727="5/16"),((база!$L$6*2*Таблица1[[#This Row],[Столбец1]]*Таблица1[[#This Row],[коэф]])),
IF((G727="4/16"),((база!$L$5*2*Таблица1[[#This Row],[Столбец1]]*Таблица1[[#This Row],[коэф]])),
IF((G727="3/16"),((база!$L$4*2*Таблица1[[#This Row],[Столбец1]]*Таблица1[[#This Row],[коэф]])),
IF((G727="4/4"),((база!$I$5*2*Таблица1[[#This Row],[Столбец1]]*Таблица1[[#This Row],[коэф]])),
IF(OR(G727="2/4",G727="3/4"),((база!$I$4*2*Таблица1[[#This Row],[Столбец1]]*Таблица1[[#This Row],[коэф]])),
IF((G727="5/8"),((база!$J$6*2*Таблица1[[#This Row],[Столбец1]]*Таблица1[[#This Row],[коэф]])),
IF((G727="4/8"),((база!$J$5*2*Таблица1[[#This Row],[Столбец1]]*Таблица1[[#This Row],[коэф]])),
IF(OR(G727="3/8",G727="2/8"),((база!$J$4*2*Таблица1[[#This Row],[Столбец1]]*Таблица1[[#This Row],[коэф]])))))))))))))),
(IF((G727="5/24"),((база!$M$6*2*Таблица1[[#This Row],[Столбец1]]*Таблица1[[#This Row],[коэф]])),
IF(OR(G727="4/24",G727="3/24"),((база!$M$5*2*Таблица1[[#This Row],[Столбец1]]*Таблица1[[#This Row],[коэф]])),
IF((G727="5/16"),((база!$L$6*2*Таблица1[[#This Row],[Столбец1]]*Таблица1[[#This Row],[коэф]])),
IF(OR(G727="4/16",G727="3/16"),((база!$L$5*2*Таблица1[[#This Row],[Столбец1]]*Таблица1[[#This Row],[коэф]])),
IF(OR(G727="2/4",G727="3/4",G727="4/4"),((база!$I$5*2*Таблица1[[#This Row],[Столбец1]]*Таблица1[[#This Row],[коэф]])),
IF((G727="5/8"),((база!$J$6*2*Таблица1[[#This Row],[Столбец1]]*Таблица1[[#This Row],[коэф]])),
IF(OR(G727="4/8",G727="3/8",G727="2/8"),((база!$J$5*2*Таблица1[[#This Row],[Столбец1]]*Таблица1[[#This Row],[коэф]])))))))))))</f>
        <v>0</v>
      </c>
      <c r="AQ727" s="712" t="str">
        <f>IFERROR(INDEX(база!T:T, MATCH(F727,база!Q:Q,0)),"")</f>
        <v/>
      </c>
      <c r="AR727" s="208" t="str">
        <f>IFERROR(INDEX(база!D:D, MATCH(F727,база!B:B,0)),"")</f>
        <v/>
      </c>
      <c r="AS727" s="758" t="str">
        <f>IFERROR(INDEX(база!E:E, MATCH(F727,база!B:B,0)),"")</f>
        <v/>
      </c>
    </row>
    <row r="728" spans="1:45" ht="15">
      <c r="A728" s="66" t="str">
        <f t="shared" si="11"/>
        <v>январь</v>
      </c>
      <c r="B728" s="231">
        <v>2024</v>
      </c>
      <c r="C728" s="299"/>
      <c r="D728" s="61"/>
      <c r="E728" s="211"/>
      <c r="F728" s="680"/>
      <c r="G728" s="47"/>
      <c r="H728" s="563"/>
      <c r="I728" s="563"/>
      <c r="J728" s="563"/>
      <c r="K728" s="563"/>
      <c r="L728" s="563"/>
      <c r="M728" s="563"/>
      <c r="N728" s="563"/>
      <c r="O728" s="563"/>
      <c r="P728" s="300"/>
      <c r="Q728" s="563"/>
      <c r="R728" s="563"/>
      <c r="S728" s="563"/>
      <c r="T728" s="563"/>
      <c r="U728" s="563"/>
      <c r="V728" s="563"/>
      <c r="W728" s="563"/>
      <c r="X728" s="563"/>
      <c r="Y728" s="563"/>
      <c r="Z728" s="563"/>
      <c r="AA728" s="563"/>
      <c r="AB728" s="563"/>
      <c r="AC728" s="563"/>
      <c r="AD728" s="48"/>
      <c r="AE728" s="48"/>
      <c r="AF728" s="258"/>
      <c r="AG728" s="48"/>
      <c r="AH728" s="48"/>
      <c r="AI728" s="48"/>
      <c r="AJ728" s="48"/>
      <c r="AK728" s="48"/>
      <c r="AL728" s="51"/>
      <c r="AM728" s="212">
        <f>IF(AQ728=1,SUM(Q728:T728,W728:Z728,AC728:AF728,AI728:AL728),
IF(AQ728=2,SUM(P728,S728:V728,Y728:AB728,AE728:AH728,AK728:AL728),
IF(AQ728=3,SUM(P728:R728,U728:X728,AA728:AD728,AG728:AJ728),SUM(Таблица1[[#This Row],[1]:[31]])-Таблица1[[#This Row],[Столбец1]])))</f>
        <v>0</v>
      </c>
      <c r="AN728" s="778">
        <f t="array" ref="AN728">IF(AQ728=1,SUM(P728,U728:V728,AA728:AB728,AG728:AH728),
IF(AQ728=2,SUM(Q728:R728,W728:X728,AC728:AD728,AI728:AJ728),
IF(AQ728=3,SUM(S728:T728,Y728:Z728,AE728:AF728,AK728:AL728),
SUM(IFERROR(WEEKDAY($H$2:$AL$2,2)&gt;5,)*H728:AL728))))+Таблица1[[#This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28" s="292" t="b">
        <f>IF(AR728&lt;=3,(IF((G728="5/24"),((база!$M$6*Таблица1[[#This Row],[сумма]]*Таблица1[[#This Row],[коэф]])),
IF((G728="4/24"),((база!$M$5*Таблица1[[#This Row],[сумма]]*Таблица1[[#This Row],[коэф]])),
IF((G728="3/24"),((база!$M$4*Таблица1[[#This Row],[сумма]]*Таблица1[[#This Row],[коэф]])),
IF((G728="5/16"),((база!$L$6*Таблица1[[#This Row],[сумма]]*Таблица1[[#This Row],[коэф]])),
IF((G728="4/16"),((база!$L$5*Таблица1[[#This Row],[сумма]]*Таблица1[[#This Row],[коэф]])),
IF((G728="3/16"),((база!$L$4*Таблица1[[#This Row],[сумма]]*Таблица1[[#This Row],[коэф]])),
IF((G728="4/4"),((база!$I$5*Таблица1[[#This Row],[сумма]]*Таблица1[[#This Row],[коэф]])),
IF(OR(G728="2/4",G728="3/4"),((база!$I$4*Таблица1[[#This Row],[сумма]]*Таблица1[[#This Row],[коэф]])),
IF((G728="5/8"),((база!$J$6*Таблица1[[#This Row],[сумма]]*Таблица1[[#This Row],[коэф]])),
IF((G728="4/8"),((база!$J$5*Таблица1[[#This Row],[сумма]]*Таблица1[[#This Row],[коэф]])),
IF(OR(G728="3/8",G728="2/8"),((база!$J$4*Таблица1[[#This Row],[сумма]]*Таблица1[[#This Row],[коэф]])))))))))))))),
(IF((G728="5/24"),((база!$M$6*Таблица1[[#This Row],[сумма]]*Таблица1[[#This Row],[коэф]])),
IF(OR(G728="4/24",G728="3/24"),((база!$M$5*Таблица1[[#This Row],[сумма]]*Таблица1[[#This Row],[коэф]])),
IF((G728="5/16"),((база!$L$6*Таблица1[[#This Row],[сумма]]*Таблица1[[#This Row],[коэф]])),
IF(OR(G728="4/16",G728="3/16"),((база!$L$5*Таблица1[[#This Row],[сумма]]*Таблица1[[#This Row],[коэф]])),
IF(OR(G728="2/4",G728="3/4",G728="4/4"),((база!$I$5*Таблица1[[#This Row],[сумма]]*Таблица1[[#This Row],[коэф]])),
IF((G728="5/8"),((база!$J$6*Таблица1[[#This Row],[сумма]]*Таблица1[[#This Row],[коэф]])),
IF(OR(G728="4/8",G728="3/8",G728="2/8"),((база!$J$5*Таблица1[[#This Row],[сумма]]*Таблица1[[#This Row],[коэф]])))))))))))</f>
        <v>0</v>
      </c>
      <c r="AP728" s="730" t="b">
        <f>IF(AR728&lt;=3,(IF((G728="5/24"),((база!$M$6*2*Таблица1[[#This Row],[Столбец1]]*Таблица1[[#This Row],[коэф]])),
IF((G728="4/24"),((база!$M$5*2*Таблица1[[#This Row],[Столбец1]]*Таблица1[[#This Row],[коэф]])),
IF((G728="3/24"),((база!$M$4*2*Таблица1[[#This Row],[Столбец1]]*Таблица1[[#This Row],[коэф]])),
IF((G728="5/16"),((база!$L$6*2*Таблица1[[#This Row],[Столбец1]]*Таблица1[[#This Row],[коэф]])),
IF((G728="4/16"),((база!$L$5*2*Таблица1[[#This Row],[Столбец1]]*Таблица1[[#This Row],[коэф]])),
IF((G728="3/16"),((база!$L$4*2*Таблица1[[#This Row],[Столбец1]]*Таблица1[[#This Row],[коэф]])),
IF((G728="4/4"),((база!$I$5*2*Таблица1[[#This Row],[Столбец1]]*Таблица1[[#This Row],[коэф]])),
IF(OR(G728="2/4",G728="3/4"),((база!$I$4*2*Таблица1[[#This Row],[Столбец1]]*Таблица1[[#This Row],[коэф]])),
IF((G728="5/8"),((база!$J$6*2*Таблица1[[#This Row],[Столбец1]]*Таблица1[[#This Row],[коэф]])),
IF((G728="4/8"),((база!$J$5*2*Таблица1[[#This Row],[Столбец1]]*Таблица1[[#This Row],[коэф]])),
IF(OR(G728="3/8",G728="2/8"),((база!$J$4*2*Таблица1[[#This Row],[Столбец1]]*Таблица1[[#This Row],[коэф]])))))))))))))),
(IF((G728="5/24"),((база!$M$6*2*Таблица1[[#This Row],[Столбец1]]*Таблица1[[#This Row],[коэф]])),
IF(OR(G728="4/24",G728="3/24"),((база!$M$5*2*Таблица1[[#This Row],[Столбец1]]*Таблица1[[#This Row],[коэф]])),
IF((G728="5/16"),((база!$L$6*2*Таблица1[[#This Row],[Столбец1]]*Таблица1[[#This Row],[коэф]])),
IF(OR(G728="4/16",G728="3/16"),((база!$L$5*2*Таблица1[[#This Row],[Столбец1]]*Таблица1[[#This Row],[коэф]])),
IF(OR(G728="2/4",G728="3/4",G728="4/4"),((база!$I$5*2*Таблица1[[#This Row],[Столбец1]]*Таблица1[[#This Row],[коэф]])),
IF((G728="5/8"),((база!$J$6*2*Таблица1[[#This Row],[Столбец1]]*Таблица1[[#This Row],[коэф]])),
IF(OR(G728="4/8",G728="3/8",G728="2/8"),((база!$J$5*2*Таблица1[[#This Row],[Столбец1]]*Таблица1[[#This Row],[коэф]])))))))))))</f>
        <v>0</v>
      </c>
      <c r="AQ728" s="712" t="str">
        <f>IFERROR(INDEX(база!T:T, MATCH(F728,база!Q:Q,0)),"")</f>
        <v/>
      </c>
      <c r="AR728" s="208" t="str">
        <f>IFERROR(INDEX(база!D:D, MATCH(F728,база!B:B,0)),"")</f>
        <v/>
      </c>
      <c r="AS728" s="758" t="str">
        <f>IFERROR(INDEX(база!E:E, MATCH(F728,база!B:B,0)),"")</f>
        <v/>
      </c>
    </row>
    <row r="729" spans="1:45" ht="15">
      <c r="A729" s="66" t="str">
        <f t="shared" si="11"/>
        <v>январь</v>
      </c>
      <c r="B729" s="231">
        <v>2024</v>
      </c>
      <c r="C729" s="299"/>
      <c r="D729" s="61"/>
      <c r="E729" s="211"/>
      <c r="F729" s="680"/>
      <c r="G729" s="47"/>
      <c r="H729" s="563"/>
      <c r="I729" s="563"/>
      <c r="J729" s="563"/>
      <c r="K729" s="563"/>
      <c r="L729" s="563"/>
      <c r="M729" s="563"/>
      <c r="N729" s="563"/>
      <c r="O729" s="563"/>
      <c r="P729" s="300"/>
      <c r="Q729" s="563"/>
      <c r="R729" s="563"/>
      <c r="S729" s="563"/>
      <c r="T729" s="563"/>
      <c r="U729" s="563"/>
      <c r="V729" s="563"/>
      <c r="W729" s="563"/>
      <c r="X729" s="563"/>
      <c r="Y729" s="563"/>
      <c r="Z729" s="563"/>
      <c r="AA729" s="563"/>
      <c r="AB729" s="563"/>
      <c r="AC729" s="563"/>
      <c r="AD729" s="48"/>
      <c r="AE729" s="48"/>
      <c r="AF729" s="258"/>
      <c r="AG729" s="48"/>
      <c r="AH729" s="48"/>
      <c r="AI729" s="258"/>
      <c r="AJ729" s="258"/>
      <c r="AK729" s="258"/>
      <c r="AL729" s="258"/>
      <c r="AM729" s="212">
        <f>IF(AQ729=1,SUM(Q729:T729,W729:Z729,AC729:AF729,AI729:AL729),
IF(AQ729=2,SUM(P729,S729:V729,Y729:AB729,AE729:AH729,AK729:AL729),
IF(AQ729=3,SUM(P729:R729,U729:X729,AA729:AD729,AG729:AJ729),SUM(Таблица1[[#This Row],[1]:[31]])-Таблица1[[#This Row],[Столбец1]])))</f>
        <v>0</v>
      </c>
      <c r="AN729" s="778">
        <f t="array" ref="AN729">IF(AQ729=1,SUM(P729,U729:V729,AA729:AB729,AG729:AH729),
IF(AQ729=2,SUM(Q729:R729,W729:X729,AC729:AD729,AI729:AJ729),
IF(AQ729=3,SUM(S729:T729,Y729:Z729,AE729:AF729,AK729:AL729),
SUM(IFERROR(WEEKDAY($H$2:$AL$2,2)&gt;5,)*H729:AL729))))+Таблица1[[#This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29" s="292" t="b">
        <f>IF(AR729&lt;=3,(IF((G729="5/24"),((база!$M$6*Таблица1[[#This Row],[сумма]]*Таблица1[[#This Row],[коэф]])),
IF((G729="4/24"),((база!$M$5*Таблица1[[#This Row],[сумма]]*Таблица1[[#This Row],[коэф]])),
IF((G729="3/24"),((база!$M$4*Таблица1[[#This Row],[сумма]]*Таблица1[[#This Row],[коэф]])),
IF((G729="5/16"),((база!$L$6*Таблица1[[#This Row],[сумма]]*Таблица1[[#This Row],[коэф]])),
IF((G729="4/16"),((база!$L$5*Таблица1[[#This Row],[сумма]]*Таблица1[[#This Row],[коэф]])),
IF((G729="3/16"),((база!$L$4*Таблица1[[#This Row],[сумма]]*Таблица1[[#This Row],[коэф]])),
IF((G729="4/4"),((база!$I$5*Таблица1[[#This Row],[сумма]]*Таблица1[[#This Row],[коэф]])),
IF(OR(G729="2/4",G729="3/4"),((база!$I$4*Таблица1[[#This Row],[сумма]]*Таблица1[[#This Row],[коэф]])),
IF((G729="5/8"),((база!$J$6*Таблица1[[#This Row],[сумма]]*Таблица1[[#This Row],[коэф]])),
IF((G729="4/8"),((база!$J$5*Таблица1[[#This Row],[сумма]]*Таблица1[[#This Row],[коэф]])),
IF(OR(G729="3/8",G729="2/8"),((база!$J$4*Таблица1[[#This Row],[сумма]]*Таблица1[[#This Row],[коэф]])))))))))))))),
(IF((G729="5/24"),((база!$M$6*Таблица1[[#This Row],[сумма]]*Таблица1[[#This Row],[коэф]])),
IF(OR(G729="4/24",G729="3/24"),((база!$M$5*Таблица1[[#This Row],[сумма]]*Таблица1[[#This Row],[коэф]])),
IF((G729="5/16"),((база!$L$6*Таблица1[[#This Row],[сумма]]*Таблица1[[#This Row],[коэф]])),
IF(OR(G729="4/16",G729="3/16"),((база!$L$5*Таблица1[[#This Row],[сумма]]*Таблица1[[#This Row],[коэф]])),
IF(OR(G729="2/4",G729="3/4",G729="4/4"),((база!$I$5*Таблица1[[#This Row],[сумма]]*Таблица1[[#This Row],[коэф]])),
IF((G729="5/8"),((база!$J$6*Таблица1[[#This Row],[сумма]]*Таблица1[[#This Row],[коэф]])),
IF(OR(G729="4/8",G729="3/8",G729="2/8"),((база!$J$5*Таблица1[[#This Row],[сумма]]*Таблица1[[#This Row],[коэф]])))))))))))</f>
        <v>0</v>
      </c>
      <c r="AP729" s="730" t="b">
        <f>IF(AR729&lt;=3,(IF((G729="5/24"),((база!$M$6*2*Таблица1[[#This Row],[Столбец1]]*Таблица1[[#This Row],[коэф]])),
IF((G729="4/24"),((база!$M$5*2*Таблица1[[#This Row],[Столбец1]]*Таблица1[[#This Row],[коэф]])),
IF((G729="3/24"),((база!$M$4*2*Таблица1[[#This Row],[Столбец1]]*Таблица1[[#This Row],[коэф]])),
IF((G729="5/16"),((база!$L$6*2*Таблица1[[#This Row],[Столбец1]]*Таблица1[[#This Row],[коэф]])),
IF((G729="4/16"),((база!$L$5*2*Таблица1[[#This Row],[Столбец1]]*Таблица1[[#This Row],[коэф]])),
IF((G729="3/16"),((база!$L$4*2*Таблица1[[#This Row],[Столбец1]]*Таблица1[[#This Row],[коэф]])),
IF((G729="4/4"),((база!$I$5*2*Таблица1[[#This Row],[Столбец1]]*Таблица1[[#This Row],[коэф]])),
IF(OR(G729="2/4",G729="3/4"),((база!$I$4*2*Таблица1[[#This Row],[Столбец1]]*Таблица1[[#This Row],[коэф]])),
IF((G729="5/8"),((база!$J$6*2*Таблица1[[#This Row],[Столбец1]]*Таблица1[[#This Row],[коэф]])),
IF((G729="4/8"),((база!$J$5*2*Таблица1[[#This Row],[Столбец1]]*Таблица1[[#This Row],[коэф]])),
IF(OR(G729="3/8",G729="2/8"),((база!$J$4*2*Таблица1[[#This Row],[Столбец1]]*Таблица1[[#This Row],[коэф]])))))))))))))),
(IF((G729="5/24"),((база!$M$6*2*Таблица1[[#This Row],[Столбец1]]*Таблица1[[#This Row],[коэф]])),
IF(OR(G729="4/24",G729="3/24"),((база!$M$5*2*Таблица1[[#This Row],[Столбец1]]*Таблица1[[#This Row],[коэф]])),
IF((G729="5/16"),((база!$L$6*2*Таблица1[[#This Row],[Столбец1]]*Таблица1[[#This Row],[коэф]])),
IF(OR(G729="4/16",G729="3/16"),((база!$L$5*2*Таблица1[[#This Row],[Столбец1]]*Таблица1[[#This Row],[коэф]])),
IF(OR(G729="2/4",G729="3/4",G729="4/4"),((база!$I$5*2*Таблица1[[#This Row],[Столбец1]]*Таблица1[[#This Row],[коэф]])),
IF((G729="5/8"),((база!$J$6*2*Таблица1[[#This Row],[Столбец1]]*Таблица1[[#This Row],[коэф]])),
IF(OR(G729="4/8",G729="3/8",G729="2/8"),((база!$J$5*2*Таблица1[[#This Row],[Столбец1]]*Таблица1[[#This Row],[коэф]])))))))))))</f>
        <v>0</v>
      </c>
      <c r="AQ729" s="712" t="str">
        <f>IFERROR(INDEX(база!T:T, MATCH(F729,база!Q:Q,0)),"")</f>
        <v/>
      </c>
      <c r="AR729" s="208" t="str">
        <f>IFERROR(INDEX(база!D:D, MATCH(F729,база!B:B,0)),"")</f>
        <v/>
      </c>
      <c r="AS729" s="758" t="str">
        <f>IFERROR(INDEX(база!E:E, MATCH(F729,база!B:B,0)),"")</f>
        <v/>
      </c>
    </row>
    <row r="730" spans="1:45" ht="15">
      <c r="A730" s="66" t="str">
        <f t="shared" si="11"/>
        <v>январь</v>
      </c>
      <c r="B730" s="231">
        <v>2024</v>
      </c>
      <c r="C730" s="299"/>
      <c r="D730" s="61"/>
      <c r="E730" s="211"/>
      <c r="F730" s="680"/>
      <c r="G730" s="47"/>
      <c r="H730" s="563"/>
      <c r="I730" s="563"/>
      <c r="J730" s="563"/>
      <c r="K730" s="563"/>
      <c r="L730" s="563"/>
      <c r="M730" s="563"/>
      <c r="N730" s="563"/>
      <c r="O730" s="563"/>
      <c r="P730" s="300"/>
      <c r="Q730" s="563"/>
      <c r="R730" s="563"/>
      <c r="S730" s="563"/>
      <c r="T730" s="563"/>
      <c r="U730" s="563"/>
      <c r="V730" s="563"/>
      <c r="W730" s="563"/>
      <c r="X730" s="563"/>
      <c r="Y730" s="563"/>
      <c r="Z730" s="563"/>
      <c r="AA730" s="563"/>
      <c r="AB730" s="563"/>
      <c r="AC730" s="563"/>
      <c r="AD730" s="48"/>
      <c r="AE730" s="48"/>
      <c r="AF730" s="258"/>
      <c r="AG730" s="48"/>
      <c r="AH730" s="48"/>
      <c r="AI730" s="48"/>
      <c r="AJ730" s="48"/>
      <c r="AK730" s="48"/>
      <c r="AL730" s="51"/>
      <c r="AM730" s="212">
        <f>IF(AQ730=1,SUM(Q730:T730,W730:Z730,AC730:AF730,AI730:AL730),
IF(AQ730=2,SUM(P730,S730:V730,Y730:AB730,AE730:AH730,AK730:AL730),
IF(AQ730=3,SUM(P730:R730,U730:X730,AA730:AD730,AG730:AJ730),SUM(Таблица1[[#This Row],[1]:[31]])-Таблица1[[#This Row],[Столбец1]])))</f>
        <v>0</v>
      </c>
      <c r="AN730" s="778">
        <f t="array" ref="AN730">IF(AQ730=1,SUM(P730,U730:V730,AA730:AB730,AG730:AH730),
IF(AQ730=2,SUM(Q730:R730,W730:X730,AC730:AD730,AI730:AJ730),
IF(AQ730=3,SUM(S730:T730,Y730:Z730,AE730:AF730,AK730:AL730),
SUM(IFERROR(WEEKDAY($H$2:$AL$2,2)&gt;5,)*H730:AL730))))+Таблица1[[#This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30" s="292" t="b">
        <f>IF(AR730&lt;=3,(IF((G730="5/24"),((база!$M$6*Таблица1[[#This Row],[сумма]]*Таблица1[[#This Row],[коэф]])),
IF((G730="4/24"),((база!$M$5*Таблица1[[#This Row],[сумма]]*Таблица1[[#This Row],[коэф]])),
IF((G730="3/24"),((база!$M$4*Таблица1[[#This Row],[сумма]]*Таблица1[[#This Row],[коэф]])),
IF((G730="5/16"),((база!$L$6*Таблица1[[#This Row],[сумма]]*Таблица1[[#This Row],[коэф]])),
IF((G730="4/16"),((база!$L$5*Таблица1[[#This Row],[сумма]]*Таблица1[[#This Row],[коэф]])),
IF((G730="3/16"),((база!$L$4*Таблица1[[#This Row],[сумма]]*Таблица1[[#This Row],[коэф]])),
IF((G730="4/4"),((база!$I$5*Таблица1[[#This Row],[сумма]]*Таблица1[[#This Row],[коэф]])),
IF(OR(G730="2/4",G730="3/4"),((база!$I$4*Таблица1[[#This Row],[сумма]]*Таблица1[[#This Row],[коэф]])),
IF((G730="5/8"),((база!$J$6*Таблица1[[#This Row],[сумма]]*Таблица1[[#This Row],[коэф]])),
IF((G730="4/8"),((база!$J$5*Таблица1[[#This Row],[сумма]]*Таблица1[[#This Row],[коэф]])),
IF(OR(G730="3/8",G730="2/8"),((база!$J$4*Таблица1[[#This Row],[сумма]]*Таблица1[[#This Row],[коэф]])))))))))))))),
(IF((G730="5/24"),((база!$M$6*Таблица1[[#This Row],[сумма]]*Таблица1[[#This Row],[коэф]])),
IF(OR(G730="4/24",G730="3/24"),((база!$M$5*Таблица1[[#This Row],[сумма]]*Таблица1[[#This Row],[коэф]])),
IF((G730="5/16"),((база!$L$6*Таблица1[[#This Row],[сумма]]*Таблица1[[#This Row],[коэф]])),
IF(OR(G730="4/16",G730="3/16"),((база!$L$5*Таблица1[[#This Row],[сумма]]*Таблица1[[#This Row],[коэф]])),
IF(OR(G730="2/4",G730="3/4",G730="4/4"),((база!$I$5*Таблица1[[#This Row],[сумма]]*Таблица1[[#This Row],[коэф]])),
IF((G730="5/8"),((база!$J$6*Таблица1[[#This Row],[сумма]]*Таблица1[[#This Row],[коэф]])),
IF(OR(G730="4/8",G730="3/8",G730="2/8"),((база!$J$5*Таблица1[[#This Row],[сумма]]*Таблица1[[#This Row],[коэф]])))))))))))</f>
        <v>0</v>
      </c>
      <c r="AP730" s="730" t="b">
        <f>IF(AR730&lt;=3,(IF((G730="5/24"),((база!$M$6*2*Таблица1[[#This Row],[Столбец1]]*Таблица1[[#This Row],[коэф]])),
IF((G730="4/24"),((база!$M$5*2*Таблица1[[#This Row],[Столбец1]]*Таблица1[[#This Row],[коэф]])),
IF((G730="3/24"),((база!$M$4*2*Таблица1[[#This Row],[Столбец1]]*Таблица1[[#This Row],[коэф]])),
IF((G730="5/16"),((база!$L$6*2*Таблица1[[#This Row],[Столбец1]]*Таблица1[[#This Row],[коэф]])),
IF((G730="4/16"),((база!$L$5*2*Таблица1[[#This Row],[Столбец1]]*Таблица1[[#This Row],[коэф]])),
IF((G730="3/16"),((база!$L$4*2*Таблица1[[#This Row],[Столбец1]]*Таблица1[[#This Row],[коэф]])),
IF((G730="4/4"),((база!$I$5*2*Таблица1[[#This Row],[Столбец1]]*Таблица1[[#This Row],[коэф]])),
IF(OR(G730="2/4",G730="3/4"),((база!$I$4*2*Таблица1[[#This Row],[Столбец1]]*Таблица1[[#This Row],[коэф]])),
IF((G730="5/8"),((база!$J$6*2*Таблица1[[#This Row],[Столбец1]]*Таблица1[[#This Row],[коэф]])),
IF((G730="4/8"),((база!$J$5*2*Таблица1[[#This Row],[Столбец1]]*Таблица1[[#This Row],[коэф]])),
IF(OR(G730="3/8",G730="2/8"),((база!$J$4*2*Таблица1[[#This Row],[Столбец1]]*Таблица1[[#This Row],[коэф]])))))))))))))),
(IF((G730="5/24"),((база!$M$6*2*Таблица1[[#This Row],[Столбец1]]*Таблица1[[#This Row],[коэф]])),
IF(OR(G730="4/24",G730="3/24"),((база!$M$5*2*Таблица1[[#This Row],[Столбец1]]*Таблица1[[#This Row],[коэф]])),
IF((G730="5/16"),((база!$L$6*2*Таблица1[[#This Row],[Столбец1]]*Таблица1[[#This Row],[коэф]])),
IF(OR(G730="4/16",G730="3/16"),((база!$L$5*2*Таблица1[[#This Row],[Столбец1]]*Таблица1[[#This Row],[коэф]])),
IF(OR(G730="2/4",G730="3/4",G730="4/4"),((база!$I$5*2*Таблица1[[#This Row],[Столбец1]]*Таблица1[[#This Row],[коэф]])),
IF((G730="5/8"),((база!$J$6*2*Таблица1[[#This Row],[Столбец1]]*Таблица1[[#This Row],[коэф]])),
IF(OR(G730="4/8",G730="3/8",G730="2/8"),((база!$J$5*2*Таблица1[[#This Row],[Столбец1]]*Таблица1[[#This Row],[коэф]])))))))))))</f>
        <v>0</v>
      </c>
      <c r="AQ730" s="712" t="str">
        <f>IFERROR(INDEX(база!T:T, MATCH(F730,база!Q:Q,0)),"")</f>
        <v/>
      </c>
      <c r="AR730" s="208" t="str">
        <f>IFERROR(INDEX(база!D:D, MATCH(F730,база!B:B,0)),"")</f>
        <v/>
      </c>
      <c r="AS730" s="758" t="str">
        <f>IFERROR(INDEX(база!E:E, MATCH(F730,база!B:B,0)),"")</f>
        <v/>
      </c>
    </row>
    <row r="731" spans="1:45" ht="15">
      <c r="A731" s="66" t="str">
        <f t="shared" si="11"/>
        <v>январь</v>
      </c>
      <c r="B731" s="231">
        <v>2024</v>
      </c>
      <c r="C731" s="299"/>
      <c r="D731" s="61"/>
      <c r="E731" s="211"/>
      <c r="F731" s="680"/>
      <c r="G731" s="47"/>
      <c r="H731" s="563"/>
      <c r="I731" s="563"/>
      <c r="J731" s="563"/>
      <c r="K731" s="563"/>
      <c r="L731" s="563"/>
      <c r="M731" s="563"/>
      <c r="N731" s="563"/>
      <c r="O731" s="563"/>
      <c r="P731" s="300"/>
      <c r="Q731" s="563"/>
      <c r="R731" s="563"/>
      <c r="S731" s="563"/>
      <c r="T731" s="563"/>
      <c r="U731" s="563"/>
      <c r="V731" s="563"/>
      <c r="W731" s="563"/>
      <c r="X731" s="563"/>
      <c r="Y731" s="563"/>
      <c r="Z731" s="563"/>
      <c r="AA731" s="563"/>
      <c r="AB731" s="563"/>
      <c r="AC731" s="563"/>
      <c r="AD731" s="48"/>
      <c r="AE731" s="48"/>
      <c r="AF731" s="258"/>
      <c r="AG731" s="48"/>
      <c r="AH731" s="48"/>
      <c r="AI731" s="258"/>
      <c r="AJ731" s="258"/>
      <c r="AK731" s="258"/>
      <c r="AL731" s="258"/>
      <c r="AM731" s="212">
        <f>IF(AQ731=1,SUM(Q731:T731,W731:Z731,AC731:AF731,AI731:AL731),
IF(AQ731=2,SUM(P731,S731:V731,Y731:AB731,AE731:AH731,AK731:AL731),
IF(AQ731=3,SUM(P731:R731,U731:X731,AA731:AD731,AG731:AJ731),SUM(Таблица1[[#This Row],[1]:[31]])-Таблица1[[#This Row],[Столбец1]])))</f>
        <v>0</v>
      </c>
      <c r="AN731" s="778">
        <f t="array" ref="AN731">IF(AQ731=1,SUM(P731,U731:V731,AA731:AB731,AG731:AH731),
IF(AQ731=2,SUM(Q731:R731,W731:X731,AC731:AD731,AI731:AJ731),
IF(AQ731=3,SUM(S731:T731,Y731:Z731,AE731:AF731,AK731:AL731),
SUM(IFERROR(WEEKDAY($H$2:$AL$2,2)&gt;5,)*H731:AL731))))+Таблица1[[#This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31" s="292" t="b">
        <f>IF(AR731&lt;=3,(IF((G731="5/24"),((база!$M$6*Таблица1[[#This Row],[сумма]]*Таблица1[[#This Row],[коэф]])),
IF((G731="4/24"),((база!$M$5*Таблица1[[#This Row],[сумма]]*Таблица1[[#This Row],[коэф]])),
IF((G731="3/24"),((база!$M$4*Таблица1[[#This Row],[сумма]]*Таблица1[[#This Row],[коэф]])),
IF((G731="5/16"),((база!$L$6*Таблица1[[#This Row],[сумма]]*Таблица1[[#This Row],[коэф]])),
IF((G731="4/16"),((база!$L$5*Таблица1[[#This Row],[сумма]]*Таблица1[[#This Row],[коэф]])),
IF((G731="3/16"),((база!$L$4*Таблица1[[#This Row],[сумма]]*Таблица1[[#This Row],[коэф]])),
IF((G731="4/4"),((база!$I$5*Таблица1[[#This Row],[сумма]]*Таблица1[[#This Row],[коэф]])),
IF(OR(G731="2/4",G731="3/4"),((база!$I$4*Таблица1[[#This Row],[сумма]]*Таблица1[[#This Row],[коэф]])),
IF((G731="5/8"),((база!$J$6*Таблица1[[#This Row],[сумма]]*Таблица1[[#This Row],[коэф]])),
IF((G731="4/8"),((база!$J$5*Таблица1[[#This Row],[сумма]]*Таблица1[[#This Row],[коэф]])),
IF(OR(G731="3/8",G731="2/8"),((база!$J$4*Таблица1[[#This Row],[сумма]]*Таблица1[[#This Row],[коэф]])))))))))))))),
(IF((G731="5/24"),((база!$M$6*Таблица1[[#This Row],[сумма]]*Таблица1[[#This Row],[коэф]])),
IF(OR(G731="4/24",G731="3/24"),((база!$M$5*Таблица1[[#This Row],[сумма]]*Таблица1[[#This Row],[коэф]])),
IF((G731="5/16"),((база!$L$6*Таблица1[[#This Row],[сумма]]*Таблица1[[#This Row],[коэф]])),
IF(OR(G731="4/16",G731="3/16"),((база!$L$5*Таблица1[[#This Row],[сумма]]*Таблица1[[#This Row],[коэф]])),
IF(OR(G731="2/4",G731="3/4",G731="4/4"),((база!$I$5*Таблица1[[#This Row],[сумма]]*Таблица1[[#This Row],[коэф]])),
IF((G731="5/8"),((база!$J$6*Таблица1[[#This Row],[сумма]]*Таблица1[[#This Row],[коэф]])),
IF(OR(G731="4/8",G731="3/8",G731="2/8"),((база!$J$5*Таблица1[[#This Row],[сумма]]*Таблица1[[#This Row],[коэф]])))))))))))</f>
        <v>0</v>
      </c>
      <c r="AP731" s="730" t="b">
        <f>IF(AR731&lt;=3,(IF((G731="5/24"),((база!$M$6*2*Таблица1[[#This Row],[Столбец1]]*Таблица1[[#This Row],[коэф]])),
IF((G731="4/24"),((база!$M$5*2*Таблица1[[#This Row],[Столбец1]]*Таблица1[[#This Row],[коэф]])),
IF((G731="3/24"),((база!$M$4*2*Таблица1[[#This Row],[Столбец1]]*Таблица1[[#This Row],[коэф]])),
IF((G731="5/16"),((база!$L$6*2*Таблица1[[#This Row],[Столбец1]]*Таблица1[[#This Row],[коэф]])),
IF((G731="4/16"),((база!$L$5*2*Таблица1[[#This Row],[Столбец1]]*Таблица1[[#This Row],[коэф]])),
IF((G731="3/16"),((база!$L$4*2*Таблица1[[#This Row],[Столбец1]]*Таблица1[[#This Row],[коэф]])),
IF((G731="4/4"),((база!$I$5*2*Таблица1[[#This Row],[Столбец1]]*Таблица1[[#This Row],[коэф]])),
IF(OR(G731="2/4",G731="3/4"),((база!$I$4*2*Таблица1[[#This Row],[Столбец1]]*Таблица1[[#This Row],[коэф]])),
IF((G731="5/8"),((база!$J$6*2*Таблица1[[#This Row],[Столбец1]]*Таблица1[[#This Row],[коэф]])),
IF((G731="4/8"),((база!$J$5*2*Таблица1[[#This Row],[Столбец1]]*Таблица1[[#This Row],[коэф]])),
IF(OR(G731="3/8",G731="2/8"),((база!$J$4*2*Таблица1[[#This Row],[Столбец1]]*Таблица1[[#This Row],[коэф]])))))))))))))),
(IF((G731="5/24"),((база!$M$6*2*Таблица1[[#This Row],[Столбец1]]*Таблица1[[#This Row],[коэф]])),
IF(OR(G731="4/24",G731="3/24"),((база!$M$5*2*Таблица1[[#This Row],[Столбец1]]*Таблица1[[#This Row],[коэф]])),
IF((G731="5/16"),((база!$L$6*2*Таблица1[[#This Row],[Столбец1]]*Таблица1[[#This Row],[коэф]])),
IF(OR(G731="4/16",G731="3/16"),((база!$L$5*2*Таблица1[[#This Row],[Столбец1]]*Таблица1[[#This Row],[коэф]])),
IF(OR(G731="2/4",G731="3/4",G731="4/4"),((база!$I$5*2*Таблица1[[#This Row],[Столбец1]]*Таблица1[[#This Row],[коэф]])),
IF((G731="5/8"),((база!$J$6*2*Таблица1[[#This Row],[Столбец1]]*Таблица1[[#This Row],[коэф]])),
IF(OR(G731="4/8",G731="3/8",G731="2/8"),((база!$J$5*2*Таблица1[[#This Row],[Столбец1]]*Таблица1[[#This Row],[коэф]])))))))))))</f>
        <v>0</v>
      </c>
      <c r="AQ731" s="712" t="str">
        <f>IFERROR(INDEX(база!T:T, MATCH(F731,база!Q:Q,0)),"")</f>
        <v/>
      </c>
      <c r="AR731" s="208" t="str">
        <f>IFERROR(INDEX(база!D:D, MATCH(F731,база!B:B,0)),"")</f>
        <v/>
      </c>
      <c r="AS731" s="758" t="str">
        <f>IFERROR(INDEX(база!E:E, MATCH(F731,база!B:B,0)),"")</f>
        <v/>
      </c>
    </row>
    <row r="732" spans="1:45" ht="15">
      <c r="A732" s="66" t="str">
        <f t="shared" si="11"/>
        <v>январь</v>
      </c>
      <c r="B732" s="231">
        <v>2024</v>
      </c>
      <c r="C732" s="299"/>
      <c r="D732" s="61"/>
      <c r="E732" s="211"/>
      <c r="F732" s="680"/>
      <c r="G732" s="47"/>
      <c r="H732" s="563"/>
      <c r="I732" s="563"/>
      <c r="J732" s="563"/>
      <c r="K732" s="563"/>
      <c r="L732" s="563"/>
      <c r="M732" s="563"/>
      <c r="N732" s="563"/>
      <c r="O732" s="563"/>
      <c r="P732" s="300"/>
      <c r="Q732" s="563"/>
      <c r="R732" s="563"/>
      <c r="S732" s="563"/>
      <c r="T732" s="563"/>
      <c r="U732" s="563"/>
      <c r="V732" s="563"/>
      <c r="W732" s="563"/>
      <c r="X732" s="563"/>
      <c r="Y732" s="563"/>
      <c r="Z732" s="563"/>
      <c r="AA732" s="563"/>
      <c r="AB732" s="563"/>
      <c r="AC732" s="563"/>
      <c r="AD732" s="48"/>
      <c r="AE732" s="48"/>
      <c r="AF732" s="258"/>
      <c r="AG732" s="48"/>
      <c r="AH732" s="48"/>
      <c r="AI732" s="48"/>
      <c r="AJ732" s="48"/>
      <c r="AK732" s="48"/>
      <c r="AL732" s="51"/>
      <c r="AM732" s="212">
        <f>IF(AQ732=1,SUM(Q732:T732,W732:Z732,AC732:AF732,AI732:AL732),
IF(AQ732=2,SUM(P732,S732:V732,Y732:AB732,AE732:AH732,AK732:AL732),
IF(AQ732=3,SUM(P732:R732,U732:X732,AA732:AD732,AG732:AJ732),SUM(Таблица1[[#This Row],[1]:[31]])-Таблица1[[#This Row],[Столбец1]])))</f>
        <v>0</v>
      </c>
      <c r="AN732" s="778">
        <f t="array" ref="AN732">IF(AQ732=1,SUM(P732,U732:V732,AA732:AB732,AG732:AH732),
IF(AQ732=2,SUM(Q732:R732,W732:X732,AC732:AD732,AI732:AJ732),
IF(AQ732=3,SUM(S732:T732,Y732:Z732,AE732:AF732,AK732:AL732),
SUM(IFERROR(WEEKDAY($H$2:$AL$2,2)&gt;5,)*H732:AL732))))+Таблица1[[#This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32" s="292" t="b">
        <f>IF(AR732&lt;=3,(IF((G732="5/24"),((база!$M$6*Таблица1[[#This Row],[сумма]]*Таблица1[[#This Row],[коэф]])),
IF((G732="4/24"),((база!$M$5*Таблица1[[#This Row],[сумма]]*Таблица1[[#This Row],[коэф]])),
IF((G732="3/24"),((база!$M$4*Таблица1[[#This Row],[сумма]]*Таблица1[[#This Row],[коэф]])),
IF((G732="5/16"),((база!$L$6*Таблица1[[#This Row],[сумма]]*Таблица1[[#This Row],[коэф]])),
IF((G732="4/16"),((база!$L$5*Таблица1[[#This Row],[сумма]]*Таблица1[[#This Row],[коэф]])),
IF((G732="3/16"),((база!$L$4*Таблица1[[#This Row],[сумма]]*Таблица1[[#This Row],[коэф]])),
IF((G732="4/4"),((база!$I$5*Таблица1[[#This Row],[сумма]]*Таблица1[[#This Row],[коэф]])),
IF(OR(G732="2/4",G732="3/4"),((база!$I$4*Таблица1[[#This Row],[сумма]]*Таблица1[[#This Row],[коэф]])),
IF((G732="5/8"),((база!$J$6*Таблица1[[#This Row],[сумма]]*Таблица1[[#This Row],[коэф]])),
IF((G732="4/8"),((база!$J$5*Таблица1[[#This Row],[сумма]]*Таблица1[[#This Row],[коэф]])),
IF(OR(G732="3/8",G732="2/8"),((база!$J$4*Таблица1[[#This Row],[сумма]]*Таблица1[[#This Row],[коэф]])))))))))))))),
(IF((G732="5/24"),((база!$M$6*Таблица1[[#This Row],[сумма]]*Таблица1[[#This Row],[коэф]])),
IF(OR(G732="4/24",G732="3/24"),((база!$M$5*Таблица1[[#This Row],[сумма]]*Таблица1[[#This Row],[коэф]])),
IF((G732="5/16"),((база!$L$6*Таблица1[[#This Row],[сумма]]*Таблица1[[#This Row],[коэф]])),
IF(OR(G732="4/16",G732="3/16"),((база!$L$5*Таблица1[[#This Row],[сумма]]*Таблица1[[#This Row],[коэф]])),
IF(OR(G732="2/4",G732="3/4",G732="4/4"),((база!$I$5*Таблица1[[#This Row],[сумма]]*Таблица1[[#This Row],[коэф]])),
IF((G732="5/8"),((база!$J$6*Таблица1[[#This Row],[сумма]]*Таблица1[[#This Row],[коэф]])),
IF(OR(G732="4/8",G732="3/8",G732="2/8"),((база!$J$5*Таблица1[[#This Row],[сумма]]*Таблица1[[#This Row],[коэф]])))))))))))</f>
        <v>0</v>
      </c>
      <c r="AP732" s="730" t="b">
        <f>IF(AR732&lt;=3,(IF((G732="5/24"),((база!$M$6*2*Таблица1[[#This Row],[Столбец1]]*Таблица1[[#This Row],[коэф]])),
IF((G732="4/24"),((база!$M$5*2*Таблица1[[#This Row],[Столбец1]]*Таблица1[[#This Row],[коэф]])),
IF((G732="3/24"),((база!$M$4*2*Таблица1[[#This Row],[Столбец1]]*Таблица1[[#This Row],[коэф]])),
IF((G732="5/16"),((база!$L$6*2*Таблица1[[#This Row],[Столбец1]]*Таблица1[[#This Row],[коэф]])),
IF((G732="4/16"),((база!$L$5*2*Таблица1[[#This Row],[Столбец1]]*Таблица1[[#This Row],[коэф]])),
IF((G732="3/16"),((база!$L$4*2*Таблица1[[#This Row],[Столбец1]]*Таблица1[[#This Row],[коэф]])),
IF((G732="4/4"),((база!$I$5*2*Таблица1[[#This Row],[Столбец1]]*Таблица1[[#This Row],[коэф]])),
IF(OR(G732="2/4",G732="3/4"),((база!$I$4*2*Таблица1[[#This Row],[Столбец1]]*Таблица1[[#This Row],[коэф]])),
IF((G732="5/8"),((база!$J$6*2*Таблица1[[#This Row],[Столбец1]]*Таблица1[[#This Row],[коэф]])),
IF((G732="4/8"),((база!$J$5*2*Таблица1[[#This Row],[Столбец1]]*Таблица1[[#This Row],[коэф]])),
IF(OR(G732="3/8",G732="2/8"),((база!$J$4*2*Таблица1[[#This Row],[Столбец1]]*Таблица1[[#This Row],[коэф]])))))))))))))),
(IF((G732="5/24"),((база!$M$6*2*Таблица1[[#This Row],[Столбец1]]*Таблица1[[#This Row],[коэф]])),
IF(OR(G732="4/24",G732="3/24"),((база!$M$5*2*Таблица1[[#This Row],[Столбец1]]*Таблица1[[#This Row],[коэф]])),
IF((G732="5/16"),((база!$L$6*2*Таблица1[[#This Row],[Столбец1]]*Таблица1[[#This Row],[коэф]])),
IF(OR(G732="4/16",G732="3/16"),((база!$L$5*2*Таблица1[[#This Row],[Столбец1]]*Таблица1[[#This Row],[коэф]])),
IF(OR(G732="2/4",G732="3/4",G732="4/4"),((база!$I$5*2*Таблица1[[#This Row],[Столбец1]]*Таблица1[[#This Row],[коэф]])),
IF((G732="5/8"),((база!$J$6*2*Таблица1[[#This Row],[Столбец1]]*Таблица1[[#This Row],[коэф]])),
IF(OR(G732="4/8",G732="3/8",G732="2/8"),((база!$J$5*2*Таблица1[[#This Row],[Столбец1]]*Таблица1[[#This Row],[коэф]])))))))))))</f>
        <v>0</v>
      </c>
      <c r="AQ732" s="712" t="str">
        <f>IFERROR(INDEX(база!T:T, MATCH(F732,база!Q:Q,0)),"")</f>
        <v/>
      </c>
      <c r="AR732" s="208" t="str">
        <f>IFERROR(INDEX(база!D:D, MATCH(F732,база!B:B,0)),"")</f>
        <v/>
      </c>
      <c r="AS732" s="758" t="str">
        <f>IFERROR(INDEX(база!E:E, MATCH(F732,база!B:B,0)),"")</f>
        <v/>
      </c>
    </row>
    <row r="733" spans="1:45" ht="15">
      <c r="A733" s="66" t="str">
        <f t="shared" si="11"/>
        <v>январь</v>
      </c>
      <c r="B733" s="231">
        <v>2024</v>
      </c>
      <c r="C733" s="299"/>
      <c r="D733" s="61"/>
      <c r="E733" s="211"/>
      <c r="F733" s="680"/>
      <c r="G733" s="47"/>
      <c r="H733" s="563"/>
      <c r="I733" s="563"/>
      <c r="J733" s="563"/>
      <c r="K733" s="563"/>
      <c r="L733" s="563"/>
      <c r="M733" s="563"/>
      <c r="N733" s="563"/>
      <c r="O733" s="563"/>
      <c r="P733" s="300"/>
      <c r="Q733" s="563"/>
      <c r="R733" s="563"/>
      <c r="S733" s="563"/>
      <c r="T733" s="563"/>
      <c r="U733" s="563"/>
      <c r="V733" s="563"/>
      <c r="W733" s="563"/>
      <c r="X733" s="563"/>
      <c r="Y733" s="563"/>
      <c r="Z733" s="563"/>
      <c r="AA733" s="563"/>
      <c r="AB733" s="563"/>
      <c r="AC733" s="563"/>
      <c r="AD733" s="48"/>
      <c r="AE733" s="48"/>
      <c r="AF733" s="258"/>
      <c r="AG733" s="48"/>
      <c r="AH733" s="48"/>
      <c r="AI733" s="258"/>
      <c r="AJ733" s="258"/>
      <c r="AK733" s="258"/>
      <c r="AL733" s="258"/>
      <c r="AM733" s="212">
        <f>IF(AQ733=1,SUM(Q733:T733,W733:Z733,AC733:AF733,AI733:AL733),
IF(AQ733=2,SUM(P733,S733:V733,Y733:AB733,AE733:AH733,AK733:AL733),
IF(AQ733=3,SUM(P733:R733,U733:X733,AA733:AD733,AG733:AJ733),SUM(Таблица1[[#This Row],[1]:[31]])-Таблица1[[#This Row],[Столбец1]])))</f>
        <v>0</v>
      </c>
      <c r="AN733" s="778">
        <f t="array" ref="AN733">IF(AQ733=1,SUM(P733,U733:V733,AA733:AB733,AG733:AH733),
IF(AQ733=2,SUM(Q733:R733,W733:X733,AC733:AD733,AI733:AJ733),
IF(AQ733=3,SUM(S733:T733,Y733:Z733,AE733:AF733,AK733:AL733),
SUM(IFERROR(WEEKDAY($H$2:$AL$2,2)&gt;5,)*H733:AL733))))+Таблица1[[#This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33" s="292" t="b">
        <f>IF(AR733&lt;=3,(IF((G733="5/24"),((база!$M$6*Таблица1[[#This Row],[сумма]]*Таблица1[[#This Row],[коэф]])),
IF((G733="4/24"),((база!$M$5*Таблица1[[#This Row],[сумма]]*Таблица1[[#This Row],[коэф]])),
IF((G733="3/24"),((база!$M$4*Таблица1[[#This Row],[сумма]]*Таблица1[[#This Row],[коэф]])),
IF((G733="5/16"),((база!$L$6*Таблица1[[#This Row],[сумма]]*Таблица1[[#This Row],[коэф]])),
IF((G733="4/16"),((база!$L$5*Таблица1[[#This Row],[сумма]]*Таблица1[[#This Row],[коэф]])),
IF((G733="3/16"),((база!$L$4*Таблица1[[#This Row],[сумма]]*Таблица1[[#This Row],[коэф]])),
IF((G733="4/4"),((база!$I$5*Таблица1[[#This Row],[сумма]]*Таблица1[[#This Row],[коэф]])),
IF(OR(G733="2/4",G733="3/4"),((база!$I$4*Таблица1[[#This Row],[сумма]]*Таблица1[[#This Row],[коэф]])),
IF((G733="5/8"),((база!$J$6*Таблица1[[#This Row],[сумма]]*Таблица1[[#This Row],[коэф]])),
IF((G733="4/8"),((база!$J$5*Таблица1[[#This Row],[сумма]]*Таблица1[[#This Row],[коэф]])),
IF(OR(G733="3/8",G733="2/8"),((база!$J$4*Таблица1[[#This Row],[сумма]]*Таблица1[[#This Row],[коэф]])))))))))))))),
(IF((G733="5/24"),((база!$M$6*Таблица1[[#This Row],[сумма]]*Таблица1[[#This Row],[коэф]])),
IF(OR(G733="4/24",G733="3/24"),((база!$M$5*Таблица1[[#This Row],[сумма]]*Таблица1[[#This Row],[коэф]])),
IF((G733="5/16"),((база!$L$6*Таблица1[[#This Row],[сумма]]*Таблица1[[#This Row],[коэф]])),
IF(OR(G733="4/16",G733="3/16"),((база!$L$5*Таблица1[[#This Row],[сумма]]*Таблица1[[#This Row],[коэф]])),
IF(OR(G733="2/4",G733="3/4",G733="4/4"),((база!$I$5*Таблица1[[#This Row],[сумма]]*Таблица1[[#This Row],[коэф]])),
IF((G733="5/8"),((база!$J$6*Таблица1[[#This Row],[сумма]]*Таблица1[[#This Row],[коэф]])),
IF(OR(G733="4/8",G733="3/8",G733="2/8"),((база!$J$5*Таблица1[[#This Row],[сумма]]*Таблица1[[#This Row],[коэф]])))))))))))</f>
        <v>0</v>
      </c>
      <c r="AP733" s="730" t="b">
        <f>IF(AR733&lt;=3,(IF((G733="5/24"),((база!$M$6*2*Таблица1[[#This Row],[Столбец1]]*Таблица1[[#This Row],[коэф]])),
IF((G733="4/24"),((база!$M$5*2*Таблица1[[#This Row],[Столбец1]]*Таблица1[[#This Row],[коэф]])),
IF((G733="3/24"),((база!$M$4*2*Таблица1[[#This Row],[Столбец1]]*Таблица1[[#This Row],[коэф]])),
IF((G733="5/16"),((база!$L$6*2*Таблица1[[#This Row],[Столбец1]]*Таблица1[[#This Row],[коэф]])),
IF((G733="4/16"),((база!$L$5*2*Таблица1[[#This Row],[Столбец1]]*Таблица1[[#This Row],[коэф]])),
IF((G733="3/16"),((база!$L$4*2*Таблица1[[#This Row],[Столбец1]]*Таблица1[[#This Row],[коэф]])),
IF((G733="4/4"),((база!$I$5*2*Таблица1[[#This Row],[Столбец1]]*Таблица1[[#This Row],[коэф]])),
IF(OR(G733="2/4",G733="3/4"),((база!$I$4*2*Таблица1[[#This Row],[Столбец1]]*Таблица1[[#This Row],[коэф]])),
IF((G733="5/8"),((база!$J$6*2*Таблица1[[#This Row],[Столбец1]]*Таблица1[[#This Row],[коэф]])),
IF((G733="4/8"),((база!$J$5*2*Таблица1[[#This Row],[Столбец1]]*Таблица1[[#This Row],[коэф]])),
IF(OR(G733="3/8",G733="2/8"),((база!$J$4*2*Таблица1[[#This Row],[Столбец1]]*Таблица1[[#This Row],[коэф]])))))))))))))),
(IF((G733="5/24"),((база!$M$6*2*Таблица1[[#This Row],[Столбец1]]*Таблица1[[#This Row],[коэф]])),
IF(OR(G733="4/24",G733="3/24"),((база!$M$5*2*Таблица1[[#This Row],[Столбец1]]*Таблица1[[#This Row],[коэф]])),
IF((G733="5/16"),((база!$L$6*2*Таблица1[[#This Row],[Столбец1]]*Таблица1[[#This Row],[коэф]])),
IF(OR(G733="4/16",G733="3/16"),((база!$L$5*2*Таблица1[[#This Row],[Столбец1]]*Таблица1[[#This Row],[коэф]])),
IF(OR(G733="2/4",G733="3/4",G733="4/4"),((база!$I$5*2*Таблица1[[#This Row],[Столбец1]]*Таблица1[[#This Row],[коэф]])),
IF((G733="5/8"),((база!$J$6*2*Таблица1[[#This Row],[Столбец1]]*Таблица1[[#This Row],[коэф]])),
IF(OR(G733="4/8",G733="3/8",G733="2/8"),((база!$J$5*2*Таблица1[[#This Row],[Столбец1]]*Таблица1[[#This Row],[коэф]])))))))))))</f>
        <v>0</v>
      </c>
      <c r="AQ733" s="712" t="str">
        <f>IFERROR(INDEX(база!T:T, MATCH(F733,база!Q:Q,0)),"")</f>
        <v/>
      </c>
      <c r="AR733" s="208" t="str">
        <f>IFERROR(INDEX(база!D:D, MATCH(F733,база!B:B,0)),"")</f>
        <v/>
      </c>
      <c r="AS733" s="758" t="str">
        <f>IFERROR(INDEX(база!E:E, MATCH(F733,база!B:B,0)),"")</f>
        <v/>
      </c>
    </row>
    <row r="734" spans="1:45" ht="15">
      <c r="A734" s="66" t="str">
        <f t="shared" si="11"/>
        <v>январь</v>
      </c>
      <c r="B734" s="231">
        <v>2024</v>
      </c>
      <c r="C734" s="299"/>
      <c r="D734" s="61"/>
      <c r="E734" s="211"/>
      <c r="F734" s="680"/>
      <c r="G734" s="47"/>
      <c r="H734" s="563"/>
      <c r="I734" s="563"/>
      <c r="J734" s="563"/>
      <c r="K734" s="563"/>
      <c r="L734" s="563"/>
      <c r="M734" s="563"/>
      <c r="N734" s="563"/>
      <c r="O734" s="563"/>
      <c r="P734" s="300"/>
      <c r="Q734" s="563"/>
      <c r="R734" s="563"/>
      <c r="S734" s="563"/>
      <c r="T734" s="563"/>
      <c r="U734" s="563"/>
      <c r="V734" s="563"/>
      <c r="W734" s="563"/>
      <c r="X734" s="563"/>
      <c r="Y734" s="563"/>
      <c r="Z734" s="563"/>
      <c r="AA734" s="563"/>
      <c r="AB734" s="563"/>
      <c r="AC734" s="563"/>
      <c r="AD734" s="48"/>
      <c r="AE734" s="48"/>
      <c r="AF734" s="258"/>
      <c r="AG734" s="48"/>
      <c r="AH734" s="48"/>
      <c r="AI734" s="48"/>
      <c r="AJ734" s="48"/>
      <c r="AK734" s="48"/>
      <c r="AL734" s="51"/>
      <c r="AM734" s="212">
        <f>IF(AQ734=1,SUM(Q734:T734,W734:Z734,AC734:AF734,AI734:AL734),
IF(AQ734=2,SUM(P734,S734:V734,Y734:AB734,AE734:AH734,AK734:AL734),
IF(AQ734=3,SUM(P734:R734,U734:X734,AA734:AD734,AG734:AJ734),SUM(Таблица1[[#This Row],[1]:[31]])-Таблица1[[#This Row],[Столбец1]])))</f>
        <v>0</v>
      </c>
      <c r="AN734" s="778">
        <f t="array" ref="AN734">IF(AQ734=1,SUM(P734,U734:V734,AA734:AB734,AG734:AH734),
IF(AQ734=2,SUM(Q734:R734,W734:X734,AC734:AD734,AI734:AJ734),
IF(AQ734=3,SUM(S734:T734,Y734:Z734,AE734:AF734,AK734:AL734),
SUM(IFERROR(WEEKDAY($H$2:$AL$2,2)&gt;5,)*H734:AL734))))+Таблица1[[#This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34" s="292" t="b">
        <f>IF(AR734&lt;=3,(IF((G734="5/24"),((база!$M$6*Таблица1[[#This Row],[сумма]]*Таблица1[[#This Row],[коэф]])),
IF((G734="4/24"),((база!$M$5*Таблица1[[#This Row],[сумма]]*Таблица1[[#This Row],[коэф]])),
IF((G734="3/24"),((база!$M$4*Таблица1[[#This Row],[сумма]]*Таблица1[[#This Row],[коэф]])),
IF((G734="5/16"),((база!$L$6*Таблица1[[#This Row],[сумма]]*Таблица1[[#This Row],[коэф]])),
IF((G734="4/16"),((база!$L$5*Таблица1[[#This Row],[сумма]]*Таблица1[[#This Row],[коэф]])),
IF((G734="3/16"),((база!$L$4*Таблица1[[#This Row],[сумма]]*Таблица1[[#This Row],[коэф]])),
IF((G734="4/4"),((база!$I$5*Таблица1[[#This Row],[сумма]]*Таблица1[[#This Row],[коэф]])),
IF(OR(G734="2/4",G734="3/4"),((база!$I$4*Таблица1[[#This Row],[сумма]]*Таблица1[[#This Row],[коэф]])),
IF((G734="5/8"),((база!$J$6*Таблица1[[#This Row],[сумма]]*Таблица1[[#This Row],[коэф]])),
IF((G734="4/8"),((база!$J$5*Таблица1[[#This Row],[сумма]]*Таблица1[[#This Row],[коэф]])),
IF(OR(G734="3/8",G734="2/8"),((база!$J$4*Таблица1[[#This Row],[сумма]]*Таблица1[[#This Row],[коэф]])))))))))))))),
(IF((G734="5/24"),((база!$M$6*Таблица1[[#This Row],[сумма]]*Таблица1[[#This Row],[коэф]])),
IF(OR(G734="4/24",G734="3/24"),((база!$M$5*Таблица1[[#This Row],[сумма]]*Таблица1[[#This Row],[коэф]])),
IF((G734="5/16"),((база!$L$6*Таблица1[[#This Row],[сумма]]*Таблица1[[#This Row],[коэф]])),
IF(OR(G734="4/16",G734="3/16"),((база!$L$5*Таблица1[[#This Row],[сумма]]*Таблица1[[#This Row],[коэф]])),
IF(OR(G734="2/4",G734="3/4",G734="4/4"),((база!$I$5*Таблица1[[#This Row],[сумма]]*Таблица1[[#This Row],[коэф]])),
IF((G734="5/8"),((база!$J$6*Таблица1[[#This Row],[сумма]]*Таблица1[[#This Row],[коэф]])),
IF(OR(G734="4/8",G734="3/8",G734="2/8"),((база!$J$5*Таблица1[[#This Row],[сумма]]*Таблица1[[#This Row],[коэф]])))))))))))</f>
        <v>0</v>
      </c>
      <c r="AP734" s="730" t="b">
        <f>IF(AR734&lt;=3,(IF((G734="5/24"),((база!$M$6*2*Таблица1[[#This Row],[Столбец1]]*Таблица1[[#This Row],[коэф]])),
IF((G734="4/24"),((база!$M$5*2*Таблица1[[#This Row],[Столбец1]]*Таблица1[[#This Row],[коэф]])),
IF((G734="3/24"),((база!$M$4*2*Таблица1[[#This Row],[Столбец1]]*Таблица1[[#This Row],[коэф]])),
IF((G734="5/16"),((база!$L$6*2*Таблица1[[#This Row],[Столбец1]]*Таблица1[[#This Row],[коэф]])),
IF((G734="4/16"),((база!$L$5*2*Таблица1[[#This Row],[Столбец1]]*Таблица1[[#This Row],[коэф]])),
IF((G734="3/16"),((база!$L$4*2*Таблица1[[#This Row],[Столбец1]]*Таблица1[[#This Row],[коэф]])),
IF((G734="4/4"),((база!$I$5*2*Таблица1[[#This Row],[Столбец1]]*Таблица1[[#This Row],[коэф]])),
IF(OR(G734="2/4",G734="3/4"),((база!$I$4*2*Таблица1[[#This Row],[Столбец1]]*Таблица1[[#This Row],[коэф]])),
IF((G734="5/8"),((база!$J$6*2*Таблица1[[#This Row],[Столбец1]]*Таблица1[[#This Row],[коэф]])),
IF((G734="4/8"),((база!$J$5*2*Таблица1[[#This Row],[Столбец1]]*Таблица1[[#This Row],[коэф]])),
IF(OR(G734="3/8",G734="2/8"),((база!$J$4*2*Таблица1[[#This Row],[Столбец1]]*Таблица1[[#This Row],[коэф]])))))))))))))),
(IF((G734="5/24"),((база!$M$6*2*Таблица1[[#This Row],[Столбец1]]*Таблица1[[#This Row],[коэф]])),
IF(OR(G734="4/24",G734="3/24"),((база!$M$5*2*Таблица1[[#This Row],[Столбец1]]*Таблица1[[#This Row],[коэф]])),
IF((G734="5/16"),((база!$L$6*2*Таблица1[[#This Row],[Столбец1]]*Таблица1[[#This Row],[коэф]])),
IF(OR(G734="4/16",G734="3/16"),((база!$L$5*2*Таблица1[[#This Row],[Столбец1]]*Таблица1[[#This Row],[коэф]])),
IF(OR(G734="2/4",G734="3/4",G734="4/4"),((база!$I$5*2*Таблица1[[#This Row],[Столбец1]]*Таблица1[[#This Row],[коэф]])),
IF((G734="5/8"),((база!$J$6*2*Таблица1[[#This Row],[Столбец1]]*Таблица1[[#This Row],[коэф]])),
IF(OR(G734="4/8",G734="3/8",G734="2/8"),((база!$J$5*2*Таблица1[[#This Row],[Столбец1]]*Таблица1[[#This Row],[коэф]])))))))))))</f>
        <v>0</v>
      </c>
      <c r="AQ734" s="712" t="str">
        <f>IFERROR(INDEX(база!T:T, MATCH(F734,база!Q:Q,0)),"")</f>
        <v/>
      </c>
      <c r="AR734" s="208" t="str">
        <f>IFERROR(INDEX(база!D:D, MATCH(F734,база!B:B,0)),"")</f>
        <v/>
      </c>
      <c r="AS734" s="758" t="str">
        <f>IFERROR(INDEX(база!E:E, MATCH(F734,база!B:B,0)),"")</f>
        <v/>
      </c>
    </row>
    <row r="735" spans="1:45" ht="15">
      <c r="A735" s="66" t="str">
        <f t="shared" si="11"/>
        <v>январь</v>
      </c>
      <c r="B735" s="231">
        <v>2024</v>
      </c>
      <c r="C735" s="299"/>
      <c r="D735" s="61"/>
      <c r="E735" s="211"/>
      <c r="F735" s="680"/>
      <c r="G735" s="47"/>
      <c r="H735" s="563"/>
      <c r="I735" s="563"/>
      <c r="J735" s="563"/>
      <c r="K735" s="563"/>
      <c r="L735" s="563"/>
      <c r="M735" s="563"/>
      <c r="N735" s="563"/>
      <c r="O735" s="563"/>
      <c r="P735" s="300"/>
      <c r="Q735" s="563"/>
      <c r="R735" s="563"/>
      <c r="S735" s="563"/>
      <c r="T735" s="563"/>
      <c r="U735" s="563"/>
      <c r="V735" s="563"/>
      <c r="W735" s="563"/>
      <c r="X735" s="563"/>
      <c r="Y735" s="563"/>
      <c r="Z735" s="563"/>
      <c r="AA735" s="563"/>
      <c r="AB735" s="563"/>
      <c r="AC735" s="563"/>
      <c r="AD735" s="48"/>
      <c r="AE735" s="48"/>
      <c r="AF735" s="258"/>
      <c r="AG735" s="48"/>
      <c r="AH735" s="48"/>
      <c r="AI735" s="258"/>
      <c r="AJ735" s="258"/>
      <c r="AK735" s="258"/>
      <c r="AL735" s="258"/>
      <c r="AM735" s="212">
        <f>IF(AQ735=1,SUM(Q735:T735,W735:Z735,AC735:AF735,AI735:AL735),
IF(AQ735=2,SUM(P735,S735:V735,Y735:AB735,AE735:AH735,AK735:AL735),
IF(AQ735=3,SUM(P735:R735,U735:X735,AA735:AD735,AG735:AJ735),SUM(Таблица1[[#This Row],[1]:[31]])-Таблица1[[#This Row],[Столбец1]])))</f>
        <v>0</v>
      </c>
      <c r="AN735" s="778">
        <f t="array" ref="AN735">IF(AQ735=1,SUM(P735,U735:V735,AA735:AB735,AG735:AH735),
IF(AQ735=2,SUM(Q735:R735,W735:X735,AC735:AD735,AI735:AJ735),
IF(AQ735=3,SUM(S735:T735,Y735:Z735,AE735:AF735,AK735:AL735),
SUM(IFERROR(WEEKDAY($H$2:$AL$2,2)&gt;5,)*H735:AL735))))+Таблица1[[#This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35" s="292" t="b">
        <f>IF(AR735&lt;=3,(IF((G735="5/24"),((база!$M$6*Таблица1[[#This Row],[сумма]]*Таблица1[[#This Row],[коэф]])),
IF((G735="4/24"),((база!$M$5*Таблица1[[#This Row],[сумма]]*Таблица1[[#This Row],[коэф]])),
IF((G735="3/24"),((база!$M$4*Таблица1[[#This Row],[сумма]]*Таблица1[[#This Row],[коэф]])),
IF((G735="5/16"),((база!$L$6*Таблица1[[#This Row],[сумма]]*Таблица1[[#This Row],[коэф]])),
IF((G735="4/16"),((база!$L$5*Таблица1[[#This Row],[сумма]]*Таблица1[[#This Row],[коэф]])),
IF((G735="3/16"),((база!$L$4*Таблица1[[#This Row],[сумма]]*Таблица1[[#This Row],[коэф]])),
IF((G735="4/4"),((база!$I$5*Таблица1[[#This Row],[сумма]]*Таблица1[[#This Row],[коэф]])),
IF(OR(G735="2/4",G735="3/4"),((база!$I$4*Таблица1[[#This Row],[сумма]]*Таблица1[[#This Row],[коэф]])),
IF((G735="5/8"),((база!$J$6*Таблица1[[#This Row],[сумма]]*Таблица1[[#This Row],[коэф]])),
IF((G735="4/8"),((база!$J$5*Таблица1[[#This Row],[сумма]]*Таблица1[[#This Row],[коэф]])),
IF(OR(G735="3/8",G735="2/8"),((база!$J$4*Таблица1[[#This Row],[сумма]]*Таблица1[[#This Row],[коэф]])))))))))))))),
(IF((G735="5/24"),((база!$M$6*Таблица1[[#This Row],[сумма]]*Таблица1[[#This Row],[коэф]])),
IF(OR(G735="4/24",G735="3/24"),((база!$M$5*Таблица1[[#This Row],[сумма]]*Таблица1[[#This Row],[коэф]])),
IF((G735="5/16"),((база!$L$6*Таблица1[[#This Row],[сумма]]*Таблица1[[#This Row],[коэф]])),
IF(OR(G735="4/16",G735="3/16"),((база!$L$5*Таблица1[[#This Row],[сумма]]*Таблица1[[#This Row],[коэф]])),
IF(OR(G735="2/4",G735="3/4",G735="4/4"),((база!$I$5*Таблица1[[#This Row],[сумма]]*Таблица1[[#This Row],[коэф]])),
IF((G735="5/8"),((база!$J$6*Таблица1[[#This Row],[сумма]]*Таблица1[[#This Row],[коэф]])),
IF(OR(G735="4/8",G735="3/8",G735="2/8"),((база!$J$5*Таблица1[[#This Row],[сумма]]*Таблица1[[#This Row],[коэф]])))))))))))</f>
        <v>0</v>
      </c>
      <c r="AP735" s="730" t="b">
        <f>IF(AR735&lt;=3,(IF((G735="5/24"),((база!$M$6*2*Таблица1[[#This Row],[Столбец1]]*Таблица1[[#This Row],[коэф]])),
IF((G735="4/24"),((база!$M$5*2*Таблица1[[#This Row],[Столбец1]]*Таблица1[[#This Row],[коэф]])),
IF((G735="3/24"),((база!$M$4*2*Таблица1[[#This Row],[Столбец1]]*Таблица1[[#This Row],[коэф]])),
IF((G735="5/16"),((база!$L$6*2*Таблица1[[#This Row],[Столбец1]]*Таблица1[[#This Row],[коэф]])),
IF((G735="4/16"),((база!$L$5*2*Таблица1[[#This Row],[Столбец1]]*Таблица1[[#This Row],[коэф]])),
IF((G735="3/16"),((база!$L$4*2*Таблица1[[#This Row],[Столбец1]]*Таблица1[[#This Row],[коэф]])),
IF((G735="4/4"),((база!$I$5*2*Таблица1[[#This Row],[Столбец1]]*Таблица1[[#This Row],[коэф]])),
IF(OR(G735="2/4",G735="3/4"),((база!$I$4*2*Таблица1[[#This Row],[Столбец1]]*Таблица1[[#This Row],[коэф]])),
IF((G735="5/8"),((база!$J$6*2*Таблица1[[#This Row],[Столбец1]]*Таблица1[[#This Row],[коэф]])),
IF((G735="4/8"),((база!$J$5*2*Таблица1[[#This Row],[Столбец1]]*Таблица1[[#This Row],[коэф]])),
IF(OR(G735="3/8",G735="2/8"),((база!$J$4*2*Таблица1[[#This Row],[Столбец1]]*Таблица1[[#This Row],[коэф]])))))))))))))),
(IF((G735="5/24"),((база!$M$6*2*Таблица1[[#This Row],[Столбец1]]*Таблица1[[#This Row],[коэф]])),
IF(OR(G735="4/24",G735="3/24"),((база!$M$5*2*Таблица1[[#This Row],[Столбец1]]*Таблица1[[#This Row],[коэф]])),
IF((G735="5/16"),((база!$L$6*2*Таблица1[[#This Row],[Столбец1]]*Таблица1[[#This Row],[коэф]])),
IF(OR(G735="4/16",G735="3/16"),((база!$L$5*2*Таблица1[[#This Row],[Столбец1]]*Таблица1[[#This Row],[коэф]])),
IF(OR(G735="2/4",G735="3/4",G735="4/4"),((база!$I$5*2*Таблица1[[#This Row],[Столбец1]]*Таблица1[[#This Row],[коэф]])),
IF((G735="5/8"),((база!$J$6*2*Таблица1[[#This Row],[Столбец1]]*Таблица1[[#This Row],[коэф]])),
IF(OR(G735="4/8",G735="3/8",G735="2/8"),((база!$J$5*2*Таблица1[[#This Row],[Столбец1]]*Таблица1[[#This Row],[коэф]])))))))))))</f>
        <v>0</v>
      </c>
      <c r="AQ735" s="712" t="str">
        <f>IFERROR(INDEX(база!T:T, MATCH(F735,база!Q:Q,0)),"")</f>
        <v/>
      </c>
      <c r="AR735" s="208" t="str">
        <f>IFERROR(INDEX(база!D:D, MATCH(F735,база!B:B,0)),"")</f>
        <v/>
      </c>
      <c r="AS735" s="758" t="str">
        <f>IFERROR(INDEX(база!E:E, MATCH(F735,база!B:B,0)),"")</f>
        <v/>
      </c>
    </row>
    <row r="736" spans="1:45" ht="15">
      <c r="A736" s="66" t="str">
        <f t="shared" si="11"/>
        <v>январь</v>
      </c>
      <c r="B736" s="231">
        <v>2024</v>
      </c>
      <c r="C736" s="299"/>
      <c r="D736" s="61"/>
      <c r="E736" s="211"/>
      <c r="F736" s="680"/>
      <c r="G736" s="47"/>
      <c r="H736" s="563"/>
      <c r="I736" s="563"/>
      <c r="J736" s="563"/>
      <c r="K736" s="563"/>
      <c r="L736" s="563"/>
      <c r="M736" s="563"/>
      <c r="N736" s="563"/>
      <c r="O736" s="563"/>
      <c r="P736" s="300"/>
      <c r="Q736" s="563"/>
      <c r="R736" s="563"/>
      <c r="S736" s="563"/>
      <c r="T736" s="563"/>
      <c r="U736" s="563"/>
      <c r="V736" s="563"/>
      <c r="W736" s="563"/>
      <c r="X736" s="563"/>
      <c r="Y736" s="563"/>
      <c r="Z736" s="563"/>
      <c r="AA736" s="563"/>
      <c r="AB736" s="563"/>
      <c r="AC736" s="563"/>
      <c r="AD736" s="48"/>
      <c r="AE736" s="48"/>
      <c r="AF736" s="258"/>
      <c r="AG736" s="48"/>
      <c r="AH736" s="48"/>
      <c r="AI736" s="48"/>
      <c r="AJ736" s="48"/>
      <c r="AK736" s="48"/>
      <c r="AL736" s="51"/>
      <c r="AM736" s="212">
        <f>IF(AQ736=1,SUM(Q736:T736,W736:Z736,AC736:AF736,AI736:AL736),
IF(AQ736=2,SUM(P736,S736:V736,Y736:AB736,AE736:AH736,AK736:AL736),
IF(AQ736=3,SUM(P736:R736,U736:X736,AA736:AD736,AG736:AJ736),SUM(Таблица1[[#This Row],[1]:[31]])-Таблица1[[#This Row],[Столбец1]])))</f>
        <v>0</v>
      </c>
      <c r="AN736" s="778">
        <f t="array" ref="AN736">IF(AQ736=1,SUM(P736,U736:V736,AA736:AB736,AG736:AH736),
IF(AQ736=2,SUM(Q736:R736,W736:X736,AC736:AD736,AI736:AJ736),
IF(AQ736=3,SUM(S736:T736,Y736:Z736,AE736:AF736,AK736:AL736),
SUM(IFERROR(WEEKDAY($H$2:$AL$2,2)&gt;5,)*H736:AL736))))+Таблица1[[#This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36" s="292" t="b">
        <f>IF(AR736&lt;=3,(IF((G736="5/24"),((база!$M$6*Таблица1[[#This Row],[сумма]]*Таблица1[[#This Row],[коэф]])),
IF((G736="4/24"),((база!$M$5*Таблица1[[#This Row],[сумма]]*Таблица1[[#This Row],[коэф]])),
IF((G736="3/24"),((база!$M$4*Таблица1[[#This Row],[сумма]]*Таблица1[[#This Row],[коэф]])),
IF((G736="5/16"),((база!$L$6*Таблица1[[#This Row],[сумма]]*Таблица1[[#This Row],[коэф]])),
IF((G736="4/16"),((база!$L$5*Таблица1[[#This Row],[сумма]]*Таблица1[[#This Row],[коэф]])),
IF((G736="3/16"),((база!$L$4*Таблица1[[#This Row],[сумма]]*Таблица1[[#This Row],[коэф]])),
IF((G736="4/4"),((база!$I$5*Таблица1[[#This Row],[сумма]]*Таблица1[[#This Row],[коэф]])),
IF(OR(G736="2/4",G736="3/4"),((база!$I$4*Таблица1[[#This Row],[сумма]]*Таблица1[[#This Row],[коэф]])),
IF((G736="5/8"),((база!$J$6*Таблица1[[#This Row],[сумма]]*Таблица1[[#This Row],[коэф]])),
IF((G736="4/8"),((база!$J$5*Таблица1[[#This Row],[сумма]]*Таблица1[[#This Row],[коэф]])),
IF(OR(G736="3/8",G736="2/8"),((база!$J$4*Таблица1[[#This Row],[сумма]]*Таблица1[[#This Row],[коэф]])))))))))))))),
(IF((G736="5/24"),((база!$M$6*Таблица1[[#This Row],[сумма]]*Таблица1[[#This Row],[коэф]])),
IF(OR(G736="4/24",G736="3/24"),((база!$M$5*Таблица1[[#This Row],[сумма]]*Таблица1[[#This Row],[коэф]])),
IF((G736="5/16"),((база!$L$6*Таблица1[[#This Row],[сумма]]*Таблица1[[#This Row],[коэф]])),
IF(OR(G736="4/16",G736="3/16"),((база!$L$5*Таблица1[[#This Row],[сумма]]*Таблица1[[#This Row],[коэф]])),
IF(OR(G736="2/4",G736="3/4",G736="4/4"),((база!$I$5*Таблица1[[#This Row],[сумма]]*Таблица1[[#This Row],[коэф]])),
IF((G736="5/8"),((база!$J$6*Таблица1[[#This Row],[сумма]]*Таблица1[[#This Row],[коэф]])),
IF(OR(G736="4/8",G736="3/8",G736="2/8"),((база!$J$5*Таблица1[[#This Row],[сумма]]*Таблица1[[#This Row],[коэф]])))))))))))</f>
        <v>0</v>
      </c>
      <c r="AP736" s="730" t="b">
        <f>IF(AR736&lt;=3,(IF((G736="5/24"),((база!$M$6*2*Таблица1[[#This Row],[Столбец1]]*Таблица1[[#This Row],[коэф]])),
IF((G736="4/24"),((база!$M$5*2*Таблица1[[#This Row],[Столбец1]]*Таблица1[[#This Row],[коэф]])),
IF((G736="3/24"),((база!$M$4*2*Таблица1[[#This Row],[Столбец1]]*Таблица1[[#This Row],[коэф]])),
IF((G736="5/16"),((база!$L$6*2*Таблица1[[#This Row],[Столбец1]]*Таблица1[[#This Row],[коэф]])),
IF((G736="4/16"),((база!$L$5*2*Таблица1[[#This Row],[Столбец1]]*Таблица1[[#This Row],[коэф]])),
IF((G736="3/16"),((база!$L$4*2*Таблица1[[#This Row],[Столбец1]]*Таблица1[[#This Row],[коэф]])),
IF((G736="4/4"),((база!$I$5*2*Таблица1[[#This Row],[Столбец1]]*Таблица1[[#This Row],[коэф]])),
IF(OR(G736="2/4",G736="3/4"),((база!$I$4*2*Таблица1[[#This Row],[Столбец1]]*Таблица1[[#This Row],[коэф]])),
IF((G736="5/8"),((база!$J$6*2*Таблица1[[#This Row],[Столбец1]]*Таблица1[[#This Row],[коэф]])),
IF((G736="4/8"),((база!$J$5*2*Таблица1[[#This Row],[Столбец1]]*Таблица1[[#This Row],[коэф]])),
IF(OR(G736="3/8",G736="2/8"),((база!$J$4*2*Таблица1[[#This Row],[Столбец1]]*Таблица1[[#This Row],[коэф]])))))))))))))),
(IF((G736="5/24"),((база!$M$6*2*Таблица1[[#This Row],[Столбец1]]*Таблица1[[#This Row],[коэф]])),
IF(OR(G736="4/24",G736="3/24"),((база!$M$5*2*Таблица1[[#This Row],[Столбец1]]*Таблица1[[#This Row],[коэф]])),
IF((G736="5/16"),((база!$L$6*2*Таблица1[[#This Row],[Столбец1]]*Таблица1[[#This Row],[коэф]])),
IF(OR(G736="4/16",G736="3/16"),((база!$L$5*2*Таблица1[[#This Row],[Столбец1]]*Таблица1[[#This Row],[коэф]])),
IF(OR(G736="2/4",G736="3/4",G736="4/4"),((база!$I$5*2*Таблица1[[#This Row],[Столбец1]]*Таблица1[[#This Row],[коэф]])),
IF((G736="5/8"),((база!$J$6*2*Таблица1[[#This Row],[Столбец1]]*Таблица1[[#This Row],[коэф]])),
IF(OR(G736="4/8",G736="3/8",G736="2/8"),((база!$J$5*2*Таблица1[[#This Row],[Столбец1]]*Таблица1[[#This Row],[коэф]])))))))))))</f>
        <v>0</v>
      </c>
      <c r="AQ736" s="712" t="str">
        <f>IFERROR(INDEX(база!T:T, MATCH(F736,база!Q:Q,0)),"")</f>
        <v/>
      </c>
      <c r="AR736" s="208" t="str">
        <f>IFERROR(INDEX(база!D:D, MATCH(F736,база!B:B,0)),"")</f>
        <v/>
      </c>
      <c r="AS736" s="758" t="str">
        <f>IFERROR(INDEX(база!E:E, MATCH(F736,база!B:B,0)),"")</f>
        <v/>
      </c>
    </row>
    <row r="737" spans="1:45" ht="15">
      <c r="A737" s="66" t="str">
        <f t="shared" si="11"/>
        <v>январь</v>
      </c>
      <c r="B737" s="231">
        <v>2024</v>
      </c>
      <c r="C737" s="299"/>
      <c r="D737" s="61"/>
      <c r="E737" s="211"/>
      <c r="F737" s="680"/>
      <c r="G737" s="47"/>
      <c r="H737" s="563"/>
      <c r="I737" s="563"/>
      <c r="J737" s="563"/>
      <c r="K737" s="563"/>
      <c r="L737" s="563"/>
      <c r="M737" s="563"/>
      <c r="N737" s="563"/>
      <c r="O737" s="563"/>
      <c r="P737" s="300"/>
      <c r="Q737" s="563"/>
      <c r="R737" s="563"/>
      <c r="S737" s="563"/>
      <c r="T737" s="563"/>
      <c r="U737" s="563"/>
      <c r="V737" s="563"/>
      <c r="W737" s="563"/>
      <c r="X737" s="563"/>
      <c r="Y737" s="563"/>
      <c r="Z737" s="563"/>
      <c r="AA737" s="563"/>
      <c r="AB737" s="563"/>
      <c r="AC737" s="563"/>
      <c r="AD737" s="48"/>
      <c r="AE737" s="48"/>
      <c r="AF737" s="258"/>
      <c r="AG737" s="48"/>
      <c r="AH737" s="48"/>
      <c r="AI737" s="258"/>
      <c r="AJ737" s="258"/>
      <c r="AK737" s="258"/>
      <c r="AL737" s="258"/>
      <c r="AM737" s="212">
        <f>IF(AQ737=1,SUM(Q737:T737,W737:Z737,AC737:AF737,AI737:AL737),
IF(AQ737=2,SUM(P737,S737:V737,Y737:AB737,AE737:AH737,AK737:AL737),
IF(AQ737=3,SUM(P737:R737,U737:X737,AA737:AD737,AG737:AJ737),SUM(Таблица1[[#This Row],[1]:[31]])-Таблица1[[#This Row],[Столбец1]])))</f>
        <v>0</v>
      </c>
      <c r="AN737" s="778">
        <f t="array" ref="AN737">IF(AQ737=1,SUM(P737,U737:V737,AA737:AB737,AG737:AH737),
IF(AQ737=2,SUM(Q737:R737,W737:X737,AC737:AD737,AI737:AJ737),
IF(AQ737=3,SUM(S737:T737,Y737:Z737,AE737:AF737,AK737:AL737),
SUM(IFERROR(WEEKDAY($H$2:$AL$2,2)&gt;5,)*H737:AL737))))+Таблица1[[#This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37" s="292" t="b">
        <f>IF(AR737&lt;=3,(IF((G737="5/24"),((база!$M$6*Таблица1[[#This Row],[сумма]]*Таблица1[[#This Row],[коэф]])),
IF((G737="4/24"),((база!$M$5*Таблица1[[#This Row],[сумма]]*Таблица1[[#This Row],[коэф]])),
IF((G737="3/24"),((база!$M$4*Таблица1[[#This Row],[сумма]]*Таблица1[[#This Row],[коэф]])),
IF((G737="5/16"),((база!$L$6*Таблица1[[#This Row],[сумма]]*Таблица1[[#This Row],[коэф]])),
IF((G737="4/16"),((база!$L$5*Таблица1[[#This Row],[сумма]]*Таблица1[[#This Row],[коэф]])),
IF((G737="3/16"),((база!$L$4*Таблица1[[#This Row],[сумма]]*Таблица1[[#This Row],[коэф]])),
IF((G737="4/4"),((база!$I$5*Таблица1[[#This Row],[сумма]]*Таблица1[[#This Row],[коэф]])),
IF(OR(G737="2/4",G737="3/4"),((база!$I$4*Таблица1[[#This Row],[сумма]]*Таблица1[[#This Row],[коэф]])),
IF((G737="5/8"),((база!$J$6*Таблица1[[#This Row],[сумма]]*Таблица1[[#This Row],[коэф]])),
IF((G737="4/8"),((база!$J$5*Таблица1[[#This Row],[сумма]]*Таблица1[[#This Row],[коэф]])),
IF(OR(G737="3/8",G737="2/8"),((база!$J$4*Таблица1[[#This Row],[сумма]]*Таблица1[[#This Row],[коэф]])))))))))))))),
(IF((G737="5/24"),((база!$M$6*Таблица1[[#This Row],[сумма]]*Таблица1[[#This Row],[коэф]])),
IF(OR(G737="4/24",G737="3/24"),((база!$M$5*Таблица1[[#This Row],[сумма]]*Таблица1[[#This Row],[коэф]])),
IF((G737="5/16"),((база!$L$6*Таблица1[[#This Row],[сумма]]*Таблица1[[#This Row],[коэф]])),
IF(OR(G737="4/16",G737="3/16"),((база!$L$5*Таблица1[[#This Row],[сумма]]*Таблица1[[#This Row],[коэф]])),
IF(OR(G737="2/4",G737="3/4",G737="4/4"),((база!$I$5*Таблица1[[#This Row],[сумма]]*Таблица1[[#This Row],[коэф]])),
IF((G737="5/8"),((база!$J$6*Таблица1[[#This Row],[сумма]]*Таблица1[[#This Row],[коэф]])),
IF(OR(G737="4/8",G737="3/8",G737="2/8"),((база!$J$5*Таблица1[[#This Row],[сумма]]*Таблица1[[#This Row],[коэф]])))))))))))</f>
        <v>0</v>
      </c>
      <c r="AP737" s="730" t="b">
        <f>IF(AR737&lt;=3,(IF((G737="5/24"),((база!$M$6*2*Таблица1[[#This Row],[Столбец1]]*Таблица1[[#This Row],[коэф]])),
IF((G737="4/24"),((база!$M$5*2*Таблица1[[#This Row],[Столбец1]]*Таблица1[[#This Row],[коэф]])),
IF((G737="3/24"),((база!$M$4*2*Таблица1[[#This Row],[Столбец1]]*Таблица1[[#This Row],[коэф]])),
IF((G737="5/16"),((база!$L$6*2*Таблица1[[#This Row],[Столбец1]]*Таблица1[[#This Row],[коэф]])),
IF((G737="4/16"),((база!$L$5*2*Таблица1[[#This Row],[Столбец1]]*Таблица1[[#This Row],[коэф]])),
IF((G737="3/16"),((база!$L$4*2*Таблица1[[#This Row],[Столбец1]]*Таблица1[[#This Row],[коэф]])),
IF((G737="4/4"),((база!$I$5*2*Таблица1[[#This Row],[Столбец1]]*Таблица1[[#This Row],[коэф]])),
IF(OR(G737="2/4",G737="3/4"),((база!$I$4*2*Таблица1[[#This Row],[Столбец1]]*Таблица1[[#This Row],[коэф]])),
IF((G737="5/8"),((база!$J$6*2*Таблица1[[#This Row],[Столбец1]]*Таблица1[[#This Row],[коэф]])),
IF((G737="4/8"),((база!$J$5*2*Таблица1[[#This Row],[Столбец1]]*Таблица1[[#This Row],[коэф]])),
IF(OR(G737="3/8",G737="2/8"),((база!$J$4*2*Таблица1[[#This Row],[Столбец1]]*Таблица1[[#This Row],[коэф]])))))))))))))),
(IF((G737="5/24"),((база!$M$6*2*Таблица1[[#This Row],[Столбец1]]*Таблица1[[#This Row],[коэф]])),
IF(OR(G737="4/24",G737="3/24"),((база!$M$5*2*Таблица1[[#This Row],[Столбец1]]*Таблица1[[#This Row],[коэф]])),
IF((G737="5/16"),((база!$L$6*2*Таблица1[[#This Row],[Столбец1]]*Таблица1[[#This Row],[коэф]])),
IF(OR(G737="4/16",G737="3/16"),((база!$L$5*2*Таблица1[[#This Row],[Столбец1]]*Таблица1[[#This Row],[коэф]])),
IF(OR(G737="2/4",G737="3/4",G737="4/4"),((база!$I$5*2*Таблица1[[#This Row],[Столбец1]]*Таблица1[[#This Row],[коэф]])),
IF((G737="5/8"),((база!$J$6*2*Таблица1[[#This Row],[Столбец1]]*Таблица1[[#This Row],[коэф]])),
IF(OR(G737="4/8",G737="3/8",G737="2/8"),((база!$J$5*2*Таблица1[[#This Row],[Столбец1]]*Таблица1[[#This Row],[коэф]])))))))))))</f>
        <v>0</v>
      </c>
      <c r="AQ737" s="712" t="str">
        <f>IFERROR(INDEX(база!T:T, MATCH(F737,база!Q:Q,0)),"")</f>
        <v/>
      </c>
      <c r="AR737" s="208" t="str">
        <f>IFERROR(INDEX(база!D:D, MATCH(F737,база!B:B,0)),"")</f>
        <v/>
      </c>
      <c r="AS737" s="758" t="str">
        <f>IFERROR(INDEX(база!E:E, MATCH(F737,база!B:B,0)),"")</f>
        <v/>
      </c>
    </row>
    <row r="738" spans="1:45" ht="15">
      <c r="A738" s="66" t="str">
        <f t="shared" si="11"/>
        <v>январь</v>
      </c>
      <c r="B738" s="231">
        <v>2024</v>
      </c>
      <c r="C738" s="299"/>
      <c r="D738" s="61"/>
      <c r="E738" s="211"/>
      <c r="F738" s="680"/>
      <c r="G738" s="47"/>
      <c r="H738" s="563"/>
      <c r="I738" s="563"/>
      <c r="J738" s="563"/>
      <c r="K738" s="563"/>
      <c r="L738" s="563"/>
      <c r="M738" s="563"/>
      <c r="N738" s="563"/>
      <c r="O738" s="563"/>
      <c r="P738" s="300"/>
      <c r="Q738" s="563"/>
      <c r="R738" s="563"/>
      <c r="S738" s="563"/>
      <c r="T738" s="563"/>
      <c r="U738" s="563"/>
      <c r="V738" s="563"/>
      <c r="W738" s="563"/>
      <c r="X738" s="563"/>
      <c r="Y738" s="563"/>
      <c r="Z738" s="563"/>
      <c r="AA738" s="563"/>
      <c r="AB738" s="563"/>
      <c r="AC738" s="563"/>
      <c r="AD738" s="48"/>
      <c r="AE738" s="48"/>
      <c r="AF738" s="258"/>
      <c r="AG738" s="48"/>
      <c r="AH738" s="48"/>
      <c r="AI738" s="48"/>
      <c r="AJ738" s="48"/>
      <c r="AK738" s="48"/>
      <c r="AL738" s="51"/>
      <c r="AM738" s="212">
        <f>IF(AQ738=1,SUM(Q738:T738,W738:Z738,AC738:AF738,AI738:AL738),
IF(AQ738=2,SUM(P738,S738:V738,Y738:AB738,AE738:AH738,AK738:AL738),
IF(AQ738=3,SUM(P738:R738,U738:X738,AA738:AD738,AG738:AJ738),SUM(Таблица1[[#This Row],[1]:[31]])-Таблица1[[#This Row],[Столбец1]])))</f>
        <v>0</v>
      </c>
      <c r="AN738" s="778">
        <f t="array" ref="AN738">IF(AQ738=1,SUM(P738,U738:V738,AA738:AB738,AG738:AH738),
IF(AQ738=2,SUM(Q738:R738,W738:X738,AC738:AD738,AI738:AJ738),
IF(AQ738=3,SUM(S738:T738,Y738:Z738,AE738:AF738,AK738:AL738),
SUM(IFERROR(WEEKDAY($H$2:$AL$2,2)&gt;5,)*H738:AL738))))+Таблица1[[#This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38" s="292" t="b">
        <f>IF(AR738&lt;=3,(IF((G738="5/24"),((база!$M$6*Таблица1[[#This Row],[сумма]]*Таблица1[[#This Row],[коэф]])),
IF((G738="4/24"),((база!$M$5*Таблица1[[#This Row],[сумма]]*Таблица1[[#This Row],[коэф]])),
IF((G738="3/24"),((база!$M$4*Таблица1[[#This Row],[сумма]]*Таблица1[[#This Row],[коэф]])),
IF((G738="5/16"),((база!$L$6*Таблица1[[#This Row],[сумма]]*Таблица1[[#This Row],[коэф]])),
IF((G738="4/16"),((база!$L$5*Таблица1[[#This Row],[сумма]]*Таблица1[[#This Row],[коэф]])),
IF((G738="3/16"),((база!$L$4*Таблица1[[#This Row],[сумма]]*Таблица1[[#This Row],[коэф]])),
IF((G738="4/4"),((база!$I$5*Таблица1[[#This Row],[сумма]]*Таблица1[[#This Row],[коэф]])),
IF(OR(G738="2/4",G738="3/4"),((база!$I$4*Таблица1[[#This Row],[сумма]]*Таблица1[[#This Row],[коэф]])),
IF((G738="5/8"),((база!$J$6*Таблица1[[#This Row],[сумма]]*Таблица1[[#This Row],[коэф]])),
IF((G738="4/8"),((база!$J$5*Таблица1[[#This Row],[сумма]]*Таблица1[[#This Row],[коэф]])),
IF(OR(G738="3/8",G738="2/8"),((база!$J$4*Таблица1[[#This Row],[сумма]]*Таблица1[[#This Row],[коэф]])))))))))))))),
(IF((G738="5/24"),((база!$M$6*Таблица1[[#This Row],[сумма]]*Таблица1[[#This Row],[коэф]])),
IF(OR(G738="4/24",G738="3/24"),((база!$M$5*Таблица1[[#This Row],[сумма]]*Таблица1[[#This Row],[коэф]])),
IF((G738="5/16"),((база!$L$6*Таблица1[[#This Row],[сумма]]*Таблица1[[#This Row],[коэф]])),
IF(OR(G738="4/16",G738="3/16"),((база!$L$5*Таблица1[[#This Row],[сумма]]*Таблица1[[#This Row],[коэф]])),
IF(OR(G738="2/4",G738="3/4",G738="4/4"),((база!$I$5*Таблица1[[#This Row],[сумма]]*Таблица1[[#This Row],[коэф]])),
IF((G738="5/8"),((база!$J$6*Таблица1[[#This Row],[сумма]]*Таблица1[[#This Row],[коэф]])),
IF(OR(G738="4/8",G738="3/8",G738="2/8"),((база!$J$5*Таблица1[[#This Row],[сумма]]*Таблица1[[#This Row],[коэф]])))))))))))</f>
        <v>0</v>
      </c>
      <c r="AP738" s="730" t="b">
        <f>IF(AR738&lt;=3,(IF((G738="5/24"),((база!$M$6*2*Таблица1[[#This Row],[Столбец1]]*Таблица1[[#This Row],[коэф]])),
IF((G738="4/24"),((база!$M$5*2*Таблица1[[#This Row],[Столбец1]]*Таблица1[[#This Row],[коэф]])),
IF((G738="3/24"),((база!$M$4*2*Таблица1[[#This Row],[Столбец1]]*Таблица1[[#This Row],[коэф]])),
IF((G738="5/16"),((база!$L$6*2*Таблица1[[#This Row],[Столбец1]]*Таблица1[[#This Row],[коэф]])),
IF((G738="4/16"),((база!$L$5*2*Таблица1[[#This Row],[Столбец1]]*Таблица1[[#This Row],[коэф]])),
IF((G738="3/16"),((база!$L$4*2*Таблица1[[#This Row],[Столбец1]]*Таблица1[[#This Row],[коэф]])),
IF((G738="4/4"),((база!$I$5*2*Таблица1[[#This Row],[Столбец1]]*Таблица1[[#This Row],[коэф]])),
IF(OR(G738="2/4",G738="3/4"),((база!$I$4*2*Таблица1[[#This Row],[Столбец1]]*Таблица1[[#This Row],[коэф]])),
IF((G738="5/8"),((база!$J$6*2*Таблица1[[#This Row],[Столбец1]]*Таблица1[[#This Row],[коэф]])),
IF((G738="4/8"),((база!$J$5*2*Таблица1[[#This Row],[Столбец1]]*Таблица1[[#This Row],[коэф]])),
IF(OR(G738="3/8",G738="2/8"),((база!$J$4*2*Таблица1[[#This Row],[Столбец1]]*Таблица1[[#This Row],[коэф]])))))))))))))),
(IF((G738="5/24"),((база!$M$6*2*Таблица1[[#This Row],[Столбец1]]*Таблица1[[#This Row],[коэф]])),
IF(OR(G738="4/24",G738="3/24"),((база!$M$5*2*Таблица1[[#This Row],[Столбец1]]*Таблица1[[#This Row],[коэф]])),
IF((G738="5/16"),((база!$L$6*2*Таблица1[[#This Row],[Столбец1]]*Таблица1[[#This Row],[коэф]])),
IF(OR(G738="4/16",G738="3/16"),((база!$L$5*2*Таблица1[[#This Row],[Столбец1]]*Таблица1[[#This Row],[коэф]])),
IF(OR(G738="2/4",G738="3/4",G738="4/4"),((база!$I$5*2*Таблица1[[#This Row],[Столбец1]]*Таблица1[[#This Row],[коэф]])),
IF((G738="5/8"),((база!$J$6*2*Таблица1[[#This Row],[Столбец1]]*Таблица1[[#This Row],[коэф]])),
IF(OR(G738="4/8",G738="3/8",G738="2/8"),((база!$J$5*2*Таблица1[[#This Row],[Столбец1]]*Таблица1[[#This Row],[коэф]])))))))))))</f>
        <v>0</v>
      </c>
      <c r="AQ738" s="712" t="str">
        <f>IFERROR(INDEX(база!T:T, MATCH(F738,база!Q:Q,0)),"")</f>
        <v/>
      </c>
      <c r="AR738" s="208" t="str">
        <f>IFERROR(INDEX(база!D:D, MATCH(F738,база!B:B,0)),"")</f>
        <v/>
      </c>
      <c r="AS738" s="758" t="str">
        <f>IFERROR(INDEX(база!E:E, MATCH(F738,база!B:B,0)),"")</f>
        <v/>
      </c>
    </row>
    <row r="739" spans="1:45" ht="15">
      <c r="A739" s="66" t="str">
        <f t="shared" si="11"/>
        <v>январь</v>
      </c>
      <c r="B739" s="231">
        <v>2024</v>
      </c>
      <c r="C739" s="299"/>
      <c r="D739" s="61"/>
      <c r="E739" s="211"/>
      <c r="F739" s="680"/>
      <c r="G739" s="47"/>
      <c r="H739" s="563"/>
      <c r="I739" s="563"/>
      <c r="J739" s="563"/>
      <c r="K739" s="563"/>
      <c r="L739" s="563"/>
      <c r="M739" s="563"/>
      <c r="N739" s="563"/>
      <c r="O739" s="563"/>
      <c r="P739" s="300"/>
      <c r="Q739" s="563"/>
      <c r="R739" s="563"/>
      <c r="S739" s="563"/>
      <c r="T739" s="563"/>
      <c r="U739" s="563"/>
      <c r="V739" s="563"/>
      <c r="W739" s="563"/>
      <c r="X739" s="563"/>
      <c r="Y739" s="563"/>
      <c r="Z739" s="563"/>
      <c r="AA739" s="563"/>
      <c r="AB739" s="563"/>
      <c r="AC739" s="563"/>
      <c r="AD739" s="48"/>
      <c r="AE739" s="48"/>
      <c r="AF739" s="258"/>
      <c r="AG739" s="48"/>
      <c r="AH739" s="48"/>
      <c r="AI739" s="258"/>
      <c r="AJ739" s="258"/>
      <c r="AK739" s="258"/>
      <c r="AL739" s="258"/>
      <c r="AM739" s="212">
        <f>IF(AQ739=1,SUM(Q739:T739,W739:Z739,AC739:AF739,AI739:AL739),
IF(AQ739=2,SUM(P739,S739:V739,Y739:AB739,AE739:AH739,AK739:AL739),
IF(AQ739=3,SUM(P739:R739,U739:X739,AA739:AD739,AG739:AJ739),SUM(Таблица1[[#This Row],[1]:[31]])-Таблица1[[#This Row],[Столбец1]])))</f>
        <v>0</v>
      </c>
      <c r="AN739" s="778">
        <f t="array" ref="AN739">IF(AQ739=1,SUM(P739,U739:V739,AA739:AB739,AG739:AH739),
IF(AQ739=2,SUM(Q739:R739,W739:X739,AC739:AD739,AI739:AJ739),
IF(AQ739=3,SUM(S739:T739,Y739:Z739,AE739:AF739,AK739:AL739),
SUM(IFERROR(WEEKDAY($H$2:$AL$2,2)&gt;5,)*H739:AL739))))+Таблица1[[#This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39" s="292" t="b">
        <f>IF(AR739&lt;=3,(IF((G739="5/24"),((база!$M$6*Таблица1[[#This Row],[сумма]]*Таблица1[[#This Row],[коэф]])),
IF((G739="4/24"),((база!$M$5*Таблица1[[#This Row],[сумма]]*Таблица1[[#This Row],[коэф]])),
IF((G739="3/24"),((база!$M$4*Таблица1[[#This Row],[сумма]]*Таблица1[[#This Row],[коэф]])),
IF((G739="5/16"),((база!$L$6*Таблица1[[#This Row],[сумма]]*Таблица1[[#This Row],[коэф]])),
IF((G739="4/16"),((база!$L$5*Таблица1[[#This Row],[сумма]]*Таблица1[[#This Row],[коэф]])),
IF((G739="3/16"),((база!$L$4*Таблица1[[#This Row],[сумма]]*Таблица1[[#This Row],[коэф]])),
IF((G739="4/4"),((база!$I$5*Таблица1[[#This Row],[сумма]]*Таблица1[[#This Row],[коэф]])),
IF(OR(G739="2/4",G739="3/4"),((база!$I$4*Таблица1[[#This Row],[сумма]]*Таблица1[[#This Row],[коэф]])),
IF((G739="5/8"),((база!$J$6*Таблица1[[#This Row],[сумма]]*Таблица1[[#This Row],[коэф]])),
IF((G739="4/8"),((база!$J$5*Таблица1[[#This Row],[сумма]]*Таблица1[[#This Row],[коэф]])),
IF(OR(G739="3/8",G739="2/8"),((база!$J$4*Таблица1[[#This Row],[сумма]]*Таблица1[[#This Row],[коэф]])))))))))))))),
(IF((G739="5/24"),((база!$M$6*Таблица1[[#This Row],[сумма]]*Таблица1[[#This Row],[коэф]])),
IF(OR(G739="4/24",G739="3/24"),((база!$M$5*Таблица1[[#This Row],[сумма]]*Таблица1[[#This Row],[коэф]])),
IF((G739="5/16"),((база!$L$6*Таблица1[[#This Row],[сумма]]*Таблица1[[#This Row],[коэф]])),
IF(OR(G739="4/16",G739="3/16"),((база!$L$5*Таблица1[[#This Row],[сумма]]*Таблица1[[#This Row],[коэф]])),
IF(OR(G739="2/4",G739="3/4",G739="4/4"),((база!$I$5*Таблица1[[#This Row],[сумма]]*Таблица1[[#This Row],[коэф]])),
IF((G739="5/8"),((база!$J$6*Таблица1[[#This Row],[сумма]]*Таблица1[[#This Row],[коэф]])),
IF(OR(G739="4/8",G739="3/8",G739="2/8"),((база!$J$5*Таблица1[[#This Row],[сумма]]*Таблица1[[#This Row],[коэф]])))))))))))</f>
        <v>0</v>
      </c>
      <c r="AP739" s="730" t="b">
        <f>IF(AR739&lt;=3,(IF((G739="5/24"),((база!$M$6*2*Таблица1[[#This Row],[Столбец1]]*Таблица1[[#This Row],[коэф]])),
IF((G739="4/24"),((база!$M$5*2*Таблица1[[#This Row],[Столбец1]]*Таблица1[[#This Row],[коэф]])),
IF((G739="3/24"),((база!$M$4*2*Таблица1[[#This Row],[Столбец1]]*Таблица1[[#This Row],[коэф]])),
IF((G739="5/16"),((база!$L$6*2*Таблица1[[#This Row],[Столбец1]]*Таблица1[[#This Row],[коэф]])),
IF((G739="4/16"),((база!$L$5*2*Таблица1[[#This Row],[Столбец1]]*Таблица1[[#This Row],[коэф]])),
IF((G739="3/16"),((база!$L$4*2*Таблица1[[#This Row],[Столбец1]]*Таблица1[[#This Row],[коэф]])),
IF((G739="4/4"),((база!$I$5*2*Таблица1[[#This Row],[Столбец1]]*Таблица1[[#This Row],[коэф]])),
IF(OR(G739="2/4",G739="3/4"),((база!$I$4*2*Таблица1[[#This Row],[Столбец1]]*Таблица1[[#This Row],[коэф]])),
IF((G739="5/8"),((база!$J$6*2*Таблица1[[#This Row],[Столбец1]]*Таблица1[[#This Row],[коэф]])),
IF((G739="4/8"),((база!$J$5*2*Таблица1[[#This Row],[Столбец1]]*Таблица1[[#This Row],[коэф]])),
IF(OR(G739="3/8",G739="2/8"),((база!$J$4*2*Таблица1[[#This Row],[Столбец1]]*Таблица1[[#This Row],[коэф]])))))))))))))),
(IF((G739="5/24"),((база!$M$6*2*Таблица1[[#This Row],[Столбец1]]*Таблица1[[#This Row],[коэф]])),
IF(OR(G739="4/24",G739="3/24"),((база!$M$5*2*Таблица1[[#This Row],[Столбец1]]*Таблица1[[#This Row],[коэф]])),
IF((G739="5/16"),((база!$L$6*2*Таблица1[[#This Row],[Столбец1]]*Таблица1[[#This Row],[коэф]])),
IF(OR(G739="4/16",G739="3/16"),((база!$L$5*2*Таблица1[[#This Row],[Столбец1]]*Таблица1[[#This Row],[коэф]])),
IF(OR(G739="2/4",G739="3/4",G739="4/4"),((база!$I$5*2*Таблица1[[#This Row],[Столбец1]]*Таблица1[[#This Row],[коэф]])),
IF((G739="5/8"),((база!$J$6*2*Таблица1[[#This Row],[Столбец1]]*Таблица1[[#This Row],[коэф]])),
IF(OR(G739="4/8",G739="3/8",G739="2/8"),((база!$J$5*2*Таблица1[[#This Row],[Столбец1]]*Таблица1[[#This Row],[коэф]])))))))))))</f>
        <v>0</v>
      </c>
      <c r="AQ739" s="712" t="str">
        <f>IFERROR(INDEX(база!T:T, MATCH(F739,база!Q:Q,0)),"")</f>
        <v/>
      </c>
      <c r="AR739" s="208" t="str">
        <f>IFERROR(INDEX(база!D:D, MATCH(F739,база!B:B,0)),"")</f>
        <v/>
      </c>
      <c r="AS739" s="758" t="str">
        <f>IFERROR(INDEX(база!E:E, MATCH(F739,база!B:B,0)),"")</f>
        <v/>
      </c>
    </row>
    <row r="740" spans="1:45" ht="15">
      <c r="A740" s="66" t="str">
        <f t="shared" si="11"/>
        <v>январь</v>
      </c>
      <c r="B740" s="231">
        <v>2024</v>
      </c>
      <c r="C740" s="299"/>
      <c r="D740" s="61"/>
      <c r="E740" s="211"/>
      <c r="F740" s="680"/>
      <c r="G740" s="47"/>
      <c r="H740" s="563"/>
      <c r="I740" s="563"/>
      <c r="J740" s="563"/>
      <c r="K740" s="563"/>
      <c r="L740" s="563"/>
      <c r="M740" s="563"/>
      <c r="N740" s="563"/>
      <c r="O740" s="563"/>
      <c r="P740" s="300"/>
      <c r="Q740" s="563"/>
      <c r="R740" s="563"/>
      <c r="S740" s="563"/>
      <c r="T740" s="563"/>
      <c r="U740" s="563"/>
      <c r="V740" s="563"/>
      <c r="W740" s="563"/>
      <c r="X740" s="563"/>
      <c r="Y740" s="563"/>
      <c r="Z740" s="563"/>
      <c r="AA740" s="563"/>
      <c r="AB740" s="563"/>
      <c r="AC740" s="563"/>
      <c r="AD740" s="48"/>
      <c r="AE740" s="48"/>
      <c r="AF740" s="258"/>
      <c r="AG740" s="48"/>
      <c r="AH740" s="48"/>
      <c r="AI740" s="48"/>
      <c r="AJ740" s="48"/>
      <c r="AK740" s="48"/>
      <c r="AL740" s="51"/>
      <c r="AM740" s="212">
        <f>IF(AQ740=1,SUM(Q740:T740,W740:Z740,AC740:AF740,AI740:AL740),
IF(AQ740=2,SUM(P740,S740:V740,Y740:AB740,AE740:AH740,AK740:AL740),
IF(AQ740=3,SUM(P740:R740,U740:X740,AA740:AD740,AG740:AJ740),SUM(Таблица1[[#This Row],[1]:[31]])-Таблица1[[#This Row],[Столбец1]])))</f>
        <v>0</v>
      </c>
      <c r="AN740" s="778">
        <f t="array" ref="AN740">IF(AQ740=1,SUM(P740,U740:V740,AA740:AB740,AG740:AH740),
IF(AQ740=2,SUM(Q740:R740,W740:X740,AC740:AD740,AI740:AJ740),
IF(AQ740=3,SUM(S740:T740,Y740:Z740,AE740:AF740,AK740:AL740),
SUM(IFERROR(WEEKDAY($H$2:$AL$2,2)&gt;5,)*H740:AL740))))+Таблица1[[#This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40" s="292" t="b">
        <f>IF(AR740&lt;=3,(IF((G740="5/24"),((база!$M$6*Таблица1[[#This Row],[сумма]]*Таблица1[[#This Row],[коэф]])),
IF((G740="4/24"),((база!$M$5*Таблица1[[#This Row],[сумма]]*Таблица1[[#This Row],[коэф]])),
IF((G740="3/24"),((база!$M$4*Таблица1[[#This Row],[сумма]]*Таблица1[[#This Row],[коэф]])),
IF((G740="5/16"),((база!$L$6*Таблица1[[#This Row],[сумма]]*Таблица1[[#This Row],[коэф]])),
IF((G740="4/16"),((база!$L$5*Таблица1[[#This Row],[сумма]]*Таблица1[[#This Row],[коэф]])),
IF((G740="3/16"),((база!$L$4*Таблица1[[#This Row],[сумма]]*Таблица1[[#This Row],[коэф]])),
IF((G740="4/4"),((база!$I$5*Таблица1[[#This Row],[сумма]]*Таблица1[[#This Row],[коэф]])),
IF(OR(G740="2/4",G740="3/4"),((база!$I$4*Таблица1[[#This Row],[сумма]]*Таблица1[[#This Row],[коэф]])),
IF((G740="5/8"),((база!$J$6*Таблица1[[#This Row],[сумма]]*Таблица1[[#This Row],[коэф]])),
IF((G740="4/8"),((база!$J$5*Таблица1[[#This Row],[сумма]]*Таблица1[[#This Row],[коэф]])),
IF(OR(G740="3/8",G740="2/8"),((база!$J$4*Таблица1[[#This Row],[сумма]]*Таблица1[[#This Row],[коэф]])))))))))))))),
(IF((G740="5/24"),((база!$M$6*Таблица1[[#This Row],[сумма]]*Таблица1[[#This Row],[коэф]])),
IF(OR(G740="4/24",G740="3/24"),((база!$M$5*Таблица1[[#This Row],[сумма]]*Таблица1[[#This Row],[коэф]])),
IF((G740="5/16"),((база!$L$6*Таблица1[[#This Row],[сумма]]*Таблица1[[#This Row],[коэф]])),
IF(OR(G740="4/16",G740="3/16"),((база!$L$5*Таблица1[[#This Row],[сумма]]*Таблица1[[#This Row],[коэф]])),
IF(OR(G740="2/4",G740="3/4",G740="4/4"),((база!$I$5*Таблица1[[#This Row],[сумма]]*Таблица1[[#This Row],[коэф]])),
IF((G740="5/8"),((база!$J$6*Таблица1[[#This Row],[сумма]]*Таблица1[[#This Row],[коэф]])),
IF(OR(G740="4/8",G740="3/8",G740="2/8"),((база!$J$5*Таблица1[[#This Row],[сумма]]*Таблица1[[#This Row],[коэф]])))))))))))</f>
        <v>0</v>
      </c>
      <c r="AP740" s="730" t="b">
        <f>IF(AR740&lt;=3,(IF((G740="5/24"),((база!$M$6*2*Таблица1[[#This Row],[Столбец1]]*Таблица1[[#This Row],[коэф]])),
IF((G740="4/24"),((база!$M$5*2*Таблица1[[#This Row],[Столбец1]]*Таблица1[[#This Row],[коэф]])),
IF((G740="3/24"),((база!$M$4*2*Таблица1[[#This Row],[Столбец1]]*Таблица1[[#This Row],[коэф]])),
IF((G740="5/16"),((база!$L$6*2*Таблица1[[#This Row],[Столбец1]]*Таблица1[[#This Row],[коэф]])),
IF((G740="4/16"),((база!$L$5*2*Таблица1[[#This Row],[Столбец1]]*Таблица1[[#This Row],[коэф]])),
IF((G740="3/16"),((база!$L$4*2*Таблица1[[#This Row],[Столбец1]]*Таблица1[[#This Row],[коэф]])),
IF((G740="4/4"),((база!$I$5*2*Таблица1[[#This Row],[Столбец1]]*Таблица1[[#This Row],[коэф]])),
IF(OR(G740="2/4",G740="3/4"),((база!$I$4*2*Таблица1[[#This Row],[Столбец1]]*Таблица1[[#This Row],[коэф]])),
IF((G740="5/8"),((база!$J$6*2*Таблица1[[#This Row],[Столбец1]]*Таблица1[[#This Row],[коэф]])),
IF((G740="4/8"),((база!$J$5*2*Таблица1[[#This Row],[Столбец1]]*Таблица1[[#This Row],[коэф]])),
IF(OR(G740="3/8",G740="2/8"),((база!$J$4*2*Таблица1[[#This Row],[Столбец1]]*Таблица1[[#This Row],[коэф]])))))))))))))),
(IF((G740="5/24"),((база!$M$6*2*Таблица1[[#This Row],[Столбец1]]*Таблица1[[#This Row],[коэф]])),
IF(OR(G740="4/24",G740="3/24"),((база!$M$5*2*Таблица1[[#This Row],[Столбец1]]*Таблица1[[#This Row],[коэф]])),
IF((G740="5/16"),((база!$L$6*2*Таблица1[[#This Row],[Столбец1]]*Таблица1[[#This Row],[коэф]])),
IF(OR(G740="4/16",G740="3/16"),((база!$L$5*2*Таблица1[[#This Row],[Столбец1]]*Таблица1[[#This Row],[коэф]])),
IF(OR(G740="2/4",G740="3/4",G740="4/4"),((база!$I$5*2*Таблица1[[#This Row],[Столбец1]]*Таблица1[[#This Row],[коэф]])),
IF((G740="5/8"),((база!$J$6*2*Таблица1[[#This Row],[Столбец1]]*Таблица1[[#This Row],[коэф]])),
IF(OR(G740="4/8",G740="3/8",G740="2/8"),((база!$J$5*2*Таблица1[[#This Row],[Столбец1]]*Таблица1[[#This Row],[коэф]])))))))))))</f>
        <v>0</v>
      </c>
      <c r="AQ740" s="712" t="str">
        <f>IFERROR(INDEX(база!T:T, MATCH(F740,база!Q:Q,0)),"")</f>
        <v/>
      </c>
      <c r="AR740" s="208" t="str">
        <f>IFERROR(INDEX(база!D:D, MATCH(F740,база!B:B,0)),"")</f>
        <v/>
      </c>
      <c r="AS740" s="758" t="str">
        <f>IFERROR(INDEX(база!E:E, MATCH(F740,база!B:B,0)),"")</f>
        <v/>
      </c>
    </row>
    <row r="741" spans="1:45" ht="15">
      <c r="A741" s="66" t="str">
        <f t="shared" si="11"/>
        <v>январь</v>
      </c>
      <c r="B741" s="231">
        <v>2024</v>
      </c>
      <c r="C741" s="299"/>
      <c r="D741" s="61"/>
      <c r="E741" s="211"/>
      <c r="F741" s="680"/>
      <c r="G741" s="47"/>
      <c r="H741" s="563"/>
      <c r="I741" s="563"/>
      <c r="J741" s="563"/>
      <c r="K741" s="563"/>
      <c r="L741" s="563"/>
      <c r="M741" s="563"/>
      <c r="N741" s="563"/>
      <c r="O741" s="563"/>
      <c r="P741" s="300"/>
      <c r="Q741" s="563"/>
      <c r="R741" s="563"/>
      <c r="S741" s="563"/>
      <c r="T741" s="563"/>
      <c r="U741" s="563"/>
      <c r="V741" s="563"/>
      <c r="W741" s="563"/>
      <c r="X741" s="563"/>
      <c r="Y741" s="563"/>
      <c r="Z741" s="563"/>
      <c r="AA741" s="563"/>
      <c r="AB741" s="563"/>
      <c r="AC741" s="563"/>
      <c r="AD741" s="48"/>
      <c r="AE741" s="48"/>
      <c r="AF741" s="258"/>
      <c r="AG741" s="48"/>
      <c r="AH741" s="48"/>
      <c r="AI741" s="258"/>
      <c r="AJ741" s="258"/>
      <c r="AK741" s="258"/>
      <c r="AL741" s="258"/>
      <c r="AM741" s="212">
        <f>IF(AQ741=1,SUM(Q741:T741,W741:Z741,AC741:AF741,AI741:AL741),
IF(AQ741=2,SUM(P741,S741:V741,Y741:AB741,AE741:AH741,AK741:AL741),
IF(AQ741=3,SUM(P741:R741,U741:X741,AA741:AD741,AG741:AJ741),SUM(Таблица1[[#This Row],[1]:[31]])-Таблица1[[#This Row],[Столбец1]])))</f>
        <v>0</v>
      </c>
      <c r="AN741" s="778">
        <f t="array" ref="AN741">IF(AQ741=1,SUM(P741,U741:V741,AA741:AB741,AG741:AH741),
IF(AQ741=2,SUM(Q741:R741,W741:X741,AC741:AD741,AI741:AJ741),
IF(AQ741=3,SUM(S741:T741,Y741:Z741,AE741:AF741,AK741:AL741),
SUM(IFERROR(WEEKDAY($H$2:$AL$2,2)&gt;5,)*H741:AL741))))+Таблица1[[#This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41" s="292" t="b">
        <f>IF(AR741&lt;=3,(IF((G741="5/24"),((база!$M$6*Таблица1[[#This Row],[сумма]]*Таблица1[[#This Row],[коэф]])),
IF((G741="4/24"),((база!$M$5*Таблица1[[#This Row],[сумма]]*Таблица1[[#This Row],[коэф]])),
IF((G741="3/24"),((база!$M$4*Таблица1[[#This Row],[сумма]]*Таблица1[[#This Row],[коэф]])),
IF((G741="5/16"),((база!$L$6*Таблица1[[#This Row],[сумма]]*Таблица1[[#This Row],[коэф]])),
IF((G741="4/16"),((база!$L$5*Таблица1[[#This Row],[сумма]]*Таблица1[[#This Row],[коэф]])),
IF((G741="3/16"),((база!$L$4*Таблица1[[#This Row],[сумма]]*Таблица1[[#This Row],[коэф]])),
IF((G741="4/4"),((база!$I$5*Таблица1[[#This Row],[сумма]]*Таблица1[[#This Row],[коэф]])),
IF(OR(G741="2/4",G741="3/4"),((база!$I$4*Таблица1[[#This Row],[сумма]]*Таблица1[[#This Row],[коэф]])),
IF((G741="5/8"),((база!$J$6*Таблица1[[#This Row],[сумма]]*Таблица1[[#This Row],[коэф]])),
IF((G741="4/8"),((база!$J$5*Таблица1[[#This Row],[сумма]]*Таблица1[[#This Row],[коэф]])),
IF(OR(G741="3/8",G741="2/8"),((база!$J$4*Таблица1[[#This Row],[сумма]]*Таблица1[[#This Row],[коэф]])))))))))))))),
(IF((G741="5/24"),((база!$M$6*Таблица1[[#This Row],[сумма]]*Таблица1[[#This Row],[коэф]])),
IF(OR(G741="4/24",G741="3/24"),((база!$M$5*Таблица1[[#This Row],[сумма]]*Таблица1[[#This Row],[коэф]])),
IF((G741="5/16"),((база!$L$6*Таблица1[[#This Row],[сумма]]*Таблица1[[#This Row],[коэф]])),
IF(OR(G741="4/16",G741="3/16"),((база!$L$5*Таблица1[[#This Row],[сумма]]*Таблица1[[#This Row],[коэф]])),
IF(OR(G741="2/4",G741="3/4",G741="4/4"),((база!$I$5*Таблица1[[#This Row],[сумма]]*Таблица1[[#This Row],[коэф]])),
IF((G741="5/8"),((база!$J$6*Таблица1[[#This Row],[сумма]]*Таблица1[[#This Row],[коэф]])),
IF(OR(G741="4/8",G741="3/8",G741="2/8"),((база!$J$5*Таблица1[[#This Row],[сумма]]*Таблица1[[#This Row],[коэф]])))))))))))</f>
        <v>0</v>
      </c>
      <c r="AP741" s="730" t="b">
        <f>IF(AR741&lt;=3,(IF((G741="5/24"),((база!$M$6*2*Таблица1[[#This Row],[Столбец1]]*Таблица1[[#This Row],[коэф]])),
IF((G741="4/24"),((база!$M$5*2*Таблица1[[#This Row],[Столбец1]]*Таблица1[[#This Row],[коэф]])),
IF((G741="3/24"),((база!$M$4*2*Таблица1[[#This Row],[Столбец1]]*Таблица1[[#This Row],[коэф]])),
IF((G741="5/16"),((база!$L$6*2*Таблица1[[#This Row],[Столбец1]]*Таблица1[[#This Row],[коэф]])),
IF((G741="4/16"),((база!$L$5*2*Таблица1[[#This Row],[Столбец1]]*Таблица1[[#This Row],[коэф]])),
IF((G741="3/16"),((база!$L$4*2*Таблица1[[#This Row],[Столбец1]]*Таблица1[[#This Row],[коэф]])),
IF((G741="4/4"),((база!$I$5*2*Таблица1[[#This Row],[Столбец1]]*Таблица1[[#This Row],[коэф]])),
IF(OR(G741="2/4",G741="3/4"),((база!$I$4*2*Таблица1[[#This Row],[Столбец1]]*Таблица1[[#This Row],[коэф]])),
IF((G741="5/8"),((база!$J$6*2*Таблица1[[#This Row],[Столбец1]]*Таблица1[[#This Row],[коэф]])),
IF((G741="4/8"),((база!$J$5*2*Таблица1[[#This Row],[Столбец1]]*Таблица1[[#This Row],[коэф]])),
IF(OR(G741="3/8",G741="2/8"),((база!$J$4*2*Таблица1[[#This Row],[Столбец1]]*Таблица1[[#This Row],[коэф]])))))))))))))),
(IF((G741="5/24"),((база!$M$6*2*Таблица1[[#This Row],[Столбец1]]*Таблица1[[#This Row],[коэф]])),
IF(OR(G741="4/24",G741="3/24"),((база!$M$5*2*Таблица1[[#This Row],[Столбец1]]*Таблица1[[#This Row],[коэф]])),
IF((G741="5/16"),((база!$L$6*2*Таблица1[[#This Row],[Столбец1]]*Таблица1[[#This Row],[коэф]])),
IF(OR(G741="4/16",G741="3/16"),((база!$L$5*2*Таблица1[[#This Row],[Столбец1]]*Таблица1[[#This Row],[коэф]])),
IF(OR(G741="2/4",G741="3/4",G741="4/4"),((база!$I$5*2*Таблица1[[#This Row],[Столбец1]]*Таблица1[[#This Row],[коэф]])),
IF((G741="5/8"),((база!$J$6*2*Таблица1[[#This Row],[Столбец1]]*Таблица1[[#This Row],[коэф]])),
IF(OR(G741="4/8",G741="3/8",G741="2/8"),((база!$J$5*2*Таблица1[[#This Row],[Столбец1]]*Таблица1[[#This Row],[коэф]])))))))))))</f>
        <v>0</v>
      </c>
      <c r="AQ741" s="712" t="str">
        <f>IFERROR(INDEX(база!T:T, MATCH(F741,база!Q:Q,0)),"")</f>
        <v/>
      </c>
      <c r="AR741" s="208" t="str">
        <f>IFERROR(INDEX(база!D:D, MATCH(F741,база!B:B,0)),"")</f>
        <v/>
      </c>
      <c r="AS741" s="758" t="str">
        <f>IFERROR(INDEX(база!E:E, MATCH(F741,база!B:B,0)),"")</f>
        <v/>
      </c>
    </row>
    <row r="742" spans="1:45" ht="15">
      <c r="A742" s="66" t="str">
        <f t="shared" si="11"/>
        <v>январь</v>
      </c>
      <c r="B742" s="231">
        <v>2024</v>
      </c>
      <c r="C742" s="299"/>
      <c r="D742" s="61"/>
      <c r="E742" s="211"/>
      <c r="F742" s="680"/>
      <c r="G742" s="47"/>
      <c r="H742" s="563"/>
      <c r="I742" s="563"/>
      <c r="J742" s="563"/>
      <c r="K742" s="563"/>
      <c r="L742" s="563"/>
      <c r="M742" s="563"/>
      <c r="N742" s="563"/>
      <c r="O742" s="563"/>
      <c r="P742" s="300"/>
      <c r="Q742" s="563"/>
      <c r="R742" s="563"/>
      <c r="S742" s="563"/>
      <c r="T742" s="563"/>
      <c r="U742" s="563"/>
      <c r="V742" s="563"/>
      <c r="W742" s="563"/>
      <c r="X742" s="563"/>
      <c r="Y742" s="563"/>
      <c r="Z742" s="563"/>
      <c r="AA742" s="563"/>
      <c r="AB742" s="563"/>
      <c r="AC742" s="563"/>
      <c r="AD742" s="48"/>
      <c r="AE742" s="48"/>
      <c r="AF742" s="258"/>
      <c r="AG742" s="48"/>
      <c r="AH742" s="48"/>
      <c r="AI742" s="48"/>
      <c r="AJ742" s="48"/>
      <c r="AK742" s="48"/>
      <c r="AL742" s="51"/>
      <c r="AM742" s="212">
        <f>IF(AQ742=1,SUM(Q742:T742,W742:Z742,AC742:AF742,AI742:AL742),
IF(AQ742=2,SUM(P742,S742:V742,Y742:AB742,AE742:AH742,AK742:AL742),
IF(AQ742=3,SUM(P742:R742,U742:X742,AA742:AD742,AG742:AJ742),SUM(Таблица1[[#This Row],[1]:[31]])-Таблица1[[#This Row],[Столбец1]])))</f>
        <v>0</v>
      </c>
      <c r="AN742" s="778">
        <f t="array" ref="AN742">IF(AQ742=1,SUM(P742,U742:V742,AA742:AB742,AG742:AH742),
IF(AQ742=2,SUM(Q742:R742,W742:X742,AC742:AD742,AI742:AJ742),
IF(AQ742=3,SUM(S742:T742,Y742:Z742,AE742:AF742,AK742:AL742),
SUM(IFERROR(WEEKDAY($H$2:$AL$2,2)&gt;5,)*H742:AL742))))+Таблица1[[#This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42" s="292" t="b">
        <f>IF(AR742&lt;=3,(IF((G742="5/24"),((база!$M$6*Таблица1[[#This Row],[сумма]]*Таблица1[[#This Row],[коэф]])),
IF((G742="4/24"),((база!$M$5*Таблица1[[#This Row],[сумма]]*Таблица1[[#This Row],[коэф]])),
IF((G742="3/24"),((база!$M$4*Таблица1[[#This Row],[сумма]]*Таблица1[[#This Row],[коэф]])),
IF((G742="5/16"),((база!$L$6*Таблица1[[#This Row],[сумма]]*Таблица1[[#This Row],[коэф]])),
IF((G742="4/16"),((база!$L$5*Таблица1[[#This Row],[сумма]]*Таблица1[[#This Row],[коэф]])),
IF((G742="3/16"),((база!$L$4*Таблица1[[#This Row],[сумма]]*Таблица1[[#This Row],[коэф]])),
IF((G742="4/4"),((база!$I$5*Таблица1[[#This Row],[сумма]]*Таблица1[[#This Row],[коэф]])),
IF(OR(G742="2/4",G742="3/4"),((база!$I$4*Таблица1[[#This Row],[сумма]]*Таблица1[[#This Row],[коэф]])),
IF((G742="5/8"),((база!$J$6*Таблица1[[#This Row],[сумма]]*Таблица1[[#This Row],[коэф]])),
IF((G742="4/8"),((база!$J$5*Таблица1[[#This Row],[сумма]]*Таблица1[[#This Row],[коэф]])),
IF(OR(G742="3/8",G742="2/8"),((база!$J$4*Таблица1[[#This Row],[сумма]]*Таблица1[[#This Row],[коэф]])))))))))))))),
(IF((G742="5/24"),((база!$M$6*Таблица1[[#This Row],[сумма]]*Таблица1[[#This Row],[коэф]])),
IF(OR(G742="4/24",G742="3/24"),((база!$M$5*Таблица1[[#This Row],[сумма]]*Таблица1[[#This Row],[коэф]])),
IF((G742="5/16"),((база!$L$6*Таблица1[[#This Row],[сумма]]*Таблица1[[#This Row],[коэф]])),
IF(OR(G742="4/16",G742="3/16"),((база!$L$5*Таблица1[[#This Row],[сумма]]*Таблица1[[#This Row],[коэф]])),
IF(OR(G742="2/4",G742="3/4",G742="4/4"),((база!$I$5*Таблица1[[#This Row],[сумма]]*Таблица1[[#This Row],[коэф]])),
IF((G742="5/8"),((база!$J$6*Таблица1[[#This Row],[сумма]]*Таблица1[[#This Row],[коэф]])),
IF(OR(G742="4/8",G742="3/8",G742="2/8"),((база!$J$5*Таблица1[[#This Row],[сумма]]*Таблица1[[#This Row],[коэф]])))))))))))</f>
        <v>0</v>
      </c>
      <c r="AP742" s="730" t="b">
        <f>IF(AR742&lt;=3,(IF((G742="5/24"),((база!$M$6*2*Таблица1[[#This Row],[Столбец1]]*Таблица1[[#This Row],[коэф]])),
IF((G742="4/24"),((база!$M$5*2*Таблица1[[#This Row],[Столбец1]]*Таблица1[[#This Row],[коэф]])),
IF((G742="3/24"),((база!$M$4*2*Таблица1[[#This Row],[Столбец1]]*Таблица1[[#This Row],[коэф]])),
IF((G742="5/16"),((база!$L$6*2*Таблица1[[#This Row],[Столбец1]]*Таблица1[[#This Row],[коэф]])),
IF((G742="4/16"),((база!$L$5*2*Таблица1[[#This Row],[Столбец1]]*Таблица1[[#This Row],[коэф]])),
IF((G742="3/16"),((база!$L$4*2*Таблица1[[#This Row],[Столбец1]]*Таблица1[[#This Row],[коэф]])),
IF((G742="4/4"),((база!$I$5*2*Таблица1[[#This Row],[Столбец1]]*Таблица1[[#This Row],[коэф]])),
IF(OR(G742="2/4",G742="3/4"),((база!$I$4*2*Таблица1[[#This Row],[Столбец1]]*Таблица1[[#This Row],[коэф]])),
IF((G742="5/8"),((база!$J$6*2*Таблица1[[#This Row],[Столбец1]]*Таблица1[[#This Row],[коэф]])),
IF((G742="4/8"),((база!$J$5*2*Таблица1[[#This Row],[Столбец1]]*Таблица1[[#This Row],[коэф]])),
IF(OR(G742="3/8",G742="2/8"),((база!$J$4*2*Таблица1[[#This Row],[Столбец1]]*Таблица1[[#This Row],[коэф]])))))))))))))),
(IF((G742="5/24"),((база!$M$6*2*Таблица1[[#This Row],[Столбец1]]*Таблица1[[#This Row],[коэф]])),
IF(OR(G742="4/24",G742="3/24"),((база!$M$5*2*Таблица1[[#This Row],[Столбец1]]*Таблица1[[#This Row],[коэф]])),
IF((G742="5/16"),((база!$L$6*2*Таблица1[[#This Row],[Столбец1]]*Таблица1[[#This Row],[коэф]])),
IF(OR(G742="4/16",G742="3/16"),((база!$L$5*2*Таблица1[[#This Row],[Столбец1]]*Таблица1[[#This Row],[коэф]])),
IF(OR(G742="2/4",G742="3/4",G742="4/4"),((база!$I$5*2*Таблица1[[#This Row],[Столбец1]]*Таблица1[[#This Row],[коэф]])),
IF((G742="5/8"),((база!$J$6*2*Таблица1[[#This Row],[Столбец1]]*Таблица1[[#This Row],[коэф]])),
IF(OR(G742="4/8",G742="3/8",G742="2/8"),((база!$J$5*2*Таблица1[[#This Row],[Столбец1]]*Таблица1[[#This Row],[коэф]])))))))))))</f>
        <v>0</v>
      </c>
      <c r="AQ742" s="712" t="str">
        <f>IFERROR(INDEX(база!T:T, MATCH(F742,база!Q:Q,0)),"")</f>
        <v/>
      </c>
      <c r="AR742" s="208" t="str">
        <f>IFERROR(INDEX(база!D:D, MATCH(F742,база!B:B,0)),"")</f>
        <v/>
      </c>
      <c r="AS742" s="758" t="str">
        <f>IFERROR(INDEX(база!E:E, MATCH(F742,база!B:B,0)),"")</f>
        <v/>
      </c>
    </row>
    <row r="743" spans="1:45" ht="15">
      <c r="A743" s="66" t="str">
        <f t="shared" si="11"/>
        <v>январь</v>
      </c>
      <c r="B743" s="231">
        <v>2024</v>
      </c>
      <c r="C743" s="299"/>
      <c r="D743" s="61"/>
      <c r="E743" s="211"/>
      <c r="F743" s="680"/>
      <c r="G743" s="47"/>
      <c r="H743" s="563"/>
      <c r="I743" s="563"/>
      <c r="J743" s="563"/>
      <c r="K743" s="563"/>
      <c r="L743" s="563"/>
      <c r="M743" s="563"/>
      <c r="N743" s="563"/>
      <c r="O743" s="563"/>
      <c r="P743" s="300"/>
      <c r="Q743" s="563"/>
      <c r="R743" s="563"/>
      <c r="S743" s="563"/>
      <c r="T743" s="563"/>
      <c r="U743" s="563"/>
      <c r="V743" s="563"/>
      <c r="W743" s="563"/>
      <c r="X743" s="563"/>
      <c r="Y743" s="563"/>
      <c r="Z743" s="563"/>
      <c r="AA743" s="563"/>
      <c r="AB743" s="563"/>
      <c r="AC743" s="563"/>
      <c r="AD743" s="48"/>
      <c r="AE743" s="48"/>
      <c r="AF743" s="258"/>
      <c r="AG743" s="48"/>
      <c r="AH743" s="48"/>
      <c r="AI743" s="258"/>
      <c r="AJ743" s="258"/>
      <c r="AK743" s="258"/>
      <c r="AL743" s="258"/>
      <c r="AM743" s="212">
        <f>IF(AQ743=1,SUM(Q743:T743,W743:Z743,AC743:AF743,AI743:AL743),
IF(AQ743=2,SUM(P743,S743:V743,Y743:AB743,AE743:AH743,AK743:AL743),
IF(AQ743=3,SUM(P743:R743,U743:X743,AA743:AD743,AG743:AJ743),SUM(Таблица1[[#This Row],[1]:[31]])-Таблица1[[#This Row],[Столбец1]])))</f>
        <v>0</v>
      </c>
      <c r="AN743" s="778">
        <f t="array" ref="AN743">IF(AQ743=1,SUM(P743,U743:V743,AA743:AB743,AG743:AH743),
IF(AQ743=2,SUM(Q743:R743,W743:X743,AC743:AD743,AI743:AJ743),
IF(AQ743=3,SUM(S743:T743,Y743:Z743,AE743:AF743,AK743:AL743),
SUM(IFERROR(WEEKDAY($H$2:$AL$2,2)&gt;5,)*H743:AL743))))+Таблица1[[#This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43" s="292" t="b">
        <f>IF(AR743&lt;=3,(IF((G743="5/24"),((база!$M$6*Таблица1[[#This Row],[сумма]]*Таблица1[[#This Row],[коэф]])),
IF((G743="4/24"),((база!$M$5*Таблица1[[#This Row],[сумма]]*Таблица1[[#This Row],[коэф]])),
IF((G743="3/24"),((база!$M$4*Таблица1[[#This Row],[сумма]]*Таблица1[[#This Row],[коэф]])),
IF((G743="5/16"),((база!$L$6*Таблица1[[#This Row],[сумма]]*Таблица1[[#This Row],[коэф]])),
IF((G743="4/16"),((база!$L$5*Таблица1[[#This Row],[сумма]]*Таблица1[[#This Row],[коэф]])),
IF((G743="3/16"),((база!$L$4*Таблица1[[#This Row],[сумма]]*Таблица1[[#This Row],[коэф]])),
IF((G743="4/4"),((база!$I$5*Таблица1[[#This Row],[сумма]]*Таблица1[[#This Row],[коэф]])),
IF(OR(G743="2/4",G743="3/4"),((база!$I$4*Таблица1[[#This Row],[сумма]]*Таблица1[[#This Row],[коэф]])),
IF((G743="5/8"),((база!$J$6*Таблица1[[#This Row],[сумма]]*Таблица1[[#This Row],[коэф]])),
IF((G743="4/8"),((база!$J$5*Таблица1[[#This Row],[сумма]]*Таблица1[[#This Row],[коэф]])),
IF(OR(G743="3/8",G743="2/8"),((база!$J$4*Таблица1[[#This Row],[сумма]]*Таблица1[[#This Row],[коэф]])))))))))))))),
(IF((G743="5/24"),((база!$M$6*Таблица1[[#This Row],[сумма]]*Таблица1[[#This Row],[коэф]])),
IF(OR(G743="4/24",G743="3/24"),((база!$M$5*Таблица1[[#This Row],[сумма]]*Таблица1[[#This Row],[коэф]])),
IF((G743="5/16"),((база!$L$6*Таблица1[[#This Row],[сумма]]*Таблица1[[#This Row],[коэф]])),
IF(OR(G743="4/16",G743="3/16"),((база!$L$5*Таблица1[[#This Row],[сумма]]*Таблица1[[#This Row],[коэф]])),
IF(OR(G743="2/4",G743="3/4",G743="4/4"),((база!$I$5*Таблица1[[#This Row],[сумма]]*Таблица1[[#This Row],[коэф]])),
IF((G743="5/8"),((база!$J$6*Таблица1[[#This Row],[сумма]]*Таблица1[[#This Row],[коэф]])),
IF(OR(G743="4/8",G743="3/8",G743="2/8"),((база!$J$5*Таблица1[[#This Row],[сумма]]*Таблица1[[#This Row],[коэф]])))))))))))</f>
        <v>0</v>
      </c>
      <c r="AP743" s="730" t="b">
        <f>IF(AR743&lt;=3,(IF((G743="5/24"),((база!$M$6*2*Таблица1[[#This Row],[Столбец1]]*Таблица1[[#This Row],[коэф]])),
IF((G743="4/24"),((база!$M$5*2*Таблица1[[#This Row],[Столбец1]]*Таблица1[[#This Row],[коэф]])),
IF((G743="3/24"),((база!$M$4*2*Таблица1[[#This Row],[Столбец1]]*Таблица1[[#This Row],[коэф]])),
IF((G743="5/16"),((база!$L$6*2*Таблица1[[#This Row],[Столбец1]]*Таблица1[[#This Row],[коэф]])),
IF((G743="4/16"),((база!$L$5*2*Таблица1[[#This Row],[Столбец1]]*Таблица1[[#This Row],[коэф]])),
IF((G743="3/16"),((база!$L$4*2*Таблица1[[#This Row],[Столбец1]]*Таблица1[[#This Row],[коэф]])),
IF((G743="4/4"),((база!$I$5*2*Таблица1[[#This Row],[Столбец1]]*Таблица1[[#This Row],[коэф]])),
IF(OR(G743="2/4",G743="3/4"),((база!$I$4*2*Таблица1[[#This Row],[Столбец1]]*Таблица1[[#This Row],[коэф]])),
IF((G743="5/8"),((база!$J$6*2*Таблица1[[#This Row],[Столбец1]]*Таблица1[[#This Row],[коэф]])),
IF((G743="4/8"),((база!$J$5*2*Таблица1[[#This Row],[Столбец1]]*Таблица1[[#This Row],[коэф]])),
IF(OR(G743="3/8",G743="2/8"),((база!$J$4*2*Таблица1[[#This Row],[Столбец1]]*Таблица1[[#This Row],[коэф]])))))))))))))),
(IF((G743="5/24"),((база!$M$6*2*Таблица1[[#This Row],[Столбец1]]*Таблица1[[#This Row],[коэф]])),
IF(OR(G743="4/24",G743="3/24"),((база!$M$5*2*Таблица1[[#This Row],[Столбец1]]*Таблица1[[#This Row],[коэф]])),
IF((G743="5/16"),((база!$L$6*2*Таблица1[[#This Row],[Столбец1]]*Таблица1[[#This Row],[коэф]])),
IF(OR(G743="4/16",G743="3/16"),((база!$L$5*2*Таблица1[[#This Row],[Столбец1]]*Таблица1[[#This Row],[коэф]])),
IF(OR(G743="2/4",G743="3/4",G743="4/4"),((база!$I$5*2*Таблица1[[#This Row],[Столбец1]]*Таблица1[[#This Row],[коэф]])),
IF((G743="5/8"),((база!$J$6*2*Таблица1[[#This Row],[Столбец1]]*Таблица1[[#This Row],[коэф]])),
IF(OR(G743="4/8",G743="3/8",G743="2/8"),((база!$J$5*2*Таблица1[[#This Row],[Столбец1]]*Таблица1[[#This Row],[коэф]])))))))))))</f>
        <v>0</v>
      </c>
      <c r="AQ743" s="712" t="str">
        <f>IFERROR(INDEX(база!T:T, MATCH(F743,база!Q:Q,0)),"")</f>
        <v/>
      </c>
      <c r="AR743" s="208" t="str">
        <f>IFERROR(INDEX(база!D:D, MATCH(F743,база!B:B,0)),"")</f>
        <v/>
      </c>
      <c r="AS743" s="758" t="str">
        <f>IFERROR(INDEX(база!E:E, MATCH(F743,база!B:B,0)),"")</f>
        <v/>
      </c>
    </row>
    <row r="744" spans="1:45" ht="15">
      <c r="A744" s="66" t="str">
        <f t="shared" si="11"/>
        <v>январь</v>
      </c>
      <c r="B744" s="231">
        <v>2024</v>
      </c>
      <c r="C744" s="299"/>
      <c r="D744" s="61"/>
      <c r="E744" s="211"/>
      <c r="F744" s="680"/>
      <c r="G744" s="47"/>
      <c r="H744" s="563"/>
      <c r="I744" s="563"/>
      <c r="J744" s="563"/>
      <c r="K744" s="563"/>
      <c r="L744" s="563"/>
      <c r="M744" s="563"/>
      <c r="N744" s="563"/>
      <c r="O744" s="563"/>
      <c r="P744" s="300"/>
      <c r="Q744" s="563"/>
      <c r="R744" s="563"/>
      <c r="S744" s="563"/>
      <c r="T744" s="563"/>
      <c r="U744" s="563"/>
      <c r="V744" s="563"/>
      <c r="W744" s="563"/>
      <c r="X744" s="563"/>
      <c r="Y744" s="563"/>
      <c r="Z744" s="563"/>
      <c r="AA744" s="563"/>
      <c r="AB744" s="563"/>
      <c r="AC744" s="563"/>
      <c r="AD744" s="48"/>
      <c r="AE744" s="48"/>
      <c r="AF744" s="258"/>
      <c r="AG744" s="48"/>
      <c r="AH744" s="48"/>
      <c r="AI744" s="48"/>
      <c r="AJ744" s="48"/>
      <c r="AK744" s="48"/>
      <c r="AL744" s="51"/>
      <c r="AM744" s="212">
        <f>IF(AQ744=1,SUM(Q744:T744,W744:Z744,AC744:AF744,AI744:AL744),
IF(AQ744=2,SUM(P744,S744:V744,Y744:AB744,AE744:AH744,AK744:AL744),
IF(AQ744=3,SUM(P744:R744,U744:X744,AA744:AD744,AG744:AJ744),SUM(Таблица1[[#This Row],[1]:[31]])-Таблица1[[#This Row],[Столбец1]])))</f>
        <v>0</v>
      </c>
      <c r="AN744" s="778">
        <f t="array" ref="AN744">IF(AQ744=1,SUM(P744,U744:V744,AA744:AB744,AG744:AH744),
IF(AQ744=2,SUM(Q744:R744,W744:X744,AC744:AD744,AI744:AJ744),
IF(AQ744=3,SUM(S744:T744,Y744:Z744,AE744:AF744,AK744:AL744),
SUM(IFERROR(WEEKDAY($H$2:$AL$2,2)&gt;5,)*H744:AL744))))+Таблица1[[#This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44" s="292" t="b">
        <f>IF(AR744&lt;=3,(IF((G744="5/24"),((база!$M$6*Таблица1[[#This Row],[сумма]]*Таблица1[[#This Row],[коэф]])),
IF((G744="4/24"),((база!$M$5*Таблица1[[#This Row],[сумма]]*Таблица1[[#This Row],[коэф]])),
IF((G744="3/24"),((база!$M$4*Таблица1[[#This Row],[сумма]]*Таблица1[[#This Row],[коэф]])),
IF((G744="5/16"),((база!$L$6*Таблица1[[#This Row],[сумма]]*Таблица1[[#This Row],[коэф]])),
IF((G744="4/16"),((база!$L$5*Таблица1[[#This Row],[сумма]]*Таблица1[[#This Row],[коэф]])),
IF((G744="3/16"),((база!$L$4*Таблица1[[#This Row],[сумма]]*Таблица1[[#This Row],[коэф]])),
IF((G744="4/4"),((база!$I$5*Таблица1[[#This Row],[сумма]]*Таблица1[[#This Row],[коэф]])),
IF(OR(G744="2/4",G744="3/4"),((база!$I$4*Таблица1[[#This Row],[сумма]]*Таблица1[[#This Row],[коэф]])),
IF((G744="5/8"),((база!$J$6*Таблица1[[#This Row],[сумма]]*Таблица1[[#This Row],[коэф]])),
IF((G744="4/8"),((база!$J$5*Таблица1[[#This Row],[сумма]]*Таблица1[[#This Row],[коэф]])),
IF(OR(G744="3/8",G744="2/8"),((база!$J$4*Таблица1[[#This Row],[сумма]]*Таблица1[[#This Row],[коэф]])))))))))))))),
(IF((G744="5/24"),((база!$M$6*Таблица1[[#This Row],[сумма]]*Таблица1[[#This Row],[коэф]])),
IF(OR(G744="4/24",G744="3/24"),((база!$M$5*Таблица1[[#This Row],[сумма]]*Таблица1[[#This Row],[коэф]])),
IF((G744="5/16"),((база!$L$6*Таблица1[[#This Row],[сумма]]*Таблица1[[#This Row],[коэф]])),
IF(OR(G744="4/16",G744="3/16"),((база!$L$5*Таблица1[[#This Row],[сумма]]*Таблица1[[#This Row],[коэф]])),
IF(OR(G744="2/4",G744="3/4",G744="4/4"),((база!$I$5*Таблица1[[#This Row],[сумма]]*Таблица1[[#This Row],[коэф]])),
IF((G744="5/8"),((база!$J$6*Таблица1[[#This Row],[сумма]]*Таблица1[[#This Row],[коэф]])),
IF(OR(G744="4/8",G744="3/8",G744="2/8"),((база!$J$5*Таблица1[[#This Row],[сумма]]*Таблица1[[#This Row],[коэф]])))))))))))</f>
        <v>0</v>
      </c>
      <c r="AP744" s="730" t="b">
        <f>IF(AR744&lt;=3,(IF((G744="5/24"),((база!$M$6*2*Таблица1[[#This Row],[Столбец1]]*Таблица1[[#This Row],[коэф]])),
IF((G744="4/24"),((база!$M$5*2*Таблица1[[#This Row],[Столбец1]]*Таблица1[[#This Row],[коэф]])),
IF((G744="3/24"),((база!$M$4*2*Таблица1[[#This Row],[Столбец1]]*Таблица1[[#This Row],[коэф]])),
IF((G744="5/16"),((база!$L$6*2*Таблица1[[#This Row],[Столбец1]]*Таблица1[[#This Row],[коэф]])),
IF((G744="4/16"),((база!$L$5*2*Таблица1[[#This Row],[Столбец1]]*Таблица1[[#This Row],[коэф]])),
IF((G744="3/16"),((база!$L$4*2*Таблица1[[#This Row],[Столбец1]]*Таблица1[[#This Row],[коэф]])),
IF((G744="4/4"),((база!$I$5*2*Таблица1[[#This Row],[Столбец1]]*Таблица1[[#This Row],[коэф]])),
IF(OR(G744="2/4",G744="3/4"),((база!$I$4*2*Таблица1[[#This Row],[Столбец1]]*Таблица1[[#This Row],[коэф]])),
IF((G744="5/8"),((база!$J$6*2*Таблица1[[#This Row],[Столбец1]]*Таблица1[[#This Row],[коэф]])),
IF((G744="4/8"),((база!$J$5*2*Таблица1[[#This Row],[Столбец1]]*Таблица1[[#This Row],[коэф]])),
IF(OR(G744="3/8",G744="2/8"),((база!$J$4*2*Таблица1[[#This Row],[Столбец1]]*Таблица1[[#This Row],[коэф]])))))))))))))),
(IF((G744="5/24"),((база!$M$6*2*Таблица1[[#This Row],[Столбец1]]*Таблица1[[#This Row],[коэф]])),
IF(OR(G744="4/24",G744="3/24"),((база!$M$5*2*Таблица1[[#This Row],[Столбец1]]*Таблица1[[#This Row],[коэф]])),
IF((G744="5/16"),((база!$L$6*2*Таблица1[[#This Row],[Столбец1]]*Таблица1[[#This Row],[коэф]])),
IF(OR(G744="4/16",G744="3/16"),((база!$L$5*2*Таблица1[[#This Row],[Столбец1]]*Таблица1[[#This Row],[коэф]])),
IF(OR(G744="2/4",G744="3/4",G744="4/4"),((база!$I$5*2*Таблица1[[#This Row],[Столбец1]]*Таблица1[[#This Row],[коэф]])),
IF((G744="5/8"),((база!$J$6*2*Таблица1[[#This Row],[Столбец1]]*Таблица1[[#This Row],[коэф]])),
IF(OR(G744="4/8",G744="3/8",G744="2/8"),((база!$J$5*2*Таблица1[[#This Row],[Столбец1]]*Таблица1[[#This Row],[коэф]])))))))))))</f>
        <v>0</v>
      </c>
      <c r="AQ744" s="712" t="str">
        <f>IFERROR(INDEX(база!T:T, MATCH(F744,база!Q:Q,0)),"")</f>
        <v/>
      </c>
      <c r="AR744" s="208" t="str">
        <f>IFERROR(INDEX(база!D:D, MATCH(F744,база!B:B,0)),"")</f>
        <v/>
      </c>
      <c r="AS744" s="758" t="str">
        <f>IFERROR(INDEX(база!E:E, MATCH(F744,база!B:B,0)),"")</f>
        <v/>
      </c>
    </row>
    <row r="745" spans="1:45" ht="15">
      <c r="A745" s="66" t="str">
        <f t="shared" si="11"/>
        <v>январь</v>
      </c>
      <c r="B745" s="231">
        <v>2024</v>
      </c>
      <c r="C745" s="299"/>
      <c r="D745" s="61"/>
      <c r="E745" s="211"/>
      <c r="F745" s="680"/>
      <c r="G745" s="47"/>
      <c r="H745" s="563"/>
      <c r="I745" s="563"/>
      <c r="J745" s="563"/>
      <c r="K745" s="563"/>
      <c r="L745" s="563"/>
      <c r="M745" s="563"/>
      <c r="N745" s="563"/>
      <c r="O745" s="563"/>
      <c r="P745" s="300"/>
      <c r="Q745" s="563"/>
      <c r="R745" s="563"/>
      <c r="S745" s="563"/>
      <c r="T745" s="563"/>
      <c r="U745" s="563"/>
      <c r="V745" s="563"/>
      <c r="W745" s="563"/>
      <c r="X745" s="563"/>
      <c r="Y745" s="563"/>
      <c r="Z745" s="563"/>
      <c r="AA745" s="563"/>
      <c r="AB745" s="563"/>
      <c r="AC745" s="563"/>
      <c r="AD745" s="48"/>
      <c r="AE745" s="48"/>
      <c r="AF745" s="258"/>
      <c r="AG745" s="48"/>
      <c r="AH745" s="48"/>
      <c r="AI745" s="258"/>
      <c r="AJ745" s="258"/>
      <c r="AK745" s="258"/>
      <c r="AL745" s="258"/>
      <c r="AM745" s="212">
        <f>IF(AQ745=1,SUM(Q745:T745,W745:Z745,AC745:AF745,AI745:AL745),
IF(AQ745=2,SUM(P745,S745:V745,Y745:AB745,AE745:AH745,AK745:AL745),
IF(AQ745=3,SUM(P745:R745,U745:X745,AA745:AD745,AG745:AJ745),SUM(Таблица1[[#This Row],[1]:[31]])-Таблица1[[#This Row],[Столбец1]])))</f>
        <v>0</v>
      </c>
      <c r="AN745" s="778">
        <f t="array" ref="AN745">IF(AQ745=1,SUM(P745,U745:V745,AA745:AB745,AG745:AH745),
IF(AQ745=2,SUM(Q745:R745,W745:X745,AC745:AD745,AI745:AJ745),
IF(AQ745=3,SUM(S745:T745,Y745:Z745,AE745:AF745,AK745:AL745),
SUM(IFERROR(WEEKDAY($H$2:$AL$2,2)&gt;5,)*H745:AL745))))+Таблица1[[#This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45" s="292" t="b">
        <f>IF(AR745&lt;=3,(IF((G745="5/24"),((база!$M$6*Таблица1[[#This Row],[сумма]]*Таблица1[[#This Row],[коэф]])),
IF((G745="4/24"),((база!$M$5*Таблица1[[#This Row],[сумма]]*Таблица1[[#This Row],[коэф]])),
IF((G745="3/24"),((база!$M$4*Таблица1[[#This Row],[сумма]]*Таблица1[[#This Row],[коэф]])),
IF((G745="5/16"),((база!$L$6*Таблица1[[#This Row],[сумма]]*Таблица1[[#This Row],[коэф]])),
IF((G745="4/16"),((база!$L$5*Таблица1[[#This Row],[сумма]]*Таблица1[[#This Row],[коэф]])),
IF((G745="3/16"),((база!$L$4*Таблица1[[#This Row],[сумма]]*Таблица1[[#This Row],[коэф]])),
IF((G745="4/4"),((база!$I$5*Таблица1[[#This Row],[сумма]]*Таблица1[[#This Row],[коэф]])),
IF(OR(G745="2/4",G745="3/4"),((база!$I$4*Таблица1[[#This Row],[сумма]]*Таблица1[[#This Row],[коэф]])),
IF((G745="5/8"),((база!$J$6*Таблица1[[#This Row],[сумма]]*Таблица1[[#This Row],[коэф]])),
IF((G745="4/8"),((база!$J$5*Таблица1[[#This Row],[сумма]]*Таблица1[[#This Row],[коэф]])),
IF(OR(G745="3/8",G745="2/8"),((база!$J$4*Таблица1[[#This Row],[сумма]]*Таблица1[[#This Row],[коэф]])))))))))))))),
(IF((G745="5/24"),((база!$M$6*Таблица1[[#This Row],[сумма]]*Таблица1[[#This Row],[коэф]])),
IF(OR(G745="4/24",G745="3/24"),((база!$M$5*Таблица1[[#This Row],[сумма]]*Таблица1[[#This Row],[коэф]])),
IF((G745="5/16"),((база!$L$6*Таблица1[[#This Row],[сумма]]*Таблица1[[#This Row],[коэф]])),
IF(OR(G745="4/16",G745="3/16"),((база!$L$5*Таблица1[[#This Row],[сумма]]*Таблица1[[#This Row],[коэф]])),
IF(OR(G745="2/4",G745="3/4",G745="4/4"),((база!$I$5*Таблица1[[#This Row],[сумма]]*Таблица1[[#This Row],[коэф]])),
IF((G745="5/8"),((база!$J$6*Таблица1[[#This Row],[сумма]]*Таблица1[[#This Row],[коэф]])),
IF(OR(G745="4/8",G745="3/8",G745="2/8"),((база!$J$5*Таблица1[[#This Row],[сумма]]*Таблица1[[#This Row],[коэф]])))))))))))</f>
        <v>0</v>
      </c>
      <c r="AP745" s="730" t="b">
        <f>IF(AR745&lt;=3,(IF((G745="5/24"),((база!$M$6*2*Таблица1[[#This Row],[Столбец1]]*Таблица1[[#This Row],[коэф]])),
IF((G745="4/24"),((база!$M$5*2*Таблица1[[#This Row],[Столбец1]]*Таблица1[[#This Row],[коэф]])),
IF((G745="3/24"),((база!$M$4*2*Таблица1[[#This Row],[Столбец1]]*Таблица1[[#This Row],[коэф]])),
IF((G745="5/16"),((база!$L$6*2*Таблица1[[#This Row],[Столбец1]]*Таблица1[[#This Row],[коэф]])),
IF((G745="4/16"),((база!$L$5*2*Таблица1[[#This Row],[Столбец1]]*Таблица1[[#This Row],[коэф]])),
IF((G745="3/16"),((база!$L$4*2*Таблица1[[#This Row],[Столбец1]]*Таблица1[[#This Row],[коэф]])),
IF((G745="4/4"),((база!$I$5*2*Таблица1[[#This Row],[Столбец1]]*Таблица1[[#This Row],[коэф]])),
IF(OR(G745="2/4",G745="3/4"),((база!$I$4*2*Таблица1[[#This Row],[Столбец1]]*Таблица1[[#This Row],[коэф]])),
IF((G745="5/8"),((база!$J$6*2*Таблица1[[#This Row],[Столбец1]]*Таблица1[[#This Row],[коэф]])),
IF((G745="4/8"),((база!$J$5*2*Таблица1[[#This Row],[Столбец1]]*Таблица1[[#This Row],[коэф]])),
IF(OR(G745="3/8",G745="2/8"),((база!$J$4*2*Таблица1[[#This Row],[Столбец1]]*Таблица1[[#This Row],[коэф]])))))))))))))),
(IF((G745="5/24"),((база!$M$6*2*Таблица1[[#This Row],[Столбец1]]*Таблица1[[#This Row],[коэф]])),
IF(OR(G745="4/24",G745="3/24"),((база!$M$5*2*Таблица1[[#This Row],[Столбец1]]*Таблица1[[#This Row],[коэф]])),
IF((G745="5/16"),((база!$L$6*2*Таблица1[[#This Row],[Столбец1]]*Таблица1[[#This Row],[коэф]])),
IF(OR(G745="4/16",G745="3/16"),((база!$L$5*2*Таблица1[[#This Row],[Столбец1]]*Таблица1[[#This Row],[коэф]])),
IF(OR(G745="2/4",G745="3/4",G745="4/4"),((база!$I$5*2*Таблица1[[#This Row],[Столбец1]]*Таблица1[[#This Row],[коэф]])),
IF((G745="5/8"),((база!$J$6*2*Таблица1[[#This Row],[Столбец1]]*Таблица1[[#This Row],[коэф]])),
IF(OR(G745="4/8",G745="3/8",G745="2/8"),((база!$J$5*2*Таблица1[[#This Row],[Столбец1]]*Таблица1[[#This Row],[коэф]])))))))))))</f>
        <v>0</v>
      </c>
      <c r="AQ745" s="712" t="str">
        <f>IFERROR(INDEX(база!T:T, MATCH(F745,база!Q:Q,0)),"")</f>
        <v/>
      </c>
      <c r="AR745" s="208" t="str">
        <f>IFERROR(INDEX(база!D:D, MATCH(F745,база!B:B,0)),"")</f>
        <v/>
      </c>
      <c r="AS745" s="758" t="str">
        <f>IFERROR(INDEX(база!E:E, MATCH(F745,база!B:B,0)),"")</f>
        <v/>
      </c>
    </row>
    <row r="746" spans="1:45" ht="16.5" customHeight="1">
      <c r="A746" s="66" t="str">
        <f t="shared" si="11"/>
        <v>январь</v>
      </c>
      <c r="B746" s="231">
        <v>2024</v>
      </c>
      <c r="C746" s="299"/>
      <c r="D746" s="61"/>
      <c r="E746" s="211"/>
      <c r="F746" s="680"/>
      <c r="G746" s="47"/>
      <c r="H746" s="563"/>
      <c r="I746" s="563"/>
      <c r="J746" s="563"/>
      <c r="K746" s="563"/>
      <c r="L746" s="563"/>
      <c r="M746" s="563"/>
      <c r="N746" s="563"/>
      <c r="O746" s="563"/>
      <c r="P746" s="300"/>
      <c r="Q746" s="563"/>
      <c r="R746" s="563"/>
      <c r="S746" s="563"/>
      <c r="T746" s="563"/>
      <c r="U746" s="563"/>
      <c r="V746" s="563"/>
      <c r="W746" s="563"/>
      <c r="X746" s="563"/>
      <c r="Y746" s="563"/>
      <c r="Z746" s="563"/>
      <c r="AA746" s="563"/>
      <c r="AB746" s="563"/>
      <c r="AC746" s="563"/>
      <c r="AD746" s="48"/>
      <c r="AE746" s="48"/>
      <c r="AF746" s="258"/>
      <c r="AG746" s="48"/>
      <c r="AH746" s="48"/>
      <c r="AI746" s="48"/>
      <c r="AJ746" s="48"/>
      <c r="AK746" s="48"/>
      <c r="AL746" s="51"/>
      <c r="AM746" s="212">
        <f>IF(AQ746=1,SUM(Q746:T746,W746:Z746,AC746:AF746,AI746:AL746),
IF(AQ746=2,SUM(P746,S746:V746,Y746:AB746,AE746:AH746,AK746:AL746),
IF(AQ746=3,SUM(P746:R746,U746:X746,AA746:AD746,AG746:AJ746),SUM(Таблица1[[#This Row],[1]:[31]])-Таблица1[[#This Row],[Столбец1]])))</f>
        <v>0</v>
      </c>
      <c r="AN746" s="778">
        <f t="array" ref="AN746">IF(AQ746=1,SUM(P746,U746:V746,AA746:AB746,AG746:AH746),
IF(AQ746=2,SUM(Q746:R746,W746:X746,AC746:AD746,AI746:AJ746),
IF(AQ746=3,SUM(S746:T746,Y746:Z746,AE746:AF746,AK746:AL746),
SUM(IFERROR(WEEKDAY($H$2:$AL$2,2)&gt;5,)*H746:AL746))))+Таблица1[[#This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46" s="292" t="b">
        <f>IF(AR746&lt;=3,(IF((G746="5/24"),((база!$M$6*Таблица1[[#This Row],[сумма]]*Таблица1[[#This Row],[коэф]])),
IF((G746="4/24"),((база!$M$5*Таблица1[[#This Row],[сумма]]*Таблица1[[#This Row],[коэф]])),
IF((G746="3/24"),((база!$M$4*Таблица1[[#This Row],[сумма]]*Таблица1[[#This Row],[коэф]])),
IF((G746="5/16"),((база!$L$6*Таблица1[[#This Row],[сумма]]*Таблица1[[#This Row],[коэф]])),
IF((G746="4/16"),((база!$L$5*Таблица1[[#This Row],[сумма]]*Таблица1[[#This Row],[коэф]])),
IF((G746="3/16"),((база!$L$4*Таблица1[[#This Row],[сумма]]*Таблица1[[#This Row],[коэф]])),
IF((G746="4/4"),((база!$I$5*Таблица1[[#This Row],[сумма]]*Таблица1[[#This Row],[коэф]])),
IF(OR(G746="2/4",G746="3/4"),((база!$I$4*Таблица1[[#This Row],[сумма]]*Таблица1[[#This Row],[коэф]])),
IF((G746="5/8"),((база!$J$6*Таблица1[[#This Row],[сумма]]*Таблица1[[#This Row],[коэф]])),
IF((G746="4/8"),((база!$J$5*Таблица1[[#This Row],[сумма]]*Таблица1[[#This Row],[коэф]])),
IF(OR(G746="3/8",G746="2/8"),((база!$J$4*Таблица1[[#This Row],[сумма]]*Таблица1[[#This Row],[коэф]])))))))))))))),
(IF((G746="5/24"),((база!$M$6*Таблица1[[#This Row],[сумма]]*Таблица1[[#This Row],[коэф]])),
IF(OR(G746="4/24",G746="3/24"),((база!$M$5*Таблица1[[#This Row],[сумма]]*Таблица1[[#This Row],[коэф]])),
IF((G746="5/16"),((база!$L$6*Таблица1[[#This Row],[сумма]]*Таблица1[[#This Row],[коэф]])),
IF(OR(G746="4/16",G746="3/16"),((база!$L$5*Таблица1[[#This Row],[сумма]]*Таблица1[[#This Row],[коэф]])),
IF(OR(G746="2/4",G746="3/4",G746="4/4"),((база!$I$5*Таблица1[[#This Row],[сумма]]*Таблица1[[#This Row],[коэф]])),
IF((G746="5/8"),((база!$J$6*Таблица1[[#This Row],[сумма]]*Таблица1[[#This Row],[коэф]])),
IF(OR(G746="4/8",G746="3/8",G746="2/8"),((база!$J$5*Таблица1[[#This Row],[сумма]]*Таблица1[[#This Row],[коэф]])))))))))))</f>
        <v>0</v>
      </c>
      <c r="AP746" s="730" t="b">
        <f>IF(AR746&lt;=3,(IF((G746="5/24"),((база!$M$6*2*Таблица1[[#This Row],[Столбец1]]*Таблица1[[#This Row],[коэф]])),
IF((G746="4/24"),((база!$M$5*2*Таблица1[[#This Row],[Столбец1]]*Таблица1[[#This Row],[коэф]])),
IF((G746="3/24"),((база!$M$4*2*Таблица1[[#This Row],[Столбец1]]*Таблица1[[#This Row],[коэф]])),
IF((G746="5/16"),((база!$L$6*2*Таблица1[[#This Row],[Столбец1]]*Таблица1[[#This Row],[коэф]])),
IF((G746="4/16"),((база!$L$5*2*Таблица1[[#This Row],[Столбец1]]*Таблица1[[#This Row],[коэф]])),
IF((G746="3/16"),((база!$L$4*2*Таблица1[[#This Row],[Столбец1]]*Таблица1[[#This Row],[коэф]])),
IF((G746="4/4"),((база!$I$5*2*Таблица1[[#This Row],[Столбец1]]*Таблица1[[#This Row],[коэф]])),
IF(OR(G746="2/4",G746="3/4"),((база!$I$4*2*Таблица1[[#This Row],[Столбец1]]*Таблица1[[#This Row],[коэф]])),
IF((G746="5/8"),((база!$J$6*2*Таблица1[[#This Row],[Столбец1]]*Таблица1[[#This Row],[коэф]])),
IF((G746="4/8"),((база!$J$5*2*Таблица1[[#This Row],[Столбец1]]*Таблица1[[#This Row],[коэф]])),
IF(OR(G746="3/8",G746="2/8"),((база!$J$4*2*Таблица1[[#This Row],[Столбец1]]*Таблица1[[#This Row],[коэф]])))))))))))))),
(IF((G746="5/24"),((база!$M$6*2*Таблица1[[#This Row],[Столбец1]]*Таблица1[[#This Row],[коэф]])),
IF(OR(G746="4/24",G746="3/24"),((база!$M$5*2*Таблица1[[#This Row],[Столбец1]]*Таблица1[[#This Row],[коэф]])),
IF((G746="5/16"),((база!$L$6*2*Таблица1[[#This Row],[Столбец1]]*Таблица1[[#This Row],[коэф]])),
IF(OR(G746="4/16",G746="3/16"),((база!$L$5*2*Таблица1[[#This Row],[Столбец1]]*Таблица1[[#This Row],[коэф]])),
IF(OR(G746="2/4",G746="3/4",G746="4/4"),((база!$I$5*2*Таблица1[[#This Row],[Столбец1]]*Таблица1[[#This Row],[коэф]])),
IF((G746="5/8"),((база!$J$6*2*Таблица1[[#This Row],[Столбец1]]*Таблица1[[#This Row],[коэф]])),
IF(OR(G746="4/8",G746="3/8",G746="2/8"),((база!$J$5*2*Таблица1[[#This Row],[Столбец1]]*Таблица1[[#This Row],[коэф]])))))))))))</f>
        <v>0</v>
      </c>
      <c r="AQ746" s="712" t="str">
        <f>IFERROR(INDEX(база!T:T, MATCH(F746,база!Q:Q,0)),"")</f>
        <v/>
      </c>
      <c r="AR746" s="208" t="str">
        <f>IFERROR(INDEX(база!D:D, MATCH(F746,база!B:B,0)),"")</f>
        <v/>
      </c>
      <c r="AS746" s="758" t="str">
        <f>IFERROR(INDEX(база!E:E, MATCH(F746,база!B:B,0)),"")</f>
        <v/>
      </c>
    </row>
    <row r="747" spans="1:45" ht="15">
      <c r="A747" s="66" t="str">
        <f t="shared" si="11"/>
        <v>январь</v>
      </c>
      <c r="B747" s="231">
        <v>2024</v>
      </c>
      <c r="C747" s="299"/>
      <c r="D747" s="61"/>
      <c r="E747" s="211"/>
      <c r="F747" s="680"/>
      <c r="G747" s="47"/>
      <c r="H747" s="563"/>
      <c r="I747" s="563"/>
      <c r="J747" s="563"/>
      <c r="K747" s="563"/>
      <c r="L747" s="563"/>
      <c r="M747" s="563"/>
      <c r="N747" s="563"/>
      <c r="O747" s="563"/>
      <c r="P747" s="300"/>
      <c r="Q747" s="563"/>
      <c r="R747" s="563"/>
      <c r="S747" s="563"/>
      <c r="T747" s="563"/>
      <c r="U747" s="563"/>
      <c r="V747" s="563"/>
      <c r="W747" s="563"/>
      <c r="X747" s="563"/>
      <c r="Y747" s="563"/>
      <c r="Z747" s="563"/>
      <c r="AA747" s="563"/>
      <c r="AB747" s="563"/>
      <c r="AC747" s="563"/>
      <c r="AD747" s="48"/>
      <c r="AE747" s="48"/>
      <c r="AF747" s="258"/>
      <c r="AG747" s="48"/>
      <c r="AH747" s="48"/>
      <c r="AI747" s="258"/>
      <c r="AJ747" s="258"/>
      <c r="AK747" s="258"/>
      <c r="AL747" s="258"/>
      <c r="AM747" s="212">
        <f>IF(AQ747=1,SUM(Q747:T747,W747:Z747,AC747:AF747,AI747:AL747),
IF(AQ747=2,SUM(P747,S747:V747,Y747:AB747,AE747:AH747,AK747:AL747),
IF(AQ747=3,SUM(P747:R747,U747:X747,AA747:AD747,AG747:AJ747),SUM(Таблица1[[#This Row],[1]:[31]])-Таблица1[[#This Row],[Столбец1]])))</f>
        <v>0</v>
      </c>
      <c r="AN747" s="778">
        <f t="array" ref="AN747">IF(AQ747=1,SUM(P747,U747:V747,AA747:AB747,AG747:AH747),
IF(AQ747=2,SUM(Q747:R747,W747:X747,AC747:AD747,AI747:AJ747),
IF(AQ747=3,SUM(S747:T747,Y747:Z747,AE747:AF747,AK747:AL747),
SUM(IFERROR(WEEKDAY($H$2:$AL$2,2)&gt;5,)*H747:AL747))))+Таблица1[[#This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47" s="292" t="b">
        <f>IF(AR747&lt;=3,(IF((G747="5/24"),((база!$M$6*Таблица1[[#This Row],[сумма]]*Таблица1[[#This Row],[коэф]])),
IF((G747="4/24"),((база!$M$5*Таблица1[[#This Row],[сумма]]*Таблица1[[#This Row],[коэф]])),
IF((G747="3/24"),((база!$M$4*Таблица1[[#This Row],[сумма]]*Таблица1[[#This Row],[коэф]])),
IF((G747="5/16"),((база!$L$6*Таблица1[[#This Row],[сумма]]*Таблица1[[#This Row],[коэф]])),
IF((G747="4/16"),((база!$L$5*Таблица1[[#This Row],[сумма]]*Таблица1[[#This Row],[коэф]])),
IF((G747="3/16"),((база!$L$4*Таблица1[[#This Row],[сумма]]*Таблица1[[#This Row],[коэф]])),
IF((G747="4/4"),((база!$I$5*Таблица1[[#This Row],[сумма]]*Таблица1[[#This Row],[коэф]])),
IF(OR(G747="2/4",G747="3/4"),((база!$I$4*Таблица1[[#This Row],[сумма]]*Таблица1[[#This Row],[коэф]])),
IF((G747="5/8"),((база!$J$6*Таблица1[[#This Row],[сумма]]*Таблица1[[#This Row],[коэф]])),
IF((G747="4/8"),((база!$J$5*Таблица1[[#This Row],[сумма]]*Таблица1[[#This Row],[коэф]])),
IF(OR(G747="3/8",G747="2/8"),((база!$J$4*Таблица1[[#This Row],[сумма]]*Таблица1[[#This Row],[коэф]])))))))))))))),
(IF((G747="5/24"),((база!$M$6*Таблица1[[#This Row],[сумма]]*Таблица1[[#This Row],[коэф]])),
IF(OR(G747="4/24",G747="3/24"),((база!$M$5*Таблица1[[#This Row],[сумма]]*Таблица1[[#This Row],[коэф]])),
IF((G747="5/16"),((база!$L$6*Таблица1[[#This Row],[сумма]]*Таблица1[[#This Row],[коэф]])),
IF(OR(G747="4/16",G747="3/16"),((база!$L$5*Таблица1[[#This Row],[сумма]]*Таблица1[[#This Row],[коэф]])),
IF(OR(G747="2/4",G747="3/4",G747="4/4"),((база!$I$5*Таблица1[[#This Row],[сумма]]*Таблица1[[#This Row],[коэф]])),
IF((G747="5/8"),((база!$J$6*Таблица1[[#This Row],[сумма]]*Таблица1[[#This Row],[коэф]])),
IF(OR(G747="4/8",G747="3/8",G747="2/8"),((база!$J$5*Таблица1[[#This Row],[сумма]]*Таблица1[[#This Row],[коэф]])))))))))))</f>
        <v>0</v>
      </c>
      <c r="AP747" s="730" t="b">
        <f>IF(AR747&lt;=3,(IF((G747="5/24"),((база!$M$6*2*Таблица1[[#This Row],[Столбец1]]*Таблица1[[#This Row],[коэф]])),
IF((G747="4/24"),((база!$M$5*2*Таблица1[[#This Row],[Столбец1]]*Таблица1[[#This Row],[коэф]])),
IF((G747="3/24"),((база!$M$4*2*Таблица1[[#This Row],[Столбец1]]*Таблица1[[#This Row],[коэф]])),
IF((G747="5/16"),((база!$L$6*2*Таблица1[[#This Row],[Столбец1]]*Таблица1[[#This Row],[коэф]])),
IF((G747="4/16"),((база!$L$5*2*Таблица1[[#This Row],[Столбец1]]*Таблица1[[#This Row],[коэф]])),
IF((G747="3/16"),((база!$L$4*2*Таблица1[[#This Row],[Столбец1]]*Таблица1[[#This Row],[коэф]])),
IF((G747="4/4"),((база!$I$5*2*Таблица1[[#This Row],[Столбец1]]*Таблица1[[#This Row],[коэф]])),
IF(OR(G747="2/4",G747="3/4"),((база!$I$4*2*Таблица1[[#This Row],[Столбец1]]*Таблица1[[#This Row],[коэф]])),
IF((G747="5/8"),((база!$J$6*2*Таблица1[[#This Row],[Столбец1]]*Таблица1[[#This Row],[коэф]])),
IF((G747="4/8"),((база!$J$5*2*Таблица1[[#This Row],[Столбец1]]*Таблица1[[#This Row],[коэф]])),
IF(OR(G747="3/8",G747="2/8"),((база!$J$4*2*Таблица1[[#This Row],[Столбец1]]*Таблица1[[#This Row],[коэф]])))))))))))))),
(IF((G747="5/24"),((база!$M$6*2*Таблица1[[#This Row],[Столбец1]]*Таблица1[[#This Row],[коэф]])),
IF(OR(G747="4/24",G747="3/24"),((база!$M$5*2*Таблица1[[#This Row],[Столбец1]]*Таблица1[[#This Row],[коэф]])),
IF((G747="5/16"),((база!$L$6*2*Таблица1[[#This Row],[Столбец1]]*Таблица1[[#This Row],[коэф]])),
IF(OR(G747="4/16",G747="3/16"),((база!$L$5*2*Таблица1[[#This Row],[Столбец1]]*Таблица1[[#This Row],[коэф]])),
IF(OR(G747="2/4",G747="3/4",G747="4/4"),((база!$I$5*2*Таблица1[[#This Row],[Столбец1]]*Таблица1[[#This Row],[коэф]])),
IF((G747="5/8"),((база!$J$6*2*Таблица1[[#This Row],[Столбец1]]*Таблица1[[#This Row],[коэф]])),
IF(OR(G747="4/8",G747="3/8",G747="2/8"),((база!$J$5*2*Таблица1[[#This Row],[Столбец1]]*Таблица1[[#This Row],[коэф]])))))))))))</f>
        <v>0</v>
      </c>
      <c r="AQ747" s="712" t="str">
        <f>IFERROR(INDEX(база!T:T, MATCH(F747,база!Q:Q,0)),"")</f>
        <v/>
      </c>
      <c r="AR747" s="208" t="str">
        <f>IFERROR(INDEX(база!D:D, MATCH(F747,база!B:B,0)),"")</f>
        <v/>
      </c>
      <c r="AS747" s="758" t="str">
        <f>IFERROR(INDEX(база!E:E, MATCH(F747,база!B:B,0)),"")</f>
        <v/>
      </c>
    </row>
    <row r="748" spans="1:45" ht="15">
      <c r="A748" s="66" t="str">
        <f t="shared" si="11"/>
        <v>январь</v>
      </c>
      <c r="B748" s="231">
        <v>2024</v>
      </c>
      <c r="C748" s="299"/>
      <c r="D748" s="61"/>
      <c r="E748" s="211"/>
      <c r="F748" s="680"/>
      <c r="G748" s="47"/>
      <c r="H748" s="563"/>
      <c r="I748" s="563"/>
      <c r="J748" s="563"/>
      <c r="K748" s="563"/>
      <c r="L748" s="563"/>
      <c r="M748" s="563"/>
      <c r="N748" s="563"/>
      <c r="O748" s="563"/>
      <c r="P748" s="300"/>
      <c r="Q748" s="563"/>
      <c r="R748" s="563"/>
      <c r="S748" s="563"/>
      <c r="T748" s="563"/>
      <c r="U748" s="563"/>
      <c r="V748" s="563"/>
      <c r="W748" s="563"/>
      <c r="X748" s="563"/>
      <c r="Y748" s="563"/>
      <c r="Z748" s="563"/>
      <c r="AA748" s="563"/>
      <c r="AB748" s="563"/>
      <c r="AC748" s="563"/>
      <c r="AD748" s="48"/>
      <c r="AE748" s="48"/>
      <c r="AF748" s="258"/>
      <c r="AG748" s="48"/>
      <c r="AH748" s="48"/>
      <c r="AI748" s="48"/>
      <c r="AJ748" s="48"/>
      <c r="AK748" s="48"/>
      <c r="AL748" s="51"/>
      <c r="AM748" s="212">
        <f>IF(AQ748=1,SUM(Q748:T748,W748:Z748,AC748:AF748,AI748:AL748),
IF(AQ748=2,SUM(P748,S748:V748,Y748:AB748,AE748:AH748,AK748:AL748),
IF(AQ748=3,SUM(P748:R748,U748:X748,AA748:AD748,AG748:AJ748),SUM(Таблица1[[#This Row],[1]:[31]])-Таблица1[[#This Row],[Столбец1]])))</f>
        <v>0</v>
      </c>
      <c r="AN748" s="778">
        <f t="array" ref="AN748">IF(AQ748=1,SUM(P748,U748:V748,AA748:AB748,AG748:AH748),
IF(AQ748=2,SUM(Q748:R748,W748:X748,AC748:AD748,AI748:AJ748),
IF(AQ748=3,SUM(S748:T748,Y748:Z748,AE748:AF748,AK748:AL748),
SUM(IFERROR(WEEKDAY($H$2:$AL$2,2)&gt;5,)*H748:AL748))))+Таблица1[[#This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48" s="292" t="b">
        <f>IF(AR748&lt;=3,(IF((G748="5/24"),((база!$M$6*Таблица1[[#This Row],[сумма]]*Таблица1[[#This Row],[коэф]])),
IF((G748="4/24"),((база!$M$5*Таблица1[[#This Row],[сумма]]*Таблица1[[#This Row],[коэф]])),
IF((G748="3/24"),((база!$M$4*Таблица1[[#This Row],[сумма]]*Таблица1[[#This Row],[коэф]])),
IF((G748="5/16"),((база!$L$6*Таблица1[[#This Row],[сумма]]*Таблица1[[#This Row],[коэф]])),
IF((G748="4/16"),((база!$L$5*Таблица1[[#This Row],[сумма]]*Таблица1[[#This Row],[коэф]])),
IF((G748="3/16"),((база!$L$4*Таблица1[[#This Row],[сумма]]*Таблица1[[#This Row],[коэф]])),
IF((G748="4/4"),((база!$I$5*Таблица1[[#This Row],[сумма]]*Таблица1[[#This Row],[коэф]])),
IF(OR(G748="2/4",G748="3/4"),((база!$I$4*Таблица1[[#This Row],[сумма]]*Таблица1[[#This Row],[коэф]])),
IF((G748="5/8"),((база!$J$6*Таблица1[[#This Row],[сумма]]*Таблица1[[#This Row],[коэф]])),
IF((G748="4/8"),((база!$J$5*Таблица1[[#This Row],[сумма]]*Таблица1[[#This Row],[коэф]])),
IF(OR(G748="3/8",G748="2/8"),((база!$J$4*Таблица1[[#This Row],[сумма]]*Таблица1[[#This Row],[коэф]])))))))))))))),
(IF((G748="5/24"),((база!$M$6*Таблица1[[#This Row],[сумма]]*Таблица1[[#This Row],[коэф]])),
IF(OR(G748="4/24",G748="3/24"),((база!$M$5*Таблица1[[#This Row],[сумма]]*Таблица1[[#This Row],[коэф]])),
IF((G748="5/16"),((база!$L$6*Таблица1[[#This Row],[сумма]]*Таблица1[[#This Row],[коэф]])),
IF(OR(G748="4/16",G748="3/16"),((база!$L$5*Таблица1[[#This Row],[сумма]]*Таблица1[[#This Row],[коэф]])),
IF(OR(G748="2/4",G748="3/4",G748="4/4"),((база!$I$5*Таблица1[[#This Row],[сумма]]*Таблица1[[#This Row],[коэф]])),
IF((G748="5/8"),((база!$J$6*Таблица1[[#This Row],[сумма]]*Таблица1[[#This Row],[коэф]])),
IF(OR(G748="4/8",G748="3/8",G748="2/8"),((база!$J$5*Таблица1[[#This Row],[сумма]]*Таблица1[[#This Row],[коэф]])))))))))))</f>
        <v>0</v>
      </c>
      <c r="AP748" s="730" t="b">
        <f>IF(AR748&lt;=3,(IF((G748="5/24"),((база!$M$6*2*Таблица1[[#This Row],[Столбец1]]*Таблица1[[#This Row],[коэф]])),
IF((G748="4/24"),((база!$M$5*2*Таблица1[[#This Row],[Столбец1]]*Таблица1[[#This Row],[коэф]])),
IF((G748="3/24"),((база!$M$4*2*Таблица1[[#This Row],[Столбец1]]*Таблица1[[#This Row],[коэф]])),
IF((G748="5/16"),((база!$L$6*2*Таблица1[[#This Row],[Столбец1]]*Таблица1[[#This Row],[коэф]])),
IF((G748="4/16"),((база!$L$5*2*Таблица1[[#This Row],[Столбец1]]*Таблица1[[#This Row],[коэф]])),
IF((G748="3/16"),((база!$L$4*2*Таблица1[[#This Row],[Столбец1]]*Таблица1[[#This Row],[коэф]])),
IF((G748="4/4"),((база!$I$5*2*Таблица1[[#This Row],[Столбец1]]*Таблица1[[#This Row],[коэф]])),
IF(OR(G748="2/4",G748="3/4"),((база!$I$4*2*Таблица1[[#This Row],[Столбец1]]*Таблица1[[#This Row],[коэф]])),
IF((G748="5/8"),((база!$J$6*2*Таблица1[[#This Row],[Столбец1]]*Таблица1[[#This Row],[коэф]])),
IF((G748="4/8"),((база!$J$5*2*Таблица1[[#This Row],[Столбец1]]*Таблица1[[#This Row],[коэф]])),
IF(OR(G748="3/8",G748="2/8"),((база!$J$4*2*Таблица1[[#This Row],[Столбец1]]*Таблица1[[#This Row],[коэф]])))))))))))))),
(IF((G748="5/24"),((база!$M$6*2*Таблица1[[#This Row],[Столбец1]]*Таблица1[[#This Row],[коэф]])),
IF(OR(G748="4/24",G748="3/24"),((база!$M$5*2*Таблица1[[#This Row],[Столбец1]]*Таблица1[[#This Row],[коэф]])),
IF((G748="5/16"),((база!$L$6*2*Таблица1[[#This Row],[Столбец1]]*Таблица1[[#This Row],[коэф]])),
IF(OR(G748="4/16",G748="3/16"),((база!$L$5*2*Таблица1[[#This Row],[Столбец1]]*Таблица1[[#This Row],[коэф]])),
IF(OR(G748="2/4",G748="3/4",G748="4/4"),((база!$I$5*2*Таблица1[[#This Row],[Столбец1]]*Таблица1[[#This Row],[коэф]])),
IF((G748="5/8"),((база!$J$6*2*Таблица1[[#This Row],[Столбец1]]*Таблица1[[#This Row],[коэф]])),
IF(OR(G748="4/8",G748="3/8",G748="2/8"),((база!$J$5*2*Таблица1[[#This Row],[Столбец1]]*Таблица1[[#This Row],[коэф]])))))))))))</f>
        <v>0</v>
      </c>
      <c r="AQ748" s="712" t="str">
        <f>IFERROR(INDEX(база!T:T, MATCH(F748,база!Q:Q,0)),"")</f>
        <v/>
      </c>
      <c r="AR748" s="208" t="str">
        <f>IFERROR(INDEX(база!D:D, MATCH(F748,база!B:B,0)),"")</f>
        <v/>
      </c>
      <c r="AS748" s="758" t="str">
        <f>IFERROR(INDEX(база!E:E, MATCH(F748,база!B:B,0)),"")</f>
        <v/>
      </c>
    </row>
    <row r="749" spans="1:45" ht="15">
      <c r="A749" s="66" t="str">
        <f t="shared" si="11"/>
        <v>январь</v>
      </c>
      <c r="B749" s="231">
        <v>2024</v>
      </c>
      <c r="C749" s="299"/>
      <c r="D749" s="61"/>
      <c r="E749" s="211"/>
      <c r="F749" s="680"/>
      <c r="G749" s="47"/>
      <c r="H749" s="563"/>
      <c r="I749" s="563"/>
      <c r="J749" s="563"/>
      <c r="K749" s="563"/>
      <c r="L749" s="563"/>
      <c r="M749" s="563"/>
      <c r="N749" s="563"/>
      <c r="O749" s="563"/>
      <c r="P749" s="300"/>
      <c r="Q749" s="563"/>
      <c r="R749" s="563"/>
      <c r="S749" s="563"/>
      <c r="T749" s="563"/>
      <c r="U749" s="563"/>
      <c r="V749" s="563"/>
      <c r="W749" s="563"/>
      <c r="X749" s="563"/>
      <c r="Y749" s="563"/>
      <c r="Z749" s="563"/>
      <c r="AA749" s="563"/>
      <c r="AB749" s="563"/>
      <c r="AC749" s="563"/>
      <c r="AD749" s="48"/>
      <c r="AE749" s="48"/>
      <c r="AF749" s="258"/>
      <c r="AG749" s="48"/>
      <c r="AH749" s="48"/>
      <c r="AI749" s="258"/>
      <c r="AJ749" s="258"/>
      <c r="AK749" s="258"/>
      <c r="AL749" s="258"/>
      <c r="AM749" s="212">
        <f>IF(AQ749=1,SUM(Q749:T749,W749:Z749,AC749:AF749,AI749:AL749),
IF(AQ749=2,SUM(P749,S749:V749,Y749:AB749,AE749:AH749,AK749:AL749),
IF(AQ749=3,SUM(P749:R749,U749:X749,AA749:AD749,AG749:AJ749),SUM(Таблица1[[#This Row],[1]:[31]])-Таблица1[[#This Row],[Столбец1]])))</f>
        <v>0</v>
      </c>
      <c r="AN749" s="778">
        <f t="array" ref="AN749">IF(AQ749=1,SUM(P749,U749:V749,AA749:AB749,AG749:AH749),
IF(AQ749=2,SUM(Q749:R749,W749:X749,AC749:AD749,AI749:AJ749),
IF(AQ749=3,SUM(S749:T749,Y749:Z749,AE749:AF749,AK749:AL749),
SUM(IFERROR(WEEKDAY($H$2:$AL$2,2)&gt;5,)*H749:AL749))))+Таблица1[[#This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49" s="292" t="b">
        <f>IF(AR749&lt;=3,(IF((G749="5/24"),((база!$M$6*Таблица1[[#This Row],[сумма]]*Таблица1[[#This Row],[коэф]])),
IF((G749="4/24"),((база!$M$5*Таблица1[[#This Row],[сумма]]*Таблица1[[#This Row],[коэф]])),
IF((G749="3/24"),((база!$M$4*Таблица1[[#This Row],[сумма]]*Таблица1[[#This Row],[коэф]])),
IF((G749="5/16"),((база!$L$6*Таблица1[[#This Row],[сумма]]*Таблица1[[#This Row],[коэф]])),
IF((G749="4/16"),((база!$L$5*Таблица1[[#This Row],[сумма]]*Таблица1[[#This Row],[коэф]])),
IF((G749="3/16"),((база!$L$4*Таблица1[[#This Row],[сумма]]*Таблица1[[#This Row],[коэф]])),
IF((G749="4/4"),((база!$I$5*Таблица1[[#This Row],[сумма]]*Таблица1[[#This Row],[коэф]])),
IF(OR(G749="2/4",G749="3/4"),((база!$I$4*Таблица1[[#This Row],[сумма]]*Таблица1[[#This Row],[коэф]])),
IF((G749="5/8"),((база!$J$6*Таблица1[[#This Row],[сумма]]*Таблица1[[#This Row],[коэф]])),
IF((G749="4/8"),((база!$J$5*Таблица1[[#This Row],[сумма]]*Таблица1[[#This Row],[коэф]])),
IF(OR(G749="3/8",G749="2/8"),((база!$J$4*Таблица1[[#This Row],[сумма]]*Таблица1[[#This Row],[коэф]])))))))))))))),
(IF((G749="5/24"),((база!$M$6*Таблица1[[#This Row],[сумма]]*Таблица1[[#This Row],[коэф]])),
IF(OR(G749="4/24",G749="3/24"),((база!$M$5*Таблица1[[#This Row],[сумма]]*Таблица1[[#This Row],[коэф]])),
IF((G749="5/16"),((база!$L$6*Таблица1[[#This Row],[сумма]]*Таблица1[[#This Row],[коэф]])),
IF(OR(G749="4/16",G749="3/16"),((база!$L$5*Таблица1[[#This Row],[сумма]]*Таблица1[[#This Row],[коэф]])),
IF(OR(G749="2/4",G749="3/4",G749="4/4"),((база!$I$5*Таблица1[[#This Row],[сумма]]*Таблица1[[#This Row],[коэф]])),
IF((G749="5/8"),((база!$J$6*Таблица1[[#This Row],[сумма]]*Таблица1[[#This Row],[коэф]])),
IF(OR(G749="4/8",G749="3/8",G749="2/8"),((база!$J$5*Таблица1[[#This Row],[сумма]]*Таблица1[[#This Row],[коэф]])))))))))))</f>
        <v>0</v>
      </c>
      <c r="AP749" s="730" t="b">
        <f>IF(AR749&lt;=3,(IF((G749="5/24"),((база!$M$6*2*Таблица1[[#This Row],[Столбец1]]*Таблица1[[#This Row],[коэф]])),
IF((G749="4/24"),((база!$M$5*2*Таблица1[[#This Row],[Столбец1]]*Таблица1[[#This Row],[коэф]])),
IF((G749="3/24"),((база!$M$4*2*Таблица1[[#This Row],[Столбец1]]*Таблица1[[#This Row],[коэф]])),
IF((G749="5/16"),((база!$L$6*2*Таблица1[[#This Row],[Столбец1]]*Таблица1[[#This Row],[коэф]])),
IF((G749="4/16"),((база!$L$5*2*Таблица1[[#This Row],[Столбец1]]*Таблица1[[#This Row],[коэф]])),
IF((G749="3/16"),((база!$L$4*2*Таблица1[[#This Row],[Столбец1]]*Таблица1[[#This Row],[коэф]])),
IF((G749="4/4"),((база!$I$5*2*Таблица1[[#This Row],[Столбец1]]*Таблица1[[#This Row],[коэф]])),
IF(OR(G749="2/4",G749="3/4"),((база!$I$4*2*Таблица1[[#This Row],[Столбец1]]*Таблица1[[#This Row],[коэф]])),
IF((G749="5/8"),((база!$J$6*2*Таблица1[[#This Row],[Столбец1]]*Таблица1[[#This Row],[коэф]])),
IF((G749="4/8"),((база!$J$5*2*Таблица1[[#This Row],[Столбец1]]*Таблица1[[#This Row],[коэф]])),
IF(OR(G749="3/8",G749="2/8"),((база!$J$4*2*Таблица1[[#This Row],[Столбец1]]*Таблица1[[#This Row],[коэф]])))))))))))))),
(IF((G749="5/24"),((база!$M$6*2*Таблица1[[#This Row],[Столбец1]]*Таблица1[[#This Row],[коэф]])),
IF(OR(G749="4/24",G749="3/24"),((база!$M$5*2*Таблица1[[#This Row],[Столбец1]]*Таблица1[[#This Row],[коэф]])),
IF((G749="5/16"),((база!$L$6*2*Таблица1[[#This Row],[Столбец1]]*Таблица1[[#This Row],[коэф]])),
IF(OR(G749="4/16",G749="3/16"),((база!$L$5*2*Таблица1[[#This Row],[Столбец1]]*Таблица1[[#This Row],[коэф]])),
IF(OR(G749="2/4",G749="3/4",G749="4/4"),((база!$I$5*2*Таблица1[[#This Row],[Столбец1]]*Таблица1[[#This Row],[коэф]])),
IF((G749="5/8"),((база!$J$6*2*Таблица1[[#This Row],[Столбец1]]*Таблица1[[#This Row],[коэф]])),
IF(OR(G749="4/8",G749="3/8",G749="2/8"),((база!$J$5*2*Таблица1[[#This Row],[Столбец1]]*Таблица1[[#This Row],[коэф]])))))))))))</f>
        <v>0</v>
      </c>
      <c r="AQ749" s="712" t="str">
        <f>IFERROR(INDEX(база!T:T, MATCH(F749,база!Q:Q,0)),"")</f>
        <v/>
      </c>
      <c r="AR749" s="208" t="str">
        <f>IFERROR(INDEX(база!D:D, MATCH(F749,база!B:B,0)),"")</f>
        <v/>
      </c>
      <c r="AS749" s="758" t="str">
        <f>IFERROR(INDEX(база!E:E, MATCH(F749,база!B:B,0)),"")</f>
        <v/>
      </c>
    </row>
    <row r="750" spans="1:45" ht="15">
      <c r="A750" s="66" t="str">
        <f t="shared" si="11"/>
        <v>январь</v>
      </c>
      <c r="B750" s="231">
        <v>2024</v>
      </c>
      <c r="C750" s="299"/>
      <c r="D750" s="61"/>
      <c r="E750" s="211"/>
      <c r="F750" s="680"/>
      <c r="G750" s="47"/>
      <c r="H750" s="563"/>
      <c r="I750" s="563"/>
      <c r="J750" s="563"/>
      <c r="K750" s="563"/>
      <c r="L750" s="563"/>
      <c r="M750" s="563"/>
      <c r="N750" s="563"/>
      <c r="O750" s="563"/>
      <c r="P750" s="300"/>
      <c r="Q750" s="563"/>
      <c r="R750" s="563"/>
      <c r="S750" s="563"/>
      <c r="T750" s="563"/>
      <c r="U750" s="563"/>
      <c r="V750" s="563"/>
      <c r="W750" s="563"/>
      <c r="X750" s="563"/>
      <c r="Y750" s="563"/>
      <c r="Z750" s="563"/>
      <c r="AA750" s="563"/>
      <c r="AB750" s="563"/>
      <c r="AC750" s="563"/>
      <c r="AD750" s="48"/>
      <c r="AE750" s="48"/>
      <c r="AF750" s="258"/>
      <c r="AG750" s="48"/>
      <c r="AH750" s="48"/>
      <c r="AI750" s="48"/>
      <c r="AJ750" s="48"/>
      <c r="AK750" s="48"/>
      <c r="AL750" s="51"/>
      <c r="AM750" s="212">
        <f>IF(AQ750=1,SUM(Q750:T750,W750:Z750,AC750:AF750,AI750:AL750),
IF(AQ750=2,SUM(P750,S750:V750,Y750:AB750,AE750:AH750,AK750:AL750),
IF(AQ750=3,SUM(P750:R750,U750:X750,AA750:AD750,AG750:AJ750),SUM(Таблица1[[#This Row],[1]:[31]])-Таблица1[[#This Row],[Столбец1]])))</f>
        <v>0</v>
      </c>
      <c r="AN750" s="778">
        <f t="array" ref="AN750">IF(AQ750=1,SUM(P750,U750:V750,AA750:AB750,AG750:AH750),
IF(AQ750=2,SUM(Q750:R750,W750:X750,AC750:AD750,AI750:AJ750),
IF(AQ750=3,SUM(S750:T750,Y750:Z750,AE750:AF750,AK750:AL750),
SUM(IFERROR(WEEKDAY($H$2:$AL$2,2)&gt;5,)*H750:AL750))))+Таблица1[[#This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50" s="292" t="b">
        <f>IF(AR750&lt;=3,(IF((G750="5/24"),((база!$M$6*Таблица1[[#This Row],[сумма]]*Таблица1[[#This Row],[коэф]])),
IF((G750="4/24"),((база!$M$5*Таблица1[[#This Row],[сумма]]*Таблица1[[#This Row],[коэф]])),
IF((G750="3/24"),((база!$M$4*Таблица1[[#This Row],[сумма]]*Таблица1[[#This Row],[коэф]])),
IF((G750="5/16"),((база!$L$6*Таблица1[[#This Row],[сумма]]*Таблица1[[#This Row],[коэф]])),
IF((G750="4/16"),((база!$L$5*Таблица1[[#This Row],[сумма]]*Таблица1[[#This Row],[коэф]])),
IF((G750="3/16"),((база!$L$4*Таблица1[[#This Row],[сумма]]*Таблица1[[#This Row],[коэф]])),
IF((G750="4/4"),((база!$I$5*Таблица1[[#This Row],[сумма]]*Таблица1[[#This Row],[коэф]])),
IF(OR(G750="2/4",G750="3/4"),((база!$I$4*Таблица1[[#This Row],[сумма]]*Таблица1[[#This Row],[коэф]])),
IF((G750="5/8"),((база!$J$6*Таблица1[[#This Row],[сумма]]*Таблица1[[#This Row],[коэф]])),
IF((G750="4/8"),((база!$J$5*Таблица1[[#This Row],[сумма]]*Таблица1[[#This Row],[коэф]])),
IF(OR(G750="3/8",G750="2/8"),((база!$J$4*Таблица1[[#This Row],[сумма]]*Таблица1[[#This Row],[коэф]])))))))))))))),
(IF((G750="5/24"),((база!$M$6*Таблица1[[#This Row],[сумма]]*Таблица1[[#This Row],[коэф]])),
IF(OR(G750="4/24",G750="3/24"),((база!$M$5*Таблица1[[#This Row],[сумма]]*Таблица1[[#This Row],[коэф]])),
IF((G750="5/16"),((база!$L$6*Таблица1[[#This Row],[сумма]]*Таблица1[[#This Row],[коэф]])),
IF(OR(G750="4/16",G750="3/16"),((база!$L$5*Таблица1[[#This Row],[сумма]]*Таблица1[[#This Row],[коэф]])),
IF(OR(G750="2/4",G750="3/4",G750="4/4"),((база!$I$5*Таблица1[[#This Row],[сумма]]*Таблица1[[#This Row],[коэф]])),
IF((G750="5/8"),((база!$J$6*Таблица1[[#This Row],[сумма]]*Таблица1[[#This Row],[коэф]])),
IF(OR(G750="4/8",G750="3/8",G750="2/8"),((база!$J$5*Таблица1[[#This Row],[сумма]]*Таблица1[[#This Row],[коэф]])))))))))))</f>
        <v>0</v>
      </c>
      <c r="AP750" s="730" t="b">
        <f>IF(AR750&lt;=3,(IF((G750="5/24"),((база!$M$6*2*Таблица1[[#This Row],[Столбец1]]*Таблица1[[#This Row],[коэф]])),
IF((G750="4/24"),((база!$M$5*2*Таблица1[[#This Row],[Столбец1]]*Таблица1[[#This Row],[коэф]])),
IF((G750="3/24"),((база!$M$4*2*Таблица1[[#This Row],[Столбец1]]*Таблица1[[#This Row],[коэф]])),
IF((G750="5/16"),((база!$L$6*2*Таблица1[[#This Row],[Столбец1]]*Таблица1[[#This Row],[коэф]])),
IF((G750="4/16"),((база!$L$5*2*Таблица1[[#This Row],[Столбец1]]*Таблица1[[#This Row],[коэф]])),
IF((G750="3/16"),((база!$L$4*2*Таблица1[[#This Row],[Столбец1]]*Таблица1[[#This Row],[коэф]])),
IF((G750="4/4"),((база!$I$5*2*Таблица1[[#This Row],[Столбец1]]*Таблица1[[#This Row],[коэф]])),
IF(OR(G750="2/4",G750="3/4"),((база!$I$4*2*Таблица1[[#This Row],[Столбец1]]*Таблица1[[#This Row],[коэф]])),
IF((G750="5/8"),((база!$J$6*2*Таблица1[[#This Row],[Столбец1]]*Таблица1[[#This Row],[коэф]])),
IF((G750="4/8"),((база!$J$5*2*Таблица1[[#This Row],[Столбец1]]*Таблица1[[#This Row],[коэф]])),
IF(OR(G750="3/8",G750="2/8"),((база!$J$4*2*Таблица1[[#This Row],[Столбец1]]*Таблица1[[#This Row],[коэф]])))))))))))))),
(IF((G750="5/24"),((база!$M$6*2*Таблица1[[#This Row],[Столбец1]]*Таблица1[[#This Row],[коэф]])),
IF(OR(G750="4/24",G750="3/24"),((база!$M$5*2*Таблица1[[#This Row],[Столбец1]]*Таблица1[[#This Row],[коэф]])),
IF((G750="5/16"),((база!$L$6*2*Таблица1[[#This Row],[Столбец1]]*Таблица1[[#This Row],[коэф]])),
IF(OR(G750="4/16",G750="3/16"),((база!$L$5*2*Таблица1[[#This Row],[Столбец1]]*Таблица1[[#This Row],[коэф]])),
IF(OR(G750="2/4",G750="3/4",G750="4/4"),((база!$I$5*2*Таблица1[[#This Row],[Столбец1]]*Таблица1[[#This Row],[коэф]])),
IF((G750="5/8"),((база!$J$6*2*Таблица1[[#This Row],[Столбец1]]*Таблица1[[#This Row],[коэф]])),
IF(OR(G750="4/8",G750="3/8",G750="2/8"),((база!$J$5*2*Таблица1[[#This Row],[Столбец1]]*Таблица1[[#This Row],[коэф]])))))))))))</f>
        <v>0</v>
      </c>
      <c r="AQ750" s="712" t="str">
        <f>IFERROR(INDEX(база!T:T, MATCH(F750,база!Q:Q,0)),"")</f>
        <v/>
      </c>
      <c r="AR750" s="208" t="str">
        <f>IFERROR(INDEX(база!D:D, MATCH(F750,база!B:B,0)),"")</f>
        <v/>
      </c>
      <c r="AS750" s="758" t="str">
        <f>IFERROR(INDEX(база!E:E, MATCH(F750,база!B:B,0)),"")</f>
        <v/>
      </c>
    </row>
    <row r="751" spans="1:45" ht="15">
      <c r="A751" s="66" t="str">
        <f t="shared" si="11"/>
        <v>январь</v>
      </c>
      <c r="B751" s="231">
        <v>2024</v>
      </c>
      <c r="C751" s="299"/>
      <c r="D751" s="61"/>
      <c r="E751" s="211"/>
      <c r="F751" s="680"/>
      <c r="G751" s="47"/>
      <c r="H751" s="563"/>
      <c r="I751" s="563"/>
      <c r="J751" s="563"/>
      <c r="K751" s="563"/>
      <c r="L751" s="563"/>
      <c r="M751" s="563"/>
      <c r="N751" s="563"/>
      <c r="O751" s="563"/>
      <c r="P751" s="300"/>
      <c r="Q751" s="563"/>
      <c r="R751" s="563"/>
      <c r="S751" s="563"/>
      <c r="T751" s="563"/>
      <c r="U751" s="563"/>
      <c r="V751" s="563"/>
      <c r="W751" s="563"/>
      <c r="X751" s="563"/>
      <c r="Y751" s="563"/>
      <c r="Z751" s="563"/>
      <c r="AA751" s="563"/>
      <c r="AB751" s="563"/>
      <c r="AC751" s="563"/>
      <c r="AD751" s="48"/>
      <c r="AE751" s="48"/>
      <c r="AF751" s="258"/>
      <c r="AG751" s="48"/>
      <c r="AH751" s="48"/>
      <c r="AI751" s="258"/>
      <c r="AJ751" s="258"/>
      <c r="AK751" s="258"/>
      <c r="AL751" s="258"/>
      <c r="AM751" s="212">
        <f>IF(AQ751=1,SUM(Q751:T751,W751:Z751,AC751:AF751,AI751:AL751),
IF(AQ751=2,SUM(P751,S751:V751,Y751:AB751,AE751:AH751,AK751:AL751),
IF(AQ751=3,SUM(P751:R751,U751:X751,AA751:AD751,AG751:AJ751),SUM(Таблица1[[#This Row],[1]:[31]])-Таблица1[[#This Row],[Столбец1]])))</f>
        <v>0</v>
      </c>
      <c r="AN751" s="778">
        <f t="array" ref="AN751">IF(AQ751=1,SUM(P751,U751:V751,AA751:AB751,AG751:AH751),
IF(AQ751=2,SUM(Q751:R751,W751:X751,AC751:AD751,AI751:AJ751),
IF(AQ751=3,SUM(S751:T751,Y751:Z751,AE751:AF751,AK751:AL751),
SUM(IFERROR(WEEKDAY($H$2:$AL$2,2)&gt;5,)*H751:AL751))))+Таблица1[[#This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51" s="292" t="b">
        <f>IF(AR751&lt;=3,(IF((G751="5/24"),((база!$M$6*Таблица1[[#This Row],[сумма]]*Таблица1[[#This Row],[коэф]])),
IF((G751="4/24"),((база!$M$5*Таблица1[[#This Row],[сумма]]*Таблица1[[#This Row],[коэф]])),
IF((G751="3/24"),((база!$M$4*Таблица1[[#This Row],[сумма]]*Таблица1[[#This Row],[коэф]])),
IF((G751="5/16"),((база!$L$6*Таблица1[[#This Row],[сумма]]*Таблица1[[#This Row],[коэф]])),
IF((G751="4/16"),((база!$L$5*Таблица1[[#This Row],[сумма]]*Таблица1[[#This Row],[коэф]])),
IF((G751="3/16"),((база!$L$4*Таблица1[[#This Row],[сумма]]*Таблица1[[#This Row],[коэф]])),
IF((G751="4/4"),((база!$I$5*Таблица1[[#This Row],[сумма]]*Таблица1[[#This Row],[коэф]])),
IF(OR(G751="2/4",G751="3/4"),((база!$I$4*Таблица1[[#This Row],[сумма]]*Таблица1[[#This Row],[коэф]])),
IF((G751="5/8"),((база!$J$6*Таблица1[[#This Row],[сумма]]*Таблица1[[#This Row],[коэф]])),
IF((G751="4/8"),((база!$J$5*Таблица1[[#This Row],[сумма]]*Таблица1[[#This Row],[коэф]])),
IF(OR(G751="3/8",G751="2/8"),((база!$J$4*Таблица1[[#This Row],[сумма]]*Таблица1[[#This Row],[коэф]])))))))))))))),
(IF((G751="5/24"),((база!$M$6*Таблица1[[#This Row],[сумма]]*Таблица1[[#This Row],[коэф]])),
IF(OR(G751="4/24",G751="3/24"),((база!$M$5*Таблица1[[#This Row],[сумма]]*Таблица1[[#This Row],[коэф]])),
IF((G751="5/16"),((база!$L$6*Таблица1[[#This Row],[сумма]]*Таблица1[[#This Row],[коэф]])),
IF(OR(G751="4/16",G751="3/16"),((база!$L$5*Таблица1[[#This Row],[сумма]]*Таблица1[[#This Row],[коэф]])),
IF(OR(G751="2/4",G751="3/4",G751="4/4"),((база!$I$5*Таблица1[[#This Row],[сумма]]*Таблица1[[#This Row],[коэф]])),
IF((G751="5/8"),((база!$J$6*Таблица1[[#This Row],[сумма]]*Таблица1[[#This Row],[коэф]])),
IF(OR(G751="4/8",G751="3/8",G751="2/8"),((база!$J$5*Таблица1[[#This Row],[сумма]]*Таблица1[[#This Row],[коэф]])))))))))))</f>
        <v>0</v>
      </c>
      <c r="AP751" s="730" t="b">
        <f>IF(AR751&lt;=3,(IF((G751="5/24"),((база!$M$6*2*Таблица1[[#This Row],[Столбец1]]*Таблица1[[#This Row],[коэф]])),
IF((G751="4/24"),((база!$M$5*2*Таблица1[[#This Row],[Столбец1]]*Таблица1[[#This Row],[коэф]])),
IF((G751="3/24"),((база!$M$4*2*Таблица1[[#This Row],[Столбец1]]*Таблица1[[#This Row],[коэф]])),
IF((G751="5/16"),((база!$L$6*2*Таблица1[[#This Row],[Столбец1]]*Таблица1[[#This Row],[коэф]])),
IF((G751="4/16"),((база!$L$5*2*Таблица1[[#This Row],[Столбец1]]*Таблица1[[#This Row],[коэф]])),
IF((G751="3/16"),((база!$L$4*2*Таблица1[[#This Row],[Столбец1]]*Таблица1[[#This Row],[коэф]])),
IF((G751="4/4"),((база!$I$5*2*Таблица1[[#This Row],[Столбец1]]*Таблица1[[#This Row],[коэф]])),
IF(OR(G751="2/4",G751="3/4"),((база!$I$4*2*Таблица1[[#This Row],[Столбец1]]*Таблица1[[#This Row],[коэф]])),
IF((G751="5/8"),((база!$J$6*2*Таблица1[[#This Row],[Столбец1]]*Таблица1[[#This Row],[коэф]])),
IF((G751="4/8"),((база!$J$5*2*Таблица1[[#This Row],[Столбец1]]*Таблица1[[#This Row],[коэф]])),
IF(OR(G751="3/8",G751="2/8"),((база!$J$4*2*Таблица1[[#This Row],[Столбец1]]*Таблица1[[#This Row],[коэф]])))))))))))))),
(IF((G751="5/24"),((база!$M$6*2*Таблица1[[#This Row],[Столбец1]]*Таблица1[[#This Row],[коэф]])),
IF(OR(G751="4/24",G751="3/24"),((база!$M$5*2*Таблица1[[#This Row],[Столбец1]]*Таблица1[[#This Row],[коэф]])),
IF((G751="5/16"),((база!$L$6*2*Таблица1[[#This Row],[Столбец1]]*Таблица1[[#This Row],[коэф]])),
IF(OR(G751="4/16",G751="3/16"),((база!$L$5*2*Таблица1[[#This Row],[Столбец1]]*Таблица1[[#This Row],[коэф]])),
IF(OR(G751="2/4",G751="3/4",G751="4/4"),((база!$I$5*2*Таблица1[[#This Row],[Столбец1]]*Таблица1[[#This Row],[коэф]])),
IF((G751="5/8"),((база!$J$6*2*Таблица1[[#This Row],[Столбец1]]*Таблица1[[#This Row],[коэф]])),
IF(OR(G751="4/8",G751="3/8",G751="2/8"),((база!$J$5*2*Таблица1[[#This Row],[Столбец1]]*Таблица1[[#This Row],[коэф]])))))))))))</f>
        <v>0</v>
      </c>
      <c r="AQ751" s="712" t="str">
        <f>IFERROR(INDEX(база!T:T, MATCH(F751,база!Q:Q,0)),"")</f>
        <v/>
      </c>
      <c r="AR751" s="208" t="str">
        <f>IFERROR(INDEX(база!D:D, MATCH(F751,база!B:B,0)),"")</f>
        <v/>
      </c>
      <c r="AS751" s="758" t="str">
        <f>IFERROR(INDEX(база!E:E, MATCH(F751,база!B:B,0)),"")</f>
        <v/>
      </c>
    </row>
    <row r="752" spans="1:45" ht="15">
      <c r="A752" s="66" t="str">
        <f t="shared" si="11"/>
        <v>январь</v>
      </c>
      <c r="B752" s="231">
        <v>2024</v>
      </c>
      <c r="C752" s="299"/>
      <c r="D752" s="61"/>
      <c r="E752" s="211"/>
      <c r="F752" s="680"/>
      <c r="G752" s="47"/>
      <c r="H752" s="563"/>
      <c r="I752" s="563"/>
      <c r="J752" s="563"/>
      <c r="K752" s="563"/>
      <c r="L752" s="563"/>
      <c r="M752" s="563"/>
      <c r="N752" s="563"/>
      <c r="O752" s="563"/>
      <c r="P752" s="300"/>
      <c r="Q752" s="563"/>
      <c r="R752" s="563"/>
      <c r="S752" s="563"/>
      <c r="T752" s="563"/>
      <c r="U752" s="563"/>
      <c r="V752" s="563"/>
      <c r="W752" s="563"/>
      <c r="X752" s="563"/>
      <c r="Y752" s="563"/>
      <c r="Z752" s="563"/>
      <c r="AA752" s="563"/>
      <c r="AB752" s="563"/>
      <c r="AC752" s="563"/>
      <c r="AD752" s="48"/>
      <c r="AE752" s="48"/>
      <c r="AF752" s="258"/>
      <c r="AG752" s="48"/>
      <c r="AH752" s="48"/>
      <c r="AI752" s="48"/>
      <c r="AJ752" s="48"/>
      <c r="AK752" s="48"/>
      <c r="AL752" s="51"/>
      <c r="AM752" s="212">
        <f>IF(AQ752=1,SUM(Q752:T752,W752:Z752,AC752:AF752,AI752:AL752),
IF(AQ752=2,SUM(P752,S752:V752,Y752:AB752,AE752:AH752,AK752:AL752),
IF(AQ752=3,SUM(P752:R752,U752:X752,AA752:AD752,AG752:AJ752),SUM(Таблица1[[#This Row],[1]:[31]])-Таблица1[[#This Row],[Столбец1]])))</f>
        <v>0</v>
      </c>
      <c r="AN752" s="778">
        <f t="array" ref="AN752">IF(AQ752=1,SUM(P752,U752:V752,AA752:AB752,AG752:AH752),
IF(AQ752=2,SUM(Q752:R752,W752:X752,AC752:AD752,AI752:AJ752),
IF(AQ752=3,SUM(S752:T752,Y752:Z752,AE752:AF752,AK752:AL752),
SUM(IFERROR(WEEKDAY($H$2:$AL$2,2)&gt;5,)*H752:AL752))))+Таблица1[[#This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52" s="292" t="b">
        <f>IF(AR752&lt;=3,(IF((G752="5/24"),((база!$M$6*Таблица1[[#This Row],[сумма]]*Таблица1[[#This Row],[коэф]])),
IF((G752="4/24"),((база!$M$5*Таблица1[[#This Row],[сумма]]*Таблица1[[#This Row],[коэф]])),
IF((G752="3/24"),((база!$M$4*Таблица1[[#This Row],[сумма]]*Таблица1[[#This Row],[коэф]])),
IF((G752="5/16"),((база!$L$6*Таблица1[[#This Row],[сумма]]*Таблица1[[#This Row],[коэф]])),
IF((G752="4/16"),((база!$L$5*Таблица1[[#This Row],[сумма]]*Таблица1[[#This Row],[коэф]])),
IF((G752="3/16"),((база!$L$4*Таблица1[[#This Row],[сумма]]*Таблица1[[#This Row],[коэф]])),
IF((G752="4/4"),((база!$I$5*Таблица1[[#This Row],[сумма]]*Таблица1[[#This Row],[коэф]])),
IF(OR(G752="2/4",G752="3/4"),((база!$I$4*Таблица1[[#This Row],[сумма]]*Таблица1[[#This Row],[коэф]])),
IF((G752="5/8"),((база!$J$6*Таблица1[[#This Row],[сумма]]*Таблица1[[#This Row],[коэф]])),
IF((G752="4/8"),((база!$J$5*Таблица1[[#This Row],[сумма]]*Таблица1[[#This Row],[коэф]])),
IF(OR(G752="3/8",G752="2/8"),((база!$J$4*Таблица1[[#This Row],[сумма]]*Таблица1[[#This Row],[коэф]])))))))))))))),
(IF((G752="5/24"),((база!$M$6*Таблица1[[#This Row],[сумма]]*Таблица1[[#This Row],[коэф]])),
IF(OR(G752="4/24",G752="3/24"),((база!$M$5*Таблица1[[#This Row],[сумма]]*Таблица1[[#This Row],[коэф]])),
IF((G752="5/16"),((база!$L$6*Таблица1[[#This Row],[сумма]]*Таблица1[[#This Row],[коэф]])),
IF(OR(G752="4/16",G752="3/16"),((база!$L$5*Таблица1[[#This Row],[сумма]]*Таблица1[[#This Row],[коэф]])),
IF(OR(G752="2/4",G752="3/4",G752="4/4"),((база!$I$5*Таблица1[[#This Row],[сумма]]*Таблица1[[#This Row],[коэф]])),
IF((G752="5/8"),((база!$J$6*Таблица1[[#This Row],[сумма]]*Таблица1[[#This Row],[коэф]])),
IF(OR(G752="4/8",G752="3/8",G752="2/8"),((база!$J$5*Таблица1[[#This Row],[сумма]]*Таблица1[[#This Row],[коэф]])))))))))))</f>
        <v>0</v>
      </c>
      <c r="AP752" s="730" t="b">
        <f>IF(AR752&lt;=3,(IF((G752="5/24"),((база!$M$6*2*Таблица1[[#This Row],[Столбец1]]*Таблица1[[#This Row],[коэф]])),
IF((G752="4/24"),((база!$M$5*2*Таблица1[[#This Row],[Столбец1]]*Таблица1[[#This Row],[коэф]])),
IF((G752="3/24"),((база!$M$4*2*Таблица1[[#This Row],[Столбец1]]*Таблица1[[#This Row],[коэф]])),
IF((G752="5/16"),((база!$L$6*2*Таблица1[[#This Row],[Столбец1]]*Таблица1[[#This Row],[коэф]])),
IF((G752="4/16"),((база!$L$5*2*Таблица1[[#This Row],[Столбец1]]*Таблица1[[#This Row],[коэф]])),
IF((G752="3/16"),((база!$L$4*2*Таблица1[[#This Row],[Столбец1]]*Таблица1[[#This Row],[коэф]])),
IF((G752="4/4"),((база!$I$5*2*Таблица1[[#This Row],[Столбец1]]*Таблица1[[#This Row],[коэф]])),
IF(OR(G752="2/4",G752="3/4"),((база!$I$4*2*Таблица1[[#This Row],[Столбец1]]*Таблица1[[#This Row],[коэф]])),
IF((G752="5/8"),((база!$J$6*2*Таблица1[[#This Row],[Столбец1]]*Таблица1[[#This Row],[коэф]])),
IF((G752="4/8"),((база!$J$5*2*Таблица1[[#This Row],[Столбец1]]*Таблица1[[#This Row],[коэф]])),
IF(OR(G752="3/8",G752="2/8"),((база!$J$4*2*Таблица1[[#This Row],[Столбец1]]*Таблица1[[#This Row],[коэф]])))))))))))))),
(IF((G752="5/24"),((база!$M$6*2*Таблица1[[#This Row],[Столбец1]]*Таблица1[[#This Row],[коэф]])),
IF(OR(G752="4/24",G752="3/24"),((база!$M$5*2*Таблица1[[#This Row],[Столбец1]]*Таблица1[[#This Row],[коэф]])),
IF((G752="5/16"),((база!$L$6*2*Таблица1[[#This Row],[Столбец1]]*Таблица1[[#This Row],[коэф]])),
IF(OR(G752="4/16",G752="3/16"),((база!$L$5*2*Таблица1[[#This Row],[Столбец1]]*Таблица1[[#This Row],[коэф]])),
IF(OR(G752="2/4",G752="3/4",G752="4/4"),((база!$I$5*2*Таблица1[[#This Row],[Столбец1]]*Таблица1[[#This Row],[коэф]])),
IF((G752="5/8"),((база!$J$6*2*Таблица1[[#This Row],[Столбец1]]*Таблица1[[#This Row],[коэф]])),
IF(OR(G752="4/8",G752="3/8",G752="2/8"),((база!$J$5*2*Таблица1[[#This Row],[Столбец1]]*Таблица1[[#This Row],[коэф]])))))))))))</f>
        <v>0</v>
      </c>
      <c r="AQ752" s="712" t="str">
        <f>IFERROR(INDEX(база!T:T, MATCH(F752,база!Q:Q,0)),"")</f>
        <v/>
      </c>
      <c r="AR752" s="208" t="str">
        <f>IFERROR(INDEX(база!D:D, MATCH(F752,база!B:B,0)),"")</f>
        <v/>
      </c>
      <c r="AS752" s="758" t="str">
        <f>IFERROR(INDEX(база!E:E, MATCH(F752,база!B:B,0)),"")</f>
        <v/>
      </c>
    </row>
    <row r="753" spans="1:45" ht="15">
      <c r="A753" s="66" t="str">
        <f t="shared" si="11"/>
        <v>январь</v>
      </c>
      <c r="B753" s="231">
        <v>2024</v>
      </c>
      <c r="C753" s="299"/>
      <c r="D753" s="61"/>
      <c r="E753" s="211"/>
      <c r="F753" s="680"/>
      <c r="G753" s="47"/>
      <c r="H753" s="563"/>
      <c r="I753" s="563"/>
      <c r="J753" s="563"/>
      <c r="K753" s="563"/>
      <c r="L753" s="563"/>
      <c r="M753" s="563"/>
      <c r="N753" s="563"/>
      <c r="O753" s="563"/>
      <c r="P753" s="300"/>
      <c r="Q753" s="563"/>
      <c r="R753" s="563"/>
      <c r="S753" s="563"/>
      <c r="T753" s="563"/>
      <c r="U753" s="563"/>
      <c r="V753" s="563"/>
      <c r="W753" s="563"/>
      <c r="X753" s="563"/>
      <c r="Y753" s="563"/>
      <c r="Z753" s="563"/>
      <c r="AA753" s="563"/>
      <c r="AB753" s="563"/>
      <c r="AC753" s="563"/>
      <c r="AD753" s="48"/>
      <c r="AE753" s="48"/>
      <c r="AF753" s="258"/>
      <c r="AG753" s="48"/>
      <c r="AH753" s="48"/>
      <c r="AI753" s="258"/>
      <c r="AJ753" s="258"/>
      <c r="AK753" s="258"/>
      <c r="AL753" s="258"/>
      <c r="AM753" s="212">
        <f>IF(AQ753=1,SUM(Q753:T753,W753:Z753,AC753:AF753,AI753:AL753),
IF(AQ753=2,SUM(P753,S753:V753,Y753:AB753,AE753:AH753,AK753:AL753),
IF(AQ753=3,SUM(P753:R753,U753:X753,AA753:AD753,AG753:AJ753),SUM(Таблица1[[#This Row],[1]:[31]])-Таблица1[[#This Row],[Столбец1]])))</f>
        <v>0</v>
      </c>
      <c r="AN753" s="778">
        <f t="array" ref="AN753">IF(AQ753=1,SUM(P753,U753:V753,AA753:AB753,AG753:AH753),
IF(AQ753=2,SUM(Q753:R753,W753:X753,AC753:AD753,AI753:AJ753),
IF(AQ753=3,SUM(S753:T753,Y753:Z753,AE753:AF753,AK753:AL753),
SUM(IFERROR(WEEKDAY($H$2:$AL$2,2)&gt;5,)*H753:AL753))))+Таблица1[[#This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53" s="292" t="b">
        <f>IF(AR753&lt;=3,(IF((G753="5/24"),((база!$M$6*Таблица1[[#This Row],[сумма]]*Таблица1[[#This Row],[коэф]])),
IF((G753="4/24"),((база!$M$5*Таблица1[[#This Row],[сумма]]*Таблица1[[#This Row],[коэф]])),
IF((G753="3/24"),((база!$M$4*Таблица1[[#This Row],[сумма]]*Таблица1[[#This Row],[коэф]])),
IF((G753="5/16"),((база!$L$6*Таблица1[[#This Row],[сумма]]*Таблица1[[#This Row],[коэф]])),
IF((G753="4/16"),((база!$L$5*Таблица1[[#This Row],[сумма]]*Таблица1[[#This Row],[коэф]])),
IF((G753="3/16"),((база!$L$4*Таблица1[[#This Row],[сумма]]*Таблица1[[#This Row],[коэф]])),
IF((G753="4/4"),((база!$I$5*Таблица1[[#This Row],[сумма]]*Таблица1[[#This Row],[коэф]])),
IF(OR(G753="2/4",G753="3/4"),((база!$I$4*Таблица1[[#This Row],[сумма]]*Таблица1[[#This Row],[коэф]])),
IF((G753="5/8"),((база!$J$6*Таблица1[[#This Row],[сумма]]*Таблица1[[#This Row],[коэф]])),
IF((G753="4/8"),((база!$J$5*Таблица1[[#This Row],[сумма]]*Таблица1[[#This Row],[коэф]])),
IF(OR(G753="3/8",G753="2/8"),((база!$J$4*Таблица1[[#This Row],[сумма]]*Таблица1[[#This Row],[коэф]])))))))))))))),
(IF((G753="5/24"),((база!$M$6*Таблица1[[#This Row],[сумма]]*Таблица1[[#This Row],[коэф]])),
IF(OR(G753="4/24",G753="3/24"),((база!$M$5*Таблица1[[#This Row],[сумма]]*Таблица1[[#This Row],[коэф]])),
IF((G753="5/16"),((база!$L$6*Таблица1[[#This Row],[сумма]]*Таблица1[[#This Row],[коэф]])),
IF(OR(G753="4/16",G753="3/16"),((база!$L$5*Таблица1[[#This Row],[сумма]]*Таблица1[[#This Row],[коэф]])),
IF(OR(G753="2/4",G753="3/4",G753="4/4"),((база!$I$5*Таблица1[[#This Row],[сумма]]*Таблица1[[#This Row],[коэф]])),
IF((G753="5/8"),((база!$J$6*Таблица1[[#This Row],[сумма]]*Таблица1[[#This Row],[коэф]])),
IF(OR(G753="4/8",G753="3/8",G753="2/8"),((база!$J$5*Таблица1[[#This Row],[сумма]]*Таблица1[[#This Row],[коэф]])))))))))))</f>
        <v>0</v>
      </c>
      <c r="AP753" s="730" t="b">
        <f>IF(AR753&lt;=3,(IF((G753="5/24"),((база!$M$6*2*Таблица1[[#This Row],[Столбец1]]*Таблица1[[#This Row],[коэф]])),
IF((G753="4/24"),((база!$M$5*2*Таблица1[[#This Row],[Столбец1]]*Таблица1[[#This Row],[коэф]])),
IF((G753="3/24"),((база!$M$4*2*Таблица1[[#This Row],[Столбец1]]*Таблица1[[#This Row],[коэф]])),
IF((G753="5/16"),((база!$L$6*2*Таблица1[[#This Row],[Столбец1]]*Таблица1[[#This Row],[коэф]])),
IF((G753="4/16"),((база!$L$5*2*Таблица1[[#This Row],[Столбец1]]*Таблица1[[#This Row],[коэф]])),
IF((G753="3/16"),((база!$L$4*2*Таблица1[[#This Row],[Столбец1]]*Таблица1[[#This Row],[коэф]])),
IF((G753="4/4"),((база!$I$5*2*Таблица1[[#This Row],[Столбец1]]*Таблица1[[#This Row],[коэф]])),
IF(OR(G753="2/4",G753="3/4"),((база!$I$4*2*Таблица1[[#This Row],[Столбец1]]*Таблица1[[#This Row],[коэф]])),
IF((G753="5/8"),((база!$J$6*2*Таблица1[[#This Row],[Столбец1]]*Таблица1[[#This Row],[коэф]])),
IF((G753="4/8"),((база!$J$5*2*Таблица1[[#This Row],[Столбец1]]*Таблица1[[#This Row],[коэф]])),
IF(OR(G753="3/8",G753="2/8"),((база!$J$4*2*Таблица1[[#This Row],[Столбец1]]*Таблица1[[#This Row],[коэф]])))))))))))))),
(IF((G753="5/24"),((база!$M$6*2*Таблица1[[#This Row],[Столбец1]]*Таблица1[[#This Row],[коэф]])),
IF(OR(G753="4/24",G753="3/24"),((база!$M$5*2*Таблица1[[#This Row],[Столбец1]]*Таблица1[[#This Row],[коэф]])),
IF((G753="5/16"),((база!$L$6*2*Таблица1[[#This Row],[Столбец1]]*Таблица1[[#This Row],[коэф]])),
IF(OR(G753="4/16",G753="3/16"),((база!$L$5*2*Таблица1[[#This Row],[Столбец1]]*Таблица1[[#This Row],[коэф]])),
IF(OR(G753="2/4",G753="3/4",G753="4/4"),((база!$I$5*2*Таблица1[[#This Row],[Столбец1]]*Таблица1[[#This Row],[коэф]])),
IF((G753="5/8"),((база!$J$6*2*Таблица1[[#This Row],[Столбец1]]*Таблица1[[#This Row],[коэф]])),
IF(OR(G753="4/8",G753="3/8",G753="2/8"),((база!$J$5*2*Таблица1[[#This Row],[Столбец1]]*Таблица1[[#This Row],[коэф]])))))))))))</f>
        <v>0</v>
      </c>
      <c r="AQ753" s="712" t="str">
        <f>IFERROR(INDEX(база!T:T, MATCH(F753,база!Q:Q,0)),"")</f>
        <v/>
      </c>
      <c r="AR753" s="208" t="str">
        <f>IFERROR(INDEX(база!D:D, MATCH(F753,база!B:B,0)),"")</f>
        <v/>
      </c>
      <c r="AS753" s="758" t="str">
        <f>IFERROR(INDEX(база!E:E, MATCH(F753,база!B:B,0)),"")</f>
        <v/>
      </c>
    </row>
    <row r="754" spans="1:45" ht="15">
      <c r="A754" s="66" t="str">
        <f t="shared" si="11"/>
        <v>январь</v>
      </c>
      <c r="B754" s="231">
        <v>2024</v>
      </c>
      <c r="C754" s="299"/>
      <c r="D754" s="61"/>
      <c r="E754" s="211"/>
      <c r="F754" s="680"/>
      <c r="G754" s="47"/>
      <c r="H754" s="563"/>
      <c r="I754" s="563"/>
      <c r="J754" s="563"/>
      <c r="K754" s="563"/>
      <c r="L754" s="563"/>
      <c r="M754" s="563"/>
      <c r="N754" s="563"/>
      <c r="O754" s="563"/>
      <c r="P754" s="300"/>
      <c r="Q754" s="563"/>
      <c r="R754" s="563"/>
      <c r="S754" s="563"/>
      <c r="T754" s="563"/>
      <c r="U754" s="563"/>
      <c r="V754" s="563"/>
      <c r="W754" s="563"/>
      <c r="X754" s="563"/>
      <c r="Y754" s="563"/>
      <c r="Z754" s="563"/>
      <c r="AA754" s="563"/>
      <c r="AB754" s="563"/>
      <c r="AC754" s="563"/>
      <c r="AD754" s="48"/>
      <c r="AE754" s="48"/>
      <c r="AF754" s="258"/>
      <c r="AG754" s="48"/>
      <c r="AH754" s="48"/>
      <c r="AI754" s="48"/>
      <c r="AJ754" s="48"/>
      <c r="AK754" s="48"/>
      <c r="AL754" s="51"/>
      <c r="AM754" s="212">
        <f>IF(AQ754=1,SUM(Q754:T754,W754:Z754,AC754:AF754,AI754:AL754),
IF(AQ754=2,SUM(P754,S754:V754,Y754:AB754,AE754:AH754,AK754:AL754),
IF(AQ754=3,SUM(P754:R754,U754:X754,AA754:AD754,AG754:AJ754),SUM(Таблица1[[#This Row],[1]:[31]])-Таблица1[[#This Row],[Столбец1]])))</f>
        <v>0</v>
      </c>
      <c r="AN754" s="778">
        <f t="array" ref="AN754">IF(AQ754=1,SUM(P754,U754:V754,AA754:AB754,AG754:AH754),
IF(AQ754=2,SUM(Q754:R754,W754:X754,AC754:AD754,AI754:AJ754),
IF(AQ754=3,SUM(S754:T754,Y754:Z754,AE754:AF754,AK754:AL754),
SUM(IFERROR(WEEKDAY($H$2:$AL$2,2)&gt;5,)*H754:AL754))))+Таблица1[[#This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54" s="292" t="b">
        <f>IF(AR754&lt;=3,(IF((G754="5/24"),((база!$M$6*Таблица1[[#This Row],[сумма]]*Таблица1[[#This Row],[коэф]])),
IF((G754="4/24"),((база!$M$5*Таблица1[[#This Row],[сумма]]*Таблица1[[#This Row],[коэф]])),
IF((G754="3/24"),((база!$M$4*Таблица1[[#This Row],[сумма]]*Таблица1[[#This Row],[коэф]])),
IF((G754="5/16"),((база!$L$6*Таблица1[[#This Row],[сумма]]*Таблица1[[#This Row],[коэф]])),
IF((G754="4/16"),((база!$L$5*Таблица1[[#This Row],[сумма]]*Таблица1[[#This Row],[коэф]])),
IF((G754="3/16"),((база!$L$4*Таблица1[[#This Row],[сумма]]*Таблица1[[#This Row],[коэф]])),
IF((G754="4/4"),((база!$I$5*Таблица1[[#This Row],[сумма]]*Таблица1[[#This Row],[коэф]])),
IF(OR(G754="2/4",G754="3/4"),((база!$I$4*Таблица1[[#This Row],[сумма]]*Таблица1[[#This Row],[коэф]])),
IF((G754="5/8"),((база!$J$6*Таблица1[[#This Row],[сумма]]*Таблица1[[#This Row],[коэф]])),
IF((G754="4/8"),((база!$J$5*Таблица1[[#This Row],[сумма]]*Таблица1[[#This Row],[коэф]])),
IF(OR(G754="3/8",G754="2/8"),((база!$J$4*Таблица1[[#This Row],[сумма]]*Таблица1[[#This Row],[коэф]])))))))))))))),
(IF((G754="5/24"),((база!$M$6*Таблица1[[#This Row],[сумма]]*Таблица1[[#This Row],[коэф]])),
IF(OR(G754="4/24",G754="3/24"),((база!$M$5*Таблица1[[#This Row],[сумма]]*Таблица1[[#This Row],[коэф]])),
IF((G754="5/16"),((база!$L$6*Таблица1[[#This Row],[сумма]]*Таблица1[[#This Row],[коэф]])),
IF(OR(G754="4/16",G754="3/16"),((база!$L$5*Таблица1[[#This Row],[сумма]]*Таблица1[[#This Row],[коэф]])),
IF(OR(G754="2/4",G754="3/4",G754="4/4"),((база!$I$5*Таблица1[[#This Row],[сумма]]*Таблица1[[#This Row],[коэф]])),
IF((G754="5/8"),((база!$J$6*Таблица1[[#This Row],[сумма]]*Таблица1[[#This Row],[коэф]])),
IF(OR(G754="4/8",G754="3/8",G754="2/8"),((база!$J$5*Таблица1[[#This Row],[сумма]]*Таблица1[[#This Row],[коэф]])))))))))))</f>
        <v>0</v>
      </c>
      <c r="AP754" s="730" t="b">
        <f>IF(AR754&lt;=3,(IF((G754="5/24"),((база!$M$6*2*Таблица1[[#This Row],[Столбец1]]*Таблица1[[#This Row],[коэф]])),
IF((G754="4/24"),((база!$M$5*2*Таблица1[[#This Row],[Столбец1]]*Таблица1[[#This Row],[коэф]])),
IF((G754="3/24"),((база!$M$4*2*Таблица1[[#This Row],[Столбец1]]*Таблица1[[#This Row],[коэф]])),
IF((G754="5/16"),((база!$L$6*2*Таблица1[[#This Row],[Столбец1]]*Таблица1[[#This Row],[коэф]])),
IF((G754="4/16"),((база!$L$5*2*Таблица1[[#This Row],[Столбец1]]*Таблица1[[#This Row],[коэф]])),
IF((G754="3/16"),((база!$L$4*2*Таблица1[[#This Row],[Столбец1]]*Таблица1[[#This Row],[коэф]])),
IF((G754="4/4"),((база!$I$5*2*Таблица1[[#This Row],[Столбец1]]*Таблица1[[#This Row],[коэф]])),
IF(OR(G754="2/4",G754="3/4"),((база!$I$4*2*Таблица1[[#This Row],[Столбец1]]*Таблица1[[#This Row],[коэф]])),
IF((G754="5/8"),((база!$J$6*2*Таблица1[[#This Row],[Столбец1]]*Таблица1[[#This Row],[коэф]])),
IF((G754="4/8"),((база!$J$5*2*Таблица1[[#This Row],[Столбец1]]*Таблица1[[#This Row],[коэф]])),
IF(OR(G754="3/8",G754="2/8"),((база!$J$4*2*Таблица1[[#This Row],[Столбец1]]*Таблица1[[#This Row],[коэф]])))))))))))))),
(IF((G754="5/24"),((база!$M$6*2*Таблица1[[#This Row],[Столбец1]]*Таблица1[[#This Row],[коэф]])),
IF(OR(G754="4/24",G754="3/24"),((база!$M$5*2*Таблица1[[#This Row],[Столбец1]]*Таблица1[[#This Row],[коэф]])),
IF((G754="5/16"),((база!$L$6*2*Таблица1[[#This Row],[Столбец1]]*Таблица1[[#This Row],[коэф]])),
IF(OR(G754="4/16",G754="3/16"),((база!$L$5*2*Таблица1[[#This Row],[Столбец1]]*Таблица1[[#This Row],[коэф]])),
IF(OR(G754="2/4",G754="3/4",G754="4/4"),((база!$I$5*2*Таблица1[[#This Row],[Столбец1]]*Таблица1[[#This Row],[коэф]])),
IF((G754="5/8"),((база!$J$6*2*Таблица1[[#This Row],[Столбец1]]*Таблица1[[#This Row],[коэф]])),
IF(OR(G754="4/8",G754="3/8",G754="2/8"),((база!$J$5*2*Таблица1[[#This Row],[Столбец1]]*Таблица1[[#This Row],[коэф]])))))))))))</f>
        <v>0</v>
      </c>
      <c r="AQ754" s="712" t="str">
        <f>IFERROR(INDEX(база!T:T, MATCH(F754,база!Q:Q,0)),"")</f>
        <v/>
      </c>
      <c r="AR754" s="208" t="str">
        <f>IFERROR(INDEX(база!D:D, MATCH(F754,база!B:B,0)),"")</f>
        <v/>
      </c>
      <c r="AS754" s="758" t="str">
        <f>IFERROR(INDEX(база!E:E, MATCH(F754,база!B:B,0)),"")</f>
        <v/>
      </c>
    </row>
    <row r="755" spans="1:45" ht="15">
      <c r="A755" s="66" t="str">
        <f t="shared" si="11"/>
        <v>январь</v>
      </c>
      <c r="B755" s="231">
        <v>2024</v>
      </c>
      <c r="C755" s="299"/>
      <c r="D755" s="61"/>
      <c r="E755" s="211"/>
      <c r="F755" s="680"/>
      <c r="G755" s="47"/>
      <c r="H755" s="563"/>
      <c r="I755" s="563"/>
      <c r="J755" s="563"/>
      <c r="K755" s="563"/>
      <c r="L755" s="563"/>
      <c r="M755" s="563"/>
      <c r="N755" s="563"/>
      <c r="O755" s="563"/>
      <c r="P755" s="300"/>
      <c r="Q755" s="563"/>
      <c r="R755" s="563"/>
      <c r="S755" s="563"/>
      <c r="T755" s="563"/>
      <c r="U755" s="563"/>
      <c r="V755" s="563"/>
      <c r="W755" s="563"/>
      <c r="X755" s="563"/>
      <c r="Y755" s="563"/>
      <c r="Z755" s="563"/>
      <c r="AA755" s="563"/>
      <c r="AB755" s="563"/>
      <c r="AC755" s="563"/>
      <c r="AD755" s="48"/>
      <c r="AE755" s="48"/>
      <c r="AF755" s="258"/>
      <c r="AG755" s="48"/>
      <c r="AH755" s="48"/>
      <c r="AI755" s="258"/>
      <c r="AJ755" s="258"/>
      <c r="AK755" s="258"/>
      <c r="AL755" s="258"/>
      <c r="AM755" s="212">
        <f>IF(AQ755=1,SUM(Q755:T755,W755:Z755,AC755:AF755,AI755:AL755),
IF(AQ755=2,SUM(P755,S755:V755,Y755:AB755,AE755:AH755,AK755:AL755),
IF(AQ755=3,SUM(P755:R755,U755:X755,AA755:AD755,AG755:AJ755),SUM(Таблица1[[#This Row],[1]:[31]])-Таблица1[[#This Row],[Столбец1]])))</f>
        <v>0</v>
      </c>
      <c r="AN755" s="778">
        <f t="array" ref="AN755">IF(AQ755=1,SUM(P755,U755:V755,AA755:AB755,AG755:AH755),
IF(AQ755=2,SUM(Q755:R755,W755:X755,AC755:AD755,AI755:AJ755),
IF(AQ755=3,SUM(S755:T755,Y755:Z755,AE755:AF755,AK755:AL755),
SUM(IFERROR(WEEKDAY($H$2:$AL$2,2)&gt;5,)*H755:AL755))))+Таблица1[[#This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55" s="292" t="b">
        <f>IF(AR755&lt;=3,(IF((G755="5/24"),((база!$M$6*Таблица1[[#This Row],[сумма]]*Таблица1[[#This Row],[коэф]])),
IF((G755="4/24"),((база!$M$5*Таблица1[[#This Row],[сумма]]*Таблица1[[#This Row],[коэф]])),
IF((G755="3/24"),((база!$M$4*Таблица1[[#This Row],[сумма]]*Таблица1[[#This Row],[коэф]])),
IF((G755="5/16"),((база!$L$6*Таблица1[[#This Row],[сумма]]*Таблица1[[#This Row],[коэф]])),
IF((G755="4/16"),((база!$L$5*Таблица1[[#This Row],[сумма]]*Таблица1[[#This Row],[коэф]])),
IF((G755="3/16"),((база!$L$4*Таблица1[[#This Row],[сумма]]*Таблица1[[#This Row],[коэф]])),
IF((G755="4/4"),((база!$I$5*Таблица1[[#This Row],[сумма]]*Таблица1[[#This Row],[коэф]])),
IF(OR(G755="2/4",G755="3/4"),((база!$I$4*Таблица1[[#This Row],[сумма]]*Таблица1[[#This Row],[коэф]])),
IF((G755="5/8"),((база!$J$6*Таблица1[[#This Row],[сумма]]*Таблица1[[#This Row],[коэф]])),
IF((G755="4/8"),((база!$J$5*Таблица1[[#This Row],[сумма]]*Таблица1[[#This Row],[коэф]])),
IF(OR(G755="3/8",G755="2/8"),((база!$J$4*Таблица1[[#This Row],[сумма]]*Таблица1[[#This Row],[коэф]])))))))))))))),
(IF((G755="5/24"),((база!$M$6*Таблица1[[#This Row],[сумма]]*Таблица1[[#This Row],[коэф]])),
IF(OR(G755="4/24",G755="3/24"),((база!$M$5*Таблица1[[#This Row],[сумма]]*Таблица1[[#This Row],[коэф]])),
IF((G755="5/16"),((база!$L$6*Таблица1[[#This Row],[сумма]]*Таблица1[[#This Row],[коэф]])),
IF(OR(G755="4/16",G755="3/16"),((база!$L$5*Таблица1[[#This Row],[сумма]]*Таблица1[[#This Row],[коэф]])),
IF(OR(G755="2/4",G755="3/4",G755="4/4"),((база!$I$5*Таблица1[[#This Row],[сумма]]*Таблица1[[#This Row],[коэф]])),
IF((G755="5/8"),((база!$J$6*Таблица1[[#This Row],[сумма]]*Таблица1[[#This Row],[коэф]])),
IF(OR(G755="4/8",G755="3/8",G755="2/8"),((база!$J$5*Таблица1[[#This Row],[сумма]]*Таблица1[[#This Row],[коэф]])))))))))))</f>
        <v>0</v>
      </c>
      <c r="AP755" s="730" t="b">
        <f>IF(AR755&lt;=3,(IF((G755="5/24"),((база!$M$6*2*Таблица1[[#This Row],[Столбец1]]*Таблица1[[#This Row],[коэф]])),
IF((G755="4/24"),((база!$M$5*2*Таблица1[[#This Row],[Столбец1]]*Таблица1[[#This Row],[коэф]])),
IF((G755="3/24"),((база!$M$4*2*Таблица1[[#This Row],[Столбец1]]*Таблица1[[#This Row],[коэф]])),
IF((G755="5/16"),((база!$L$6*2*Таблица1[[#This Row],[Столбец1]]*Таблица1[[#This Row],[коэф]])),
IF((G755="4/16"),((база!$L$5*2*Таблица1[[#This Row],[Столбец1]]*Таблица1[[#This Row],[коэф]])),
IF((G755="3/16"),((база!$L$4*2*Таблица1[[#This Row],[Столбец1]]*Таблица1[[#This Row],[коэф]])),
IF((G755="4/4"),((база!$I$5*2*Таблица1[[#This Row],[Столбец1]]*Таблица1[[#This Row],[коэф]])),
IF(OR(G755="2/4",G755="3/4"),((база!$I$4*2*Таблица1[[#This Row],[Столбец1]]*Таблица1[[#This Row],[коэф]])),
IF((G755="5/8"),((база!$J$6*2*Таблица1[[#This Row],[Столбец1]]*Таблица1[[#This Row],[коэф]])),
IF((G755="4/8"),((база!$J$5*2*Таблица1[[#This Row],[Столбец1]]*Таблица1[[#This Row],[коэф]])),
IF(OR(G755="3/8",G755="2/8"),((база!$J$4*2*Таблица1[[#This Row],[Столбец1]]*Таблица1[[#This Row],[коэф]])))))))))))))),
(IF((G755="5/24"),((база!$M$6*2*Таблица1[[#This Row],[Столбец1]]*Таблица1[[#This Row],[коэф]])),
IF(OR(G755="4/24",G755="3/24"),((база!$M$5*2*Таблица1[[#This Row],[Столбец1]]*Таблица1[[#This Row],[коэф]])),
IF((G755="5/16"),((база!$L$6*2*Таблица1[[#This Row],[Столбец1]]*Таблица1[[#This Row],[коэф]])),
IF(OR(G755="4/16",G755="3/16"),((база!$L$5*2*Таблица1[[#This Row],[Столбец1]]*Таблица1[[#This Row],[коэф]])),
IF(OR(G755="2/4",G755="3/4",G755="4/4"),((база!$I$5*2*Таблица1[[#This Row],[Столбец1]]*Таблица1[[#This Row],[коэф]])),
IF((G755="5/8"),((база!$J$6*2*Таблица1[[#This Row],[Столбец1]]*Таблица1[[#This Row],[коэф]])),
IF(OR(G755="4/8",G755="3/8",G755="2/8"),((база!$J$5*2*Таблица1[[#This Row],[Столбец1]]*Таблица1[[#This Row],[коэф]])))))))))))</f>
        <v>0</v>
      </c>
      <c r="AQ755" s="712" t="str">
        <f>IFERROR(INDEX(база!T:T, MATCH(F755,база!Q:Q,0)),"")</f>
        <v/>
      </c>
      <c r="AR755" s="208" t="str">
        <f>IFERROR(INDEX(база!D:D, MATCH(F755,база!B:B,0)),"")</f>
        <v/>
      </c>
      <c r="AS755" s="758" t="str">
        <f>IFERROR(INDEX(база!E:E, MATCH(F755,база!B:B,0)),"")</f>
        <v/>
      </c>
    </row>
    <row r="756" spans="1:45" ht="15">
      <c r="A756" s="66" t="str">
        <f t="shared" si="11"/>
        <v>январь</v>
      </c>
      <c r="B756" s="231">
        <v>2024</v>
      </c>
      <c r="C756" s="299"/>
      <c r="D756" s="61"/>
      <c r="E756" s="211"/>
      <c r="F756" s="680"/>
      <c r="G756" s="47"/>
      <c r="H756" s="563"/>
      <c r="I756" s="563"/>
      <c r="J756" s="563"/>
      <c r="K756" s="563"/>
      <c r="L756" s="563"/>
      <c r="M756" s="563"/>
      <c r="N756" s="563"/>
      <c r="O756" s="563"/>
      <c r="P756" s="300"/>
      <c r="Q756" s="563"/>
      <c r="R756" s="563"/>
      <c r="S756" s="563"/>
      <c r="T756" s="563"/>
      <c r="U756" s="563"/>
      <c r="V756" s="563"/>
      <c r="W756" s="563"/>
      <c r="X756" s="563"/>
      <c r="Y756" s="563"/>
      <c r="Z756" s="563"/>
      <c r="AA756" s="563"/>
      <c r="AB756" s="563"/>
      <c r="AC756" s="563"/>
      <c r="AD756" s="48"/>
      <c r="AE756" s="48"/>
      <c r="AF756" s="258"/>
      <c r="AG756" s="48"/>
      <c r="AH756" s="48"/>
      <c r="AI756" s="48"/>
      <c r="AJ756" s="48"/>
      <c r="AK756" s="48"/>
      <c r="AL756" s="51"/>
      <c r="AM756" s="212">
        <f>IF(AQ756=1,SUM(Q756:T756,W756:Z756,AC756:AF756,AI756:AL756),
IF(AQ756=2,SUM(P756,S756:V756,Y756:AB756,AE756:AH756,AK756:AL756),
IF(AQ756=3,SUM(P756:R756,U756:X756,AA756:AD756,AG756:AJ756),SUM(Таблица1[[#This Row],[1]:[31]])-Таблица1[[#This Row],[Столбец1]])))</f>
        <v>0</v>
      </c>
      <c r="AN756" s="778">
        <f t="array" ref="AN756">IF(AQ756=1,SUM(P756,U756:V756,AA756:AB756,AG756:AH756),
IF(AQ756=2,SUM(Q756:R756,W756:X756,AC756:AD756,AI756:AJ756),
IF(AQ756=3,SUM(S756:T756,Y756:Z756,AE756:AF756,AK756:AL756),
SUM(IFERROR(WEEKDAY($H$2:$AL$2,2)&gt;5,)*H756:AL756))))+Таблица1[[#This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56" s="292" t="b">
        <f>IF(AR756&lt;=3,(IF((G756="5/24"),((база!$M$6*Таблица1[[#This Row],[сумма]]*Таблица1[[#This Row],[коэф]])),
IF((G756="4/24"),((база!$M$5*Таблица1[[#This Row],[сумма]]*Таблица1[[#This Row],[коэф]])),
IF((G756="3/24"),((база!$M$4*Таблица1[[#This Row],[сумма]]*Таблица1[[#This Row],[коэф]])),
IF((G756="5/16"),((база!$L$6*Таблица1[[#This Row],[сумма]]*Таблица1[[#This Row],[коэф]])),
IF((G756="4/16"),((база!$L$5*Таблица1[[#This Row],[сумма]]*Таблица1[[#This Row],[коэф]])),
IF((G756="3/16"),((база!$L$4*Таблица1[[#This Row],[сумма]]*Таблица1[[#This Row],[коэф]])),
IF((G756="4/4"),((база!$I$5*Таблица1[[#This Row],[сумма]]*Таблица1[[#This Row],[коэф]])),
IF(OR(G756="2/4",G756="3/4"),((база!$I$4*Таблица1[[#This Row],[сумма]]*Таблица1[[#This Row],[коэф]])),
IF((G756="5/8"),((база!$J$6*Таблица1[[#This Row],[сумма]]*Таблица1[[#This Row],[коэф]])),
IF((G756="4/8"),((база!$J$5*Таблица1[[#This Row],[сумма]]*Таблица1[[#This Row],[коэф]])),
IF(OR(G756="3/8",G756="2/8"),((база!$J$4*Таблица1[[#This Row],[сумма]]*Таблица1[[#This Row],[коэф]])))))))))))))),
(IF((G756="5/24"),((база!$M$6*Таблица1[[#This Row],[сумма]]*Таблица1[[#This Row],[коэф]])),
IF(OR(G756="4/24",G756="3/24"),((база!$M$5*Таблица1[[#This Row],[сумма]]*Таблица1[[#This Row],[коэф]])),
IF((G756="5/16"),((база!$L$6*Таблица1[[#This Row],[сумма]]*Таблица1[[#This Row],[коэф]])),
IF(OR(G756="4/16",G756="3/16"),((база!$L$5*Таблица1[[#This Row],[сумма]]*Таблица1[[#This Row],[коэф]])),
IF(OR(G756="2/4",G756="3/4",G756="4/4"),((база!$I$5*Таблица1[[#This Row],[сумма]]*Таблица1[[#This Row],[коэф]])),
IF((G756="5/8"),((база!$J$6*Таблица1[[#This Row],[сумма]]*Таблица1[[#This Row],[коэф]])),
IF(OR(G756="4/8",G756="3/8",G756="2/8"),((база!$J$5*Таблица1[[#This Row],[сумма]]*Таблица1[[#This Row],[коэф]])))))))))))</f>
        <v>0</v>
      </c>
      <c r="AP756" s="730" t="b">
        <f>IF(AR756&lt;=3,(IF((G756="5/24"),((база!$M$6*2*Таблица1[[#This Row],[Столбец1]]*Таблица1[[#This Row],[коэф]])),
IF((G756="4/24"),((база!$M$5*2*Таблица1[[#This Row],[Столбец1]]*Таблица1[[#This Row],[коэф]])),
IF((G756="3/24"),((база!$M$4*2*Таблица1[[#This Row],[Столбец1]]*Таблица1[[#This Row],[коэф]])),
IF((G756="5/16"),((база!$L$6*2*Таблица1[[#This Row],[Столбец1]]*Таблица1[[#This Row],[коэф]])),
IF((G756="4/16"),((база!$L$5*2*Таблица1[[#This Row],[Столбец1]]*Таблица1[[#This Row],[коэф]])),
IF((G756="3/16"),((база!$L$4*2*Таблица1[[#This Row],[Столбец1]]*Таблица1[[#This Row],[коэф]])),
IF((G756="4/4"),((база!$I$5*2*Таблица1[[#This Row],[Столбец1]]*Таблица1[[#This Row],[коэф]])),
IF(OR(G756="2/4",G756="3/4"),((база!$I$4*2*Таблица1[[#This Row],[Столбец1]]*Таблица1[[#This Row],[коэф]])),
IF((G756="5/8"),((база!$J$6*2*Таблица1[[#This Row],[Столбец1]]*Таблица1[[#This Row],[коэф]])),
IF((G756="4/8"),((база!$J$5*2*Таблица1[[#This Row],[Столбец1]]*Таблица1[[#This Row],[коэф]])),
IF(OR(G756="3/8",G756="2/8"),((база!$J$4*2*Таблица1[[#This Row],[Столбец1]]*Таблица1[[#This Row],[коэф]])))))))))))))),
(IF((G756="5/24"),((база!$M$6*2*Таблица1[[#This Row],[Столбец1]]*Таблица1[[#This Row],[коэф]])),
IF(OR(G756="4/24",G756="3/24"),((база!$M$5*2*Таблица1[[#This Row],[Столбец1]]*Таблица1[[#This Row],[коэф]])),
IF((G756="5/16"),((база!$L$6*2*Таблица1[[#This Row],[Столбец1]]*Таблица1[[#This Row],[коэф]])),
IF(OR(G756="4/16",G756="3/16"),((база!$L$5*2*Таблица1[[#This Row],[Столбец1]]*Таблица1[[#This Row],[коэф]])),
IF(OR(G756="2/4",G756="3/4",G756="4/4"),((база!$I$5*2*Таблица1[[#This Row],[Столбец1]]*Таблица1[[#This Row],[коэф]])),
IF((G756="5/8"),((база!$J$6*2*Таблица1[[#This Row],[Столбец1]]*Таблица1[[#This Row],[коэф]])),
IF(OR(G756="4/8",G756="3/8",G756="2/8"),((база!$J$5*2*Таблица1[[#This Row],[Столбец1]]*Таблица1[[#This Row],[коэф]])))))))))))</f>
        <v>0</v>
      </c>
      <c r="AQ756" s="712" t="str">
        <f>IFERROR(INDEX(база!T:T, MATCH(F756,база!Q:Q,0)),"")</f>
        <v/>
      </c>
      <c r="AR756" s="208" t="str">
        <f>IFERROR(INDEX(база!D:D, MATCH(F756,база!B:B,0)),"")</f>
        <v/>
      </c>
      <c r="AS756" s="758" t="str">
        <f>IFERROR(INDEX(база!E:E, MATCH(F756,база!B:B,0)),"")</f>
        <v/>
      </c>
    </row>
    <row r="757" spans="1:45" ht="15">
      <c r="A757" s="66" t="str">
        <f t="shared" si="11"/>
        <v>январь</v>
      </c>
      <c r="B757" s="231">
        <v>2024</v>
      </c>
      <c r="C757" s="299"/>
      <c r="D757" s="61"/>
      <c r="E757" s="211"/>
      <c r="F757" s="680"/>
      <c r="G757" s="47"/>
      <c r="H757" s="563"/>
      <c r="I757" s="563"/>
      <c r="J757" s="563"/>
      <c r="K757" s="563"/>
      <c r="L757" s="563"/>
      <c r="M757" s="563"/>
      <c r="N757" s="563"/>
      <c r="O757" s="563"/>
      <c r="P757" s="300"/>
      <c r="Q757" s="563"/>
      <c r="R757" s="563"/>
      <c r="S757" s="563"/>
      <c r="T757" s="563"/>
      <c r="U757" s="563"/>
      <c r="V757" s="563"/>
      <c r="W757" s="563"/>
      <c r="X757" s="563"/>
      <c r="Y757" s="563"/>
      <c r="Z757" s="563"/>
      <c r="AA757" s="563"/>
      <c r="AB757" s="563"/>
      <c r="AC757" s="563"/>
      <c r="AD757" s="48"/>
      <c r="AE757" s="48"/>
      <c r="AF757" s="258"/>
      <c r="AG757" s="48"/>
      <c r="AH757" s="48"/>
      <c r="AI757" s="258"/>
      <c r="AJ757" s="258"/>
      <c r="AK757" s="258"/>
      <c r="AL757" s="258"/>
      <c r="AM757" s="212">
        <f>IF(AQ757=1,SUM(Q757:T757,W757:Z757,AC757:AF757,AI757:AL757),
IF(AQ757=2,SUM(P757,S757:V757,Y757:AB757,AE757:AH757,AK757:AL757),
IF(AQ757=3,SUM(P757:R757,U757:X757,AA757:AD757,AG757:AJ757),SUM(Таблица1[[#This Row],[1]:[31]])-Таблица1[[#This Row],[Столбец1]])))</f>
        <v>0</v>
      </c>
      <c r="AN757" s="778">
        <f t="array" ref="AN757">IF(AQ757=1,SUM(P757,U757:V757,AA757:AB757,AG757:AH757),
IF(AQ757=2,SUM(Q757:R757,W757:X757,AC757:AD757,AI757:AJ757),
IF(AQ757=3,SUM(S757:T757,Y757:Z757,AE757:AF757,AK757:AL757),
SUM(IFERROR(WEEKDAY($H$2:$AL$2,2)&gt;5,)*H757:AL757))))+Таблица1[[#This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57" s="292" t="b">
        <f>IF(AR757&lt;=3,(IF((G757="5/24"),((база!$M$6*Таблица1[[#This Row],[сумма]]*Таблица1[[#This Row],[коэф]])),
IF((G757="4/24"),((база!$M$5*Таблица1[[#This Row],[сумма]]*Таблица1[[#This Row],[коэф]])),
IF((G757="3/24"),((база!$M$4*Таблица1[[#This Row],[сумма]]*Таблица1[[#This Row],[коэф]])),
IF((G757="5/16"),((база!$L$6*Таблица1[[#This Row],[сумма]]*Таблица1[[#This Row],[коэф]])),
IF((G757="4/16"),((база!$L$5*Таблица1[[#This Row],[сумма]]*Таблица1[[#This Row],[коэф]])),
IF((G757="3/16"),((база!$L$4*Таблица1[[#This Row],[сумма]]*Таблица1[[#This Row],[коэф]])),
IF((G757="4/4"),((база!$I$5*Таблица1[[#This Row],[сумма]]*Таблица1[[#This Row],[коэф]])),
IF(OR(G757="2/4",G757="3/4"),((база!$I$4*Таблица1[[#This Row],[сумма]]*Таблица1[[#This Row],[коэф]])),
IF((G757="5/8"),((база!$J$6*Таблица1[[#This Row],[сумма]]*Таблица1[[#This Row],[коэф]])),
IF((G757="4/8"),((база!$J$5*Таблица1[[#This Row],[сумма]]*Таблица1[[#This Row],[коэф]])),
IF(OR(G757="3/8",G757="2/8"),((база!$J$4*Таблица1[[#This Row],[сумма]]*Таблица1[[#This Row],[коэф]])))))))))))))),
(IF((G757="5/24"),((база!$M$6*Таблица1[[#This Row],[сумма]]*Таблица1[[#This Row],[коэф]])),
IF(OR(G757="4/24",G757="3/24"),((база!$M$5*Таблица1[[#This Row],[сумма]]*Таблица1[[#This Row],[коэф]])),
IF((G757="5/16"),((база!$L$6*Таблица1[[#This Row],[сумма]]*Таблица1[[#This Row],[коэф]])),
IF(OR(G757="4/16",G757="3/16"),((база!$L$5*Таблица1[[#This Row],[сумма]]*Таблица1[[#This Row],[коэф]])),
IF(OR(G757="2/4",G757="3/4",G757="4/4"),((база!$I$5*Таблица1[[#This Row],[сумма]]*Таблица1[[#This Row],[коэф]])),
IF((G757="5/8"),((база!$J$6*Таблица1[[#This Row],[сумма]]*Таблица1[[#This Row],[коэф]])),
IF(OR(G757="4/8",G757="3/8",G757="2/8"),((база!$J$5*Таблица1[[#This Row],[сумма]]*Таблица1[[#This Row],[коэф]])))))))))))</f>
        <v>0</v>
      </c>
      <c r="AP757" s="730" t="b">
        <f>IF(AR757&lt;=3,(IF((G757="5/24"),((база!$M$6*2*Таблица1[[#This Row],[Столбец1]]*Таблица1[[#This Row],[коэф]])),
IF((G757="4/24"),((база!$M$5*2*Таблица1[[#This Row],[Столбец1]]*Таблица1[[#This Row],[коэф]])),
IF((G757="3/24"),((база!$M$4*2*Таблица1[[#This Row],[Столбец1]]*Таблица1[[#This Row],[коэф]])),
IF((G757="5/16"),((база!$L$6*2*Таблица1[[#This Row],[Столбец1]]*Таблица1[[#This Row],[коэф]])),
IF((G757="4/16"),((база!$L$5*2*Таблица1[[#This Row],[Столбец1]]*Таблица1[[#This Row],[коэф]])),
IF((G757="3/16"),((база!$L$4*2*Таблица1[[#This Row],[Столбец1]]*Таблица1[[#This Row],[коэф]])),
IF((G757="4/4"),((база!$I$5*2*Таблица1[[#This Row],[Столбец1]]*Таблица1[[#This Row],[коэф]])),
IF(OR(G757="2/4",G757="3/4"),((база!$I$4*2*Таблица1[[#This Row],[Столбец1]]*Таблица1[[#This Row],[коэф]])),
IF((G757="5/8"),((база!$J$6*2*Таблица1[[#This Row],[Столбец1]]*Таблица1[[#This Row],[коэф]])),
IF((G757="4/8"),((база!$J$5*2*Таблица1[[#This Row],[Столбец1]]*Таблица1[[#This Row],[коэф]])),
IF(OR(G757="3/8",G757="2/8"),((база!$J$4*2*Таблица1[[#This Row],[Столбец1]]*Таблица1[[#This Row],[коэф]])))))))))))))),
(IF((G757="5/24"),((база!$M$6*2*Таблица1[[#This Row],[Столбец1]]*Таблица1[[#This Row],[коэф]])),
IF(OR(G757="4/24",G757="3/24"),((база!$M$5*2*Таблица1[[#This Row],[Столбец1]]*Таблица1[[#This Row],[коэф]])),
IF((G757="5/16"),((база!$L$6*2*Таблица1[[#This Row],[Столбец1]]*Таблица1[[#This Row],[коэф]])),
IF(OR(G757="4/16",G757="3/16"),((база!$L$5*2*Таблица1[[#This Row],[Столбец1]]*Таблица1[[#This Row],[коэф]])),
IF(OR(G757="2/4",G757="3/4",G757="4/4"),((база!$I$5*2*Таблица1[[#This Row],[Столбец1]]*Таблица1[[#This Row],[коэф]])),
IF((G757="5/8"),((база!$J$6*2*Таблица1[[#This Row],[Столбец1]]*Таблица1[[#This Row],[коэф]])),
IF(OR(G757="4/8",G757="3/8",G757="2/8"),((база!$J$5*2*Таблица1[[#This Row],[Столбец1]]*Таблица1[[#This Row],[коэф]])))))))))))</f>
        <v>0</v>
      </c>
      <c r="AQ757" s="712" t="str">
        <f>IFERROR(INDEX(база!T:T, MATCH(F757,база!Q:Q,0)),"")</f>
        <v/>
      </c>
      <c r="AR757" s="208" t="str">
        <f>IFERROR(INDEX(база!D:D, MATCH(F757,база!B:B,0)),"")</f>
        <v/>
      </c>
      <c r="AS757" s="758" t="str">
        <f>IFERROR(INDEX(база!E:E, MATCH(F757,база!B:B,0)),"")</f>
        <v/>
      </c>
    </row>
    <row r="758" spans="1:45" ht="15">
      <c r="A758" s="66" t="str">
        <f t="shared" si="11"/>
        <v>январь</v>
      </c>
      <c r="B758" s="231">
        <v>2024</v>
      </c>
      <c r="C758" s="299"/>
      <c r="D758" s="61"/>
      <c r="E758" s="211"/>
      <c r="F758" s="680"/>
      <c r="G758" s="47"/>
      <c r="H758" s="563"/>
      <c r="I758" s="563"/>
      <c r="J758" s="563"/>
      <c r="K758" s="563"/>
      <c r="L758" s="563"/>
      <c r="M758" s="563"/>
      <c r="N758" s="563"/>
      <c r="O758" s="563"/>
      <c r="P758" s="300"/>
      <c r="Q758" s="563"/>
      <c r="R758" s="563"/>
      <c r="S758" s="563"/>
      <c r="T758" s="563"/>
      <c r="U758" s="563"/>
      <c r="V758" s="563"/>
      <c r="W758" s="563"/>
      <c r="X758" s="563"/>
      <c r="Y758" s="563"/>
      <c r="Z758" s="563"/>
      <c r="AA758" s="563"/>
      <c r="AB758" s="563"/>
      <c r="AC758" s="563"/>
      <c r="AD758" s="48"/>
      <c r="AE758" s="48"/>
      <c r="AF758" s="258"/>
      <c r="AG758" s="48"/>
      <c r="AH758" s="48"/>
      <c r="AI758" s="48"/>
      <c r="AJ758" s="48"/>
      <c r="AK758" s="48"/>
      <c r="AL758" s="51"/>
      <c r="AM758" s="212">
        <f>IF(AQ758=1,SUM(Q758:T758,W758:Z758,AC758:AF758,AI758:AL758),
IF(AQ758=2,SUM(P758,S758:V758,Y758:AB758,AE758:AH758,AK758:AL758),
IF(AQ758=3,SUM(P758:R758,U758:X758,AA758:AD758,AG758:AJ758),SUM(Таблица1[[#This Row],[1]:[31]])-Таблица1[[#This Row],[Столбец1]])))</f>
        <v>0</v>
      </c>
      <c r="AN758" s="778">
        <f t="array" ref="AN758">IF(AQ758=1,SUM(P758,U758:V758,AA758:AB758,AG758:AH758),
IF(AQ758=2,SUM(Q758:R758,W758:X758,AC758:AD758,AI758:AJ758),
IF(AQ758=3,SUM(S758:T758,Y758:Z758,AE758:AF758,AK758:AL758),
SUM(IFERROR(WEEKDAY($H$2:$AL$2,2)&gt;5,)*H758:AL758))))+Таблица1[[#This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58" s="292" t="b">
        <f>IF(AR758&lt;=3,(IF((G758="5/24"),((база!$M$6*Таблица1[[#This Row],[сумма]]*Таблица1[[#This Row],[коэф]])),
IF((G758="4/24"),((база!$M$5*Таблица1[[#This Row],[сумма]]*Таблица1[[#This Row],[коэф]])),
IF((G758="3/24"),((база!$M$4*Таблица1[[#This Row],[сумма]]*Таблица1[[#This Row],[коэф]])),
IF((G758="5/16"),((база!$L$6*Таблица1[[#This Row],[сумма]]*Таблица1[[#This Row],[коэф]])),
IF((G758="4/16"),((база!$L$5*Таблица1[[#This Row],[сумма]]*Таблица1[[#This Row],[коэф]])),
IF((G758="3/16"),((база!$L$4*Таблица1[[#This Row],[сумма]]*Таблица1[[#This Row],[коэф]])),
IF((G758="4/4"),((база!$I$5*Таблица1[[#This Row],[сумма]]*Таблица1[[#This Row],[коэф]])),
IF(OR(G758="2/4",G758="3/4"),((база!$I$4*Таблица1[[#This Row],[сумма]]*Таблица1[[#This Row],[коэф]])),
IF((G758="5/8"),((база!$J$6*Таблица1[[#This Row],[сумма]]*Таблица1[[#This Row],[коэф]])),
IF((G758="4/8"),((база!$J$5*Таблица1[[#This Row],[сумма]]*Таблица1[[#This Row],[коэф]])),
IF(OR(G758="3/8",G758="2/8"),((база!$J$4*Таблица1[[#This Row],[сумма]]*Таблица1[[#This Row],[коэф]])))))))))))))),
(IF((G758="5/24"),((база!$M$6*Таблица1[[#This Row],[сумма]]*Таблица1[[#This Row],[коэф]])),
IF(OR(G758="4/24",G758="3/24"),((база!$M$5*Таблица1[[#This Row],[сумма]]*Таблица1[[#This Row],[коэф]])),
IF((G758="5/16"),((база!$L$6*Таблица1[[#This Row],[сумма]]*Таблица1[[#This Row],[коэф]])),
IF(OR(G758="4/16",G758="3/16"),((база!$L$5*Таблица1[[#This Row],[сумма]]*Таблица1[[#This Row],[коэф]])),
IF(OR(G758="2/4",G758="3/4",G758="4/4"),((база!$I$5*Таблица1[[#This Row],[сумма]]*Таблица1[[#This Row],[коэф]])),
IF((G758="5/8"),((база!$J$6*Таблица1[[#This Row],[сумма]]*Таблица1[[#This Row],[коэф]])),
IF(OR(G758="4/8",G758="3/8",G758="2/8"),((база!$J$5*Таблица1[[#This Row],[сумма]]*Таблица1[[#This Row],[коэф]])))))))))))</f>
        <v>0</v>
      </c>
      <c r="AP758" s="730" t="b">
        <f>IF(AR758&lt;=3,(IF((G758="5/24"),((база!$M$6*2*Таблица1[[#This Row],[Столбец1]]*Таблица1[[#This Row],[коэф]])),
IF((G758="4/24"),((база!$M$5*2*Таблица1[[#This Row],[Столбец1]]*Таблица1[[#This Row],[коэф]])),
IF((G758="3/24"),((база!$M$4*2*Таблица1[[#This Row],[Столбец1]]*Таблица1[[#This Row],[коэф]])),
IF((G758="5/16"),((база!$L$6*2*Таблица1[[#This Row],[Столбец1]]*Таблица1[[#This Row],[коэф]])),
IF((G758="4/16"),((база!$L$5*2*Таблица1[[#This Row],[Столбец1]]*Таблица1[[#This Row],[коэф]])),
IF((G758="3/16"),((база!$L$4*2*Таблица1[[#This Row],[Столбец1]]*Таблица1[[#This Row],[коэф]])),
IF((G758="4/4"),((база!$I$5*2*Таблица1[[#This Row],[Столбец1]]*Таблица1[[#This Row],[коэф]])),
IF(OR(G758="2/4",G758="3/4"),((база!$I$4*2*Таблица1[[#This Row],[Столбец1]]*Таблица1[[#This Row],[коэф]])),
IF((G758="5/8"),((база!$J$6*2*Таблица1[[#This Row],[Столбец1]]*Таблица1[[#This Row],[коэф]])),
IF((G758="4/8"),((база!$J$5*2*Таблица1[[#This Row],[Столбец1]]*Таблица1[[#This Row],[коэф]])),
IF(OR(G758="3/8",G758="2/8"),((база!$J$4*2*Таблица1[[#This Row],[Столбец1]]*Таблица1[[#This Row],[коэф]])))))))))))))),
(IF((G758="5/24"),((база!$M$6*2*Таблица1[[#This Row],[Столбец1]]*Таблица1[[#This Row],[коэф]])),
IF(OR(G758="4/24",G758="3/24"),((база!$M$5*2*Таблица1[[#This Row],[Столбец1]]*Таблица1[[#This Row],[коэф]])),
IF((G758="5/16"),((база!$L$6*2*Таблица1[[#This Row],[Столбец1]]*Таблица1[[#This Row],[коэф]])),
IF(OR(G758="4/16",G758="3/16"),((база!$L$5*2*Таблица1[[#This Row],[Столбец1]]*Таблица1[[#This Row],[коэф]])),
IF(OR(G758="2/4",G758="3/4",G758="4/4"),((база!$I$5*2*Таблица1[[#This Row],[Столбец1]]*Таблица1[[#This Row],[коэф]])),
IF((G758="5/8"),((база!$J$6*2*Таблица1[[#This Row],[Столбец1]]*Таблица1[[#This Row],[коэф]])),
IF(OR(G758="4/8",G758="3/8",G758="2/8"),((база!$J$5*2*Таблица1[[#This Row],[Столбец1]]*Таблица1[[#This Row],[коэф]])))))))))))</f>
        <v>0</v>
      </c>
      <c r="AQ758" s="712" t="str">
        <f>IFERROR(INDEX(база!T:T, MATCH(F758,база!Q:Q,0)),"")</f>
        <v/>
      </c>
      <c r="AR758" s="208" t="str">
        <f>IFERROR(INDEX(база!D:D, MATCH(F758,база!B:B,0)),"")</f>
        <v/>
      </c>
      <c r="AS758" s="758" t="str">
        <f>IFERROR(INDEX(база!E:E, MATCH(F758,база!B:B,0)),"")</f>
        <v/>
      </c>
    </row>
    <row r="759" spans="1:45" ht="15">
      <c r="A759" s="66" t="str">
        <f t="shared" si="11"/>
        <v>январь</v>
      </c>
      <c r="B759" s="231">
        <v>2024</v>
      </c>
      <c r="C759" s="299"/>
      <c r="D759" s="61"/>
      <c r="E759" s="211"/>
      <c r="F759" s="680"/>
      <c r="G759" s="47"/>
      <c r="H759" s="563"/>
      <c r="I759" s="563"/>
      <c r="J759" s="563"/>
      <c r="K759" s="563"/>
      <c r="L759" s="563"/>
      <c r="M759" s="563"/>
      <c r="N759" s="563"/>
      <c r="O759" s="563"/>
      <c r="P759" s="300"/>
      <c r="Q759" s="563"/>
      <c r="R759" s="563"/>
      <c r="S759" s="563"/>
      <c r="T759" s="563"/>
      <c r="U759" s="563"/>
      <c r="V759" s="563"/>
      <c r="W759" s="563"/>
      <c r="X759" s="563"/>
      <c r="Y759" s="563"/>
      <c r="Z759" s="563"/>
      <c r="AA759" s="563"/>
      <c r="AB759" s="563"/>
      <c r="AC759" s="563"/>
      <c r="AD759" s="48"/>
      <c r="AE759" s="48"/>
      <c r="AF759" s="258"/>
      <c r="AG759" s="48"/>
      <c r="AH759" s="48"/>
      <c r="AI759" s="258"/>
      <c r="AJ759" s="258"/>
      <c r="AK759" s="258"/>
      <c r="AL759" s="258"/>
      <c r="AM759" s="212">
        <f>IF(AQ759=1,SUM(Q759:T759,W759:Z759,AC759:AF759,AI759:AL759),
IF(AQ759=2,SUM(P759,S759:V759,Y759:AB759,AE759:AH759,AK759:AL759),
IF(AQ759=3,SUM(P759:R759,U759:X759,AA759:AD759,AG759:AJ759),SUM(Таблица1[[#This Row],[1]:[31]])-Таблица1[[#This Row],[Столбец1]])))</f>
        <v>0</v>
      </c>
      <c r="AN759" s="778">
        <f t="array" ref="AN759">IF(AQ759=1,SUM(P759,U759:V759,AA759:AB759,AG759:AH759),
IF(AQ759=2,SUM(Q759:R759,W759:X759,AC759:AD759,AI759:AJ759),
IF(AQ759=3,SUM(S759:T759,Y759:Z759,AE759:AF759,AK759:AL759),
SUM(IFERROR(WEEKDAY($H$2:$AL$2,2)&gt;5,)*H759:AL759))))+Таблица1[[#This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59" s="292" t="b">
        <f>IF(AR759&lt;=3,(IF((G759="5/24"),((база!$M$6*Таблица1[[#This Row],[сумма]]*Таблица1[[#This Row],[коэф]])),
IF((G759="4/24"),((база!$M$5*Таблица1[[#This Row],[сумма]]*Таблица1[[#This Row],[коэф]])),
IF((G759="3/24"),((база!$M$4*Таблица1[[#This Row],[сумма]]*Таблица1[[#This Row],[коэф]])),
IF((G759="5/16"),((база!$L$6*Таблица1[[#This Row],[сумма]]*Таблица1[[#This Row],[коэф]])),
IF((G759="4/16"),((база!$L$5*Таблица1[[#This Row],[сумма]]*Таблица1[[#This Row],[коэф]])),
IF((G759="3/16"),((база!$L$4*Таблица1[[#This Row],[сумма]]*Таблица1[[#This Row],[коэф]])),
IF((G759="4/4"),((база!$I$5*Таблица1[[#This Row],[сумма]]*Таблица1[[#This Row],[коэф]])),
IF(OR(G759="2/4",G759="3/4"),((база!$I$4*Таблица1[[#This Row],[сумма]]*Таблица1[[#This Row],[коэф]])),
IF((G759="5/8"),((база!$J$6*Таблица1[[#This Row],[сумма]]*Таблица1[[#This Row],[коэф]])),
IF((G759="4/8"),((база!$J$5*Таблица1[[#This Row],[сумма]]*Таблица1[[#This Row],[коэф]])),
IF(OR(G759="3/8",G759="2/8"),((база!$J$4*Таблица1[[#This Row],[сумма]]*Таблица1[[#This Row],[коэф]])))))))))))))),
(IF((G759="5/24"),((база!$M$6*Таблица1[[#This Row],[сумма]]*Таблица1[[#This Row],[коэф]])),
IF(OR(G759="4/24",G759="3/24"),((база!$M$5*Таблица1[[#This Row],[сумма]]*Таблица1[[#This Row],[коэф]])),
IF((G759="5/16"),((база!$L$6*Таблица1[[#This Row],[сумма]]*Таблица1[[#This Row],[коэф]])),
IF(OR(G759="4/16",G759="3/16"),((база!$L$5*Таблица1[[#This Row],[сумма]]*Таблица1[[#This Row],[коэф]])),
IF(OR(G759="2/4",G759="3/4",G759="4/4"),((база!$I$5*Таблица1[[#This Row],[сумма]]*Таблица1[[#This Row],[коэф]])),
IF((G759="5/8"),((база!$J$6*Таблица1[[#This Row],[сумма]]*Таблица1[[#This Row],[коэф]])),
IF(OR(G759="4/8",G759="3/8",G759="2/8"),((база!$J$5*Таблица1[[#This Row],[сумма]]*Таблица1[[#This Row],[коэф]])))))))))))</f>
        <v>0</v>
      </c>
      <c r="AP759" s="730" t="b">
        <f>IF(AR759&lt;=3,(IF((G759="5/24"),((база!$M$6*2*Таблица1[[#This Row],[Столбец1]]*Таблица1[[#This Row],[коэф]])),
IF((G759="4/24"),((база!$M$5*2*Таблица1[[#This Row],[Столбец1]]*Таблица1[[#This Row],[коэф]])),
IF((G759="3/24"),((база!$M$4*2*Таблица1[[#This Row],[Столбец1]]*Таблица1[[#This Row],[коэф]])),
IF((G759="5/16"),((база!$L$6*2*Таблица1[[#This Row],[Столбец1]]*Таблица1[[#This Row],[коэф]])),
IF((G759="4/16"),((база!$L$5*2*Таблица1[[#This Row],[Столбец1]]*Таблица1[[#This Row],[коэф]])),
IF((G759="3/16"),((база!$L$4*2*Таблица1[[#This Row],[Столбец1]]*Таблица1[[#This Row],[коэф]])),
IF((G759="4/4"),((база!$I$5*2*Таблица1[[#This Row],[Столбец1]]*Таблица1[[#This Row],[коэф]])),
IF(OR(G759="2/4",G759="3/4"),((база!$I$4*2*Таблица1[[#This Row],[Столбец1]]*Таблица1[[#This Row],[коэф]])),
IF((G759="5/8"),((база!$J$6*2*Таблица1[[#This Row],[Столбец1]]*Таблица1[[#This Row],[коэф]])),
IF((G759="4/8"),((база!$J$5*2*Таблица1[[#This Row],[Столбец1]]*Таблица1[[#This Row],[коэф]])),
IF(OR(G759="3/8",G759="2/8"),((база!$J$4*2*Таблица1[[#This Row],[Столбец1]]*Таблица1[[#This Row],[коэф]])))))))))))))),
(IF((G759="5/24"),((база!$M$6*2*Таблица1[[#This Row],[Столбец1]]*Таблица1[[#This Row],[коэф]])),
IF(OR(G759="4/24",G759="3/24"),((база!$M$5*2*Таблица1[[#This Row],[Столбец1]]*Таблица1[[#This Row],[коэф]])),
IF((G759="5/16"),((база!$L$6*2*Таблица1[[#This Row],[Столбец1]]*Таблица1[[#This Row],[коэф]])),
IF(OR(G759="4/16",G759="3/16"),((база!$L$5*2*Таблица1[[#This Row],[Столбец1]]*Таблица1[[#This Row],[коэф]])),
IF(OR(G759="2/4",G759="3/4",G759="4/4"),((база!$I$5*2*Таблица1[[#This Row],[Столбец1]]*Таблица1[[#This Row],[коэф]])),
IF((G759="5/8"),((база!$J$6*2*Таблица1[[#This Row],[Столбец1]]*Таблица1[[#This Row],[коэф]])),
IF(OR(G759="4/8",G759="3/8",G759="2/8"),((база!$J$5*2*Таблица1[[#This Row],[Столбец1]]*Таблица1[[#This Row],[коэф]])))))))))))</f>
        <v>0</v>
      </c>
      <c r="AQ759" s="712" t="str">
        <f>IFERROR(INDEX(база!T:T, MATCH(F759,база!Q:Q,0)),"")</f>
        <v/>
      </c>
      <c r="AR759" s="208" t="str">
        <f>IFERROR(INDEX(база!D:D, MATCH(F759,база!B:B,0)),"")</f>
        <v/>
      </c>
      <c r="AS759" s="758" t="str">
        <f>IFERROR(INDEX(база!E:E, MATCH(F759,база!B:B,0)),"")</f>
        <v/>
      </c>
    </row>
    <row r="760" spans="1:45" ht="15">
      <c r="A760" s="66" t="str">
        <f t="shared" si="11"/>
        <v>январь</v>
      </c>
      <c r="B760" s="231">
        <v>2024</v>
      </c>
      <c r="C760" s="60"/>
      <c r="D760" s="61"/>
      <c r="E760" s="211"/>
      <c r="F760" s="679"/>
      <c r="G760" s="47"/>
      <c r="H760" s="563"/>
      <c r="I760" s="563"/>
      <c r="J760" s="563"/>
      <c r="K760" s="563"/>
      <c r="L760" s="563"/>
      <c r="M760" s="563"/>
      <c r="N760" s="563"/>
      <c r="O760" s="563"/>
      <c r="P760" s="300"/>
      <c r="Q760" s="563"/>
      <c r="R760" s="563"/>
      <c r="S760" s="563"/>
      <c r="T760" s="563"/>
      <c r="U760" s="563"/>
      <c r="V760" s="563"/>
      <c r="W760" s="563"/>
      <c r="X760" s="563"/>
      <c r="Y760" s="563"/>
      <c r="Z760" s="563"/>
      <c r="AA760" s="563"/>
      <c r="AB760" s="563"/>
      <c r="AC760" s="563"/>
      <c r="AD760" s="48"/>
      <c r="AE760" s="48"/>
      <c r="AF760" s="258"/>
      <c r="AG760" s="48"/>
      <c r="AH760" s="48"/>
      <c r="AI760" s="48"/>
      <c r="AJ760" s="48"/>
      <c r="AK760" s="48"/>
      <c r="AL760" s="51"/>
      <c r="AM760" s="212">
        <f>IF(AQ760=1,SUM(Q760:T760,W760:Z760,AC760:AF760,AI760:AL760),
IF(AQ760=2,SUM(P760,S760:V760,Y760:AB760,AE760:AH760,AK760:AL760),
IF(AQ760=3,SUM(P760:R760,U760:X760,AA760:AD760,AG760:AJ760),SUM(Таблица1[[#This Row],[1]:[31]])-Таблица1[[#This Row],[Столбец1]])))</f>
        <v>0</v>
      </c>
      <c r="AN760" s="778">
        <f t="array" ref="AN760">IF(AQ760=1,SUM(P760,U760:V760,AA760:AB760,AG760:AH760),
IF(AQ760=2,SUM(Q760:R760,W760:X760,AC760:AD760,AI760:AJ760),
IF(AQ760=3,SUM(S760:T760,Y760:Z760,AE760:AF760,AK760:AL760),
SUM(IFERROR(WEEKDAY($H$2:$AL$2,2)&gt;5,)*H760:AL760))))+Таблица1[[#This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60" s="292" t="b">
        <f>IF(AR760&lt;=3,(IF((G760="5/24"),((база!$M$6*Таблица1[[#This Row],[сумма]]*Таблица1[[#This Row],[коэф]])),
IF((G760="4/24"),((база!$M$5*Таблица1[[#This Row],[сумма]]*Таблица1[[#This Row],[коэф]])),
IF((G760="3/24"),((база!$M$4*Таблица1[[#This Row],[сумма]]*Таблица1[[#This Row],[коэф]])),
IF((G760="5/16"),((база!$L$6*Таблица1[[#This Row],[сумма]]*Таблица1[[#This Row],[коэф]])),
IF((G760="4/16"),((база!$L$5*Таблица1[[#This Row],[сумма]]*Таблица1[[#This Row],[коэф]])),
IF((G760="3/16"),((база!$L$4*Таблица1[[#This Row],[сумма]]*Таблица1[[#This Row],[коэф]])),
IF((G760="4/4"),((база!$I$5*Таблица1[[#This Row],[сумма]]*Таблица1[[#This Row],[коэф]])),
IF(OR(G760="2/4",G760="3/4"),((база!$I$4*Таблица1[[#This Row],[сумма]]*Таблица1[[#This Row],[коэф]])),
IF((G760="5/8"),((база!$J$6*Таблица1[[#This Row],[сумма]]*Таблица1[[#This Row],[коэф]])),
IF((G760="4/8"),((база!$J$5*Таблица1[[#This Row],[сумма]]*Таблица1[[#This Row],[коэф]])),
IF(OR(G760="3/8",G760="2/8"),((база!$J$4*Таблица1[[#This Row],[сумма]]*Таблица1[[#This Row],[коэф]])))))))))))))),
(IF((G760="5/24"),((база!$M$6*Таблица1[[#This Row],[сумма]]*Таблица1[[#This Row],[коэф]])),
IF(OR(G760="4/24",G760="3/24"),((база!$M$5*Таблица1[[#This Row],[сумма]]*Таблица1[[#This Row],[коэф]])),
IF((G760="5/16"),((база!$L$6*Таблица1[[#This Row],[сумма]]*Таблица1[[#This Row],[коэф]])),
IF(OR(G760="4/16",G760="3/16"),((база!$L$5*Таблица1[[#This Row],[сумма]]*Таблица1[[#This Row],[коэф]])),
IF(OR(G760="2/4",G760="3/4",G760="4/4"),((база!$I$5*Таблица1[[#This Row],[сумма]]*Таблица1[[#This Row],[коэф]])),
IF((G760="5/8"),((база!$J$6*Таблица1[[#This Row],[сумма]]*Таблица1[[#This Row],[коэф]])),
IF(OR(G760="4/8",G760="3/8",G760="2/8"),((база!$J$5*Таблица1[[#This Row],[сумма]]*Таблица1[[#This Row],[коэф]])))))))))))</f>
        <v>0</v>
      </c>
      <c r="AP760" s="730" t="b">
        <f>IF(AR760&lt;=3,(IF((G760="5/24"),((база!$M$6*2*Таблица1[[#This Row],[Столбец1]]*Таблица1[[#This Row],[коэф]])),
IF((G760="4/24"),((база!$M$5*2*Таблица1[[#This Row],[Столбец1]]*Таблица1[[#This Row],[коэф]])),
IF((G760="3/24"),((база!$M$4*2*Таблица1[[#This Row],[Столбец1]]*Таблица1[[#This Row],[коэф]])),
IF((G760="5/16"),((база!$L$6*2*Таблица1[[#This Row],[Столбец1]]*Таблица1[[#This Row],[коэф]])),
IF((G760="4/16"),((база!$L$5*2*Таблица1[[#This Row],[Столбец1]]*Таблица1[[#This Row],[коэф]])),
IF((G760="3/16"),((база!$L$4*2*Таблица1[[#This Row],[Столбец1]]*Таблица1[[#This Row],[коэф]])),
IF((G760="4/4"),((база!$I$5*2*Таблица1[[#This Row],[Столбец1]]*Таблица1[[#This Row],[коэф]])),
IF(OR(G760="2/4",G760="3/4"),((база!$I$4*2*Таблица1[[#This Row],[Столбец1]]*Таблица1[[#This Row],[коэф]])),
IF((G760="5/8"),((база!$J$6*2*Таблица1[[#This Row],[Столбец1]]*Таблица1[[#This Row],[коэф]])),
IF((G760="4/8"),((база!$J$5*2*Таблица1[[#This Row],[Столбец1]]*Таблица1[[#This Row],[коэф]])),
IF(OR(G760="3/8",G760="2/8"),((база!$J$4*2*Таблица1[[#This Row],[Столбец1]]*Таблица1[[#This Row],[коэф]])))))))))))))),
(IF((G760="5/24"),((база!$M$6*2*Таблица1[[#This Row],[Столбец1]]*Таблица1[[#This Row],[коэф]])),
IF(OR(G760="4/24",G760="3/24"),((база!$M$5*2*Таблица1[[#This Row],[Столбец1]]*Таблица1[[#This Row],[коэф]])),
IF((G760="5/16"),((база!$L$6*2*Таблица1[[#This Row],[Столбец1]]*Таблица1[[#This Row],[коэф]])),
IF(OR(G760="4/16",G760="3/16"),((база!$L$5*2*Таблица1[[#This Row],[Столбец1]]*Таблица1[[#This Row],[коэф]])),
IF(OR(G760="2/4",G760="3/4",G760="4/4"),((база!$I$5*2*Таблица1[[#This Row],[Столбец1]]*Таблица1[[#This Row],[коэф]])),
IF((G760="5/8"),((база!$J$6*2*Таблица1[[#This Row],[Столбец1]]*Таблица1[[#This Row],[коэф]])),
IF(OR(G760="4/8",G760="3/8",G760="2/8"),((база!$J$5*2*Таблица1[[#This Row],[Столбец1]]*Таблица1[[#This Row],[коэф]])))))))))))</f>
        <v>0</v>
      </c>
      <c r="AQ760" s="712" t="str">
        <f>IFERROR(INDEX(база!T:T, MATCH(F760,база!Q:Q,0)),"")</f>
        <v/>
      </c>
      <c r="AR760" s="208" t="str">
        <f>IFERROR(INDEX(база!D:D, MATCH(F760,база!B:B,0)),"")</f>
        <v/>
      </c>
      <c r="AS760" s="758" t="str">
        <f>IFERROR(INDEX(база!E:E, MATCH(F760,база!B:B,0)),"")</f>
        <v/>
      </c>
    </row>
    <row r="761" spans="1:45" ht="15">
      <c r="A761" s="66" t="str">
        <f t="shared" si="11"/>
        <v>январь</v>
      </c>
      <c r="B761" s="231">
        <v>2024</v>
      </c>
      <c r="C761" s="299"/>
      <c r="D761" s="61"/>
      <c r="E761" s="211"/>
      <c r="F761" s="679"/>
      <c r="G761" s="47"/>
      <c r="H761" s="563"/>
      <c r="I761" s="563"/>
      <c r="J761" s="563"/>
      <c r="K761" s="563"/>
      <c r="L761" s="563"/>
      <c r="M761" s="563"/>
      <c r="N761" s="563"/>
      <c r="O761" s="563"/>
      <c r="P761" s="300"/>
      <c r="Q761" s="563"/>
      <c r="R761" s="563"/>
      <c r="S761" s="563"/>
      <c r="T761" s="563"/>
      <c r="U761" s="563"/>
      <c r="V761" s="563"/>
      <c r="W761" s="563"/>
      <c r="X761" s="563"/>
      <c r="Y761" s="563"/>
      <c r="Z761" s="563"/>
      <c r="AA761" s="563"/>
      <c r="AB761" s="563"/>
      <c r="AC761" s="563"/>
      <c r="AD761" s="48"/>
      <c r="AE761" s="48"/>
      <c r="AF761" s="258"/>
      <c r="AG761" s="48"/>
      <c r="AH761" s="48"/>
      <c r="AI761" s="258"/>
      <c r="AJ761" s="258"/>
      <c r="AK761" s="258"/>
      <c r="AL761" s="258"/>
      <c r="AM761" s="212">
        <f>IF(AQ761=1,SUM(Q761:T761,W761:Z761,AC761:AF761,AI761:AL761),
IF(AQ761=2,SUM(P761,S761:V761,Y761:AB761,AE761:AH761,AK761:AL761),
IF(AQ761=3,SUM(P761:R761,U761:X761,AA761:AD761,AG761:AJ761),SUM(Таблица1[[#This Row],[1]:[31]])-Таблица1[[#This Row],[Столбец1]])))</f>
        <v>0</v>
      </c>
      <c r="AN761" s="778">
        <f t="array" ref="AN761">IF(AQ761=1,SUM(P761,U761:V761,AA761:AB761,AG761:AH761),
IF(AQ761=2,SUM(Q761:R761,W761:X761,AC761:AD761,AI761:AJ761),
IF(AQ761=3,SUM(S761:T761,Y761:Z761,AE761:AF761,AK761:AL761),
SUM(IFERROR(WEEKDAY($H$2:$AL$2,2)&gt;5,)*H761:AL761))))+Таблица1[[#This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61" s="292" t="b">
        <f>IF(AR761&lt;=3,(IF((G761="5/24"),((база!$M$6*Таблица1[[#This Row],[сумма]]*Таблица1[[#This Row],[коэф]])),
IF((G761="4/24"),((база!$M$5*Таблица1[[#This Row],[сумма]]*Таблица1[[#This Row],[коэф]])),
IF((G761="3/24"),((база!$M$4*Таблица1[[#This Row],[сумма]]*Таблица1[[#This Row],[коэф]])),
IF((G761="5/16"),((база!$L$6*Таблица1[[#This Row],[сумма]]*Таблица1[[#This Row],[коэф]])),
IF((G761="4/16"),((база!$L$5*Таблица1[[#This Row],[сумма]]*Таблица1[[#This Row],[коэф]])),
IF((G761="3/16"),((база!$L$4*Таблица1[[#This Row],[сумма]]*Таблица1[[#This Row],[коэф]])),
IF((G761="4/4"),((база!$I$5*Таблица1[[#This Row],[сумма]]*Таблица1[[#This Row],[коэф]])),
IF(OR(G761="2/4",G761="3/4"),((база!$I$4*Таблица1[[#This Row],[сумма]]*Таблица1[[#This Row],[коэф]])),
IF((G761="5/8"),((база!$J$6*Таблица1[[#This Row],[сумма]]*Таблица1[[#This Row],[коэф]])),
IF((G761="4/8"),((база!$J$5*Таблица1[[#This Row],[сумма]]*Таблица1[[#This Row],[коэф]])),
IF(OR(G761="3/8",G761="2/8"),((база!$J$4*Таблица1[[#This Row],[сумма]]*Таблица1[[#This Row],[коэф]])))))))))))))),
(IF((G761="5/24"),((база!$M$6*Таблица1[[#This Row],[сумма]]*Таблица1[[#This Row],[коэф]])),
IF(OR(G761="4/24",G761="3/24"),((база!$M$5*Таблица1[[#This Row],[сумма]]*Таблица1[[#This Row],[коэф]])),
IF((G761="5/16"),((база!$L$6*Таблица1[[#This Row],[сумма]]*Таблица1[[#This Row],[коэф]])),
IF(OR(G761="4/16",G761="3/16"),((база!$L$5*Таблица1[[#This Row],[сумма]]*Таблица1[[#This Row],[коэф]])),
IF(OR(G761="2/4",G761="3/4",G761="4/4"),((база!$I$5*Таблица1[[#This Row],[сумма]]*Таблица1[[#This Row],[коэф]])),
IF((G761="5/8"),((база!$J$6*Таблица1[[#This Row],[сумма]]*Таблица1[[#This Row],[коэф]])),
IF(OR(G761="4/8",G761="3/8",G761="2/8"),((база!$J$5*Таблица1[[#This Row],[сумма]]*Таблица1[[#This Row],[коэф]])))))))))))</f>
        <v>0</v>
      </c>
      <c r="AP761" s="730" t="b">
        <f>IF(AR761&lt;=3,(IF((G761="5/24"),((база!$M$6*2*Таблица1[[#This Row],[Столбец1]]*Таблица1[[#This Row],[коэф]])),
IF((G761="4/24"),((база!$M$5*2*Таблица1[[#This Row],[Столбец1]]*Таблица1[[#This Row],[коэф]])),
IF((G761="3/24"),((база!$M$4*2*Таблица1[[#This Row],[Столбец1]]*Таблица1[[#This Row],[коэф]])),
IF((G761="5/16"),((база!$L$6*2*Таблица1[[#This Row],[Столбец1]]*Таблица1[[#This Row],[коэф]])),
IF((G761="4/16"),((база!$L$5*2*Таблица1[[#This Row],[Столбец1]]*Таблица1[[#This Row],[коэф]])),
IF((G761="3/16"),((база!$L$4*2*Таблица1[[#This Row],[Столбец1]]*Таблица1[[#This Row],[коэф]])),
IF((G761="4/4"),((база!$I$5*2*Таблица1[[#This Row],[Столбец1]]*Таблица1[[#This Row],[коэф]])),
IF(OR(G761="2/4",G761="3/4"),((база!$I$4*2*Таблица1[[#This Row],[Столбец1]]*Таблица1[[#This Row],[коэф]])),
IF((G761="5/8"),((база!$J$6*2*Таблица1[[#This Row],[Столбец1]]*Таблица1[[#This Row],[коэф]])),
IF((G761="4/8"),((база!$J$5*2*Таблица1[[#This Row],[Столбец1]]*Таблица1[[#This Row],[коэф]])),
IF(OR(G761="3/8",G761="2/8"),((база!$J$4*2*Таблица1[[#This Row],[Столбец1]]*Таблица1[[#This Row],[коэф]])))))))))))))),
(IF((G761="5/24"),((база!$M$6*2*Таблица1[[#This Row],[Столбец1]]*Таблица1[[#This Row],[коэф]])),
IF(OR(G761="4/24",G761="3/24"),((база!$M$5*2*Таблица1[[#This Row],[Столбец1]]*Таблица1[[#This Row],[коэф]])),
IF((G761="5/16"),((база!$L$6*2*Таблица1[[#This Row],[Столбец1]]*Таблица1[[#This Row],[коэф]])),
IF(OR(G761="4/16",G761="3/16"),((база!$L$5*2*Таблица1[[#This Row],[Столбец1]]*Таблица1[[#This Row],[коэф]])),
IF(OR(G761="2/4",G761="3/4",G761="4/4"),((база!$I$5*2*Таблица1[[#This Row],[Столбец1]]*Таблица1[[#This Row],[коэф]])),
IF((G761="5/8"),((база!$J$6*2*Таблица1[[#This Row],[Столбец1]]*Таблица1[[#This Row],[коэф]])),
IF(OR(G761="4/8",G761="3/8",G761="2/8"),((база!$J$5*2*Таблица1[[#This Row],[Столбец1]]*Таблица1[[#This Row],[коэф]])))))))))))</f>
        <v>0</v>
      </c>
      <c r="AQ761" s="712" t="str">
        <f>IFERROR(INDEX(база!T:T, MATCH(F761,база!Q:Q,0)),"")</f>
        <v/>
      </c>
      <c r="AR761" s="208" t="str">
        <f>IFERROR(INDEX(база!D:D, MATCH(F761,база!B:B,0)),"")</f>
        <v/>
      </c>
      <c r="AS761" s="758" t="str">
        <f>IFERROR(INDEX(база!E:E, MATCH(F761,база!B:B,0)),"")</f>
        <v/>
      </c>
    </row>
    <row r="762" spans="1:45" ht="15">
      <c r="A762" s="66" t="str">
        <f t="shared" si="11"/>
        <v>январь</v>
      </c>
      <c r="B762" s="231">
        <v>2024</v>
      </c>
      <c r="C762" s="299"/>
      <c r="D762" s="61"/>
      <c r="E762" s="211"/>
      <c r="F762" s="680"/>
      <c r="G762" s="47"/>
      <c r="H762" s="563"/>
      <c r="I762" s="563"/>
      <c r="J762" s="563"/>
      <c r="K762" s="563"/>
      <c r="L762" s="563"/>
      <c r="M762" s="563"/>
      <c r="N762" s="563"/>
      <c r="O762" s="563"/>
      <c r="P762" s="300"/>
      <c r="Q762" s="563"/>
      <c r="R762" s="563"/>
      <c r="S762" s="563"/>
      <c r="T762" s="563"/>
      <c r="U762" s="563"/>
      <c r="V762" s="563"/>
      <c r="W762" s="563"/>
      <c r="X762" s="563"/>
      <c r="Y762" s="563"/>
      <c r="Z762" s="563"/>
      <c r="AA762" s="563"/>
      <c r="AB762" s="563"/>
      <c r="AC762" s="563"/>
      <c r="AD762" s="48"/>
      <c r="AE762" s="48"/>
      <c r="AF762" s="258"/>
      <c r="AG762" s="48"/>
      <c r="AH762" s="48"/>
      <c r="AI762" s="48"/>
      <c r="AJ762" s="48"/>
      <c r="AK762" s="48"/>
      <c r="AL762" s="51"/>
      <c r="AM762" s="212">
        <f>IF(AQ762=1,SUM(Q762:T762,W762:Z762,AC762:AF762,AI762:AL762),
IF(AQ762=2,SUM(P762,S762:V762,Y762:AB762,AE762:AH762,AK762:AL762),
IF(AQ762=3,SUM(P762:R762,U762:X762,AA762:AD762,AG762:AJ762),SUM(Таблица1[[#This Row],[1]:[31]])-Таблица1[[#This Row],[Столбец1]])))</f>
        <v>0</v>
      </c>
      <c r="AN762" s="778">
        <f t="array" ref="AN762">IF(AQ762=1,SUM(P762,U762:V762,AA762:AB762,AG762:AH762),
IF(AQ762=2,SUM(Q762:R762,W762:X762,AC762:AD762,AI762:AJ762),
IF(AQ762=3,SUM(S762:T762,Y762:Z762,AE762:AF762,AK762:AL762),
SUM(IFERROR(WEEKDAY($H$2:$AL$2,2)&gt;5,)*H762:AL762))))+Таблица1[[#This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62" s="292" t="b">
        <f>IF(AR762&lt;=3,(IF((G762="5/24"),((база!$M$6*Таблица1[[#This Row],[сумма]]*Таблица1[[#This Row],[коэф]])),
IF((G762="4/24"),((база!$M$5*Таблица1[[#This Row],[сумма]]*Таблица1[[#This Row],[коэф]])),
IF((G762="3/24"),((база!$M$4*Таблица1[[#This Row],[сумма]]*Таблица1[[#This Row],[коэф]])),
IF((G762="5/16"),((база!$L$6*Таблица1[[#This Row],[сумма]]*Таблица1[[#This Row],[коэф]])),
IF((G762="4/16"),((база!$L$5*Таблица1[[#This Row],[сумма]]*Таблица1[[#This Row],[коэф]])),
IF((G762="3/16"),((база!$L$4*Таблица1[[#This Row],[сумма]]*Таблица1[[#This Row],[коэф]])),
IF((G762="4/4"),((база!$I$5*Таблица1[[#This Row],[сумма]]*Таблица1[[#This Row],[коэф]])),
IF(OR(G762="2/4",G762="3/4"),((база!$I$4*Таблица1[[#This Row],[сумма]]*Таблица1[[#This Row],[коэф]])),
IF((G762="5/8"),((база!$J$6*Таблица1[[#This Row],[сумма]]*Таблица1[[#This Row],[коэф]])),
IF((G762="4/8"),((база!$J$5*Таблица1[[#This Row],[сумма]]*Таблица1[[#This Row],[коэф]])),
IF(OR(G762="3/8",G762="2/8"),((база!$J$4*Таблица1[[#This Row],[сумма]]*Таблица1[[#This Row],[коэф]])))))))))))))),
(IF((G762="5/24"),((база!$M$6*Таблица1[[#This Row],[сумма]]*Таблица1[[#This Row],[коэф]])),
IF(OR(G762="4/24",G762="3/24"),((база!$M$5*Таблица1[[#This Row],[сумма]]*Таблица1[[#This Row],[коэф]])),
IF((G762="5/16"),((база!$L$6*Таблица1[[#This Row],[сумма]]*Таблица1[[#This Row],[коэф]])),
IF(OR(G762="4/16",G762="3/16"),((база!$L$5*Таблица1[[#This Row],[сумма]]*Таблица1[[#This Row],[коэф]])),
IF(OR(G762="2/4",G762="3/4",G762="4/4"),((база!$I$5*Таблица1[[#This Row],[сумма]]*Таблица1[[#This Row],[коэф]])),
IF((G762="5/8"),((база!$J$6*Таблица1[[#This Row],[сумма]]*Таблица1[[#This Row],[коэф]])),
IF(OR(G762="4/8",G762="3/8",G762="2/8"),((база!$J$5*Таблица1[[#This Row],[сумма]]*Таблица1[[#This Row],[коэф]])))))))))))</f>
        <v>0</v>
      </c>
      <c r="AP762" s="730" t="b">
        <f>IF(AR762&lt;=3,(IF((G762="5/24"),((база!$M$6*2*Таблица1[[#This Row],[Столбец1]]*Таблица1[[#This Row],[коэф]])),
IF((G762="4/24"),((база!$M$5*2*Таблица1[[#This Row],[Столбец1]]*Таблица1[[#This Row],[коэф]])),
IF((G762="3/24"),((база!$M$4*2*Таблица1[[#This Row],[Столбец1]]*Таблица1[[#This Row],[коэф]])),
IF((G762="5/16"),((база!$L$6*2*Таблица1[[#This Row],[Столбец1]]*Таблица1[[#This Row],[коэф]])),
IF((G762="4/16"),((база!$L$5*2*Таблица1[[#This Row],[Столбец1]]*Таблица1[[#This Row],[коэф]])),
IF((G762="3/16"),((база!$L$4*2*Таблица1[[#This Row],[Столбец1]]*Таблица1[[#This Row],[коэф]])),
IF((G762="4/4"),((база!$I$5*2*Таблица1[[#This Row],[Столбец1]]*Таблица1[[#This Row],[коэф]])),
IF(OR(G762="2/4",G762="3/4"),((база!$I$4*2*Таблица1[[#This Row],[Столбец1]]*Таблица1[[#This Row],[коэф]])),
IF((G762="5/8"),((база!$J$6*2*Таблица1[[#This Row],[Столбец1]]*Таблица1[[#This Row],[коэф]])),
IF((G762="4/8"),((база!$J$5*2*Таблица1[[#This Row],[Столбец1]]*Таблица1[[#This Row],[коэф]])),
IF(OR(G762="3/8",G762="2/8"),((база!$J$4*2*Таблица1[[#This Row],[Столбец1]]*Таблица1[[#This Row],[коэф]])))))))))))))),
(IF((G762="5/24"),((база!$M$6*2*Таблица1[[#This Row],[Столбец1]]*Таблица1[[#This Row],[коэф]])),
IF(OR(G762="4/24",G762="3/24"),((база!$M$5*2*Таблица1[[#This Row],[Столбец1]]*Таблица1[[#This Row],[коэф]])),
IF((G762="5/16"),((база!$L$6*2*Таблица1[[#This Row],[Столбец1]]*Таблица1[[#This Row],[коэф]])),
IF(OR(G762="4/16",G762="3/16"),((база!$L$5*2*Таблица1[[#This Row],[Столбец1]]*Таблица1[[#This Row],[коэф]])),
IF(OR(G762="2/4",G762="3/4",G762="4/4"),((база!$I$5*2*Таблица1[[#This Row],[Столбец1]]*Таблица1[[#This Row],[коэф]])),
IF((G762="5/8"),((база!$J$6*2*Таблица1[[#This Row],[Столбец1]]*Таблица1[[#This Row],[коэф]])),
IF(OR(G762="4/8",G762="3/8",G762="2/8"),((база!$J$5*2*Таблица1[[#This Row],[Столбец1]]*Таблица1[[#This Row],[коэф]])))))))))))</f>
        <v>0</v>
      </c>
      <c r="AQ762" s="712" t="str">
        <f>IFERROR(INDEX(база!T:T, MATCH(F762,база!Q:Q,0)),"")</f>
        <v/>
      </c>
      <c r="AR762" s="208" t="str">
        <f>IFERROR(INDEX(база!D:D, MATCH(F762,база!B:B,0)),"")</f>
        <v/>
      </c>
      <c r="AS762" s="758" t="str">
        <f>IFERROR(INDEX(база!E:E, MATCH(F762,база!B:B,0)),"")</f>
        <v/>
      </c>
    </row>
    <row r="763" spans="1:45" ht="15">
      <c r="A763" s="66" t="str">
        <f t="shared" si="11"/>
        <v>январь</v>
      </c>
      <c r="B763" s="231">
        <v>2024</v>
      </c>
      <c r="C763" s="299"/>
      <c r="D763" s="61"/>
      <c r="E763" s="211"/>
      <c r="F763" s="679"/>
      <c r="G763" s="47"/>
      <c r="H763" s="563"/>
      <c r="I763" s="563"/>
      <c r="J763" s="563"/>
      <c r="K763" s="563"/>
      <c r="L763" s="563"/>
      <c r="M763" s="563"/>
      <c r="N763" s="563"/>
      <c r="O763" s="563"/>
      <c r="P763" s="300"/>
      <c r="Q763" s="563"/>
      <c r="R763" s="563"/>
      <c r="S763" s="563"/>
      <c r="T763" s="563"/>
      <c r="U763" s="563"/>
      <c r="V763" s="563"/>
      <c r="W763" s="563"/>
      <c r="X763" s="563"/>
      <c r="Y763" s="563"/>
      <c r="Z763" s="563"/>
      <c r="AA763" s="563"/>
      <c r="AB763" s="563"/>
      <c r="AC763" s="563"/>
      <c r="AD763" s="48"/>
      <c r="AE763" s="48"/>
      <c r="AF763" s="258"/>
      <c r="AG763" s="48"/>
      <c r="AH763" s="48"/>
      <c r="AI763" s="258"/>
      <c r="AJ763" s="258"/>
      <c r="AK763" s="258"/>
      <c r="AL763" s="258"/>
      <c r="AM763" s="212">
        <f>IF(AQ763=1,SUM(Q763:T763,W763:Z763,AC763:AF763,AI763:AL763),
IF(AQ763=2,SUM(P763,S763:V763,Y763:AB763,AE763:AH763,AK763:AL763),
IF(AQ763=3,SUM(P763:R763,U763:X763,AA763:AD763,AG763:AJ763),SUM(Таблица1[[#This Row],[1]:[31]])-Таблица1[[#This Row],[Столбец1]])))</f>
        <v>0</v>
      </c>
      <c r="AN763" s="778">
        <f t="array" ref="AN763">IF(AQ763=1,SUM(P763,U763:V763,AA763:AB763,AG763:AH763),
IF(AQ763=2,SUM(Q763:R763,W763:X763,AC763:AD763,AI763:AJ763),
IF(AQ763=3,SUM(S763:T763,Y763:Z763,AE763:AF763,AK763:AL763),
SUM(IFERROR(WEEKDAY($H$2:$AL$2,2)&gt;5,)*H763:AL763))))+Таблица1[[#This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63" s="292" t="b">
        <f>IF(AR763&lt;=3,(IF((G763="5/24"),((база!$M$6*Таблица1[[#This Row],[сумма]]*Таблица1[[#This Row],[коэф]])),
IF((G763="4/24"),((база!$M$5*Таблица1[[#This Row],[сумма]]*Таблица1[[#This Row],[коэф]])),
IF((G763="3/24"),((база!$M$4*Таблица1[[#This Row],[сумма]]*Таблица1[[#This Row],[коэф]])),
IF((G763="5/16"),((база!$L$6*Таблица1[[#This Row],[сумма]]*Таблица1[[#This Row],[коэф]])),
IF((G763="4/16"),((база!$L$5*Таблица1[[#This Row],[сумма]]*Таблица1[[#This Row],[коэф]])),
IF((G763="3/16"),((база!$L$4*Таблица1[[#This Row],[сумма]]*Таблица1[[#This Row],[коэф]])),
IF((G763="4/4"),((база!$I$5*Таблица1[[#This Row],[сумма]]*Таблица1[[#This Row],[коэф]])),
IF(OR(G763="2/4",G763="3/4"),((база!$I$4*Таблица1[[#This Row],[сумма]]*Таблица1[[#This Row],[коэф]])),
IF((G763="5/8"),((база!$J$6*Таблица1[[#This Row],[сумма]]*Таблица1[[#This Row],[коэф]])),
IF((G763="4/8"),((база!$J$5*Таблица1[[#This Row],[сумма]]*Таблица1[[#This Row],[коэф]])),
IF(OR(G763="3/8",G763="2/8"),((база!$J$4*Таблица1[[#This Row],[сумма]]*Таблица1[[#This Row],[коэф]])))))))))))))),
(IF((G763="5/24"),((база!$M$6*Таблица1[[#This Row],[сумма]]*Таблица1[[#This Row],[коэф]])),
IF(OR(G763="4/24",G763="3/24"),((база!$M$5*Таблица1[[#This Row],[сумма]]*Таблица1[[#This Row],[коэф]])),
IF((G763="5/16"),((база!$L$6*Таблица1[[#This Row],[сумма]]*Таблица1[[#This Row],[коэф]])),
IF(OR(G763="4/16",G763="3/16"),((база!$L$5*Таблица1[[#This Row],[сумма]]*Таблица1[[#This Row],[коэф]])),
IF(OR(G763="2/4",G763="3/4",G763="4/4"),((база!$I$5*Таблица1[[#This Row],[сумма]]*Таблица1[[#This Row],[коэф]])),
IF((G763="5/8"),((база!$J$6*Таблица1[[#This Row],[сумма]]*Таблица1[[#This Row],[коэф]])),
IF(OR(G763="4/8",G763="3/8",G763="2/8"),((база!$J$5*Таблица1[[#This Row],[сумма]]*Таблица1[[#This Row],[коэф]])))))))))))</f>
        <v>0</v>
      </c>
      <c r="AP763" s="730" t="b">
        <f>IF(AR763&lt;=3,(IF((G763="5/24"),((база!$M$6*2*Таблица1[[#This Row],[Столбец1]]*Таблица1[[#This Row],[коэф]])),
IF((G763="4/24"),((база!$M$5*2*Таблица1[[#This Row],[Столбец1]]*Таблица1[[#This Row],[коэф]])),
IF((G763="3/24"),((база!$M$4*2*Таблица1[[#This Row],[Столбец1]]*Таблица1[[#This Row],[коэф]])),
IF((G763="5/16"),((база!$L$6*2*Таблица1[[#This Row],[Столбец1]]*Таблица1[[#This Row],[коэф]])),
IF((G763="4/16"),((база!$L$5*2*Таблица1[[#This Row],[Столбец1]]*Таблица1[[#This Row],[коэф]])),
IF((G763="3/16"),((база!$L$4*2*Таблица1[[#This Row],[Столбец1]]*Таблица1[[#This Row],[коэф]])),
IF((G763="4/4"),((база!$I$5*2*Таблица1[[#This Row],[Столбец1]]*Таблица1[[#This Row],[коэф]])),
IF(OR(G763="2/4",G763="3/4"),((база!$I$4*2*Таблица1[[#This Row],[Столбец1]]*Таблица1[[#This Row],[коэф]])),
IF((G763="5/8"),((база!$J$6*2*Таблица1[[#This Row],[Столбец1]]*Таблица1[[#This Row],[коэф]])),
IF((G763="4/8"),((база!$J$5*2*Таблица1[[#This Row],[Столбец1]]*Таблица1[[#This Row],[коэф]])),
IF(OR(G763="3/8",G763="2/8"),((база!$J$4*2*Таблица1[[#This Row],[Столбец1]]*Таблица1[[#This Row],[коэф]])))))))))))))),
(IF((G763="5/24"),((база!$M$6*2*Таблица1[[#This Row],[Столбец1]]*Таблица1[[#This Row],[коэф]])),
IF(OR(G763="4/24",G763="3/24"),((база!$M$5*2*Таблица1[[#This Row],[Столбец1]]*Таблица1[[#This Row],[коэф]])),
IF((G763="5/16"),((база!$L$6*2*Таблица1[[#This Row],[Столбец1]]*Таблица1[[#This Row],[коэф]])),
IF(OR(G763="4/16",G763="3/16"),((база!$L$5*2*Таблица1[[#This Row],[Столбец1]]*Таблица1[[#This Row],[коэф]])),
IF(OR(G763="2/4",G763="3/4",G763="4/4"),((база!$I$5*2*Таблица1[[#This Row],[Столбец1]]*Таблица1[[#This Row],[коэф]])),
IF((G763="5/8"),((база!$J$6*2*Таблица1[[#This Row],[Столбец1]]*Таблица1[[#This Row],[коэф]])),
IF(OR(G763="4/8",G763="3/8",G763="2/8"),((база!$J$5*2*Таблица1[[#This Row],[Столбец1]]*Таблица1[[#This Row],[коэф]])))))))))))</f>
        <v>0</v>
      </c>
      <c r="AQ763" s="712" t="str">
        <f>IFERROR(INDEX(база!T:T, MATCH(F763,база!Q:Q,0)),"")</f>
        <v/>
      </c>
      <c r="AR763" s="208" t="str">
        <f>IFERROR(INDEX(база!D:D, MATCH(F763,база!B:B,0)),"")</f>
        <v/>
      </c>
      <c r="AS763" s="758" t="str">
        <f>IFERROR(INDEX(база!E:E, MATCH(F763,база!B:B,0)),"")</f>
        <v/>
      </c>
    </row>
    <row r="764" spans="1:45" ht="15">
      <c r="A764" s="66" t="str">
        <f t="shared" si="11"/>
        <v>январь</v>
      </c>
      <c r="B764" s="231">
        <v>2024</v>
      </c>
      <c r="C764" s="299"/>
      <c r="D764" s="61"/>
      <c r="E764" s="211"/>
      <c r="F764" s="679"/>
      <c r="G764" s="47"/>
      <c r="H764" s="563"/>
      <c r="I764" s="563"/>
      <c r="J764" s="563"/>
      <c r="K764" s="563"/>
      <c r="L764" s="563"/>
      <c r="M764" s="563"/>
      <c r="N764" s="563"/>
      <c r="O764" s="563"/>
      <c r="P764" s="300"/>
      <c r="Q764" s="563"/>
      <c r="R764" s="563"/>
      <c r="S764" s="563"/>
      <c r="T764" s="563"/>
      <c r="U764" s="563"/>
      <c r="V764" s="563"/>
      <c r="W764" s="563"/>
      <c r="X764" s="563"/>
      <c r="Y764" s="563"/>
      <c r="Z764" s="563"/>
      <c r="AA764" s="563"/>
      <c r="AB764" s="563"/>
      <c r="AC764" s="563"/>
      <c r="AD764" s="48"/>
      <c r="AE764" s="48"/>
      <c r="AF764" s="258"/>
      <c r="AG764" s="48"/>
      <c r="AH764" s="48"/>
      <c r="AI764" s="48"/>
      <c r="AJ764" s="48"/>
      <c r="AK764" s="48"/>
      <c r="AL764" s="51"/>
      <c r="AM764" s="212">
        <f>IF(AQ764=1,SUM(Q764:T764,W764:Z764,AC764:AF764,AI764:AL764),
IF(AQ764=2,SUM(P764,S764:V764,Y764:AB764,AE764:AH764,AK764:AL764),
IF(AQ764=3,SUM(P764:R764,U764:X764,AA764:AD764,AG764:AJ764),SUM(Таблица1[[#This Row],[1]:[31]])-Таблица1[[#This Row],[Столбец1]])))</f>
        <v>0</v>
      </c>
      <c r="AN764" s="778">
        <f t="array" ref="AN764">IF(AQ764=1,SUM(P764,U764:V764,AA764:AB764,AG764:AH764),
IF(AQ764=2,SUM(Q764:R764,W764:X764,AC764:AD764,AI764:AJ764),
IF(AQ764=3,SUM(S764:T764,Y764:Z764,AE764:AF764,AK764:AL764),
SUM(IFERROR(WEEKDAY($H$2:$AL$2,2)&gt;5,)*H764:AL764))))+Таблица1[[#This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64" s="292" t="b">
        <f>IF(AR764&lt;=3,(IF((G764="5/24"),((база!$M$6*Таблица1[[#This Row],[сумма]]*Таблица1[[#This Row],[коэф]])),
IF((G764="4/24"),((база!$M$5*Таблица1[[#This Row],[сумма]]*Таблица1[[#This Row],[коэф]])),
IF((G764="3/24"),((база!$M$4*Таблица1[[#This Row],[сумма]]*Таблица1[[#This Row],[коэф]])),
IF((G764="5/16"),((база!$L$6*Таблица1[[#This Row],[сумма]]*Таблица1[[#This Row],[коэф]])),
IF((G764="4/16"),((база!$L$5*Таблица1[[#This Row],[сумма]]*Таблица1[[#This Row],[коэф]])),
IF((G764="3/16"),((база!$L$4*Таблица1[[#This Row],[сумма]]*Таблица1[[#This Row],[коэф]])),
IF((G764="4/4"),((база!$I$5*Таблица1[[#This Row],[сумма]]*Таблица1[[#This Row],[коэф]])),
IF(OR(G764="2/4",G764="3/4"),((база!$I$4*Таблица1[[#This Row],[сумма]]*Таблица1[[#This Row],[коэф]])),
IF((G764="5/8"),((база!$J$6*Таблица1[[#This Row],[сумма]]*Таблица1[[#This Row],[коэф]])),
IF((G764="4/8"),((база!$J$5*Таблица1[[#This Row],[сумма]]*Таблица1[[#This Row],[коэф]])),
IF(OR(G764="3/8",G764="2/8"),((база!$J$4*Таблица1[[#This Row],[сумма]]*Таблица1[[#This Row],[коэф]])))))))))))))),
(IF((G764="5/24"),((база!$M$6*Таблица1[[#This Row],[сумма]]*Таблица1[[#This Row],[коэф]])),
IF(OR(G764="4/24",G764="3/24"),((база!$M$5*Таблица1[[#This Row],[сумма]]*Таблица1[[#This Row],[коэф]])),
IF((G764="5/16"),((база!$L$6*Таблица1[[#This Row],[сумма]]*Таблица1[[#This Row],[коэф]])),
IF(OR(G764="4/16",G764="3/16"),((база!$L$5*Таблица1[[#This Row],[сумма]]*Таблица1[[#This Row],[коэф]])),
IF(OR(G764="2/4",G764="3/4",G764="4/4"),((база!$I$5*Таблица1[[#This Row],[сумма]]*Таблица1[[#This Row],[коэф]])),
IF((G764="5/8"),((база!$J$6*Таблица1[[#This Row],[сумма]]*Таблица1[[#This Row],[коэф]])),
IF(OR(G764="4/8",G764="3/8",G764="2/8"),((база!$J$5*Таблица1[[#This Row],[сумма]]*Таблица1[[#This Row],[коэф]])))))))))))</f>
        <v>0</v>
      </c>
      <c r="AP764" s="730" t="b">
        <f>IF(AR764&lt;=3,(IF((G764="5/24"),((база!$M$6*2*Таблица1[[#This Row],[Столбец1]]*Таблица1[[#This Row],[коэф]])),
IF((G764="4/24"),((база!$M$5*2*Таблица1[[#This Row],[Столбец1]]*Таблица1[[#This Row],[коэф]])),
IF((G764="3/24"),((база!$M$4*2*Таблица1[[#This Row],[Столбец1]]*Таблица1[[#This Row],[коэф]])),
IF((G764="5/16"),((база!$L$6*2*Таблица1[[#This Row],[Столбец1]]*Таблица1[[#This Row],[коэф]])),
IF((G764="4/16"),((база!$L$5*2*Таблица1[[#This Row],[Столбец1]]*Таблица1[[#This Row],[коэф]])),
IF((G764="3/16"),((база!$L$4*2*Таблица1[[#This Row],[Столбец1]]*Таблица1[[#This Row],[коэф]])),
IF((G764="4/4"),((база!$I$5*2*Таблица1[[#This Row],[Столбец1]]*Таблица1[[#This Row],[коэф]])),
IF(OR(G764="2/4",G764="3/4"),((база!$I$4*2*Таблица1[[#This Row],[Столбец1]]*Таблица1[[#This Row],[коэф]])),
IF((G764="5/8"),((база!$J$6*2*Таблица1[[#This Row],[Столбец1]]*Таблица1[[#This Row],[коэф]])),
IF((G764="4/8"),((база!$J$5*2*Таблица1[[#This Row],[Столбец1]]*Таблица1[[#This Row],[коэф]])),
IF(OR(G764="3/8",G764="2/8"),((база!$J$4*2*Таблица1[[#This Row],[Столбец1]]*Таблица1[[#This Row],[коэф]])))))))))))))),
(IF((G764="5/24"),((база!$M$6*2*Таблица1[[#This Row],[Столбец1]]*Таблица1[[#This Row],[коэф]])),
IF(OR(G764="4/24",G764="3/24"),((база!$M$5*2*Таблица1[[#This Row],[Столбец1]]*Таблица1[[#This Row],[коэф]])),
IF((G764="5/16"),((база!$L$6*2*Таблица1[[#This Row],[Столбец1]]*Таблица1[[#This Row],[коэф]])),
IF(OR(G764="4/16",G764="3/16"),((база!$L$5*2*Таблица1[[#This Row],[Столбец1]]*Таблица1[[#This Row],[коэф]])),
IF(OR(G764="2/4",G764="3/4",G764="4/4"),((база!$I$5*2*Таблица1[[#This Row],[Столбец1]]*Таблица1[[#This Row],[коэф]])),
IF((G764="5/8"),((база!$J$6*2*Таблица1[[#This Row],[Столбец1]]*Таблица1[[#This Row],[коэф]])),
IF(OR(G764="4/8",G764="3/8",G764="2/8"),((база!$J$5*2*Таблица1[[#This Row],[Столбец1]]*Таблица1[[#This Row],[коэф]])))))))))))</f>
        <v>0</v>
      </c>
      <c r="AQ764" s="712" t="str">
        <f>IFERROR(INDEX(база!T:T, MATCH(F764,база!Q:Q,0)),"")</f>
        <v/>
      </c>
      <c r="AR764" s="208" t="str">
        <f>IFERROR(INDEX(база!D:D, MATCH(F764,база!B:B,0)),"")</f>
        <v/>
      </c>
      <c r="AS764" s="758" t="str">
        <f>IFERROR(INDEX(база!E:E, MATCH(F764,база!B:B,0)),"")</f>
        <v/>
      </c>
    </row>
    <row r="765" spans="1:45" ht="15">
      <c r="A765" s="66" t="str">
        <f t="shared" si="11"/>
        <v>январь</v>
      </c>
      <c r="B765" s="231">
        <v>2024</v>
      </c>
      <c r="C765" s="60"/>
      <c r="D765" s="61"/>
      <c r="E765" s="211"/>
      <c r="F765" s="679"/>
      <c r="G765" s="47"/>
      <c r="H765" s="563"/>
      <c r="I765" s="563"/>
      <c r="J765" s="563"/>
      <c r="K765" s="563"/>
      <c r="L765" s="563"/>
      <c r="M765" s="563"/>
      <c r="N765" s="563"/>
      <c r="O765" s="563"/>
      <c r="P765" s="300"/>
      <c r="Q765" s="563"/>
      <c r="R765" s="563"/>
      <c r="S765" s="563"/>
      <c r="T765" s="563"/>
      <c r="U765" s="563"/>
      <c r="V765" s="563"/>
      <c r="W765" s="563"/>
      <c r="X765" s="563"/>
      <c r="Y765" s="563"/>
      <c r="Z765" s="563"/>
      <c r="AA765" s="563"/>
      <c r="AB765" s="563"/>
      <c r="AC765" s="563"/>
      <c r="AD765" s="48"/>
      <c r="AE765" s="48"/>
      <c r="AF765" s="258"/>
      <c r="AG765" s="48"/>
      <c r="AH765" s="48"/>
      <c r="AI765" s="258"/>
      <c r="AJ765" s="258"/>
      <c r="AK765" s="258"/>
      <c r="AL765" s="258"/>
      <c r="AM765" s="212">
        <f>IF(AQ765=1,SUM(Q765:T765,W765:Z765,AC765:AF765,AI765:AL765),
IF(AQ765=2,SUM(P765,S765:V765,Y765:AB765,AE765:AH765,AK765:AL765),
IF(AQ765=3,SUM(P765:R765,U765:X765,AA765:AD765,AG765:AJ765),SUM(Таблица1[[#This Row],[1]:[31]])-Таблица1[[#This Row],[Столбец1]])))</f>
        <v>0</v>
      </c>
      <c r="AN765" s="778">
        <f t="array" ref="AN765">IF(AQ765=1,SUM(P765,U765:V765,AA765:AB765,AG765:AH765),
IF(AQ765=2,SUM(Q765:R765,W765:X765,AC765:AD765,AI765:AJ765),
IF(AQ765=3,SUM(S765:T765,Y765:Z765,AE765:AF765,AK765:AL765),
SUM(IFERROR(WEEKDAY($H$2:$AL$2,2)&gt;5,)*H765:AL765))))+Таблица1[[#This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65" s="292" t="b">
        <f>IF(AR765&lt;=3,(IF((G765="5/24"),((база!$M$6*Таблица1[[#This Row],[сумма]]*Таблица1[[#This Row],[коэф]])),
IF((G765="4/24"),((база!$M$5*Таблица1[[#This Row],[сумма]]*Таблица1[[#This Row],[коэф]])),
IF((G765="3/24"),((база!$M$4*Таблица1[[#This Row],[сумма]]*Таблица1[[#This Row],[коэф]])),
IF((G765="5/16"),((база!$L$6*Таблица1[[#This Row],[сумма]]*Таблица1[[#This Row],[коэф]])),
IF((G765="4/16"),((база!$L$5*Таблица1[[#This Row],[сумма]]*Таблица1[[#This Row],[коэф]])),
IF((G765="3/16"),((база!$L$4*Таблица1[[#This Row],[сумма]]*Таблица1[[#This Row],[коэф]])),
IF((G765="4/4"),((база!$I$5*Таблица1[[#This Row],[сумма]]*Таблица1[[#This Row],[коэф]])),
IF(OR(G765="2/4",G765="3/4"),((база!$I$4*Таблица1[[#This Row],[сумма]]*Таблица1[[#This Row],[коэф]])),
IF((G765="5/8"),((база!$J$6*Таблица1[[#This Row],[сумма]]*Таблица1[[#This Row],[коэф]])),
IF((G765="4/8"),((база!$J$5*Таблица1[[#This Row],[сумма]]*Таблица1[[#This Row],[коэф]])),
IF(OR(G765="3/8",G765="2/8"),((база!$J$4*Таблица1[[#This Row],[сумма]]*Таблица1[[#This Row],[коэф]])))))))))))))),
(IF((G765="5/24"),((база!$M$6*Таблица1[[#This Row],[сумма]]*Таблица1[[#This Row],[коэф]])),
IF(OR(G765="4/24",G765="3/24"),((база!$M$5*Таблица1[[#This Row],[сумма]]*Таблица1[[#This Row],[коэф]])),
IF((G765="5/16"),((база!$L$6*Таблица1[[#This Row],[сумма]]*Таблица1[[#This Row],[коэф]])),
IF(OR(G765="4/16",G765="3/16"),((база!$L$5*Таблица1[[#This Row],[сумма]]*Таблица1[[#This Row],[коэф]])),
IF(OR(G765="2/4",G765="3/4",G765="4/4"),((база!$I$5*Таблица1[[#This Row],[сумма]]*Таблица1[[#This Row],[коэф]])),
IF((G765="5/8"),((база!$J$6*Таблица1[[#This Row],[сумма]]*Таблица1[[#This Row],[коэф]])),
IF(OR(G765="4/8",G765="3/8",G765="2/8"),((база!$J$5*Таблица1[[#This Row],[сумма]]*Таблица1[[#This Row],[коэф]])))))))))))</f>
        <v>0</v>
      </c>
      <c r="AP765" s="730" t="b">
        <f>IF(AR765&lt;=3,(IF((G765="5/24"),((база!$M$6*2*Таблица1[[#This Row],[Столбец1]]*Таблица1[[#This Row],[коэф]])),
IF((G765="4/24"),((база!$M$5*2*Таблица1[[#This Row],[Столбец1]]*Таблица1[[#This Row],[коэф]])),
IF((G765="3/24"),((база!$M$4*2*Таблица1[[#This Row],[Столбец1]]*Таблица1[[#This Row],[коэф]])),
IF((G765="5/16"),((база!$L$6*2*Таблица1[[#This Row],[Столбец1]]*Таблица1[[#This Row],[коэф]])),
IF((G765="4/16"),((база!$L$5*2*Таблица1[[#This Row],[Столбец1]]*Таблица1[[#This Row],[коэф]])),
IF((G765="3/16"),((база!$L$4*2*Таблица1[[#This Row],[Столбец1]]*Таблица1[[#This Row],[коэф]])),
IF((G765="4/4"),((база!$I$5*2*Таблица1[[#This Row],[Столбец1]]*Таблица1[[#This Row],[коэф]])),
IF(OR(G765="2/4",G765="3/4"),((база!$I$4*2*Таблица1[[#This Row],[Столбец1]]*Таблица1[[#This Row],[коэф]])),
IF((G765="5/8"),((база!$J$6*2*Таблица1[[#This Row],[Столбец1]]*Таблица1[[#This Row],[коэф]])),
IF((G765="4/8"),((база!$J$5*2*Таблица1[[#This Row],[Столбец1]]*Таблица1[[#This Row],[коэф]])),
IF(OR(G765="3/8",G765="2/8"),((база!$J$4*2*Таблица1[[#This Row],[Столбец1]]*Таблица1[[#This Row],[коэф]])))))))))))))),
(IF((G765="5/24"),((база!$M$6*2*Таблица1[[#This Row],[Столбец1]]*Таблица1[[#This Row],[коэф]])),
IF(OR(G765="4/24",G765="3/24"),((база!$M$5*2*Таблица1[[#This Row],[Столбец1]]*Таблица1[[#This Row],[коэф]])),
IF((G765="5/16"),((база!$L$6*2*Таблица1[[#This Row],[Столбец1]]*Таблица1[[#This Row],[коэф]])),
IF(OR(G765="4/16",G765="3/16"),((база!$L$5*2*Таблица1[[#This Row],[Столбец1]]*Таблица1[[#This Row],[коэф]])),
IF(OR(G765="2/4",G765="3/4",G765="4/4"),((база!$I$5*2*Таблица1[[#This Row],[Столбец1]]*Таблица1[[#This Row],[коэф]])),
IF((G765="5/8"),((база!$J$6*2*Таблица1[[#This Row],[Столбец1]]*Таблица1[[#This Row],[коэф]])),
IF(OR(G765="4/8",G765="3/8",G765="2/8"),((база!$J$5*2*Таблица1[[#This Row],[Столбец1]]*Таблица1[[#This Row],[коэф]])))))))))))</f>
        <v>0</v>
      </c>
      <c r="AQ765" s="712" t="str">
        <f>IFERROR(INDEX(база!T:T, MATCH(F765,база!Q:Q,0)),"")</f>
        <v/>
      </c>
      <c r="AR765" s="208" t="str">
        <f>IFERROR(INDEX(база!D:D, MATCH(F765,база!B:B,0)),"")</f>
        <v/>
      </c>
      <c r="AS765" s="758" t="str">
        <f>IFERROR(INDEX(база!E:E, MATCH(F765,база!B:B,0)),"")</f>
        <v/>
      </c>
    </row>
    <row r="766" spans="1:45" ht="15">
      <c r="A766" s="66" t="str">
        <f t="shared" si="11"/>
        <v>январь</v>
      </c>
      <c r="B766" s="231">
        <v>2024</v>
      </c>
      <c r="C766" s="299"/>
      <c r="D766" s="61"/>
      <c r="E766" s="211"/>
      <c r="F766" s="679"/>
      <c r="G766" s="47"/>
      <c r="H766" s="563"/>
      <c r="I766" s="563"/>
      <c r="J766" s="563"/>
      <c r="K766" s="563"/>
      <c r="L766" s="563"/>
      <c r="M766" s="563"/>
      <c r="N766" s="563"/>
      <c r="O766" s="563"/>
      <c r="P766" s="300"/>
      <c r="Q766" s="563"/>
      <c r="R766" s="563"/>
      <c r="S766" s="563"/>
      <c r="T766" s="563"/>
      <c r="U766" s="563"/>
      <c r="V766" s="563"/>
      <c r="W766" s="563"/>
      <c r="X766" s="563"/>
      <c r="Y766" s="563"/>
      <c r="Z766" s="563"/>
      <c r="AA766" s="563"/>
      <c r="AB766" s="563"/>
      <c r="AC766" s="563"/>
      <c r="AD766" s="48"/>
      <c r="AE766" s="48"/>
      <c r="AF766" s="258"/>
      <c r="AG766" s="48"/>
      <c r="AH766" s="48"/>
      <c r="AI766" s="48"/>
      <c r="AJ766" s="48"/>
      <c r="AK766" s="48"/>
      <c r="AL766" s="51"/>
      <c r="AM766" s="212">
        <f>IF(AQ766=1,SUM(Q766:T766,W766:Z766,AC766:AF766,AI766:AL766),
IF(AQ766=2,SUM(P766,S766:V766,Y766:AB766,AE766:AH766,AK766:AL766),
IF(AQ766=3,SUM(P766:R766,U766:X766,AA766:AD766,AG766:AJ766),SUM(Таблица1[[#This Row],[1]:[31]])-Таблица1[[#This Row],[Столбец1]])))</f>
        <v>0</v>
      </c>
      <c r="AN766" s="778">
        <f t="array" ref="AN766">IF(AQ766=1,SUM(P766,U766:V766,AA766:AB766,AG766:AH766),
IF(AQ766=2,SUM(Q766:R766,W766:X766,AC766:AD766,AI766:AJ766),
IF(AQ766=3,SUM(S766:T766,Y766:Z766,AE766:AF766,AK766:AL766),
SUM(IFERROR(WEEKDAY($H$2:$AL$2,2)&gt;5,)*H766:AL766))))+Таблица1[[#This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66" s="292" t="b">
        <f>IF(AR766&lt;=3,(IF((G766="5/24"),((база!$M$6*Таблица1[[#This Row],[сумма]]*Таблица1[[#This Row],[коэф]])),
IF((G766="4/24"),((база!$M$5*Таблица1[[#This Row],[сумма]]*Таблица1[[#This Row],[коэф]])),
IF((G766="3/24"),((база!$M$4*Таблица1[[#This Row],[сумма]]*Таблица1[[#This Row],[коэф]])),
IF((G766="5/16"),((база!$L$6*Таблица1[[#This Row],[сумма]]*Таблица1[[#This Row],[коэф]])),
IF((G766="4/16"),((база!$L$5*Таблица1[[#This Row],[сумма]]*Таблица1[[#This Row],[коэф]])),
IF((G766="3/16"),((база!$L$4*Таблица1[[#This Row],[сумма]]*Таблица1[[#This Row],[коэф]])),
IF((G766="4/4"),((база!$I$5*Таблица1[[#This Row],[сумма]]*Таблица1[[#This Row],[коэф]])),
IF(OR(G766="2/4",G766="3/4"),((база!$I$4*Таблица1[[#This Row],[сумма]]*Таблица1[[#This Row],[коэф]])),
IF((G766="5/8"),((база!$J$6*Таблица1[[#This Row],[сумма]]*Таблица1[[#This Row],[коэф]])),
IF((G766="4/8"),((база!$J$5*Таблица1[[#This Row],[сумма]]*Таблица1[[#This Row],[коэф]])),
IF(OR(G766="3/8",G766="2/8"),((база!$J$4*Таблица1[[#This Row],[сумма]]*Таблица1[[#This Row],[коэф]])))))))))))))),
(IF((G766="5/24"),((база!$M$6*Таблица1[[#This Row],[сумма]]*Таблица1[[#This Row],[коэф]])),
IF(OR(G766="4/24",G766="3/24"),((база!$M$5*Таблица1[[#This Row],[сумма]]*Таблица1[[#This Row],[коэф]])),
IF((G766="5/16"),((база!$L$6*Таблица1[[#This Row],[сумма]]*Таблица1[[#This Row],[коэф]])),
IF(OR(G766="4/16",G766="3/16"),((база!$L$5*Таблица1[[#This Row],[сумма]]*Таблица1[[#This Row],[коэф]])),
IF(OR(G766="2/4",G766="3/4",G766="4/4"),((база!$I$5*Таблица1[[#This Row],[сумма]]*Таблица1[[#This Row],[коэф]])),
IF((G766="5/8"),((база!$J$6*Таблица1[[#This Row],[сумма]]*Таблица1[[#This Row],[коэф]])),
IF(OR(G766="4/8",G766="3/8",G766="2/8"),((база!$J$5*Таблица1[[#This Row],[сумма]]*Таблица1[[#This Row],[коэф]])))))))))))</f>
        <v>0</v>
      </c>
      <c r="AP766" s="730" t="b">
        <f>IF(AR766&lt;=3,(IF((G766="5/24"),((база!$M$6*2*Таблица1[[#This Row],[Столбец1]]*Таблица1[[#This Row],[коэф]])),
IF((G766="4/24"),((база!$M$5*2*Таблица1[[#This Row],[Столбец1]]*Таблица1[[#This Row],[коэф]])),
IF((G766="3/24"),((база!$M$4*2*Таблица1[[#This Row],[Столбец1]]*Таблица1[[#This Row],[коэф]])),
IF((G766="5/16"),((база!$L$6*2*Таблица1[[#This Row],[Столбец1]]*Таблица1[[#This Row],[коэф]])),
IF((G766="4/16"),((база!$L$5*2*Таблица1[[#This Row],[Столбец1]]*Таблица1[[#This Row],[коэф]])),
IF((G766="3/16"),((база!$L$4*2*Таблица1[[#This Row],[Столбец1]]*Таблица1[[#This Row],[коэф]])),
IF((G766="4/4"),((база!$I$5*2*Таблица1[[#This Row],[Столбец1]]*Таблица1[[#This Row],[коэф]])),
IF(OR(G766="2/4",G766="3/4"),((база!$I$4*2*Таблица1[[#This Row],[Столбец1]]*Таблица1[[#This Row],[коэф]])),
IF((G766="5/8"),((база!$J$6*2*Таблица1[[#This Row],[Столбец1]]*Таблица1[[#This Row],[коэф]])),
IF((G766="4/8"),((база!$J$5*2*Таблица1[[#This Row],[Столбец1]]*Таблица1[[#This Row],[коэф]])),
IF(OR(G766="3/8",G766="2/8"),((база!$J$4*2*Таблица1[[#This Row],[Столбец1]]*Таблица1[[#This Row],[коэф]])))))))))))))),
(IF((G766="5/24"),((база!$M$6*2*Таблица1[[#This Row],[Столбец1]]*Таблица1[[#This Row],[коэф]])),
IF(OR(G766="4/24",G766="3/24"),((база!$M$5*2*Таблица1[[#This Row],[Столбец1]]*Таблица1[[#This Row],[коэф]])),
IF((G766="5/16"),((база!$L$6*2*Таблица1[[#This Row],[Столбец1]]*Таблица1[[#This Row],[коэф]])),
IF(OR(G766="4/16",G766="3/16"),((база!$L$5*2*Таблица1[[#This Row],[Столбец1]]*Таблица1[[#This Row],[коэф]])),
IF(OR(G766="2/4",G766="3/4",G766="4/4"),((база!$I$5*2*Таблица1[[#This Row],[Столбец1]]*Таблица1[[#This Row],[коэф]])),
IF((G766="5/8"),((база!$J$6*2*Таблица1[[#This Row],[Столбец1]]*Таблица1[[#This Row],[коэф]])),
IF(OR(G766="4/8",G766="3/8",G766="2/8"),((база!$J$5*2*Таблица1[[#This Row],[Столбец1]]*Таблица1[[#This Row],[коэф]])))))))))))</f>
        <v>0</v>
      </c>
      <c r="AQ766" s="712" t="str">
        <f>IFERROR(INDEX(база!T:T, MATCH(F766,база!Q:Q,0)),"")</f>
        <v/>
      </c>
      <c r="AR766" s="208" t="str">
        <f>IFERROR(INDEX(база!D:D, MATCH(F766,база!B:B,0)),"")</f>
        <v/>
      </c>
      <c r="AS766" s="758" t="str">
        <f>IFERROR(INDEX(база!E:E, MATCH(F766,база!B:B,0)),"")</f>
        <v/>
      </c>
    </row>
    <row r="767" spans="1:45" ht="15">
      <c r="A767" s="66" t="str">
        <f t="shared" si="11"/>
        <v>январь</v>
      </c>
      <c r="B767" s="231">
        <v>2024</v>
      </c>
      <c r="C767" s="299"/>
      <c r="D767" s="61"/>
      <c r="E767" s="211"/>
      <c r="F767" s="680"/>
      <c r="G767" s="47"/>
      <c r="H767" s="563"/>
      <c r="I767" s="563"/>
      <c r="J767" s="563"/>
      <c r="K767" s="563"/>
      <c r="L767" s="563"/>
      <c r="M767" s="563"/>
      <c r="N767" s="563"/>
      <c r="O767" s="563"/>
      <c r="P767" s="300"/>
      <c r="Q767" s="563"/>
      <c r="R767" s="563"/>
      <c r="S767" s="563"/>
      <c r="T767" s="563"/>
      <c r="U767" s="563"/>
      <c r="V767" s="563"/>
      <c r="W767" s="563"/>
      <c r="X767" s="563"/>
      <c r="Y767" s="563"/>
      <c r="Z767" s="563"/>
      <c r="AA767" s="563"/>
      <c r="AB767" s="563"/>
      <c r="AC767" s="563"/>
      <c r="AD767" s="48"/>
      <c r="AE767" s="48"/>
      <c r="AF767" s="258"/>
      <c r="AG767" s="48"/>
      <c r="AH767" s="48"/>
      <c r="AI767" s="258"/>
      <c r="AJ767" s="258"/>
      <c r="AK767" s="258"/>
      <c r="AL767" s="258"/>
      <c r="AM767" s="212">
        <f>IF(AQ767=1,SUM(Q767:T767,W767:Z767,AC767:AF767,AI767:AL767),
IF(AQ767=2,SUM(P767,S767:V767,Y767:AB767,AE767:AH767,AK767:AL767),
IF(AQ767=3,SUM(P767:R767,U767:X767,AA767:AD767,AG767:AJ767),SUM(Таблица1[[#This Row],[1]:[31]])-Таблица1[[#This Row],[Столбец1]])))</f>
        <v>0</v>
      </c>
      <c r="AN767" s="778">
        <f t="array" ref="AN767">IF(AQ767=1,SUM(P767,U767:V767,AA767:AB767,AG767:AH767),
IF(AQ767=2,SUM(Q767:R767,W767:X767,AC767:AD767,AI767:AJ767),
IF(AQ767=3,SUM(S767:T767,Y767:Z767,AE767:AF767,AK767:AL767),
SUM(IFERROR(WEEKDAY($H$2:$AL$2,2)&gt;5,)*H767:AL767))))+Таблица1[[#This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67" s="292" t="b">
        <f>IF(AR767&lt;=3,(IF((G767="5/24"),((база!$M$6*Таблица1[[#This Row],[сумма]]*Таблица1[[#This Row],[коэф]])),
IF((G767="4/24"),((база!$M$5*Таблица1[[#This Row],[сумма]]*Таблица1[[#This Row],[коэф]])),
IF((G767="3/24"),((база!$M$4*Таблица1[[#This Row],[сумма]]*Таблица1[[#This Row],[коэф]])),
IF((G767="5/16"),((база!$L$6*Таблица1[[#This Row],[сумма]]*Таблица1[[#This Row],[коэф]])),
IF((G767="4/16"),((база!$L$5*Таблица1[[#This Row],[сумма]]*Таблица1[[#This Row],[коэф]])),
IF((G767="3/16"),((база!$L$4*Таблица1[[#This Row],[сумма]]*Таблица1[[#This Row],[коэф]])),
IF((G767="4/4"),((база!$I$5*Таблица1[[#This Row],[сумма]]*Таблица1[[#This Row],[коэф]])),
IF(OR(G767="2/4",G767="3/4"),((база!$I$4*Таблица1[[#This Row],[сумма]]*Таблица1[[#This Row],[коэф]])),
IF((G767="5/8"),((база!$J$6*Таблица1[[#This Row],[сумма]]*Таблица1[[#This Row],[коэф]])),
IF((G767="4/8"),((база!$J$5*Таблица1[[#This Row],[сумма]]*Таблица1[[#This Row],[коэф]])),
IF(OR(G767="3/8",G767="2/8"),((база!$J$4*Таблица1[[#This Row],[сумма]]*Таблица1[[#This Row],[коэф]])))))))))))))),
(IF((G767="5/24"),((база!$M$6*Таблица1[[#This Row],[сумма]]*Таблица1[[#This Row],[коэф]])),
IF(OR(G767="4/24",G767="3/24"),((база!$M$5*Таблица1[[#This Row],[сумма]]*Таблица1[[#This Row],[коэф]])),
IF((G767="5/16"),((база!$L$6*Таблица1[[#This Row],[сумма]]*Таблица1[[#This Row],[коэф]])),
IF(OR(G767="4/16",G767="3/16"),((база!$L$5*Таблица1[[#This Row],[сумма]]*Таблица1[[#This Row],[коэф]])),
IF(OR(G767="2/4",G767="3/4",G767="4/4"),((база!$I$5*Таблица1[[#This Row],[сумма]]*Таблица1[[#This Row],[коэф]])),
IF((G767="5/8"),((база!$J$6*Таблица1[[#This Row],[сумма]]*Таблица1[[#This Row],[коэф]])),
IF(OR(G767="4/8",G767="3/8",G767="2/8"),((база!$J$5*Таблица1[[#This Row],[сумма]]*Таблица1[[#This Row],[коэф]])))))))))))</f>
        <v>0</v>
      </c>
      <c r="AP767" s="730" t="b">
        <f>IF(AR767&lt;=3,(IF((G767="5/24"),((база!$M$6*2*Таблица1[[#This Row],[Столбец1]]*Таблица1[[#This Row],[коэф]])),
IF((G767="4/24"),((база!$M$5*2*Таблица1[[#This Row],[Столбец1]]*Таблица1[[#This Row],[коэф]])),
IF((G767="3/24"),((база!$M$4*2*Таблица1[[#This Row],[Столбец1]]*Таблица1[[#This Row],[коэф]])),
IF((G767="5/16"),((база!$L$6*2*Таблица1[[#This Row],[Столбец1]]*Таблица1[[#This Row],[коэф]])),
IF((G767="4/16"),((база!$L$5*2*Таблица1[[#This Row],[Столбец1]]*Таблица1[[#This Row],[коэф]])),
IF((G767="3/16"),((база!$L$4*2*Таблица1[[#This Row],[Столбец1]]*Таблица1[[#This Row],[коэф]])),
IF((G767="4/4"),((база!$I$5*2*Таблица1[[#This Row],[Столбец1]]*Таблица1[[#This Row],[коэф]])),
IF(OR(G767="2/4",G767="3/4"),((база!$I$4*2*Таблица1[[#This Row],[Столбец1]]*Таблица1[[#This Row],[коэф]])),
IF((G767="5/8"),((база!$J$6*2*Таблица1[[#This Row],[Столбец1]]*Таблица1[[#This Row],[коэф]])),
IF((G767="4/8"),((база!$J$5*2*Таблица1[[#This Row],[Столбец1]]*Таблица1[[#This Row],[коэф]])),
IF(OR(G767="3/8",G767="2/8"),((база!$J$4*2*Таблица1[[#This Row],[Столбец1]]*Таблица1[[#This Row],[коэф]])))))))))))))),
(IF((G767="5/24"),((база!$M$6*2*Таблица1[[#This Row],[Столбец1]]*Таблица1[[#This Row],[коэф]])),
IF(OR(G767="4/24",G767="3/24"),((база!$M$5*2*Таблица1[[#This Row],[Столбец1]]*Таблица1[[#This Row],[коэф]])),
IF((G767="5/16"),((база!$L$6*2*Таблица1[[#This Row],[Столбец1]]*Таблица1[[#This Row],[коэф]])),
IF(OR(G767="4/16",G767="3/16"),((база!$L$5*2*Таблица1[[#This Row],[Столбец1]]*Таблица1[[#This Row],[коэф]])),
IF(OR(G767="2/4",G767="3/4",G767="4/4"),((база!$I$5*2*Таблица1[[#This Row],[Столбец1]]*Таблица1[[#This Row],[коэф]])),
IF((G767="5/8"),((база!$J$6*2*Таблица1[[#This Row],[Столбец1]]*Таблица1[[#This Row],[коэф]])),
IF(OR(G767="4/8",G767="3/8",G767="2/8"),((база!$J$5*2*Таблица1[[#This Row],[Столбец1]]*Таблица1[[#This Row],[коэф]])))))))))))</f>
        <v>0</v>
      </c>
      <c r="AQ767" s="712" t="str">
        <f>IFERROR(INDEX(база!T:T, MATCH(F767,база!Q:Q,0)),"")</f>
        <v/>
      </c>
      <c r="AR767" s="208" t="str">
        <f>IFERROR(INDEX(база!D:D, MATCH(F767,база!B:B,0)),"")</f>
        <v/>
      </c>
      <c r="AS767" s="758" t="str">
        <f>IFERROR(INDEX(база!E:E, MATCH(F767,база!B:B,0)),"")</f>
        <v/>
      </c>
    </row>
    <row r="768" spans="1:45" ht="15">
      <c r="A768" s="66" t="str">
        <f t="shared" si="11"/>
        <v>январь</v>
      </c>
      <c r="B768" s="231">
        <v>2024</v>
      </c>
      <c r="C768" s="299"/>
      <c r="D768" s="61"/>
      <c r="E768" s="211"/>
      <c r="F768" s="679"/>
      <c r="G768" s="47"/>
      <c r="H768" s="563"/>
      <c r="I768" s="563"/>
      <c r="J768" s="563"/>
      <c r="K768" s="563"/>
      <c r="L768" s="563"/>
      <c r="M768" s="563"/>
      <c r="N768" s="563"/>
      <c r="O768" s="563"/>
      <c r="P768" s="300"/>
      <c r="Q768" s="563"/>
      <c r="R768" s="563"/>
      <c r="S768" s="563"/>
      <c r="T768" s="563"/>
      <c r="U768" s="563"/>
      <c r="V768" s="563"/>
      <c r="W768" s="563"/>
      <c r="X768" s="563"/>
      <c r="Y768" s="563"/>
      <c r="Z768" s="563"/>
      <c r="AA768" s="563"/>
      <c r="AB768" s="563"/>
      <c r="AC768" s="563"/>
      <c r="AD768" s="48"/>
      <c r="AE768" s="48"/>
      <c r="AF768" s="258"/>
      <c r="AG768" s="48"/>
      <c r="AH768" s="48"/>
      <c r="AI768" s="48"/>
      <c r="AJ768" s="48"/>
      <c r="AK768" s="48"/>
      <c r="AL768" s="51"/>
      <c r="AM768" s="212">
        <f>IF(AQ768=1,SUM(Q768:T768,W768:Z768,AC768:AF768,AI768:AL768),
IF(AQ768=2,SUM(P768,S768:V768,Y768:AB768,AE768:AH768,AK768:AL768),
IF(AQ768=3,SUM(P768:R768,U768:X768,AA768:AD768,AG768:AJ768),SUM(Таблица1[[#This Row],[1]:[31]])-Таблица1[[#This Row],[Столбец1]])))</f>
        <v>0</v>
      </c>
      <c r="AN768" s="778">
        <f t="array" ref="AN768">IF(AQ768=1,SUM(P768,U768:V768,AA768:AB768,AG768:AH768),
IF(AQ768=2,SUM(Q768:R768,W768:X768,AC768:AD768,AI768:AJ768),
IF(AQ768=3,SUM(S768:T768,Y768:Z768,AE768:AF768,AK768:AL768),
SUM(IFERROR(WEEKDAY($H$2:$AL$2,2)&gt;5,)*H768:AL768))))+Таблица1[[#This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68" s="292" t="b">
        <f>IF(AR768&lt;=3,(IF((G768="5/24"),((база!$M$6*Таблица1[[#This Row],[сумма]]*Таблица1[[#This Row],[коэф]])),
IF((G768="4/24"),((база!$M$5*Таблица1[[#This Row],[сумма]]*Таблица1[[#This Row],[коэф]])),
IF((G768="3/24"),((база!$M$4*Таблица1[[#This Row],[сумма]]*Таблица1[[#This Row],[коэф]])),
IF((G768="5/16"),((база!$L$6*Таблица1[[#This Row],[сумма]]*Таблица1[[#This Row],[коэф]])),
IF((G768="4/16"),((база!$L$5*Таблица1[[#This Row],[сумма]]*Таблица1[[#This Row],[коэф]])),
IF((G768="3/16"),((база!$L$4*Таблица1[[#This Row],[сумма]]*Таблица1[[#This Row],[коэф]])),
IF((G768="4/4"),((база!$I$5*Таблица1[[#This Row],[сумма]]*Таблица1[[#This Row],[коэф]])),
IF(OR(G768="2/4",G768="3/4"),((база!$I$4*Таблица1[[#This Row],[сумма]]*Таблица1[[#This Row],[коэф]])),
IF((G768="5/8"),((база!$J$6*Таблица1[[#This Row],[сумма]]*Таблица1[[#This Row],[коэф]])),
IF((G768="4/8"),((база!$J$5*Таблица1[[#This Row],[сумма]]*Таблица1[[#This Row],[коэф]])),
IF(OR(G768="3/8",G768="2/8"),((база!$J$4*Таблица1[[#This Row],[сумма]]*Таблица1[[#This Row],[коэф]])))))))))))))),
(IF((G768="5/24"),((база!$M$6*Таблица1[[#This Row],[сумма]]*Таблица1[[#This Row],[коэф]])),
IF(OR(G768="4/24",G768="3/24"),((база!$M$5*Таблица1[[#This Row],[сумма]]*Таблица1[[#This Row],[коэф]])),
IF((G768="5/16"),((база!$L$6*Таблица1[[#This Row],[сумма]]*Таблица1[[#This Row],[коэф]])),
IF(OR(G768="4/16",G768="3/16"),((база!$L$5*Таблица1[[#This Row],[сумма]]*Таблица1[[#This Row],[коэф]])),
IF(OR(G768="2/4",G768="3/4",G768="4/4"),((база!$I$5*Таблица1[[#This Row],[сумма]]*Таблица1[[#This Row],[коэф]])),
IF((G768="5/8"),((база!$J$6*Таблица1[[#This Row],[сумма]]*Таблица1[[#This Row],[коэф]])),
IF(OR(G768="4/8",G768="3/8",G768="2/8"),((база!$J$5*Таблица1[[#This Row],[сумма]]*Таблица1[[#This Row],[коэф]])))))))))))</f>
        <v>0</v>
      </c>
      <c r="AP768" s="730" t="b">
        <f>IF(AR768&lt;=3,(IF((G768="5/24"),((база!$M$6*2*Таблица1[[#This Row],[Столбец1]]*Таблица1[[#This Row],[коэф]])),
IF((G768="4/24"),((база!$M$5*2*Таблица1[[#This Row],[Столбец1]]*Таблица1[[#This Row],[коэф]])),
IF((G768="3/24"),((база!$M$4*2*Таблица1[[#This Row],[Столбец1]]*Таблица1[[#This Row],[коэф]])),
IF((G768="5/16"),((база!$L$6*2*Таблица1[[#This Row],[Столбец1]]*Таблица1[[#This Row],[коэф]])),
IF((G768="4/16"),((база!$L$5*2*Таблица1[[#This Row],[Столбец1]]*Таблица1[[#This Row],[коэф]])),
IF((G768="3/16"),((база!$L$4*2*Таблица1[[#This Row],[Столбец1]]*Таблица1[[#This Row],[коэф]])),
IF((G768="4/4"),((база!$I$5*2*Таблица1[[#This Row],[Столбец1]]*Таблица1[[#This Row],[коэф]])),
IF(OR(G768="2/4",G768="3/4"),((база!$I$4*2*Таблица1[[#This Row],[Столбец1]]*Таблица1[[#This Row],[коэф]])),
IF((G768="5/8"),((база!$J$6*2*Таблица1[[#This Row],[Столбец1]]*Таблица1[[#This Row],[коэф]])),
IF((G768="4/8"),((база!$J$5*2*Таблица1[[#This Row],[Столбец1]]*Таблица1[[#This Row],[коэф]])),
IF(OR(G768="3/8",G768="2/8"),((база!$J$4*2*Таблица1[[#This Row],[Столбец1]]*Таблица1[[#This Row],[коэф]])))))))))))))),
(IF((G768="5/24"),((база!$M$6*2*Таблица1[[#This Row],[Столбец1]]*Таблица1[[#This Row],[коэф]])),
IF(OR(G768="4/24",G768="3/24"),((база!$M$5*2*Таблица1[[#This Row],[Столбец1]]*Таблица1[[#This Row],[коэф]])),
IF((G768="5/16"),((база!$L$6*2*Таблица1[[#This Row],[Столбец1]]*Таблица1[[#This Row],[коэф]])),
IF(OR(G768="4/16",G768="3/16"),((база!$L$5*2*Таблица1[[#This Row],[Столбец1]]*Таблица1[[#This Row],[коэф]])),
IF(OR(G768="2/4",G768="3/4",G768="4/4"),((база!$I$5*2*Таблица1[[#This Row],[Столбец1]]*Таблица1[[#This Row],[коэф]])),
IF((G768="5/8"),((база!$J$6*2*Таблица1[[#This Row],[Столбец1]]*Таблица1[[#This Row],[коэф]])),
IF(OR(G768="4/8",G768="3/8",G768="2/8"),((база!$J$5*2*Таблица1[[#This Row],[Столбец1]]*Таблица1[[#This Row],[коэф]])))))))))))</f>
        <v>0</v>
      </c>
      <c r="AQ768" s="712" t="str">
        <f>IFERROR(INDEX(база!T:T, MATCH(F768,база!Q:Q,0)),"")</f>
        <v/>
      </c>
      <c r="AR768" s="208" t="str">
        <f>IFERROR(INDEX(база!D:D, MATCH(F768,база!B:B,0)),"")</f>
        <v/>
      </c>
      <c r="AS768" s="758" t="str">
        <f>IFERROR(INDEX(база!E:E, MATCH(F768,база!B:B,0)),"")</f>
        <v/>
      </c>
    </row>
    <row r="769" spans="1:45" ht="15">
      <c r="A769" s="66" t="str">
        <f t="shared" si="11"/>
        <v>январь</v>
      </c>
      <c r="B769" s="231">
        <v>2024</v>
      </c>
      <c r="C769" s="299"/>
      <c r="D769" s="61"/>
      <c r="E769" s="211"/>
      <c r="F769" s="679"/>
      <c r="G769" s="47"/>
      <c r="H769" s="563"/>
      <c r="I769" s="563"/>
      <c r="J769" s="563"/>
      <c r="K769" s="563"/>
      <c r="L769" s="563"/>
      <c r="M769" s="563"/>
      <c r="N769" s="563"/>
      <c r="O769" s="563"/>
      <c r="P769" s="300"/>
      <c r="Q769" s="563"/>
      <c r="R769" s="563"/>
      <c r="S769" s="563"/>
      <c r="T769" s="563"/>
      <c r="U769" s="563"/>
      <c r="V769" s="563"/>
      <c r="W769" s="563"/>
      <c r="X769" s="563"/>
      <c r="Y769" s="563"/>
      <c r="Z769" s="563"/>
      <c r="AA769" s="563"/>
      <c r="AB769" s="563"/>
      <c r="AC769" s="563"/>
      <c r="AD769" s="48"/>
      <c r="AE769" s="48"/>
      <c r="AF769" s="258"/>
      <c r="AG769" s="48"/>
      <c r="AH769" s="48"/>
      <c r="AI769" s="258"/>
      <c r="AJ769" s="258"/>
      <c r="AK769" s="258"/>
      <c r="AL769" s="258"/>
      <c r="AM769" s="212">
        <f>IF(AQ769=1,SUM(Q769:T769,W769:Z769,AC769:AF769,AI769:AL769),
IF(AQ769=2,SUM(P769,S769:V769,Y769:AB769,AE769:AH769,AK769:AL769),
IF(AQ769=3,SUM(P769:R769,U769:X769,AA769:AD769,AG769:AJ769),SUM(Таблица1[[#This Row],[1]:[31]])-Таблица1[[#This Row],[Столбец1]])))</f>
        <v>0</v>
      </c>
      <c r="AN769" s="778">
        <f t="array" ref="AN769">IF(AQ769=1,SUM(P769,U769:V769,AA769:AB769,AG769:AH769),
IF(AQ769=2,SUM(Q769:R769,W769:X769,AC769:AD769,AI769:AJ769),
IF(AQ769=3,SUM(S769:T769,Y769:Z769,AE769:AF769,AK769:AL769),
SUM(IFERROR(WEEKDAY($H$2:$AL$2,2)&gt;5,)*H769:AL769))))+Таблица1[[#This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69" s="292" t="b">
        <f>IF(AR769&lt;=3,(IF((G769="5/24"),((база!$M$6*Таблица1[[#This Row],[сумма]]*Таблица1[[#This Row],[коэф]])),
IF((G769="4/24"),((база!$M$5*Таблица1[[#This Row],[сумма]]*Таблица1[[#This Row],[коэф]])),
IF((G769="3/24"),((база!$M$4*Таблица1[[#This Row],[сумма]]*Таблица1[[#This Row],[коэф]])),
IF((G769="5/16"),((база!$L$6*Таблица1[[#This Row],[сумма]]*Таблица1[[#This Row],[коэф]])),
IF((G769="4/16"),((база!$L$5*Таблица1[[#This Row],[сумма]]*Таблица1[[#This Row],[коэф]])),
IF((G769="3/16"),((база!$L$4*Таблица1[[#This Row],[сумма]]*Таблица1[[#This Row],[коэф]])),
IF((G769="4/4"),((база!$I$5*Таблица1[[#This Row],[сумма]]*Таблица1[[#This Row],[коэф]])),
IF(OR(G769="2/4",G769="3/4"),((база!$I$4*Таблица1[[#This Row],[сумма]]*Таблица1[[#This Row],[коэф]])),
IF((G769="5/8"),((база!$J$6*Таблица1[[#This Row],[сумма]]*Таблица1[[#This Row],[коэф]])),
IF((G769="4/8"),((база!$J$5*Таблица1[[#This Row],[сумма]]*Таблица1[[#This Row],[коэф]])),
IF(OR(G769="3/8",G769="2/8"),((база!$J$4*Таблица1[[#This Row],[сумма]]*Таблица1[[#This Row],[коэф]])))))))))))))),
(IF((G769="5/24"),((база!$M$6*Таблица1[[#This Row],[сумма]]*Таблица1[[#This Row],[коэф]])),
IF(OR(G769="4/24",G769="3/24"),((база!$M$5*Таблица1[[#This Row],[сумма]]*Таблица1[[#This Row],[коэф]])),
IF((G769="5/16"),((база!$L$6*Таблица1[[#This Row],[сумма]]*Таблица1[[#This Row],[коэф]])),
IF(OR(G769="4/16",G769="3/16"),((база!$L$5*Таблица1[[#This Row],[сумма]]*Таблица1[[#This Row],[коэф]])),
IF(OR(G769="2/4",G769="3/4",G769="4/4"),((база!$I$5*Таблица1[[#This Row],[сумма]]*Таблица1[[#This Row],[коэф]])),
IF((G769="5/8"),((база!$J$6*Таблица1[[#This Row],[сумма]]*Таблица1[[#This Row],[коэф]])),
IF(OR(G769="4/8",G769="3/8",G769="2/8"),((база!$J$5*Таблица1[[#This Row],[сумма]]*Таблица1[[#This Row],[коэф]])))))))))))</f>
        <v>0</v>
      </c>
      <c r="AP769" s="730" t="b">
        <f>IF(AR769&lt;=3,(IF((G769="5/24"),((база!$M$6*2*Таблица1[[#This Row],[Столбец1]]*Таблица1[[#This Row],[коэф]])),
IF((G769="4/24"),((база!$M$5*2*Таблица1[[#This Row],[Столбец1]]*Таблица1[[#This Row],[коэф]])),
IF((G769="3/24"),((база!$M$4*2*Таблица1[[#This Row],[Столбец1]]*Таблица1[[#This Row],[коэф]])),
IF((G769="5/16"),((база!$L$6*2*Таблица1[[#This Row],[Столбец1]]*Таблица1[[#This Row],[коэф]])),
IF((G769="4/16"),((база!$L$5*2*Таблица1[[#This Row],[Столбец1]]*Таблица1[[#This Row],[коэф]])),
IF((G769="3/16"),((база!$L$4*2*Таблица1[[#This Row],[Столбец1]]*Таблица1[[#This Row],[коэф]])),
IF((G769="4/4"),((база!$I$5*2*Таблица1[[#This Row],[Столбец1]]*Таблица1[[#This Row],[коэф]])),
IF(OR(G769="2/4",G769="3/4"),((база!$I$4*2*Таблица1[[#This Row],[Столбец1]]*Таблица1[[#This Row],[коэф]])),
IF((G769="5/8"),((база!$J$6*2*Таблица1[[#This Row],[Столбец1]]*Таблица1[[#This Row],[коэф]])),
IF((G769="4/8"),((база!$J$5*2*Таблица1[[#This Row],[Столбец1]]*Таблица1[[#This Row],[коэф]])),
IF(OR(G769="3/8",G769="2/8"),((база!$J$4*2*Таблица1[[#This Row],[Столбец1]]*Таблица1[[#This Row],[коэф]])))))))))))))),
(IF((G769="5/24"),((база!$M$6*2*Таблица1[[#This Row],[Столбец1]]*Таблица1[[#This Row],[коэф]])),
IF(OR(G769="4/24",G769="3/24"),((база!$M$5*2*Таблица1[[#This Row],[Столбец1]]*Таблица1[[#This Row],[коэф]])),
IF((G769="5/16"),((база!$L$6*2*Таблица1[[#This Row],[Столбец1]]*Таблица1[[#This Row],[коэф]])),
IF(OR(G769="4/16",G769="3/16"),((база!$L$5*2*Таблица1[[#This Row],[Столбец1]]*Таблица1[[#This Row],[коэф]])),
IF(OR(G769="2/4",G769="3/4",G769="4/4"),((база!$I$5*2*Таблица1[[#This Row],[Столбец1]]*Таблица1[[#This Row],[коэф]])),
IF((G769="5/8"),((база!$J$6*2*Таблица1[[#This Row],[Столбец1]]*Таблица1[[#This Row],[коэф]])),
IF(OR(G769="4/8",G769="3/8",G769="2/8"),((база!$J$5*2*Таблица1[[#This Row],[Столбец1]]*Таблица1[[#This Row],[коэф]])))))))))))</f>
        <v>0</v>
      </c>
      <c r="AQ769" s="712" t="str">
        <f>IFERROR(INDEX(база!T:T, MATCH(F769,база!Q:Q,0)),"")</f>
        <v/>
      </c>
      <c r="AR769" s="208" t="str">
        <f>IFERROR(INDEX(база!D:D, MATCH(F769,база!B:B,0)),"")</f>
        <v/>
      </c>
      <c r="AS769" s="758" t="str">
        <f>IFERROR(INDEX(база!E:E, MATCH(F769,база!B:B,0)),"")</f>
        <v/>
      </c>
    </row>
    <row r="770" spans="1:45" ht="15">
      <c r="A770" s="66" t="str">
        <f t="shared" si="11"/>
        <v>январь</v>
      </c>
      <c r="B770" s="231">
        <v>2024</v>
      </c>
      <c r="C770" s="299"/>
      <c r="D770" s="61"/>
      <c r="E770" s="211"/>
      <c r="F770" s="680"/>
      <c r="G770" s="47"/>
      <c r="H770" s="563"/>
      <c r="I770" s="563"/>
      <c r="J770" s="563"/>
      <c r="K770" s="563"/>
      <c r="L770" s="563"/>
      <c r="M770" s="563"/>
      <c r="N770" s="563"/>
      <c r="O770" s="563"/>
      <c r="P770" s="300"/>
      <c r="Q770" s="563"/>
      <c r="R770" s="563"/>
      <c r="S770" s="563"/>
      <c r="T770" s="563"/>
      <c r="U770" s="563"/>
      <c r="V770" s="563"/>
      <c r="W770" s="563"/>
      <c r="X770" s="563"/>
      <c r="Y770" s="563"/>
      <c r="Z770" s="563"/>
      <c r="AA770" s="563"/>
      <c r="AB770" s="563"/>
      <c r="AC770" s="563"/>
      <c r="AD770" s="48"/>
      <c r="AE770" s="48"/>
      <c r="AF770" s="258"/>
      <c r="AG770" s="48"/>
      <c r="AH770" s="48"/>
      <c r="AI770" s="48"/>
      <c r="AJ770" s="48"/>
      <c r="AK770" s="48"/>
      <c r="AL770" s="51"/>
      <c r="AM770" s="212">
        <f>IF(AQ770=1,SUM(Q770:T770,W770:Z770,AC770:AF770,AI770:AL770),
IF(AQ770=2,SUM(P770,S770:V770,Y770:AB770,AE770:AH770,AK770:AL770),
IF(AQ770=3,SUM(P770:R770,U770:X770,AA770:AD770,AG770:AJ770),SUM(Таблица1[[#This Row],[1]:[31]])-Таблица1[[#This Row],[Столбец1]])))</f>
        <v>0</v>
      </c>
      <c r="AN770" s="778">
        <f t="array" ref="AN770">IF(AQ770=1,SUM(P770,U770:V770,AA770:AB770,AG770:AH770),
IF(AQ770=2,SUM(Q770:R770,W770:X770,AC770:AD770,AI770:AJ770),
IF(AQ770=3,SUM(S770:T770,Y770:Z770,AE770:AF770,AK770:AL770),
SUM(IFERROR(WEEKDAY($H$2:$AL$2,2)&gt;5,)*H770:AL770))))+Таблица1[[#This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70" s="292" t="b">
        <f>IF(AR770&lt;=3,(IF((G770="5/24"),((база!$M$6*Таблица1[[#This Row],[сумма]]*Таблица1[[#This Row],[коэф]])),
IF((G770="4/24"),((база!$M$5*Таблица1[[#This Row],[сумма]]*Таблица1[[#This Row],[коэф]])),
IF((G770="3/24"),((база!$M$4*Таблица1[[#This Row],[сумма]]*Таблица1[[#This Row],[коэф]])),
IF((G770="5/16"),((база!$L$6*Таблица1[[#This Row],[сумма]]*Таблица1[[#This Row],[коэф]])),
IF((G770="4/16"),((база!$L$5*Таблица1[[#This Row],[сумма]]*Таблица1[[#This Row],[коэф]])),
IF((G770="3/16"),((база!$L$4*Таблица1[[#This Row],[сумма]]*Таблица1[[#This Row],[коэф]])),
IF((G770="4/4"),((база!$I$5*Таблица1[[#This Row],[сумма]]*Таблица1[[#This Row],[коэф]])),
IF(OR(G770="2/4",G770="3/4"),((база!$I$4*Таблица1[[#This Row],[сумма]]*Таблица1[[#This Row],[коэф]])),
IF((G770="5/8"),((база!$J$6*Таблица1[[#This Row],[сумма]]*Таблица1[[#This Row],[коэф]])),
IF((G770="4/8"),((база!$J$5*Таблица1[[#This Row],[сумма]]*Таблица1[[#This Row],[коэф]])),
IF(OR(G770="3/8",G770="2/8"),((база!$J$4*Таблица1[[#This Row],[сумма]]*Таблица1[[#This Row],[коэф]])))))))))))))),
(IF((G770="5/24"),((база!$M$6*Таблица1[[#This Row],[сумма]]*Таблица1[[#This Row],[коэф]])),
IF(OR(G770="4/24",G770="3/24"),((база!$M$5*Таблица1[[#This Row],[сумма]]*Таблица1[[#This Row],[коэф]])),
IF((G770="5/16"),((база!$L$6*Таблица1[[#This Row],[сумма]]*Таблица1[[#This Row],[коэф]])),
IF(OR(G770="4/16",G770="3/16"),((база!$L$5*Таблица1[[#This Row],[сумма]]*Таблица1[[#This Row],[коэф]])),
IF(OR(G770="2/4",G770="3/4",G770="4/4"),((база!$I$5*Таблица1[[#This Row],[сумма]]*Таблица1[[#This Row],[коэф]])),
IF((G770="5/8"),((база!$J$6*Таблица1[[#This Row],[сумма]]*Таблица1[[#This Row],[коэф]])),
IF(OR(G770="4/8",G770="3/8",G770="2/8"),((база!$J$5*Таблица1[[#This Row],[сумма]]*Таблица1[[#This Row],[коэф]])))))))))))</f>
        <v>0</v>
      </c>
      <c r="AP770" s="730" t="b">
        <f>IF(AR770&lt;=3,(IF((G770="5/24"),((база!$M$6*2*Таблица1[[#This Row],[Столбец1]]*Таблица1[[#This Row],[коэф]])),
IF((G770="4/24"),((база!$M$5*2*Таблица1[[#This Row],[Столбец1]]*Таблица1[[#This Row],[коэф]])),
IF((G770="3/24"),((база!$M$4*2*Таблица1[[#This Row],[Столбец1]]*Таблица1[[#This Row],[коэф]])),
IF((G770="5/16"),((база!$L$6*2*Таблица1[[#This Row],[Столбец1]]*Таблица1[[#This Row],[коэф]])),
IF((G770="4/16"),((база!$L$5*2*Таблица1[[#This Row],[Столбец1]]*Таблица1[[#This Row],[коэф]])),
IF((G770="3/16"),((база!$L$4*2*Таблица1[[#This Row],[Столбец1]]*Таблица1[[#This Row],[коэф]])),
IF((G770="4/4"),((база!$I$5*2*Таблица1[[#This Row],[Столбец1]]*Таблица1[[#This Row],[коэф]])),
IF(OR(G770="2/4",G770="3/4"),((база!$I$4*2*Таблица1[[#This Row],[Столбец1]]*Таблица1[[#This Row],[коэф]])),
IF((G770="5/8"),((база!$J$6*2*Таблица1[[#This Row],[Столбец1]]*Таблица1[[#This Row],[коэф]])),
IF((G770="4/8"),((база!$J$5*2*Таблица1[[#This Row],[Столбец1]]*Таблица1[[#This Row],[коэф]])),
IF(OR(G770="3/8",G770="2/8"),((база!$J$4*2*Таблица1[[#This Row],[Столбец1]]*Таблица1[[#This Row],[коэф]])))))))))))))),
(IF((G770="5/24"),((база!$M$6*2*Таблица1[[#This Row],[Столбец1]]*Таблица1[[#This Row],[коэф]])),
IF(OR(G770="4/24",G770="3/24"),((база!$M$5*2*Таблица1[[#This Row],[Столбец1]]*Таблица1[[#This Row],[коэф]])),
IF((G770="5/16"),((база!$L$6*2*Таблица1[[#This Row],[Столбец1]]*Таблица1[[#This Row],[коэф]])),
IF(OR(G770="4/16",G770="3/16"),((база!$L$5*2*Таблица1[[#This Row],[Столбец1]]*Таблица1[[#This Row],[коэф]])),
IF(OR(G770="2/4",G770="3/4",G770="4/4"),((база!$I$5*2*Таблица1[[#This Row],[Столбец1]]*Таблица1[[#This Row],[коэф]])),
IF((G770="5/8"),((база!$J$6*2*Таблица1[[#This Row],[Столбец1]]*Таблица1[[#This Row],[коэф]])),
IF(OR(G770="4/8",G770="3/8",G770="2/8"),((база!$J$5*2*Таблица1[[#This Row],[Столбец1]]*Таблица1[[#This Row],[коэф]])))))))))))</f>
        <v>0</v>
      </c>
      <c r="AQ770" s="712" t="str">
        <f>IFERROR(INDEX(база!T:T, MATCH(F770,база!Q:Q,0)),"")</f>
        <v/>
      </c>
      <c r="AR770" s="208" t="str">
        <f>IFERROR(INDEX(база!D:D, MATCH(F770,база!B:B,0)),"")</f>
        <v/>
      </c>
      <c r="AS770" s="758" t="str">
        <f>IFERROR(INDEX(база!E:E, MATCH(F770,база!B:B,0)),"")</f>
        <v/>
      </c>
    </row>
    <row r="771" spans="1:45" ht="15">
      <c r="A771" s="66" t="str">
        <f t="shared" si="11"/>
        <v>январь</v>
      </c>
      <c r="B771" s="231">
        <v>2024</v>
      </c>
      <c r="C771" s="299"/>
      <c r="D771" s="61"/>
      <c r="E771" s="211"/>
      <c r="F771" s="679"/>
      <c r="G771" s="47"/>
      <c r="H771" s="563"/>
      <c r="I771" s="563"/>
      <c r="J771" s="563"/>
      <c r="K771" s="563"/>
      <c r="L771" s="563"/>
      <c r="M771" s="563"/>
      <c r="N771" s="563"/>
      <c r="O771" s="563"/>
      <c r="P771" s="300"/>
      <c r="Q771" s="563"/>
      <c r="R771" s="563"/>
      <c r="S771" s="563"/>
      <c r="T771" s="563"/>
      <c r="U771" s="563"/>
      <c r="V771" s="563"/>
      <c r="W771" s="563"/>
      <c r="X771" s="563"/>
      <c r="Y771" s="563"/>
      <c r="Z771" s="563"/>
      <c r="AA771" s="563"/>
      <c r="AB771" s="563"/>
      <c r="AC771" s="563"/>
      <c r="AD771" s="48"/>
      <c r="AE771" s="48"/>
      <c r="AF771" s="258"/>
      <c r="AG771" s="48"/>
      <c r="AH771" s="48"/>
      <c r="AI771" s="258"/>
      <c r="AJ771" s="258"/>
      <c r="AK771" s="258"/>
      <c r="AL771" s="258"/>
      <c r="AM771" s="212">
        <f>IF(AQ771=1,SUM(Q771:T771,W771:Z771,AC771:AF771,AI771:AL771),
IF(AQ771=2,SUM(P771,S771:V771,Y771:AB771,AE771:AH771,AK771:AL771),
IF(AQ771=3,SUM(P771:R771,U771:X771,AA771:AD771,AG771:AJ771),SUM(Таблица1[[#This Row],[1]:[31]])-Таблица1[[#This Row],[Столбец1]])))</f>
        <v>0</v>
      </c>
      <c r="AN771" s="778">
        <f t="array" ref="AN771">IF(AQ771=1,SUM(P771,U771:V771,AA771:AB771,AG771:AH771),
IF(AQ771=2,SUM(Q771:R771,W771:X771,AC771:AD771,AI771:AJ771),
IF(AQ771=3,SUM(S771:T771,Y771:Z771,AE771:AF771,AK771:AL771),
SUM(IFERROR(WEEKDAY($H$2:$AL$2,2)&gt;5,)*H771:AL771))))+Таблица1[[#This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71" s="292" t="b">
        <f>IF(AR771&lt;=3,(IF((G771="5/24"),((база!$M$6*Таблица1[[#This Row],[сумма]]*Таблица1[[#This Row],[коэф]])),
IF((G771="4/24"),((база!$M$5*Таблица1[[#This Row],[сумма]]*Таблица1[[#This Row],[коэф]])),
IF((G771="3/24"),((база!$M$4*Таблица1[[#This Row],[сумма]]*Таблица1[[#This Row],[коэф]])),
IF((G771="5/16"),((база!$L$6*Таблица1[[#This Row],[сумма]]*Таблица1[[#This Row],[коэф]])),
IF((G771="4/16"),((база!$L$5*Таблица1[[#This Row],[сумма]]*Таблица1[[#This Row],[коэф]])),
IF((G771="3/16"),((база!$L$4*Таблица1[[#This Row],[сумма]]*Таблица1[[#This Row],[коэф]])),
IF((G771="4/4"),((база!$I$5*Таблица1[[#This Row],[сумма]]*Таблица1[[#This Row],[коэф]])),
IF(OR(G771="2/4",G771="3/4"),((база!$I$4*Таблица1[[#This Row],[сумма]]*Таблица1[[#This Row],[коэф]])),
IF((G771="5/8"),((база!$J$6*Таблица1[[#This Row],[сумма]]*Таблица1[[#This Row],[коэф]])),
IF((G771="4/8"),((база!$J$5*Таблица1[[#This Row],[сумма]]*Таблица1[[#This Row],[коэф]])),
IF(OR(G771="3/8",G771="2/8"),((база!$J$4*Таблица1[[#This Row],[сумма]]*Таблица1[[#This Row],[коэф]])))))))))))))),
(IF((G771="5/24"),((база!$M$6*Таблица1[[#This Row],[сумма]]*Таблица1[[#This Row],[коэф]])),
IF(OR(G771="4/24",G771="3/24"),((база!$M$5*Таблица1[[#This Row],[сумма]]*Таблица1[[#This Row],[коэф]])),
IF((G771="5/16"),((база!$L$6*Таблица1[[#This Row],[сумма]]*Таблица1[[#This Row],[коэф]])),
IF(OR(G771="4/16",G771="3/16"),((база!$L$5*Таблица1[[#This Row],[сумма]]*Таблица1[[#This Row],[коэф]])),
IF(OR(G771="2/4",G771="3/4",G771="4/4"),((база!$I$5*Таблица1[[#This Row],[сумма]]*Таблица1[[#This Row],[коэф]])),
IF((G771="5/8"),((база!$J$6*Таблица1[[#This Row],[сумма]]*Таблица1[[#This Row],[коэф]])),
IF(OR(G771="4/8",G771="3/8",G771="2/8"),((база!$J$5*Таблица1[[#This Row],[сумма]]*Таблица1[[#This Row],[коэф]])))))))))))</f>
        <v>0</v>
      </c>
      <c r="AP771" s="730" t="b">
        <f>IF(AR771&lt;=3,(IF((G771="5/24"),((база!$M$6*2*Таблица1[[#This Row],[Столбец1]]*Таблица1[[#This Row],[коэф]])),
IF((G771="4/24"),((база!$M$5*2*Таблица1[[#This Row],[Столбец1]]*Таблица1[[#This Row],[коэф]])),
IF((G771="3/24"),((база!$M$4*2*Таблица1[[#This Row],[Столбец1]]*Таблица1[[#This Row],[коэф]])),
IF((G771="5/16"),((база!$L$6*2*Таблица1[[#This Row],[Столбец1]]*Таблица1[[#This Row],[коэф]])),
IF((G771="4/16"),((база!$L$5*2*Таблица1[[#This Row],[Столбец1]]*Таблица1[[#This Row],[коэф]])),
IF((G771="3/16"),((база!$L$4*2*Таблица1[[#This Row],[Столбец1]]*Таблица1[[#This Row],[коэф]])),
IF((G771="4/4"),((база!$I$5*2*Таблица1[[#This Row],[Столбец1]]*Таблица1[[#This Row],[коэф]])),
IF(OR(G771="2/4",G771="3/4"),((база!$I$4*2*Таблица1[[#This Row],[Столбец1]]*Таблица1[[#This Row],[коэф]])),
IF((G771="5/8"),((база!$J$6*2*Таблица1[[#This Row],[Столбец1]]*Таблица1[[#This Row],[коэф]])),
IF((G771="4/8"),((база!$J$5*2*Таблица1[[#This Row],[Столбец1]]*Таблица1[[#This Row],[коэф]])),
IF(OR(G771="3/8",G771="2/8"),((база!$J$4*2*Таблица1[[#This Row],[Столбец1]]*Таблица1[[#This Row],[коэф]])))))))))))))),
(IF((G771="5/24"),((база!$M$6*2*Таблица1[[#This Row],[Столбец1]]*Таблица1[[#This Row],[коэф]])),
IF(OR(G771="4/24",G771="3/24"),((база!$M$5*2*Таблица1[[#This Row],[Столбец1]]*Таблица1[[#This Row],[коэф]])),
IF((G771="5/16"),((база!$L$6*2*Таблица1[[#This Row],[Столбец1]]*Таблица1[[#This Row],[коэф]])),
IF(OR(G771="4/16",G771="3/16"),((база!$L$5*2*Таблица1[[#This Row],[Столбец1]]*Таблица1[[#This Row],[коэф]])),
IF(OR(G771="2/4",G771="3/4",G771="4/4"),((база!$I$5*2*Таблица1[[#This Row],[Столбец1]]*Таблица1[[#This Row],[коэф]])),
IF((G771="5/8"),((база!$J$6*2*Таблица1[[#This Row],[Столбец1]]*Таблица1[[#This Row],[коэф]])),
IF(OR(G771="4/8",G771="3/8",G771="2/8"),((база!$J$5*2*Таблица1[[#This Row],[Столбец1]]*Таблица1[[#This Row],[коэф]])))))))))))</f>
        <v>0</v>
      </c>
      <c r="AQ771" s="712" t="str">
        <f>IFERROR(INDEX(база!T:T, MATCH(F771,база!Q:Q,0)),"")</f>
        <v/>
      </c>
      <c r="AR771" s="208" t="str">
        <f>IFERROR(INDEX(база!D:D, MATCH(F771,база!B:B,0)),"")</f>
        <v/>
      </c>
      <c r="AS771" s="758" t="str">
        <f>IFERROR(INDEX(база!E:E, MATCH(F771,база!B:B,0)),"")</f>
        <v/>
      </c>
    </row>
    <row r="772" spans="1:45" ht="15">
      <c r="A772" s="66" t="str">
        <f t="shared" si="11"/>
        <v>январь</v>
      </c>
      <c r="B772" s="231">
        <v>2024</v>
      </c>
      <c r="C772" s="299"/>
      <c r="D772" s="61"/>
      <c r="E772" s="211"/>
      <c r="F772" s="680"/>
      <c r="G772" s="47"/>
      <c r="H772" s="563"/>
      <c r="I772" s="563"/>
      <c r="J772" s="563"/>
      <c r="K772" s="563"/>
      <c r="L772" s="563"/>
      <c r="M772" s="563"/>
      <c r="N772" s="563"/>
      <c r="O772" s="563"/>
      <c r="P772" s="300"/>
      <c r="Q772" s="563"/>
      <c r="R772" s="563"/>
      <c r="S772" s="563"/>
      <c r="T772" s="563"/>
      <c r="U772" s="563"/>
      <c r="V772" s="563"/>
      <c r="W772" s="563"/>
      <c r="X772" s="563"/>
      <c r="Y772" s="563"/>
      <c r="Z772" s="563"/>
      <c r="AA772" s="563"/>
      <c r="AB772" s="563"/>
      <c r="AC772" s="563"/>
      <c r="AD772" s="48"/>
      <c r="AE772" s="48"/>
      <c r="AF772" s="258"/>
      <c r="AG772" s="48"/>
      <c r="AH772" s="48"/>
      <c r="AI772" s="48"/>
      <c r="AJ772" s="48"/>
      <c r="AK772" s="48"/>
      <c r="AL772" s="51"/>
      <c r="AM772" s="212">
        <f>IF(AQ772=1,SUM(Q772:T772,W772:Z772,AC772:AF772,AI772:AL772),
IF(AQ772=2,SUM(P772,S772:V772,Y772:AB772,AE772:AH772,AK772:AL772),
IF(AQ772=3,SUM(P772:R772,U772:X772,AA772:AD772,AG772:AJ772),SUM(Таблица1[[#This Row],[1]:[31]])-Таблица1[[#This Row],[Столбец1]])))</f>
        <v>0</v>
      </c>
      <c r="AN772" s="778">
        <f t="array" ref="AN772">IF(AQ772=1,SUM(P772,U772:V772,AA772:AB772,AG772:AH772),
IF(AQ772=2,SUM(Q772:R772,W772:X772,AC772:AD772,AI772:AJ772),
IF(AQ772=3,SUM(S772:T772,Y772:Z772,AE772:AF772,AK772:AL772),
SUM(IFERROR(WEEKDAY($H$2:$AL$2,2)&gt;5,)*H772:AL772))))+Таблица1[[#This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72" s="292" t="b">
        <f>IF(AR772&lt;=3,(IF((G772="5/24"),((база!$M$6*Таблица1[[#This Row],[сумма]]*Таблица1[[#This Row],[коэф]])),
IF((G772="4/24"),((база!$M$5*Таблица1[[#This Row],[сумма]]*Таблица1[[#This Row],[коэф]])),
IF((G772="3/24"),((база!$M$4*Таблица1[[#This Row],[сумма]]*Таблица1[[#This Row],[коэф]])),
IF((G772="5/16"),((база!$L$6*Таблица1[[#This Row],[сумма]]*Таблица1[[#This Row],[коэф]])),
IF((G772="4/16"),((база!$L$5*Таблица1[[#This Row],[сумма]]*Таблица1[[#This Row],[коэф]])),
IF((G772="3/16"),((база!$L$4*Таблица1[[#This Row],[сумма]]*Таблица1[[#This Row],[коэф]])),
IF((G772="4/4"),((база!$I$5*Таблица1[[#This Row],[сумма]]*Таблица1[[#This Row],[коэф]])),
IF(OR(G772="2/4",G772="3/4"),((база!$I$4*Таблица1[[#This Row],[сумма]]*Таблица1[[#This Row],[коэф]])),
IF((G772="5/8"),((база!$J$6*Таблица1[[#This Row],[сумма]]*Таблица1[[#This Row],[коэф]])),
IF((G772="4/8"),((база!$J$5*Таблица1[[#This Row],[сумма]]*Таблица1[[#This Row],[коэф]])),
IF(OR(G772="3/8",G772="2/8"),((база!$J$4*Таблица1[[#This Row],[сумма]]*Таблица1[[#This Row],[коэф]])))))))))))))),
(IF((G772="5/24"),((база!$M$6*Таблица1[[#This Row],[сумма]]*Таблица1[[#This Row],[коэф]])),
IF(OR(G772="4/24",G772="3/24"),((база!$M$5*Таблица1[[#This Row],[сумма]]*Таблица1[[#This Row],[коэф]])),
IF((G772="5/16"),((база!$L$6*Таблица1[[#This Row],[сумма]]*Таблица1[[#This Row],[коэф]])),
IF(OR(G772="4/16",G772="3/16"),((база!$L$5*Таблица1[[#This Row],[сумма]]*Таблица1[[#This Row],[коэф]])),
IF(OR(G772="2/4",G772="3/4",G772="4/4"),((база!$I$5*Таблица1[[#This Row],[сумма]]*Таблица1[[#This Row],[коэф]])),
IF((G772="5/8"),((база!$J$6*Таблица1[[#This Row],[сумма]]*Таблица1[[#This Row],[коэф]])),
IF(OR(G772="4/8",G772="3/8",G772="2/8"),((база!$J$5*Таблица1[[#This Row],[сумма]]*Таблица1[[#This Row],[коэф]])))))))))))</f>
        <v>0</v>
      </c>
      <c r="AP772" s="730" t="b">
        <f>IF(AR772&lt;=3,(IF((G772="5/24"),((база!$M$6*2*Таблица1[[#This Row],[Столбец1]]*Таблица1[[#This Row],[коэф]])),
IF((G772="4/24"),((база!$M$5*2*Таблица1[[#This Row],[Столбец1]]*Таблица1[[#This Row],[коэф]])),
IF((G772="3/24"),((база!$M$4*2*Таблица1[[#This Row],[Столбец1]]*Таблица1[[#This Row],[коэф]])),
IF((G772="5/16"),((база!$L$6*2*Таблица1[[#This Row],[Столбец1]]*Таблица1[[#This Row],[коэф]])),
IF((G772="4/16"),((база!$L$5*2*Таблица1[[#This Row],[Столбец1]]*Таблица1[[#This Row],[коэф]])),
IF((G772="3/16"),((база!$L$4*2*Таблица1[[#This Row],[Столбец1]]*Таблица1[[#This Row],[коэф]])),
IF((G772="4/4"),((база!$I$5*2*Таблица1[[#This Row],[Столбец1]]*Таблица1[[#This Row],[коэф]])),
IF(OR(G772="2/4",G772="3/4"),((база!$I$4*2*Таблица1[[#This Row],[Столбец1]]*Таблица1[[#This Row],[коэф]])),
IF((G772="5/8"),((база!$J$6*2*Таблица1[[#This Row],[Столбец1]]*Таблица1[[#This Row],[коэф]])),
IF((G772="4/8"),((база!$J$5*2*Таблица1[[#This Row],[Столбец1]]*Таблица1[[#This Row],[коэф]])),
IF(OR(G772="3/8",G772="2/8"),((база!$J$4*2*Таблица1[[#This Row],[Столбец1]]*Таблица1[[#This Row],[коэф]])))))))))))))),
(IF((G772="5/24"),((база!$M$6*2*Таблица1[[#This Row],[Столбец1]]*Таблица1[[#This Row],[коэф]])),
IF(OR(G772="4/24",G772="3/24"),((база!$M$5*2*Таблица1[[#This Row],[Столбец1]]*Таблица1[[#This Row],[коэф]])),
IF((G772="5/16"),((база!$L$6*2*Таблица1[[#This Row],[Столбец1]]*Таблица1[[#This Row],[коэф]])),
IF(OR(G772="4/16",G772="3/16"),((база!$L$5*2*Таблица1[[#This Row],[Столбец1]]*Таблица1[[#This Row],[коэф]])),
IF(OR(G772="2/4",G772="3/4",G772="4/4"),((база!$I$5*2*Таблица1[[#This Row],[Столбец1]]*Таблица1[[#This Row],[коэф]])),
IF((G772="5/8"),((база!$J$6*2*Таблица1[[#This Row],[Столбец1]]*Таблица1[[#This Row],[коэф]])),
IF(OR(G772="4/8",G772="3/8",G772="2/8"),((база!$J$5*2*Таблица1[[#This Row],[Столбец1]]*Таблица1[[#This Row],[коэф]])))))))))))</f>
        <v>0</v>
      </c>
      <c r="AQ772" s="712" t="str">
        <f>IFERROR(INDEX(база!T:T, MATCH(F772,база!Q:Q,0)),"")</f>
        <v/>
      </c>
      <c r="AR772" s="208" t="str">
        <f>IFERROR(INDEX(база!D:D, MATCH(F772,база!B:B,0)),"")</f>
        <v/>
      </c>
      <c r="AS772" s="758" t="str">
        <f>IFERROR(INDEX(база!E:E, MATCH(F772,база!B:B,0)),"")</f>
        <v/>
      </c>
    </row>
    <row r="773" spans="1:45" ht="15">
      <c r="A773" s="66" t="str">
        <f t="shared" si="11"/>
        <v>январь</v>
      </c>
      <c r="B773" s="231">
        <v>2024</v>
      </c>
      <c r="C773" s="299"/>
      <c r="D773" s="61"/>
      <c r="E773" s="211"/>
      <c r="F773" s="680"/>
      <c r="G773" s="47"/>
      <c r="H773" s="563"/>
      <c r="I773" s="563"/>
      <c r="J773" s="563"/>
      <c r="K773" s="563"/>
      <c r="L773" s="563"/>
      <c r="M773" s="563"/>
      <c r="N773" s="563"/>
      <c r="O773" s="563"/>
      <c r="P773" s="300"/>
      <c r="Q773" s="563"/>
      <c r="R773" s="563"/>
      <c r="S773" s="563"/>
      <c r="T773" s="563"/>
      <c r="U773" s="563"/>
      <c r="V773" s="563"/>
      <c r="W773" s="563"/>
      <c r="X773" s="563"/>
      <c r="Y773" s="563"/>
      <c r="Z773" s="563"/>
      <c r="AA773" s="563"/>
      <c r="AB773" s="563"/>
      <c r="AC773" s="563"/>
      <c r="AD773" s="48"/>
      <c r="AE773" s="48"/>
      <c r="AF773" s="258"/>
      <c r="AG773" s="48"/>
      <c r="AH773" s="48"/>
      <c r="AI773" s="258"/>
      <c r="AJ773" s="258"/>
      <c r="AK773" s="258"/>
      <c r="AL773" s="258"/>
      <c r="AM773" s="212">
        <f>IF(AQ773=1,SUM(Q773:T773,W773:Z773,AC773:AF773,AI773:AL773),
IF(AQ773=2,SUM(P773,S773:V773,Y773:AB773,AE773:AH773,AK773:AL773),
IF(AQ773=3,SUM(P773:R773,U773:X773,AA773:AD773,AG773:AJ773),SUM(Таблица1[[#This Row],[1]:[31]])-Таблица1[[#This Row],[Столбец1]])))</f>
        <v>0</v>
      </c>
      <c r="AN773" s="778">
        <f t="array" ref="AN773">IF(AQ773=1,SUM(P773,U773:V773,AA773:AB773,AG773:AH773),
IF(AQ773=2,SUM(Q773:R773,W773:X773,AC773:AD773,AI773:AJ773),
IF(AQ773=3,SUM(S773:T773,Y773:Z773,AE773:AF773,AK773:AL773),
SUM(IFERROR(WEEKDAY($H$2:$AL$2,2)&gt;5,)*H773:AL773))))+Таблица1[[#This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73" s="292" t="b">
        <f>IF(AR773&lt;=3,(IF((G773="5/24"),((база!$M$6*Таблица1[[#This Row],[сумма]]*Таблица1[[#This Row],[коэф]])),
IF((G773="4/24"),((база!$M$5*Таблица1[[#This Row],[сумма]]*Таблица1[[#This Row],[коэф]])),
IF((G773="3/24"),((база!$M$4*Таблица1[[#This Row],[сумма]]*Таблица1[[#This Row],[коэф]])),
IF((G773="5/16"),((база!$L$6*Таблица1[[#This Row],[сумма]]*Таблица1[[#This Row],[коэф]])),
IF((G773="4/16"),((база!$L$5*Таблица1[[#This Row],[сумма]]*Таблица1[[#This Row],[коэф]])),
IF((G773="3/16"),((база!$L$4*Таблица1[[#This Row],[сумма]]*Таблица1[[#This Row],[коэф]])),
IF((G773="4/4"),((база!$I$5*Таблица1[[#This Row],[сумма]]*Таблица1[[#This Row],[коэф]])),
IF(OR(G773="2/4",G773="3/4"),((база!$I$4*Таблица1[[#This Row],[сумма]]*Таблица1[[#This Row],[коэф]])),
IF((G773="5/8"),((база!$J$6*Таблица1[[#This Row],[сумма]]*Таблица1[[#This Row],[коэф]])),
IF((G773="4/8"),((база!$J$5*Таблица1[[#This Row],[сумма]]*Таблица1[[#This Row],[коэф]])),
IF(OR(G773="3/8",G773="2/8"),((база!$J$4*Таблица1[[#This Row],[сумма]]*Таблица1[[#This Row],[коэф]])))))))))))))),
(IF((G773="5/24"),((база!$M$6*Таблица1[[#This Row],[сумма]]*Таблица1[[#This Row],[коэф]])),
IF(OR(G773="4/24",G773="3/24"),((база!$M$5*Таблица1[[#This Row],[сумма]]*Таблица1[[#This Row],[коэф]])),
IF((G773="5/16"),((база!$L$6*Таблица1[[#This Row],[сумма]]*Таблица1[[#This Row],[коэф]])),
IF(OR(G773="4/16",G773="3/16"),((база!$L$5*Таблица1[[#This Row],[сумма]]*Таблица1[[#This Row],[коэф]])),
IF(OR(G773="2/4",G773="3/4",G773="4/4"),((база!$I$5*Таблица1[[#This Row],[сумма]]*Таблица1[[#This Row],[коэф]])),
IF((G773="5/8"),((база!$J$6*Таблица1[[#This Row],[сумма]]*Таблица1[[#This Row],[коэф]])),
IF(OR(G773="4/8",G773="3/8",G773="2/8"),((база!$J$5*Таблица1[[#This Row],[сумма]]*Таблица1[[#This Row],[коэф]])))))))))))</f>
        <v>0</v>
      </c>
      <c r="AP773" s="730" t="b">
        <f>IF(AR773&lt;=3,(IF((G773="5/24"),((база!$M$6*2*Таблица1[[#This Row],[Столбец1]]*Таблица1[[#This Row],[коэф]])),
IF((G773="4/24"),((база!$M$5*2*Таблица1[[#This Row],[Столбец1]]*Таблица1[[#This Row],[коэф]])),
IF((G773="3/24"),((база!$M$4*2*Таблица1[[#This Row],[Столбец1]]*Таблица1[[#This Row],[коэф]])),
IF((G773="5/16"),((база!$L$6*2*Таблица1[[#This Row],[Столбец1]]*Таблица1[[#This Row],[коэф]])),
IF((G773="4/16"),((база!$L$5*2*Таблица1[[#This Row],[Столбец1]]*Таблица1[[#This Row],[коэф]])),
IF((G773="3/16"),((база!$L$4*2*Таблица1[[#This Row],[Столбец1]]*Таблица1[[#This Row],[коэф]])),
IF((G773="4/4"),((база!$I$5*2*Таблица1[[#This Row],[Столбец1]]*Таблица1[[#This Row],[коэф]])),
IF(OR(G773="2/4",G773="3/4"),((база!$I$4*2*Таблица1[[#This Row],[Столбец1]]*Таблица1[[#This Row],[коэф]])),
IF((G773="5/8"),((база!$J$6*2*Таблица1[[#This Row],[Столбец1]]*Таблица1[[#This Row],[коэф]])),
IF((G773="4/8"),((база!$J$5*2*Таблица1[[#This Row],[Столбец1]]*Таблица1[[#This Row],[коэф]])),
IF(OR(G773="3/8",G773="2/8"),((база!$J$4*2*Таблица1[[#This Row],[Столбец1]]*Таблица1[[#This Row],[коэф]])))))))))))))),
(IF((G773="5/24"),((база!$M$6*2*Таблица1[[#This Row],[Столбец1]]*Таблица1[[#This Row],[коэф]])),
IF(OR(G773="4/24",G773="3/24"),((база!$M$5*2*Таблица1[[#This Row],[Столбец1]]*Таблица1[[#This Row],[коэф]])),
IF((G773="5/16"),((база!$L$6*2*Таблица1[[#This Row],[Столбец1]]*Таблица1[[#This Row],[коэф]])),
IF(OR(G773="4/16",G773="3/16"),((база!$L$5*2*Таблица1[[#This Row],[Столбец1]]*Таблица1[[#This Row],[коэф]])),
IF(OR(G773="2/4",G773="3/4",G773="4/4"),((база!$I$5*2*Таблица1[[#This Row],[Столбец1]]*Таблица1[[#This Row],[коэф]])),
IF((G773="5/8"),((база!$J$6*2*Таблица1[[#This Row],[Столбец1]]*Таблица1[[#This Row],[коэф]])),
IF(OR(G773="4/8",G773="3/8",G773="2/8"),((база!$J$5*2*Таблица1[[#This Row],[Столбец1]]*Таблица1[[#This Row],[коэф]])))))))))))</f>
        <v>0</v>
      </c>
      <c r="AQ773" s="712" t="str">
        <f>IFERROR(INDEX(база!T:T, MATCH(F773,база!Q:Q,0)),"")</f>
        <v/>
      </c>
      <c r="AR773" s="208" t="str">
        <f>IFERROR(INDEX(база!D:D, MATCH(F773,база!B:B,0)),"")</f>
        <v/>
      </c>
      <c r="AS773" s="758" t="str">
        <f>IFERROR(INDEX(база!E:E, MATCH(F773,база!B:B,0)),"")</f>
        <v/>
      </c>
    </row>
    <row r="774" spans="1:45" ht="15">
      <c r="A774" s="66" t="str">
        <f t="shared" si="11"/>
        <v>январь</v>
      </c>
      <c r="B774" s="231">
        <v>2024</v>
      </c>
      <c r="C774" s="299"/>
      <c r="D774" s="61"/>
      <c r="E774" s="211"/>
      <c r="F774" s="680"/>
      <c r="G774" s="47"/>
      <c r="H774" s="563"/>
      <c r="I774" s="563"/>
      <c r="J774" s="563"/>
      <c r="K774" s="563"/>
      <c r="L774" s="563"/>
      <c r="M774" s="563"/>
      <c r="N774" s="563"/>
      <c r="O774" s="563"/>
      <c r="P774" s="300"/>
      <c r="Q774" s="563"/>
      <c r="R774" s="563"/>
      <c r="S774" s="563"/>
      <c r="T774" s="563"/>
      <c r="U774" s="563"/>
      <c r="V774" s="563"/>
      <c r="W774" s="563"/>
      <c r="X774" s="563"/>
      <c r="Y774" s="563"/>
      <c r="Z774" s="563"/>
      <c r="AA774" s="563"/>
      <c r="AB774" s="563"/>
      <c r="AC774" s="563"/>
      <c r="AD774" s="48"/>
      <c r="AE774" s="48"/>
      <c r="AF774" s="51"/>
      <c r="AG774" s="48"/>
      <c r="AH774" s="48"/>
      <c r="AI774" s="48"/>
      <c r="AJ774" s="48"/>
      <c r="AK774" s="48"/>
      <c r="AL774" s="51"/>
      <c r="AM774" s="212">
        <f>IF(AQ774=1,SUM(Q774:T774,W774:Z774,AC774:AF774,AI774:AL774),
IF(AQ774=2,SUM(P774,S774:V774,Y774:AB774,AE774:AH774,AK774:AL774),
IF(AQ774=3,SUM(P774:R774,U774:X774,AA774:AD774,AG774:AJ774),SUM(Таблица1[[#This Row],[1]:[31]])-Таблица1[[#This Row],[Столбец1]])))</f>
        <v>0</v>
      </c>
      <c r="AN774" s="778">
        <f t="array" ref="AN774">IF(AQ774=1,SUM(P774,U774:V774,AA774:AB774,AG774:AH774),
IF(AQ774=2,SUM(Q774:R774,W774:X774,AC774:AD774,AI774:AJ774),
IF(AQ774=3,SUM(S774:T774,Y774:Z774,AE774:AF774,AK774:AL774),
SUM(IFERROR(WEEKDAY($H$2:$AL$2,2)&gt;5,)*H774:AL774))))+Таблица1[[#This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74" s="292" t="b">
        <f>IF(AR774&lt;=3,(IF((G774="5/24"),((база!$M$6*Таблица1[[#This Row],[сумма]]*Таблица1[[#This Row],[коэф]])),
IF((G774="4/24"),((база!$M$5*Таблица1[[#This Row],[сумма]]*Таблица1[[#This Row],[коэф]])),
IF((G774="3/24"),((база!$M$4*Таблица1[[#This Row],[сумма]]*Таблица1[[#This Row],[коэф]])),
IF((G774="5/16"),((база!$L$6*Таблица1[[#This Row],[сумма]]*Таблица1[[#This Row],[коэф]])),
IF((G774="4/16"),((база!$L$5*Таблица1[[#This Row],[сумма]]*Таблица1[[#This Row],[коэф]])),
IF((G774="3/16"),((база!$L$4*Таблица1[[#This Row],[сумма]]*Таблица1[[#This Row],[коэф]])),
IF((G774="4/4"),((база!$I$5*Таблица1[[#This Row],[сумма]]*Таблица1[[#This Row],[коэф]])),
IF(OR(G774="2/4",G774="3/4"),((база!$I$4*Таблица1[[#This Row],[сумма]]*Таблица1[[#This Row],[коэф]])),
IF((G774="5/8"),((база!$J$6*Таблица1[[#This Row],[сумма]]*Таблица1[[#This Row],[коэф]])),
IF((G774="4/8"),((база!$J$5*Таблица1[[#This Row],[сумма]]*Таблица1[[#This Row],[коэф]])),
IF(OR(G774="3/8",G774="2/8"),((база!$J$4*Таблица1[[#This Row],[сумма]]*Таблица1[[#This Row],[коэф]])))))))))))))),
(IF((G774="5/24"),((база!$M$6*Таблица1[[#This Row],[сумма]]*Таблица1[[#This Row],[коэф]])),
IF(OR(G774="4/24",G774="3/24"),((база!$M$5*Таблица1[[#This Row],[сумма]]*Таблица1[[#This Row],[коэф]])),
IF((G774="5/16"),((база!$L$6*Таблица1[[#This Row],[сумма]]*Таблица1[[#This Row],[коэф]])),
IF(OR(G774="4/16",G774="3/16"),((база!$L$5*Таблица1[[#This Row],[сумма]]*Таблица1[[#This Row],[коэф]])),
IF(OR(G774="2/4",G774="3/4",G774="4/4"),((база!$I$5*Таблица1[[#This Row],[сумма]]*Таблица1[[#This Row],[коэф]])),
IF((G774="5/8"),((база!$J$6*Таблица1[[#This Row],[сумма]]*Таблица1[[#This Row],[коэф]])),
IF(OR(G774="4/8",G774="3/8",G774="2/8"),((база!$J$5*Таблица1[[#This Row],[сумма]]*Таблица1[[#This Row],[коэф]])))))))))))</f>
        <v>0</v>
      </c>
      <c r="AP774" s="730" t="b">
        <f>IF(AR774&lt;=3,(IF((G774="5/24"),((база!$M$6*2*Таблица1[[#This Row],[Столбец1]]*Таблица1[[#This Row],[коэф]])),
IF((G774="4/24"),((база!$M$5*2*Таблица1[[#This Row],[Столбец1]]*Таблица1[[#This Row],[коэф]])),
IF((G774="3/24"),((база!$M$4*2*Таблица1[[#This Row],[Столбец1]]*Таблица1[[#This Row],[коэф]])),
IF((G774="5/16"),((база!$L$6*2*Таблица1[[#This Row],[Столбец1]]*Таблица1[[#This Row],[коэф]])),
IF((G774="4/16"),((база!$L$5*2*Таблица1[[#This Row],[Столбец1]]*Таблица1[[#This Row],[коэф]])),
IF((G774="3/16"),((база!$L$4*2*Таблица1[[#This Row],[Столбец1]]*Таблица1[[#This Row],[коэф]])),
IF((G774="4/4"),((база!$I$5*2*Таблица1[[#This Row],[Столбец1]]*Таблица1[[#This Row],[коэф]])),
IF(OR(G774="2/4",G774="3/4"),((база!$I$4*2*Таблица1[[#This Row],[Столбец1]]*Таблица1[[#This Row],[коэф]])),
IF((G774="5/8"),((база!$J$6*2*Таблица1[[#This Row],[Столбец1]]*Таблица1[[#This Row],[коэф]])),
IF((G774="4/8"),((база!$J$5*2*Таблица1[[#This Row],[Столбец1]]*Таблица1[[#This Row],[коэф]])),
IF(OR(G774="3/8",G774="2/8"),((база!$J$4*2*Таблица1[[#This Row],[Столбец1]]*Таблица1[[#This Row],[коэф]])))))))))))))),
(IF((G774="5/24"),((база!$M$6*2*Таблица1[[#This Row],[Столбец1]]*Таблица1[[#This Row],[коэф]])),
IF(OR(G774="4/24",G774="3/24"),((база!$M$5*2*Таблица1[[#This Row],[Столбец1]]*Таблица1[[#This Row],[коэф]])),
IF((G774="5/16"),((база!$L$6*2*Таблица1[[#This Row],[Столбец1]]*Таблица1[[#This Row],[коэф]])),
IF(OR(G774="4/16",G774="3/16"),((база!$L$5*2*Таблица1[[#This Row],[Столбец1]]*Таблица1[[#This Row],[коэф]])),
IF(OR(G774="2/4",G774="3/4",G774="4/4"),((база!$I$5*2*Таблица1[[#This Row],[Столбец1]]*Таблица1[[#This Row],[коэф]])),
IF((G774="5/8"),((база!$J$6*2*Таблица1[[#This Row],[Столбец1]]*Таблица1[[#This Row],[коэф]])),
IF(OR(G774="4/8",G774="3/8",G774="2/8"),((база!$J$5*2*Таблица1[[#This Row],[Столбец1]]*Таблица1[[#This Row],[коэф]])))))))))))</f>
        <v>0</v>
      </c>
      <c r="AQ774" s="712" t="str">
        <f>IFERROR(INDEX(база!T:T, MATCH(F774,база!Q:Q,0)),"")</f>
        <v/>
      </c>
      <c r="AR774" s="208" t="str">
        <f>IFERROR(INDEX(база!D:D, MATCH(F774,база!B:B,0)),"")</f>
        <v/>
      </c>
      <c r="AS774" s="758" t="str">
        <f>IFERROR(INDEX(база!E:E, MATCH(F774,база!B:B,0)),"")</f>
        <v/>
      </c>
    </row>
    <row r="775" spans="1:45" ht="16.5" customHeight="1">
      <c r="A775" s="66" t="str">
        <f t="shared" si="11"/>
        <v>январь</v>
      </c>
      <c r="B775" s="231">
        <v>2024</v>
      </c>
      <c r="C775" s="299"/>
      <c r="D775" s="61"/>
      <c r="E775" s="211"/>
      <c r="F775" s="680"/>
      <c r="G775" s="47"/>
      <c r="H775" s="563"/>
      <c r="I775" s="563"/>
      <c r="J775" s="563"/>
      <c r="K775" s="563"/>
      <c r="L775" s="563"/>
      <c r="M775" s="563"/>
      <c r="N775" s="563"/>
      <c r="O775" s="563"/>
      <c r="P775" s="300"/>
      <c r="Q775" s="563"/>
      <c r="R775" s="563"/>
      <c r="S775" s="563"/>
      <c r="T775" s="563"/>
      <c r="U775" s="563"/>
      <c r="V775" s="563"/>
      <c r="W775" s="563"/>
      <c r="X775" s="563"/>
      <c r="Y775" s="563"/>
      <c r="Z775" s="563"/>
      <c r="AA775" s="563"/>
      <c r="AB775" s="563"/>
      <c r="AC775" s="563"/>
      <c r="AD775" s="48"/>
      <c r="AE775" s="48"/>
      <c r="AF775" s="258"/>
      <c r="AG775" s="48"/>
      <c r="AH775" s="48"/>
      <c r="AI775" s="258"/>
      <c r="AJ775" s="258"/>
      <c r="AK775" s="258"/>
      <c r="AL775" s="258"/>
      <c r="AM775" s="212">
        <f>IF(AQ775=1,SUM(Q775:T775,W775:Z775,AC775:AF775,AI775:AL775),
IF(AQ775=2,SUM(P775,S775:V775,Y775:AB775,AE775:AH775,AK775:AL775),
IF(AQ775=3,SUM(P775:R775,U775:X775,AA775:AD775,AG775:AJ775),SUM(Таблица1[[#This Row],[1]:[31]])-Таблица1[[#This Row],[Столбец1]])))</f>
        <v>0</v>
      </c>
      <c r="AN775" s="778">
        <f t="array" ref="AN775">IF(AQ775=1,SUM(P775,U775:V775,AA775:AB775,AG775:AH775),
IF(AQ775=2,SUM(Q775:R775,W775:X775,AC775:AD775,AI775:AJ775),
IF(AQ775=3,SUM(S775:T775,Y775:Z775,AE775:AF775,AK775:AL775),
SUM(IFERROR(WEEKDAY($H$2:$AL$2,2)&gt;5,)*H775:AL775))))+Таблица1[[#This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75" s="292" t="b">
        <f>IF(AR775&lt;=3,(IF((G775="5/24"),((база!$M$6*Таблица1[[#This Row],[сумма]]*Таблица1[[#This Row],[коэф]])),
IF((G775="4/24"),((база!$M$5*Таблица1[[#This Row],[сумма]]*Таблица1[[#This Row],[коэф]])),
IF((G775="3/24"),((база!$M$4*Таблица1[[#This Row],[сумма]]*Таблица1[[#This Row],[коэф]])),
IF((G775="5/16"),((база!$L$6*Таблица1[[#This Row],[сумма]]*Таблица1[[#This Row],[коэф]])),
IF((G775="4/16"),((база!$L$5*Таблица1[[#This Row],[сумма]]*Таблица1[[#This Row],[коэф]])),
IF((G775="3/16"),((база!$L$4*Таблица1[[#This Row],[сумма]]*Таблица1[[#This Row],[коэф]])),
IF((G775="4/4"),((база!$I$5*Таблица1[[#This Row],[сумма]]*Таблица1[[#This Row],[коэф]])),
IF(OR(G775="2/4",G775="3/4"),((база!$I$4*Таблица1[[#This Row],[сумма]]*Таблица1[[#This Row],[коэф]])),
IF((G775="5/8"),((база!$J$6*Таблица1[[#This Row],[сумма]]*Таблица1[[#This Row],[коэф]])),
IF((G775="4/8"),((база!$J$5*Таблица1[[#This Row],[сумма]]*Таблица1[[#This Row],[коэф]])),
IF(OR(G775="3/8",G775="2/8"),((база!$J$4*Таблица1[[#This Row],[сумма]]*Таблица1[[#This Row],[коэф]])))))))))))))),
(IF((G775="5/24"),((база!$M$6*Таблица1[[#This Row],[сумма]]*Таблица1[[#This Row],[коэф]])),
IF(OR(G775="4/24",G775="3/24"),((база!$M$5*Таблица1[[#This Row],[сумма]]*Таблица1[[#This Row],[коэф]])),
IF((G775="5/16"),((база!$L$6*Таблица1[[#This Row],[сумма]]*Таблица1[[#This Row],[коэф]])),
IF(OR(G775="4/16",G775="3/16"),((база!$L$5*Таблица1[[#This Row],[сумма]]*Таблица1[[#This Row],[коэф]])),
IF(OR(G775="2/4",G775="3/4",G775="4/4"),((база!$I$5*Таблица1[[#This Row],[сумма]]*Таблица1[[#This Row],[коэф]])),
IF((G775="5/8"),((база!$J$6*Таблица1[[#This Row],[сумма]]*Таблица1[[#This Row],[коэф]])),
IF(OR(G775="4/8",G775="3/8",G775="2/8"),((база!$J$5*Таблица1[[#This Row],[сумма]]*Таблица1[[#This Row],[коэф]])))))))))))</f>
        <v>0</v>
      </c>
      <c r="AP775" s="730" t="b">
        <f>IF(AR775&lt;=3,(IF((G775="5/24"),((база!$M$6*2*Таблица1[[#This Row],[Столбец1]]*Таблица1[[#This Row],[коэф]])),
IF((G775="4/24"),((база!$M$5*2*Таблица1[[#This Row],[Столбец1]]*Таблица1[[#This Row],[коэф]])),
IF((G775="3/24"),((база!$M$4*2*Таблица1[[#This Row],[Столбец1]]*Таблица1[[#This Row],[коэф]])),
IF((G775="5/16"),((база!$L$6*2*Таблица1[[#This Row],[Столбец1]]*Таблица1[[#This Row],[коэф]])),
IF((G775="4/16"),((база!$L$5*2*Таблица1[[#This Row],[Столбец1]]*Таблица1[[#This Row],[коэф]])),
IF((G775="3/16"),((база!$L$4*2*Таблица1[[#This Row],[Столбец1]]*Таблица1[[#This Row],[коэф]])),
IF((G775="4/4"),((база!$I$5*2*Таблица1[[#This Row],[Столбец1]]*Таблица1[[#This Row],[коэф]])),
IF(OR(G775="2/4",G775="3/4"),((база!$I$4*2*Таблица1[[#This Row],[Столбец1]]*Таблица1[[#This Row],[коэф]])),
IF((G775="5/8"),((база!$J$6*2*Таблица1[[#This Row],[Столбец1]]*Таблица1[[#This Row],[коэф]])),
IF((G775="4/8"),((база!$J$5*2*Таблица1[[#This Row],[Столбец1]]*Таблица1[[#This Row],[коэф]])),
IF(OR(G775="3/8",G775="2/8"),((база!$J$4*2*Таблица1[[#This Row],[Столбец1]]*Таблица1[[#This Row],[коэф]])))))))))))))),
(IF((G775="5/24"),((база!$M$6*2*Таблица1[[#This Row],[Столбец1]]*Таблица1[[#This Row],[коэф]])),
IF(OR(G775="4/24",G775="3/24"),((база!$M$5*2*Таблица1[[#This Row],[Столбец1]]*Таблица1[[#This Row],[коэф]])),
IF((G775="5/16"),((база!$L$6*2*Таблица1[[#This Row],[Столбец1]]*Таблица1[[#This Row],[коэф]])),
IF(OR(G775="4/16",G775="3/16"),((база!$L$5*2*Таблица1[[#This Row],[Столбец1]]*Таблица1[[#This Row],[коэф]])),
IF(OR(G775="2/4",G775="3/4",G775="4/4"),((база!$I$5*2*Таблица1[[#This Row],[Столбец1]]*Таблица1[[#This Row],[коэф]])),
IF((G775="5/8"),((база!$J$6*2*Таблица1[[#This Row],[Столбец1]]*Таблица1[[#This Row],[коэф]])),
IF(OR(G775="4/8",G775="3/8",G775="2/8"),((база!$J$5*2*Таблица1[[#This Row],[Столбец1]]*Таблица1[[#This Row],[коэф]])))))))))))</f>
        <v>0</v>
      </c>
      <c r="AQ775" s="712" t="str">
        <f>IFERROR(INDEX(база!T:T, MATCH(F775,база!Q:Q,0)),"")</f>
        <v/>
      </c>
      <c r="AR775" s="208" t="str">
        <f>IFERROR(INDEX(база!D:D, MATCH(F775,база!B:B,0)),"")</f>
        <v/>
      </c>
      <c r="AS775" s="758" t="str">
        <f>IFERROR(INDEX(база!E:E, MATCH(F775,база!B:B,0)),"")</f>
        <v/>
      </c>
    </row>
    <row r="776" spans="1:45" ht="15.75" customHeight="1">
      <c r="A776" s="66" t="str">
        <f t="shared" si="11"/>
        <v>январь</v>
      </c>
      <c r="B776" s="231">
        <v>2024</v>
      </c>
      <c r="C776" s="299"/>
      <c r="D776" s="61"/>
      <c r="E776" s="211"/>
      <c r="F776" s="680"/>
      <c r="G776" s="47"/>
      <c r="H776" s="563"/>
      <c r="I776" s="563"/>
      <c r="J776" s="563"/>
      <c r="K776" s="563"/>
      <c r="L776" s="563"/>
      <c r="M776" s="563"/>
      <c r="N776" s="563"/>
      <c r="O776" s="563"/>
      <c r="P776" s="300"/>
      <c r="Q776" s="563"/>
      <c r="R776" s="563"/>
      <c r="S776" s="563"/>
      <c r="T776" s="563"/>
      <c r="U776" s="563"/>
      <c r="V776" s="563"/>
      <c r="W776" s="563"/>
      <c r="X776" s="563"/>
      <c r="Y776" s="563"/>
      <c r="Z776" s="563"/>
      <c r="AA776" s="563"/>
      <c r="AB776" s="563"/>
      <c r="AC776" s="563"/>
      <c r="AD776" s="48"/>
      <c r="AE776" s="48"/>
      <c r="AF776" s="258"/>
      <c r="AG776" s="48"/>
      <c r="AH776" s="48"/>
      <c r="AI776" s="48"/>
      <c r="AJ776" s="48"/>
      <c r="AK776" s="48"/>
      <c r="AL776" s="51"/>
      <c r="AM776" s="212">
        <f>IF(AQ776=1,SUM(Q776:T776,W776:Z776,AC776:AF776,AI776:AL776),
IF(AQ776=2,SUM(P776,S776:V776,Y776:AB776,AE776:AH776,AK776:AL776),
IF(AQ776=3,SUM(P776:R776,U776:X776,AA776:AD776,AG776:AJ776),SUM(Таблица1[[#This Row],[1]:[31]])-Таблица1[[#This Row],[Столбец1]])))</f>
        <v>0</v>
      </c>
      <c r="AN776" s="778">
        <f t="array" ref="AN776">IF(AQ776=1,SUM(P776,U776:V776,AA776:AB776,AG776:AH776),
IF(AQ776=2,SUM(Q776:R776,W776:X776,AC776:AD776,AI776:AJ776),
IF(AQ776=3,SUM(S776:T776,Y776:Z776,AE776:AF776,AK776:AL776),
SUM(IFERROR(WEEKDAY($H$2:$AL$2,2)&gt;5,)*H776:AL776))))+Таблица1[[#This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76" s="292" t="b">
        <f>IF(AR776&lt;=3,(IF((G776="5/24"),((база!$M$6*Таблица1[[#This Row],[сумма]]*Таблица1[[#This Row],[коэф]])),
IF((G776="4/24"),((база!$M$5*Таблица1[[#This Row],[сумма]]*Таблица1[[#This Row],[коэф]])),
IF((G776="3/24"),((база!$M$4*Таблица1[[#This Row],[сумма]]*Таблица1[[#This Row],[коэф]])),
IF((G776="5/16"),((база!$L$6*Таблица1[[#This Row],[сумма]]*Таблица1[[#This Row],[коэф]])),
IF((G776="4/16"),((база!$L$5*Таблица1[[#This Row],[сумма]]*Таблица1[[#This Row],[коэф]])),
IF((G776="3/16"),((база!$L$4*Таблица1[[#This Row],[сумма]]*Таблица1[[#This Row],[коэф]])),
IF((G776="4/4"),((база!$I$5*Таблица1[[#This Row],[сумма]]*Таблица1[[#This Row],[коэф]])),
IF(OR(G776="2/4",G776="3/4"),((база!$I$4*Таблица1[[#This Row],[сумма]]*Таблица1[[#This Row],[коэф]])),
IF((G776="5/8"),((база!$J$6*Таблица1[[#This Row],[сумма]]*Таблица1[[#This Row],[коэф]])),
IF((G776="4/8"),((база!$J$5*Таблица1[[#This Row],[сумма]]*Таблица1[[#This Row],[коэф]])),
IF(OR(G776="3/8",G776="2/8"),((база!$J$4*Таблица1[[#This Row],[сумма]]*Таблица1[[#This Row],[коэф]])))))))))))))),
(IF((G776="5/24"),((база!$M$6*Таблица1[[#This Row],[сумма]]*Таблица1[[#This Row],[коэф]])),
IF(OR(G776="4/24",G776="3/24"),((база!$M$5*Таблица1[[#This Row],[сумма]]*Таблица1[[#This Row],[коэф]])),
IF((G776="5/16"),((база!$L$6*Таблица1[[#This Row],[сумма]]*Таблица1[[#This Row],[коэф]])),
IF(OR(G776="4/16",G776="3/16"),((база!$L$5*Таблица1[[#This Row],[сумма]]*Таблица1[[#This Row],[коэф]])),
IF(OR(G776="2/4",G776="3/4",G776="4/4"),((база!$I$5*Таблица1[[#This Row],[сумма]]*Таблица1[[#This Row],[коэф]])),
IF((G776="5/8"),((база!$J$6*Таблица1[[#This Row],[сумма]]*Таблица1[[#This Row],[коэф]])),
IF(OR(G776="4/8",G776="3/8",G776="2/8"),((база!$J$5*Таблица1[[#This Row],[сумма]]*Таблица1[[#This Row],[коэф]])))))))))))</f>
        <v>0</v>
      </c>
      <c r="AP776" s="730" t="b">
        <f>IF(AR776&lt;=3,(IF((G776="5/24"),((база!$M$6*2*Таблица1[[#This Row],[Столбец1]]*Таблица1[[#This Row],[коэф]])),
IF((G776="4/24"),((база!$M$5*2*Таблица1[[#This Row],[Столбец1]]*Таблица1[[#This Row],[коэф]])),
IF((G776="3/24"),((база!$M$4*2*Таблица1[[#This Row],[Столбец1]]*Таблица1[[#This Row],[коэф]])),
IF((G776="5/16"),((база!$L$6*2*Таблица1[[#This Row],[Столбец1]]*Таблица1[[#This Row],[коэф]])),
IF((G776="4/16"),((база!$L$5*2*Таблица1[[#This Row],[Столбец1]]*Таблица1[[#This Row],[коэф]])),
IF((G776="3/16"),((база!$L$4*2*Таблица1[[#This Row],[Столбец1]]*Таблица1[[#This Row],[коэф]])),
IF((G776="4/4"),((база!$I$5*2*Таблица1[[#This Row],[Столбец1]]*Таблица1[[#This Row],[коэф]])),
IF(OR(G776="2/4",G776="3/4"),((база!$I$4*2*Таблица1[[#This Row],[Столбец1]]*Таблица1[[#This Row],[коэф]])),
IF((G776="5/8"),((база!$J$6*2*Таблица1[[#This Row],[Столбец1]]*Таблица1[[#This Row],[коэф]])),
IF((G776="4/8"),((база!$J$5*2*Таблица1[[#This Row],[Столбец1]]*Таблица1[[#This Row],[коэф]])),
IF(OR(G776="3/8",G776="2/8"),((база!$J$4*2*Таблица1[[#This Row],[Столбец1]]*Таблица1[[#This Row],[коэф]])))))))))))))),
(IF((G776="5/24"),((база!$M$6*2*Таблица1[[#This Row],[Столбец1]]*Таблица1[[#This Row],[коэф]])),
IF(OR(G776="4/24",G776="3/24"),((база!$M$5*2*Таблица1[[#This Row],[Столбец1]]*Таблица1[[#This Row],[коэф]])),
IF((G776="5/16"),((база!$L$6*2*Таблица1[[#This Row],[Столбец1]]*Таблица1[[#This Row],[коэф]])),
IF(OR(G776="4/16",G776="3/16"),((база!$L$5*2*Таблица1[[#This Row],[Столбец1]]*Таблица1[[#This Row],[коэф]])),
IF(OR(G776="2/4",G776="3/4",G776="4/4"),((база!$I$5*2*Таблица1[[#This Row],[Столбец1]]*Таблица1[[#This Row],[коэф]])),
IF((G776="5/8"),((база!$J$6*2*Таблица1[[#This Row],[Столбец1]]*Таблица1[[#This Row],[коэф]])),
IF(OR(G776="4/8",G776="3/8",G776="2/8"),((база!$J$5*2*Таблица1[[#This Row],[Столбец1]]*Таблица1[[#This Row],[коэф]])))))))))))</f>
        <v>0</v>
      </c>
      <c r="AQ776" s="712" t="str">
        <f>IFERROR(INDEX(база!T:T, MATCH(F776,база!Q:Q,0)),"")</f>
        <v/>
      </c>
      <c r="AR776" s="208" t="str">
        <f>IFERROR(INDEX(база!D:D, MATCH(F776,база!B:B,0)),"")</f>
        <v/>
      </c>
      <c r="AS776" s="758" t="str">
        <f>IFERROR(INDEX(база!E:E, MATCH(F776,база!B:B,0)),"")</f>
        <v/>
      </c>
    </row>
    <row r="777" spans="1:45" ht="15">
      <c r="A777" s="66" t="str">
        <f t="shared" si="11"/>
        <v>январь</v>
      </c>
      <c r="B777" s="231">
        <v>2024</v>
      </c>
      <c r="C777" s="299"/>
      <c r="D777" s="61"/>
      <c r="E777" s="211"/>
      <c r="F777" s="680"/>
      <c r="G777" s="47"/>
      <c r="H777" s="563"/>
      <c r="I777" s="563"/>
      <c r="J777" s="563"/>
      <c r="K777" s="563"/>
      <c r="L777" s="563"/>
      <c r="M777" s="563"/>
      <c r="N777" s="563"/>
      <c r="O777" s="563"/>
      <c r="P777" s="300"/>
      <c r="Q777" s="563"/>
      <c r="R777" s="563"/>
      <c r="S777" s="563"/>
      <c r="T777" s="563"/>
      <c r="U777" s="563"/>
      <c r="V777" s="563"/>
      <c r="W777" s="563"/>
      <c r="X777" s="563"/>
      <c r="Y777" s="563"/>
      <c r="Z777" s="563"/>
      <c r="AA777" s="563"/>
      <c r="AB777" s="563"/>
      <c r="AC777" s="563"/>
      <c r="AD777" s="48"/>
      <c r="AE777" s="48"/>
      <c r="AF777" s="258"/>
      <c r="AG777" s="48"/>
      <c r="AH777" s="48"/>
      <c r="AI777" s="258"/>
      <c r="AJ777" s="258"/>
      <c r="AK777" s="258"/>
      <c r="AL777" s="258"/>
      <c r="AM777" s="212">
        <f>IF(AQ777=1,SUM(Q777:T777,W777:Z777,AC777:AF777,AI777:AL777),
IF(AQ777=2,SUM(P777,S777:V777,Y777:AB777,AE777:AH777,AK777:AL777),
IF(AQ777=3,SUM(P777:R777,U777:X777,AA777:AD777,AG777:AJ777),SUM(Таблица1[[#This Row],[1]:[31]])-Таблица1[[#This Row],[Столбец1]])))</f>
        <v>0</v>
      </c>
      <c r="AN777" s="778">
        <f t="array" ref="AN777">IF(AQ777=1,SUM(P777,U777:V777,AA777:AB777,AG777:AH777),
IF(AQ777=2,SUM(Q777:R777,W777:X777,AC777:AD777,AI777:AJ777),
IF(AQ777=3,SUM(S777:T777,Y777:Z777,AE777:AF777,AK777:AL777),
SUM(IFERROR(WEEKDAY($H$2:$AL$2,2)&gt;5,)*H777:AL777))))+Таблица1[[#This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77" s="292" t="b">
        <f>IF(AR777&lt;=3,(IF((G777="5/24"),((база!$M$6*Таблица1[[#This Row],[сумма]]*Таблица1[[#This Row],[коэф]])),
IF((G777="4/24"),((база!$M$5*Таблица1[[#This Row],[сумма]]*Таблица1[[#This Row],[коэф]])),
IF((G777="3/24"),((база!$M$4*Таблица1[[#This Row],[сумма]]*Таблица1[[#This Row],[коэф]])),
IF((G777="5/16"),((база!$L$6*Таблица1[[#This Row],[сумма]]*Таблица1[[#This Row],[коэф]])),
IF((G777="4/16"),((база!$L$5*Таблица1[[#This Row],[сумма]]*Таблица1[[#This Row],[коэф]])),
IF((G777="3/16"),((база!$L$4*Таблица1[[#This Row],[сумма]]*Таблица1[[#This Row],[коэф]])),
IF((G777="4/4"),((база!$I$5*Таблица1[[#This Row],[сумма]]*Таблица1[[#This Row],[коэф]])),
IF(OR(G777="2/4",G777="3/4"),((база!$I$4*Таблица1[[#This Row],[сумма]]*Таблица1[[#This Row],[коэф]])),
IF((G777="5/8"),((база!$J$6*Таблица1[[#This Row],[сумма]]*Таблица1[[#This Row],[коэф]])),
IF((G777="4/8"),((база!$J$5*Таблица1[[#This Row],[сумма]]*Таблица1[[#This Row],[коэф]])),
IF(OR(G777="3/8",G777="2/8"),((база!$J$4*Таблица1[[#This Row],[сумма]]*Таблица1[[#This Row],[коэф]])))))))))))))),
(IF((G777="5/24"),((база!$M$6*Таблица1[[#This Row],[сумма]]*Таблица1[[#This Row],[коэф]])),
IF(OR(G777="4/24",G777="3/24"),((база!$M$5*Таблица1[[#This Row],[сумма]]*Таблица1[[#This Row],[коэф]])),
IF((G777="5/16"),((база!$L$6*Таблица1[[#This Row],[сумма]]*Таблица1[[#This Row],[коэф]])),
IF(OR(G777="4/16",G777="3/16"),((база!$L$5*Таблица1[[#This Row],[сумма]]*Таблица1[[#This Row],[коэф]])),
IF(OR(G777="2/4",G777="3/4",G777="4/4"),((база!$I$5*Таблица1[[#This Row],[сумма]]*Таблица1[[#This Row],[коэф]])),
IF((G777="5/8"),((база!$J$6*Таблица1[[#This Row],[сумма]]*Таблица1[[#This Row],[коэф]])),
IF(OR(G777="4/8",G777="3/8",G777="2/8"),((база!$J$5*Таблица1[[#This Row],[сумма]]*Таблица1[[#This Row],[коэф]])))))))))))</f>
        <v>0</v>
      </c>
      <c r="AP777" s="730" t="b">
        <f>IF(AR777&lt;=3,(IF((G777="5/24"),((база!$M$6*2*Таблица1[[#This Row],[Столбец1]]*Таблица1[[#This Row],[коэф]])),
IF((G777="4/24"),((база!$M$5*2*Таблица1[[#This Row],[Столбец1]]*Таблица1[[#This Row],[коэф]])),
IF((G777="3/24"),((база!$M$4*2*Таблица1[[#This Row],[Столбец1]]*Таблица1[[#This Row],[коэф]])),
IF((G777="5/16"),((база!$L$6*2*Таблица1[[#This Row],[Столбец1]]*Таблица1[[#This Row],[коэф]])),
IF((G777="4/16"),((база!$L$5*2*Таблица1[[#This Row],[Столбец1]]*Таблица1[[#This Row],[коэф]])),
IF((G777="3/16"),((база!$L$4*2*Таблица1[[#This Row],[Столбец1]]*Таблица1[[#This Row],[коэф]])),
IF((G777="4/4"),((база!$I$5*2*Таблица1[[#This Row],[Столбец1]]*Таблица1[[#This Row],[коэф]])),
IF(OR(G777="2/4",G777="3/4"),((база!$I$4*2*Таблица1[[#This Row],[Столбец1]]*Таблица1[[#This Row],[коэф]])),
IF((G777="5/8"),((база!$J$6*2*Таблица1[[#This Row],[Столбец1]]*Таблица1[[#This Row],[коэф]])),
IF((G777="4/8"),((база!$J$5*2*Таблица1[[#This Row],[Столбец1]]*Таблица1[[#This Row],[коэф]])),
IF(OR(G777="3/8",G777="2/8"),((база!$J$4*2*Таблица1[[#This Row],[Столбец1]]*Таблица1[[#This Row],[коэф]])))))))))))))),
(IF((G777="5/24"),((база!$M$6*2*Таблица1[[#This Row],[Столбец1]]*Таблица1[[#This Row],[коэф]])),
IF(OR(G777="4/24",G777="3/24"),((база!$M$5*2*Таблица1[[#This Row],[Столбец1]]*Таблица1[[#This Row],[коэф]])),
IF((G777="5/16"),((база!$L$6*2*Таблица1[[#This Row],[Столбец1]]*Таблица1[[#This Row],[коэф]])),
IF(OR(G777="4/16",G777="3/16"),((база!$L$5*2*Таблица1[[#This Row],[Столбец1]]*Таблица1[[#This Row],[коэф]])),
IF(OR(G777="2/4",G777="3/4",G777="4/4"),((база!$I$5*2*Таблица1[[#This Row],[Столбец1]]*Таблица1[[#This Row],[коэф]])),
IF((G777="5/8"),((база!$J$6*2*Таблица1[[#This Row],[Столбец1]]*Таблица1[[#This Row],[коэф]])),
IF(OR(G777="4/8",G777="3/8",G777="2/8"),((база!$J$5*2*Таблица1[[#This Row],[Столбец1]]*Таблица1[[#This Row],[коэф]])))))))))))</f>
        <v>0</v>
      </c>
      <c r="AQ777" s="712" t="str">
        <f>IFERROR(INDEX(база!T:T, MATCH(F777,база!Q:Q,0)),"")</f>
        <v/>
      </c>
      <c r="AR777" s="208" t="str">
        <f>IFERROR(INDEX(база!D:D, MATCH(F777,база!B:B,0)),"")</f>
        <v/>
      </c>
      <c r="AS777" s="758" t="str">
        <f>IFERROR(INDEX(база!E:E, MATCH(F777,база!B:B,0)),"")</f>
        <v/>
      </c>
    </row>
    <row r="778" spans="1:45" ht="15">
      <c r="A778" s="66" t="str">
        <f t="shared" si="11"/>
        <v>январь</v>
      </c>
      <c r="B778" s="231">
        <v>2024</v>
      </c>
      <c r="C778" s="299"/>
      <c r="D778" s="61"/>
      <c r="E778" s="211"/>
      <c r="F778" s="679"/>
      <c r="G778" s="47"/>
      <c r="H778" s="563"/>
      <c r="I778" s="563"/>
      <c r="J778" s="563"/>
      <c r="K778" s="563"/>
      <c r="L778" s="563"/>
      <c r="M778" s="563"/>
      <c r="N778" s="563"/>
      <c r="O778" s="563"/>
      <c r="P778" s="300"/>
      <c r="Q778" s="563"/>
      <c r="R778" s="563"/>
      <c r="S778" s="563"/>
      <c r="T778" s="563"/>
      <c r="U778" s="563"/>
      <c r="V778" s="563"/>
      <c r="W778" s="563"/>
      <c r="X778" s="563"/>
      <c r="Y778" s="563"/>
      <c r="Z778" s="563"/>
      <c r="AA778" s="563"/>
      <c r="AB778" s="563"/>
      <c r="AC778" s="563"/>
      <c r="AD778" s="48"/>
      <c r="AE778" s="48"/>
      <c r="AF778" s="258"/>
      <c r="AG778" s="48"/>
      <c r="AH778" s="48"/>
      <c r="AI778" s="48"/>
      <c r="AJ778" s="48"/>
      <c r="AK778" s="48"/>
      <c r="AL778" s="51"/>
      <c r="AM778" s="212">
        <f>IF(AQ778=1,SUM(Q778:T778,W778:Z778,AC778:AF778,AI778:AL778),
IF(AQ778=2,SUM(P778,S778:V778,Y778:AB778,AE778:AH778,AK778:AL778),
IF(AQ778=3,SUM(P778:R778,U778:X778,AA778:AD778,AG778:AJ778),SUM(Таблица1[[#This Row],[1]:[31]])-Таблица1[[#This Row],[Столбец1]])))</f>
        <v>0</v>
      </c>
      <c r="AN778" s="778">
        <f t="array" ref="AN778">IF(AQ778=1,SUM(P778,U778:V778,AA778:AB778,AG778:AH778),
IF(AQ778=2,SUM(Q778:R778,W778:X778,AC778:AD778,AI778:AJ778),
IF(AQ778=3,SUM(S778:T778,Y778:Z778,AE778:AF778,AK778:AL778),
SUM(IFERROR(WEEKDAY($H$2:$AL$2,2)&gt;5,)*H778:AL778))))+Таблица1[[#This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78" s="292" t="b">
        <f>IF(AR778&lt;=3,(IF((G778="5/24"),((база!$M$6*Таблица1[[#This Row],[сумма]]*Таблица1[[#This Row],[коэф]])),
IF((G778="4/24"),((база!$M$5*Таблица1[[#This Row],[сумма]]*Таблица1[[#This Row],[коэф]])),
IF((G778="3/24"),((база!$M$4*Таблица1[[#This Row],[сумма]]*Таблица1[[#This Row],[коэф]])),
IF((G778="5/16"),((база!$L$6*Таблица1[[#This Row],[сумма]]*Таблица1[[#This Row],[коэф]])),
IF((G778="4/16"),((база!$L$5*Таблица1[[#This Row],[сумма]]*Таблица1[[#This Row],[коэф]])),
IF((G778="3/16"),((база!$L$4*Таблица1[[#This Row],[сумма]]*Таблица1[[#This Row],[коэф]])),
IF((G778="4/4"),((база!$I$5*Таблица1[[#This Row],[сумма]]*Таблица1[[#This Row],[коэф]])),
IF(OR(G778="2/4",G778="3/4"),((база!$I$4*Таблица1[[#This Row],[сумма]]*Таблица1[[#This Row],[коэф]])),
IF((G778="5/8"),((база!$J$6*Таблица1[[#This Row],[сумма]]*Таблица1[[#This Row],[коэф]])),
IF((G778="4/8"),((база!$J$5*Таблица1[[#This Row],[сумма]]*Таблица1[[#This Row],[коэф]])),
IF(OR(G778="3/8",G778="2/8"),((база!$J$4*Таблица1[[#This Row],[сумма]]*Таблица1[[#This Row],[коэф]])))))))))))))),
(IF((G778="5/24"),((база!$M$6*Таблица1[[#This Row],[сумма]]*Таблица1[[#This Row],[коэф]])),
IF(OR(G778="4/24",G778="3/24"),((база!$M$5*Таблица1[[#This Row],[сумма]]*Таблица1[[#This Row],[коэф]])),
IF((G778="5/16"),((база!$L$6*Таблица1[[#This Row],[сумма]]*Таблица1[[#This Row],[коэф]])),
IF(OR(G778="4/16",G778="3/16"),((база!$L$5*Таблица1[[#This Row],[сумма]]*Таблица1[[#This Row],[коэф]])),
IF(OR(G778="2/4",G778="3/4",G778="4/4"),((база!$I$5*Таблица1[[#This Row],[сумма]]*Таблица1[[#This Row],[коэф]])),
IF((G778="5/8"),((база!$J$6*Таблица1[[#This Row],[сумма]]*Таблица1[[#This Row],[коэф]])),
IF(OR(G778="4/8",G778="3/8",G778="2/8"),((база!$J$5*Таблица1[[#This Row],[сумма]]*Таблица1[[#This Row],[коэф]])))))))))))</f>
        <v>0</v>
      </c>
      <c r="AP778" s="730" t="b">
        <f>IF(AR778&lt;=3,(IF((G778="5/24"),((база!$M$6*2*Таблица1[[#This Row],[Столбец1]]*Таблица1[[#This Row],[коэф]])),
IF((G778="4/24"),((база!$M$5*2*Таблица1[[#This Row],[Столбец1]]*Таблица1[[#This Row],[коэф]])),
IF((G778="3/24"),((база!$M$4*2*Таблица1[[#This Row],[Столбец1]]*Таблица1[[#This Row],[коэф]])),
IF((G778="5/16"),((база!$L$6*2*Таблица1[[#This Row],[Столбец1]]*Таблица1[[#This Row],[коэф]])),
IF((G778="4/16"),((база!$L$5*2*Таблица1[[#This Row],[Столбец1]]*Таблица1[[#This Row],[коэф]])),
IF((G778="3/16"),((база!$L$4*2*Таблица1[[#This Row],[Столбец1]]*Таблица1[[#This Row],[коэф]])),
IF((G778="4/4"),((база!$I$5*2*Таблица1[[#This Row],[Столбец1]]*Таблица1[[#This Row],[коэф]])),
IF(OR(G778="2/4",G778="3/4"),((база!$I$4*2*Таблица1[[#This Row],[Столбец1]]*Таблица1[[#This Row],[коэф]])),
IF((G778="5/8"),((база!$J$6*2*Таблица1[[#This Row],[Столбец1]]*Таблица1[[#This Row],[коэф]])),
IF((G778="4/8"),((база!$J$5*2*Таблица1[[#This Row],[Столбец1]]*Таблица1[[#This Row],[коэф]])),
IF(OR(G778="3/8",G778="2/8"),((база!$J$4*2*Таблица1[[#This Row],[Столбец1]]*Таблица1[[#This Row],[коэф]])))))))))))))),
(IF((G778="5/24"),((база!$M$6*2*Таблица1[[#This Row],[Столбец1]]*Таблица1[[#This Row],[коэф]])),
IF(OR(G778="4/24",G778="3/24"),((база!$M$5*2*Таблица1[[#This Row],[Столбец1]]*Таблица1[[#This Row],[коэф]])),
IF((G778="5/16"),((база!$L$6*2*Таблица1[[#This Row],[Столбец1]]*Таблица1[[#This Row],[коэф]])),
IF(OR(G778="4/16",G778="3/16"),((база!$L$5*2*Таблица1[[#This Row],[Столбец1]]*Таблица1[[#This Row],[коэф]])),
IF(OR(G778="2/4",G778="3/4",G778="4/4"),((база!$I$5*2*Таблица1[[#This Row],[Столбец1]]*Таблица1[[#This Row],[коэф]])),
IF((G778="5/8"),((база!$J$6*2*Таблица1[[#This Row],[Столбец1]]*Таблица1[[#This Row],[коэф]])),
IF(OR(G778="4/8",G778="3/8",G778="2/8"),((база!$J$5*2*Таблица1[[#This Row],[Столбец1]]*Таблица1[[#This Row],[коэф]])))))))))))</f>
        <v>0</v>
      </c>
      <c r="AQ778" s="712" t="str">
        <f>IFERROR(INDEX(база!T:T, MATCH(F778,база!Q:Q,0)),"")</f>
        <v/>
      </c>
      <c r="AR778" s="208" t="str">
        <f>IFERROR(INDEX(база!D:D, MATCH(F778,база!B:B,0)),"")</f>
        <v/>
      </c>
      <c r="AS778" s="758" t="str">
        <f>IFERROR(INDEX(база!E:E, MATCH(F778,база!B:B,0)),"")</f>
        <v/>
      </c>
    </row>
    <row r="779" spans="1:45" ht="15">
      <c r="A779" s="66" t="str">
        <f t="shared" si="11"/>
        <v>январь</v>
      </c>
      <c r="B779" s="231">
        <v>2024</v>
      </c>
      <c r="C779" s="299"/>
      <c r="D779" s="61"/>
      <c r="E779" s="211"/>
      <c r="F779" s="680"/>
      <c r="G779" s="47"/>
      <c r="H779" s="563"/>
      <c r="I779" s="563"/>
      <c r="J779" s="563"/>
      <c r="K779" s="563"/>
      <c r="L779" s="563"/>
      <c r="M779" s="563"/>
      <c r="N779" s="563"/>
      <c r="O779" s="563"/>
      <c r="P779" s="300"/>
      <c r="Q779" s="563"/>
      <c r="R779" s="563"/>
      <c r="S779" s="563"/>
      <c r="T779" s="563"/>
      <c r="U779" s="563"/>
      <c r="V779" s="563"/>
      <c r="W779" s="563"/>
      <c r="X779" s="563"/>
      <c r="Y779" s="563"/>
      <c r="Z779" s="563"/>
      <c r="AA779" s="563"/>
      <c r="AB779" s="563"/>
      <c r="AC779" s="563"/>
      <c r="AD779" s="48"/>
      <c r="AE779" s="48"/>
      <c r="AF779" s="258"/>
      <c r="AG779" s="48"/>
      <c r="AH779" s="48"/>
      <c r="AI779" s="258"/>
      <c r="AJ779" s="258"/>
      <c r="AK779" s="258"/>
      <c r="AL779" s="258"/>
      <c r="AM779" s="212">
        <f>IF(AQ779=1,SUM(Q779:T779,W779:Z779,AC779:AF779,AI779:AL779),
IF(AQ779=2,SUM(P779,S779:V779,Y779:AB779,AE779:AH779,AK779:AL779),
IF(AQ779=3,SUM(P779:R779,U779:X779,AA779:AD779,AG779:AJ779),SUM(Таблица1[[#This Row],[1]:[31]])-Таблица1[[#This Row],[Столбец1]])))</f>
        <v>0</v>
      </c>
      <c r="AN779" s="778">
        <f t="array" ref="AN779">IF(AQ779=1,SUM(P779,U779:V779,AA779:AB779,AG779:AH779),
IF(AQ779=2,SUM(Q779:R779,W779:X779,AC779:AD779,AI779:AJ779),
IF(AQ779=3,SUM(S779:T779,Y779:Z779,AE779:AF779,AK779:AL779),
SUM(IFERROR(WEEKDAY($H$2:$AL$2,2)&gt;5,)*H779:AL779))))+Таблица1[[#This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79" s="292" t="b">
        <f>IF(AR779&lt;=3,(IF((G779="5/24"),((база!$M$6*Таблица1[[#This Row],[сумма]]*Таблица1[[#This Row],[коэф]])),
IF((G779="4/24"),((база!$M$5*Таблица1[[#This Row],[сумма]]*Таблица1[[#This Row],[коэф]])),
IF((G779="3/24"),((база!$M$4*Таблица1[[#This Row],[сумма]]*Таблица1[[#This Row],[коэф]])),
IF((G779="5/16"),((база!$L$6*Таблица1[[#This Row],[сумма]]*Таблица1[[#This Row],[коэф]])),
IF((G779="4/16"),((база!$L$5*Таблица1[[#This Row],[сумма]]*Таблица1[[#This Row],[коэф]])),
IF((G779="3/16"),((база!$L$4*Таблица1[[#This Row],[сумма]]*Таблица1[[#This Row],[коэф]])),
IF((G779="4/4"),((база!$I$5*Таблица1[[#This Row],[сумма]]*Таблица1[[#This Row],[коэф]])),
IF(OR(G779="2/4",G779="3/4"),((база!$I$4*Таблица1[[#This Row],[сумма]]*Таблица1[[#This Row],[коэф]])),
IF((G779="5/8"),((база!$J$6*Таблица1[[#This Row],[сумма]]*Таблица1[[#This Row],[коэф]])),
IF((G779="4/8"),((база!$J$5*Таблица1[[#This Row],[сумма]]*Таблица1[[#This Row],[коэф]])),
IF(OR(G779="3/8",G779="2/8"),((база!$J$4*Таблица1[[#This Row],[сумма]]*Таблица1[[#This Row],[коэф]])))))))))))))),
(IF((G779="5/24"),((база!$M$6*Таблица1[[#This Row],[сумма]]*Таблица1[[#This Row],[коэф]])),
IF(OR(G779="4/24",G779="3/24"),((база!$M$5*Таблица1[[#This Row],[сумма]]*Таблица1[[#This Row],[коэф]])),
IF((G779="5/16"),((база!$L$6*Таблица1[[#This Row],[сумма]]*Таблица1[[#This Row],[коэф]])),
IF(OR(G779="4/16",G779="3/16"),((база!$L$5*Таблица1[[#This Row],[сумма]]*Таблица1[[#This Row],[коэф]])),
IF(OR(G779="2/4",G779="3/4",G779="4/4"),((база!$I$5*Таблица1[[#This Row],[сумма]]*Таблица1[[#This Row],[коэф]])),
IF((G779="5/8"),((база!$J$6*Таблица1[[#This Row],[сумма]]*Таблица1[[#This Row],[коэф]])),
IF(OR(G779="4/8",G779="3/8",G779="2/8"),((база!$J$5*Таблица1[[#This Row],[сумма]]*Таблица1[[#This Row],[коэф]])))))))))))</f>
        <v>0</v>
      </c>
      <c r="AP779" s="730" t="b">
        <f>IF(AR779&lt;=3,(IF((G779="5/24"),((база!$M$6*2*Таблица1[[#This Row],[Столбец1]]*Таблица1[[#This Row],[коэф]])),
IF((G779="4/24"),((база!$M$5*2*Таблица1[[#This Row],[Столбец1]]*Таблица1[[#This Row],[коэф]])),
IF((G779="3/24"),((база!$M$4*2*Таблица1[[#This Row],[Столбец1]]*Таблица1[[#This Row],[коэф]])),
IF((G779="5/16"),((база!$L$6*2*Таблица1[[#This Row],[Столбец1]]*Таблица1[[#This Row],[коэф]])),
IF((G779="4/16"),((база!$L$5*2*Таблица1[[#This Row],[Столбец1]]*Таблица1[[#This Row],[коэф]])),
IF((G779="3/16"),((база!$L$4*2*Таблица1[[#This Row],[Столбец1]]*Таблица1[[#This Row],[коэф]])),
IF((G779="4/4"),((база!$I$5*2*Таблица1[[#This Row],[Столбец1]]*Таблица1[[#This Row],[коэф]])),
IF(OR(G779="2/4",G779="3/4"),((база!$I$4*2*Таблица1[[#This Row],[Столбец1]]*Таблица1[[#This Row],[коэф]])),
IF((G779="5/8"),((база!$J$6*2*Таблица1[[#This Row],[Столбец1]]*Таблица1[[#This Row],[коэф]])),
IF((G779="4/8"),((база!$J$5*2*Таблица1[[#This Row],[Столбец1]]*Таблица1[[#This Row],[коэф]])),
IF(OR(G779="3/8",G779="2/8"),((база!$J$4*2*Таблица1[[#This Row],[Столбец1]]*Таблица1[[#This Row],[коэф]])))))))))))))),
(IF((G779="5/24"),((база!$M$6*2*Таблица1[[#This Row],[Столбец1]]*Таблица1[[#This Row],[коэф]])),
IF(OR(G779="4/24",G779="3/24"),((база!$M$5*2*Таблица1[[#This Row],[Столбец1]]*Таблица1[[#This Row],[коэф]])),
IF((G779="5/16"),((база!$L$6*2*Таблица1[[#This Row],[Столбец1]]*Таблица1[[#This Row],[коэф]])),
IF(OR(G779="4/16",G779="3/16"),((база!$L$5*2*Таблица1[[#This Row],[Столбец1]]*Таблица1[[#This Row],[коэф]])),
IF(OR(G779="2/4",G779="3/4",G779="4/4"),((база!$I$5*2*Таблица1[[#This Row],[Столбец1]]*Таблица1[[#This Row],[коэф]])),
IF((G779="5/8"),((база!$J$6*2*Таблица1[[#This Row],[Столбец1]]*Таблица1[[#This Row],[коэф]])),
IF(OR(G779="4/8",G779="3/8",G779="2/8"),((база!$J$5*2*Таблица1[[#This Row],[Столбец1]]*Таблица1[[#This Row],[коэф]])))))))))))</f>
        <v>0</v>
      </c>
      <c r="AQ779" s="712" t="str">
        <f>IFERROR(INDEX(база!T:T, MATCH(F779,база!Q:Q,0)),"")</f>
        <v/>
      </c>
      <c r="AR779" s="208" t="str">
        <f>IFERROR(INDEX(база!D:D, MATCH(F779,база!B:B,0)),"")</f>
        <v/>
      </c>
      <c r="AS779" s="758" t="str">
        <f>IFERROR(INDEX(база!E:E, MATCH(F779,база!B:B,0)),"")</f>
        <v/>
      </c>
    </row>
    <row r="780" spans="1:45" ht="15">
      <c r="A780" s="66" t="str">
        <f t="shared" si="11"/>
        <v>январь</v>
      </c>
      <c r="B780" s="231">
        <v>2024</v>
      </c>
      <c r="C780" s="299"/>
      <c r="D780" s="61"/>
      <c r="E780" s="211"/>
      <c r="F780" s="680"/>
      <c r="G780" s="47"/>
      <c r="H780" s="563"/>
      <c r="I780" s="563"/>
      <c r="J780" s="563"/>
      <c r="K780" s="563"/>
      <c r="L780" s="563"/>
      <c r="M780" s="563"/>
      <c r="N780" s="563"/>
      <c r="O780" s="563"/>
      <c r="P780" s="300"/>
      <c r="Q780" s="563"/>
      <c r="R780" s="563"/>
      <c r="S780" s="563"/>
      <c r="T780" s="563"/>
      <c r="U780" s="563"/>
      <c r="V780" s="563"/>
      <c r="W780" s="563"/>
      <c r="X780" s="563"/>
      <c r="Y780" s="563"/>
      <c r="Z780" s="563"/>
      <c r="AA780" s="563"/>
      <c r="AB780" s="563"/>
      <c r="AC780" s="563"/>
      <c r="AD780" s="48"/>
      <c r="AE780" s="48"/>
      <c r="AF780" s="258"/>
      <c r="AG780" s="48"/>
      <c r="AH780" s="48"/>
      <c r="AI780" s="48"/>
      <c r="AJ780" s="48"/>
      <c r="AK780" s="48"/>
      <c r="AL780" s="51"/>
      <c r="AM780" s="212">
        <f>IF(AQ780=1,SUM(Q780:T780,W780:Z780,AC780:AF780,AI780:AL780),
IF(AQ780=2,SUM(P780,S780:V780,Y780:AB780,AE780:AH780,AK780:AL780),
IF(AQ780=3,SUM(P780:R780,U780:X780,AA780:AD780,AG780:AJ780),SUM(Таблица1[[#This Row],[1]:[31]])-Таблица1[[#This Row],[Столбец1]])))</f>
        <v>0</v>
      </c>
      <c r="AN780" s="778">
        <f t="array" ref="AN780">IF(AQ780=1,SUM(P780,U780:V780,AA780:AB780,AG780:AH780),
IF(AQ780=2,SUM(Q780:R780,W780:X780,AC780:AD780,AI780:AJ780),
IF(AQ780=3,SUM(S780:T780,Y780:Z780,AE780:AF780,AK780:AL780),
SUM(IFERROR(WEEKDAY($H$2:$AL$2,2)&gt;5,)*H780:AL780))))+Таблица1[[#This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80" s="292" t="b">
        <f>IF(AR780&lt;=3,(IF((G780="5/24"),((база!$M$6*Таблица1[[#This Row],[сумма]]*Таблица1[[#This Row],[коэф]])),
IF((G780="4/24"),((база!$M$5*Таблица1[[#This Row],[сумма]]*Таблица1[[#This Row],[коэф]])),
IF((G780="3/24"),((база!$M$4*Таблица1[[#This Row],[сумма]]*Таблица1[[#This Row],[коэф]])),
IF((G780="5/16"),((база!$L$6*Таблица1[[#This Row],[сумма]]*Таблица1[[#This Row],[коэф]])),
IF((G780="4/16"),((база!$L$5*Таблица1[[#This Row],[сумма]]*Таблица1[[#This Row],[коэф]])),
IF((G780="3/16"),((база!$L$4*Таблица1[[#This Row],[сумма]]*Таблица1[[#This Row],[коэф]])),
IF((G780="4/4"),((база!$I$5*Таблица1[[#This Row],[сумма]]*Таблица1[[#This Row],[коэф]])),
IF(OR(G780="2/4",G780="3/4"),((база!$I$4*Таблица1[[#This Row],[сумма]]*Таблица1[[#This Row],[коэф]])),
IF((G780="5/8"),((база!$J$6*Таблица1[[#This Row],[сумма]]*Таблица1[[#This Row],[коэф]])),
IF((G780="4/8"),((база!$J$5*Таблица1[[#This Row],[сумма]]*Таблица1[[#This Row],[коэф]])),
IF(OR(G780="3/8",G780="2/8"),((база!$J$4*Таблица1[[#This Row],[сумма]]*Таблица1[[#This Row],[коэф]])))))))))))))),
(IF((G780="5/24"),((база!$M$6*Таблица1[[#This Row],[сумма]]*Таблица1[[#This Row],[коэф]])),
IF(OR(G780="4/24",G780="3/24"),((база!$M$5*Таблица1[[#This Row],[сумма]]*Таблица1[[#This Row],[коэф]])),
IF((G780="5/16"),((база!$L$6*Таблица1[[#This Row],[сумма]]*Таблица1[[#This Row],[коэф]])),
IF(OR(G780="4/16",G780="3/16"),((база!$L$5*Таблица1[[#This Row],[сумма]]*Таблица1[[#This Row],[коэф]])),
IF(OR(G780="2/4",G780="3/4",G780="4/4"),((база!$I$5*Таблица1[[#This Row],[сумма]]*Таблица1[[#This Row],[коэф]])),
IF((G780="5/8"),((база!$J$6*Таблица1[[#This Row],[сумма]]*Таблица1[[#This Row],[коэф]])),
IF(OR(G780="4/8",G780="3/8",G780="2/8"),((база!$J$5*Таблица1[[#This Row],[сумма]]*Таблица1[[#This Row],[коэф]])))))))))))</f>
        <v>0</v>
      </c>
      <c r="AP780" s="730" t="b">
        <f>IF(AR780&lt;=3,(IF((G780="5/24"),((база!$M$6*2*Таблица1[[#This Row],[Столбец1]]*Таблица1[[#This Row],[коэф]])),
IF((G780="4/24"),((база!$M$5*2*Таблица1[[#This Row],[Столбец1]]*Таблица1[[#This Row],[коэф]])),
IF((G780="3/24"),((база!$M$4*2*Таблица1[[#This Row],[Столбец1]]*Таблица1[[#This Row],[коэф]])),
IF((G780="5/16"),((база!$L$6*2*Таблица1[[#This Row],[Столбец1]]*Таблица1[[#This Row],[коэф]])),
IF((G780="4/16"),((база!$L$5*2*Таблица1[[#This Row],[Столбец1]]*Таблица1[[#This Row],[коэф]])),
IF((G780="3/16"),((база!$L$4*2*Таблица1[[#This Row],[Столбец1]]*Таблица1[[#This Row],[коэф]])),
IF((G780="4/4"),((база!$I$5*2*Таблица1[[#This Row],[Столбец1]]*Таблица1[[#This Row],[коэф]])),
IF(OR(G780="2/4",G780="3/4"),((база!$I$4*2*Таблица1[[#This Row],[Столбец1]]*Таблица1[[#This Row],[коэф]])),
IF((G780="5/8"),((база!$J$6*2*Таблица1[[#This Row],[Столбец1]]*Таблица1[[#This Row],[коэф]])),
IF((G780="4/8"),((база!$J$5*2*Таблица1[[#This Row],[Столбец1]]*Таблица1[[#This Row],[коэф]])),
IF(OR(G780="3/8",G780="2/8"),((база!$J$4*2*Таблица1[[#This Row],[Столбец1]]*Таблица1[[#This Row],[коэф]])))))))))))))),
(IF((G780="5/24"),((база!$M$6*2*Таблица1[[#This Row],[Столбец1]]*Таблица1[[#This Row],[коэф]])),
IF(OR(G780="4/24",G780="3/24"),((база!$M$5*2*Таблица1[[#This Row],[Столбец1]]*Таблица1[[#This Row],[коэф]])),
IF((G780="5/16"),((база!$L$6*2*Таблица1[[#This Row],[Столбец1]]*Таблица1[[#This Row],[коэф]])),
IF(OR(G780="4/16",G780="3/16"),((база!$L$5*2*Таблица1[[#This Row],[Столбец1]]*Таблица1[[#This Row],[коэф]])),
IF(OR(G780="2/4",G780="3/4",G780="4/4"),((база!$I$5*2*Таблица1[[#This Row],[Столбец1]]*Таблица1[[#This Row],[коэф]])),
IF((G780="5/8"),((база!$J$6*2*Таблица1[[#This Row],[Столбец1]]*Таблица1[[#This Row],[коэф]])),
IF(OR(G780="4/8",G780="3/8",G780="2/8"),((база!$J$5*2*Таблица1[[#This Row],[Столбец1]]*Таблица1[[#This Row],[коэф]])))))))))))</f>
        <v>0</v>
      </c>
      <c r="AQ780" s="712" t="str">
        <f>IFERROR(INDEX(база!T:T, MATCH(F780,база!Q:Q,0)),"")</f>
        <v/>
      </c>
      <c r="AR780" s="208" t="str">
        <f>IFERROR(INDEX(база!D:D, MATCH(F780,база!B:B,0)),"")</f>
        <v/>
      </c>
      <c r="AS780" s="758" t="str">
        <f>IFERROR(INDEX(база!E:E, MATCH(F780,база!B:B,0)),"")</f>
        <v/>
      </c>
    </row>
    <row r="781" spans="1:45" ht="15">
      <c r="A781" s="66" t="str">
        <f t="shared" si="11"/>
        <v>январь</v>
      </c>
      <c r="B781" s="231">
        <v>2024</v>
      </c>
      <c r="C781" s="299"/>
      <c r="D781" s="61"/>
      <c r="E781" s="211"/>
      <c r="F781" s="680"/>
      <c r="G781" s="47"/>
      <c r="H781" s="563"/>
      <c r="I781" s="563"/>
      <c r="J781" s="563"/>
      <c r="K781" s="563"/>
      <c r="L781" s="563"/>
      <c r="M781" s="563"/>
      <c r="N781" s="563"/>
      <c r="O781" s="563"/>
      <c r="P781" s="300"/>
      <c r="Q781" s="563"/>
      <c r="R781" s="563"/>
      <c r="S781" s="563"/>
      <c r="T781" s="563"/>
      <c r="U781" s="563"/>
      <c r="V781" s="563"/>
      <c r="W781" s="563"/>
      <c r="X781" s="563"/>
      <c r="Y781" s="563"/>
      <c r="Z781" s="563"/>
      <c r="AA781" s="563"/>
      <c r="AB781" s="563"/>
      <c r="AC781" s="563"/>
      <c r="AD781" s="48"/>
      <c r="AE781" s="48"/>
      <c r="AF781" s="258"/>
      <c r="AG781" s="48"/>
      <c r="AH781" s="48"/>
      <c r="AI781" s="258"/>
      <c r="AJ781" s="258"/>
      <c r="AK781" s="258"/>
      <c r="AL781" s="258"/>
      <c r="AM781" s="212">
        <f>IF(AQ781=1,SUM(Q781:T781,W781:Z781,AC781:AF781,AI781:AL781),
IF(AQ781=2,SUM(P781,S781:V781,Y781:AB781,AE781:AH781,AK781:AL781),
IF(AQ781=3,SUM(P781:R781,U781:X781,AA781:AD781,AG781:AJ781),SUM(Таблица1[[#This Row],[1]:[31]])-Таблица1[[#This Row],[Столбец1]])))</f>
        <v>0</v>
      </c>
      <c r="AN781" s="778">
        <f t="array" ref="AN781">IF(AQ781=1,SUM(P781,U781:V781,AA781:AB781,AG781:AH781),
IF(AQ781=2,SUM(Q781:R781,W781:X781,AC781:AD781,AI781:AJ781),
IF(AQ781=3,SUM(S781:T781,Y781:Z781,AE781:AF781,AK781:AL781),
SUM(IFERROR(WEEKDAY($H$2:$AL$2,2)&gt;5,)*H781:AL781))))+Таблица1[[#This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81" s="292" t="b">
        <f>IF(AR781&lt;=3,(IF((G781="5/24"),((база!$M$6*Таблица1[[#This Row],[сумма]]*Таблица1[[#This Row],[коэф]])),
IF((G781="4/24"),((база!$M$5*Таблица1[[#This Row],[сумма]]*Таблица1[[#This Row],[коэф]])),
IF((G781="3/24"),((база!$M$4*Таблица1[[#This Row],[сумма]]*Таблица1[[#This Row],[коэф]])),
IF((G781="5/16"),((база!$L$6*Таблица1[[#This Row],[сумма]]*Таблица1[[#This Row],[коэф]])),
IF((G781="4/16"),((база!$L$5*Таблица1[[#This Row],[сумма]]*Таблица1[[#This Row],[коэф]])),
IF((G781="3/16"),((база!$L$4*Таблица1[[#This Row],[сумма]]*Таблица1[[#This Row],[коэф]])),
IF((G781="4/4"),((база!$I$5*Таблица1[[#This Row],[сумма]]*Таблица1[[#This Row],[коэф]])),
IF(OR(G781="2/4",G781="3/4"),((база!$I$4*Таблица1[[#This Row],[сумма]]*Таблица1[[#This Row],[коэф]])),
IF((G781="5/8"),((база!$J$6*Таблица1[[#This Row],[сумма]]*Таблица1[[#This Row],[коэф]])),
IF((G781="4/8"),((база!$J$5*Таблица1[[#This Row],[сумма]]*Таблица1[[#This Row],[коэф]])),
IF(OR(G781="3/8",G781="2/8"),((база!$J$4*Таблица1[[#This Row],[сумма]]*Таблица1[[#This Row],[коэф]])))))))))))))),
(IF((G781="5/24"),((база!$M$6*Таблица1[[#This Row],[сумма]]*Таблица1[[#This Row],[коэф]])),
IF(OR(G781="4/24",G781="3/24"),((база!$M$5*Таблица1[[#This Row],[сумма]]*Таблица1[[#This Row],[коэф]])),
IF((G781="5/16"),((база!$L$6*Таблица1[[#This Row],[сумма]]*Таблица1[[#This Row],[коэф]])),
IF(OR(G781="4/16",G781="3/16"),((база!$L$5*Таблица1[[#This Row],[сумма]]*Таблица1[[#This Row],[коэф]])),
IF(OR(G781="2/4",G781="3/4",G781="4/4"),((база!$I$5*Таблица1[[#This Row],[сумма]]*Таблица1[[#This Row],[коэф]])),
IF((G781="5/8"),((база!$J$6*Таблица1[[#This Row],[сумма]]*Таблица1[[#This Row],[коэф]])),
IF(OR(G781="4/8",G781="3/8",G781="2/8"),((база!$J$5*Таблица1[[#This Row],[сумма]]*Таблица1[[#This Row],[коэф]])))))))))))</f>
        <v>0</v>
      </c>
      <c r="AP781" s="730" t="b">
        <f>IF(AR781&lt;=3,(IF((G781="5/24"),((база!$M$6*2*Таблица1[[#This Row],[Столбец1]]*Таблица1[[#This Row],[коэф]])),
IF((G781="4/24"),((база!$M$5*2*Таблица1[[#This Row],[Столбец1]]*Таблица1[[#This Row],[коэф]])),
IF((G781="3/24"),((база!$M$4*2*Таблица1[[#This Row],[Столбец1]]*Таблица1[[#This Row],[коэф]])),
IF((G781="5/16"),((база!$L$6*2*Таблица1[[#This Row],[Столбец1]]*Таблица1[[#This Row],[коэф]])),
IF((G781="4/16"),((база!$L$5*2*Таблица1[[#This Row],[Столбец1]]*Таблица1[[#This Row],[коэф]])),
IF((G781="3/16"),((база!$L$4*2*Таблица1[[#This Row],[Столбец1]]*Таблица1[[#This Row],[коэф]])),
IF((G781="4/4"),((база!$I$5*2*Таблица1[[#This Row],[Столбец1]]*Таблица1[[#This Row],[коэф]])),
IF(OR(G781="2/4",G781="3/4"),((база!$I$4*2*Таблица1[[#This Row],[Столбец1]]*Таблица1[[#This Row],[коэф]])),
IF((G781="5/8"),((база!$J$6*2*Таблица1[[#This Row],[Столбец1]]*Таблица1[[#This Row],[коэф]])),
IF((G781="4/8"),((база!$J$5*2*Таблица1[[#This Row],[Столбец1]]*Таблица1[[#This Row],[коэф]])),
IF(OR(G781="3/8",G781="2/8"),((база!$J$4*2*Таблица1[[#This Row],[Столбец1]]*Таблица1[[#This Row],[коэф]])))))))))))))),
(IF((G781="5/24"),((база!$M$6*2*Таблица1[[#This Row],[Столбец1]]*Таблица1[[#This Row],[коэф]])),
IF(OR(G781="4/24",G781="3/24"),((база!$M$5*2*Таблица1[[#This Row],[Столбец1]]*Таблица1[[#This Row],[коэф]])),
IF((G781="5/16"),((база!$L$6*2*Таблица1[[#This Row],[Столбец1]]*Таблица1[[#This Row],[коэф]])),
IF(OR(G781="4/16",G781="3/16"),((база!$L$5*2*Таблица1[[#This Row],[Столбец1]]*Таблица1[[#This Row],[коэф]])),
IF(OR(G781="2/4",G781="3/4",G781="4/4"),((база!$I$5*2*Таблица1[[#This Row],[Столбец1]]*Таблица1[[#This Row],[коэф]])),
IF((G781="5/8"),((база!$J$6*2*Таблица1[[#This Row],[Столбец1]]*Таблица1[[#This Row],[коэф]])),
IF(OR(G781="4/8",G781="3/8",G781="2/8"),((база!$J$5*2*Таблица1[[#This Row],[Столбец1]]*Таблица1[[#This Row],[коэф]])))))))))))</f>
        <v>0</v>
      </c>
      <c r="AQ781" s="712" t="str">
        <f>IFERROR(INDEX(база!T:T, MATCH(F781,база!Q:Q,0)),"")</f>
        <v/>
      </c>
      <c r="AR781" s="208" t="str">
        <f>IFERROR(INDEX(база!D:D, MATCH(F781,база!B:B,0)),"")</f>
        <v/>
      </c>
      <c r="AS781" s="758" t="str">
        <f>IFERROR(INDEX(база!E:E, MATCH(F781,база!B:B,0)),"")</f>
        <v/>
      </c>
    </row>
    <row r="782" spans="1:45" ht="15">
      <c r="A782" s="66" t="str">
        <f t="shared" si="11"/>
        <v>январь</v>
      </c>
      <c r="B782" s="231">
        <v>2024</v>
      </c>
      <c r="C782" s="299"/>
      <c r="D782" s="61"/>
      <c r="E782" s="211"/>
      <c r="F782" s="680"/>
      <c r="G782" s="47"/>
      <c r="H782" s="563"/>
      <c r="I782" s="563"/>
      <c r="J782" s="563"/>
      <c r="K782" s="563"/>
      <c r="L782" s="563"/>
      <c r="M782" s="563"/>
      <c r="N782" s="563"/>
      <c r="O782" s="563"/>
      <c r="P782" s="300"/>
      <c r="Q782" s="563"/>
      <c r="R782" s="563"/>
      <c r="S782" s="563"/>
      <c r="T782" s="563"/>
      <c r="U782" s="563"/>
      <c r="V782" s="563"/>
      <c r="W782" s="563"/>
      <c r="X782" s="563"/>
      <c r="Y782" s="563"/>
      <c r="Z782" s="563"/>
      <c r="AA782" s="563"/>
      <c r="AB782" s="563"/>
      <c r="AC782" s="563"/>
      <c r="AD782" s="48"/>
      <c r="AE782" s="48"/>
      <c r="AF782" s="258"/>
      <c r="AG782" s="48"/>
      <c r="AH782" s="48"/>
      <c r="AI782" s="48"/>
      <c r="AJ782" s="48"/>
      <c r="AK782" s="48"/>
      <c r="AL782" s="51"/>
      <c r="AM782" s="212">
        <f>IF(AQ782=1,SUM(Q782:T782,W782:Z782,AC782:AF782,AI782:AL782),
IF(AQ782=2,SUM(P782,S782:V782,Y782:AB782,AE782:AH782,AK782:AL782),
IF(AQ782=3,SUM(P782:R782,U782:X782,AA782:AD782,AG782:AJ782),SUM(Таблица1[[#This Row],[1]:[31]])-Таблица1[[#This Row],[Столбец1]])))</f>
        <v>0</v>
      </c>
      <c r="AN782" s="778">
        <f t="array" ref="AN782">IF(AQ782=1,SUM(P782,U782:V782,AA782:AB782,AG782:AH782),
IF(AQ782=2,SUM(Q782:R782,W782:X782,AC782:AD782,AI782:AJ782),
IF(AQ782=3,SUM(S782:T782,Y782:Z782,AE782:AF782,AK782:AL782),
SUM(IFERROR(WEEKDAY($H$2:$AL$2,2)&gt;5,)*H782:AL782))))+Таблица1[[#This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82" s="292" t="b">
        <f>IF(AR782&lt;=3,(IF((G782="5/24"),((база!$M$6*Таблица1[[#This Row],[сумма]]*Таблица1[[#This Row],[коэф]])),
IF((G782="4/24"),((база!$M$5*Таблица1[[#This Row],[сумма]]*Таблица1[[#This Row],[коэф]])),
IF((G782="3/24"),((база!$M$4*Таблица1[[#This Row],[сумма]]*Таблица1[[#This Row],[коэф]])),
IF((G782="5/16"),((база!$L$6*Таблица1[[#This Row],[сумма]]*Таблица1[[#This Row],[коэф]])),
IF((G782="4/16"),((база!$L$5*Таблица1[[#This Row],[сумма]]*Таблица1[[#This Row],[коэф]])),
IF((G782="3/16"),((база!$L$4*Таблица1[[#This Row],[сумма]]*Таблица1[[#This Row],[коэф]])),
IF((G782="4/4"),((база!$I$5*Таблица1[[#This Row],[сумма]]*Таблица1[[#This Row],[коэф]])),
IF(OR(G782="2/4",G782="3/4"),((база!$I$4*Таблица1[[#This Row],[сумма]]*Таблица1[[#This Row],[коэф]])),
IF((G782="5/8"),((база!$J$6*Таблица1[[#This Row],[сумма]]*Таблица1[[#This Row],[коэф]])),
IF((G782="4/8"),((база!$J$5*Таблица1[[#This Row],[сумма]]*Таблица1[[#This Row],[коэф]])),
IF(OR(G782="3/8",G782="2/8"),((база!$J$4*Таблица1[[#This Row],[сумма]]*Таблица1[[#This Row],[коэф]])))))))))))))),
(IF((G782="5/24"),((база!$M$6*Таблица1[[#This Row],[сумма]]*Таблица1[[#This Row],[коэф]])),
IF(OR(G782="4/24",G782="3/24"),((база!$M$5*Таблица1[[#This Row],[сумма]]*Таблица1[[#This Row],[коэф]])),
IF((G782="5/16"),((база!$L$6*Таблица1[[#This Row],[сумма]]*Таблица1[[#This Row],[коэф]])),
IF(OR(G782="4/16",G782="3/16"),((база!$L$5*Таблица1[[#This Row],[сумма]]*Таблица1[[#This Row],[коэф]])),
IF(OR(G782="2/4",G782="3/4",G782="4/4"),((база!$I$5*Таблица1[[#This Row],[сумма]]*Таблица1[[#This Row],[коэф]])),
IF((G782="5/8"),((база!$J$6*Таблица1[[#This Row],[сумма]]*Таблица1[[#This Row],[коэф]])),
IF(OR(G782="4/8",G782="3/8",G782="2/8"),((база!$J$5*Таблица1[[#This Row],[сумма]]*Таблица1[[#This Row],[коэф]])))))))))))</f>
        <v>0</v>
      </c>
      <c r="AP782" s="730" t="b">
        <f>IF(AR782&lt;=3,(IF((G782="5/24"),((база!$M$6*2*Таблица1[[#This Row],[Столбец1]]*Таблица1[[#This Row],[коэф]])),
IF((G782="4/24"),((база!$M$5*2*Таблица1[[#This Row],[Столбец1]]*Таблица1[[#This Row],[коэф]])),
IF((G782="3/24"),((база!$M$4*2*Таблица1[[#This Row],[Столбец1]]*Таблица1[[#This Row],[коэф]])),
IF((G782="5/16"),((база!$L$6*2*Таблица1[[#This Row],[Столбец1]]*Таблица1[[#This Row],[коэф]])),
IF((G782="4/16"),((база!$L$5*2*Таблица1[[#This Row],[Столбец1]]*Таблица1[[#This Row],[коэф]])),
IF((G782="3/16"),((база!$L$4*2*Таблица1[[#This Row],[Столбец1]]*Таблица1[[#This Row],[коэф]])),
IF((G782="4/4"),((база!$I$5*2*Таблица1[[#This Row],[Столбец1]]*Таблица1[[#This Row],[коэф]])),
IF(OR(G782="2/4",G782="3/4"),((база!$I$4*2*Таблица1[[#This Row],[Столбец1]]*Таблица1[[#This Row],[коэф]])),
IF((G782="5/8"),((база!$J$6*2*Таблица1[[#This Row],[Столбец1]]*Таблица1[[#This Row],[коэф]])),
IF((G782="4/8"),((база!$J$5*2*Таблица1[[#This Row],[Столбец1]]*Таблица1[[#This Row],[коэф]])),
IF(OR(G782="3/8",G782="2/8"),((база!$J$4*2*Таблица1[[#This Row],[Столбец1]]*Таблица1[[#This Row],[коэф]])))))))))))))),
(IF((G782="5/24"),((база!$M$6*2*Таблица1[[#This Row],[Столбец1]]*Таблица1[[#This Row],[коэф]])),
IF(OR(G782="4/24",G782="3/24"),((база!$M$5*2*Таблица1[[#This Row],[Столбец1]]*Таблица1[[#This Row],[коэф]])),
IF((G782="5/16"),((база!$L$6*2*Таблица1[[#This Row],[Столбец1]]*Таблица1[[#This Row],[коэф]])),
IF(OR(G782="4/16",G782="3/16"),((база!$L$5*2*Таблица1[[#This Row],[Столбец1]]*Таблица1[[#This Row],[коэф]])),
IF(OR(G782="2/4",G782="3/4",G782="4/4"),((база!$I$5*2*Таблица1[[#This Row],[Столбец1]]*Таблица1[[#This Row],[коэф]])),
IF((G782="5/8"),((база!$J$6*2*Таблица1[[#This Row],[Столбец1]]*Таблица1[[#This Row],[коэф]])),
IF(OR(G782="4/8",G782="3/8",G782="2/8"),((база!$J$5*2*Таблица1[[#This Row],[Столбец1]]*Таблица1[[#This Row],[коэф]])))))))))))</f>
        <v>0</v>
      </c>
      <c r="AQ782" s="712" t="str">
        <f>IFERROR(INDEX(база!T:T, MATCH(F782,база!Q:Q,0)),"")</f>
        <v/>
      </c>
      <c r="AR782" s="208" t="str">
        <f>IFERROR(INDEX(база!D:D, MATCH(F782,база!B:B,0)),"")</f>
        <v/>
      </c>
      <c r="AS782" s="758" t="str">
        <f>IFERROR(INDEX(база!E:E, MATCH(F782,база!B:B,0)),"")</f>
        <v/>
      </c>
    </row>
    <row r="783" spans="1:45" ht="15">
      <c r="A783" s="66" t="str">
        <f t="shared" si="11"/>
        <v>январь</v>
      </c>
      <c r="B783" s="231">
        <v>2024</v>
      </c>
      <c r="C783" s="299"/>
      <c r="D783" s="61"/>
      <c r="E783" s="211"/>
      <c r="F783" s="680"/>
      <c r="G783" s="47"/>
      <c r="H783" s="563"/>
      <c r="I783" s="563"/>
      <c r="J783" s="563"/>
      <c r="K783" s="563"/>
      <c r="L783" s="563"/>
      <c r="M783" s="563"/>
      <c r="N783" s="563"/>
      <c r="O783" s="563"/>
      <c r="P783" s="300"/>
      <c r="Q783" s="563"/>
      <c r="R783" s="563"/>
      <c r="S783" s="563"/>
      <c r="T783" s="563"/>
      <c r="U783" s="563"/>
      <c r="V783" s="563"/>
      <c r="W783" s="563"/>
      <c r="X783" s="563"/>
      <c r="Y783" s="563"/>
      <c r="Z783" s="563"/>
      <c r="AA783" s="563"/>
      <c r="AB783" s="563"/>
      <c r="AC783" s="563"/>
      <c r="AD783" s="48"/>
      <c r="AE783" s="48"/>
      <c r="AF783" s="258"/>
      <c r="AG783" s="48"/>
      <c r="AH783" s="48"/>
      <c r="AI783" s="258"/>
      <c r="AJ783" s="258"/>
      <c r="AK783" s="258"/>
      <c r="AL783" s="258"/>
      <c r="AM783" s="212">
        <f>IF(AQ783=1,SUM(Q783:T783,W783:Z783,AC783:AF783,AI783:AL783),
IF(AQ783=2,SUM(P783,S783:V783,Y783:AB783,AE783:AH783,AK783:AL783),
IF(AQ783=3,SUM(P783:R783,U783:X783,AA783:AD783,AG783:AJ783),SUM(Таблица1[[#This Row],[1]:[31]])-Таблица1[[#This Row],[Столбец1]])))</f>
        <v>0</v>
      </c>
      <c r="AN783" s="778">
        <f t="array" ref="AN783">IF(AQ783=1,SUM(P783,U783:V783,AA783:AB783,AG783:AH783),
IF(AQ783=2,SUM(Q783:R783,W783:X783,AC783:AD783,AI783:AJ783),
IF(AQ783=3,SUM(S783:T783,Y783:Z783,AE783:AF783,AK783:AL783),
SUM(IFERROR(WEEKDAY($H$2:$AL$2,2)&gt;5,)*H783:AL783))))+Таблица1[[#This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83" s="292" t="b">
        <f>IF(AR783&lt;=3,(IF((G783="5/24"),((база!$M$6*Таблица1[[#This Row],[сумма]]*Таблица1[[#This Row],[коэф]])),
IF((G783="4/24"),((база!$M$5*Таблица1[[#This Row],[сумма]]*Таблица1[[#This Row],[коэф]])),
IF((G783="3/24"),((база!$M$4*Таблица1[[#This Row],[сумма]]*Таблица1[[#This Row],[коэф]])),
IF((G783="5/16"),((база!$L$6*Таблица1[[#This Row],[сумма]]*Таблица1[[#This Row],[коэф]])),
IF((G783="4/16"),((база!$L$5*Таблица1[[#This Row],[сумма]]*Таблица1[[#This Row],[коэф]])),
IF((G783="3/16"),((база!$L$4*Таблица1[[#This Row],[сумма]]*Таблица1[[#This Row],[коэф]])),
IF((G783="4/4"),((база!$I$5*Таблица1[[#This Row],[сумма]]*Таблица1[[#This Row],[коэф]])),
IF(OR(G783="2/4",G783="3/4"),((база!$I$4*Таблица1[[#This Row],[сумма]]*Таблица1[[#This Row],[коэф]])),
IF((G783="5/8"),((база!$J$6*Таблица1[[#This Row],[сумма]]*Таблица1[[#This Row],[коэф]])),
IF((G783="4/8"),((база!$J$5*Таблица1[[#This Row],[сумма]]*Таблица1[[#This Row],[коэф]])),
IF(OR(G783="3/8",G783="2/8"),((база!$J$4*Таблица1[[#This Row],[сумма]]*Таблица1[[#This Row],[коэф]])))))))))))))),
(IF((G783="5/24"),((база!$M$6*Таблица1[[#This Row],[сумма]]*Таблица1[[#This Row],[коэф]])),
IF(OR(G783="4/24",G783="3/24"),((база!$M$5*Таблица1[[#This Row],[сумма]]*Таблица1[[#This Row],[коэф]])),
IF((G783="5/16"),((база!$L$6*Таблица1[[#This Row],[сумма]]*Таблица1[[#This Row],[коэф]])),
IF(OR(G783="4/16",G783="3/16"),((база!$L$5*Таблица1[[#This Row],[сумма]]*Таблица1[[#This Row],[коэф]])),
IF(OR(G783="2/4",G783="3/4",G783="4/4"),((база!$I$5*Таблица1[[#This Row],[сумма]]*Таблица1[[#This Row],[коэф]])),
IF((G783="5/8"),((база!$J$6*Таблица1[[#This Row],[сумма]]*Таблица1[[#This Row],[коэф]])),
IF(OR(G783="4/8",G783="3/8",G783="2/8"),((база!$J$5*Таблица1[[#This Row],[сумма]]*Таблица1[[#This Row],[коэф]])))))))))))</f>
        <v>0</v>
      </c>
      <c r="AP783" s="730" t="b">
        <f>IF(AR783&lt;=3,(IF((G783="5/24"),((база!$M$6*2*Таблица1[[#This Row],[Столбец1]]*Таблица1[[#This Row],[коэф]])),
IF((G783="4/24"),((база!$M$5*2*Таблица1[[#This Row],[Столбец1]]*Таблица1[[#This Row],[коэф]])),
IF((G783="3/24"),((база!$M$4*2*Таблица1[[#This Row],[Столбец1]]*Таблица1[[#This Row],[коэф]])),
IF((G783="5/16"),((база!$L$6*2*Таблица1[[#This Row],[Столбец1]]*Таблица1[[#This Row],[коэф]])),
IF((G783="4/16"),((база!$L$5*2*Таблица1[[#This Row],[Столбец1]]*Таблица1[[#This Row],[коэф]])),
IF((G783="3/16"),((база!$L$4*2*Таблица1[[#This Row],[Столбец1]]*Таблица1[[#This Row],[коэф]])),
IF((G783="4/4"),((база!$I$5*2*Таблица1[[#This Row],[Столбец1]]*Таблица1[[#This Row],[коэф]])),
IF(OR(G783="2/4",G783="3/4"),((база!$I$4*2*Таблица1[[#This Row],[Столбец1]]*Таблица1[[#This Row],[коэф]])),
IF((G783="5/8"),((база!$J$6*2*Таблица1[[#This Row],[Столбец1]]*Таблица1[[#This Row],[коэф]])),
IF((G783="4/8"),((база!$J$5*2*Таблица1[[#This Row],[Столбец1]]*Таблица1[[#This Row],[коэф]])),
IF(OR(G783="3/8",G783="2/8"),((база!$J$4*2*Таблица1[[#This Row],[Столбец1]]*Таблица1[[#This Row],[коэф]])))))))))))))),
(IF((G783="5/24"),((база!$M$6*2*Таблица1[[#This Row],[Столбец1]]*Таблица1[[#This Row],[коэф]])),
IF(OR(G783="4/24",G783="3/24"),((база!$M$5*2*Таблица1[[#This Row],[Столбец1]]*Таблица1[[#This Row],[коэф]])),
IF((G783="5/16"),((база!$L$6*2*Таблица1[[#This Row],[Столбец1]]*Таблица1[[#This Row],[коэф]])),
IF(OR(G783="4/16",G783="3/16"),((база!$L$5*2*Таблица1[[#This Row],[Столбец1]]*Таблица1[[#This Row],[коэф]])),
IF(OR(G783="2/4",G783="3/4",G783="4/4"),((база!$I$5*2*Таблица1[[#This Row],[Столбец1]]*Таблица1[[#This Row],[коэф]])),
IF((G783="5/8"),((база!$J$6*2*Таблица1[[#This Row],[Столбец1]]*Таблица1[[#This Row],[коэф]])),
IF(OR(G783="4/8",G783="3/8",G783="2/8"),((база!$J$5*2*Таблица1[[#This Row],[Столбец1]]*Таблица1[[#This Row],[коэф]])))))))))))</f>
        <v>0</v>
      </c>
      <c r="AQ783" s="712" t="str">
        <f>IFERROR(INDEX(база!T:T, MATCH(F783,база!Q:Q,0)),"")</f>
        <v/>
      </c>
      <c r="AR783" s="208" t="str">
        <f>IFERROR(INDEX(база!D:D, MATCH(F783,база!B:B,0)),"")</f>
        <v/>
      </c>
      <c r="AS783" s="758" t="str">
        <f>IFERROR(INDEX(база!E:E, MATCH(F783,база!B:B,0)),"")</f>
        <v/>
      </c>
    </row>
    <row r="784" spans="1:45" ht="15">
      <c r="A784" s="66" t="str">
        <f t="shared" si="11"/>
        <v>январь</v>
      </c>
      <c r="B784" s="231">
        <v>2024</v>
      </c>
      <c r="C784" s="299"/>
      <c r="D784" s="61"/>
      <c r="E784" s="211"/>
      <c r="F784" s="680"/>
      <c r="G784" s="47"/>
      <c r="H784" s="563"/>
      <c r="I784" s="563"/>
      <c r="J784" s="563"/>
      <c r="K784" s="563"/>
      <c r="L784" s="563"/>
      <c r="M784" s="563"/>
      <c r="N784" s="563"/>
      <c r="O784" s="563"/>
      <c r="P784" s="300"/>
      <c r="Q784" s="563"/>
      <c r="R784" s="563"/>
      <c r="S784" s="563"/>
      <c r="T784" s="563"/>
      <c r="U784" s="563"/>
      <c r="V784" s="563"/>
      <c r="W784" s="563"/>
      <c r="X784" s="563"/>
      <c r="Y784" s="563"/>
      <c r="Z784" s="563"/>
      <c r="AA784" s="563"/>
      <c r="AB784" s="563"/>
      <c r="AC784" s="563"/>
      <c r="AD784" s="48"/>
      <c r="AE784" s="48"/>
      <c r="AF784" s="258"/>
      <c r="AG784" s="48"/>
      <c r="AH784" s="48"/>
      <c r="AI784" s="48"/>
      <c r="AJ784" s="48"/>
      <c r="AK784" s="48"/>
      <c r="AL784" s="51"/>
      <c r="AM784" s="212">
        <f>IF(AQ784=1,SUM(Q784:T784,W784:Z784,AC784:AF784,AI784:AL784),
IF(AQ784=2,SUM(P784,S784:V784,Y784:AB784,AE784:AH784,AK784:AL784),
IF(AQ784=3,SUM(P784:R784,U784:X784,AA784:AD784,AG784:AJ784),SUM(Таблица1[[#This Row],[1]:[31]])-Таблица1[[#This Row],[Столбец1]])))</f>
        <v>0</v>
      </c>
      <c r="AN784" s="778">
        <f t="array" ref="AN784">IF(AQ784=1,SUM(P784,U784:V784,AA784:AB784,AG784:AH784),
IF(AQ784=2,SUM(Q784:R784,W784:X784,AC784:AD784,AI784:AJ784),
IF(AQ784=3,SUM(S784:T784,Y784:Z784,AE784:AF784,AK784:AL784),
SUM(IFERROR(WEEKDAY($H$2:$AL$2,2)&gt;5,)*H784:AL784))))+Таблица1[[#This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84" s="292" t="b">
        <f>IF(AR784&lt;=3,(IF((G784="5/24"),((база!$M$6*Таблица1[[#This Row],[сумма]]*Таблица1[[#This Row],[коэф]])),
IF((G784="4/24"),((база!$M$5*Таблица1[[#This Row],[сумма]]*Таблица1[[#This Row],[коэф]])),
IF((G784="3/24"),((база!$M$4*Таблица1[[#This Row],[сумма]]*Таблица1[[#This Row],[коэф]])),
IF((G784="5/16"),((база!$L$6*Таблица1[[#This Row],[сумма]]*Таблица1[[#This Row],[коэф]])),
IF((G784="4/16"),((база!$L$5*Таблица1[[#This Row],[сумма]]*Таблица1[[#This Row],[коэф]])),
IF((G784="3/16"),((база!$L$4*Таблица1[[#This Row],[сумма]]*Таблица1[[#This Row],[коэф]])),
IF((G784="4/4"),((база!$I$5*Таблица1[[#This Row],[сумма]]*Таблица1[[#This Row],[коэф]])),
IF(OR(G784="2/4",G784="3/4"),((база!$I$4*Таблица1[[#This Row],[сумма]]*Таблица1[[#This Row],[коэф]])),
IF((G784="5/8"),((база!$J$6*Таблица1[[#This Row],[сумма]]*Таблица1[[#This Row],[коэф]])),
IF((G784="4/8"),((база!$J$5*Таблица1[[#This Row],[сумма]]*Таблица1[[#This Row],[коэф]])),
IF(OR(G784="3/8",G784="2/8"),((база!$J$4*Таблица1[[#This Row],[сумма]]*Таблица1[[#This Row],[коэф]])))))))))))))),
(IF((G784="5/24"),((база!$M$6*Таблица1[[#This Row],[сумма]]*Таблица1[[#This Row],[коэф]])),
IF(OR(G784="4/24",G784="3/24"),((база!$M$5*Таблица1[[#This Row],[сумма]]*Таблица1[[#This Row],[коэф]])),
IF((G784="5/16"),((база!$L$6*Таблица1[[#This Row],[сумма]]*Таблица1[[#This Row],[коэф]])),
IF(OR(G784="4/16",G784="3/16"),((база!$L$5*Таблица1[[#This Row],[сумма]]*Таблица1[[#This Row],[коэф]])),
IF(OR(G784="2/4",G784="3/4",G784="4/4"),((база!$I$5*Таблица1[[#This Row],[сумма]]*Таблица1[[#This Row],[коэф]])),
IF((G784="5/8"),((база!$J$6*Таблица1[[#This Row],[сумма]]*Таблица1[[#This Row],[коэф]])),
IF(OR(G784="4/8",G784="3/8",G784="2/8"),((база!$J$5*Таблица1[[#This Row],[сумма]]*Таблица1[[#This Row],[коэф]])))))))))))</f>
        <v>0</v>
      </c>
      <c r="AP784" s="730" t="b">
        <f>IF(AR784&lt;=3,(IF((G784="5/24"),((база!$M$6*2*Таблица1[[#This Row],[Столбец1]]*Таблица1[[#This Row],[коэф]])),
IF((G784="4/24"),((база!$M$5*2*Таблица1[[#This Row],[Столбец1]]*Таблица1[[#This Row],[коэф]])),
IF((G784="3/24"),((база!$M$4*2*Таблица1[[#This Row],[Столбец1]]*Таблица1[[#This Row],[коэф]])),
IF((G784="5/16"),((база!$L$6*2*Таблица1[[#This Row],[Столбец1]]*Таблица1[[#This Row],[коэф]])),
IF((G784="4/16"),((база!$L$5*2*Таблица1[[#This Row],[Столбец1]]*Таблица1[[#This Row],[коэф]])),
IF((G784="3/16"),((база!$L$4*2*Таблица1[[#This Row],[Столбец1]]*Таблица1[[#This Row],[коэф]])),
IF((G784="4/4"),((база!$I$5*2*Таблица1[[#This Row],[Столбец1]]*Таблица1[[#This Row],[коэф]])),
IF(OR(G784="2/4",G784="3/4"),((база!$I$4*2*Таблица1[[#This Row],[Столбец1]]*Таблица1[[#This Row],[коэф]])),
IF((G784="5/8"),((база!$J$6*2*Таблица1[[#This Row],[Столбец1]]*Таблица1[[#This Row],[коэф]])),
IF((G784="4/8"),((база!$J$5*2*Таблица1[[#This Row],[Столбец1]]*Таблица1[[#This Row],[коэф]])),
IF(OR(G784="3/8",G784="2/8"),((база!$J$4*2*Таблица1[[#This Row],[Столбец1]]*Таблица1[[#This Row],[коэф]])))))))))))))),
(IF((G784="5/24"),((база!$M$6*2*Таблица1[[#This Row],[Столбец1]]*Таблица1[[#This Row],[коэф]])),
IF(OR(G784="4/24",G784="3/24"),((база!$M$5*2*Таблица1[[#This Row],[Столбец1]]*Таблица1[[#This Row],[коэф]])),
IF((G784="5/16"),((база!$L$6*2*Таблица1[[#This Row],[Столбец1]]*Таблица1[[#This Row],[коэф]])),
IF(OR(G784="4/16",G784="3/16"),((база!$L$5*2*Таблица1[[#This Row],[Столбец1]]*Таблица1[[#This Row],[коэф]])),
IF(OR(G784="2/4",G784="3/4",G784="4/4"),((база!$I$5*2*Таблица1[[#This Row],[Столбец1]]*Таблица1[[#This Row],[коэф]])),
IF((G784="5/8"),((база!$J$6*2*Таблица1[[#This Row],[Столбец1]]*Таблица1[[#This Row],[коэф]])),
IF(OR(G784="4/8",G784="3/8",G784="2/8"),((база!$J$5*2*Таблица1[[#This Row],[Столбец1]]*Таблица1[[#This Row],[коэф]])))))))))))</f>
        <v>0</v>
      </c>
      <c r="AQ784" s="712" t="str">
        <f>IFERROR(INDEX(база!T:T, MATCH(F784,база!Q:Q,0)),"")</f>
        <v/>
      </c>
      <c r="AR784" s="208" t="str">
        <f>IFERROR(INDEX(база!D:D, MATCH(F784,база!B:B,0)),"")</f>
        <v/>
      </c>
      <c r="AS784" s="758" t="str">
        <f>IFERROR(INDEX(база!E:E, MATCH(F784,база!B:B,0)),"")</f>
        <v/>
      </c>
    </row>
    <row r="785" spans="1:45" ht="15">
      <c r="A785" s="66" t="str">
        <f t="shared" ref="A785:A837" si="12">A784</f>
        <v>январь</v>
      </c>
      <c r="B785" s="231">
        <v>2024</v>
      </c>
      <c r="C785" s="299"/>
      <c r="D785" s="61"/>
      <c r="E785" s="211"/>
      <c r="F785" s="680"/>
      <c r="G785" s="47"/>
      <c r="H785" s="563"/>
      <c r="I785" s="563"/>
      <c r="J785" s="563"/>
      <c r="K785" s="563"/>
      <c r="L785" s="563"/>
      <c r="M785" s="563"/>
      <c r="N785" s="563"/>
      <c r="O785" s="563"/>
      <c r="P785" s="300"/>
      <c r="Q785" s="563"/>
      <c r="R785" s="563"/>
      <c r="S785" s="563"/>
      <c r="T785" s="563"/>
      <c r="U785" s="563"/>
      <c r="V785" s="563"/>
      <c r="W785" s="563"/>
      <c r="X785" s="563"/>
      <c r="Y785" s="563"/>
      <c r="Z785" s="563"/>
      <c r="AA785" s="563"/>
      <c r="AB785" s="563"/>
      <c r="AC785" s="563"/>
      <c r="AD785" s="48"/>
      <c r="AE785" s="48"/>
      <c r="AF785" s="258"/>
      <c r="AG785" s="48"/>
      <c r="AH785" s="48"/>
      <c r="AI785" s="258"/>
      <c r="AJ785" s="258"/>
      <c r="AK785" s="258"/>
      <c r="AL785" s="258"/>
      <c r="AM785" s="212">
        <f>IF(AQ785=1,SUM(Q785:T785,W785:Z785,AC785:AF785,AI785:AL785),
IF(AQ785=2,SUM(P785,S785:V785,Y785:AB785,AE785:AH785,AK785:AL785),
IF(AQ785=3,SUM(P785:R785,U785:X785,AA785:AD785,AG785:AJ785),SUM(Таблица1[[#This Row],[1]:[31]])-Таблица1[[#This Row],[Столбец1]])))</f>
        <v>0</v>
      </c>
      <c r="AN785" s="778">
        <f t="array" ref="AN785">IF(AQ785=1,SUM(P785,U785:V785,AA785:AB785,AG785:AH785),
IF(AQ785=2,SUM(Q785:R785,W785:X785,AC785:AD785,AI785:AJ785),
IF(AQ785=3,SUM(S785:T785,Y785:Z785,AE785:AF785,AK785:AL785),
SUM(IFERROR(WEEKDAY($H$2:$AL$2,2)&gt;5,)*H785:AL785))))+Таблица1[[#This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85" s="292" t="b">
        <f>IF(AR785&lt;=3,(IF((G785="5/24"),((база!$M$6*Таблица1[[#This Row],[сумма]]*Таблица1[[#This Row],[коэф]])),
IF((G785="4/24"),((база!$M$5*Таблица1[[#This Row],[сумма]]*Таблица1[[#This Row],[коэф]])),
IF((G785="3/24"),((база!$M$4*Таблица1[[#This Row],[сумма]]*Таблица1[[#This Row],[коэф]])),
IF((G785="5/16"),((база!$L$6*Таблица1[[#This Row],[сумма]]*Таблица1[[#This Row],[коэф]])),
IF((G785="4/16"),((база!$L$5*Таблица1[[#This Row],[сумма]]*Таблица1[[#This Row],[коэф]])),
IF((G785="3/16"),((база!$L$4*Таблица1[[#This Row],[сумма]]*Таблица1[[#This Row],[коэф]])),
IF((G785="4/4"),((база!$I$5*Таблица1[[#This Row],[сумма]]*Таблица1[[#This Row],[коэф]])),
IF(OR(G785="2/4",G785="3/4"),((база!$I$4*Таблица1[[#This Row],[сумма]]*Таблица1[[#This Row],[коэф]])),
IF((G785="5/8"),((база!$J$6*Таблица1[[#This Row],[сумма]]*Таблица1[[#This Row],[коэф]])),
IF((G785="4/8"),((база!$J$5*Таблица1[[#This Row],[сумма]]*Таблица1[[#This Row],[коэф]])),
IF(OR(G785="3/8",G785="2/8"),((база!$J$4*Таблица1[[#This Row],[сумма]]*Таблица1[[#This Row],[коэф]])))))))))))))),
(IF((G785="5/24"),((база!$M$6*Таблица1[[#This Row],[сумма]]*Таблица1[[#This Row],[коэф]])),
IF(OR(G785="4/24",G785="3/24"),((база!$M$5*Таблица1[[#This Row],[сумма]]*Таблица1[[#This Row],[коэф]])),
IF((G785="5/16"),((база!$L$6*Таблица1[[#This Row],[сумма]]*Таблица1[[#This Row],[коэф]])),
IF(OR(G785="4/16",G785="3/16"),((база!$L$5*Таблица1[[#This Row],[сумма]]*Таблица1[[#This Row],[коэф]])),
IF(OR(G785="2/4",G785="3/4",G785="4/4"),((база!$I$5*Таблица1[[#This Row],[сумма]]*Таблица1[[#This Row],[коэф]])),
IF((G785="5/8"),((база!$J$6*Таблица1[[#This Row],[сумма]]*Таблица1[[#This Row],[коэф]])),
IF(OR(G785="4/8",G785="3/8",G785="2/8"),((база!$J$5*Таблица1[[#This Row],[сумма]]*Таблица1[[#This Row],[коэф]])))))))))))</f>
        <v>0</v>
      </c>
      <c r="AP785" s="730" t="b">
        <f>IF(AR785&lt;=3,(IF((G785="5/24"),((база!$M$6*2*Таблица1[[#This Row],[Столбец1]]*Таблица1[[#This Row],[коэф]])),
IF((G785="4/24"),((база!$M$5*2*Таблица1[[#This Row],[Столбец1]]*Таблица1[[#This Row],[коэф]])),
IF((G785="3/24"),((база!$M$4*2*Таблица1[[#This Row],[Столбец1]]*Таблица1[[#This Row],[коэф]])),
IF((G785="5/16"),((база!$L$6*2*Таблица1[[#This Row],[Столбец1]]*Таблица1[[#This Row],[коэф]])),
IF((G785="4/16"),((база!$L$5*2*Таблица1[[#This Row],[Столбец1]]*Таблица1[[#This Row],[коэф]])),
IF((G785="3/16"),((база!$L$4*2*Таблица1[[#This Row],[Столбец1]]*Таблица1[[#This Row],[коэф]])),
IF((G785="4/4"),((база!$I$5*2*Таблица1[[#This Row],[Столбец1]]*Таблица1[[#This Row],[коэф]])),
IF(OR(G785="2/4",G785="3/4"),((база!$I$4*2*Таблица1[[#This Row],[Столбец1]]*Таблица1[[#This Row],[коэф]])),
IF((G785="5/8"),((база!$J$6*2*Таблица1[[#This Row],[Столбец1]]*Таблица1[[#This Row],[коэф]])),
IF((G785="4/8"),((база!$J$5*2*Таблица1[[#This Row],[Столбец1]]*Таблица1[[#This Row],[коэф]])),
IF(OR(G785="3/8",G785="2/8"),((база!$J$4*2*Таблица1[[#This Row],[Столбец1]]*Таблица1[[#This Row],[коэф]])))))))))))))),
(IF((G785="5/24"),((база!$M$6*2*Таблица1[[#This Row],[Столбец1]]*Таблица1[[#This Row],[коэф]])),
IF(OR(G785="4/24",G785="3/24"),((база!$M$5*2*Таблица1[[#This Row],[Столбец1]]*Таблица1[[#This Row],[коэф]])),
IF((G785="5/16"),((база!$L$6*2*Таблица1[[#This Row],[Столбец1]]*Таблица1[[#This Row],[коэф]])),
IF(OR(G785="4/16",G785="3/16"),((база!$L$5*2*Таблица1[[#This Row],[Столбец1]]*Таблица1[[#This Row],[коэф]])),
IF(OR(G785="2/4",G785="3/4",G785="4/4"),((база!$I$5*2*Таблица1[[#This Row],[Столбец1]]*Таблица1[[#This Row],[коэф]])),
IF((G785="5/8"),((база!$J$6*2*Таблица1[[#This Row],[Столбец1]]*Таблица1[[#This Row],[коэф]])),
IF(OR(G785="4/8",G785="3/8",G785="2/8"),((база!$J$5*2*Таблица1[[#This Row],[Столбец1]]*Таблица1[[#This Row],[коэф]])))))))))))</f>
        <v>0</v>
      </c>
      <c r="AQ785" s="712" t="str">
        <f>IFERROR(INDEX(база!T:T, MATCH(F785,база!Q:Q,0)),"")</f>
        <v/>
      </c>
      <c r="AR785" s="208" t="str">
        <f>IFERROR(INDEX(база!D:D, MATCH(F785,база!B:B,0)),"")</f>
        <v/>
      </c>
      <c r="AS785" s="758" t="str">
        <f>IFERROR(INDEX(база!E:E, MATCH(F785,база!B:B,0)),"")</f>
        <v/>
      </c>
    </row>
    <row r="786" spans="1:45" ht="15">
      <c r="A786" s="66" t="str">
        <f t="shared" si="12"/>
        <v>январь</v>
      </c>
      <c r="B786" s="231">
        <v>2024</v>
      </c>
      <c r="C786" s="299"/>
      <c r="D786" s="61"/>
      <c r="E786" s="211"/>
      <c r="F786" s="680"/>
      <c r="G786" s="47"/>
      <c r="H786" s="563"/>
      <c r="I786" s="563"/>
      <c r="J786" s="563"/>
      <c r="K786" s="563"/>
      <c r="L786" s="563"/>
      <c r="M786" s="563"/>
      <c r="N786" s="563"/>
      <c r="O786" s="563"/>
      <c r="P786" s="300"/>
      <c r="Q786" s="563"/>
      <c r="R786" s="563"/>
      <c r="S786" s="563"/>
      <c r="T786" s="563"/>
      <c r="U786" s="563"/>
      <c r="V786" s="563"/>
      <c r="W786" s="563"/>
      <c r="X786" s="563"/>
      <c r="Y786" s="563"/>
      <c r="Z786" s="563"/>
      <c r="AA786" s="563"/>
      <c r="AB786" s="563"/>
      <c r="AC786" s="563"/>
      <c r="AD786" s="48"/>
      <c r="AE786" s="48"/>
      <c r="AF786" s="258"/>
      <c r="AG786" s="48"/>
      <c r="AH786" s="48"/>
      <c r="AI786" s="48"/>
      <c r="AJ786" s="48"/>
      <c r="AK786" s="48"/>
      <c r="AL786" s="51"/>
      <c r="AM786" s="212">
        <f>IF(AQ786=1,SUM(Q786:T786,W786:Z786,AC786:AF786,AI786:AL786),
IF(AQ786=2,SUM(P786,S786:V786,Y786:AB786,AE786:AH786,AK786:AL786),
IF(AQ786=3,SUM(P786:R786,U786:X786,AA786:AD786,AG786:AJ786),SUM(Таблица1[[#This Row],[1]:[31]])-Таблица1[[#This Row],[Столбец1]])))</f>
        <v>0</v>
      </c>
      <c r="AN786" s="778">
        <f t="array" ref="AN786">IF(AQ786=1,SUM(P786,U786:V786,AA786:AB786,AG786:AH786),
IF(AQ786=2,SUM(Q786:R786,W786:X786,AC786:AD786,AI786:AJ786),
IF(AQ786=3,SUM(S786:T786,Y786:Z786,AE786:AF786,AK786:AL786),
SUM(IFERROR(WEEKDAY($H$2:$AL$2,2)&gt;5,)*H786:AL786))))+Таблица1[[#This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86" s="292" t="b">
        <f>IF(AR786&lt;=3,(IF((G786="5/24"),((база!$M$6*Таблица1[[#This Row],[сумма]]*Таблица1[[#This Row],[коэф]])),
IF((G786="4/24"),((база!$M$5*Таблица1[[#This Row],[сумма]]*Таблица1[[#This Row],[коэф]])),
IF((G786="3/24"),((база!$M$4*Таблица1[[#This Row],[сумма]]*Таблица1[[#This Row],[коэф]])),
IF((G786="5/16"),((база!$L$6*Таблица1[[#This Row],[сумма]]*Таблица1[[#This Row],[коэф]])),
IF((G786="4/16"),((база!$L$5*Таблица1[[#This Row],[сумма]]*Таблица1[[#This Row],[коэф]])),
IF((G786="3/16"),((база!$L$4*Таблица1[[#This Row],[сумма]]*Таблица1[[#This Row],[коэф]])),
IF((G786="4/4"),((база!$I$5*Таблица1[[#This Row],[сумма]]*Таблица1[[#This Row],[коэф]])),
IF(OR(G786="2/4",G786="3/4"),((база!$I$4*Таблица1[[#This Row],[сумма]]*Таблица1[[#This Row],[коэф]])),
IF((G786="5/8"),((база!$J$6*Таблица1[[#This Row],[сумма]]*Таблица1[[#This Row],[коэф]])),
IF((G786="4/8"),((база!$J$5*Таблица1[[#This Row],[сумма]]*Таблица1[[#This Row],[коэф]])),
IF(OR(G786="3/8",G786="2/8"),((база!$J$4*Таблица1[[#This Row],[сумма]]*Таблица1[[#This Row],[коэф]])))))))))))))),
(IF((G786="5/24"),((база!$M$6*Таблица1[[#This Row],[сумма]]*Таблица1[[#This Row],[коэф]])),
IF(OR(G786="4/24",G786="3/24"),((база!$M$5*Таблица1[[#This Row],[сумма]]*Таблица1[[#This Row],[коэф]])),
IF((G786="5/16"),((база!$L$6*Таблица1[[#This Row],[сумма]]*Таблица1[[#This Row],[коэф]])),
IF(OR(G786="4/16",G786="3/16"),((база!$L$5*Таблица1[[#This Row],[сумма]]*Таблица1[[#This Row],[коэф]])),
IF(OR(G786="2/4",G786="3/4",G786="4/4"),((база!$I$5*Таблица1[[#This Row],[сумма]]*Таблица1[[#This Row],[коэф]])),
IF((G786="5/8"),((база!$J$6*Таблица1[[#This Row],[сумма]]*Таблица1[[#This Row],[коэф]])),
IF(OR(G786="4/8",G786="3/8",G786="2/8"),((база!$J$5*Таблица1[[#This Row],[сумма]]*Таблица1[[#This Row],[коэф]])))))))))))</f>
        <v>0</v>
      </c>
      <c r="AP786" s="730" t="b">
        <f>IF(AR786&lt;=3,(IF((G786="5/24"),((база!$M$6*2*Таблица1[[#This Row],[Столбец1]]*Таблица1[[#This Row],[коэф]])),
IF((G786="4/24"),((база!$M$5*2*Таблица1[[#This Row],[Столбец1]]*Таблица1[[#This Row],[коэф]])),
IF((G786="3/24"),((база!$M$4*2*Таблица1[[#This Row],[Столбец1]]*Таблица1[[#This Row],[коэф]])),
IF((G786="5/16"),((база!$L$6*2*Таблица1[[#This Row],[Столбец1]]*Таблица1[[#This Row],[коэф]])),
IF((G786="4/16"),((база!$L$5*2*Таблица1[[#This Row],[Столбец1]]*Таблица1[[#This Row],[коэф]])),
IF((G786="3/16"),((база!$L$4*2*Таблица1[[#This Row],[Столбец1]]*Таблица1[[#This Row],[коэф]])),
IF((G786="4/4"),((база!$I$5*2*Таблица1[[#This Row],[Столбец1]]*Таблица1[[#This Row],[коэф]])),
IF(OR(G786="2/4",G786="3/4"),((база!$I$4*2*Таблица1[[#This Row],[Столбец1]]*Таблица1[[#This Row],[коэф]])),
IF((G786="5/8"),((база!$J$6*2*Таблица1[[#This Row],[Столбец1]]*Таблица1[[#This Row],[коэф]])),
IF((G786="4/8"),((база!$J$5*2*Таблица1[[#This Row],[Столбец1]]*Таблица1[[#This Row],[коэф]])),
IF(OR(G786="3/8",G786="2/8"),((база!$J$4*2*Таблица1[[#This Row],[Столбец1]]*Таблица1[[#This Row],[коэф]])))))))))))))),
(IF((G786="5/24"),((база!$M$6*2*Таблица1[[#This Row],[Столбец1]]*Таблица1[[#This Row],[коэф]])),
IF(OR(G786="4/24",G786="3/24"),((база!$M$5*2*Таблица1[[#This Row],[Столбец1]]*Таблица1[[#This Row],[коэф]])),
IF((G786="5/16"),((база!$L$6*2*Таблица1[[#This Row],[Столбец1]]*Таблица1[[#This Row],[коэф]])),
IF(OR(G786="4/16",G786="3/16"),((база!$L$5*2*Таблица1[[#This Row],[Столбец1]]*Таблица1[[#This Row],[коэф]])),
IF(OR(G786="2/4",G786="3/4",G786="4/4"),((база!$I$5*2*Таблица1[[#This Row],[Столбец1]]*Таблица1[[#This Row],[коэф]])),
IF((G786="5/8"),((база!$J$6*2*Таблица1[[#This Row],[Столбец1]]*Таблица1[[#This Row],[коэф]])),
IF(OR(G786="4/8",G786="3/8",G786="2/8"),((база!$J$5*2*Таблица1[[#This Row],[Столбец1]]*Таблица1[[#This Row],[коэф]])))))))))))</f>
        <v>0</v>
      </c>
      <c r="AQ786" s="712" t="str">
        <f>IFERROR(INDEX(база!T:T, MATCH(F786,база!Q:Q,0)),"")</f>
        <v/>
      </c>
      <c r="AR786" s="208" t="str">
        <f>IFERROR(INDEX(база!D:D, MATCH(F786,база!B:B,0)),"")</f>
        <v/>
      </c>
      <c r="AS786" s="758" t="str">
        <f>IFERROR(INDEX(база!E:E, MATCH(F786,база!B:B,0)),"")</f>
        <v/>
      </c>
    </row>
    <row r="787" spans="1:45" ht="15">
      <c r="A787" s="66" t="str">
        <f t="shared" si="12"/>
        <v>январь</v>
      </c>
      <c r="B787" s="231">
        <v>2024</v>
      </c>
      <c r="C787" s="299"/>
      <c r="D787" s="61"/>
      <c r="E787" s="211"/>
      <c r="F787" s="680"/>
      <c r="G787" s="47"/>
      <c r="H787" s="563"/>
      <c r="I787" s="563"/>
      <c r="J787" s="563"/>
      <c r="K787" s="563"/>
      <c r="L787" s="563"/>
      <c r="M787" s="563"/>
      <c r="N787" s="563"/>
      <c r="O787" s="563"/>
      <c r="P787" s="300"/>
      <c r="Q787" s="563"/>
      <c r="R787" s="563"/>
      <c r="S787" s="563"/>
      <c r="T787" s="563"/>
      <c r="U787" s="563"/>
      <c r="V787" s="563"/>
      <c r="W787" s="563"/>
      <c r="X787" s="563"/>
      <c r="Y787" s="563"/>
      <c r="Z787" s="563"/>
      <c r="AA787" s="563"/>
      <c r="AB787" s="563"/>
      <c r="AC787" s="563"/>
      <c r="AD787" s="48"/>
      <c r="AE787" s="48"/>
      <c r="AF787" s="258"/>
      <c r="AG787" s="48"/>
      <c r="AH787" s="48"/>
      <c r="AI787" s="258"/>
      <c r="AJ787" s="258"/>
      <c r="AK787" s="258"/>
      <c r="AL787" s="258"/>
      <c r="AM787" s="212">
        <f>IF(AQ787=1,SUM(Q787:T787,W787:Z787,AC787:AF787,AI787:AL787),
IF(AQ787=2,SUM(P787,S787:V787,Y787:AB787,AE787:AH787,AK787:AL787),
IF(AQ787=3,SUM(P787:R787,U787:X787,AA787:AD787,AG787:AJ787),SUM(Таблица1[[#This Row],[1]:[31]])-Таблица1[[#This Row],[Столбец1]])))</f>
        <v>0</v>
      </c>
      <c r="AN787" s="778">
        <f t="array" ref="AN787">IF(AQ787=1,SUM(P787,U787:V787,AA787:AB787,AG787:AH787),
IF(AQ787=2,SUM(Q787:R787,W787:X787,AC787:AD787,AI787:AJ787),
IF(AQ787=3,SUM(S787:T787,Y787:Z787,AE787:AF787,AK787:AL787),
SUM(IFERROR(WEEKDAY($H$2:$AL$2,2)&gt;5,)*H787:AL787))))+Таблица1[[#This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87" s="292" t="b">
        <f>IF(AR787&lt;=3,(IF((G787="5/24"),((база!$M$6*Таблица1[[#This Row],[сумма]]*Таблица1[[#This Row],[коэф]])),
IF((G787="4/24"),((база!$M$5*Таблица1[[#This Row],[сумма]]*Таблица1[[#This Row],[коэф]])),
IF((G787="3/24"),((база!$M$4*Таблица1[[#This Row],[сумма]]*Таблица1[[#This Row],[коэф]])),
IF((G787="5/16"),((база!$L$6*Таблица1[[#This Row],[сумма]]*Таблица1[[#This Row],[коэф]])),
IF((G787="4/16"),((база!$L$5*Таблица1[[#This Row],[сумма]]*Таблица1[[#This Row],[коэф]])),
IF((G787="3/16"),((база!$L$4*Таблица1[[#This Row],[сумма]]*Таблица1[[#This Row],[коэф]])),
IF((G787="4/4"),((база!$I$5*Таблица1[[#This Row],[сумма]]*Таблица1[[#This Row],[коэф]])),
IF(OR(G787="2/4",G787="3/4"),((база!$I$4*Таблица1[[#This Row],[сумма]]*Таблица1[[#This Row],[коэф]])),
IF((G787="5/8"),((база!$J$6*Таблица1[[#This Row],[сумма]]*Таблица1[[#This Row],[коэф]])),
IF((G787="4/8"),((база!$J$5*Таблица1[[#This Row],[сумма]]*Таблица1[[#This Row],[коэф]])),
IF(OR(G787="3/8",G787="2/8"),((база!$J$4*Таблица1[[#This Row],[сумма]]*Таблица1[[#This Row],[коэф]])))))))))))))),
(IF((G787="5/24"),((база!$M$6*Таблица1[[#This Row],[сумма]]*Таблица1[[#This Row],[коэф]])),
IF(OR(G787="4/24",G787="3/24"),((база!$M$5*Таблица1[[#This Row],[сумма]]*Таблица1[[#This Row],[коэф]])),
IF((G787="5/16"),((база!$L$6*Таблица1[[#This Row],[сумма]]*Таблица1[[#This Row],[коэф]])),
IF(OR(G787="4/16",G787="3/16"),((база!$L$5*Таблица1[[#This Row],[сумма]]*Таблица1[[#This Row],[коэф]])),
IF(OR(G787="2/4",G787="3/4",G787="4/4"),((база!$I$5*Таблица1[[#This Row],[сумма]]*Таблица1[[#This Row],[коэф]])),
IF((G787="5/8"),((база!$J$6*Таблица1[[#This Row],[сумма]]*Таблица1[[#This Row],[коэф]])),
IF(OR(G787="4/8",G787="3/8",G787="2/8"),((база!$J$5*Таблица1[[#This Row],[сумма]]*Таблица1[[#This Row],[коэф]])))))))))))</f>
        <v>0</v>
      </c>
      <c r="AP787" s="730" t="b">
        <f>IF(AR787&lt;=3,(IF((G787="5/24"),((база!$M$6*2*Таблица1[[#This Row],[Столбец1]]*Таблица1[[#This Row],[коэф]])),
IF((G787="4/24"),((база!$M$5*2*Таблица1[[#This Row],[Столбец1]]*Таблица1[[#This Row],[коэф]])),
IF((G787="3/24"),((база!$M$4*2*Таблица1[[#This Row],[Столбец1]]*Таблица1[[#This Row],[коэф]])),
IF((G787="5/16"),((база!$L$6*2*Таблица1[[#This Row],[Столбец1]]*Таблица1[[#This Row],[коэф]])),
IF((G787="4/16"),((база!$L$5*2*Таблица1[[#This Row],[Столбец1]]*Таблица1[[#This Row],[коэф]])),
IF((G787="3/16"),((база!$L$4*2*Таблица1[[#This Row],[Столбец1]]*Таблица1[[#This Row],[коэф]])),
IF((G787="4/4"),((база!$I$5*2*Таблица1[[#This Row],[Столбец1]]*Таблица1[[#This Row],[коэф]])),
IF(OR(G787="2/4",G787="3/4"),((база!$I$4*2*Таблица1[[#This Row],[Столбец1]]*Таблица1[[#This Row],[коэф]])),
IF((G787="5/8"),((база!$J$6*2*Таблица1[[#This Row],[Столбец1]]*Таблица1[[#This Row],[коэф]])),
IF((G787="4/8"),((база!$J$5*2*Таблица1[[#This Row],[Столбец1]]*Таблица1[[#This Row],[коэф]])),
IF(OR(G787="3/8",G787="2/8"),((база!$J$4*2*Таблица1[[#This Row],[Столбец1]]*Таблица1[[#This Row],[коэф]])))))))))))))),
(IF((G787="5/24"),((база!$M$6*2*Таблица1[[#This Row],[Столбец1]]*Таблица1[[#This Row],[коэф]])),
IF(OR(G787="4/24",G787="3/24"),((база!$M$5*2*Таблица1[[#This Row],[Столбец1]]*Таблица1[[#This Row],[коэф]])),
IF((G787="5/16"),((база!$L$6*2*Таблица1[[#This Row],[Столбец1]]*Таблица1[[#This Row],[коэф]])),
IF(OR(G787="4/16",G787="3/16"),((база!$L$5*2*Таблица1[[#This Row],[Столбец1]]*Таблица1[[#This Row],[коэф]])),
IF(OR(G787="2/4",G787="3/4",G787="4/4"),((база!$I$5*2*Таблица1[[#This Row],[Столбец1]]*Таблица1[[#This Row],[коэф]])),
IF((G787="5/8"),((база!$J$6*2*Таблица1[[#This Row],[Столбец1]]*Таблица1[[#This Row],[коэф]])),
IF(OR(G787="4/8",G787="3/8",G787="2/8"),((база!$J$5*2*Таблица1[[#This Row],[Столбец1]]*Таблица1[[#This Row],[коэф]])))))))))))</f>
        <v>0</v>
      </c>
      <c r="AQ787" s="712" t="str">
        <f>IFERROR(INDEX(база!T:T, MATCH(F787,база!Q:Q,0)),"")</f>
        <v/>
      </c>
      <c r="AR787" s="208" t="str">
        <f>IFERROR(INDEX(база!D:D, MATCH(F787,база!B:B,0)),"")</f>
        <v/>
      </c>
      <c r="AS787" s="758" t="str">
        <f>IFERROR(INDEX(база!E:E, MATCH(F787,база!B:B,0)),"")</f>
        <v/>
      </c>
    </row>
    <row r="788" spans="1:45" ht="15">
      <c r="A788" s="66" t="str">
        <f t="shared" si="12"/>
        <v>январь</v>
      </c>
      <c r="B788" s="231">
        <v>2024</v>
      </c>
      <c r="C788" s="299"/>
      <c r="D788" s="61"/>
      <c r="E788" s="211"/>
      <c r="F788" s="680"/>
      <c r="G788" s="47"/>
      <c r="H788" s="563"/>
      <c r="I788" s="563"/>
      <c r="J788" s="563"/>
      <c r="K788" s="563"/>
      <c r="L788" s="563"/>
      <c r="M788" s="563"/>
      <c r="N788" s="563"/>
      <c r="O788" s="563"/>
      <c r="P788" s="300"/>
      <c r="Q788" s="563"/>
      <c r="R788" s="563"/>
      <c r="S788" s="563"/>
      <c r="T788" s="563"/>
      <c r="U788" s="563"/>
      <c r="V788" s="563"/>
      <c r="W788" s="563"/>
      <c r="X788" s="563"/>
      <c r="Y788" s="563"/>
      <c r="Z788" s="563"/>
      <c r="AA788" s="563"/>
      <c r="AB788" s="563"/>
      <c r="AC788" s="563"/>
      <c r="AD788" s="48"/>
      <c r="AE788" s="48"/>
      <c r="AF788" s="258"/>
      <c r="AG788" s="48"/>
      <c r="AH788" s="48"/>
      <c r="AI788" s="48"/>
      <c r="AJ788" s="48"/>
      <c r="AK788" s="48"/>
      <c r="AL788" s="51"/>
      <c r="AM788" s="212">
        <f>IF(AQ788=1,SUM(Q788:T788,W788:Z788,AC788:AF788,AI788:AL788),
IF(AQ788=2,SUM(P788,S788:V788,Y788:AB788,AE788:AH788,AK788:AL788),
IF(AQ788=3,SUM(P788:R788,U788:X788,AA788:AD788,AG788:AJ788),SUM(Таблица1[[#This Row],[1]:[31]])-Таблица1[[#This Row],[Столбец1]])))</f>
        <v>0</v>
      </c>
      <c r="AN788" s="778">
        <f t="array" ref="AN788">IF(AQ788=1,SUM(P788,U788:V788,AA788:AB788,AG788:AH788),
IF(AQ788=2,SUM(Q788:R788,W788:X788,AC788:AD788,AI788:AJ788),
IF(AQ788=3,SUM(S788:T788,Y788:Z788,AE788:AF788,AK788:AL788),
SUM(IFERROR(WEEKDAY($H$2:$AL$2,2)&gt;5,)*H788:AL788))))+Таблица1[[#This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88" s="292" t="b">
        <f>IF(AR788&lt;=3,(IF((G788="5/24"),((база!$M$6*Таблица1[[#This Row],[сумма]]*Таблица1[[#This Row],[коэф]])),
IF((G788="4/24"),((база!$M$5*Таблица1[[#This Row],[сумма]]*Таблица1[[#This Row],[коэф]])),
IF((G788="3/24"),((база!$M$4*Таблица1[[#This Row],[сумма]]*Таблица1[[#This Row],[коэф]])),
IF((G788="5/16"),((база!$L$6*Таблица1[[#This Row],[сумма]]*Таблица1[[#This Row],[коэф]])),
IF((G788="4/16"),((база!$L$5*Таблица1[[#This Row],[сумма]]*Таблица1[[#This Row],[коэф]])),
IF((G788="3/16"),((база!$L$4*Таблица1[[#This Row],[сумма]]*Таблица1[[#This Row],[коэф]])),
IF((G788="4/4"),((база!$I$5*Таблица1[[#This Row],[сумма]]*Таблица1[[#This Row],[коэф]])),
IF(OR(G788="2/4",G788="3/4"),((база!$I$4*Таблица1[[#This Row],[сумма]]*Таблица1[[#This Row],[коэф]])),
IF((G788="5/8"),((база!$J$6*Таблица1[[#This Row],[сумма]]*Таблица1[[#This Row],[коэф]])),
IF((G788="4/8"),((база!$J$5*Таблица1[[#This Row],[сумма]]*Таблица1[[#This Row],[коэф]])),
IF(OR(G788="3/8",G788="2/8"),((база!$J$4*Таблица1[[#This Row],[сумма]]*Таблица1[[#This Row],[коэф]])))))))))))))),
(IF((G788="5/24"),((база!$M$6*Таблица1[[#This Row],[сумма]]*Таблица1[[#This Row],[коэф]])),
IF(OR(G788="4/24",G788="3/24"),((база!$M$5*Таблица1[[#This Row],[сумма]]*Таблица1[[#This Row],[коэф]])),
IF((G788="5/16"),((база!$L$6*Таблица1[[#This Row],[сумма]]*Таблица1[[#This Row],[коэф]])),
IF(OR(G788="4/16",G788="3/16"),((база!$L$5*Таблица1[[#This Row],[сумма]]*Таблица1[[#This Row],[коэф]])),
IF(OR(G788="2/4",G788="3/4",G788="4/4"),((база!$I$5*Таблица1[[#This Row],[сумма]]*Таблица1[[#This Row],[коэф]])),
IF((G788="5/8"),((база!$J$6*Таблица1[[#This Row],[сумма]]*Таблица1[[#This Row],[коэф]])),
IF(OR(G788="4/8",G788="3/8",G788="2/8"),((база!$J$5*Таблица1[[#This Row],[сумма]]*Таблица1[[#This Row],[коэф]])))))))))))</f>
        <v>0</v>
      </c>
      <c r="AP788" s="730" t="b">
        <f>IF(AR788&lt;=3,(IF((G788="5/24"),((база!$M$6*2*Таблица1[[#This Row],[Столбец1]]*Таблица1[[#This Row],[коэф]])),
IF((G788="4/24"),((база!$M$5*2*Таблица1[[#This Row],[Столбец1]]*Таблица1[[#This Row],[коэф]])),
IF((G788="3/24"),((база!$M$4*2*Таблица1[[#This Row],[Столбец1]]*Таблица1[[#This Row],[коэф]])),
IF((G788="5/16"),((база!$L$6*2*Таблица1[[#This Row],[Столбец1]]*Таблица1[[#This Row],[коэф]])),
IF((G788="4/16"),((база!$L$5*2*Таблица1[[#This Row],[Столбец1]]*Таблица1[[#This Row],[коэф]])),
IF((G788="3/16"),((база!$L$4*2*Таблица1[[#This Row],[Столбец1]]*Таблица1[[#This Row],[коэф]])),
IF((G788="4/4"),((база!$I$5*2*Таблица1[[#This Row],[Столбец1]]*Таблица1[[#This Row],[коэф]])),
IF(OR(G788="2/4",G788="3/4"),((база!$I$4*2*Таблица1[[#This Row],[Столбец1]]*Таблица1[[#This Row],[коэф]])),
IF((G788="5/8"),((база!$J$6*2*Таблица1[[#This Row],[Столбец1]]*Таблица1[[#This Row],[коэф]])),
IF((G788="4/8"),((база!$J$5*2*Таблица1[[#This Row],[Столбец1]]*Таблица1[[#This Row],[коэф]])),
IF(OR(G788="3/8",G788="2/8"),((база!$J$4*2*Таблица1[[#This Row],[Столбец1]]*Таблица1[[#This Row],[коэф]])))))))))))))),
(IF((G788="5/24"),((база!$M$6*2*Таблица1[[#This Row],[Столбец1]]*Таблица1[[#This Row],[коэф]])),
IF(OR(G788="4/24",G788="3/24"),((база!$M$5*2*Таблица1[[#This Row],[Столбец1]]*Таблица1[[#This Row],[коэф]])),
IF((G788="5/16"),((база!$L$6*2*Таблица1[[#This Row],[Столбец1]]*Таблица1[[#This Row],[коэф]])),
IF(OR(G788="4/16",G788="3/16"),((база!$L$5*2*Таблица1[[#This Row],[Столбец1]]*Таблица1[[#This Row],[коэф]])),
IF(OR(G788="2/4",G788="3/4",G788="4/4"),((база!$I$5*2*Таблица1[[#This Row],[Столбец1]]*Таблица1[[#This Row],[коэф]])),
IF((G788="5/8"),((база!$J$6*2*Таблица1[[#This Row],[Столбец1]]*Таблица1[[#This Row],[коэф]])),
IF(OR(G788="4/8",G788="3/8",G788="2/8"),((база!$J$5*2*Таблица1[[#This Row],[Столбец1]]*Таблица1[[#This Row],[коэф]])))))))))))</f>
        <v>0</v>
      </c>
      <c r="AQ788" s="712" t="str">
        <f>IFERROR(INDEX(база!T:T, MATCH(F788,база!Q:Q,0)),"")</f>
        <v/>
      </c>
      <c r="AR788" s="208" t="str">
        <f>IFERROR(INDEX(база!D:D, MATCH(F788,база!B:B,0)),"")</f>
        <v/>
      </c>
      <c r="AS788" s="758" t="str">
        <f>IFERROR(INDEX(база!E:E, MATCH(F788,база!B:B,0)),"")</f>
        <v/>
      </c>
    </row>
    <row r="789" spans="1:45" ht="15">
      <c r="A789" s="66" t="str">
        <f t="shared" si="12"/>
        <v>январь</v>
      </c>
      <c r="B789" s="231">
        <v>2024</v>
      </c>
      <c r="C789" s="299"/>
      <c r="D789" s="61"/>
      <c r="E789" s="211"/>
      <c r="F789" s="680"/>
      <c r="G789" s="47"/>
      <c r="H789" s="563"/>
      <c r="I789" s="563"/>
      <c r="J789" s="563"/>
      <c r="K789" s="563"/>
      <c r="L789" s="563"/>
      <c r="M789" s="563"/>
      <c r="N789" s="563"/>
      <c r="O789" s="563"/>
      <c r="P789" s="300"/>
      <c r="Q789" s="563"/>
      <c r="R789" s="563"/>
      <c r="S789" s="563"/>
      <c r="T789" s="563"/>
      <c r="U789" s="563"/>
      <c r="V789" s="563"/>
      <c r="W789" s="563"/>
      <c r="X789" s="563"/>
      <c r="Y789" s="563"/>
      <c r="Z789" s="563"/>
      <c r="AA789" s="563"/>
      <c r="AB789" s="563"/>
      <c r="AC789" s="563"/>
      <c r="AD789" s="48"/>
      <c r="AE789" s="48"/>
      <c r="AF789" s="258"/>
      <c r="AG789" s="48"/>
      <c r="AH789" s="48"/>
      <c r="AI789" s="258"/>
      <c r="AJ789" s="258"/>
      <c r="AK789" s="258"/>
      <c r="AL789" s="258"/>
      <c r="AM789" s="212">
        <f>IF(AQ789=1,SUM(Q789:T789,W789:Z789,AC789:AF789,AI789:AL789),
IF(AQ789=2,SUM(P789,S789:V789,Y789:AB789,AE789:AH789,AK789:AL789),
IF(AQ789=3,SUM(P789:R789,U789:X789,AA789:AD789,AG789:AJ789),SUM(Таблица1[[#This Row],[1]:[31]])-Таблица1[[#This Row],[Столбец1]])))</f>
        <v>0</v>
      </c>
      <c r="AN789" s="778">
        <f t="array" ref="AN789">IF(AQ789=1,SUM(P789,U789:V789,AA789:AB789,AG789:AH789),
IF(AQ789=2,SUM(Q789:R789,W789:X789,AC789:AD789,AI789:AJ789),
IF(AQ789=3,SUM(S789:T789,Y789:Z789,AE789:AF789,AK789:AL789),
SUM(IFERROR(WEEKDAY($H$2:$AL$2,2)&gt;5,)*H789:AL789))))+Таблица1[[#This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89" s="292" t="b">
        <f>IF(AR789&lt;=3,(IF((G789="5/24"),((база!$M$6*Таблица1[[#This Row],[сумма]]*Таблица1[[#This Row],[коэф]])),
IF((G789="4/24"),((база!$M$5*Таблица1[[#This Row],[сумма]]*Таблица1[[#This Row],[коэф]])),
IF((G789="3/24"),((база!$M$4*Таблица1[[#This Row],[сумма]]*Таблица1[[#This Row],[коэф]])),
IF((G789="5/16"),((база!$L$6*Таблица1[[#This Row],[сумма]]*Таблица1[[#This Row],[коэф]])),
IF((G789="4/16"),((база!$L$5*Таблица1[[#This Row],[сумма]]*Таблица1[[#This Row],[коэф]])),
IF((G789="3/16"),((база!$L$4*Таблица1[[#This Row],[сумма]]*Таблица1[[#This Row],[коэф]])),
IF((G789="4/4"),((база!$I$5*Таблица1[[#This Row],[сумма]]*Таблица1[[#This Row],[коэф]])),
IF(OR(G789="2/4",G789="3/4"),((база!$I$4*Таблица1[[#This Row],[сумма]]*Таблица1[[#This Row],[коэф]])),
IF((G789="5/8"),((база!$J$6*Таблица1[[#This Row],[сумма]]*Таблица1[[#This Row],[коэф]])),
IF((G789="4/8"),((база!$J$5*Таблица1[[#This Row],[сумма]]*Таблица1[[#This Row],[коэф]])),
IF(OR(G789="3/8",G789="2/8"),((база!$J$4*Таблица1[[#This Row],[сумма]]*Таблица1[[#This Row],[коэф]])))))))))))))),
(IF((G789="5/24"),((база!$M$6*Таблица1[[#This Row],[сумма]]*Таблица1[[#This Row],[коэф]])),
IF(OR(G789="4/24",G789="3/24"),((база!$M$5*Таблица1[[#This Row],[сумма]]*Таблица1[[#This Row],[коэф]])),
IF((G789="5/16"),((база!$L$6*Таблица1[[#This Row],[сумма]]*Таблица1[[#This Row],[коэф]])),
IF(OR(G789="4/16",G789="3/16"),((база!$L$5*Таблица1[[#This Row],[сумма]]*Таблица1[[#This Row],[коэф]])),
IF(OR(G789="2/4",G789="3/4",G789="4/4"),((база!$I$5*Таблица1[[#This Row],[сумма]]*Таблица1[[#This Row],[коэф]])),
IF((G789="5/8"),((база!$J$6*Таблица1[[#This Row],[сумма]]*Таблица1[[#This Row],[коэф]])),
IF(OR(G789="4/8",G789="3/8",G789="2/8"),((база!$J$5*Таблица1[[#This Row],[сумма]]*Таблица1[[#This Row],[коэф]])))))))))))</f>
        <v>0</v>
      </c>
      <c r="AP789" s="730" t="b">
        <f>IF(AR789&lt;=3,(IF((G789="5/24"),((база!$M$6*2*Таблица1[[#This Row],[Столбец1]]*Таблица1[[#This Row],[коэф]])),
IF((G789="4/24"),((база!$M$5*2*Таблица1[[#This Row],[Столбец1]]*Таблица1[[#This Row],[коэф]])),
IF((G789="3/24"),((база!$M$4*2*Таблица1[[#This Row],[Столбец1]]*Таблица1[[#This Row],[коэф]])),
IF((G789="5/16"),((база!$L$6*2*Таблица1[[#This Row],[Столбец1]]*Таблица1[[#This Row],[коэф]])),
IF((G789="4/16"),((база!$L$5*2*Таблица1[[#This Row],[Столбец1]]*Таблица1[[#This Row],[коэф]])),
IF((G789="3/16"),((база!$L$4*2*Таблица1[[#This Row],[Столбец1]]*Таблица1[[#This Row],[коэф]])),
IF((G789="4/4"),((база!$I$5*2*Таблица1[[#This Row],[Столбец1]]*Таблица1[[#This Row],[коэф]])),
IF(OR(G789="2/4",G789="3/4"),((база!$I$4*2*Таблица1[[#This Row],[Столбец1]]*Таблица1[[#This Row],[коэф]])),
IF((G789="5/8"),((база!$J$6*2*Таблица1[[#This Row],[Столбец1]]*Таблица1[[#This Row],[коэф]])),
IF((G789="4/8"),((база!$J$5*2*Таблица1[[#This Row],[Столбец1]]*Таблица1[[#This Row],[коэф]])),
IF(OR(G789="3/8",G789="2/8"),((база!$J$4*2*Таблица1[[#This Row],[Столбец1]]*Таблица1[[#This Row],[коэф]])))))))))))))),
(IF((G789="5/24"),((база!$M$6*2*Таблица1[[#This Row],[Столбец1]]*Таблица1[[#This Row],[коэф]])),
IF(OR(G789="4/24",G789="3/24"),((база!$M$5*2*Таблица1[[#This Row],[Столбец1]]*Таблица1[[#This Row],[коэф]])),
IF((G789="5/16"),((база!$L$6*2*Таблица1[[#This Row],[Столбец1]]*Таблица1[[#This Row],[коэф]])),
IF(OR(G789="4/16",G789="3/16"),((база!$L$5*2*Таблица1[[#This Row],[Столбец1]]*Таблица1[[#This Row],[коэф]])),
IF(OR(G789="2/4",G789="3/4",G789="4/4"),((база!$I$5*2*Таблица1[[#This Row],[Столбец1]]*Таблица1[[#This Row],[коэф]])),
IF((G789="5/8"),((база!$J$6*2*Таблица1[[#This Row],[Столбец1]]*Таблица1[[#This Row],[коэф]])),
IF(OR(G789="4/8",G789="3/8",G789="2/8"),((база!$J$5*2*Таблица1[[#This Row],[Столбец1]]*Таблица1[[#This Row],[коэф]])))))))))))</f>
        <v>0</v>
      </c>
      <c r="AQ789" s="712" t="str">
        <f>IFERROR(INDEX(база!T:T, MATCH(F789,база!Q:Q,0)),"")</f>
        <v/>
      </c>
      <c r="AR789" s="208" t="str">
        <f>IFERROR(INDEX(база!D:D, MATCH(F789,база!B:B,0)),"")</f>
        <v/>
      </c>
      <c r="AS789" s="758" t="str">
        <f>IFERROR(INDEX(база!E:E, MATCH(F789,база!B:B,0)),"")</f>
        <v/>
      </c>
    </row>
    <row r="790" spans="1:45" ht="15">
      <c r="A790" s="66" t="str">
        <f t="shared" si="12"/>
        <v>январь</v>
      </c>
      <c r="B790" s="231">
        <v>2024</v>
      </c>
      <c r="C790" s="299"/>
      <c r="D790" s="61"/>
      <c r="E790" s="211"/>
      <c r="F790" s="680"/>
      <c r="G790" s="47"/>
      <c r="H790" s="563"/>
      <c r="I790" s="563"/>
      <c r="J790" s="563"/>
      <c r="K790" s="563"/>
      <c r="L790" s="563"/>
      <c r="M790" s="563"/>
      <c r="N790" s="563"/>
      <c r="O790" s="563"/>
      <c r="P790" s="300"/>
      <c r="Q790" s="563"/>
      <c r="R790" s="563"/>
      <c r="S790" s="563"/>
      <c r="T790" s="563"/>
      <c r="U790" s="563"/>
      <c r="V790" s="563"/>
      <c r="W790" s="563"/>
      <c r="X790" s="563"/>
      <c r="Y790" s="563"/>
      <c r="Z790" s="563"/>
      <c r="AA790" s="563"/>
      <c r="AB790" s="563"/>
      <c r="AC790" s="563"/>
      <c r="AD790" s="48"/>
      <c r="AE790" s="48"/>
      <c r="AF790" s="258"/>
      <c r="AG790" s="48"/>
      <c r="AH790" s="48"/>
      <c r="AI790" s="48"/>
      <c r="AJ790" s="48"/>
      <c r="AK790" s="48"/>
      <c r="AL790" s="51"/>
      <c r="AM790" s="212">
        <f>IF(AQ790=1,SUM(Q790:T790,W790:Z790,AC790:AF790,AI790:AL790),
IF(AQ790=2,SUM(P790,S790:V790,Y790:AB790,AE790:AH790,AK790:AL790),
IF(AQ790=3,SUM(P790:R790,U790:X790,AA790:AD790,AG790:AJ790),SUM(Таблица1[[#This Row],[1]:[31]])-Таблица1[[#This Row],[Столбец1]])))</f>
        <v>0</v>
      </c>
      <c r="AN790" s="778">
        <f t="array" ref="AN790">IF(AQ790=1,SUM(P790,U790:V790,AA790:AB790,AG790:AH790),
IF(AQ790=2,SUM(Q790:R790,W790:X790,AC790:AD790,AI790:AJ790),
IF(AQ790=3,SUM(S790:T790,Y790:Z790,AE790:AF790,AK790:AL790),
SUM(IFERROR(WEEKDAY($H$2:$AL$2,2)&gt;5,)*H790:AL790))))+Таблица1[[#This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90" s="292" t="b">
        <f>IF(AR790&lt;=3,(IF((G790="5/24"),((база!$M$6*Таблица1[[#This Row],[сумма]]*Таблица1[[#This Row],[коэф]])),
IF((G790="4/24"),((база!$M$5*Таблица1[[#This Row],[сумма]]*Таблица1[[#This Row],[коэф]])),
IF((G790="3/24"),((база!$M$4*Таблица1[[#This Row],[сумма]]*Таблица1[[#This Row],[коэф]])),
IF((G790="5/16"),((база!$L$6*Таблица1[[#This Row],[сумма]]*Таблица1[[#This Row],[коэф]])),
IF((G790="4/16"),((база!$L$5*Таблица1[[#This Row],[сумма]]*Таблица1[[#This Row],[коэф]])),
IF((G790="3/16"),((база!$L$4*Таблица1[[#This Row],[сумма]]*Таблица1[[#This Row],[коэф]])),
IF((G790="4/4"),((база!$I$5*Таблица1[[#This Row],[сумма]]*Таблица1[[#This Row],[коэф]])),
IF(OR(G790="2/4",G790="3/4"),((база!$I$4*Таблица1[[#This Row],[сумма]]*Таблица1[[#This Row],[коэф]])),
IF((G790="5/8"),((база!$J$6*Таблица1[[#This Row],[сумма]]*Таблица1[[#This Row],[коэф]])),
IF((G790="4/8"),((база!$J$5*Таблица1[[#This Row],[сумма]]*Таблица1[[#This Row],[коэф]])),
IF(OR(G790="3/8",G790="2/8"),((база!$J$4*Таблица1[[#This Row],[сумма]]*Таблица1[[#This Row],[коэф]])))))))))))))),
(IF((G790="5/24"),((база!$M$6*Таблица1[[#This Row],[сумма]]*Таблица1[[#This Row],[коэф]])),
IF(OR(G790="4/24",G790="3/24"),((база!$M$5*Таблица1[[#This Row],[сумма]]*Таблица1[[#This Row],[коэф]])),
IF((G790="5/16"),((база!$L$6*Таблица1[[#This Row],[сумма]]*Таблица1[[#This Row],[коэф]])),
IF(OR(G790="4/16",G790="3/16"),((база!$L$5*Таблица1[[#This Row],[сумма]]*Таблица1[[#This Row],[коэф]])),
IF(OR(G790="2/4",G790="3/4",G790="4/4"),((база!$I$5*Таблица1[[#This Row],[сумма]]*Таблица1[[#This Row],[коэф]])),
IF((G790="5/8"),((база!$J$6*Таблица1[[#This Row],[сумма]]*Таблица1[[#This Row],[коэф]])),
IF(OR(G790="4/8",G790="3/8",G790="2/8"),((база!$J$5*Таблица1[[#This Row],[сумма]]*Таблица1[[#This Row],[коэф]])))))))))))</f>
        <v>0</v>
      </c>
      <c r="AP790" s="730" t="b">
        <f>IF(AR790&lt;=3,(IF((G790="5/24"),((база!$M$6*2*Таблица1[[#This Row],[Столбец1]]*Таблица1[[#This Row],[коэф]])),
IF((G790="4/24"),((база!$M$5*2*Таблица1[[#This Row],[Столбец1]]*Таблица1[[#This Row],[коэф]])),
IF((G790="3/24"),((база!$M$4*2*Таблица1[[#This Row],[Столбец1]]*Таблица1[[#This Row],[коэф]])),
IF((G790="5/16"),((база!$L$6*2*Таблица1[[#This Row],[Столбец1]]*Таблица1[[#This Row],[коэф]])),
IF((G790="4/16"),((база!$L$5*2*Таблица1[[#This Row],[Столбец1]]*Таблица1[[#This Row],[коэф]])),
IF((G790="3/16"),((база!$L$4*2*Таблица1[[#This Row],[Столбец1]]*Таблица1[[#This Row],[коэф]])),
IF((G790="4/4"),((база!$I$5*2*Таблица1[[#This Row],[Столбец1]]*Таблица1[[#This Row],[коэф]])),
IF(OR(G790="2/4",G790="3/4"),((база!$I$4*2*Таблица1[[#This Row],[Столбец1]]*Таблица1[[#This Row],[коэф]])),
IF((G790="5/8"),((база!$J$6*2*Таблица1[[#This Row],[Столбец1]]*Таблица1[[#This Row],[коэф]])),
IF((G790="4/8"),((база!$J$5*2*Таблица1[[#This Row],[Столбец1]]*Таблица1[[#This Row],[коэф]])),
IF(OR(G790="3/8",G790="2/8"),((база!$J$4*2*Таблица1[[#This Row],[Столбец1]]*Таблица1[[#This Row],[коэф]])))))))))))))),
(IF((G790="5/24"),((база!$M$6*2*Таблица1[[#This Row],[Столбец1]]*Таблица1[[#This Row],[коэф]])),
IF(OR(G790="4/24",G790="3/24"),((база!$M$5*2*Таблица1[[#This Row],[Столбец1]]*Таблица1[[#This Row],[коэф]])),
IF((G790="5/16"),((база!$L$6*2*Таблица1[[#This Row],[Столбец1]]*Таблица1[[#This Row],[коэф]])),
IF(OR(G790="4/16",G790="3/16"),((база!$L$5*2*Таблица1[[#This Row],[Столбец1]]*Таблица1[[#This Row],[коэф]])),
IF(OR(G790="2/4",G790="3/4",G790="4/4"),((база!$I$5*2*Таблица1[[#This Row],[Столбец1]]*Таблица1[[#This Row],[коэф]])),
IF((G790="5/8"),((база!$J$6*2*Таблица1[[#This Row],[Столбец1]]*Таблица1[[#This Row],[коэф]])),
IF(OR(G790="4/8",G790="3/8",G790="2/8"),((база!$J$5*2*Таблица1[[#This Row],[Столбец1]]*Таблица1[[#This Row],[коэф]])))))))))))</f>
        <v>0</v>
      </c>
      <c r="AQ790" s="712" t="str">
        <f>IFERROR(INDEX(база!T:T, MATCH(F790,база!Q:Q,0)),"")</f>
        <v/>
      </c>
      <c r="AR790" s="208" t="str">
        <f>IFERROR(INDEX(база!D:D, MATCH(F790,база!B:B,0)),"")</f>
        <v/>
      </c>
      <c r="AS790" s="758" t="str">
        <f>IFERROR(INDEX(база!E:E, MATCH(F790,база!B:B,0)),"")</f>
        <v/>
      </c>
    </row>
    <row r="791" spans="1:45" ht="15">
      <c r="A791" s="66" t="str">
        <f t="shared" si="12"/>
        <v>январь</v>
      </c>
      <c r="B791" s="231">
        <v>2024</v>
      </c>
      <c r="C791" s="299"/>
      <c r="D791" s="61"/>
      <c r="E791" s="211"/>
      <c r="F791" s="680"/>
      <c r="G791" s="47"/>
      <c r="H791" s="563"/>
      <c r="I791" s="563"/>
      <c r="J791" s="563"/>
      <c r="K791" s="563"/>
      <c r="L791" s="563"/>
      <c r="M791" s="563"/>
      <c r="N791" s="563"/>
      <c r="O791" s="563"/>
      <c r="P791" s="300"/>
      <c r="Q791" s="563"/>
      <c r="R791" s="563"/>
      <c r="S791" s="563"/>
      <c r="T791" s="563"/>
      <c r="U791" s="563"/>
      <c r="V791" s="563"/>
      <c r="W791" s="563"/>
      <c r="X791" s="563"/>
      <c r="Y791" s="563"/>
      <c r="Z791" s="563"/>
      <c r="AA791" s="563"/>
      <c r="AB791" s="563"/>
      <c r="AC791" s="563"/>
      <c r="AD791" s="48"/>
      <c r="AE791" s="48"/>
      <c r="AF791" s="258"/>
      <c r="AG791" s="48"/>
      <c r="AH791" s="48"/>
      <c r="AI791" s="258"/>
      <c r="AJ791" s="258"/>
      <c r="AK791" s="258"/>
      <c r="AL791" s="258"/>
      <c r="AM791" s="212">
        <f>IF(AQ791=1,SUM(Q791:T791,W791:Z791,AC791:AF791,AI791:AL791),
IF(AQ791=2,SUM(P791,S791:V791,Y791:AB791,AE791:AH791,AK791:AL791),
IF(AQ791=3,SUM(P791:R791,U791:X791,AA791:AD791,AG791:AJ791),SUM(Таблица1[[#This Row],[1]:[31]])-Таблица1[[#This Row],[Столбец1]])))</f>
        <v>0</v>
      </c>
      <c r="AN791" s="778">
        <f t="array" ref="AN791">IF(AQ791=1,SUM(P791,U791:V791,AA791:AB791,AG791:AH791),
IF(AQ791=2,SUM(Q791:R791,W791:X791,AC791:AD791,AI791:AJ791),
IF(AQ791=3,SUM(S791:T791,Y791:Z791,AE791:AF791,AK791:AL791),
SUM(IFERROR(WEEKDAY($H$2:$AL$2,2)&gt;5,)*H791:AL791))))+Таблица1[[#This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91" s="292" t="b">
        <f>IF(AR791&lt;=3,(IF((G791="5/24"),((база!$M$6*Таблица1[[#This Row],[сумма]]*Таблица1[[#This Row],[коэф]])),
IF((G791="4/24"),((база!$M$5*Таблица1[[#This Row],[сумма]]*Таблица1[[#This Row],[коэф]])),
IF((G791="3/24"),((база!$M$4*Таблица1[[#This Row],[сумма]]*Таблица1[[#This Row],[коэф]])),
IF((G791="5/16"),((база!$L$6*Таблица1[[#This Row],[сумма]]*Таблица1[[#This Row],[коэф]])),
IF((G791="4/16"),((база!$L$5*Таблица1[[#This Row],[сумма]]*Таблица1[[#This Row],[коэф]])),
IF((G791="3/16"),((база!$L$4*Таблица1[[#This Row],[сумма]]*Таблица1[[#This Row],[коэф]])),
IF((G791="4/4"),((база!$I$5*Таблица1[[#This Row],[сумма]]*Таблица1[[#This Row],[коэф]])),
IF(OR(G791="2/4",G791="3/4"),((база!$I$4*Таблица1[[#This Row],[сумма]]*Таблица1[[#This Row],[коэф]])),
IF((G791="5/8"),((база!$J$6*Таблица1[[#This Row],[сумма]]*Таблица1[[#This Row],[коэф]])),
IF((G791="4/8"),((база!$J$5*Таблица1[[#This Row],[сумма]]*Таблица1[[#This Row],[коэф]])),
IF(OR(G791="3/8",G791="2/8"),((база!$J$4*Таблица1[[#This Row],[сумма]]*Таблица1[[#This Row],[коэф]])))))))))))))),
(IF((G791="5/24"),((база!$M$6*Таблица1[[#This Row],[сумма]]*Таблица1[[#This Row],[коэф]])),
IF(OR(G791="4/24",G791="3/24"),((база!$M$5*Таблица1[[#This Row],[сумма]]*Таблица1[[#This Row],[коэф]])),
IF((G791="5/16"),((база!$L$6*Таблица1[[#This Row],[сумма]]*Таблица1[[#This Row],[коэф]])),
IF(OR(G791="4/16",G791="3/16"),((база!$L$5*Таблица1[[#This Row],[сумма]]*Таблица1[[#This Row],[коэф]])),
IF(OR(G791="2/4",G791="3/4",G791="4/4"),((база!$I$5*Таблица1[[#This Row],[сумма]]*Таблица1[[#This Row],[коэф]])),
IF((G791="5/8"),((база!$J$6*Таблица1[[#This Row],[сумма]]*Таблица1[[#This Row],[коэф]])),
IF(OR(G791="4/8",G791="3/8",G791="2/8"),((база!$J$5*Таблица1[[#This Row],[сумма]]*Таблица1[[#This Row],[коэф]])))))))))))</f>
        <v>0</v>
      </c>
      <c r="AP791" s="730" t="b">
        <f>IF(AR791&lt;=3,(IF((G791="5/24"),((база!$M$6*2*Таблица1[[#This Row],[Столбец1]]*Таблица1[[#This Row],[коэф]])),
IF((G791="4/24"),((база!$M$5*2*Таблица1[[#This Row],[Столбец1]]*Таблица1[[#This Row],[коэф]])),
IF((G791="3/24"),((база!$M$4*2*Таблица1[[#This Row],[Столбец1]]*Таблица1[[#This Row],[коэф]])),
IF((G791="5/16"),((база!$L$6*2*Таблица1[[#This Row],[Столбец1]]*Таблица1[[#This Row],[коэф]])),
IF((G791="4/16"),((база!$L$5*2*Таблица1[[#This Row],[Столбец1]]*Таблица1[[#This Row],[коэф]])),
IF((G791="3/16"),((база!$L$4*2*Таблица1[[#This Row],[Столбец1]]*Таблица1[[#This Row],[коэф]])),
IF((G791="4/4"),((база!$I$5*2*Таблица1[[#This Row],[Столбец1]]*Таблица1[[#This Row],[коэф]])),
IF(OR(G791="2/4",G791="3/4"),((база!$I$4*2*Таблица1[[#This Row],[Столбец1]]*Таблица1[[#This Row],[коэф]])),
IF((G791="5/8"),((база!$J$6*2*Таблица1[[#This Row],[Столбец1]]*Таблица1[[#This Row],[коэф]])),
IF((G791="4/8"),((база!$J$5*2*Таблица1[[#This Row],[Столбец1]]*Таблица1[[#This Row],[коэф]])),
IF(OR(G791="3/8",G791="2/8"),((база!$J$4*2*Таблица1[[#This Row],[Столбец1]]*Таблица1[[#This Row],[коэф]])))))))))))))),
(IF((G791="5/24"),((база!$M$6*2*Таблица1[[#This Row],[Столбец1]]*Таблица1[[#This Row],[коэф]])),
IF(OR(G791="4/24",G791="3/24"),((база!$M$5*2*Таблица1[[#This Row],[Столбец1]]*Таблица1[[#This Row],[коэф]])),
IF((G791="5/16"),((база!$L$6*2*Таблица1[[#This Row],[Столбец1]]*Таблица1[[#This Row],[коэф]])),
IF(OR(G791="4/16",G791="3/16"),((база!$L$5*2*Таблица1[[#This Row],[Столбец1]]*Таблица1[[#This Row],[коэф]])),
IF(OR(G791="2/4",G791="3/4",G791="4/4"),((база!$I$5*2*Таблица1[[#This Row],[Столбец1]]*Таблица1[[#This Row],[коэф]])),
IF((G791="5/8"),((база!$J$6*2*Таблица1[[#This Row],[Столбец1]]*Таблица1[[#This Row],[коэф]])),
IF(OR(G791="4/8",G791="3/8",G791="2/8"),((база!$J$5*2*Таблица1[[#This Row],[Столбец1]]*Таблица1[[#This Row],[коэф]])))))))))))</f>
        <v>0</v>
      </c>
      <c r="AQ791" s="712" t="str">
        <f>IFERROR(INDEX(база!T:T, MATCH(F791,база!Q:Q,0)),"")</f>
        <v/>
      </c>
      <c r="AR791" s="208" t="str">
        <f>IFERROR(INDEX(база!D:D, MATCH(F791,база!B:B,0)),"")</f>
        <v/>
      </c>
      <c r="AS791" s="758" t="str">
        <f>IFERROR(INDEX(база!E:E, MATCH(F791,база!B:B,0)),"")</f>
        <v/>
      </c>
    </row>
    <row r="792" spans="1:45" ht="15">
      <c r="A792" s="66" t="str">
        <f t="shared" si="12"/>
        <v>январь</v>
      </c>
      <c r="B792" s="231">
        <v>2024</v>
      </c>
      <c r="C792" s="299"/>
      <c r="D792" s="61"/>
      <c r="E792" s="211"/>
      <c r="F792" s="680"/>
      <c r="G792" s="47"/>
      <c r="H792" s="563"/>
      <c r="I792" s="563"/>
      <c r="J792" s="563"/>
      <c r="K792" s="563"/>
      <c r="L792" s="563"/>
      <c r="M792" s="563"/>
      <c r="N792" s="563"/>
      <c r="O792" s="563"/>
      <c r="P792" s="300"/>
      <c r="Q792" s="563"/>
      <c r="R792" s="563"/>
      <c r="S792" s="563"/>
      <c r="T792" s="563"/>
      <c r="U792" s="563"/>
      <c r="V792" s="563"/>
      <c r="W792" s="563"/>
      <c r="X792" s="563"/>
      <c r="Y792" s="563"/>
      <c r="Z792" s="563"/>
      <c r="AA792" s="563"/>
      <c r="AB792" s="563"/>
      <c r="AC792" s="563"/>
      <c r="AD792" s="48"/>
      <c r="AE792" s="48"/>
      <c r="AF792" s="258"/>
      <c r="AG792" s="48"/>
      <c r="AH792" s="48"/>
      <c r="AI792" s="48"/>
      <c r="AJ792" s="48"/>
      <c r="AK792" s="48"/>
      <c r="AL792" s="51"/>
      <c r="AM792" s="212">
        <f>IF(AQ792=1,SUM(Q792:T792,W792:Z792,AC792:AF792,AI792:AL792),
IF(AQ792=2,SUM(P792,S792:V792,Y792:AB792,AE792:AH792,AK792:AL792),
IF(AQ792=3,SUM(P792:R792,U792:X792,AA792:AD792,AG792:AJ792),SUM(Таблица1[[#This Row],[1]:[31]])-Таблица1[[#This Row],[Столбец1]])))</f>
        <v>0</v>
      </c>
      <c r="AN792" s="778">
        <f t="array" ref="AN792">IF(AQ792=1,SUM(P792,U792:V792,AA792:AB792,AG792:AH792),
IF(AQ792=2,SUM(Q792:R792,W792:X792,AC792:AD792,AI792:AJ792),
IF(AQ792=3,SUM(S792:T792,Y792:Z792,AE792:AF792,AK792:AL792),
SUM(IFERROR(WEEKDAY($H$2:$AL$2,2)&gt;5,)*H792:AL792))))+Таблица1[[#This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92" s="292" t="b">
        <f>IF(AR792&lt;=3,(IF((G792="5/24"),((база!$M$6*Таблица1[[#This Row],[сумма]]*Таблица1[[#This Row],[коэф]])),
IF((G792="4/24"),((база!$M$5*Таблица1[[#This Row],[сумма]]*Таблица1[[#This Row],[коэф]])),
IF((G792="3/24"),((база!$M$4*Таблица1[[#This Row],[сумма]]*Таблица1[[#This Row],[коэф]])),
IF((G792="5/16"),((база!$L$6*Таблица1[[#This Row],[сумма]]*Таблица1[[#This Row],[коэф]])),
IF((G792="4/16"),((база!$L$5*Таблица1[[#This Row],[сумма]]*Таблица1[[#This Row],[коэф]])),
IF((G792="3/16"),((база!$L$4*Таблица1[[#This Row],[сумма]]*Таблица1[[#This Row],[коэф]])),
IF((G792="4/4"),((база!$I$5*Таблица1[[#This Row],[сумма]]*Таблица1[[#This Row],[коэф]])),
IF(OR(G792="2/4",G792="3/4"),((база!$I$4*Таблица1[[#This Row],[сумма]]*Таблица1[[#This Row],[коэф]])),
IF((G792="5/8"),((база!$J$6*Таблица1[[#This Row],[сумма]]*Таблица1[[#This Row],[коэф]])),
IF((G792="4/8"),((база!$J$5*Таблица1[[#This Row],[сумма]]*Таблица1[[#This Row],[коэф]])),
IF(OR(G792="3/8",G792="2/8"),((база!$J$4*Таблица1[[#This Row],[сумма]]*Таблица1[[#This Row],[коэф]])))))))))))))),
(IF((G792="5/24"),((база!$M$6*Таблица1[[#This Row],[сумма]]*Таблица1[[#This Row],[коэф]])),
IF(OR(G792="4/24",G792="3/24"),((база!$M$5*Таблица1[[#This Row],[сумма]]*Таблица1[[#This Row],[коэф]])),
IF((G792="5/16"),((база!$L$6*Таблица1[[#This Row],[сумма]]*Таблица1[[#This Row],[коэф]])),
IF(OR(G792="4/16",G792="3/16"),((база!$L$5*Таблица1[[#This Row],[сумма]]*Таблица1[[#This Row],[коэф]])),
IF(OR(G792="2/4",G792="3/4",G792="4/4"),((база!$I$5*Таблица1[[#This Row],[сумма]]*Таблица1[[#This Row],[коэф]])),
IF((G792="5/8"),((база!$J$6*Таблица1[[#This Row],[сумма]]*Таблица1[[#This Row],[коэф]])),
IF(OR(G792="4/8",G792="3/8",G792="2/8"),((база!$J$5*Таблица1[[#This Row],[сумма]]*Таблица1[[#This Row],[коэф]])))))))))))</f>
        <v>0</v>
      </c>
      <c r="AP792" s="730" t="b">
        <f>IF(AR792&lt;=3,(IF((G792="5/24"),((база!$M$6*2*Таблица1[[#This Row],[Столбец1]]*Таблица1[[#This Row],[коэф]])),
IF((G792="4/24"),((база!$M$5*2*Таблица1[[#This Row],[Столбец1]]*Таблица1[[#This Row],[коэф]])),
IF((G792="3/24"),((база!$M$4*2*Таблица1[[#This Row],[Столбец1]]*Таблица1[[#This Row],[коэф]])),
IF((G792="5/16"),((база!$L$6*2*Таблица1[[#This Row],[Столбец1]]*Таблица1[[#This Row],[коэф]])),
IF((G792="4/16"),((база!$L$5*2*Таблица1[[#This Row],[Столбец1]]*Таблица1[[#This Row],[коэф]])),
IF((G792="3/16"),((база!$L$4*2*Таблица1[[#This Row],[Столбец1]]*Таблица1[[#This Row],[коэф]])),
IF((G792="4/4"),((база!$I$5*2*Таблица1[[#This Row],[Столбец1]]*Таблица1[[#This Row],[коэф]])),
IF(OR(G792="2/4",G792="3/4"),((база!$I$4*2*Таблица1[[#This Row],[Столбец1]]*Таблица1[[#This Row],[коэф]])),
IF((G792="5/8"),((база!$J$6*2*Таблица1[[#This Row],[Столбец1]]*Таблица1[[#This Row],[коэф]])),
IF((G792="4/8"),((база!$J$5*2*Таблица1[[#This Row],[Столбец1]]*Таблица1[[#This Row],[коэф]])),
IF(OR(G792="3/8",G792="2/8"),((база!$J$4*2*Таблица1[[#This Row],[Столбец1]]*Таблица1[[#This Row],[коэф]])))))))))))))),
(IF((G792="5/24"),((база!$M$6*2*Таблица1[[#This Row],[Столбец1]]*Таблица1[[#This Row],[коэф]])),
IF(OR(G792="4/24",G792="3/24"),((база!$M$5*2*Таблица1[[#This Row],[Столбец1]]*Таблица1[[#This Row],[коэф]])),
IF((G792="5/16"),((база!$L$6*2*Таблица1[[#This Row],[Столбец1]]*Таблица1[[#This Row],[коэф]])),
IF(OR(G792="4/16",G792="3/16"),((база!$L$5*2*Таблица1[[#This Row],[Столбец1]]*Таблица1[[#This Row],[коэф]])),
IF(OR(G792="2/4",G792="3/4",G792="4/4"),((база!$I$5*2*Таблица1[[#This Row],[Столбец1]]*Таблица1[[#This Row],[коэф]])),
IF((G792="5/8"),((база!$J$6*2*Таблица1[[#This Row],[Столбец1]]*Таблица1[[#This Row],[коэф]])),
IF(OR(G792="4/8",G792="3/8",G792="2/8"),((база!$J$5*2*Таблица1[[#This Row],[Столбец1]]*Таблица1[[#This Row],[коэф]])))))))))))</f>
        <v>0</v>
      </c>
      <c r="AQ792" s="712" t="str">
        <f>IFERROR(INDEX(база!T:T, MATCH(F792,база!Q:Q,0)),"")</f>
        <v/>
      </c>
      <c r="AR792" s="208" t="str">
        <f>IFERROR(INDEX(база!D:D, MATCH(F792,база!B:B,0)),"")</f>
        <v/>
      </c>
      <c r="AS792" s="758" t="str">
        <f>IFERROR(INDEX(база!E:E, MATCH(F792,база!B:B,0)),"")</f>
        <v/>
      </c>
    </row>
    <row r="793" spans="1:45" ht="15">
      <c r="A793" s="66" t="str">
        <f t="shared" si="12"/>
        <v>январь</v>
      </c>
      <c r="B793" s="231">
        <v>2024</v>
      </c>
      <c r="C793" s="299"/>
      <c r="D793" s="61"/>
      <c r="E793" s="211"/>
      <c r="F793" s="680"/>
      <c r="G793" s="47"/>
      <c r="H793" s="563"/>
      <c r="I793" s="563"/>
      <c r="J793" s="563"/>
      <c r="K793" s="563"/>
      <c r="L793" s="563"/>
      <c r="M793" s="563"/>
      <c r="N793" s="563"/>
      <c r="O793" s="563"/>
      <c r="P793" s="300"/>
      <c r="Q793" s="563"/>
      <c r="R793" s="563"/>
      <c r="S793" s="563"/>
      <c r="T793" s="563"/>
      <c r="U793" s="563"/>
      <c r="V793" s="563"/>
      <c r="W793" s="563"/>
      <c r="X793" s="563"/>
      <c r="Y793" s="563"/>
      <c r="Z793" s="563"/>
      <c r="AA793" s="563"/>
      <c r="AB793" s="563"/>
      <c r="AC793" s="563"/>
      <c r="AD793" s="48"/>
      <c r="AE793" s="48"/>
      <c r="AF793" s="258"/>
      <c r="AG793" s="48"/>
      <c r="AH793" s="48"/>
      <c r="AI793" s="258"/>
      <c r="AJ793" s="258"/>
      <c r="AK793" s="258"/>
      <c r="AL793" s="258"/>
      <c r="AM793" s="212">
        <f>IF(AQ793=1,SUM(Q793:T793,W793:Z793,AC793:AF793,AI793:AL793),
IF(AQ793=2,SUM(P793,S793:V793,Y793:AB793,AE793:AH793,AK793:AL793),
IF(AQ793=3,SUM(P793:R793,U793:X793,AA793:AD793,AG793:AJ793),SUM(Таблица1[[#This Row],[1]:[31]])-Таблица1[[#This Row],[Столбец1]])))</f>
        <v>0</v>
      </c>
      <c r="AN793" s="778">
        <f t="array" ref="AN793">IF(AQ793=1,SUM(P793,U793:V793,AA793:AB793,AG793:AH793),
IF(AQ793=2,SUM(Q793:R793,W793:X793,AC793:AD793,AI793:AJ793),
IF(AQ793=3,SUM(S793:T793,Y793:Z793,AE793:AF793,AK793:AL793),
SUM(IFERROR(WEEKDAY($H$2:$AL$2,2)&gt;5,)*H793:AL793))))+Таблица1[[#This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93" s="292" t="b">
        <f>IF(AR793&lt;=3,(IF((G793="5/24"),((база!$M$6*Таблица1[[#This Row],[сумма]]*Таблица1[[#This Row],[коэф]])),
IF((G793="4/24"),((база!$M$5*Таблица1[[#This Row],[сумма]]*Таблица1[[#This Row],[коэф]])),
IF((G793="3/24"),((база!$M$4*Таблица1[[#This Row],[сумма]]*Таблица1[[#This Row],[коэф]])),
IF((G793="5/16"),((база!$L$6*Таблица1[[#This Row],[сумма]]*Таблица1[[#This Row],[коэф]])),
IF((G793="4/16"),((база!$L$5*Таблица1[[#This Row],[сумма]]*Таблица1[[#This Row],[коэф]])),
IF((G793="3/16"),((база!$L$4*Таблица1[[#This Row],[сумма]]*Таблица1[[#This Row],[коэф]])),
IF((G793="4/4"),((база!$I$5*Таблица1[[#This Row],[сумма]]*Таблица1[[#This Row],[коэф]])),
IF(OR(G793="2/4",G793="3/4"),((база!$I$4*Таблица1[[#This Row],[сумма]]*Таблица1[[#This Row],[коэф]])),
IF((G793="5/8"),((база!$J$6*Таблица1[[#This Row],[сумма]]*Таблица1[[#This Row],[коэф]])),
IF((G793="4/8"),((база!$J$5*Таблица1[[#This Row],[сумма]]*Таблица1[[#This Row],[коэф]])),
IF(OR(G793="3/8",G793="2/8"),((база!$J$4*Таблица1[[#This Row],[сумма]]*Таблица1[[#This Row],[коэф]])))))))))))))),
(IF((G793="5/24"),((база!$M$6*Таблица1[[#This Row],[сумма]]*Таблица1[[#This Row],[коэф]])),
IF(OR(G793="4/24",G793="3/24"),((база!$M$5*Таблица1[[#This Row],[сумма]]*Таблица1[[#This Row],[коэф]])),
IF((G793="5/16"),((база!$L$6*Таблица1[[#This Row],[сумма]]*Таблица1[[#This Row],[коэф]])),
IF(OR(G793="4/16",G793="3/16"),((база!$L$5*Таблица1[[#This Row],[сумма]]*Таблица1[[#This Row],[коэф]])),
IF(OR(G793="2/4",G793="3/4",G793="4/4"),((база!$I$5*Таблица1[[#This Row],[сумма]]*Таблица1[[#This Row],[коэф]])),
IF((G793="5/8"),((база!$J$6*Таблица1[[#This Row],[сумма]]*Таблица1[[#This Row],[коэф]])),
IF(OR(G793="4/8",G793="3/8",G793="2/8"),((база!$J$5*Таблица1[[#This Row],[сумма]]*Таблица1[[#This Row],[коэф]])))))))))))</f>
        <v>0</v>
      </c>
      <c r="AP793" s="730" t="b">
        <f>IF(AR793&lt;=3,(IF((G793="5/24"),((база!$M$6*2*Таблица1[[#This Row],[Столбец1]]*Таблица1[[#This Row],[коэф]])),
IF((G793="4/24"),((база!$M$5*2*Таблица1[[#This Row],[Столбец1]]*Таблица1[[#This Row],[коэф]])),
IF((G793="3/24"),((база!$M$4*2*Таблица1[[#This Row],[Столбец1]]*Таблица1[[#This Row],[коэф]])),
IF((G793="5/16"),((база!$L$6*2*Таблица1[[#This Row],[Столбец1]]*Таблица1[[#This Row],[коэф]])),
IF((G793="4/16"),((база!$L$5*2*Таблица1[[#This Row],[Столбец1]]*Таблица1[[#This Row],[коэф]])),
IF((G793="3/16"),((база!$L$4*2*Таблица1[[#This Row],[Столбец1]]*Таблица1[[#This Row],[коэф]])),
IF((G793="4/4"),((база!$I$5*2*Таблица1[[#This Row],[Столбец1]]*Таблица1[[#This Row],[коэф]])),
IF(OR(G793="2/4",G793="3/4"),((база!$I$4*2*Таблица1[[#This Row],[Столбец1]]*Таблица1[[#This Row],[коэф]])),
IF((G793="5/8"),((база!$J$6*2*Таблица1[[#This Row],[Столбец1]]*Таблица1[[#This Row],[коэф]])),
IF((G793="4/8"),((база!$J$5*2*Таблица1[[#This Row],[Столбец1]]*Таблица1[[#This Row],[коэф]])),
IF(OR(G793="3/8",G793="2/8"),((база!$J$4*2*Таблица1[[#This Row],[Столбец1]]*Таблица1[[#This Row],[коэф]])))))))))))))),
(IF((G793="5/24"),((база!$M$6*2*Таблица1[[#This Row],[Столбец1]]*Таблица1[[#This Row],[коэф]])),
IF(OR(G793="4/24",G793="3/24"),((база!$M$5*2*Таблица1[[#This Row],[Столбец1]]*Таблица1[[#This Row],[коэф]])),
IF((G793="5/16"),((база!$L$6*2*Таблица1[[#This Row],[Столбец1]]*Таблица1[[#This Row],[коэф]])),
IF(OR(G793="4/16",G793="3/16"),((база!$L$5*2*Таблица1[[#This Row],[Столбец1]]*Таблица1[[#This Row],[коэф]])),
IF(OR(G793="2/4",G793="3/4",G793="4/4"),((база!$I$5*2*Таблица1[[#This Row],[Столбец1]]*Таблица1[[#This Row],[коэф]])),
IF((G793="5/8"),((база!$J$6*2*Таблица1[[#This Row],[Столбец1]]*Таблица1[[#This Row],[коэф]])),
IF(OR(G793="4/8",G793="3/8",G793="2/8"),((база!$J$5*2*Таблица1[[#This Row],[Столбец1]]*Таблица1[[#This Row],[коэф]])))))))))))</f>
        <v>0</v>
      </c>
      <c r="AQ793" s="712" t="str">
        <f>IFERROR(INDEX(база!T:T, MATCH(F793,база!Q:Q,0)),"")</f>
        <v/>
      </c>
      <c r="AR793" s="208" t="str">
        <f>IFERROR(INDEX(база!D:D, MATCH(F793,база!B:B,0)),"")</f>
        <v/>
      </c>
      <c r="AS793" s="758" t="str">
        <f>IFERROR(INDEX(база!E:E, MATCH(F793,база!B:B,0)),"")</f>
        <v/>
      </c>
    </row>
    <row r="794" spans="1:45" ht="15">
      <c r="A794" s="66" t="str">
        <f t="shared" si="12"/>
        <v>январь</v>
      </c>
      <c r="B794" s="231">
        <v>2024</v>
      </c>
      <c r="C794" s="299"/>
      <c r="D794" s="61"/>
      <c r="E794" s="211"/>
      <c r="F794" s="680"/>
      <c r="G794" s="47"/>
      <c r="H794" s="563"/>
      <c r="I794" s="563"/>
      <c r="J794" s="563"/>
      <c r="K794" s="563"/>
      <c r="L794" s="563"/>
      <c r="M794" s="563"/>
      <c r="N794" s="563"/>
      <c r="O794" s="563"/>
      <c r="P794" s="300"/>
      <c r="Q794" s="563"/>
      <c r="R794" s="563"/>
      <c r="S794" s="563"/>
      <c r="T794" s="563"/>
      <c r="U794" s="563"/>
      <c r="V794" s="563"/>
      <c r="W794" s="563"/>
      <c r="X794" s="563"/>
      <c r="Y794" s="563"/>
      <c r="Z794" s="563"/>
      <c r="AA794" s="563"/>
      <c r="AB794" s="563"/>
      <c r="AC794" s="563"/>
      <c r="AD794" s="48"/>
      <c r="AE794" s="48"/>
      <c r="AF794" s="258"/>
      <c r="AG794" s="48"/>
      <c r="AH794" s="48"/>
      <c r="AI794" s="48"/>
      <c r="AJ794" s="48"/>
      <c r="AK794" s="48"/>
      <c r="AL794" s="51"/>
      <c r="AM794" s="212">
        <f>IF(AQ794=1,SUM(Q794:T794,W794:Z794,AC794:AF794,AI794:AL794),
IF(AQ794=2,SUM(P794,S794:V794,Y794:AB794,AE794:AH794,AK794:AL794),
IF(AQ794=3,SUM(P794:R794,U794:X794,AA794:AD794,AG794:AJ794),SUM(Таблица1[[#This Row],[1]:[31]])-Таблица1[[#This Row],[Столбец1]])))</f>
        <v>0</v>
      </c>
      <c r="AN794" s="778">
        <f t="array" ref="AN794">IF(AQ794=1,SUM(P794,U794:V794,AA794:AB794,AG794:AH794),
IF(AQ794=2,SUM(Q794:R794,W794:X794,AC794:AD794,AI794:AJ794),
IF(AQ794=3,SUM(S794:T794,Y794:Z794,AE794:AF794,AK794:AL794),
SUM(IFERROR(WEEKDAY($H$2:$AL$2,2)&gt;5,)*H794:AL794))))+Таблица1[[#This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94" s="292" t="b">
        <f>IF(AR794&lt;=3,(IF((G794="5/24"),((база!$M$6*Таблица1[[#This Row],[сумма]]*Таблица1[[#This Row],[коэф]])),
IF((G794="4/24"),((база!$M$5*Таблица1[[#This Row],[сумма]]*Таблица1[[#This Row],[коэф]])),
IF((G794="3/24"),((база!$M$4*Таблица1[[#This Row],[сумма]]*Таблица1[[#This Row],[коэф]])),
IF((G794="5/16"),((база!$L$6*Таблица1[[#This Row],[сумма]]*Таблица1[[#This Row],[коэф]])),
IF((G794="4/16"),((база!$L$5*Таблица1[[#This Row],[сумма]]*Таблица1[[#This Row],[коэф]])),
IF((G794="3/16"),((база!$L$4*Таблица1[[#This Row],[сумма]]*Таблица1[[#This Row],[коэф]])),
IF((G794="4/4"),((база!$I$5*Таблица1[[#This Row],[сумма]]*Таблица1[[#This Row],[коэф]])),
IF(OR(G794="2/4",G794="3/4"),((база!$I$4*Таблица1[[#This Row],[сумма]]*Таблица1[[#This Row],[коэф]])),
IF((G794="5/8"),((база!$J$6*Таблица1[[#This Row],[сумма]]*Таблица1[[#This Row],[коэф]])),
IF((G794="4/8"),((база!$J$5*Таблица1[[#This Row],[сумма]]*Таблица1[[#This Row],[коэф]])),
IF(OR(G794="3/8",G794="2/8"),((база!$J$4*Таблица1[[#This Row],[сумма]]*Таблица1[[#This Row],[коэф]])))))))))))))),
(IF((G794="5/24"),((база!$M$6*Таблица1[[#This Row],[сумма]]*Таблица1[[#This Row],[коэф]])),
IF(OR(G794="4/24",G794="3/24"),((база!$M$5*Таблица1[[#This Row],[сумма]]*Таблица1[[#This Row],[коэф]])),
IF((G794="5/16"),((база!$L$6*Таблица1[[#This Row],[сумма]]*Таблица1[[#This Row],[коэф]])),
IF(OR(G794="4/16",G794="3/16"),((база!$L$5*Таблица1[[#This Row],[сумма]]*Таблица1[[#This Row],[коэф]])),
IF(OR(G794="2/4",G794="3/4",G794="4/4"),((база!$I$5*Таблица1[[#This Row],[сумма]]*Таблица1[[#This Row],[коэф]])),
IF((G794="5/8"),((база!$J$6*Таблица1[[#This Row],[сумма]]*Таблица1[[#This Row],[коэф]])),
IF(OR(G794="4/8",G794="3/8",G794="2/8"),((база!$J$5*Таблица1[[#This Row],[сумма]]*Таблица1[[#This Row],[коэф]])))))))))))</f>
        <v>0</v>
      </c>
      <c r="AP794" s="730" t="b">
        <f>IF(AR794&lt;=3,(IF((G794="5/24"),((база!$M$6*2*Таблица1[[#This Row],[Столбец1]]*Таблица1[[#This Row],[коэф]])),
IF((G794="4/24"),((база!$M$5*2*Таблица1[[#This Row],[Столбец1]]*Таблица1[[#This Row],[коэф]])),
IF((G794="3/24"),((база!$M$4*2*Таблица1[[#This Row],[Столбец1]]*Таблица1[[#This Row],[коэф]])),
IF((G794="5/16"),((база!$L$6*2*Таблица1[[#This Row],[Столбец1]]*Таблица1[[#This Row],[коэф]])),
IF((G794="4/16"),((база!$L$5*2*Таблица1[[#This Row],[Столбец1]]*Таблица1[[#This Row],[коэф]])),
IF((G794="3/16"),((база!$L$4*2*Таблица1[[#This Row],[Столбец1]]*Таблица1[[#This Row],[коэф]])),
IF((G794="4/4"),((база!$I$5*2*Таблица1[[#This Row],[Столбец1]]*Таблица1[[#This Row],[коэф]])),
IF(OR(G794="2/4",G794="3/4"),((база!$I$4*2*Таблица1[[#This Row],[Столбец1]]*Таблица1[[#This Row],[коэф]])),
IF((G794="5/8"),((база!$J$6*2*Таблица1[[#This Row],[Столбец1]]*Таблица1[[#This Row],[коэф]])),
IF((G794="4/8"),((база!$J$5*2*Таблица1[[#This Row],[Столбец1]]*Таблица1[[#This Row],[коэф]])),
IF(OR(G794="3/8",G794="2/8"),((база!$J$4*2*Таблица1[[#This Row],[Столбец1]]*Таблица1[[#This Row],[коэф]])))))))))))))),
(IF((G794="5/24"),((база!$M$6*2*Таблица1[[#This Row],[Столбец1]]*Таблица1[[#This Row],[коэф]])),
IF(OR(G794="4/24",G794="3/24"),((база!$M$5*2*Таблица1[[#This Row],[Столбец1]]*Таблица1[[#This Row],[коэф]])),
IF((G794="5/16"),((база!$L$6*2*Таблица1[[#This Row],[Столбец1]]*Таблица1[[#This Row],[коэф]])),
IF(OR(G794="4/16",G794="3/16"),((база!$L$5*2*Таблица1[[#This Row],[Столбец1]]*Таблица1[[#This Row],[коэф]])),
IF(OR(G794="2/4",G794="3/4",G794="4/4"),((база!$I$5*2*Таблица1[[#This Row],[Столбец1]]*Таблица1[[#This Row],[коэф]])),
IF((G794="5/8"),((база!$J$6*2*Таблица1[[#This Row],[Столбец1]]*Таблица1[[#This Row],[коэф]])),
IF(OR(G794="4/8",G794="3/8",G794="2/8"),((база!$J$5*2*Таблица1[[#This Row],[Столбец1]]*Таблица1[[#This Row],[коэф]])))))))))))</f>
        <v>0</v>
      </c>
      <c r="AQ794" s="712" t="str">
        <f>IFERROR(INDEX(база!T:T, MATCH(F794,база!Q:Q,0)),"")</f>
        <v/>
      </c>
      <c r="AR794" s="208" t="str">
        <f>IFERROR(INDEX(база!D:D, MATCH(F794,база!B:B,0)),"")</f>
        <v/>
      </c>
      <c r="AS794" s="758" t="str">
        <f>IFERROR(INDEX(база!E:E, MATCH(F794,база!B:B,0)),"")</f>
        <v/>
      </c>
    </row>
    <row r="795" spans="1:45" ht="15">
      <c r="A795" s="66" t="str">
        <f t="shared" si="12"/>
        <v>январь</v>
      </c>
      <c r="B795" s="231">
        <v>2024</v>
      </c>
      <c r="C795" s="299"/>
      <c r="D795" s="61"/>
      <c r="E795" s="211"/>
      <c r="F795" s="680"/>
      <c r="G795" s="47"/>
      <c r="H795" s="563"/>
      <c r="I795" s="563"/>
      <c r="J795" s="563"/>
      <c r="K795" s="563"/>
      <c r="L795" s="563"/>
      <c r="M795" s="563"/>
      <c r="N795" s="563"/>
      <c r="O795" s="563"/>
      <c r="P795" s="300"/>
      <c r="Q795" s="563"/>
      <c r="R795" s="563"/>
      <c r="S795" s="563"/>
      <c r="T795" s="563"/>
      <c r="U795" s="563"/>
      <c r="V795" s="563"/>
      <c r="W795" s="563"/>
      <c r="X795" s="563"/>
      <c r="Y795" s="563"/>
      <c r="Z795" s="563"/>
      <c r="AA795" s="563"/>
      <c r="AB795" s="563"/>
      <c r="AC795" s="563"/>
      <c r="AD795" s="48"/>
      <c r="AE795" s="48"/>
      <c r="AF795" s="258"/>
      <c r="AG795" s="48"/>
      <c r="AH795" s="48"/>
      <c r="AI795" s="258"/>
      <c r="AJ795" s="258"/>
      <c r="AK795" s="258"/>
      <c r="AL795" s="258"/>
      <c r="AM795" s="212">
        <f>IF(AQ795=1,SUM(Q795:T795,W795:Z795,AC795:AF795,AI795:AL795),
IF(AQ795=2,SUM(P795,S795:V795,Y795:AB795,AE795:AH795,AK795:AL795),
IF(AQ795=3,SUM(P795:R795,U795:X795,AA795:AD795,AG795:AJ795),SUM(Таблица1[[#This Row],[1]:[31]])-Таблица1[[#This Row],[Столбец1]])))</f>
        <v>0</v>
      </c>
      <c r="AN795" s="778">
        <f t="array" ref="AN795">IF(AQ795=1,SUM(P795,U795:V795,AA795:AB795,AG795:AH795),
IF(AQ795=2,SUM(Q795:R795,W795:X795,AC795:AD795,AI795:AJ795),
IF(AQ795=3,SUM(S795:T795,Y795:Z795,AE795:AF795,AK795:AL795),
SUM(IFERROR(WEEKDAY($H$2:$AL$2,2)&gt;5,)*H795:AL795))))+Таблица1[[#This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95" s="292" t="b">
        <f>IF(AR795&lt;=3,(IF((G795="5/24"),((база!$M$6*Таблица1[[#This Row],[сумма]]*Таблица1[[#This Row],[коэф]])),
IF((G795="4/24"),((база!$M$5*Таблица1[[#This Row],[сумма]]*Таблица1[[#This Row],[коэф]])),
IF((G795="3/24"),((база!$M$4*Таблица1[[#This Row],[сумма]]*Таблица1[[#This Row],[коэф]])),
IF((G795="5/16"),((база!$L$6*Таблица1[[#This Row],[сумма]]*Таблица1[[#This Row],[коэф]])),
IF((G795="4/16"),((база!$L$5*Таблица1[[#This Row],[сумма]]*Таблица1[[#This Row],[коэф]])),
IF((G795="3/16"),((база!$L$4*Таблица1[[#This Row],[сумма]]*Таблица1[[#This Row],[коэф]])),
IF((G795="4/4"),((база!$I$5*Таблица1[[#This Row],[сумма]]*Таблица1[[#This Row],[коэф]])),
IF(OR(G795="2/4",G795="3/4"),((база!$I$4*Таблица1[[#This Row],[сумма]]*Таблица1[[#This Row],[коэф]])),
IF((G795="5/8"),((база!$J$6*Таблица1[[#This Row],[сумма]]*Таблица1[[#This Row],[коэф]])),
IF((G795="4/8"),((база!$J$5*Таблица1[[#This Row],[сумма]]*Таблица1[[#This Row],[коэф]])),
IF(OR(G795="3/8",G795="2/8"),((база!$J$4*Таблица1[[#This Row],[сумма]]*Таблица1[[#This Row],[коэф]])))))))))))))),
(IF((G795="5/24"),((база!$M$6*Таблица1[[#This Row],[сумма]]*Таблица1[[#This Row],[коэф]])),
IF(OR(G795="4/24",G795="3/24"),((база!$M$5*Таблица1[[#This Row],[сумма]]*Таблица1[[#This Row],[коэф]])),
IF((G795="5/16"),((база!$L$6*Таблица1[[#This Row],[сумма]]*Таблица1[[#This Row],[коэф]])),
IF(OR(G795="4/16",G795="3/16"),((база!$L$5*Таблица1[[#This Row],[сумма]]*Таблица1[[#This Row],[коэф]])),
IF(OR(G795="2/4",G795="3/4",G795="4/4"),((база!$I$5*Таблица1[[#This Row],[сумма]]*Таблица1[[#This Row],[коэф]])),
IF((G795="5/8"),((база!$J$6*Таблица1[[#This Row],[сумма]]*Таблица1[[#This Row],[коэф]])),
IF(OR(G795="4/8",G795="3/8",G795="2/8"),((база!$J$5*Таблица1[[#This Row],[сумма]]*Таблица1[[#This Row],[коэф]])))))))))))</f>
        <v>0</v>
      </c>
      <c r="AP795" s="730" t="b">
        <f>IF(AR795&lt;=3,(IF((G795="5/24"),((база!$M$6*2*Таблица1[[#This Row],[Столбец1]]*Таблица1[[#This Row],[коэф]])),
IF((G795="4/24"),((база!$M$5*2*Таблица1[[#This Row],[Столбец1]]*Таблица1[[#This Row],[коэф]])),
IF((G795="3/24"),((база!$M$4*2*Таблица1[[#This Row],[Столбец1]]*Таблица1[[#This Row],[коэф]])),
IF((G795="5/16"),((база!$L$6*2*Таблица1[[#This Row],[Столбец1]]*Таблица1[[#This Row],[коэф]])),
IF((G795="4/16"),((база!$L$5*2*Таблица1[[#This Row],[Столбец1]]*Таблица1[[#This Row],[коэф]])),
IF((G795="3/16"),((база!$L$4*2*Таблица1[[#This Row],[Столбец1]]*Таблица1[[#This Row],[коэф]])),
IF((G795="4/4"),((база!$I$5*2*Таблица1[[#This Row],[Столбец1]]*Таблица1[[#This Row],[коэф]])),
IF(OR(G795="2/4",G795="3/4"),((база!$I$4*2*Таблица1[[#This Row],[Столбец1]]*Таблица1[[#This Row],[коэф]])),
IF((G795="5/8"),((база!$J$6*2*Таблица1[[#This Row],[Столбец1]]*Таблица1[[#This Row],[коэф]])),
IF((G795="4/8"),((база!$J$5*2*Таблица1[[#This Row],[Столбец1]]*Таблица1[[#This Row],[коэф]])),
IF(OR(G795="3/8",G795="2/8"),((база!$J$4*2*Таблица1[[#This Row],[Столбец1]]*Таблица1[[#This Row],[коэф]])))))))))))))),
(IF((G795="5/24"),((база!$M$6*2*Таблица1[[#This Row],[Столбец1]]*Таблица1[[#This Row],[коэф]])),
IF(OR(G795="4/24",G795="3/24"),((база!$M$5*2*Таблица1[[#This Row],[Столбец1]]*Таблица1[[#This Row],[коэф]])),
IF((G795="5/16"),((база!$L$6*2*Таблица1[[#This Row],[Столбец1]]*Таблица1[[#This Row],[коэф]])),
IF(OR(G795="4/16",G795="3/16"),((база!$L$5*2*Таблица1[[#This Row],[Столбец1]]*Таблица1[[#This Row],[коэф]])),
IF(OR(G795="2/4",G795="3/4",G795="4/4"),((база!$I$5*2*Таблица1[[#This Row],[Столбец1]]*Таблица1[[#This Row],[коэф]])),
IF((G795="5/8"),((база!$J$6*2*Таблица1[[#This Row],[Столбец1]]*Таблица1[[#This Row],[коэф]])),
IF(OR(G795="4/8",G795="3/8",G795="2/8"),((база!$J$5*2*Таблица1[[#This Row],[Столбец1]]*Таблица1[[#This Row],[коэф]])))))))))))</f>
        <v>0</v>
      </c>
      <c r="AQ795" s="712" t="str">
        <f>IFERROR(INDEX(база!T:T, MATCH(F795,база!Q:Q,0)),"")</f>
        <v/>
      </c>
      <c r="AR795" s="208" t="str">
        <f>IFERROR(INDEX(база!D:D, MATCH(F795,база!B:B,0)),"")</f>
        <v/>
      </c>
      <c r="AS795" s="758" t="str">
        <f>IFERROR(INDEX(база!E:E, MATCH(F795,база!B:B,0)),"")</f>
        <v/>
      </c>
    </row>
    <row r="796" spans="1:45" ht="15">
      <c r="A796" s="66" t="str">
        <f t="shared" si="12"/>
        <v>январь</v>
      </c>
      <c r="B796" s="231">
        <v>2024</v>
      </c>
      <c r="C796" s="299"/>
      <c r="D796" s="61"/>
      <c r="E796" s="211"/>
      <c r="F796" s="680"/>
      <c r="G796" s="47"/>
      <c r="H796" s="563"/>
      <c r="I796" s="563"/>
      <c r="J796" s="563"/>
      <c r="K796" s="563"/>
      <c r="L796" s="563"/>
      <c r="M796" s="563"/>
      <c r="N796" s="563"/>
      <c r="O796" s="563"/>
      <c r="P796" s="300"/>
      <c r="Q796" s="563"/>
      <c r="R796" s="563"/>
      <c r="S796" s="563"/>
      <c r="T796" s="563"/>
      <c r="U796" s="563"/>
      <c r="V796" s="563"/>
      <c r="W796" s="563"/>
      <c r="X796" s="563"/>
      <c r="Y796" s="563"/>
      <c r="Z796" s="563"/>
      <c r="AA796" s="563"/>
      <c r="AB796" s="563"/>
      <c r="AC796" s="563"/>
      <c r="AD796" s="48"/>
      <c r="AE796" s="48"/>
      <c r="AF796" s="258"/>
      <c r="AG796" s="48"/>
      <c r="AH796" s="48"/>
      <c r="AI796" s="48"/>
      <c r="AJ796" s="48"/>
      <c r="AK796" s="48"/>
      <c r="AL796" s="51"/>
      <c r="AM796" s="212">
        <f>IF(AQ796=1,SUM(Q796:T796,W796:Z796,AC796:AF796,AI796:AL796),
IF(AQ796=2,SUM(P796,S796:V796,Y796:AB796,AE796:AH796,AK796:AL796),
IF(AQ796=3,SUM(P796:R796,U796:X796,AA796:AD796,AG796:AJ796),SUM(Таблица1[[#This Row],[1]:[31]])-Таблица1[[#This Row],[Столбец1]])))</f>
        <v>0</v>
      </c>
      <c r="AN796" s="778">
        <f t="array" ref="AN796">IF(AQ796=1,SUM(P796,U796:V796,AA796:AB796,AG796:AH796),
IF(AQ796=2,SUM(Q796:R796,W796:X796,AC796:AD796,AI796:AJ796),
IF(AQ796=3,SUM(S796:T796,Y796:Z796,AE796:AF796,AK796:AL796),
SUM(IFERROR(WEEKDAY($H$2:$AL$2,2)&gt;5,)*H796:AL796))))+Таблица1[[#This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96" s="292" t="b">
        <f>IF(AR796&lt;=3,(IF((G796="5/24"),((база!$M$6*Таблица1[[#This Row],[сумма]]*Таблица1[[#This Row],[коэф]])),
IF((G796="4/24"),((база!$M$5*Таблица1[[#This Row],[сумма]]*Таблица1[[#This Row],[коэф]])),
IF((G796="3/24"),((база!$M$4*Таблица1[[#This Row],[сумма]]*Таблица1[[#This Row],[коэф]])),
IF((G796="5/16"),((база!$L$6*Таблица1[[#This Row],[сумма]]*Таблица1[[#This Row],[коэф]])),
IF((G796="4/16"),((база!$L$5*Таблица1[[#This Row],[сумма]]*Таблица1[[#This Row],[коэф]])),
IF((G796="3/16"),((база!$L$4*Таблица1[[#This Row],[сумма]]*Таблица1[[#This Row],[коэф]])),
IF((G796="4/4"),((база!$I$5*Таблица1[[#This Row],[сумма]]*Таблица1[[#This Row],[коэф]])),
IF(OR(G796="2/4",G796="3/4"),((база!$I$4*Таблица1[[#This Row],[сумма]]*Таблица1[[#This Row],[коэф]])),
IF((G796="5/8"),((база!$J$6*Таблица1[[#This Row],[сумма]]*Таблица1[[#This Row],[коэф]])),
IF((G796="4/8"),((база!$J$5*Таблица1[[#This Row],[сумма]]*Таблица1[[#This Row],[коэф]])),
IF(OR(G796="3/8",G796="2/8"),((база!$J$4*Таблица1[[#This Row],[сумма]]*Таблица1[[#This Row],[коэф]])))))))))))))),
(IF((G796="5/24"),((база!$M$6*Таблица1[[#This Row],[сумма]]*Таблица1[[#This Row],[коэф]])),
IF(OR(G796="4/24",G796="3/24"),((база!$M$5*Таблица1[[#This Row],[сумма]]*Таблица1[[#This Row],[коэф]])),
IF((G796="5/16"),((база!$L$6*Таблица1[[#This Row],[сумма]]*Таблица1[[#This Row],[коэф]])),
IF(OR(G796="4/16",G796="3/16"),((база!$L$5*Таблица1[[#This Row],[сумма]]*Таблица1[[#This Row],[коэф]])),
IF(OR(G796="2/4",G796="3/4",G796="4/4"),((база!$I$5*Таблица1[[#This Row],[сумма]]*Таблица1[[#This Row],[коэф]])),
IF((G796="5/8"),((база!$J$6*Таблица1[[#This Row],[сумма]]*Таблица1[[#This Row],[коэф]])),
IF(OR(G796="4/8",G796="3/8",G796="2/8"),((база!$J$5*Таблица1[[#This Row],[сумма]]*Таблица1[[#This Row],[коэф]])))))))))))</f>
        <v>0</v>
      </c>
      <c r="AP796" s="730" t="b">
        <f>IF(AR796&lt;=3,(IF((G796="5/24"),((база!$M$6*2*Таблица1[[#This Row],[Столбец1]]*Таблица1[[#This Row],[коэф]])),
IF((G796="4/24"),((база!$M$5*2*Таблица1[[#This Row],[Столбец1]]*Таблица1[[#This Row],[коэф]])),
IF((G796="3/24"),((база!$M$4*2*Таблица1[[#This Row],[Столбец1]]*Таблица1[[#This Row],[коэф]])),
IF((G796="5/16"),((база!$L$6*2*Таблица1[[#This Row],[Столбец1]]*Таблица1[[#This Row],[коэф]])),
IF((G796="4/16"),((база!$L$5*2*Таблица1[[#This Row],[Столбец1]]*Таблица1[[#This Row],[коэф]])),
IF((G796="3/16"),((база!$L$4*2*Таблица1[[#This Row],[Столбец1]]*Таблица1[[#This Row],[коэф]])),
IF((G796="4/4"),((база!$I$5*2*Таблица1[[#This Row],[Столбец1]]*Таблица1[[#This Row],[коэф]])),
IF(OR(G796="2/4",G796="3/4"),((база!$I$4*2*Таблица1[[#This Row],[Столбец1]]*Таблица1[[#This Row],[коэф]])),
IF((G796="5/8"),((база!$J$6*2*Таблица1[[#This Row],[Столбец1]]*Таблица1[[#This Row],[коэф]])),
IF((G796="4/8"),((база!$J$5*2*Таблица1[[#This Row],[Столбец1]]*Таблица1[[#This Row],[коэф]])),
IF(OR(G796="3/8",G796="2/8"),((база!$J$4*2*Таблица1[[#This Row],[Столбец1]]*Таблица1[[#This Row],[коэф]])))))))))))))),
(IF((G796="5/24"),((база!$M$6*2*Таблица1[[#This Row],[Столбец1]]*Таблица1[[#This Row],[коэф]])),
IF(OR(G796="4/24",G796="3/24"),((база!$M$5*2*Таблица1[[#This Row],[Столбец1]]*Таблица1[[#This Row],[коэф]])),
IF((G796="5/16"),((база!$L$6*2*Таблица1[[#This Row],[Столбец1]]*Таблица1[[#This Row],[коэф]])),
IF(OR(G796="4/16",G796="3/16"),((база!$L$5*2*Таблица1[[#This Row],[Столбец1]]*Таблица1[[#This Row],[коэф]])),
IF(OR(G796="2/4",G796="3/4",G796="4/4"),((база!$I$5*2*Таблица1[[#This Row],[Столбец1]]*Таблица1[[#This Row],[коэф]])),
IF((G796="5/8"),((база!$J$6*2*Таблица1[[#This Row],[Столбец1]]*Таблица1[[#This Row],[коэф]])),
IF(OR(G796="4/8",G796="3/8",G796="2/8"),((база!$J$5*2*Таблица1[[#This Row],[Столбец1]]*Таблица1[[#This Row],[коэф]])))))))))))</f>
        <v>0</v>
      </c>
      <c r="AQ796" s="712" t="str">
        <f>IFERROR(INDEX(база!T:T, MATCH(F796,база!Q:Q,0)),"")</f>
        <v/>
      </c>
      <c r="AR796" s="208" t="str">
        <f>IFERROR(INDEX(база!D:D, MATCH(F796,база!B:B,0)),"")</f>
        <v/>
      </c>
      <c r="AS796" s="758" t="str">
        <f>IFERROR(INDEX(база!E:E, MATCH(F796,база!B:B,0)),"")</f>
        <v/>
      </c>
    </row>
    <row r="797" spans="1:45" ht="15">
      <c r="A797" s="66" t="str">
        <f t="shared" si="12"/>
        <v>январь</v>
      </c>
      <c r="B797" s="231">
        <v>2024</v>
      </c>
      <c r="C797" s="299"/>
      <c r="D797" s="61"/>
      <c r="E797" s="211"/>
      <c r="F797" s="680"/>
      <c r="G797" s="47"/>
      <c r="H797" s="563"/>
      <c r="I797" s="563"/>
      <c r="J797" s="563"/>
      <c r="K797" s="563"/>
      <c r="L797" s="563"/>
      <c r="M797" s="563"/>
      <c r="N797" s="563"/>
      <c r="O797" s="563"/>
      <c r="P797" s="300"/>
      <c r="Q797" s="563"/>
      <c r="R797" s="563"/>
      <c r="S797" s="563"/>
      <c r="T797" s="563"/>
      <c r="U797" s="563"/>
      <c r="V797" s="563"/>
      <c r="W797" s="563"/>
      <c r="X797" s="563"/>
      <c r="Y797" s="563"/>
      <c r="Z797" s="563"/>
      <c r="AA797" s="563"/>
      <c r="AB797" s="563"/>
      <c r="AC797" s="563"/>
      <c r="AD797" s="48"/>
      <c r="AE797" s="48"/>
      <c r="AF797" s="258"/>
      <c r="AG797" s="48"/>
      <c r="AH797" s="48"/>
      <c r="AI797" s="258"/>
      <c r="AJ797" s="258"/>
      <c r="AK797" s="258"/>
      <c r="AL797" s="258"/>
      <c r="AM797" s="212">
        <f>IF(AQ797=1,SUM(Q797:T797,W797:Z797,AC797:AF797,AI797:AL797),
IF(AQ797=2,SUM(P797,S797:V797,Y797:AB797,AE797:AH797,AK797:AL797),
IF(AQ797=3,SUM(P797:R797,U797:X797,AA797:AD797,AG797:AJ797),SUM(Таблица1[[#This Row],[1]:[31]])-Таблица1[[#This Row],[Столбец1]])))</f>
        <v>0</v>
      </c>
      <c r="AN797" s="778">
        <f t="array" ref="AN797">IF(AQ797=1,SUM(P797,U797:V797,AA797:AB797,AG797:AH797),
IF(AQ797=2,SUM(Q797:R797,W797:X797,AC797:AD797,AI797:AJ797),
IF(AQ797=3,SUM(S797:T797,Y797:Z797,AE797:AF797,AK797:AL797),
SUM(IFERROR(WEEKDAY($H$2:$AL$2,2)&gt;5,)*H797:AL797))))+Таблица1[[#This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97" s="292" t="b">
        <f>IF(AR797&lt;=3,(IF((G797="5/24"),((база!$M$6*Таблица1[[#This Row],[сумма]]*Таблица1[[#This Row],[коэф]])),
IF((G797="4/24"),((база!$M$5*Таблица1[[#This Row],[сумма]]*Таблица1[[#This Row],[коэф]])),
IF((G797="3/24"),((база!$M$4*Таблица1[[#This Row],[сумма]]*Таблица1[[#This Row],[коэф]])),
IF((G797="5/16"),((база!$L$6*Таблица1[[#This Row],[сумма]]*Таблица1[[#This Row],[коэф]])),
IF((G797="4/16"),((база!$L$5*Таблица1[[#This Row],[сумма]]*Таблица1[[#This Row],[коэф]])),
IF((G797="3/16"),((база!$L$4*Таблица1[[#This Row],[сумма]]*Таблица1[[#This Row],[коэф]])),
IF((G797="4/4"),((база!$I$5*Таблица1[[#This Row],[сумма]]*Таблица1[[#This Row],[коэф]])),
IF(OR(G797="2/4",G797="3/4"),((база!$I$4*Таблица1[[#This Row],[сумма]]*Таблица1[[#This Row],[коэф]])),
IF((G797="5/8"),((база!$J$6*Таблица1[[#This Row],[сумма]]*Таблица1[[#This Row],[коэф]])),
IF((G797="4/8"),((база!$J$5*Таблица1[[#This Row],[сумма]]*Таблица1[[#This Row],[коэф]])),
IF(OR(G797="3/8",G797="2/8"),((база!$J$4*Таблица1[[#This Row],[сумма]]*Таблица1[[#This Row],[коэф]])))))))))))))),
(IF((G797="5/24"),((база!$M$6*Таблица1[[#This Row],[сумма]]*Таблица1[[#This Row],[коэф]])),
IF(OR(G797="4/24",G797="3/24"),((база!$M$5*Таблица1[[#This Row],[сумма]]*Таблица1[[#This Row],[коэф]])),
IF((G797="5/16"),((база!$L$6*Таблица1[[#This Row],[сумма]]*Таблица1[[#This Row],[коэф]])),
IF(OR(G797="4/16",G797="3/16"),((база!$L$5*Таблица1[[#This Row],[сумма]]*Таблица1[[#This Row],[коэф]])),
IF(OR(G797="2/4",G797="3/4",G797="4/4"),((база!$I$5*Таблица1[[#This Row],[сумма]]*Таблица1[[#This Row],[коэф]])),
IF((G797="5/8"),((база!$J$6*Таблица1[[#This Row],[сумма]]*Таблица1[[#This Row],[коэф]])),
IF(OR(G797="4/8",G797="3/8",G797="2/8"),((база!$J$5*Таблица1[[#This Row],[сумма]]*Таблица1[[#This Row],[коэф]])))))))))))</f>
        <v>0</v>
      </c>
      <c r="AP797" s="730" t="b">
        <f>IF(AR797&lt;=3,(IF((G797="5/24"),((база!$M$6*2*Таблица1[[#This Row],[Столбец1]]*Таблица1[[#This Row],[коэф]])),
IF((G797="4/24"),((база!$M$5*2*Таблица1[[#This Row],[Столбец1]]*Таблица1[[#This Row],[коэф]])),
IF((G797="3/24"),((база!$M$4*2*Таблица1[[#This Row],[Столбец1]]*Таблица1[[#This Row],[коэф]])),
IF((G797="5/16"),((база!$L$6*2*Таблица1[[#This Row],[Столбец1]]*Таблица1[[#This Row],[коэф]])),
IF((G797="4/16"),((база!$L$5*2*Таблица1[[#This Row],[Столбец1]]*Таблица1[[#This Row],[коэф]])),
IF((G797="3/16"),((база!$L$4*2*Таблица1[[#This Row],[Столбец1]]*Таблица1[[#This Row],[коэф]])),
IF((G797="4/4"),((база!$I$5*2*Таблица1[[#This Row],[Столбец1]]*Таблица1[[#This Row],[коэф]])),
IF(OR(G797="2/4",G797="3/4"),((база!$I$4*2*Таблица1[[#This Row],[Столбец1]]*Таблица1[[#This Row],[коэф]])),
IF((G797="5/8"),((база!$J$6*2*Таблица1[[#This Row],[Столбец1]]*Таблица1[[#This Row],[коэф]])),
IF((G797="4/8"),((база!$J$5*2*Таблица1[[#This Row],[Столбец1]]*Таблица1[[#This Row],[коэф]])),
IF(OR(G797="3/8",G797="2/8"),((база!$J$4*2*Таблица1[[#This Row],[Столбец1]]*Таблица1[[#This Row],[коэф]])))))))))))))),
(IF((G797="5/24"),((база!$M$6*2*Таблица1[[#This Row],[Столбец1]]*Таблица1[[#This Row],[коэф]])),
IF(OR(G797="4/24",G797="3/24"),((база!$M$5*2*Таблица1[[#This Row],[Столбец1]]*Таблица1[[#This Row],[коэф]])),
IF((G797="5/16"),((база!$L$6*2*Таблица1[[#This Row],[Столбец1]]*Таблица1[[#This Row],[коэф]])),
IF(OR(G797="4/16",G797="3/16"),((база!$L$5*2*Таблица1[[#This Row],[Столбец1]]*Таблица1[[#This Row],[коэф]])),
IF(OR(G797="2/4",G797="3/4",G797="4/4"),((база!$I$5*2*Таблица1[[#This Row],[Столбец1]]*Таблица1[[#This Row],[коэф]])),
IF((G797="5/8"),((база!$J$6*2*Таблица1[[#This Row],[Столбец1]]*Таблица1[[#This Row],[коэф]])),
IF(OR(G797="4/8",G797="3/8",G797="2/8"),((база!$J$5*2*Таблица1[[#This Row],[Столбец1]]*Таблица1[[#This Row],[коэф]])))))))))))</f>
        <v>0</v>
      </c>
      <c r="AQ797" s="712" t="str">
        <f>IFERROR(INDEX(база!T:T, MATCH(F797,база!Q:Q,0)),"")</f>
        <v/>
      </c>
      <c r="AR797" s="208" t="str">
        <f>IFERROR(INDEX(база!D:D, MATCH(F797,база!B:B,0)),"")</f>
        <v/>
      </c>
      <c r="AS797" s="758" t="str">
        <f>IFERROR(INDEX(база!E:E, MATCH(F797,база!B:B,0)),"")</f>
        <v/>
      </c>
    </row>
    <row r="798" spans="1:45" ht="15">
      <c r="A798" s="66" t="str">
        <f t="shared" si="12"/>
        <v>январь</v>
      </c>
      <c r="B798" s="231">
        <v>2024</v>
      </c>
      <c r="C798" s="299"/>
      <c r="D798" s="61"/>
      <c r="E798" s="211"/>
      <c r="F798" s="680"/>
      <c r="G798" s="47"/>
      <c r="H798" s="563"/>
      <c r="I798" s="563"/>
      <c r="J798" s="563"/>
      <c r="K798" s="563"/>
      <c r="L798" s="563"/>
      <c r="M798" s="563"/>
      <c r="N798" s="563"/>
      <c r="O798" s="563"/>
      <c r="P798" s="300"/>
      <c r="Q798" s="563"/>
      <c r="R798" s="563"/>
      <c r="S798" s="563"/>
      <c r="T798" s="563"/>
      <c r="U798" s="563"/>
      <c r="V798" s="563"/>
      <c r="W798" s="563"/>
      <c r="X798" s="563"/>
      <c r="Y798" s="563"/>
      <c r="Z798" s="563"/>
      <c r="AA798" s="563"/>
      <c r="AB798" s="563"/>
      <c r="AC798" s="563"/>
      <c r="AD798" s="48"/>
      <c r="AE798" s="48"/>
      <c r="AF798" s="258"/>
      <c r="AG798" s="48"/>
      <c r="AH798" s="48"/>
      <c r="AI798" s="48"/>
      <c r="AJ798" s="48"/>
      <c r="AK798" s="48"/>
      <c r="AL798" s="51"/>
      <c r="AM798" s="212">
        <f>IF(AQ798=1,SUM(Q798:T798,W798:Z798,AC798:AF798,AI798:AL798),
IF(AQ798=2,SUM(P798,S798:V798,Y798:AB798,AE798:AH798,AK798:AL798),
IF(AQ798=3,SUM(P798:R798,U798:X798,AA798:AD798,AG798:AJ798),SUM(Таблица1[[#This Row],[1]:[31]])-Таблица1[[#This Row],[Столбец1]])))</f>
        <v>0</v>
      </c>
      <c r="AN798" s="778">
        <f t="array" ref="AN798">IF(AQ798=1,SUM(P798,U798:V798,AA798:AB798,AG798:AH798),
IF(AQ798=2,SUM(Q798:R798,W798:X798,AC798:AD798,AI798:AJ798),
IF(AQ798=3,SUM(S798:T798,Y798:Z798,AE798:AF798,AK798:AL798),
SUM(IFERROR(WEEKDAY($H$2:$AL$2,2)&gt;5,)*H798:AL798))))+Таблица1[[#This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98" s="292" t="b">
        <f>IF(AR798&lt;=3,(IF((G798="5/24"),((база!$M$6*Таблица1[[#This Row],[сумма]]*Таблица1[[#This Row],[коэф]])),
IF((G798="4/24"),((база!$M$5*Таблица1[[#This Row],[сумма]]*Таблица1[[#This Row],[коэф]])),
IF((G798="3/24"),((база!$M$4*Таблица1[[#This Row],[сумма]]*Таблица1[[#This Row],[коэф]])),
IF((G798="5/16"),((база!$L$6*Таблица1[[#This Row],[сумма]]*Таблица1[[#This Row],[коэф]])),
IF((G798="4/16"),((база!$L$5*Таблица1[[#This Row],[сумма]]*Таблица1[[#This Row],[коэф]])),
IF((G798="3/16"),((база!$L$4*Таблица1[[#This Row],[сумма]]*Таблица1[[#This Row],[коэф]])),
IF((G798="4/4"),((база!$I$5*Таблица1[[#This Row],[сумма]]*Таблица1[[#This Row],[коэф]])),
IF(OR(G798="2/4",G798="3/4"),((база!$I$4*Таблица1[[#This Row],[сумма]]*Таблица1[[#This Row],[коэф]])),
IF((G798="5/8"),((база!$J$6*Таблица1[[#This Row],[сумма]]*Таблица1[[#This Row],[коэф]])),
IF((G798="4/8"),((база!$J$5*Таблица1[[#This Row],[сумма]]*Таблица1[[#This Row],[коэф]])),
IF(OR(G798="3/8",G798="2/8"),((база!$J$4*Таблица1[[#This Row],[сумма]]*Таблица1[[#This Row],[коэф]])))))))))))))),
(IF((G798="5/24"),((база!$M$6*Таблица1[[#This Row],[сумма]]*Таблица1[[#This Row],[коэф]])),
IF(OR(G798="4/24",G798="3/24"),((база!$M$5*Таблица1[[#This Row],[сумма]]*Таблица1[[#This Row],[коэф]])),
IF((G798="5/16"),((база!$L$6*Таблица1[[#This Row],[сумма]]*Таблица1[[#This Row],[коэф]])),
IF(OR(G798="4/16",G798="3/16"),((база!$L$5*Таблица1[[#This Row],[сумма]]*Таблица1[[#This Row],[коэф]])),
IF(OR(G798="2/4",G798="3/4",G798="4/4"),((база!$I$5*Таблица1[[#This Row],[сумма]]*Таблица1[[#This Row],[коэф]])),
IF((G798="5/8"),((база!$J$6*Таблица1[[#This Row],[сумма]]*Таблица1[[#This Row],[коэф]])),
IF(OR(G798="4/8",G798="3/8",G798="2/8"),((база!$J$5*Таблица1[[#This Row],[сумма]]*Таблица1[[#This Row],[коэф]])))))))))))</f>
        <v>0</v>
      </c>
      <c r="AP798" s="730" t="b">
        <f>IF(AR798&lt;=3,(IF((G798="5/24"),((база!$M$6*2*Таблица1[[#This Row],[Столбец1]]*Таблица1[[#This Row],[коэф]])),
IF((G798="4/24"),((база!$M$5*2*Таблица1[[#This Row],[Столбец1]]*Таблица1[[#This Row],[коэф]])),
IF((G798="3/24"),((база!$M$4*2*Таблица1[[#This Row],[Столбец1]]*Таблица1[[#This Row],[коэф]])),
IF((G798="5/16"),((база!$L$6*2*Таблица1[[#This Row],[Столбец1]]*Таблица1[[#This Row],[коэф]])),
IF((G798="4/16"),((база!$L$5*2*Таблица1[[#This Row],[Столбец1]]*Таблица1[[#This Row],[коэф]])),
IF((G798="3/16"),((база!$L$4*2*Таблица1[[#This Row],[Столбец1]]*Таблица1[[#This Row],[коэф]])),
IF((G798="4/4"),((база!$I$5*2*Таблица1[[#This Row],[Столбец1]]*Таблица1[[#This Row],[коэф]])),
IF(OR(G798="2/4",G798="3/4"),((база!$I$4*2*Таблица1[[#This Row],[Столбец1]]*Таблица1[[#This Row],[коэф]])),
IF((G798="5/8"),((база!$J$6*2*Таблица1[[#This Row],[Столбец1]]*Таблица1[[#This Row],[коэф]])),
IF((G798="4/8"),((база!$J$5*2*Таблица1[[#This Row],[Столбец1]]*Таблица1[[#This Row],[коэф]])),
IF(OR(G798="3/8",G798="2/8"),((база!$J$4*2*Таблица1[[#This Row],[Столбец1]]*Таблица1[[#This Row],[коэф]])))))))))))))),
(IF((G798="5/24"),((база!$M$6*2*Таблица1[[#This Row],[Столбец1]]*Таблица1[[#This Row],[коэф]])),
IF(OR(G798="4/24",G798="3/24"),((база!$M$5*2*Таблица1[[#This Row],[Столбец1]]*Таблица1[[#This Row],[коэф]])),
IF((G798="5/16"),((база!$L$6*2*Таблица1[[#This Row],[Столбец1]]*Таблица1[[#This Row],[коэф]])),
IF(OR(G798="4/16",G798="3/16"),((база!$L$5*2*Таблица1[[#This Row],[Столбец1]]*Таблица1[[#This Row],[коэф]])),
IF(OR(G798="2/4",G798="3/4",G798="4/4"),((база!$I$5*2*Таблица1[[#This Row],[Столбец1]]*Таблица1[[#This Row],[коэф]])),
IF((G798="5/8"),((база!$J$6*2*Таблица1[[#This Row],[Столбец1]]*Таблица1[[#This Row],[коэф]])),
IF(OR(G798="4/8",G798="3/8",G798="2/8"),((база!$J$5*2*Таблица1[[#This Row],[Столбец1]]*Таблица1[[#This Row],[коэф]])))))))))))</f>
        <v>0</v>
      </c>
      <c r="AQ798" s="712" t="str">
        <f>IFERROR(INDEX(база!T:T, MATCH(F798,база!Q:Q,0)),"")</f>
        <v/>
      </c>
      <c r="AR798" s="208" t="str">
        <f>IFERROR(INDEX(база!D:D, MATCH(F798,база!B:B,0)),"")</f>
        <v/>
      </c>
      <c r="AS798" s="758" t="str">
        <f>IFERROR(INDEX(база!E:E, MATCH(F798,база!B:B,0)),"")</f>
        <v/>
      </c>
    </row>
    <row r="799" spans="1:45" ht="15">
      <c r="A799" s="66" t="str">
        <f t="shared" si="12"/>
        <v>январь</v>
      </c>
      <c r="B799" s="231">
        <v>2024</v>
      </c>
      <c r="C799" s="299"/>
      <c r="D799" s="61"/>
      <c r="E799" s="211"/>
      <c r="F799" s="680"/>
      <c r="G799" s="47"/>
      <c r="H799" s="563"/>
      <c r="I799" s="563"/>
      <c r="J799" s="563"/>
      <c r="K799" s="563"/>
      <c r="L799" s="563"/>
      <c r="M799" s="563"/>
      <c r="N799" s="563"/>
      <c r="O799" s="563"/>
      <c r="P799" s="300"/>
      <c r="Q799" s="563"/>
      <c r="R799" s="563"/>
      <c r="S799" s="563"/>
      <c r="T799" s="563"/>
      <c r="U799" s="563"/>
      <c r="V799" s="563"/>
      <c r="W799" s="563"/>
      <c r="X799" s="563"/>
      <c r="Y799" s="563"/>
      <c r="Z799" s="563"/>
      <c r="AA799" s="563"/>
      <c r="AB799" s="563"/>
      <c r="AC799" s="563"/>
      <c r="AD799" s="48"/>
      <c r="AE799" s="48"/>
      <c r="AF799" s="258"/>
      <c r="AG799" s="48"/>
      <c r="AH799" s="48"/>
      <c r="AI799" s="258"/>
      <c r="AJ799" s="258"/>
      <c r="AK799" s="258"/>
      <c r="AL799" s="258"/>
      <c r="AM799" s="212">
        <f>IF(AQ799=1,SUM(Q799:T799,W799:Z799,AC799:AF799,AI799:AL799),
IF(AQ799=2,SUM(P799,S799:V799,Y799:AB799,AE799:AH799,AK799:AL799),
IF(AQ799=3,SUM(P799:R799,U799:X799,AA799:AD799,AG799:AJ799),SUM(Таблица1[[#This Row],[1]:[31]])-Таблица1[[#This Row],[Столбец1]])))</f>
        <v>0</v>
      </c>
      <c r="AN799" s="778">
        <f t="array" ref="AN799">IF(AQ799=1,SUM(P799,U799:V799,AA799:AB799,AG799:AH799),
IF(AQ799=2,SUM(Q799:R799,W799:X799,AC799:AD799,AI799:AJ799),
IF(AQ799=3,SUM(S799:T799,Y799:Z799,AE799:AF799,AK799:AL799),
SUM(IFERROR(WEEKDAY($H$2:$AL$2,2)&gt;5,)*H799:AL799))))+Таблица1[[#This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799" s="292" t="b">
        <f>IF(AR799&lt;=3,(IF((G799="5/24"),((база!$M$6*Таблица1[[#This Row],[сумма]]*Таблица1[[#This Row],[коэф]])),
IF((G799="4/24"),((база!$M$5*Таблица1[[#This Row],[сумма]]*Таблица1[[#This Row],[коэф]])),
IF((G799="3/24"),((база!$M$4*Таблица1[[#This Row],[сумма]]*Таблица1[[#This Row],[коэф]])),
IF((G799="5/16"),((база!$L$6*Таблица1[[#This Row],[сумма]]*Таблица1[[#This Row],[коэф]])),
IF((G799="4/16"),((база!$L$5*Таблица1[[#This Row],[сумма]]*Таблица1[[#This Row],[коэф]])),
IF((G799="3/16"),((база!$L$4*Таблица1[[#This Row],[сумма]]*Таблица1[[#This Row],[коэф]])),
IF((G799="4/4"),((база!$I$5*Таблица1[[#This Row],[сумма]]*Таблица1[[#This Row],[коэф]])),
IF(OR(G799="2/4",G799="3/4"),((база!$I$4*Таблица1[[#This Row],[сумма]]*Таблица1[[#This Row],[коэф]])),
IF((G799="5/8"),((база!$J$6*Таблица1[[#This Row],[сумма]]*Таблица1[[#This Row],[коэф]])),
IF((G799="4/8"),((база!$J$5*Таблица1[[#This Row],[сумма]]*Таблица1[[#This Row],[коэф]])),
IF(OR(G799="3/8",G799="2/8"),((база!$J$4*Таблица1[[#This Row],[сумма]]*Таблица1[[#This Row],[коэф]])))))))))))))),
(IF((G799="5/24"),((база!$M$6*Таблица1[[#This Row],[сумма]]*Таблица1[[#This Row],[коэф]])),
IF(OR(G799="4/24",G799="3/24"),((база!$M$5*Таблица1[[#This Row],[сумма]]*Таблица1[[#This Row],[коэф]])),
IF((G799="5/16"),((база!$L$6*Таблица1[[#This Row],[сумма]]*Таблица1[[#This Row],[коэф]])),
IF(OR(G799="4/16",G799="3/16"),((база!$L$5*Таблица1[[#This Row],[сумма]]*Таблица1[[#This Row],[коэф]])),
IF(OR(G799="2/4",G799="3/4",G799="4/4"),((база!$I$5*Таблица1[[#This Row],[сумма]]*Таблица1[[#This Row],[коэф]])),
IF((G799="5/8"),((база!$J$6*Таблица1[[#This Row],[сумма]]*Таблица1[[#This Row],[коэф]])),
IF(OR(G799="4/8",G799="3/8",G799="2/8"),((база!$J$5*Таблица1[[#This Row],[сумма]]*Таблица1[[#This Row],[коэф]])))))))))))</f>
        <v>0</v>
      </c>
      <c r="AP799" s="730" t="b">
        <f>IF(AR799&lt;=3,(IF((G799="5/24"),((база!$M$6*2*Таблица1[[#This Row],[Столбец1]]*Таблица1[[#This Row],[коэф]])),
IF((G799="4/24"),((база!$M$5*2*Таблица1[[#This Row],[Столбец1]]*Таблица1[[#This Row],[коэф]])),
IF((G799="3/24"),((база!$M$4*2*Таблица1[[#This Row],[Столбец1]]*Таблица1[[#This Row],[коэф]])),
IF((G799="5/16"),((база!$L$6*2*Таблица1[[#This Row],[Столбец1]]*Таблица1[[#This Row],[коэф]])),
IF((G799="4/16"),((база!$L$5*2*Таблица1[[#This Row],[Столбец1]]*Таблица1[[#This Row],[коэф]])),
IF((G799="3/16"),((база!$L$4*2*Таблица1[[#This Row],[Столбец1]]*Таблица1[[#This Row],[коэф]])),
IF((G799="4/4"),((база!$I$5*2*Таблица1[[#This Row],[Столбец1]]*Таблица1[[#This Row],[коэф]])),
IF(OR(G799="2/4",G799="3/4"),((база!$I$4*2*Таблица1[[#This Row],[Столбец1]]*Таблица1[[#This Row],[коэф]])),
IF((G799="5/8"),((база!$J$6*2*Таблица1[[#This Row],[Столбец1]]*Таблица1[[#This Row],[коэф]])),
IF((G799="4/8"),((база!$J$5*2*Таблица1[[#This Row],[Столбец1]]*Таблица1[[#This Row],[коэф]])),
IF(OR(G799="3/8",G799="2/8"),((база!$J$4*2*Таблица1[[#This Row],[Столбец1]]*Таблица1[[#This Row],[коэф]])))))))))))))),
(IF((G799="5/24"),((база!$M$6*2*Таблица1[[#This Row],[Столбец1]]*Таблица1[[#This Row],[коэф]])),
IF(OR(G799="4/24",G799="3/24"),((база!$M$5*2*Таблица1[[#This Row],[Столбец1]]*Таблица1[[#This Row],[коэф]])),
IF((G799="5/16"),((база!$L$6*2*Таблица1[[#This Row],[Столбец1]]*Таблица1[[#This Row],[коэф]])),
IF(OR(G799="4/16",G799="3/16"),((база!$L$5*2*Таблица1[[#This Row],[Столбец1]]*Таблица1[[#This Row],[коэф]])),
IF(OR(G799="2/4",G799="3/4",G799="4/4"),((база!$I$5*2*Таблица1[[#This Row],[Столбец1]]*Таблица1[[#This Row],[коэф]])),
IF((G799="5/8"),((база!$J$6*2*Таблица1[[#This Row],[Столбец1]]*Таблица1[[#This Row],[коэф]])),
IF(OR(G799="4/8",G799="3/8",G799="2/8"),((база!$J$5*2*Таблица1[[#This Row],[Столбец1]]*Таблица1[[#This Row],[коэф]])))))))))))</f>
        <v>0</v>
      </c>
      <c r="AQ799" s="712" t="str">
        <f>IFERROR(INDEX(база!T:T, MATCH(F799,база!Q:Q,0)),"")</f>
        <v/>
      </c>
      <c r="AR799" s="208" t="str">
        <f>IFERROR(INDEX(база!D:D, MATCH(F799,база!B:B,0)),"")</f>
        <v/>
      </c>
      <c r="AS799" s="758" t="str">
        <f>IFERROR(INDEX(база!E:E, MATCH(F799,база!B:B,0)),"")</f>
        <v/>
      </c>
    </row>
    <row r="800" spans="1:45" ht="15">
      <c r="A800" s="66" t="str">
        <f t="shared" si="12"/>
        <v>январь</v>
      </c>
      <c r="B800" s="231">
        <v>2024</v>
      </c>
      <c r="C800" s="299"/>
      <c r="D800" s="61"/>
      <c r="E800" s="211"/>
      <c r="F800" s="680"/>
      <c r="G800" s="47"/>
      <c r="H800" s="563"/>
      <c r="I800" s="563"/>
      <c r="J800" s="563"/>
      <c r="K800" s="563"/>
      <c r="L800" s="563"/>
      <c r="M800" s="563"/>
      <c r="N800" s="563"/>
      <c r="O800" s="563"/>
      <c r="P800" s="300"/>
      <c r="Q800" s="563"/>
      <c r="R800" s="563"/>
      <c r="S800" s="563"/>
      <c r="T800" s="563"/>
      <c r="U800" s="563"/>
      <c r="V800" s="563"/>
      <c r="W800" s="563"/>
      <c r="X800" s="563"/>
      <c r="Y800" s="563"/>
      <c r="Z800" s="563"/>
      <c r="AA800" s="563"/>
      <c r="AB800" s="563"/>
      <c r="AC800" s="563"/>
      <c r="AD800" s="48"/>
      <c r="AE800" s="48"/>
      <c r="AF800" s="258"/>
      <c r="AG800" s="48"/>
      <c r="AH800" s="48"/>
      <c r="AI800" s="48"/>
      <c r="AJ800" s="48"/>
      <c r="AK800" s="48"/>
      <c r="AL800" s="51"/>
      <c r="AM800" s="212">
        <f>IF(AQ800=1,SUM(Q800:T800,W800:Z800,AC800:AF800,AI800:AL800),
IF(AQ800=2,SUM(P800,S800:V800,Y800:AB800,AE800:AH800,AK800:AL800),
IF(AQ800=3,SUM(P800:R800,U800:X800,AA800:AD800,AG800:AJ800),SUM(Таблица1[[#This Row],[1]:[31]])-Таблица1[[#This Row],[Столбец1]])))</f>
        <v>0</v>
      </c>
      <c r="AN800" s="778">
        <f t="array" ref="AN800">IF(AQ800=1,SUM(P800,U800:V800,AA800:AB800,AG800:AH800),
IF(AQ800=2,SUM(Q800:R800,W800:X800,AC800:AD800,AI800:AJ800),
IF(AQ800=3,SUM(S800:T800,Y800:Z800,AE800:AF800,AK800:AL800),
SUM(IFERROR(WEEKDAY($H$2:$AL$2,2)&gt;5,)*H800:AL800))))+Таблица1[[#This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00" s="292" t="b">
        <f>IF(AR800&lt;=3,(IF((G800="5/24"),((база!$M$6*Таблица1[[#This Row],[сумма]]*Таблица1[[#This Row],[коэф]])),
IF((G800="4/24"),((база!$M$5*Таблица1[[#This Row],[сумма]]*Таблица1[[#This Row],[коэф]])),
IF((G800="3/24"),((база!$M$4*Таблица1[[#This Row],[сумма]]*Таблица1[[#This Row],[коэф]])),
IF((G800="5/16"),((база!$L$6*Таблица1[[#This Row],[сумма]]*Таблица1[[#This Row],[коэф]])),
IF((G800="4/16"),((база!$L$5*Таблица1[[#This Row],[сумма]]*Таблица1[[#This Row],[коэф]])),
IF((G800="3/16"),((база!$L$4*Таблица1[[#This Row],[сумма]]*Таблица1[[#This Row],[коэф]])),
IF((G800="4/4"),((база!$I$5*Таблица1[[#This Row],[сумма]]*Таблица1[[#This Row],[коэф]])),
IF(OR(G800="2/4",G800="3/4"),((база!$I$4*Таблица1[[#This Row],[сумма]]*Таблица1[[#This Row],[коэф]])),
IF((G800="5/8"),((база!$J$6*Таблица1[[#This Row],[сумма]]*Таблица1[[#This Row],[коэф]])),
IF((G800="4/8"),((база!$J$5*Таблица1[[#This Row],[сумма]]*Таблица1[[#This Row],[коэф]])),
IF(OR(G800="3/8",G800="2/8"),((база!$J$4*Таблица1[[#This Row],[сумма]]*Таблица1[[#This Row],[коэф]])))))))))))))),
(IF((G800="5/24"),((база!$M$6*Таблица1[[#This Row],[сумма]]*Таблица1[[#This Row],[коэф]])),
IF(OR(G800="4/24",G800="3/24"),((база!$M$5*Таблица1[[#This Row],[сумма]]*Таблица1[[#This Row],[коэф]])),
IF((G800="5/16"),((база!$L$6*Таблица1[[#This Row],[сумма]]*Таблица1[[#This Row],[коэф]])),
IF(OR(G800="4/16",G800="3/16"),((база!$L$5*Таблица1[[#This Row],[сумма]]*Таблица1[[#This Row],[коэф]])),
IF(OR(G800="2/4",G800="3/4",G800="4/4"),((база!$I$5*Таблица1[[#This Row],[сумма]]*Таблица1[[#This Row],[коэф]])),
IF((G800="5/8"),((база!$J$6*Таблица1[[#This Row],[сумма]]*Таблица1[[#This Row],[коэф]])),
IF(OR(G800="4/8",G800="3/8",G800="2/8"),((база!$J$5*Таблица1[[#This Row],[сумма]]*Таблица1[[#This Row],[коэф]])))))))))))</f>
        <v>0</v>
      </c>
      <c r="AP800" s="730" t="b">
        <f>IF(AR800&lt;=3,(IF((G800="5/24"),((база!$M$6*2*Таблица1[[#This Row],[Столбец1]]*Таблица1[[#This Row],[коэф]])),
IF((G800="4/24"),((база!$M$5*2*Таблица1[[#This Row],[Столбец1]]*Таблица1[[#This Row],[коэф]])),
IF((G800="3/24"),((база!$M$4*2*Таблица1[[#This Row],[Столбец1]]*Таблица1[[#This Row],[коэф]])),
IF((G800="5/16"),((база!$L$6*2*Таблица1[[#This Row],[Столбец1]]*Таблица1[[#This Row],[коэф]])),
IF((G800="4/16"),((база!$L$5*2*Таблица1[[#This Row],[Столбец1]]*Таблица1[[#This Row],[коэф]])),
IF((G800="3/16"),((база!$L$4*2*Таблица1[[#This Row],[Столбец1]]*Таблица1[[#This Row],[коэф]])),
IF((G800="4/4"),((база!$I$5*2*Таблица1[[#This Row],[Столбец1]]*Таблица1[[#This Row],[коэф]])),
IF(OR(G800="2/4",G800="3/4"),((база!$I$4*2*Таблица1[[#This Row],[Столбец1]]*Таблица1[[#This Row],[коэф]])),
IF((G800="5/8"),((база!$J$6*2*Таблица1[[#This Row],[Столбец1]]*Таблица1[[#This Row],[коэф]])),
IF((G800="4/8"),((база!$J$5*2*Таблица1[[#This Row],[Столбец1]]*Таблица1[[#This Row],[коэф]])),
IF(OR(G800="3/8",G800="2/8"),((база!$J$4*2*Таблица1[[#This Row],[Столбец1]]*Таблица1[[#This Row],[коэф]])))))))))))))),
(IF((G800="5/24"),((база!$M$6*2*Таблица1[[#This Row],[Столбец1]]*Таблица1[[#This Row],[коэф]])),
IF(OR(G800="4/24",G800="3/24"),((база!$M$5*2*Таблица1[[#This Row],[Столбец1]]*Таблица1[[#This Row],[коэф]])),
IF((G800="5/16"),((база!$L$6*2*Таблица1[[#This Row],[Столбец1]]*Таблица1[[#This Row],[коэф]])),
IF(OR(G800="4/16",G800="3/16"),((база!$L$5*2*Таблица1[[#This Row],[Столбец1]]*Таблица1[[#This Row],[коэф]])),
IF(OR(G800="2/4",G800="3/4",G800="4/4"),((база!$I$5*2*Таблица1[[#This Row],[Столбец1]]*Таблица1[[#This Row],[коэф]])),
IF((G800="5/8"),((база!$J$6*2*Таблица1[[#This Row],[Столбец1]]*Таблица1[[#This Row],[коэф]])),
IF(OR(G800="4/8",G800="3/8",G800="2/8"),((база!$J$5*2*Таблица1[[#This Row],[Столбец1]]*Таблица1[[#This Row],[коэф]])))))))))))</f>
        <v>0</v>
      </c>
      <c r="AQ800" s="712" t="str">
        <f>IFERROR(INDEX(база!T:T, MATCH(F800,база!Q:Q,0)),"")</f>
        <v/>
      </c>
      <c r="AR800" s="208" t="str">
        <f>IFERROR(INDEX(база!D:D, MATCH(F800,база!B:B,0)),"")</f>
        <v/>
      </c>
      <c r="AS800" s="758" t="str">
        <f>IFERROR(INDEX(база!E:E, MATCH(F800,база!B:B,0)),"")</f>
        <v/>
      </c>
    </row>
    <row r="801" spans="1:45" ht="15">
      <c r="A801" s="66" t="str">
        <f t="shared" si="12"/>
        <v>январь</v>
      </c>
      <c r="B801" s="231">
        <v>2024</v>
      </c>
      <c r="C801" s="299"/>
      <c r="D801" s="61"/>
      <c r="E801" s="211"/>
      <c r="F801" s="680"/>
      <c r="G801" s="47"/>
      <c r="H801" s="563"/>
      <c r="I801" s="563"/>
      <c r="J801" s="563"/>
      <c r="K801" s="563"/>
      <c r="L801" s="563"/>
      <c r="M801" s="563"/>
      <c r="N801" s="563"/>
      <c r="O801" s="563"/>
      <c r="P801" s="300"/>
      <c r="Q801" s="563"/>
      <c r="R801" s="563"/>
      <c r="S801" s="563"/>
      <c r="T801" s="563"/>
      <c r="U801" s="563"/>
      <c r="V801" s="563"/>
      <c r="W801" s="563"/>
      <c r="X801" s="563"/>
      <c r="Y801" s="563"/>
      <c r="Z801" s="563"/>
      <c r="AA801" s="563"/>
      <c r="AB801" s="563"/>
      <c r="AC801" s="563"/>
      <c r="AD801" s="48"/>
      <c r="AE801" s="48"/>
      <c r="AF801" s="258"/>
      <c r="AG801" s="48"/>
      <c r="AH801" s="48"/>
      <c r="AI801" s="258"/>
      <c r="AJ801" s="258"/>
      <c r="AK801" s="258"/>
      <c r="AL801" s="258"/>
      <c r="AM801" s="212">
        <f>IF(AQ801=1,SUM(Q801:T801,W801:Z801,AC801:AF801,AI801:AL801),
IF(AQ801=2,SUM(P801,S801:V801,Y801:AB801,AE801:AH801,AK801:AL801),
IF(AQ801=3,SUM(P801:R801,U801:X801,AA801:AD801,AG801:AJ801),SUM(Таблица1[[#This Row],[1]:[31]])-Таблица1[[#This Row],[Столбец1]])))</f>
        <v>0</v>
      </c>
      <c r="AN801" s="778">
        <f t="array" ref="AN801">IF(AQ801=1,SUM(P801,U801:V801,AA801:AB801,AG801:AH801),
IF(AQ801=2,SUM(Q801:R801,W801:X801,AC801:AD801,AI801:AJ801),
IF(AQ801=3,SUM(S801:T801,Y801:Z801,AE801:AF801,AK801:AL801),
SUM(IFERROR(WEEKDAY($H$2:$AL$2,2)&gt;5,)*H801:AL801))))+Таблица1[[#This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01" s="292" t="b">
        <f>IF(AR801&lt;=3,(IF((G801="5/24"),((база!$M$6*Таблица1[[#This Row],[сумма]]*Таблица1[[#This Row],[коэф]])),
IF((G801="4/24"),((база!$M$5*Таблица1[[#This Row],[сумма]]*Таблица1[[#This Row],[коэф]])),
IF((G801="3/24"),((база!$M$4*Таблица1[[#This Row],[сумма]]*Таблица1[[#This Row],[коэф]])),
IF((G801="5/16"),((база!$L$6*Таблица1[[#This Row],[сумма]]*Таблица1[[#This Row],[коэф]])),
IF((G801="4/16"),((база!$L$5*Таблица1[[#This Row],[сумма]]*Таблица1[[#This Row],[коэф]])),
IF((G801="3/16"),((база!$L$4*Таблица1[[#This Row],[сумма]]*Таблица1[[#This Row],[коэф]])),
IF((G801="4/4"),((база!$I$5*Таблица1[[#This Row],[сумма]]*Таблица1[[#This Row],[коэф]])),
IF(OR(G801="2/4",G801="3/4"),((база!$I$4*Таблица1[[#This Row],[сумма]]*Таблица1[[#This Row],[коэф]])),
IF((G801="5/8"),((база!$J$6*Таблица1[[#This Row],[сумма]]*Таблица1[[#This Row],[коэф]])),
IF((G801="4/8"),((база!$J$5*Таблица1[[#This Row],[сумма]]*Таблица1[[#This Row],[коэф]])),
IF(OR(G801="3/8",G801="2/8"),((база!$J$4*Таблица1[[#This Row],[сумма]]*Таблица1[[#This Row],[коэф]])))))))))))))),
(IF((G801="5/24"),((база!$M$6*Таблица1[[#This Row],[сумма]]*Таблица1[[#This Row],[коэф]])),
IF(OR(G801="4/24",G801="3/24"),((база!$M$5*Таблица1[[#This Row],[сумма]]*Таблица1[[#This Row],[коэф]])),
IF((G801="5/16"),((база!$L$6*Таблица1[[#This Row],[сумма]]*Таблица1[[#This Row],[коэф]])),
IF(OR(G801="4/16",G801="3/16"),((база!$L$5*Таблица1[[#This Row],[сумма]]*Таблица1[[#This Row],[коэф]])),
IF(OR(G801="2/4",G801="3/4",G801="4/4"),((база!$I$5*Таблица1[[#This Row],[сумма]]*Таблица1[[#This Row],[коэф]])),
IF((G801="5/8"),((база!$J$6*Таблица1[[#This Row],[сумма]]*Таблица1[[#This Row],[коэф]])),
IF(OR(G801="4/8",G801="3/8",G801="2/8"),((база!$J$5*Таблица1[[#This Row],[сумма]]*Таблица1[[#This Row],[коэф]])))))))))))</f>
        <v>0</v>
      </c>
      <c r="AP801" s="730" t="b">
        <f>IF(AR801&lt;=3,(IF((G801="5/24"),((база!$M$6*2*Таблица1[[#This Row],[Столбец1]]*Таблица1[[#This Row],[коэф]])),
IF((G801="4/24"),((база!$M$5*2*Таблица1[[#This Row],[Столбец1]]*Таблица1[[#This Row],[коэф]])),
IF((G801="3/24"),((база!$M$4*2*Таблица1[[#This Row],[Столбец1]]*Таблица1[[#This Row],[коэф]])),
IF((G801="5/16"),((база!$L$6*2*Таблица1[[#This Row],[Столбец1]]*Таблица1[[#This Row],[коэф]])),
IF((G801="4/16"),((база!$L$5*2*Таблица1[[#This Row],[Столбец1]]*Таблица1[[#This Row],[коэф]])),
IF((G801="3/16"),((база!$L$4*2*Таблица1[[#This Row],[Столбец1]]*Таблица1[[#This Row],[коэф]])),
IF((G801="4/4"),((база!$I$5*2*Таблица1[[#This Row],[Столбец1]]*Таблица1[[#This Row],[коэф]])),
IF(OR(G801="2/4",G801="3/4"),((база!$I$4*2*Таблица1[[#This Row],[Столбец1]]*Таблица1[[#This Row],[коэф]])),
IF((G801="5/8"),((база!$J$6*2*Таблица1[[#This Row],[Столбец1]]*Таблица1[[#This Row],[коэф]])),
IF((G801="4/8"),((база!$J$5*2*Таблица1[[#This Row],[Столбец1]]*Таблица1[[#This Row],[коэф]])),
IF(OR(G801="3/8",G801="2/8"),((база!$J$4*2*Таблица1[[#This Row],[Столбец1]]*Таблица1[[#This Row],[коэф]])))))))))))))),
(IF((G801="5/24"),((база!$M$6*2*Таблица1[[#This Row],[Столбец1]]*Таблица1[[#This Row],[коэф]])),
IF(OR(G801="4/24",G801="3/24"),((база!$M$5*2*Таблица1[[#This Row],[Столбец1]]*Таблица1[[#This Row],[коэф]])),
IF((G801="5/16"),((база!$L$6*2*Таблица1[[#This Row],[Столбец1]]*Таблица1[[#This Row],[коэф]])),
IF(OR(G801="4/16",G801="3/16"),((база!$L$5*2*Таблица1[[#This Row],[Столбец1]]*Таблица1[[#This Row],[коэф]])),
IF(OR(G801="2/4",G801="3/4",G801="4/4"),((база!$I$5*2*Таблица1[[#This Row],[Столбец1]]*Таблица1[[#This Row],[коэф]])),
IF((G801="5/8"),((база!$J$6*2*Таблица1[[#This Row],[Столбец1]]*Таблица1[[#This Row],[коэф]])),
IF(OR(G801="4/8",G801="3/8",G801="2/8"),((база!$J$5*2*Таблица1[[#This Row],[Столбец1]]*Таблица1[[#This Row],[коэф]])))))))))))</f>
        <v>0</v>
      </c>
      <c r="AQ801" s="712" t="str">
        <f>IFERROR(INDEX(база!T:T, MATCH(F801,база!Q:Q,0)),"")</f>
        <v/>
      </c>
      <c r="AR801" s="208" t="str">
        <f>IFERROR(INDEX(база!D:D, MATCH(F801,база!B:B,0)),"")</f>
        <v/>
      </c>
      <c r="AS801" s="758" t="str">
        <f>IFERROR(INDEX(база!E:E, MATCH(F801,база!B:B,0)),"")</f>
        <v/>
      </c>
    </row>
    <row r="802" spans="1:45" ht="15">
      <c r="A802" s="66" t="str">
        <f t="shared" si="12"/>
        <v>январь</v>
      </c>
      <c r="B802" s="231">
        <v>2024</v>
      </c>
      <c r="C802" s="299"/>
      <c r="D802" s="61"/>
      <c r="E802" s="211"/>
      <c r="F802" s="680"/>
      <c r="G802" s="47"/>
      <c r="H802" s="563"/>
      <c r="I802" s="563"/>
      <c r="J802" s="563"/>
      <c r="K802" s="563"/>
      <c r="L802" s="563"/>
      <c r="M802" s="563"/>
      <c r="N802" s="563"/>
      <c r="O802" s="563"/>
      <c r="P802" s="300"/>
      <c r="Q802" s="563"/>
      <c r="R802" s="563"/>
      <c r="S802" s="563"/>
      <c r="T802" s="563"/>
      <c r="U802" s="563"/>
      <c r="V802" s="563"/>
      <c r="W802" s="563"/>
      <c r="X802" s="563"/>
      <c r="Y802" s="563"/>
      <c r="Z802" s="563"/>
      <c r="AA802" s="563"/>
      <c r="AB802" s="563"/>
      <c r="AC802" s="563"/>
      <c r="AD802" s="48"/>
      <c r="AE802" s="48"/>
      <c r="AF802" s="258"/>
      <c r="AG802" s="48"/>
      <c r="AH802" s="48"/>
      <c r="AI802" s="48"/>
      <c r="AJ802" s="48"/>
      <c r="AK802" s="48"/>
      <c r="AL802" s="51"/>
      <c r="AM802" s="212">
        <f>IF(AQ802=1,SUM(Q802:T802,W802:Z802,AC802:AF802,AI802:AL802),
IF(AQ802=2,SUM(P802,S802:V802,Y802:AB802,AE802:AH802,AK802:AL802),
IF(AQ802=3,SUM(P802:R802,U802:X802,AA802:AD802,AG802:AJ802),SUM(Таблица1[[#This Row],[1]:[31]])-Таблица1[[#This Row],[Столбец1]])))</f>
        <v>0</v>
      </c>
      <c r="AN802" s="778">
        <f t="array" ref="AN802">IF(AQ802=1,SUM(P802,U802:V802,AA802:AB802,AG802:AH802),
IF(AQ802=2,SUM(Q802:R802,W802:X802,AC802:AD802,AI802:AJ802),
IF(AQ802=3,SUM(S802:T802,Y802:Z802,AE802:AF802,AK802:AL802),
SUM(IFERROR(WEEKDAY($H$2:$AL$2,2)&gt;5,)*H802:AL802))))+Таблица1[[#This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02" s="292" t="b">
        <f>IF(AR802&lt;=3,(IF((G802="5/24"),((база!$M$6*Таблица1[[#This Row],[сумма]]*Таблица1[[#This Row],[коэф]])),
IF((G802="4/24"),((база!$M$5*Таблица1[[#This Row],[сумма]]*Таблица1[[#This Row],[коэф]])),
IF((G802="3/24"),((база!$M$4*Таблица1[[#This Row],[сумма]]*Таблица1[[#This Row],[коэф]])),
IF((G802="5/16"),((база!$L$6*Таблица1[[#This Row],[сумма]]*Таблица1[[#This Row],[коэф]])),
IF((G802="4/16"),((база!$L$5*Таблица1[[#This Row],[сумма]]*Таблица1[[#This Row],[коэф]])),
IF((G802="3/16"),((база!$L$4*Таблица1[[#This Row],[сумма]]*Таблица1[[#This Row],[коэф]])),
IF((G802="4/4"),((база!$I$5*Таблица1[[#This Row],[сумма]]*Таблица1[[#This Row],[коэф]])),
IF(OR(G802="2/4",G802="3/4"),((база!$I$4*Таблица1[[#This Row],[сумма]]*Таблица1[[#This Row],[коэф]])),
IF((G802="5/8"),((база!$J$6*Таблица1[[#This Row],[сумма]]*Таблица1[[#This Row],[коэф]])),
IF((G802="4/8"),((база!$J$5*Таблица1[[#This Row],[сумма]]*Таблица1[[#This Row],[коэф]])),
IF(OR(G802="3/8",G802="2/8"),((база!$J$4*Таблица1[[#This Row],[сумма]]*Таблица1[[#This Row],[коэф]])))))))))))))),
(IF((G802="5/24"),((база!$M$6*Таблица1[[#This Row],[сумма]]*Таблица1[[#This Row],[коэф]])),
IF(OR(G802="4/24",G802="3/24"),((база!$M$5*Таблица1[[#This Row],[сумма]]*Таблица1[[#This Row],[коэф]])),
IF((G802="5/16"),((база!$L$6*Таблица1[[#This Row],[сумма]]*Таблица1[[#This Row],[коэф]])),
IF(OR(G802="4/16",G802="3/16"),((база!$L$5*Таблица1[[#This Row],[сумма]]*Таблица1[[#This Row],[коэф]])),
IF(OR(G802="2/4",G802="3/4",G802="4/4"),((база!$I$5*Таблица1[[#This Row],[сумма]]*Таблица1[[#This Row],[коэф]])),
IF((G802="5/8"),((база!$J$6*Таблица1[[#This Row],[сумма]]*Таблица1[[#This Row],[коэф]])),
IF(OR(G802="4/8",G802="3/8",G802="2/8"),((база!$J$5*Таблица1[[#This Row],[сумма]]*Таблица1[[#This Row],[коэф]])))))))))))</f>
        <v>0</v>
      </c>
      <c r="AP802" s="730" t="b">
        <f>IF(AR802&lt;=3,(IF((G802="5/24"),((база!$M$6*2*Таблица1[[#This Row],[Столбец1]]*Таблица1[[#This Row],[коэф]])),
IF((G802="4/24"),((база!$M$5*2*Таблица1[[#This Row],[Столбец1]]*Таблица1[[#This Row],[коэф]])),
IF((G802="3/24"),((база!$M$4*2*Таблица1[[#This Row],[Столбец1]]*Таблица1[[#This Row],[коэф]])),
IF((G802="5/16"),((база!$L$6*2*Таблица1[[#This Row],[Столбец1]]*Таблица1[[#This Row],[коэф]])),
IF((G802="4/16"),((база!$L$5*2*Таблица1[[#This Row],[Столбец1]]*Таблица1[[#This Row],[коэф]])),
IF((G802="3/16"),((база!$L$4*2*Таблица1[[#This Row],[Столбец1]]*Таблица1[[#This Row],[коэф]])),
IF((G802="4/4"),((база!$I$5*2*Таблица1[[#This Row],[Столбец1]]*Таблица1[[#This Row],[коэф]])),
IF(OR(G802="2/4",G802="3/4"),((база!$I$4*2*Таблица1[[#This Row],[Столбец1]]*Таблица1[[#This Row],[коэф]])),
IF((G802="5/8"),((база!$J$6*2*Таблица1[[#This Row],[Столбец1]]*Таблица1[[#This Row],[коэф]])),
IF((G802="4/8"),((база!$J$5*2*Таблица1[[#This Row],[Столбец1]]*Таблица1[[#This Row],[коэф]])),
IF(OR(G802="3/8",G802="2/8"),((база!$J$4*2*Таблица1[[#This Row],[Столбец1]]*Таблица1[[#This Row],[коэф]])))))))))))))),
(IF((G802="5/24"),((база!$M$6*2*Таблица1[[#This Row],[Столбец1]]*Таблица1[[#This Row],[коэф]])),
IF(OR(G802="4/24",G802="3/24"),((база!$M$5*2*Таблица1[[#This Row],[Столбец1]]*Таблица1[[#This Row],[коэф]])),
IF((G802="5/16"),((база!$L$6*2*Таблица1[[#This Row],[Столбец1]]*Таблица1[[#This Row],[коэф]])),
IF(OR(G802="4/16",G802="3/16"),((база!$L$5*2*Таблица1[[#This Row],[Столбец1]]*Таблица1[[#This Row],[коэф]])),
IF(OR(G802="2/4",G802="3/4",G802="4/4"),((база!$I$5*2*Таблица1[[#This Row],[Столбец1]]*Таблица1[[#This Row],[коэф]])),
IF((G802="5/8"),((база!$J$6*2*Таблица1[[#This Row],[Столбец1]]*Таблица1[[#This Row],[коэф]])),
IF(OR(G802="4/8",G802="3/8",G802="2/8"),((база!$J$5*2*Таблица1[[#This Row],[Столбец1]]*Таблица1[[#This Row],[коэф]])))))))))))</f>
        <v>0</v>
      </c>
      <c r="AQ802" s="712" t="str">
        <f>IFERROR(INDEX(база!T:T, MATCH(F802,база!Q:Q,0)),"")</f>
        <v/>
      </c>
      <c r="AR802" s="208" t="str">
        <f>IFERROR(INDEX(база!D:D, MATCH(F802,база!B:B,0)),"")</f>
        <v/>
      </c>
      <c r="AS802" s="758" t="str">
        <f>IFERROR(INDEX(база!E:E, MATCH(F802,база!B:B,0)),"")</f>
        <v/>
      </c>
    </row>
    <row r="803" spans="1:45" ht="15">
      <c r="A803" s="66" t="str">
        <f t="shared" si="12"/>
        <v>январь</v>
      </c>
      <c r="B803" s="231">
        <v>2024</v>
      </c>
      <c r="C803" s="299"/>
      <c r="D803" s="61"/>
      <c r="E803" s="211"/>
      <c r="F803" s="680"/>
      <c r="G803" s="47"/>
      <c r="H803" s="563"/>
      <c r="I803" s="563"/>
      <c r="J803" s="563"/>
      <c r="K803" s="563"/>
      <c r="L803" s="563"/>
      <c r="M803" s="563"/>
      <c r="N803" s="563"/>
      <c r="O803" s="563"/>
      <c r="P803" s="300"/>
      <c r="Q803" s="563"/>
      <c r="R803" s="563"/>
      <c r="S803" s="563"/>
      <c r="T803" s="563"/>
      <c r="U803" s="563"/>
      <c r="V803" s="563"/>
      <c r="W803" s="563"/>
      <c r="X803" s="563"/>
      <c r="Y803" s="563"/>
      <c r="Z803" s="563"/>
      <c r="AA803" s="563"/>
      <c r="AB803" s="563"/>
      <c r="AC803" s="563"/>
      <c r="AD803" s="48"/>
      <c r="AE803" s="48"/>
      <c r="AF803" s="258"/>
      <c r="AG803" s="48"/>
      <c r="AH803" s="48"/>
      <c r="AI803" s="258"/>
      <c r="AJ803" s="258"/>
      <c r="AK803" s="258"/>
      <c r="AL803" s="258"/>
      <c r="AM803" s="212">
        <f>IF(AQ803=1,SUM(Q803:T803,W803:Z803,AC803:AF803,AI803:AL803),
IF(AQ803=2,SUM(P803,S803:V803,Y803:AB803,AE803:AH803,AK803:AL803),
IF(AQ803=3,SUM(P803:R803,U803:X803,AA803:AD803,AG803:AJ803),SUM(Таблица1[[#This Row],[1]:[31]])-Таблица1[[#This Row],[Столбец1]])))</f>
        <v>0</v>
      </c>
      <c r="AN803" s="778">
        <f t="array" ref="AN803">IF(AQ803=1,SUM(P803,U803:V803,AA803:AB803,AG803:AH803),
IF(AQ803=2,SUM(Q803:R803,W803:X803,AC803:AD803,AI803:AJ803),
IF(AQ803=3,SUM(S803:T803,Y803:Z803,AE803:AF803,AK803:AL803),
SUM(IFERROR(WEEKDAY($H$2:$AL$2,2)&gt;5,)*H803:AL803))))+Таблица1[[#This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03" s="292" t="b">
        <f>IF(AR803&lt;=3,(IF((G803="5/24"),((база!$M$6*Таблица1[[#This Row],[сумма]]*Таблица1[[#This Row],[коэф]])),
IF((G803="4/24"),((база!$M$5*Таблица1[[#This Row],[сумма]]*Таблица1[[#This Row],[коэф]])),
IF((G803="3/24"),((база!$M$4*Таблица1[[#This Row],[сумма]]*Таблица1[[#This Row],[коэф]])),
IF((G803="5/16"),((база!$L$6*Таблица1[[#This Row],[сумма]]*Таблица1[[#This Row],[коэф]])),
IF((G803="4/16"),((база!$L$5*Таблица1[[#This Row],[сумма]]*Таблица1[[#This Row],[коэф]])),
IF((G803="3/16"),((база!$L$4*Таблица1[[#This Row],[сумма]]*Таблица1[[#This Row],[коэф]])),
IF((G803="4/4"),((база!$I$5*Таблица1[[#This Row],[сумма]]*Таблица1[[#This Row],[коэф]])),
IF(OR(G803="2/4",G803="3/4"),((база!$I$4*Таблица1[[#This Row],[сумма]]*Таблица1[[#This Row],[коэф]])),
IF((G803="5/8"),((база!$J$6*Таблица1[[#This Row],[сумма]]*Таблица1[[#This Row],[коэф]])),
IF((G803="4/8"),((база!$J$5*Таблица1[[#This Row],[сумма]]*Таблица1[[#This Row],[коэф]])),
IF(OR(G803="3/8",G803="2/8"),((база!$J$4*Таблица1[[#This Row],[сумма]]*Таблица1[[#This Row],[коэф]])))))))))))))),
(IF((G803="5/24"),((база!$M$6*Таблица1[[#This Row],[сумма]]*Таблица1[[#This Row],[коэф]])),
IF(OR(G803="4/24",G803="3/24"),((база!$M$5*Таблица1[[#This Row],[сумма]]*Таблица1[[#This Row],[коэф]])),
IF((G803="5/16"),((база!$L$6*Таблица1[[#This Row],[сумма]]*Таблица1[[#This Row],[коэф]])),
IF(OR(G803="4/16",G803="3/16"),((база!$L$5*Таблица1[[#This Row],[сумма]]*Таблица1[[#This Row],[коэф]])),
IF(OR(G803="2/4",G803="3/4",G803="4/4"),((база!$I$5*Таблица1[[#This Row],[сумма]]*Таблица1[[#This Row],[коэф]])),
IF((G803="5/8"),((база!$J$6*Таблица1[[#This Row],[сумма]]*Таблица1[[#This Row],[коэф]])),
IF(OR(G803="4/8",G803="3/8",G803="2/8"),((база!$J$5*Таблица1[[#This Row],[сумма]]*Таблица1[[#This Row],[коэф]])))))))))))</f>
        <v>0</v>
      </c>
      <c r="AP803" s="730" t="b">
        <f>IF(AR803&lt;=3,(IF((G803="5/24"),((база!$M$6*2*Таблица1[[#This Row],[Столбец1]]*Таблица1[[#This Row],[коэф]])),
IF((G803="4/24"),((база!$M$5*2*Таблица1[[#This Row],[Столбец1]]*Таблица1[[#This Row],[коэф]])),
IF((G803="3/24"),((база!$M$4*2*Таблица1[[#This Row],[Столбец1]]*Таблица1[[#This Row],[коэф]])),
IF((G803="5/16"),((база!$L$6*2*Таблица1[[#This Row],[Столбец1]]*Таблица1[[#This Row],[коэф]])),
IF((G803="4/16"),((база!$L$5*2*Таблица1[[#This Row],[Столбец1]]*Таблица1[[#This Row],[коэф]])),
IF((G803="3/16"),((база!$L$4*2*Таблица1[[#This Row],[Столбец1]]*Таблица1[[#This Row],[коэф]])),
IF((G803="4/4"),((база!$I$5*2*Таблица1[[#This Row],[Столбец1]]*Таблица1[[#This Row],[коэф]])),
IF(OR(G803="2/4",G803="3/4"),((база!$I$4*2*Таблица1[[#This Row],[Столбец1]]*Таблица1[[#This Row],[коэф]])),
IF((G803="5/8"),((база!$J$6*2*Таблица1[[#This Row],[Столбец1]]*Таблица1[[#This Row],[коэф]])),
IF((G803="4/8"),((база!$J$5*2*Таблица1[[#This Row],[Столбец1]]*Таблица1[[#This Row],[коэф]])),
IF(OR(G803="3/8",G803="2/8"),((база!$J$4*2*Таблица1[[#This Row],[Столбец1]]*Таблица1[[#This Row],[коэф]])))))))))))))),
(IF((G803="5/24"),((база!$M$6*2*Таблица1[[#This Row],[Столбец1]]*Таблица1[[#This Row],[коэф]])),
IF(OR(G803="4/24",G803="3/24"),((база!$M$5*2*Таблица1[[#This Row],[Столбец1]]*Таблица1[[#This Row],[коэф]])),
IF((G803="5/16"),((база!$L$6*2*Таблица1[[#This Row],[Столбец1]]*Таблица1[[#This Row],[коэф]])),
IF(OR(G803="4/16",G803="3/16"),((база!$L$5*2*Таблица1[[#This Row],[Столбец1]]*Таблица1[[#This Row],[коэф]])),
IF(OR(G803="2/4",G803="3/4",G803="4/4"),((база!$I$5*2*Таблица1[[#This Row],[Столбец1]]*Таблица1[[#This Row],[коэф]])),
IF((G803="5/8"),((база!$J$6*2*Таблица1[[#This Row],[Столбец1]]*Таблица1[[#This Row],[коэф]])),
IF(OR(G803="4/8",G803="3/8",G803="2/8"),((база!$J$5*2*Таблица1[[#This Row],[Столбец1]]*Таблица1[[#This Row],[коэф]])))))))))))</f>
        <v>0</v>
      </c>
      <c r="AQ803" s="712" t="str">
        <f>IFERROR(INDEX(база!T:T, MATCH(F803,база!Q:Q,0)),"")</f>
        <v/>
      </c>
      <c r="AR803" s="208" t="str">
        <f>IFERROR(INDEX(база!D:D, MATCH(F803,база!B:B,0)),"")</f>
        <v/>
      </c>
      <c r="AS803" s="758" t="str">
        <f>IFERROR(INDEX(база!E:E, MATCH(F803,база!B:B,0)),"")</f>
        <v/>
      </c>
    </row>
    <row r="804" spans="1:45" ht="15">
      <c r="A804" s="66" t="str">
        <f t="shared" si="12"/>
        <v>январь</v>
      </c>
      <c r="B804" s="231">
        <v>2024</v>
      </c>
      <c r="C804" s="299"/>
      <c r="D804" s="61"/>
      <c r="E804" s="211"/>
      <c r="F804" s="680"/>
      <c r="G804" s="47"/>
      <c r="H804" s="563"/>
      <c r="I804" s="563"/>
      <c r="J804" s="563"/>
      <c r="K804" s="563"/>
      <c r="L804" s="563"/>
      <c r="M804" s="563"/>
      <c r="N804" s="563"/>
      <c r="O804" s="563"/>
      <c r="P804" s="300"/>
      <c r="Q804" s="563"/>
      <c r="R804" s="563"/>
      <c r="S804" s="563"/>
      <c r="T804" s="563"/>
      <c r="U804" s="563"/>
      <c r="V804" s="563"/>
      <c r="W804" s="563"/>
      <c r="X804" s="563"/>
      <c r="Y804" s="563"/>
      <c r="Z804" s="563"/>
      <c r="AA804" s="563"/>
      <c r="AB804" s="563"/>
      <c r="AC804" s="563"/>
      <c r="AD804" s="48"/>
      <c r="AE804" s="48"/>
      <c r="AF804" s="258"/>
      <c r="AG804" s="48"/>
      <c r="AH804" s="48"/>
      <c r="AI804" s="48"/>
      <c r="AJ804" s="48"/>
      <c r="AK804" s="48"/>
      <c r="AL804" s="51"/>
      <c r="AM804" s="212">
        <f>IF(AQ804=1,SUM(Q804:T804,W804:Z804,AC804:AF804,AI804:AL804),
IF(AQ804=2,SUM(P804,S804:V804,Y804:AB804,AE804:AH804,AK804:AL804),
IF(AQ804=3,SUM(P804:R804,U804:X804,AA804:AD804,AG804:AJ804),SUM(Таблица1[[#This Row],[1]:[31]])-Таблица1[[#This Row],[Столбец1]])))</f>
        <v>0</v>
      </c>
      <c r="AN804" s="778">
        <f t="array" ref="AN804">IF(AQ804=1,SUM(P804,U804:V804,AA804:AB804,AG804:AH804),
IF(AQ804=2,SUM(Q804:R804,W804:X804,AC804:AD804,AI804:AJ804),
IF(AQ804=3,SUM(S804:T804,Y804:Z804,AE804:AF804,AK804:AL804),
SUM(IFERROR(WEEKDAY($H$2:$AL$2,2)&gt;5,)*H804:AL804))))+Таблица1[[#This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04" s="292" t="b">
        <f>IF(AR804&lt;=3,(IF((G804="5/24"),((база!$M$6*Таблица1[[#This Row],[сумма]]*Таблица1[[#This Row],[коэф]])),
IF((G804="4/24"),((база!$M$5*Таблица1[[#This Row],[сумма]]*Таблица1[[#This Row],[коэф]])),
IF((G804="3/24"),((база!$M$4*Таблица1[[#This Row],[сумма]]*Таблица1[[#This Row],[коэф]])),
IF((G804="5/16"),((база!$L$6*Таблица1[[#This Row],[сумма]]*Таблица1[[#This Row],[коэф]])),
IF((G804="4/16"),((база!$L$5*Таблица1[[#This Row],[сумма]]*Таблица1[[#This Row],[коэф]])),
IF((G804="3/16"),((база!$L$4*Таблица1[[#This Row],[сумма]]*Таблица1[[#This Row],[коэф]])),
IF((G804="4/4"),((база!$I$5*Таблица1[[#This Row],[сумма]]*Таблица1[[#This Row],[коэф]])),
IF(OR(G804="2/4",G804="3/4"),((база!$I$4*Таблица1[[#This Row],[сумма]]*Таблица1[[#This Row],[коэф]])),
IF((G804="5/8"),((база!$J$6*Таблица1[[#This Row],[сумма]]*Таблица1[[#This Row],[коэф]])),
IF((G804="4/8"),((база!$J$5*Таблица1[[#This Row],[сумма]]*Таблица1[[#This Row],[коэф]])),
IF(OR(G804="3/8",G804="2/8"),((база!$J$4*Таблица1[[#This Row],[сумма]]*Таблица1[[#This Row],[коэф]])))))))))))))),
(IF((G804="5/24"),((база!$M$6*Таблица1[[#This Row],[сумма]]*Таблица1[[#This Row],[коэф]])),
IF(OR(G804="4/24",G804="3/24"),((база!$M$5*Таблица1[[#This Row],[сумма]]*Таблица1[[#This Row],[коэф]])),
IF((G804="5/16"),((база!$L$6*Таблица1[[#This Row],[сумма]]*Таблица1[[#This Row],[коэф]])),
IF(OR(G804="4/16",G804="3/16"),((база!$L$5*Таблица1[[#This Row],[сумма]]*Таблица1[[#This Row],[коэф]])),
IF(OR(G804="2/4",G804="3/4",G804="4/4"),((база!$I$5*Таблица1[[#This Row],[сумма]]*Таблица1[[#This Row],[коэф]])),
IF((G804="5/8"),((база!$J$6*Таблица1[[#This Row],[сумма]]*Таблица1[[#This Row],[коэф]])),
IF(OR(G804="4/8",G804="3/8",G804="2/8"),((база!$J$5*Таблица1[[#This Row],[сумма]]*Таблица1[[#This Row],[коэф]])))))))))))</f>
        <v>0</v>
      </c>
      <c r="AP804" s="730" t="b">
        <f>IF(AR804&lt;=3,(IF((G804="5/24"),((база!$M$6*2*Таблица1[[#This Row],[Столбец1]]*Таблица1[[#This Row],[коэф]])),
IF((G804="4/24"),((база!$M$5*2*Таблица1[[#This Row],[Столбец1]]*Таблица1[[#This Row],[коэф]])),
IF((G804="3/24"),((база!$M$4*2*Таблица1[[#This Row],[Столбец1]]*Таблица1[[#This Row],[коэф]])),
IF((G804="5/16"),((база!$L$6*2*Таблица1[[#This Row],[Столбец1]]*Таблица1[[#This Row],[коэф]])),
IF((G804="4/16"),((база!$L$5*2*Таблица1[[#This Row],[Столбец1]]*Таблица1[[#This Row],[коэф]])),
IF((G804="3/16"),((база!$L$4*2*Таблица1[[#This Row],[Столбец1]]*Таблица1[[#This Row],[коэф]])),
IF((G804="4/4"),((база!$I$5*2*Таблица1[[#This Row],[Столбец1]]*Таблица1[[#This Row],[коэф]])),
IF(OR(G804="2/4",G804="3/4"),((база!$I$4*2*Таблица1[[#This Row],[Столбец1]]*Таблица1[[#This Row],[коэф]])),
IF((G804="5/8"),((база!$J$6*2*Таблица1[[#This Row],[Столбец1]]*Таблица1[[#This Row],[коэф]])),
IF((G804="4/8"),((база!$J$5*2*Таблица1[[#This Row],[Столбец1]]*Таблица1[[#This Row],[коэф]])),
IF(OR(G804="3/8",G804="2/8"),((база!$J$4*2*Таблица1[[#This Row],[Столбец1]]*Таблица1[[#This Row],[коэф]])))))))))))))),
(IF((G804="5/24"),((база!$M$6*2*Таблица1[[#This Row],[Столбец1]]*Таблица1[[#This Row],[коэф]])),
IF(OR(G804="4/24",G804="3/24"),((база!$M$5*2*Таблица1[[#This Row],[Столбец1]]*Таблица1[[#This Row],[коэф]])),
IF((G804="5/16"),((база!$L$6*2*Таблица1[[#This Row],[Столбец1]]*Таблица1[[#This Row],[коэф]])),
IF(OR(G804="4/16",G804="3/16"),((база!$L$5*2*Таблица1[[#This Row],[Столбец1]]*Таблица1[[#This Row],[коэф]])),
IF(OR(G804="2/4",G804="3/4",G804="4/4"),((база!$I$5*2*Таблица1[[#This Row],[Столбец1]]*Таблица1[[#This Row],[коэф]])),
IF((G804="5/8"),((база!$J$6*2*Таблица1[[#This Row],[Столбец1]]*Таблица1[[#This Row],[коэф]])),
IF(OR(G804="4/8",G804="3/8",G804="2/8"),((база!$J$5*2*Таблица1[[#This Row],[Столбец1]]*Таблица1[[#This Row],[коэф]])))))))))))</f>
        <v>0</v>
      </c>
      <c r="AQ804" s="712" t="str">
        <f>IFERROR(INDEX(база!T:T, MATCH(F804,база!Q:Q,0)),"")</f>
        <v/>
      </c>
      <c r="AR804" s="208" t="str">
        <f>IFERROR(INDEX(база!D:D, MATCH(F804,база!B:B,0)),"")</f>
        <v/>
      </c>
      <c r="AS804" s="758" t="str">
        <f>IFERROR(INDEX(база!E:E, MATCH(F804,база!B:B,0)),"")</f>
        <v/>
      </c>
    </row>
    <row r="805" spans="1:45" ht="15">
      <c r="A805" s="66" t="str">
        <f t="shared" si="12"/>
        <v>январь</v>
      </c>
      <c r="B805" s="231">
        <v>2024</v>
      </c>
      <c r="C805" s="299"/>
      <c r="D805" s="61"/>
      <c r="E805" s="211"/>
      <c r="F805" s="680"/>
      <c r="G805" s="47"/>
      <c r="H805" s="563"/>
      <c r="I805" s="563"/>
      <c r="J805" s="563"/>
      <c r="K805" s="563"/>
      <c r="L805" s="563"/>
      <c r="M805" s="563"/>
      <c r="N805" s="563"/>
      <c r="O805" s="563"/>
      <c r="P805" s="300"/>
      <c r="Q805" s="563"/>
      <c r="R805" s="563"/>
      <c r="S805" s="563"/>
      <c r="T805" s="563"/>
      <c r="U805" s="563"/>
      <c r="V805" s="563"/>
      <c r="W805" s="563"/>
      <c r="X805" s="563"/>
      <c r="Y805" s="563"/>
      <c r="Z805" s="563"/>
      <c r="AA805" s="563"/>
      <c r="AB805" s="563"/>
      <c r="AC805" s="563"/>
      <c r="AD805" s="48"/>
      <c r="AE805" s="48"/>
      <c r="AF805" s="258"/>
      <c r="AG805" s="48"/>
      <c r="AH805" s="48"/>
      <c r="AI805" s="258"/>
      <c r="AJ805" s="258"/>
      <c r="AK805" s="258"/>
      <c r="AL805" s="258"/>
      <c r="AM805" s="212">
        <f>IF(AQ805=1,SUM(Q805:T805,W805:Z805,AC805:AF805,AI805:AL805),
IF(AQ805=2,SUM(P805,S805:V805,Y805:AB805,AE805:AH805,AK805:AL805),
IF(AQ805=3,SUM(P805:R805,U805:X805,AA805:AD805,AG805:AJ805),SUM(Таблица1[[#This Row],[1]:[31]])-Таблица1[[#This Row],[Столбец1]])))</f>
        <v>0</v>
      </c>
      <c r="AN805" s="778">
        <f t="array" ref="AN805">IF(AQ805=1,SUM(P805,U805:V805,AA805:AB805,AG805:AH805),
IF(AQ805=2,SUM(Q805:R805,W805:X805,AC805:AD805,AI805:AJ805),
IF(AQ805=3,SUM(S805:T805,Y805:Z805,AE805:AF805,AK805:AL805),
SUM(IFERROR(WEEKDAY($H$2:$AL$2,2)&gt;5,)*H805:AL805))))+Таблица1[[#This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05" s="292" t="b">
        <f>IF(AR805&lt;=3,(IF((G805="5/24"),((база!$M$6*Таблица1[[#This Row],[сумма]]*Таблица1[[#This Row],[коэф]])),
IF((G805="4/24"),((база!$M$5*Таблица1[[#This Row],[сумма]]*Таблица1[[#This Row],[коэф]])),
IF((G805="3/24"),((база!$M$4*Таблица1[[#This Row],[сумма]]*Таблица1[[#This Row],[коэф]])),
IF((G805="5/16"),((база!$L$6*Таблица1[[#This Row],[сумма]]*Таблица1[[#This Row],[коэф]])),
IF((G805="4/16"),((база!$L$5*Таблица1[[#This Row],[сумма]]*Таблица1[[#This Row],[коэф]])),
IF((G805="3/16"),((база!$L$4*Таблица1[[#This Row],[сумма]]*Таблица1[[#This Row],[коэф]])),
IF((G805="4/4"),((база!$I$5*Таблица1[[#This Row],[сумма]]*Таблица1[[#This Row],[коэф]])),
IF(OR(G805="2/4",G805="3/4"),((база!$I$4*Таблица1[[#This Row],[сумма]]*Таблица1[[#This Row],[коэф]])),
IF((G805="5/8"),((база!$J$6*Таблица1[[#This Row],[сумма]]*Таблица1[[#This Row],[коэф]])),
IF((G805="4/8"),((база!$J$5*Таблица1[[#This Row],[сумма]]*Таблица1[[#This Row],[коэф]])),
IF(OR(G805="3/8",G805="2/8"),((база!$J$4*Таблица1[[#This Row],[сумма]]*Таблица1[[#This Row],[коэф]])))))))))))))),
(IF((G805="5/24"),((база!$M$6*Таблица1[[#This Row],[сумма]]*Таблица1[[#This Row],[коэф]])),
IF(OR(G805="4/24",G805="3/24"),((база!$M$5*Таблица1[[#This Row],[сумма]]*Таблица1[[#This Row],[коэф]])),
IF((G805="5/16"),((база!$L$6*Таблица1[[#This Row],[сумма]]*Таблица1[[#This Row],[коэф]])),
IF(OR(G805="4/16",G805="3/16"),((база!$L$5*Таблица1[[#This Row],[сумма]]*Таблица1[[#This Row],[коэф]])),
IF(OR(G805="2/4",G805="3/4",G805="4/4"),((база!$I$5*Таблица1[[#This Row],[сумма]]*Таблица1[[#This Row],[коэф]])),
IF((G805="5/8"),((база!$J$6*Таблица1[[#This Row],[сумма]]*Таблица1[[#This Row],[коэф]])),
IF(OR(G805="4/8",G805="3/8",G805="2/8"),((база!$J$5*Таблица1[[#This Row],[сумма]]*Таблица1[[#This Row],[коэф]])))))))))))</f>
        <v>0</v>
      </c>
      <c r="AP805" s="730" t="b">
        <f>IF(AR805&lt;=3,(IF((G805="5/24"),((база!$M$6*2*Таблица1[[#This Row],[Столбец1]]*Таблица1[[#This Row],[коэф]])),
IF((G805="4/24"),((база!$M$5*2*Таблица1[[#This Row],[Столбец1]]*Таблица1[[#This Row],[коэф]])),
IF((G805="3/24"),((база!$M$4*2*Таблица1[[#This Row],[Столбец1]]*Таблица1[[#This Row],[коэф]])),
IF((G805="5/16"),((база!$L$6*2*Таблица1[[#This Row],[Столбец1]]*Таблица1[[#This Row],[коэф]])),
IF((G805="4/16"),((база!$L$5*2*Таблица1[[#This Row],[Столбец1]]*Таблица1[[#This Row],[коэф]])),
IF((G805="3/16"),((база!$L$4*2*Таблица1[[#This Row],[Столбец1]]*Таблица1[[#This Row],[коэф]])),
IF((G805="4/4"),((база!$I$5*2*Таблица1[[#This Row],[Столбец1]]*Таблица1[[#This Row],[коэф]])),
IF(OR(G805="2/4",G805="3/4"),((база!$I$4*2*Таблица1[[#This Row],[Столбец1]]*Таблица1[[#This Row],[коэф]])),
IF((G805="5/8"),((база!$J$6*2*Таблица1[[#This Row],[Столбец1]]*Таблица1[[#This Row],[коэф]])),
IF((G805="4/8"),((база!$J$5*2*Таблица1[[#This Row],[Столбец1]]*Таблица1[[#This Row],[коэф]])),
IF(OR(G805="3/8",G805="2/8"),((база!$J$4*2*Таблица1[[#This Row],[Столбец1]]*Таблица1[[#This Row],[коэф]])))))))))))))),
(IF((G805="5/24"),((база!$M$6*2*Таблица1[[#This Row],[Столбец1]]*Таблица1[[#This Row],[коэф]])),
IF(OR(G805="4/24",G805="3/24"),((база!$M$5*2*Таблица1[[#This Row],[Столбец1]]*Таблица1[[#This Row],[коэф]])),
IF((G805="5/16"),((база!$L$6*2*Таблица1[[#This Row],[Столбец1]]*Таблица1[[#This Row],[коэф]])),
IF(OR(G805="4/16",G805="3/16"),((база!$L$5*2*Таблица1[[#This Row],[Столбец1]]*Таблица1[[#This Row],[коэф]])),
IF(OR(G805="2/4",G805="3/4",G805="4/4"),((база!$I$5*2*Таблица1[[#This Row],[Столбец1]]*Таблица1[[#This Row],[коэф]])),
IF((G805="5/8"),((база!$J$6*2*Таблица1[[#This Row],[Столбец1]]*Таблица1[[#This Row],[коэф]])),
IF(OR(G805="4/8",G805="3/8",G805="2/8"),((база!$J$5*2*Таблица1[[#This Row],[Столбец1]]*Таблица1[[#This Row],[коэф]])))))))))))</f>
        <v>0</v>
      </c>
      <c r="AQ805" s="712" t="str">
        <f>IFERROR(INDEX(база!T:T, MATCH(F805,база!Q:Q,0)),"")</f>
        <v/>
      </c>
      <c r="AR805" s="208" t="str">
        <f>IFERROR(INDEX(база!D:D, MATCH(F805,база!B:B,0)),"")</f>
        <v/>
      </c>
      <c r="AS805" s="758" t="str">
        <f>IFERROR(INDEX(база!E:E, MATCH(F805,база!B:B,0)),"")</f>
        <v/>
      </c>
    </row>
    <row r="806" spans="1:45" ht="15">
      <c r="A806" s="66" t="str">
        <f t="shared" si="12"/>
        <v>январь</v>
      </c>
      <c r="B806" s="231">
        <v>2024</v>
      </c>
      <c r="C806" s="299"/>
      <c r="D806" s="61"/>
      <c r="E806" s="211"/>
      <c r="F806" s="680"/>
      <c r="G806" s="47"/>
      <c r="H806" s="563"/>
      <c r="I806" s="563"/>
      <c r="J806" s="563"/>
      <c r="K806" s="563"/>
      <c r="L806" s="563"/>
      <c r="M806" s="563"/>
      <c r="N806" s="563"/>
      <c r="O806" s="563"/>
      <c r="P806" s="300"/>
      <c r="Q806" s="563"/>
      <c r="R806" s="563"/>
      <c r="S806" s="563"/>
      <c r="T806" s="563"/>
      <c r="U806" s="563"/>
      <c r="V806" s="563"/>
      <c r="W806" s="563"/>
      <c r="X806" s="563"/>
      <c r="Y806" s="563"/>
      <c r="Z806" s="563"/>
      <c r="AA806" s="563"/>
      <c r="AB806" s="563"/>
      <c r="AC806" s="563"/>
      <c r="AD806" s="48"/>
      <c r="AE806" s="48"/>
      <c r="AF806" s="258"/>
      <c r="AG806" s="48"/>
      <c r="AH806" s="48"/>
      <c r="AI806" s="48"/>
      <c r="AJ806" s="48"/>
      <c r="AK806" s="48"/>
      <c r="AL806" s="51"/>
      <c r="AM806" s="212">
        <f>IF(AQ806=1,SUM(Q806:T806,W806:Z806,AC806:AF806,AI806:AL806),
IF(AQ806=2,SUM(P806,S806:V806,Y806:AB806,AE806:AH806,AK806:AL806),
IF(AQ806=3,SUM(P806:R806,U806:X806,AA806:AD806,AG806:AJ806),SUM(Таблица1[[#This Row],[1]:[31]])-Таблица1[[#This Row],[Столбец1]])))</f>
        <v>0</v>
      </c>
      <c r="AN806" s="778">
        <f t="array" ref="AN806">IF(AQ806=1,SUM(P806,U806:V806,AA806:AB806,AG806:AH806),
IF(AQ806=2,SUM(Q806:R806,W806:X806,AC806:AD806,AI806:AJ806),
IF(AQ806=3,SUM(S806:T806,Y806:Z806,AE806:AF806,AK806:AL806),
SUM(IFERROR(WEEKDAY($H$2:$AL$2,2)&gt;5,)*H806:AL806))))+Таблица1[[#This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06" s="292" t="b">
        <f>IF(AR806&lt;=3,(IF((G806="5/24"),((база!$M$6*Таблица1[[#This Row],[сумма]]*Таблица1[[#This Row],[коэф]])),
IF((G806="4/24"),((база!$M$5*Таблица1[[#This Row],[сумма]]*Таблица1[[#This Row],[коэф]])),
IF((G806="3/24"),((база!$M$4*Таблица1[[#This Row],[сумма]]*Таблица1[[#This Row],[коэф]])),
IF((G806="5/16"),((база!$L$6*Таблица1[[#This Row],[сумма]]*Таблица1[[#This Row],[коэф]])),
IF((G806="4/16"),((база!$L$5*Таблица1[[#This Row],[сумма]]*Таблица1[[#This Row],[коэф]])),
IF((G806="3/16"),((база!$L$4*Таблица1[[#This Row],[сумма]]*Таблица1[[#This Row],[коэф]])),
IF((G806="4/4"),((база!$I$5*Таблица1[[#This Row],[сумма]]*Таблица1[[#This Row],[коэф]])),
IF(OR(G806="2/4",G806="3/4"),((база!$I$4*Таблица1[[#This Row],[сумма]]*Таблица1[[#This Row],[коэф]])),
IF((G806="5/8"),((база!$J$6*Таблица1[[#This Row],[сумма]]*Таблица1[[#This Row],[коэф]])),
IF((G806="4/8"),((база!$J$5*Таблица1[[#This Row],[сумма]]*Таблица1[[#This Row],[коэф]])),
IF(OR(G806="3/8",G806="2/8"),((база!$J$4*Таблица1[[#This Row],[сумма]]*Таблица1[[#This Row],[коэф]])))))))))))))),
(IF((G806="5/24"),((база!$M$6*Таблица1[[#This Row],[сумма]]*Таблица1[[#This Row],[коэф]])),
IF(OR(G806="4/24",G806="3/24"),((база!$M$5*Таблица1[[#This Row],[сумма]]*Таблица1[[#This Row],[коэф]])),
IF((G806="5/16"),((база!$L$6*Таблица1[[#This Row],[сумма]]*Таблица1[[#This Row],[коэф]])),
IF(OR(G806="4/16",G806="3/16"),((база!$L$5*Таблица1[[#This Row],[сумма]]*Таблица1[[#This Row],[коэф]])),
IF(OR(G806="2/4",G806="3/4",G806="4/4"),((база!$I$5*Таблица1[[#This Row],[сумма]]*Таблица1[[#This Row],[коэф]])),
IF((G806="5/8"),((база!$J$6*Таблица1[[#This Row],[сумма]]*Таблица1[[#This Row],[коэф]])),
IF(OR(G806="4/8",G806="3/8",G806="2/8"),((база!$J$5*Таблица1[[#This Row],[сумма]]*Таблица1[[#This Row],[коэф]])))))))))))</f>
        <v>0</v>
      </c>
      <c r="AP806" s="730" t="b">
        <f>IF(AR806&lt;=3,(IF((G806="5/24"),((база!$M$6*2*Таблица1[[#This Row],[Столбец1]]*Таблица1[[#This Row],[коэф]])),
IF((G806="4/24"),((база!$M$5*2*Таблица1[[#This Row],[Столбец1]]*Таблица1[[#This Row],[коэф]])),
IF((G806="3/24"),((база!$M$4*2*Таблица1[[#This Row],[Столбец1]]*Таблица1[[#This Row],[коэф]])),
IF((G806="5/16"),((база!$L$6*2*Таблица1[[#This Row],[Столбец1]]*Таблица1[[#This Row],[коэф]])),
IF((G806="4/16"),((база!$L$5*2*Таблица1[[#This Row],[Столбец1]]*Таблица1[[#This Row],[коэф]])),
IF((G806="3/16"),((база!$L$4*2*Таблица1[[#This Row],[Столбец1]]*Таблица1[[#This Row],[коэф]])),
IF((G806="4/4"),((база!$I$5*2*Таблица1[[#This Row],[Столбец1]]*Таблица1[[#This Row],[коэф]])),
IF(OR(G806="2/4",G806="3/4"),((база!$I$4*2*Таблица1[[#This Row],[Столбец1]]*Таблица1[[#This Row],[коэф]])),
IF((G806="5/8"),((база!$J$6*2*Таблица1[[#This Row],[Столбец1]]*Таблица1[[#This Row],[коэф]])),
IF((G806="4/8"),((база!$J$5*2*Таблица1[[#This Row],[Столбец1]]*Таблица1[[#This Row],[коэф]])),
IF(OR(G806="3/8",G806="2/8"),((база!$J$4*2*Таблица1[[#This Row],[Столбец1]]*Таблица1[[#This Row],[коэф]])))))))))))))),
(IF((G806="5/24"),((база!$M$6*2*Таблица1[[#This Row],[Столбец1]]*Таблица1[[#This Row],[коэф]])),
IF(OR(G806="4/24",G806="3/24"),((база!$M$5*2*Таблица1[[#This Row],[Столбец1]]*Таблица1[[#This Row],[коэф]])),
IF((G806="5/16"),((база!$L$6*2*Таблица1[[#This Row],[Столбец1]]*Таблица1[[#This Row],[коэф]])),
IF(OR(G806="4/16",G806="3/16"),((база!$L$5*2*Таблица1[[#This Row],[Столбец1]]*Таблица1[[#This Row],[коэф]])),
IF(OR(G806="2/4",G806="3/4",G806="4/4"),((база!$I$5*2*Таблица1[[#This Row],[Столбец1]]*Таблица1[[#This Row],[коэф]])),
IF((G806="5/8"),((база!$J$6*2*Таблица1[[#This Row],[Столбец1]]*Таблица1[[#This Row],[коэф]])),
IF(OR(G806="4/8",G806="3/8",G806="2/8"),((база!$J$5*2*Таблица1[[#This Row],[Столбец1]]*Таблица1[[#This Row],[коэф]])))))))))))</f>
        <v>0</v>
      </c>
      <c r="AQ806" s="712" t="str">
        <f>IFERROR(INDEX(база!T:T, MATCH(F806,база!Q:Q,0)),"")</f>
        <v/>
      </c>
      <c r="AR806" s="208" t="str">
        <f>IFERROR(INDEX(база!D:D, MATCH(F806,база!B:B,0)),"")</f>
        <v/>
      </c>
      <c r="AS806" s="758" t="str">
        <f>IFERROR(INDEX(база!E:E, MATCH(F806,база!B:B,0)),"")</f>
        <v/>
      </c>
    </row>
    <row r="807" spans="1:45" ht="15">
      <c r="A807" s="66" t="str">
        <f t="shared" si="12"/>
        <v>январь</v>
      </c>
      <c r="B807" s="231">
        <v>2024</v>
      </c>
      <c r="C807" s="299"/>
      <c r="D807" s="61"/>
      <c r="E807" s="211"/>
      <c r="F807" s="680"/>
      <c r="G807" s="47"/>
      <c r="H807" s="563"/>
      <c r="I807" s="563"/>
      <c r="J807" s="563"/>
      <c r="K807" s="563"/>
      <c r="L807" s="563"/>
      <c r="M807" s="563"/>
      <c r="N807" s="563"/>
      <c r="O807" s="563"/>
      <c r="P807" s="300"/>
      <c r="Q807" s="563"/>
      <c r="R807" s="563"/>
      <c r="S807" s="563"/>
      <c r="T807" s="563"/>
      <c r="U807" s="563"/>
      <c r="V807" s="563"/>
      <c r="W807" s="563"/>
      <c r="X807" s="563"/>
      <c r="Y807" s="563"/>
      <c r="Z807" s="563"/>
      <c r="AA807" s="563"/>
      <c r="AB807" s="563"/>
      <c r="AC807" s="563"/>
      <c r="AD807" s="48"/>
      <c r="AE807" s="48"/>
      <c r="AF807" s="258"/>
      <c r="AG807" s="48"/>
      <c r="AH807" s="48"/>
      <c r="AI807" s="258"/>
      <c r="AJ807" s="258"/>
      <c r="AK807" s="258"/>
      <c r="AL807" s="258"/>
      <c r="AM807" s="212">
        <f>IF(AQ807=1,SUM(Q807:T807,W807:Z807,AC807:AF807,AI807:AL807),
IF(AQ807=2,SUM(P807,S807:V807,Y807:AB807,AE807:AH807,AK807:AL807),
IF(AQ807=3,SUM(P807:R807,U807:X807,AA807:AD807,AG807:AJ807),SUM(Таблица1[[#This Row],[1]:[31]])-Таблица1[[#This Row],[Столбец1]])))</f>
        <v>0</v>
      </c>
      <c r="AN807" s="778">
        <f t="array" ref="AN807">IF(AQ807=1,SUM(P807,U807:V807,AA807:AB807,AG807:AH807),
IF(AQ807=2,SUM(Q807:R807,W807:X807,AC807:AD807,AI807:AJ807),
IF(AQ807=3,SUM(S807:T807,Y807:Z807,AE807:AF807,AK807:AL807),
SUM(IFERROR(WEEKDAY($H$2:$AL$2,2)&gt;5,)*H807:AL807))))+Таблица1[[#This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07" s="292" t="b">
        <f>IF(AR807&lt;=3,(IF((G807="5/24"),((база!$M$6*Таблица1[[#This Row],[сумма]]*Таблица1[[#This Row],[коэф]])),
IF((G807="4/24"),((база!$M$5*Таблица1[[#This Row],[сумма]]*Таблица1[[#This Row],[коэф]])),
IF((G807="3/24"),((база!$M$4*Таблица1[[#This Row],[сумма]]*Таблица1[[#This Row],[коэф]])),
IF((G807="5/16"),((база!$L$6*Таблица1[[#This Row],[сумма]]*Таблица1[[#This Row],[коэф]])),
IF((G807="4/16"),((база!$L$5*Таблица1[[#This Row],[сумма]]*Таблица1[[#This Row],[коэф]])),
IF((G807="3/16"),((база!$L$4*Таблица1[[#This Row],[сумма]]*Таблица1[[#This Row],[коэф]])),
IF((G807="4/4"),((база!$I$5*Таблица1[[#This Row],[сумма]]*Таблица1[[#This Row],[коэф]])),
IF(OR(G807="2/4",G807="3/4"),((база!$I$4*Таблица1[[#This Row],[сумма]]*Таблица1[[#This Row],[коэф]])),
IF((G807="5/8"),((база!$J$6*Таблица1[[#This Row],[сумма]]*Таблица1[[#This Row],[коэф]])),
IF((G807="4/8"),((база!$J$5*Таблица1[[#This Row],[сумма]]*Таблица1[[#This Row],[коэф]])),
IF(OR(G807="3/8",G807="2/8"),((база!$J$4*Таблица1[[#This Row],[сумма]]*Таблица1[[#This Row],[коэф]])))))))))))))),
(IF((G807="5/24"),((база!$M$6*Таблица1[[#This Row],[сумма]]*Таблица1[[#This Row],[коэф]])),
IF(OR(G807="4/24",G807="3/24"),((база!$M$5*Таблица1[[#This Row],[сумма]]*Таблица1[[#This Row],[коэф]])),
IF((G807="5/16"),((база!$L$6*Таблица1[[#This Row],[сумма]]*Таблица1[[#This Row],[коэф]])),
IF(OR(G807="4/16",G807="3/16"),((база!$L$5*Таблица1[[#This Row],[сумма]]*Таблица1[[#This Row],[коэф]])),
IF(OR(G807="2/4",G807="3/4",G807="4/4"),((база!$I$5*Таблица1[[#This Row],[сумма]]*Таблица1[[#This Row],[коэф]])),
IF((G807="5/8"),((база!$J$6*Таблица1[[#This Row],[сумма]]*Таблица1[[#This Row],[коэф]])),
IF(OR(G807="4/8",G807="3/8",G807="2/8"),((база!$J$5*Таблица1[[#This Row],[сумма]]*Таблица1[[#This Row],[коэф]])))))))))))</f>
        <v>0</v>
      </c>
      <c r="AP807" s="730" t="b">
        <f>IF(AR807&lt;=3,(IF((G807="5/24"),((база!$M$6*2*Таблица1[[#This Row],[Столбец1]]*Таблица1[[#This Row],[коэф]])),
IF((G807="4/24"),((база!$M$5*2*Таблица1[[#This Row],[Столбец1]]*Таблица1[[#This Row],[коэф]])),
IF((G807="3/24"),((база!$M$4*2*Таблица1[[#This Row],[Столбец1]]*Таблица1[[#This Row],[коэф]])),
IF((G807="5/16"),((база!$L$6*2*Таблица1[[#This Row],[Столбец1]]*Таблица1[[#This Row],[коэф]])),
IF((G807="4/16"),((база!$L$5*2*Таблица1[[#This Row],[Столбец1]]*Таблица1[[#This Row],[коэф]])),
IF((G807="3/16"),((база!$L$4*2*Таблица1[[#This Row],[Столбец1]]*Таблица1[[#This Row],[коэф]])),
IF((G807="4/4"),((база!$I$5*2*Таблица1[[#This Row],[Столбец1]]*Таблица1[[#This Row],[коэф]])),
IF(OR(G807="2/4",G807="3/4"),((база!$I$4*2*Таблица1[[#This Row],[Столбец1]]*Таблица1[[#This Row],[коэф]])),
IF((G807="5/8"),((база!$J$6*2*Таблица1[[#This Row],[Столбец1]]*Таблица1[[#This Row],[коэф]])),
IF((G807="4/8"),((база!$J$5*2*Таблица1[[#This Row],[Столбец1]]*Таблица1[[#This Row],[коэф]])),
IF(OR(G807="3/8",G807="2/8"),((база!$J$4*2*Таблица1[[#This Row],[Столбец1]]*Таблица1[[#This Row],[коэф]])))))))))))))),
(IF((G807="5/24"),((база!$M$6*2*Таблица1[[#This Row],[Столбец1]]*Таблица1[[#This Row],[коэф]])),
IF(OR(G807="4/24",G807="3/24"),((база!$M$5*2*Таблица1[[#This Row],[Столбец1]]*Таблица1[[#This Row],[коэф]])),
IF((G807="5/16"),((база!$L$6*2*Таблица1[[#This Row],[Столбец1]]*Таблица1[[#This Row],[коэф]])),
IF(OR(G807="4/16",G807="3/16"),((база!$L$5*2*Таблица1[[#This Row],[Столбец1]]*Таблица1[[#This Row],[коэф]])),
IF(OR(G807="2/4",G807="3/4",G807="4/4"),((база!$I$5*2*Таблица1[[#This Row],[Столбец1]]*Таблица1[[#This Row],[коэф]])),
IF((G807="5/8"),((база!$J$6*2*Таблица1[[#This Row],[Столбец1]]*Таблица1[[#This Row],[коэф]])),
IF(OR(G807="4/8",G807="3/8",G807="2/8"),((база!$J$5*2*Таблица1[[#This Row],[Столбец1]]*Таблица1[[#This Row],[коэф]])))))))))))</f>
        <v>0</v>
      </c>
      <c r="AQ807" s="712" t="str">
        <f>IFERROR(INDEX(база!T:T, MATCH(F807,база!Q:Q,0)),"")</f>
        <v/>
      </c>
      <c r="AR807" s="208" t="str">
        <f>IFERROR(INDEX(база!D:D, MATCH(F807,база!B:B,0)),"")</f>
        <v/>
      </c>
      <c r="AS807" s="758" t="str">
        <f>IFERROR(INDEX(база!E:E, MATCH(F807,база!B:B,0)),"")</f>
        <v/>
      </c>
    </row>
    <row r="808" spans="1:45" ht="15">
      <c r="A808" s="66" t="str">
        <f t="shared" si="12"/>
        <v>январь</v>
      </c>
      <c r="B808" s="231">
        <v>2024</v>
      </c>
      <c r="C808" s="299"/>
      <c r="D808" s="61"/>
      <c r="E808" s="211"/>
      <c r="F808" s="680"/>
      <c r="G808" s="47"/>
      <c r="H808" s="563"/>
      <c r="I808" s="563"/>
      <c r="J808" s="563"/>
      <c r="K808" s="563"/>
      <c r="L808" s="563"/>
      <c r="M808" s="563"/>
      <c r="N808" s="563"/>
      <c r="O808" s="563"/>
      <c r="P808" s="300"/>
      <c r="Q808" s="563"/>
      <c r="R808" s="563"/>
      <c r="S808" s="563"/>
      <c r="T808" s="563"/>
      <c r="U808" s="563"/>
      <c r="V808" s="563"/>
      <c r="W808" s="563"/>
      <c r="X808" s="563"/>
      <c r="Y808" s="563"/>
      <c r="Z808" s="563"/>
      <c r="AA808" s="563"/>
      <c r="AB808" s="563"/>
      <c r="AC808" s="563"/>
      <c r="AD808" s="48"/>
      <c r="AE808" s="48"/>
      <c r="AF808" s="258"/>
      <c r="AG808" s="48"/>
      <c r="AH808" s="48"/>
      <c r="AI808" s="48"/>
      <c r="AJ808" s="48"/>
      <c r="AK808" s="48"/>
      <c r="AL808" s="51"/>
      <c r="AM808" s="212">
        <f>IF(AQ808=1,SUM(Q808:T808,W808:Z808,AC808:AF808,AI808:AL808),
IF(AQ808=2,SUM(P808,S808:V808,Y808:AB808,AE808:AH808,AK808:AL808),
IF(AQ808=3,SUM(P808:R808,U808:X808,AA808:AD808,AG808:AJ808),SUM(Таблица1[[#This Row],[1]:[31]])-Таблица1[[#This Row],[Столбец1]])))</f>
        <v>0</v>
      </c>
      <c r="AN808" s="778">
        <f t="array" ref="AN808">IF(AQ808=1,SUM(P808,U808:V808,AA808:AB808,AG808:AH808),
IF(AQ808=2,SUM(Q808:R808,W808:X808,AC808:AD808,AI808:AJ808),
IF(AQ808=3,SUM(S808:T808,Y808:Z808,AE808:AF808,AK808:AL808),
SUM(IFERROR(WEEKDAY($H$2:$AL$2,2)&gt;5,)*H808:AL808))))+Таблица1[[#This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08" s="292" t="b">
        <f>IF(AR808&lt;=3,(IF((G808="5/24"),((база!$M$6*Таблица1[[#This Row],[сумма]]*Таблица1[[#This Row],[коэф]])),
IF((G808="4/24"),((база!$M$5*Таблица1[[#This Row],[сумма]]*Таблица1[[#This Row],[коэф]])),
IF((G808="3/24"),((база!$M$4*Таблица1[[#This Row],[сумма]]*Таблица1[[#This Row],[коэф]])),
IF((G808="5/16"),((база!$L$6*Таблица1[[#This Row],[сумма]]*Таблица1[[#This Row],[коэф]])),
IF((G808="4/16"),((база!$L$5*Таблица1[[#This Row],[сумма]]*Таблица1[[#This Row],[коэф]])),
IF((G808="3/16"),((база!$L$4*Таблица1[[#This Row],[сумма]]*Таблица1[[#This Row],[коэф]])),
IF((G808="4/4"),((база!$I$5*Таблица1[[#This Row],[сумма]]*Таблица1[[#This Row],[коэф]])),
IF(OR(G808="2/4",G808="3/4"),((база!$I$4*Таблица1[[#This Row],[сумма]]*Таблица1[[#This Row],[коэф]])),
IF((G808="5/8"),((база!$J$6*Таблица1[[#This Row],[сумма]]*Таблица1[[#This Row],[коэф]])),
IF((G808="4/8"),((база!$J$5*Таблица1[[#This Row],[сумма]]*Таблица1[[#This Row],[коэф]])),
IF(OR(G808="3/8",G808="2/8"),((база!$J$4*Таблица1[[#This Row],[сумма]]*Таблица1[[#This Row],[коэф]])))))))))))))),
(IF((G808="5/24"),((база!$M$6*Таблица1[[#This Row],[сумма]]*Таблица1[[#This Row],[коэф]])),
IF(OR(G808="4/24",G808="3/24"),((база!$M$5*Таблица1[[#This Row],[сумма]]*Таблица1[[#This Row],[коэф]])),
IF((G808="5/16"),((база!$L$6*Таблица1[[#This Row],[сумма]]*Таблица1[[#This Row],[коэф]])),
IF(OR(G808="4/16",G808="3/16"),((база!$L$5*Таблица1[[#This Row],[сумма]]*Таблица1[[#This Row],[коэф]])),
IF(OR(G808="2/4",G808="3/4",G808="4/4"),((база!$I$5*Таблица1[[#This Row],[сумма]]*Таблица1[[#This Row],[коэф]])),
IF((G808="5/8"),((база!$J$6*Таблица1[[#This Row],[сумма]]*Таблица1[[#This Row],[коэф]])),
IF(OR(G808="4/8",G808="3/8",G808="2/8"),((база!$J$5*Таблица1[[#This Row],[сумма]]*Таблица1[[#This Row],[коэф]])))))))))))</f>
        <v>0</v>
      </c>
      <c r="AP808" s="730" t="b">
        <f>IF(AR808&lt;=3,(IF((G808="5/24"),((база!$M$6*2*Таблица1[[#This Row],[Столбец1]]*Таблица1[[#This Row],[коэф]])),
IF((G808="4/24"),((база!$M$5*2*Таблица1[[#This Row],[Столбец1]]*Таблица1[[#This Row],[коэф]])),
IF((G808="3/24"),((база!$M$4*2*Таблица1[[#This Row],[Столбец1]]*Таблица1[[#This Row],[коэф]])),
IF((G808="5/16"),((база!$L$6*2*Таблица1[[#This Row],[Столбец1]]*Таблица1[[#This Row],[коэф]])),
IF((G808="4/16"),((база!$L$5*2*Таблица1[[#This Row],[Столбец1]]*Таблица1[[#This Row],[коэф]])),
IF((G808="3/16"),((база!$L$4*2*Таблица1[[#This Row],[Столбец1]]*Таблица1[[#This Row],[коэф]])),
IF((G808="4/4"),((база!$I$5*2*Таблица1[[#This Row],[Столбец1]]*Таблица1[[#This Row],[коэф]])),
IF(OR(G808="2/4",G808="3/4"),((база!$I$4*2*Таблица1[[#This Row],[Столбец1]]*Таблица1[[#This Row],[коэф]])),
IF((G808="5/8"),((база!$J$6*2*Таблица1[[#This Row],[Столбец1]]*Таблица1[[#This Row],[коэф]])),
IF((G808="4/8"),((база!$J$5*2*Таблица1[[#This Row],[Столбец1]]*Таблица1[[#This Row],[коэф]])),
IF(OR(G808="3/8",G808="2/8"),((база!$J$4*2*Таблица1[[#This Row],[Столбец1]]*Таблица1[[#This Row],[коэф]])))))))))))))),
(IF((G808="5/24"),((база!$M$6*2*Таблица1[[#This Row],[Столбец1]]*Таблица1[[#This Row],[коэф]])),
IF(OR(G808="4/24",G808="3/24"),((база!$M$5*2*Таблица1[[#This Row],[Столбец1]]*Таблица1[[#This Row],[коэф]])),
IF((G808="5/16"),((база!$L$6*2*Таблица1[[#This Row],[Столбец1]]*Таблица1[[#This Row],[коэф]])),
IF(OR(G808="4/16",G808="3/16"),((база!$L$5*2*Таблица1[[#This Row],[Столбец1]]*Таблица1[[#This Row],[коэф]])),
IF(OR(G808="2/4",G808="3/4",G808="4/4"),((база!$I$5*2*Таблица1[[#This Row],[Столбец1]]*Таблица1[[#This Row],[коэф]])),
IF((G808="5/8"),((база!$J$6*2*Таблица1[[#This Row],[Столбец1]]*Таблица1[[#This Row],[коэф]])),
IF(OR(G808="4/8",G808="3/8",G808="2/8"),((база!$J$5*2*Таблица1[[#This Row],[Столбец1]]*Таблица1[[#This Row],[коэф]])))))))))))</f>
        <v>0</v>
      </c>
      <c r="AQ808" s="712" t="str">
        <f>IFERROR(INDEX(база!T:T, MATCH(F808,база!Q:Q,0)),"")</f>
        <v/>
      </c>
      <c r="AR808" s="208" t="str">
        <f>IFERROR(INDEX(база!D:D, MATCH(F808,база!B:B,0)),"")</f>
        <v/>
      </c>
      <c r="AS808" s="758" t="str">
        <f>IFERROR(INDEX(база!E:E, MATCH(F808,база!B:B,0)),"")</f>
        <v/>
      </c>
    </row>
    <row r="809" spans="1:45" ht="15">
      <c r="A809" s="66" t="str">
        <f t="shared" si="12"/>
        <v>январь</v>
      </c>
      <c r="B809" s="231">
        <v>2024</v>
      </c>
      <c r="C809" s="299"/>
      <c r="D809" s="61"/>
      <c r="E809" s="211"/>
      <c r="F809" s="680"/>
      <c r="G809" s="47"/>
      <c r="H809" s="563"/>
      <c r="I809" s="563"/>
      <c r="J809" s="563"/>
      <c r="K809" s="563"/>
      <c r="L809" s="563"/>
      <c r="M809" s="563"/>
      <c r="N809" s="563"/>
      <c r="O809" s="563"/>
      <c r="P809" s="300"/>
      <c r="Q809" s="563"/>
      <c r="R809" s="563"/>
      <c r="S809" s="563"/>
      <c r="T809" s="563"/>
      <c r="U809" s="563"/>
      <c r="V809" s="563"/>
      <c r="W809" s="563"/>
      <c r="X809" s="563"/>
      <c r="Y809" s="563"/>
      <c r="Z809" s="563"/>
      <c r="AA809" s="563"/>
      <c r="AB809" s="563"/>
      <c r="AC809" s="563"/>
      <c r="AD809" s="48"/>
      <c r="AE809" s="48"/>
      <c r="AF809" s="258"/>
      <c r="AG809" s="48"/>
      <c r="AH809" s="48"/>
      <c r="AI809" s="258"/>
      <c r="AJ809" s="258"/>
      <c r="AK809" s="258"/>
      <c r="AL809" s="258"/>
      <c r="AM809" s="212">
        <f>IF(AQ809=1,SUM(Q809:T809,W809:Z809,AC809:AF809,AI809:AL809),
IF(AQ809=2,SUM(P809,S809:V809,Y809:AB809,AE809:AH809,AK809:AL809),
IF(AQ809=3,SUM(P809:R809,U809:X809,AA809:AD809,AG809:AJ809),SUM(Таблица1[[#This Row],[1]:[31]])-Таблица1[[#This Row],[Столбец1]])))</f>
        <v>0</v>
      </c>
      <c r="AN809" s="778">
        <f t="array" ref="AN809">IF(AQ809=1,SUM(P809,U809:V809,AA809:AB809,AG809:AH809),
IF(AQ809=2,SUM(Q809:R809,W809:X809,AC809:AD809,AI809:AJ809),
IF(AQ809=3,SUM(S809:T809,Y809:Z809,AE809:AF809,AK809:AL809),
SUM(IFERROR(WEEKDAY($H$2:$AL$2,2)&gt;5,)*H809:AL809))))+Таблица1[[#This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09" s="292" t="b">
        <f>IF(AR809&lt;=3,(IF((G809="5/24"),((база!$M$6*Таблица1[[#This Row],[сумма]]*Таблица1[[#This Row],[коэф]])),
IF((G809="4/24"),((база!$M$5*Таблица1[[#This Row],[сумма]]*Таблица1[[#This Row],[коэф]])),
IF((G809="3/24"),((база!$M$4*Таблица1[[#This Row],[сумма]]*Таблица1[[#This Row],[коэф]])),
IF((G809="5/16"),((база!$L$6*Таблица1[[#This Row],[сумма]]*Таблица1[[#This Row],[коэф]])),
IF((G809="4/16"),((база!$L$5*Таблица1[[#This Row],[сумма]]*Таблица1[[#This Row],[коэф]])),
IF((G809="3/16"),((база!$L$4*Таблица1[[#This Row],[сумма]]*Таблица1[[#This Row],[коэф]])),
IF((G809="4/4"),((база!$I$5*Таблица1[[#This Row],[сумма]]*Таблица1[[#This Row],[коэф]])),
IF(OR(G809="2/4",G809="3/4"),((база!$I$4*Таблица1[[#This Row],[сумма]]*Таблица1[[#This Row],[коэф]])),
IF((G809="5/8"),((база!$J$6*Таблица1[[#This Row],[сумма]]*Таблица1[[#This Row],[коэф]])),
IF((G809="4/8"),((база!$J$5*Таблица1[[#This Row],[сумма]]*Таблица1[[#This Row],[коэф]])),
IF(OR(G809="3/8",G809="2/8"),((база!$J$4*Таблица1[[#This Row],[сумма]]*Таблица1[[#This Row],[коэф]])))))))))))))),
(IF((G809="5/24"),((база!$M$6*Таблица1[[#This Row],[сумма]]*Таблица1[[#This Row],[коэф]])),
IF(OR(G809="4/24",G809="3/24"),((база!$M$5*Таблица1[[#This Row],[сумма]]*Таблица1[[#This Row],[коэф]])),
IF((G809="5/16"),((база!$L$6*Таблица1[[#This Row],[сумма]]*Таблица1[[#This Row],[коэф]])),
IF(OR(G809="4/16",G809="3/16"),((база!$L$5*Таблица1[[#This Row],[сумма]]*Таблица1[[#This Row],[коэф]])),
IF(OR(G809="2/4",G809="3/4",G809="4/4"),((база!$I$5*Таблица1[[#This Row],[сумма]]*Таблица1[[#This Row],[коэф]])),
IF((G809="5/8"),((база!$J$6*Таблица1[[#This Row],[сумма]]*Таблица1[[#This Row],[коэф]])),
IF(OR(G809="4/8",G809="3/8",G809="2/8"),((база!$J$5*Таблица1[[#This Row],[сумма]]*Таблица1[[#This Row],[коэф]])))))))))))</f>
        <v>0</v>
      </c>
      <c r="AP809" s="730" t="b">
        <f>IF(AR809&lt;=3,(IF((G809="5/24"),((база!$M$6*2*Таблица1[[#This Row],[Столбец1]]*Таблица1[[#This Row],[коэф]])),
IF((G809="4/24"),((база!$M$5*2*Таблица1[[#This Row],[Столбец1]]*Таблица1[[#This Row],[коэф]])),
IF((G809="3/24"),((база!$M$4*2*Таблица1[[#This Row],[Столбец1]]*Таблица1[[#This Row],[коэф]])),
IF((G809="5/16"),((база!$L$6*2*Таблица1[[#This Row],[Столбец1]]*Таблица1[[#This Row],[коэф]])),
IF((G809="4/16"),((база!$L$5*2*Таблица1[[#This Row],[Столбец1]]*Таблица1[[#This Row],[коэф]])),
IF((G809="3/16"),((база!$L$4*2*Таблица1[[#This Row],[Столбец1]]*Таблица1[[#This Row],[коэф]])),
IF((G809="4/4"),((база!$I$5*2*Таблица1[[#This Row],[Столбец1]]*Таблица1[[#This Row],[коэф]])),
IF(OR(G809="2/4",G809="3/4"),((база!$I$4*2*Таблица1[[#This Row],[Столбец1]]*Таблица1[[#This Row],[коэф]])),
IF((G809="5/8"),((база!$J$6*2*Таблица1[[#This Row],[Столбец1]]*Таблица1[[#This Row],[коэф]])),
IF((G809="4/8"),((база!$J$5*2*Таблица1[[#This Row],[Столбец1]]*Таблица1[[#This Row],[коэф]])),
IF(OR(G809="3/8",G809="2/8"),((база!$J$4*2*Таблица1[[#This Row],[Столбец1]]*Таблица1[[#This Row],[коэф]])))))))))))))),
(IF((G809="5/24"),((база!$M$6*2*Таблица1[[#This Row],[Столбец1]]*Таблица1[[#This Row],[коэф]])),
IF(OR(G809="4/24",G809="3/24"),((база!$M$5*2*Таблица1[[#This Row],[Столбец1]]*Таблица1[[#This Row],[коэф]])),
IF((G809="5/16"),((база!$L$6*2*Таблица1[[#This Row],[Столбец1]]*Таблица1[[#This Row],[коэф]])),
IF(OR(G809="4/16",G809="3/16"),((база!$L$5*2*Таблица1[[#This Row],[Столбец1]]*Таблица1[[#This Row],[коэф]])),
IF(OR(G809="2/4",G809="3/4",G809="4/4"),((база!$I$5*2*Таблица1[[#This Row],[Столбец1]]*Таблица1[[#This Row],[коэф]])),
IF((G809="5/8"),((база!$J$6*2*Таблица1[[#This Row],[Столбец1]]*Таблица1[[#This Row],[коэф]])),
IF(OR(G809="4/8",G809="3/8",G809="2/8"),((база!$J$5*2*Таблица1[[#This Row],[Столбец1]]*Таблица1[[#This Row],[коэф]])))))))))))</f>
        <v>0</v>
      </c>
      <c r="AQ809" s="712" t="str">
        <f>IFERROR(INDEX(база!T:T, MATCH(F809,база!Q:Q,0)),"")</f>
        <v/>
      </c>
      <c r="AR809" s="208" t="str">
        <f>IFERROR(INDEX(база!D:D, MATCH(F809,база!B:B,0)),"")</f>
        <v/>
      </c>
      <c r="AS809" s="758" t="str">
        <f>IFERROR(INDEX(база!E:E, MATCH(F809,база!B:B,0)),"")</f>
        <v/>
      </c>
    </row>
    <row r="810" spans="1:45" ht="15">
      <c r="A810" s="66" t="str">
        <f t="shared" si="12"/>
        <v>январь</v>
      </c>
      <c r="B810" s="231">
        <v>2024</v>
      </c>
      <c r="C810" s="299"/>
      <c r="D810" s="61"/>
      <c r="E810" s="211"/>
      <c r="F810" s="680"/>
      <c r="G810" s="47"/>
      <c r="H810" s="563"/>
      <c r="I810" s="563"/>
      <c r="J810" s="563"/>
      <c r="K810" s="563"/>
      <c r="L810" s="563"/>
      <c r="M810" s="563"/>
      <c r="N810" s="563"/>
      <c r="O810" s="563"/>
      <c r="P810" s="300"/>
      <c r="Q810" s="563"/>
      <c r="R810" s="563"/>
      <c r="S810" s="563"/>
      <c r="T810" s="563"/>
      <c r="U810" s="563"/>
      <c r="V810" s="563"/>
      <c r="W810" s="563"/>
      <c r="X810" s="563"/>
      <c r="Y810" s="563"/>
      <c r="Z810" s="563"/>
      <c r="AA810" s="563"/>
      <c r="AB810" s="563"/>
      <c r="AC810" s="563"/>
      <c r="AD810" s="48"/>
      <c r="AE810" s="48"/>
      <c r="AF810" s="258"/>
      <c r="AG810" s="48"/>
      <c r="AH810" s="48"/>
      <c r="AI810" s="48"/>
      <c r="AJ810" s="48"/>
      <c r="AK810" s="48"/>
      <c r="AL810" s="51"/>
      <c r="AM810" s="212">
        <f>IF(AQ810=1,SUM(Q810:T810,W810:Z810,AC810:AF810,AI810:AL810),
IF(AQ810=2,SUM(P810,S810:V810,Y810:AB810,AE810:AH810,AK810:AL810),
IF(AQ810=3,SUM(P810:R810,U810:X810,AA810:AD810,AG810:AJ810),SUM(Таблица1[[#This Row],[1]:[31]])-Таблица1[[#This Row],[Столбец1]])))</f>
        <v>0</v>
      </c>
      <c r="AN810" s="778">
        <f t="array" ref="AN810">IF(AQ810=1,SUM(P810,U810:V810,AA810:AB810,AG810:AH810),
IF(AQ810=2,SUM(Q810:R810,W810:X810,AC810:AD810,AI810:AJ810),
IF(AQ810=3,SUM(S810:T810,Y810:Z810,AE810:AF810,AK810:AL810),
SUM(IFERROR(WEEKDAY($H$2:$AL$2,2)&gt;5,)*H810:AL810))))+Таблица1[[#This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10" s="292" t="b">
        <f>IF(AR810&lt;=3,(IF((G810="5/24"),((база!$M$6*Таблица1[[#This Row],[сумма]]*Таблица1[[#This Row],[коэф]])),
IF((G810="4/24"),((база!$M$5*Таблица1[[#This Row],[сумма]]*Таблица1[[#This Row],[коэф]])),
IF((G810="3/24"),((база!$M$4*Таблица1[[#This Row],[сумма]]*Таблица1[[#This Row],[коэф]])),
IF((G810="5/16"),((база!$L$6*Таблица1[[#This Row],[сумма]]*Таблица1[[#This Row],[коэф]])),
IF((G810="4/16"),((база!$L$5*Таблица1[[#This Row],[сумма]]*Таблица1[[#This Row],[коэф]])),
IF((G810="3/16"),((база!$L$4*Таблица1[[#This Row],[сумма]]*Таблица1[[#This Row],[коэф]])),
IF((G810="4/4"),((база!$I$5*Таблица1[[#This Row],[сумма]]*Таблица1[[#This Row],[коэф]])),
IF(OR(G810="2/4",G810="3/4"),((база!$I$4*Таблица1[[#This Row],[сумма]]*Таблица1[[#This Row],[коэф]])),
IF((G810="5/8"),((база!$J$6*Таблица1[[#This Row],[сумма]]*Таблица1[[#This Row],[коэф]])),
IF((G810="4/8"),((база!$J$5*Таблица1[[#This Row],[сумма]]*Таблица1[[#This Row],[коэф]])),
IF(OR(G810="3/8",G810="2/8"),((база!$J$4*Таблица1[[#This Row],[сумма]]*Таблица1[[#This Row],[коэф]])))))))))))))),
(IF((G810="5/24"),((база!$M$6*Таблица1[[#This Row],[сумма]]*Таблица1[[#This Row],[коэф]])),
IF(OR(G810="4/24",G810="3/24"),((база!$M$5*Таблица1[[#This Row],[сумма]]*Таблица1[[#This Row],[коэф]])),
IF((G810="5/16"),((база!$L$6*Таблица1[[#This Row],[сумма]]*Таблица1[[#This Row],[коэф]])),
IF(OR(G810="4/16",G810="3/16"),((база!$L$5*Таблица1[[#This Row],[сумма]]*Таблица1[[#This Row],[коэф]])),
IF(OR(G810="2/4",G810="3/4",G810="4/4"),((база!$I$5*Таблица1[[#This Row],[сумма]]*Таблица1[[#This Row],[коэф]])),
IF((G810="5/8"),((база!$J$6*Таблица1[[#This Row],[сумма]]*Таблица1[[#This Row],[коэф]])),
IF(OR(G810="4/8",G810="3/8",G810="2/8"),((база!$J$5*Таблица1[[#This Row],[сумма]]*Таблица1[[#This Row],[коэф]])))))))))))</f>
        <v>0</v>
      </c>
      <c r="AP810" s="730" t="b">
        <f>IF(AR810&lt;=3,(IF((G810="5/24"),((база!$M$6*2*Таблица1[[#This Row],[Столбец1]]*Таблица1[[#This Row],[коэф]])),
IF((G810="4/24"),((база!$M$5*2*Таблица1[[#This Row],[Столбец1]]*Таблица1[[#This Row],[коэф]])),
IF((G810="3/24"),((база!$M$4*2*Таблица1[[#This Row],[Столбец1]]*Таблица1[[#This Row],[коэф]])),
IF((G810="5/16"),((база!$L$6*2*Таблица1[[#This Row],[Столбец1]]*Таблица1[[#This Row],[коэф]])),
IF((G810="4/16"),((база!$L$5*2*Таблица1[[#This Row],[Столбец1]]*Таблица1[[#This Row],[коэф]])),
IF((G810="3/16"),((база!$L$4*2*Таблица1[[#This Row],[Столбец1]]*Таблица1[[#This Row],[коэф]])),
IF((G810="4/4"),((база!$I$5*2*Таблица1[[#This Row],[Столбец1]]*Таблица1[[#This Row],[коэф]])),
IF(OR(G810="2/4",G810="3/4"),((база!$I$4*2*Таблица1[[#This Row],[Столбец1]]*Таблица1[[#This Row],[коэф]])),
IF((G810="5/8"),((база!$J$6*2*Таблица1[[#This Row],[Столбец1]]*Таблица1[[#This Row],[коэф]])),
IF((G810="4/8"),((база!$J$5*2*Таблица1[[#This Row],[Столбец1]]*Таблица1[[#This Row],[коэф]])),
IF(OR(G810="3/8",G810="2/8"),((база!$J$4*2*Таблица1[[#This Row],[Столбец1]]*Таблица1[[#This Row],[коэф]])))))))))))))),
(IF((G810="5/24"),((база!$M$6*2*Таблица1[[#This Row],[Столбец1]]*Таблица1[[#This Row],[коэф]])),
IF(OR(G810="4/24",G810="3/24"),((база!$M$5*2*Таблица1[[#This Row],[Столбец1]]*Таблица1[[#This Row],[коэф]])),
IF((G810="5/16"),((база!$L$6*2*Таблица1[[#This Row],[Столбец1]]*Таблица1[[#This Row],[коэф]])),
IF(OR(G810="4/16",G810="3/16"),((база!$L$5*2*Таблица1[[#This Row],[Столбец1]]*Таблица1[[#This Row],[коэф]])),
IF(OR(G810="2/4",G810="3/4",G810="4/4"),((база!$I$5*2*Таблица1[[#This Row],[Столбец1]]*Таблица1[[#This Row],[коэф]])),
IF((G810="5/8"),((база!$J$6*2*Таблица1[[#This Row],[Столбец1]]*Таблица1[[#This Row],[коэф]])),
IF(OR(G810="4/8",G810="3/8",G810="2/8"),((база!$J$5*2*Таблица1[[#This Row],[Столбец1]]*Таблица1[[#This Row],[коэф]])))))))))))</f>
        <v>0</v>
      </c>
      <c r="AQ810" s="712" t="str">
        <f>IFERROR(INDEX(база!T:T, MATCH(F810,база!Q:Q,0)),"")</f>
        <v/>
      </c>
      <c r="AR810" s="208" t="str">
        <f>IFERROR(INDEX(база!D:D, MATCH(F810,база!B:B,0)),"")</f>
        <v/>
      </c>
      <c r="AS810" s="758" t="str">
        <f>IFERROR(INDEX(база!E:E, MATCH(F810,база!B:B,0)),"")</f>
        <v/>
      </c>
    </row>
    <row r="811" spans="1:45" ht="15">
      <c r="A811" s="66" t="str">
        <f t="shared" si="12"/>
        <v>январь</v>
      </c>
      <c r="B811" s="231">
        <v>2024</v>
      </c>
      <c r="C811" s="299"/>
      <c r="D811" s="61"/>
      <c r="E811" s="211"/>
      <c r="F811" s="680"/>
      <c r="G811" s="47"/>
      <c r="H811" s="563"/>
      <c r="I811" s="563"/>
      <c r="J811" s="563"/>
      <c r="K811" s="563"/>
      <c r="L811" s="563"/>
      <c r="M811" s="563"/>
      <c r="N811" s="563"/>
      <c r="O811" s="563"/>
      <c r="P811" s="300"/>
      <c r="Q811" s="563"/>
      <c r="R811" s="563"/>
      <c r="S811" s="563"/>
      <c r="T811" s="563"/>
      <c r="U811" s="563"/>
      <c r="V811" s="563"/>
      <c r="W811" s="563"/>
      <c r="X811" s="563"/>
      <c r="Y811" s="563"/>
      <c r="Z811" s="563"/>
      <c r="AA811" s="563"/>
      <c r="AB811" s="563"/>
      <c r="AC811" s="563"/>
      <c r="AD811" s="48"/>
      <c r="AE811" s="48"/>
      <c r="AF811" s="258"/>
      <c r="AG811" s="48"/>
      <c r="AH811" s="48"/>
      <c r="AI811" s="258"/>
      <c r="AJ811" s="258"/>
      <c r="AK811" s="258"/>
      <c r="AL811" s="258"/>
      <c r="AM811" s="212">
        <f>IF(AQ811=1,SUM(Q811:T811,W811:Z811,AC811:AF811,AI811:AL811),
IF(AQ811=2,SUM(P811,S811:V811,Y811:AB811,AE811:AH811,AK811:AL811),
IF(AQ811=3,SUM(P811:R811,U811:X811,AA811:AD811,AG811:AJ811),SUM(Таблица1[[#This Row],[1]:[31]])-Таблица1[[#This Row],[Столбец1]])))</f>
        <v>0</v>
      </c>
      <c r="AN811" s="778">
        <f t="array" ref="AN811">IF(AQ811=1,SUM(P811,U811:V811,AA811:AB811,AG811:AH811),
IF(AQ811=2,SUM(Q811:R811,W811:X811,AC811:AD811,AI811:AJ811),
IF(AQ811=3,SUM(S811:T811,Y811:Z811,AE811:AF811,AK811:AL811),
SUM(IFERROR(WEEKDAY($H$2:$AL$2,2)&gt;5,)*H811:AL811))))+Таблица1[[#This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11" s="292" t="b">
        <f>IF(AR811&lt;=3,(IF((G811="5/24"),((база!$M$6*Таблица1[[#This Row],[сумма]]*Таблица1[[#This Row],[коэф]])),
IF((G811="4/24"),((база!$M$5*Таблица1[[#This Row],[сумма]]*Таблица1[[#This Row],[коэф]])),
IF((G811="3/24"),((база!$M$4*Таблица1[[#This Row],[сумма]]*Таблица1[[#This Row],[коэф]])),
IF((G811="5/16"),((база!$L$6*Таблица1[[#This Row],[сумма]]*Таблица1[[#This Row],[коэф]])),
IF((G811="4/16"),((база!$L$5*Таблица1[[#This Row],[сумма]]*Таблица1[[#This Row],[коэф]])),
IF((G811="3/16"),((база!$L$4*Таблица1[[#This Row],[сумма]]*Таблица1[[#This Row],[коэф]])),
IF((G811="4/4"),((база!$I$5*Таблица1[[#This Row],[сумма]]*Таблица1[[#This Row],[коэф]])),
IF(OR(G811="2/4",G811="3/4"),((база!$I$4*Таблица1[[#This Row],[сумма]]*Таблица1[[#This Row],[коэф]])),
IF((G811="5/8"),((база!$J$6*Таблица1[[#This Row],[сумма]]*Таблица1[[#This Row],[коэф]])),
IF((G811="4/8"),((база!$J$5*Таблица1[[#This Row],[сумма]]*Таблица1[[#This Row],[коэф]])),
IF(OR(G811="3/8",G811="2/8"),((база!$J$4*Таблица1[[#This Row],[сумма]]*Таблица1[[#This Row],[коэф]])))))))))))))),
(IF((G811="5/24"),((база!$M$6*Таблица1[[#This Row],[сумма]]*Таблица1[[#This Row],[коэф]])),
IF(OR(G811="4/24",G811="3/24"),((база!$M$5*Таблица1[[#This Row],[сумма]]*Таблица1[[#This Row],[коэф]])),
IF((G811="5/16"),((база!$L$6*Таблица1[[#This Row],[сумма]]*Таблица1[[#This Row],[коэф]])),
IF(OR(G811="4/16",G811="3/16"),((база!$L$5*Таблица1[[#This Row],[сумма]]*Таблица1[[#This Row],[коэф]])),
IF(OR(G811="2/4",G811="3/4",G811="4/4"),((база!$I$5*Таблица1[[#This Row],[сумма]]*Таблица1[[#This Row],[коэф]])),
IF((G811="5/8"),((база!$J$6*Таблица1[[#This Row],[сумма]]*Таблица1[[#This Row],[коэф]])),
IF(OR(G811="4/8",G811="3/8",G811="2/8"),((база!$J$5*Таблица1[[#This Row],[сумма]]*Таблица1[[#This Row],[коэф]])))))))))))</f>
        <v>0</v>
      </c>
      <c r="AP811" s="730" t="b">
        <f>IF(AR811&lt;=3,(IF((G811="5/24"),((база!$M$6*2*Таблица1[[#This Row],[Столбец1]]*Таблица1[[#This Row],[коэф]])),
IF((G811="4/24"),((база!$M$5*2*Таблица1[[#This Row],[Столбец1]]*Таблица1[[#This Row],[коэф]])),
IF((G811="3/24"),((база!$M$4*2*Таблица1[[#This Row],[Столбец1]]*Таблица1[[#This Row],[коэф]])),
IF((G811="5/16"),((база!$L$6*2*Таблица1[[#This Row],[Столбец1]]*Таблица1[[#This Row],[коэф]])),
IF((G811="4/16"),((база!$L$5*2*Таблица1[[#This Row],[Столбец1]]*Таблица1[[#This Row],[коэф]])),
IF((G811="3/16"),((база!$L$4*2*Таблица1[[#This Row],[Столбец1]]*Таблица1[[#This Row],[коэф]])),
IF((G811="4/4"),((база!$I$5*2*Таблица1[[#This Row],[Столбец1]]*Таблица1[[#This Row],[коэф]])),
IF(OR(G811="2/4",G811="3/4"),((база!$I$4*2*Таблица1[[#This Row],[Столбец1]]*Таблица1[[#This Row],[коэф]])),
IF((G811="5/8"),((база!$J$6*2*Таблица1[[#This Row],[Столбец1]]*Таблица1[[#This Row],[коэф]])),
IF((G811="4/8"),((база!$J$5*2*Таблица1[[#This Row],[Столбец1]]*Таблица1[[#This Row],[коэф]])),
IF(OR(G811="3/8",G811="2/8"),((база!$J$4*2*Таблица1[[#This Row],[Столбец1]]*Таблица1[[#This Row],[коэф]])))))))))))))),
(IF((G811="5/24"),((база!$M$6*2*Таблица1[[#This Row],[Столбец1]]*Таблица1[[#This Row],[коэф]])),
IF(OR(G811="4/24",G811="3/24"),((база!$M$5*2*Таблица1[[#This Row],[Столбец1]]*Таблица1[[#This Row],[коэф]])),
IF((G811="5/16"),((база!$L$6*2*Таблица1[[#This Row],[Столбец1]]*Таблица1[[#This Row],[коэф]])),
IF(OR(G811="4/16",G811="3/16"),((база!$L$5*2*Таблица1[[#This Row],[Столбец1]]*Таблица1[[#This Row],[коэф]])),
IF(OR(G811="2/4",G811="3/4",G811="4/4"),((база!$I$5*2*Таблица1[[#This Row],[Столбец1]]*Таблица1[[#This Row],[коэф]])),
IF((G811="5/8"),((база!$J$6*2*Таблица1[[#This Row],[Столбец1]]*Таблица1[[#This Row],[коэф]])),
IF(OR(G811="4/8",G811="3/8",G811="2/8"),((база!$J$5*2*Таблица1[[#This Row],[Столбец1]]*Таблица1[[#This Row],[коэф]])))))))))))</f>
        <v>0</v>
      </c>
      <c r="AQ811" s="712" t="str">
        <f>IFERROR(INDEX(база!T:T, MATCH(F811,база!Q:Q,0)),"")</f>
        <v/>
      </c>
      <c r="AR811" s="208" t="str">
        <f>IFERROR(INDEX(база!D:D, MATCH(F811,база!B:B,0)),"")</f>
        <v/>
      </c>
      <c r="AS811" s="758" t="str">
        <f>IFERROR(INDEX(база!E:E, MATCH(F811,база!B:B,0)),"")</f>
        <v/>
      </c>
    </row>
    <row r="812" spans="1:45" ht="15">
      <c r="A812" s="66" t="str">
        <f t="shared" si="12"/>
        <v>январь</v>
      </c>
      <c r="B812" s="231">
        <v>2024</v>
      </c>
      <c r="C812" s="299"/>
      <c r="D812" s="61"/>
      <c r="E812" s="211"/>
      <c r="F812" s="680"/>
      <c r="G812" s="47"/>
      <c r="H812" s="563"/>
      <c r="I812" s="563"/>
      <c r="J812" s="563"/>
      <c r="K812" s="563"/>
      <c r="L812" s="563"/>
      <c r="M812" s="563"/>
      <c r="N812" s="563"/>
      <c r="O812" s="563"/>
      <c r="P812" s="300"/>
      <c r="Q812" s="563"/>
      <c r="R812" s="563"/>
      <c r="S812" s="563"/>
      <c r="T812" s="563"/>
      <c r="U812" s="563"/>
      <c r="V812" s="563"/>
      <c r="W812" s="563"/>
      <c r="X812" s="563"/>
      <c r="Y812" s="563"/>
      <c r="Z812" s="563"/>
      <c r="AA812" s="563"/>
      <c r="AB812" s="563"/>
      <c r="AC812" s="563"/>
      <c r="AD812" s="48"/>
      <c r="AE812" s="48"/>
      <c r="AF812" s="258"/>
      <c r="AG812" s="48"/>
      <c r="AH812" s="48"/>
      <c r="AI812" s="48"/>
      <c r="AJ812" s="48"/>
      <c r="AK812" s="48"/>
      <c r="AL812" s="51"/>
      <c r="AM812" s="212">
        <f>IF(AQ812=1,SUM(Q812:T812,W812:Z812,AC812:AF812,AI812:AL812),
IF(AQ812=2,SUM(P812,S812:V812,Y812:AB812,AE812:AH812,AK812:AL812),
IF(AQ812=3,SUM(P812:R812,U812:X812,AA812:AD812,AG812:AJ812),SUM(Таблица1[[#This Row],[1]:[31]])-Таблица1[[#This Row],[Столбец1]])))</f>
        <v>0</v>
      </c>
      <c r="AN812" s="778">
        <f t="array" ref="AN812">IF(AQ812=1,SUM(P812,U812:V812,AA812:AB812,AG812:AH812),
IF(AQ812=2,SUM(Q812:R812,W812:X812,AC812:AD812,AI812:AJ812),
IF(AQ812=3,SUM(S812:T812,Y812:Z812,AE812:AF812,AK812:AL812),
SUM(IFERROR(WEEKDAY($H$2:$AL$2,2)&gt;5,)*H812:AL812))))+Таблица1[[#This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12" s="292" t="b">
        <f>IF(AR812&lt;=3,(IF((G812="5/24"),((база!$M$6*Таблица1[[#This Row],[сумма]]*Таблица1[[#This Row],[коэф]])),
IF((G812="4/24"),((база!$M$5*Таблица1[[#This Row],[сумма]]*Таблица1[[#This Row],[коэф]])),
IF((G812="3/24"),((база!$M$4*Таблица1[[#This Row],[сумма]]*Таблица1[[#This Row],[коэф]])),
IF((G812="5/16"),((база!$L$6*Таблица1[[#This Row],[сумма]]*Таблица1[[#This Row],[коэф]])),
IF((G812="4/16"),((база!$L$5*Таблица1[[#This Row],[сумма]]*Таблица1[[#This Row],[коэф]])),
IF((G812="3/16"),((база!$L$4*Таблица1[[#This Row],[сумма]]*Таблица1[[#This Row],[коэф]])),
IF((G812="4/4"),((база!$I$5*Таблица1[[#This Row],[сумма]]*Таблица1[[#This Row],[коэф]])),
IF(OR(G812="2/4",G812="3/4"),((база!$I$4*Таблица1[[#This Row],[сумма]]*Таблица1[[#This Row],[коэф]])),
IF((G812="5/8"),((база!$J$6*Таблица1[[#This Row],[сумма]]*Таблица1[[#This Row],[коэф]])),
IF((G812="4/8"),((база!$J$5*Таблица1[[#This Row],[сумма]]*Таблица1[[#This Row],[коэф]])),
IF(OR(G812="3/8",G812="2/8"),((база!$J$4*Таблица1[[#This Row],[сумма]]*Таблица1[[#This Row],[коэф]])))))))))))))),
(IF((G812="5/24"),((база!$M$6*Таблица1[[#This Row],[сумма]]*Таблица1[[#This Row],[коэф]])),
IF(OR(G812="4/24",G812="3/24"),((база!$M$5*Таблица1[[#This Row],[сумма]]*Таблица1[[#This Row],[коэф]])),
IF((G812="5/16"),((база!$L$6*Таблица1[[#This Row],[сумма]]*Таблица1[[#This Row],[коэф]])),
IF(OR(G812="4/16",G812="3/16"),((база!$L$5*Таблица1[[#This Row],[сумма]]*Таблица1[[#This Row],[коэф]])),
IF(OR(G812="2/4",G812="3/4",G812="4/4"),((база!$I$5*Таблица1[[#This Row],[сумма]]*Таблица1[[#This Row],[коэф]])),
IF((G812="5/8"),((база!$J$6*Таблица1[[#This Row],[сумма]]*Таблица1[[#This Row],[коэф]])),
IF(OR(G812="4/8",G812="3/8",G812="2/8"),((база!$J$5*Таблица1[[#This Row],[сумма]]*Таблица1[[#This Row],[коэф]])))))))))))</f>
        <v>0</v>
      </c>
      <c r="AP812" s="730" t="b">
        <f>IF(AR812&lt;=3,(IF((G812="5/24"),((база!$M$6*2*Таблица1[[#This Row],[Столбец1]]*Таблица1[[#This Row],[коэф]])),
IF((G812="4/24"),((база!$M$5*2*Таблица1[[#This Row],[Столбец1]]*Таблица1[[#This Row],[коэф]])),
IF((G812="3/24"),((база!$M$4*2*Таблица1[[#This Row],[Столбец1]]*Таблица1[[#This Row],[коэф]])),
IF((G812="5/16"),((база!$L$6*2*Таблица1[[#This Row],[Столбец1]]*Таблица1[[#This Row],[коэф]])),
IF((G812="4/16"),((база!$L$5*2*Таблица1[[#This Row],[Столбец1]]*Таблица1[[#This Row],[коэф]])),
IF((G812="3/16"),((база!$L$4*2*Таблица1[[#This Row],[Столбец1]]*Таблица1[[#This Row],[коэф]])),
IF((G812="4/4"),((база!$I$5*2*Таблица1[[#This Row],[Столбец1]]*Таблица1[[#This Row],[коэф]])),
IF(OR(G812="2/4",G812="3/4"),((база!$I$4*2*Таблица1[[#This Row],[Столбец1]]*Таблица1[[#This Row],[коэф]])),
IF((G812="5/8"),((база!$J$6*2*Таблица1[[#This Row],[Столбец1]]*Таблица1[[#This Row],[коэф]])),
IF((G812="4/8"),((база!$J$5*2*Таблица1[[#This Row],[Столбец1]]*Таблица1[[#This Row],[коэф]])),
IF(OR(G812="3/8",G812="2/8"),((база!$J$4*2*Таблица1[[#This Row],[Столбец1]]*Таблица1[[#This Row],[коэф]])))))))))))))),
(IF((G812="5/24"),((база!$M$6*2*Таблица1[[#This Row],[Столбец1]]*Таблица1[[#This Row],[коэф]])),
IF(OR(G812="4/24",G812="3/24"),((база!$M$5*2*Таблица1[[#This Row],[Столбец1]]*Таблица1[[#This Row],[коэф]])),
IF((G812="5/16"),((база!$L$6*2*Таблица1[[#This Row],[Столбец1]]*Таблица1[[#This Row],[коэф]])),
IF(OR(G812="4/16",G812="3/16"),((база!$L$5*2*Таблица1[[#This Row],[Столбец1]]*Таблица1[[#This Row],[коэф]])),
IF(OR(G812="2/4",G812="3/4",G812="4/4"),((база!$I$5*2*Таблица1[[#This Row],[Столбец1]]*Таблица1[[#This Row],[коэф]])),
IF((G812="5/8"),((база!$J$6*2*Таблица1[[#This Row],[Столбец1]]*Таблица1[[#This Row],[коэф]])),
IF(OR(G812="4/8",G812="3/8",G812="2/8"),((база!$J$5*2*Таблица1[[#This Row],[Столбец1]]*Таблица1[[#This Row],[коэф]])))))))))))</f>
        <v>0</v>
      </c>
      <c r="AQ812" s="712" t="str">
        <f>IFERROR(INDEX(база!T:T, MATCH(F812,база!Q:Q,0)),"")</f>
        <v/>
      </c>
      <c r="AR812" s="208" t="str">
        <f>IFERROR(INDEX(база!D:D, MATCH(F812,база!B:B,0)),"")</f>
        <v/>
      </c>
      <c r="AS812" s="758" t="str">
        <f>IFERROR(INDEX(база!E:E, MATCH(F812,база!B:B,0)),"")</f>
        <v/>
      </c>
    </row>
    <row r="813" spans="1:45" ht="15">
      <c r="A813" s="66" t="str">
        <f t="shared" si="12"/>
        <v>январь</v>
      </c>
      <c r="B813" s="231">
        <v>2024</v>
      </c>
      <c r="C813" s="299"/>
      <c r="D813" s="61"/>
      <c r="E813" s="211"/>
      <c r="F813" s="680"/>
      <c r="G813" s="47"/>
      <c r="H813" s="563"/>
      <c r="I813" s="563"/>
      <c r="J813" s="563"/>
      <c r="K813" s="563"/>
      <c r="L813" s="563"/>
      <c r="M813" s="563"/>
      <c r="N813" s="563"/>
      <c r="O813" s="563"/>
      <c r="P813" s="300"/>
      <c r="Q813" s="563"/>
      <c r="R813" s="563"/>
      <c r="S813" s="563"/>
      <c r="T813" s="563"/>
      <c r="U813" s="563"/>
      <c r="V813" s="563"/>
      <c r="W813" s="563"/>
      <c r="X813" s="563"/>
      <c r="Y813" s="563"/>
      <c r="Z813" s="563"/>
      <c r="AA813" s="563"/>
      <c r="AB813" s="563"/>
      <c r="AC813" s="563"/>
      <c r="AD813" s="48"/>
      <c r="AE813" s="48"/>
      <c r="AF813" s="258"/>
      <c r="AG813" s="48"/>
      <c r="AH813" s="48"/>
      <c r="AI813" s="258"/>
      <c r="AJ813" s="258"/>
      <c r="AK813" s="258"/>
      <c r="AL813" s="258"/>
      <c r="AM813" s="212">
        <f>IF(AQ813=1,SUM(Q813:T813,W813:Z813,AC813:AF813,AI813:AL813),
IF(AQ813=2,SUM(P813,S813:V813,Y813:AB813,AE813:AH813,AK813:AL813),
IF(AQ813=3,SUM(P813:R813,U813:X813,AA813:AD813,AG813:AJ813),SUM(Таблица1[[#This Row],[1]:[31]])-Таблица1[[#This Row],[Столбец1]])))</f>
        <v>0</v>
      </c>
      <c r="AN813" s="778">
        <f t="array" ref="AN813">IF(AQ813=1,SUM(P813,U813:V813,AA813:AB813,AG813:AH813),
IF(AQ813=2,SUM(Q813:R813,W813:X813,AC813:AD813,AI813:AJ813),
IF(AQ813=3,SUM(S813:T813,Y813:Z813,AE813:AF813,AK813:AL813),
SUM(IFERROR(WEEKDAY($H$2:$AL$2,2)&gt;5,)*H813:AL813))))+Таблица1[[#This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13" s="292" t="b">
        <f>IF(AR813&lt;=3,(IF((G813="5/24"),((база!$M$6*Таблица1[[#This Row],[сумма]]*Таблица1[[#This Row],[коэф]])),
IF((G813="4/24"),((база!$M$5*Таблица1[[#This Row],[сумма]]*Таблица1[[#This Row],[коэф]])),
IF((G813="3/24"),((база!$M$4*Таблица1[[#This Row],[сумма]]*Таблица1[[#This Row],[коэф]])),
IF((G813="5/16"),((база!$L$6*Таблица1[[#This Row],[сумма]]*Таблица1[[#This Row],[коэф]])),
IF((G813="4/16"),((база!$L$5*Таблица1[[#This Row],[сумма]]*Таблица1[[#This Row],[коэф]])),
IF((G813="3/16"),((база!$L$4*Таблица1[[#This Row],[сумма]]*Таблица1[[#This Row],[коэф]])),
IF((G813="4/4"),((база!$I$5*Таблица1[[#This Row],[сумма]]*Таблица1[[#This Row],[коэф]])),
IF(OR(G813="2/4",G813="3/4"),((база!$I$4*Таблица1[[#This Row],[сумма]]*Таблица1[[#This Row],[коэф]])),
IF((G813="5/8"),((база!$J$6*Таблица1[[#This Row],[сумма]]*Таблица1[[#This Row],[коэф]])),
IF((G813="4/8"),((база!$J$5*Таблица1[[#This Row],[сумма]]*Таблица1[[#This Row],[коэф]])),
IF(OR(G813="3/8",G813="2/8"),((база!$J$4*Таблица1[[#This Row],[сумма]]*Таблица1[[#This Row],[коэф]])))))))))))))),
(IF((G813="5/24"),((база!$M$6*Таблица1[[#This Row],[сумма]]*Таблица1[[#This Row],[коэф]])),
IF(OR(G813="4/24",G813="3/24"),((база!$M$5*Таблица1[[#This Row],[сумма]]*Таблица1[[#This Row],[коэф]])),
IF((G813="5/16"),((база!$L$6*Таблица1[[#This Row],[сумма]]*Таблица1[[#This Row],[коэф]])),
IF(OR(G813="4/16",G813="3/16"),((база!$L$5*Таблица1[[#This Row],[сумма]]*Таблица1[[#This Row],[коэф]])),
IF(OR(G813="2/4",G813="3/4",G813="4/4"),((база!$I$5*Таблица1[[#This Row],[сумма]]*Таблица1[[#This Row],[коэф]])),
IF((G813="5/8"),((база!$J$6*Таблица1[[#This Row],[сумма]]*Таблица1[[#This Row],[коэф]])),
IF(OR(G813="4/8",G813="3/8",G813="2/8"),((база!$J$5*Таблица1[[#This Row],[сумма]]*Таблица1[[#This Row],[коэф]])))))))))))</f>
        <v>0</v>
      </c>
      <c r="AP813" s="730" t="b">
        <f>IF(AR813&lt;=3,(IF((G813="5/24"),((база!$M$6*2*Таблица1[[#This Row],[Столбец1]]*Таблица1[[#This Row],[коэф]])),
IF((G813="4/24"),((база!$M$5*2*Таблица1[[#This Row],[Столбец1]]*Таблица1[[#This Row],[коэф]])),
IF((G813="3/24"),((база!$M$4*2*Таблица1[[#This Row],[Столбец1]]*Таблица1[[#This Row],[коэф]])),
IF((G813="5/16"),((база!$L$6*2*Таблица1[[#This Row],[Столбец1]]*Таблица1[[#This Row],[коэф]])),
IF((G813="4/16"),((база!$L$5*2*Таблица1[[#This Row],[Столбец1]]*Таблица1[[#This Row],[коэф]])),
IF((G813="3/16"),((база!$L$4*2*Таблица1[[#This Row],[Столбец1]]*Таблица1[[#This Row],[коэф]])),
IF((G813="4/4"),((база!$I$5*2*Таблица1[[#This Row],[Столбец1]]*Таблица1[[#This Row],[коэф]])),
IF(OR(G813="2/4",G813="3/4"),((база!$I$4*2*Таблица1[[#This Row],[Столбец1]]*Таблица1[[#This Row],[коэф]])),
IF((G813="5/8"),((база!$J$6*2*Таблица1[[#This Row],[Столбец1]]*Таблица1[[#This Row],[коэф]])),
IF((G813="4/8"),((база!$J$5*2*Таблица1[[#This Row],[Столбец1]]*Таблица1[[#This Row],[коэф]])),
IF(OR(G813="3/8",G813="2/8"),((база!$J$4*2*Таблица1[[#This Row],[Столбец1]]*Таблица1[[#This Row],[коэф]])))))))))))))),
(IF((G813="5/24"),((база!$M$6*2*Таблица1[[#This Row],[Столбец1]]*Таблица1[[#This Row],[коэф]])),
IF(OR(G813="4/24",G813="3/24"),((база!$M$5*2*Таблица1[[#This Row],[Столбец1]]*Таблица1[[#This Row],[коэф]])),
IF((G813="5/16"),((база!$L$6*2*Таблица1[[#This Row],[Столбец1]]*Таблица1[[#This Row],[коэф]])),
IF(OR(G813="4/16",G813="3/16"),((база!$L$5*2*Таблица1[[#This Row],[Столбец1]]*Таблица1[[#This Row],[коэф]])),
IF(OR(G813="2/4",G813="3/4",G813="4/4"),((база!$I$5*2*Таблица1[[#This Row],[Столбец1]]*Таблица1[[#This Row],[коэф]])),
IF((G813="5/8"),((база!$J$6*2*Таблица1[[#This Row],[Столбец1]]*Таблица1[[#This Row],[коэф]])),
IF(OR(G813="4/8",G813="3/8",G813="2/8"),((база!$J$5*2*Таблица1[[#This Row],[Столбец1]]*Таблица1[[#This Row],[коэф]])))))))))))</f>
        <v>0</v>
      </c>
      <c r="AQ813" s="712" t="str">
        <f>IFERROR(INDEX(база!T:T, MATCH(F813,база!Q:Q,0)),"")</f>
        <v/>
      </c>
      <c r="AR813" s="208" t="str">
        <f>IFERROR(INDEX(база!D:D, MATCH(F813,база!B:B,0)),"")</f>
        <v/>
      </c>
      <c r="AS813" s="758" t="str">
        <f>IFERROR(INDEX(база!E:E, MATCH(F813,база!B:B,0)),"")</f>
        <v/>
      </c>
    </row>
    <row r="814" spans="1:45" ht="15">
      <c r="A814" s="66" t="str">
        <f t="shared" si="12"/>
        <v>январь</v>
      </c>
      <c r="B814" s="231">
        <v>2024</v>
      </c>
      <c r="C814" s="299"/>
      <c r="D814" s="61"/>
      <c r="E814" s="211"/>
      <c r="F814" s="679"/>
      <c r="G814" s="47"/>
      <c r="H814" s="563"/>
      <c r="I814" s="563"/>
      <c r="J814" s="563"/>
      <c r="K814" s="563"/>
      <c r="L814" s="563"/>
      <c r="M814" s="563"/>
      <c r="N814" s="563"/>
      <c r="O814" s="563"/>
      <c r="P814" s="300"/>
      <c r="Q814" s="563"/>
      <c r="R814" s="563"/>
      <c r="S814" s="563"/>
      <c r="T814" s="563"/>
      <c r="U814" s="563"/>
      <c r="V814" s="563"/>
      <c r="W814" s="563"/>
      <c r="X814" s="563"/>
      <c r="Y814" s="563"/>
      <c r="Z814" s="563"/>
      <c r="AA814" s="563"/>
      <c r="AB814" s="563"/>
      <c r="AC814" s="563"/>
      <c r="AD814" s="48"/>
      <c r="AE814" s="48"/>
      <c r="AF814" s="258"/>
      <c r="AG814" s="48"/>
      <c r="AH814" s="48"/>
      <c r="AI814" s="48"/>
      <c r="AJ814" s="48"/>
      <c r="AK814" s="48"/>
      <c r="AL814" s="51"/>
      <c r="AM814" s="212">
        <f>IF(AQ814=1,SUM(Q814:T814,W814:Z814,AC814:AF814,AI814:AL814),
IF(AQ814=2,SUM(P814,S814:V814,Y814:AB814,AE814:AH814,AK814:AL814),
IF(AQ814=3,SUM(P814:R814,U814:X814,AA814:AD814,AG814:AJ814),SUM(Таблица1[[#This Row],[1]:[31]])-Таблица1[[#This Row],[Столбец1]])))</f>
        <v>0</v>
      </c>
      <c r="AN814" s="778">
        <f t="array" ref="AN814">IF(AQ814=1,SUM(P814,U814:V814,AA814:AB814,AG814:AH814),
IF(AQ814=2,SUM(Q814:R814,W814:X814,AC814:AD814,AI814:AJ814),
IF(AQ814=3,SUM(S814:T814,Y814:Z814,AE814:AF814,AK814:AL814),
SUM(IFERROR(WEEKDAY($H$2:$AL$2,2)&gt;5,)*H814:AL814))))+Таблица1[[#This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14" s="292" t="b">
        <f>IF(AR814&lt;=3,(IF((G814="5/24"),((база!$M$6*Таблица1[[#This Row],[сумма]]*Таблица1[[#This Row],[коэф]])),
IF((G814="4/24"),((база!$M$5*Таблица1[[#This Row],[сумма]]*Таблица1[[#This Row],[коэф]])),
IF((G814="3/24"),((база!$M$4*Таблица1[[#This Row],[сумма]]*Таблица1[[#This Row],[коэф]])),
IF((G814="5/16"),((база!$L$6*Таблица1[[#This Row],[сумма]]*Таблица1[[#This Row],[коэф]])),
IF((G814="4/16"),((база!$L$5*Таблица1[[#This Row],[сумма]]*Таблица1[[#This Row],[коэф]])),
IF((G814="3/16"),((база!$L$4*Таблица1[[#This Row],[сумма]]*Таблица1[[#This Row],[коэф]])),
IF((G814="4/4"),((база!$I$5*Таблица1[[#This Row],[сумма]]*Таблица1[[#This Row],[коэф]])),
IF(OR(G814="2/4",G814="3/4"),((база!$I$4*Таблица1[[#This Row],[сумма]]*Таблица1[[#This Row],[коэф]])),
IF((G814="5/8"),((база!$J$6*Таблица1[[#This Row],[сумма]]*Таблица1[[#This Row],[коэф]])),
IF((G814="4/8"),((база!$J$5*Таблица1[[#This Row],[сумма]]*Таблица1[[#This Row],[коэф]])),
IF(OR(G814="3/8",G814="2/8"),((база!$J$4*Таблица1[[#This Row],[сумма]]*Таблица1[[#This Row],[коэф]])))))))))))))),
(IF((G814="5/24"),((база!$M$6*Таблица1[[#This Row],[сумма]]*Таблица1[[#This Row],[коэф]])),
IF(OR(G814="4/24",G814="3/24"),((база!$M$5*Таблица1[[#This Row],[сумма]]*Таблица1[[#This Row],[коэф]])),
IF((G814="5/16"),((база!$L$6*Таблица1[[#This Row],[сумма]]*Таблица1[[#This Row],[коэф]])),
IF(OR(G814="4/16",G814="3/16"),((база!$L$5*Таблица1[[#This Row],[сумма]]*Таблица1[[#This Row],[коэф]])),
IF(OR(G814="2/4",G814="3/4",G814="4/4"),((база!$I$5*Таблица1[[#This Row],[сумма]]*Таблица1[[#This Row],[коэф]])),
IF((G814="5/8"),((база!$J$6*Таблица1[[#This Row],[сумма]]*Таблица1[[#This Row],[коэф]])),
IF(OR(G814="4/8",G814="3/8",G814="2/8"),((база!$J$5*Таблица1[[#This Row],[сумма]]*Таблица1[[#This Row],[коэф]])))))))))))</f>
        <v>0</v>
      </c>
      <c r="AP814" s="730" t="b">
        <f>IF(AR814&lt;=3,(IF((G814="5/24"),((база!$M$6*2*Таблица1[[#This Row],[Столбец1]]*Таблица1[[#This Row],[коэф]])),
IF((G814="4/24"),((база!$M$5*2*Таблица1[[#This Row],[Столбец1]]*Таблица1[[#This Row],[коэф]])),
IF((G814="3/24"),((база!$M$4*2*Таблица1[[#This Row],[Столбец1]]*Таблица1[[#This Row],[коэф]])),
IF((G814="5/16"),((база!$L$6*2*Таблица1[[#This Row],[Столбец1]]*Таблица1[[#This Row],[коэф]])),
IF((G814="4/16"),((база!$L$5*2*Таблица1[[#This Row],[Столбец1]]*Таблица1[[#This Row],[коэф]])),
IF((G814="3/16"),((база!$L$4*2*Таблица1[[#This Row],[Столбец1]]*Таблица1[[#This Row],[коэф]])),
IF((G814="4/4"),((база!$I$5*2*Таблица1[[#This Row],[Столбец1]]*Таблица1[[#This Row],[коэф]])),
IF(OR(G814="2/4",G814="3/4"),((база!$I$4*2*Таблица1[[#This Row],[Столбец1]]*Таблица1[[#This Row],[коэф]])),
IF((G814="5/8"),((база!$J$6*2*Таблица1[[#This Row],[Столбец1]]*Таблица1[[#This Row],[коэф]])),
IF((G814="4/8"),((база!$J$5*2*Таблица1[[#This Row],[Столбец1]]*Таблица1[[#This Row],[коэф]])),
IF(OR(G814="3/8",G814="2/8"),((база!$J$4*2*Таблица1[[#This Row],[Столбец1]]*Таблица1[[#This Row],[коэф]])))))))))))))),
(IF((G814="5/24"),((база!$M$6*2*Таблица1[[#This Row],[Столбец1]]*Таблица1[[#This Row],[коэф]])),
IF(OR(G814="4/24",G814="3/24"),((база!$M$5*2*Таблица1[[#This Row],[Столбец1]]*Таблица1[[#This Row],[коэф]])),
IF((G814="5/16"),((база!$L$6*2*Таблица1[[#This Row],[Столбец1]]*Таблица1[[#This Row],[коэф]])),
IF(OR(G814="4/16",G814="3/16"),((база!$L$5*2*Таблица1[[#This Row],[Столбец1]]*Таблица1[[#This Row],[коэф]])),
IF(OR(G814="2/4",G814="3/4",G814="4/4"),((база!$I$5*2*Таблица1[[#This Row],[Столбец1]]*Таблица1[[#This Row],[коэф]])),
IF((G814="5/8"),((база!$J$6*2*Таблица1[[#This Row],[Столбец1]]*Таблица1[[#This Row],[коэф]])),
IF(OR(G814="4/8",G814="3/8",G814="2/8"),((база!$J$5*2*Таблица1[[#This Row],[Столбец1]]*Таблица1[[#This Row],[коэф]])))))))))))</f>
        <v>0</v>
      </c>
      <c r="AQ814" s="712" t="str">
        <f>IFERROR(INDEX(база!T:T, MATCH(F814,база!Q:Q,0)),"")</f>
        <v/>
      </c>
      <c r="AR814" s="208" t="str">
        <f>IFERROR(INDEX(база!D:D, MATCH(F814,база!B:B,0)),"")</f>
        <v/>
      </c>
      <c r="AS814" s="758" t="str">
        <f>IFERROR(INDEX(база!E:E, MATCH(F814,база!B:B,0)),"")</f>
        <v/>
      </c>
    </row>
    <row r="815" spans="1:45" ht="15">
      <c r="A815" s="66" t="str">
        <f t="shared" si="12"/>
        <v>январь</v>
      </c>
      <c r="B815" s="231">
        <v>2024</v>
      </c>
      <c r="C815" s="299"/>
      <c r="D815" s="61"/>
      <c r="E815" s="211"/>
      <c r="F815" s="680"/>
      <c r="G815" s="47"/>
      <c r="H815" s="563"/>
      <c r="I815" s="563"/>
      <c r="J815" s="563"/>
      <c r="K815" s="563"/>
      <c r="L815" s="563"/>
      <c r="M815" s="563"/>
      <c r="N815" s="563"/>
      <c r="O815" s="563"/>
      <c r="P815" s="300"/>
      <c r="Q815" s="563"/>
      <c r="R815" s="563"/>
      <c r="S815" s="563"/>
      <c r="T815" s="563"/>
      <c r="U815" s="563"/>
      <c r="V815" s="563"/>
      <c r="W815" s="563"/>
      <c r="X815" s="563"/>
      <c r="Y815" s="563"/>
      <c r="Z815" s="563"/>
      <c r="AA815" s="563"/>
      <c r="AB815" s="563"/>
      <c r="AC815" s="563"/>
      <c r="AD815" s="48"/>
      <c r="AE815" s="48"/>
      <c r="AF815" s="258"/>
      <c r="AG815" s="48"/>
      <c r="AH815" s="48"/>
      <c r="AI815" s="258"/>
      <c r="AJ815" s="258"/>
      <c r="AK815" s="258"/>
      <c r="AL815" s="258"/>
      <c r="AM815" s="212">
        <f>IF(AQ815=1,SUM(Q815:T815,W815:Z815,AC815:AF815,AI815:AL815),
IF(AQ815=2,SUM(P815,S815:V815,Y815:AB815,AE815:AH815,AK815:AL815),
IF(AQ815=3,SUM(P815:R815,U815:X815,AA815:AD815,AG815:AJ815),SUM(Таблица1[[#This Row],[1]:[31]])-Таблица1[[#This Row],[Столбец1]])))</f>
        <v>0</v>
      </c>
      <c r="AN815" s="778">
        <f t="array" ref="AN815">IF(AQ815=1,SUM(P815,U815:V815,AA815:AB815,AG815:AH815),
IF(AQ815=2,SUM(Q815:R815,W815:X815,AC815:AD815,AI815:AJ815),
IF(AQ815=3,SUM(S815:T815,Y815:Z815,AE815:AF815,AK815:AL815),
SUM(IFERROR(WEEKDAY($H$2:$AL$2,2)&gt;5,)*H815:AL815))))+Таблица1[[#This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15" s="292" t="b">
        <f>IF(AR815&lt;=3,(IF((G815="5/24"),((база!$M$6*Таблица1[[#This Row],[сумма]]*Таблица1[[#This Row],[коэф]])),
IF((G815="4/24"),((база!$M$5*Таблица1[[#This Row],[сумма]]*Таблица1[[#This Row],[коэф]])),
IF((G815="3/24"),((база!$M$4*Таблица1[[#This Row],[сумма]]*Таблица1[[#This Row],[коэф]])),
IF((G815="5/16"),((база!$L$6*Таблица1[[#This Row],[сумма]]*Таблица1[[#This Row],[коэф]])),
IF((G815="4/16"),((база!$L$5*Таблица1[[#This Row],[сумма]]*Таблица1[[#This Row],[коэф]])),
IF((G815="3/16"),((база!$L$4*Таблица1[[#This Row],[сумма]]*Таблица1[[#This Row],[коэф]])),
IF((G815="4/4"),((база!$I$5*Таблица1[[#This Row],[сумма]]*Таблица1[[#This Row],[коэф]])),
IF(OR(G815="2/4",G815="3/4"),((база!$I$4*Таблица1[[#This Row],[сумма]]*Таблица1[[#This Row],[коэф]])),
IF((G815="5/8"),((база!$J$6*Таблица1[[#This Row],[сумма]]*Таблица1[[#This Row],[коэф]])),
IF((G815="4/8"),((база!$J$5*Таблица1[[#This Row],[сумма]]*Таблица1[[#This Row],[коэф]])),
IF(OR(G815="3/8",G815="2/8"),((база!$J$4*Таблица1[[#This Row],[сумма]]*Таблица1[[#This Row],[коэф]])))))))))))))),
(IF((G815="5/24"),((база!$M$6*Таблица1[[#This Row],[сумма]]*Таблица1[[#This Row],[коэф]])),
IF(OR(G815="4/24",G815="3/24"),((база!$M$5*Таблица1[[#This Row],[сумма]]*Таблица1[[#This Row],[коэф]])),
IF((G815="5/16"),((база!$L$6*Таблица1[[#This Row],[сумма]]*Таблица1[[#This Row],[коэф]])),
IF(OR(G815="4/16",G815="3/16"),((база!$L$5*Таблица1[[#This Row],[сумма]]*Таблица1[[#This Row],[коэф]])),
IF(OR(G815="2/4",G815="3/4",G815="4/4"),((база!$I$5*Таблица1[[#This Row],[сумма]]*Таблица1[[#This Row],[коэф]])),
IF((G815="5/8"),((база!$J$6*Таблица1[[#This Row],[сумма]]*Таблица1[[#This Row],[коэф]])),
IF(OR(G815="4/8",G815="3/8",G815="2/8"),((база!$J$5*Таблица1[[#This Row],[сумма]]*Таблица1[[#This Row],[коэф]])))))))))))</f>
        <v>0</v>
      </c>
      <c r="AP815" s="730" t="b">
        <f>IF(AR815&lt;=3,(IF((G815="5/24"),((база!$M$6*2*Таблица1[[#This Row],[Столбец1]]*Таблица1[[#This Row],[коэф]])),
IF((G815="4/24"),((база!$M$5*2*Таблица1[[#This Row],[Столбец1]]*Таблица1[[#This Row],[коэф]])),
IF((G815="3/24"),((база!$M$4*2*Таблица1[[#This Row],[Столбец1]]*Таблица1[[#This Row],[коэф]])),
IF((G815="5/16"),((база!$L$6*2*Таблица1[[#This Row],[Столбец1]]*Таблица1[[#This Row],[коэф]])),
IF((G815="4/16"),((база!$L$5*2*Таблица1[[#This Row],[Столбец1]]*Таблица1[[#This Row],[коэф]])),
IF((G815="3/16"),((база!$L$4*2*Таблица1[[#This Row],[Столбец1]]*Таблица1[[#This Row],[коэф]])),
IF((G815="4/4"),((база!$I$5*2*Таблица1[[#This Row],[Столбец1]]*Таблица1[[#This Row],[коэф]])),
IF(OR(G815="2/4",G815="3/4"),((база!$I$4*2*Таблица1[[#This Row],[Столбец1]]*Таблица1[[#This Row],[коэф]])),
IF((G815="5/8"),((база!$J$6*2*Таблица1[[#This Row],[Столбец1]]*Таблица1[[#This Row],[коэф]])),
IF((G815="4/8"),((база!$J$5*2*Таблица1[[#This Row],[Столбец1]]*Таблица1[[#This Row],[коэф]])),
IF(OR(G815="3/8",G815="2/8"),((база!$J$4*2*Таблица1[[#This Row],[Столбец1]]*Таблица1[[#This Row],[коэф]])))))))))))))),
(IF((G815="5/24"),((база!$M$6*2*Таблица1[[#This Row],[Столбец1]]*Таблица1[[#This Row],[коэф]])),
IF(OR(G815="4/24",G815="3/24"),((база!$M$5*2*Таблица1[[#This Row],[Столбец1]]*Таблица1[[#This Row],[коэф]])),
IF((G815="5/16"),((база!$L$6*2*Таблица1[[#This Row],[Столбец1]]*Таблица1[[#This Row],[коэф]])),
IF(OR(G815="4/16",G815="3/16"),((база!$L$5*2*Таблица1[[#This Row],[Столбец1]]*Таблица1[[#This Row],[коэф]])),
IF(OR(G815="2/4",G815="3/4",G815="4/4"),((база!$I$5*2*Таблица1[[#This Row],[Столбец1]]*Таблица1[[#This Row],[коэф]])),
IF((G815="5/8"),((база!$J$6*2*Таблица1[[#This Row],[Столбец1]]*Таблица1[[#This Row],[коэф]])),
IF(OR(G815="4/8",G815="3/8",G815="2/8"),((база!$J$5*2*Таблица1[[#This Row],[Столбец1]]*Таблица1[[#This Row],[коэф]])))))))))))</f>
        <v>0</v>
      </c>
      <c r="AQ815" s="712" t="str">
        <f>IFERROR(INDEX(база!T:T, MATCH(F815,база!Q:Q,0)),"")</f>
        <v/>
      </c>
      <c r="AR815" s="208" t="str">
        <f>IFERROR(INDEX(база!D:D, MATCH(F815,база!B:B,0)),"")</f>
        <v/>
      </c>
      <c r="AS815" s="758" t="str">
        <f>IFERROR(INDEX(база!E:E, MATCH(F815,база!B:B,0)),"")</f>
        <v/>
      </c>
    </row>
    <row r="816" spans="1:45" ht="15">
      <c r="A816" s="66" t="str">
        <f t="shared" si="12"/>
        <v>январь</v>
      </c>
      <c r="B816" s="231">
        <v>2024</v>
      </c>
      <c r="C816" s="299"/>
      <c r="D816" s="61"/>
      <c r="E816" s="211"/>
      <c r="F816" s="680"/>
      <c r="G816" s="47"/>
      <c r="H816" s="563"/>
      <c r="I816" s="563"/>
      <c r="J816" s="563"/>
      <c r="K816" s="563"/>
      <c r="L816" s="563"/>
      <c r="M816" s="563"/>
      <c r="N816" s="563"/>
      <c r="O816" s="563"/>
      <c r="P816" s="300"/>
      <c r="Q816" s="563"/>
      <c r="R816" s="563"/>
      <c r="S816" s="563"/>
      <c r="T816" s="563"/>
      <c r="U816" s="563"/>
      <c r="V816" s="563"/>
      <c r="W816" s="563"/>
      <c r="X816" s="563"/>
      <c r="Y816" s="563"/>
      <c r="Z816" s="563"/>
      <c r="AA816" s="563"/>
      <c r="AB816" s="563"/>
      <c r="AC816" s="563"/>
      <c r="AD816" s="48"/>
      <c r="AE816" s="48"/>
      <c r="AF816" s="258"/>
      <c r="AG816" s="48"/>
      <c r="AH816" s="48"/>
      <c r="AI816" s="48"/>
      <c r="AJ816" s="48"/>
      <c r="AK816" s="48"/>
      <c r="AL816" s="51"/>
      <c r="AM816" s="212">
        <f>IF(AQ816=1,SUM(Q816:T816,W816:Z816,AC816:AF816,AI816:AL816),
IF(AQ816=2,SUM(P816,S816:V816,Y816:AB816,AE816:AH816,AK816:AL816),
IF(AQ816=3,SUM(P816:R816,U816:X816,AA816:AD816,AG816:AJ816),SUM(Таблица1[[#This Row],[1]:[31]])-Таблица1[[#This Row],[Столбец1]])))</f>
        <v>0</v>
      </c>
      <c r="AN816" s="778">
        <f t="array" ref="AN816">IF(AQ816=1,SUM(P816,U816:V816,AA816:AB816,AG816:AH816),
IF(AQ816=2,SUM(Q816:R816,W816:X816,AC816:AD816,AI816:AJ816),
IF(AQ816=3,SUM(S816:T816,Y816:Z816,AE816:AF816,AK816:AL816),
SUM(IFERROR(WEEKDAY($H$2:$AL$2,2)&gt;5,)*H816:AL816))))+Таблица1[[#This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16" s="292" t="b">
        <f>IF(AR816&lt;=3,(IF((G816="5/24"),((база!$M$6*Таблица1[[#This Row],[сумма]]*Таблица1[[#This Row],[коэф]])),
IF((G816="4/24"),((база!$M$5*Таблица1[[#This Row],[сумма]]*Таблица1[[#This Row],[коэф]])),
IF((G816="3/24"),((база!$M$4*Таблица1[[#This Row],[сумма]]*Таблица1[[#This Row],[коэф]])),
IF((G816="5/16"),((база!$L$6*Таблица1[[#This Row],[сумма]]*Таблица1[[#This Row],[коэф]])),
IF((G816="4/16"),((база!$L$5*Таблица1[[#This Row],[сумма]]*Таблица1[[#This Row],[коэф]])),
IF((G816="3/16"),((база!$L$4*Таблица1[[#This Row],[сумма]]*Таблица1[[#This Row],[коэф]])),
IF((G816="4/4"),((база!$I$5*Таблица1[[#This Row],[сумма]]*Таблица1[[#This Row],[коэф]])),
IF(OR(G816="2/4",G816="3/4"),((база!$I$4*Таблица1[[#This Row],[сумма]]*Таблица1[[#This Row],[коэф]])),
IF((G816="5/8"),((база!$J$6*Таблица1[[#This Row],[сумма]]*Таблица1[[#This Row],[коэф]])),
IF((G816="4/8"),((база!$J$5*Таблица1[[#This Row],[сумма]]*Таблица1[[#This Row],[коэф]])),
IF(OR(G816="3/8",G816="2/8"),((база!$J$4*Таблица1[[#This Row],[сумма]]*Таблица1[[#This Row],[коэф]])))))))))))))),
(IF((G816="5/24"),((база!$M$6*Таблица1[[#This Row],[сумма]]*Таблица1[[#This Row],[коэф]])),
IF(OR(G816="4/24",G816="3/24"),((база!$M$5*Таблица1[[#This Row],[сумма]]*Таблица1[[#This Row],[коэф]])),
IF((G816="5/16"),((база!$L$6*Таблица1[[#This Row],[сумма]]*Таблица1[[#This Row],[коэф]])),
IF(OR(G816="4/16",G816="3/16"),((база!$L$5*Таблица1[[#This Row],[сумма]]*Таблица1[[#This Row],[коэф]])),
IF(OR(G816="2/4",G816="3/4",G816="4/4"),((база!$I$5*Таблица1[[#This Row],[сумма]]*Таблица1[[#This Row],[коэф]])),
IF((G816="5/8"),((база!$J$6*Таблица1[[#This Row],[сумма]]*Таблица1[[#This Row],[коэф]])),
IF(OR(G816="4/8",G816="3/8",G816="2/8"),((база!$J$5*Таблица1[[#This Row],[сумма]]*Таблица1[[#This Row],[коэф]])))))))))))</f>
        <v>0</v>
      </c>
      <c r="AP816" s="730" t="b">
        <f>IF(AR816&lt;=3,(IF((G816="5/24"),((база!$M$6*2*Таблица1[[#This Row],[Столбец1]]*Таблица1[[#This Row],[коэф]])),
IF((G816="4/24"),((база!$M$5*2*Таблица1[[#This Row],[Столбец1]]*Таблица1[[#This Row],[коэф]])),
IF((G816="3/24"),((база!$M$4*2*Таблица1[[#This Row],[Столбец1]]*Таблица1[[#This Row],[коэф]])),
IF((G816="5/16"),((база!$L$6*2*Таблица1[[#This Row],[Столбец1]]*Таблица1[[#This Row],[коэф]])),
IF((G816="4/16"),((база!$L$5*2*Таблица1[[#This Row],[Столбец1]]*Таблица1[[#This Row],[коэф]])),
IF((G816="3/16"),((база!$L$4*2*Таблица1[[#This Row],[Столбец1]]*Таблица1[[#This Row],[коэф]])),
IF((G816="4/4"),((база!$I$5*2*Таблица1[[#This Row],[Столбец1]]*Таблица1[[#This Row],[коэф]])),
IF(OR(G816="2/4",G816="3/4"),((база!$I$4*2*Таблица1[[#This Row],[Столбец1]]*Таблица1[[#This Row],[коэф]])),
IF((G816="5/8"),((база!$J$6*2*Таблица1[[#This Row],[Столбец1]]*Таблица1[[#This Row],[коэф]])),
IF((G816="4/8"),((база!$J$5*2*Таблица1[[#This Row],[Столбец1]]*Таблица1[[#This Row],[коэф]])),
IF(OR(G816="3/8",G816="2/8"),((база!$J$4*2*Таблица1[[#This Row],[Столбец1]]*Таблица1[[#This Row],[коэф]])))))))))))))),
(IF((G816="5/24"),((база!$M$6*2*Таблица1[[#This Row],[Столбец1]]*Таблица1[[#This Row],[коэф]])),
IF(OR(G816="4/24",G816="3/24"),((база!$M$5*2*Таблица1[[#This Row],[Столбец1]]*Таблица1[[#This Row],[коэф]])),
IF((G816="5/16"),((база!$L$6*2*Таблица1[[#This Row],[Столбец1]]*Таблица1[[#This Row],[коэф]])),
IF(OR(G816="4/16",G816="3/16"),((база!$L$5*2*Таблица1[[#This Row],[Столбец1]]*Таблица1[[#This Row],[коэф]])),
IF(OR(G816="2/4",G816="3/4",G816="4/4"),((база!$I$5*2*Таблица1[[#This Row],[Столбец1]]*Таблица1[[#This Row],[коэф]])),
IF((G816="5/8"),((база!$J$6*2*Таблица1[[#This Row],[Столбец1]]*Таблица1[[#This Row],[коэф]])),
IF(OR(G816="4/8",G816="3/8",G816="2/8"),((база!$J$5*2*Таблица1[[#This Row],[Столбец1]]*Таблица1[[#This Row],[коэф]])))))))))))</f>
        <v>0</v>
      </c>
      <c r="AQ816" s="712" t="str">
        <f>IFERROR(INDEX(база!T:T, MATCH(F816,база!Q:Q,0)),"")</f>
        <v/>
      </c>
      <c r="AR816" s="208" t="str">
        <f>IFERROR(INDEX(база!D:D, MATCH(F816,база!B:B,0)),"")</f>
        <v/>
      </c>
      <c r="AS816" s="758" t="str">
        <f>IFERROR(INDEX(база!E:E, MATCH(F816,база!B:B,0)),"")</f>
        <v/>
      </c>
    </row>
    <row r="817" spans="1:45" ht="15">
      <c r="A817" s="66" t="str">
        <f t="shared" si="12"/>
        <v>январь</v>
      </c>
      <c r="B817" s="231">
        <v>2024</v>
      </c>
      <c r="C817" s="299"/>
      <c r="D817" s="61"/>
      <c r="E817" s="211"/>
      <c r="F817" s="680"/>
      <c r="G817" s="47"/>
      <c r="H817" s="563"/>
      <c r="I817" s="563"/>
      <c r="J817" s="563"/>
      <c r="K817" s="563"/>
      <c r="L817" s="563"/>
      <c r="M817" s="563"/>
      <c r="N817" s="563"/>
      <c r="O817" s="563"/>
      <c r="P817" s="300"/>
      <c r="Q817" s="563"/>
      <c r="R817" s="563"/>
      <c r="S817" s="563"/>
      <c r="T817" s="563"/>
      <c r="U817" s="563"/>
      <c r="V817" s="563"/>
      <c r="W817" s="563"/>
      <c r="X817" s="563"/>
      <c r="Y817" s="563"/>
      <c r="Z817" s="563"/>
      <c r="AA817" s="563"/>
      <c r="AB817" s="563"/>
      <c r="AC817" s="563"/>
      <c r="AD817" s="48"/>
      <c r="AE817" s="48"/>
      <c r="AF817" s="258"/>
      <c r="AG817" s="48"/>
      <c r="AH817" s="48"/>
      <c r="AI817" s="258"/>
      <c r="AJ817" s="258"/>
      <c r="AK817" s="258"/>
      <c r="AL817" s="258"/>
      <c r="AM817" s="212">
        <f>IF(AQ817=1,SUM(Q817:T817,W817:Z817,AC817:AF817,AI817:AL817),
IF(AQ817=2,SUM(P817,S817:V817,Y817:AB817,AE817:AH817,AK817:AL817),
IF(AQ817=3,SUM(P817:R817,U817:X817,AA817:AD817,AG817:AJ817),SUM(Таблица1[[#This Row],[1]:[31]])-Таблица1[[#This Row],[Столбец1]])))</f>
        <v>0</v>
      </c>
      <c r="AN817" s="778">
        <f t="array" ref="AN817">IF(AQ817=1,SUM(P817,U817:V817,AA817:AB817,AG817:AH817),
IF(AQ817=2,SUM(Q817:R817,W817:X817,AC817:AD817,AI817:AJ817),
IF(AQ817=3,SUM(S817:T817,Y817:Z817,AE817:AF817,AK817:AL817),
SUM(IFERROR(WEEKDAY($H$2:$AL$2,2)&gt;5,)*H817:AL817))))+Таблица1[[#This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17" s="292" t="b">
        <f>IF(AR817&lt;=3,(IF((G817="5/24"),((база!$M$6*Таблица1[[#This Row],[сумма]]*Таблица1[[#This Row],[коэф]])),
IF((G817="4/24"),((база!$M$5*Таблица1[[#This Row],[сумма]]*Таблица1[[#This Row],[коэф]])),
IF((G817="3/24"),((база!$M$4*Таблица1[[#This Row],[сумма]]*Таблица1[[#This Row],[коэф]])),
IF((G817="5/16"),((база!$L$6*Таблица1[[#This Row],[сумма]]*Таблица1[[#This Row],[коэф]])),
IF((G817="4/16"),((база!$L$5*Таблица1[[#This Row],[сумма]]*Таблица1[[#This Row],[коэф]])),
IF((G817="3/16"),((база!$L$4*Таблица1[[#This Row],[сумма]]*Таблица1[[#This Row],[коэф]])),
IF((G817="4/4"),((база!$I$5*Таблица1[[#This Row],[сумма]]*Таблица1[[#This Row],[коэф]])),
IF(OR(G817="2/4",G817="3/4"),((база!$I$4*Таблица1[[#This Row],[сумма]]*Таблица1[[#This Row],[коэф]])),
IF((G817="5/8"),((база!$J$6*Таблица1[[#This Row],[сумма]]*Таблица1[[#This Row],[коэф]])),
IF((G817="4/8"),((база!$J$5*Таблица1[[#This Row],[сумма]]*Таблица1[[#This Row],[коэф]])),
IF(OR(G817="3/8",G817="2/8"),((база!$J$4*Таблица1[[#This Row],[сумма]]*Таблица1[[#This Row],[коэф]])))))))))))))),
(IF((G817="5/24"),((база!$M$6*Таблица1[[#This Row],[сумма]]*Таблица1[[#This Row],[коэф]])),
IF(OR(G817="4/24",G817="3/24"),((база!$M$5*Таблица1[[#This Row],[сумма]]*Таблица1[[#This Row],[коэф]])),
IF((G817="5/16"),((база!$L$6*Таблица1[[#This Row],[сумма]]*Таблица1[[#This Row],[коэф]])),
IF(OR(G817="4/16",G817="3/16"),((база!$L$5*Таблица1[[#This Row],[сумма]]*Таблица1[[#This Row],[коэф]])),
IF(OR(G817="2/4",G817="3/4",G817="4/4"),((база!$I$5*Таблица1[[#This Row],[сумма]]*Таблица1[[#This Row],[коэф]])),
IF((G817="5/8"),((база!$J$6*Таблица1[[#This Row],[сумма]]*Таблица1[[#This Row],[коэф]])),
IF(OR(G817="4/8",G817="3/8",G817="2/8"),((база!$J$5*Таблица1[[#This Row],[сумма]]*Таблица1[[#This Row],[коэф]])))))))))))</f>
        <v>0</v>
      </c>
      <c r="AP817" s="730" t="b">
        <f>IF(AR817&lt;=3,(IF((G817="5/24"),((база!$M$6*2*Таблица1[[#This Row],[Столбец1]]*Таблица1[[#This Row],[коэф]])),
IF((G817="4/24"),((база!$M$5*2*Таблица1[[#This Row],[Столбец1]]*Таблица1[[#This Row],[коэф]])),
IF((G817="3/24"),((база!$M$4*2*Таблица1[[#This Row],[Столбец1]]*Таблица1[[#This Row],[коэф]])),
IF((G817="5/16"),((база!$L$6*2*Таблица1[[#This Row],[Столбец1]]*Таблица1[[#This Row],[коэф]])),
IF((G817="4/16"),((база!$L$5*2*Таблица1[[#This Row],[Столбец1]]*Таблица1[[#This Row],[коэф]])),
IF((G817="3/16"),((база!$L$4*2*Таблица1[[#This Row],[Столбец1]]*Таблица1[[#This Row],[коэф]])),
IF((G817="4/4"),((база!$I$5*2*Таблица1[[#This Row],[Столбец1]]*Таблица1[[#This Row],[коэф]])),
IF(OR(G817="2/4",G817="3/4"),((база!$I$4*2*Таблица1[[#This Row],[Столбец1]]*Таблица1[[#This Row],[коэф]])),
IF((G817="5/8"),((база!$J$6*2*Таблица1[[#This Row],[Столбец1]]*Таблица1[[#This Row],[коэф]])),
IF((G817="4/8"),((база!$J$5*2*Таблица1[[#This Row],[Столбец1]]*Таблица1[[#This Row],[коэф]])),
IF(OR(G817="3/8",G817="2/8"),((база!$J$4*2*Таблица1[[#This Row],[Столбец1]]*Таблица1[[#This Row],[коэф]])))))))))))))),
(IF((G817="5/24"),((база!$M$6*2*Таблица1[[#This Row],[Столбец1]]*Таблица1[[#This Row],[коэф]])),
IF(OR(G817="4/24",G817="3/24"),((база!$M$5*2*Таблица1[[#This Row],[Столбец1]]*Таблица1[[#This Row],[коэф]])),
IF((G817="5/16"),((база!$L$6*2*Таблица1[[#This Row],[Столбец1]]*Таблица1[[#This Row],[коэф]])),
IF(OR(G817="4/16",G817="3/16"),((база!$L$5*2*Таблица1[[#This Row],[Столбец1]]*Таблица1[[#This Row],[коэф]])),
IF(OR(G817="2/4",G817="3/4",G817="4/4"),((база!$I$5*2*Таблица1[[#This Row],[Столбец1]]*Таблица1[[#This Row],[коэф]])),
IF((G817="5/8"),((база!$J$6*2*Таблица1[[#This Row],[Столбец1]]*Таблица1[[#This Row],[коэф]])),
IF(OR(G817="4/8",G817="3/8",G817="2/8"),((база!$J$5*2*Таблица1[[#This Row],[Столбец1]]*Таблица1[[#This Row],[коэф]])))))))))))</f>
        <v>0</v>
      </c>
      <c r="AQ817" s="712" t="str">
        <f>IFERROR(INDEX(база!T:T, MATCH(F817,база!Q:Q,0)),"")</f>
        <v/>
      </c>
      <c r="AR817" s="208" t="str">
        <f>IFERROR(INDEX(база!D:D, MATCH(F817,база!B:B,0)),"")</f>
        <v/>
      </c>
      <c r="AS817" s="758" t="str">
        <f>IFERROR(INDEX(база!E:E, MATCH(F817,база!B:B,0)),"")</f>
        <v/>
      </c>
    </row>
    <row r="818" spans="1:45" ht="15">
      <c r="A818" s="66" t="str">
        <f t="shared" si="12"/>
        <v>январь</v>
      </c>
      <c r="B818" s="231">
        <v>2024</v>
      </c>
      <c r="C818" s="299"/>
      <c r="D818" s="61"/>
      <c r="E818" s="211"/>
      <c r="F818" s="680"/>
      <c r="G818" s="47"/>
      <c r="H818" s="563"/>
      <c r="I818" s="563"/>
      <c r="J818" s="563"/>
      <c r="K818" s="563"/>
      <c r="L818" s="563"/>
      <c r="M818" s="563"/>
      <c r="N818" s="563"/>
      <c r="O818" s="563"/>
      <c r="P818" s="300"/>
      <c r="Q818" s="563"/>
      <c r="R818" s="563"/>
      <c r="S818" s="563"/>
      <c r="T818" s="563"/>
      <c r="U818" s="563"/>
      <c r="V818" s="563"/>
      <c r="W818" s="563"/>
      <c r="X818" s="563"/>
      <c r="Y818" s="563"/>
      <c r="Z818" s="563"/>
      <c r="AA818" s="563"/>
      <c r="AB818" s="563"/>
      <c r="AC818" s="563"/>
      <c r="AD818" s="48"/>
      <c r="AE818" s="48"/>
      <c r="AF818" s="258"/>
      <c r="AG818" s="48"/>
      <c r="AH818" s="48"/>
      <c r="AI818" s="48"/>
      <c r="AJ818" s="48"/>
      <c r="AK818" s="48"/>
      <c r="AL818" s="51"/>
      <c r="AM818" s="212">
        <f>IF(AQ818=1,SUM(Q818:T818,W818:Z818,AC818:AF818,AI818:AL818),
IF(AQ818=2,SUM(P818,S818:V818,Y818:AB818,AE818:AH818,AK818:AL818),
IF(AQ818=3,SUM(P818:R818,U818:X818,AA818:AD818,AG818:AJ818),SUM(Таблица1[[#This Row],[1]:[31]])-Таблица1[[#This Row],[Столбец1]])))</f>
        <v>0</v>
      </c>
      <c r="AN818" s="778">
        <f t="array" ref="AN818">IF(AQ818=1,SUM(P818,U818:V818,AA818:AB818,AG818:AH818),
IF(AQ818=2,SUM(Q818:R818,W818:X818,AC818:AD818,AI818:AJ818),
IF(AQ818=3,SUM(S818:T818,Y818:Z818,AE818:AF818,AK818:AL818),
SUM(IFERROR(WEEKDAY($H$2:$AL$2,2)&gt;5,)*H818:AL818))))+Таблица1[[#This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18" s="292" t="b">
        <f>IF(AR818&lt;=3,(IF((G818="5/24"),((база!$M$6*Таблица1[[#This Row],[сумма]]*Таблица1[[#This Row],[коэф]])),
IF((G818="4/24"),((база!$M$5*Таблица1[[#This Row],[сумма]]*Таблица1[[#This Row],[коэф]])),
IF((G818="3/24"),((база!$M$4*Таблица1[[#This Row],[сумма]]*Таблица1[[#This Row],[коэф]])),
IF((G818="5/16"),((база!$L$6*Таблица1[[#This Row],[сумма]]*Таблица1[[#This Row],[коэф]])),
IF((G818="4/16"),((база!$L$5*Таблица1[[#This Row],[сумма]]*Таблица1[[#This Row],[коэф]])),
IF((G818="3/16"),((база!$L$4*Таблица1[[#This Row],[сумма]]*Таблица1[[#This Row],[коэф]])),
IF((G818="4/4"),((база!$I$5*Таблица1[[#This Row],[сумма]]*Таблица1[[#This Row],[коэф]])),
IF(OR(G818="2/4",G818="3/4"),((база!$I$4*Таблица1[[#This Row],[сумма]]*Таблица1[[#This Row],[коэф]])),
IF((G818="5/8"),((база!$J$6*Таблица1[[#This Row],[сумма]]*Таблица1[[#This Row],[коэф]])),
IF((G818="4/8"),((база!$J$5*Таблица1[[#This Row],[сумма]]*Таблица1[[#This Row],[коэф]])),
IF(OR(G818="3/8",G818="2/8"),((база!$J$4*Таблица1[[#This Row],[сумма]]*Таблица1[[#This Row],[коэф]])))))))))))))),
(IF((G818="5/24"),((база!$M$6*Таблица1[[#This Row],[сумма]]*Таблица1[[#This Row],[коэф]])),
IF(OR(G818="4/24",G818="3/24"),((база!$M$5*Таблица1[[#This Row],[сумма]]*Таблица1[[#This Row],[коэф]])),
IF((G818="5/16"),((база!$L$6*Таблица1[[#This Row],[сумма]]*Таблица1[[#This Row],[коэф]])),
IF(OR(G818="4/16",G818="3/16"),((база!$L$5*Таблица1[[#This Row],[сумма]]*Таблица1[[#This Row],[коэф]])),
IF(OR(G818="2/4",G818="3/4",G818="4/4"),((база!$I$5*Таблица1[[#This Row],[сумма]]*Таблица1[[#This Row],[коэф]])),
IF((G818="5/8"),((база!$J$6*Таблица1[[#This Row],[сумма]]*Таблица1[[#This Row],[коэф]])),
IF(OR(G818="4/8",G818="3/8",G818="2/8"),((база!$J$5*Таблица1[[#This Row],[сумма]]*Таблица1[[#This Row],[коэф]])))))))))))</f>
        <v>0</v>
      </c>
      <c r="AP818" s="730" t="b">
        <f>IF(AR818&lt;=3,(IF((G818="5/24"),((база!$M$6*2*Таблица1[[#This Row],[Столбец1]]*Таблица1[[#This Row],[коэф]])),
IF((G818="4/24"),((база!$M$5*2*Таблица1[[#This Row],[Столбец1]]*Таблица1[[#This Row],[коэф]])),
IF((G818="3/24"),((база!$M$4*2*Таблица1[[#This Row],[Столбец1]]*Таблица1[[#This Row],[коэф]])),
IF((G818="5/16"),((база!$L$6*2*Таблица1[[#This Row],[Столбец1]]*Таблица1[[#This Row],[коэф]])),
IF((G818="4/16"),((база!$L$5*2*Таблица1[[#This Row],[Столбец1]]*Таблица1[[#This Row],[коэф]])),
IF((G818="3/16"),((база!$L$4*2*Таблица1[[#This Row],[Столбец1]]*Таблица1[[#This Row],[коэф]])),
IF((G818="4/4"),((база!$I$5*2*Таблица1[[#This Row],[Столбец1]]*Таблица1[[#This Row],[коэф]])),
IF(OR(G818="2/4",G818="3/4"),((база!$I$4*2*Таблица1[[#This Row],[Столбец1]]*Таблица1[[#This Row],[коэф]])),
IF((G818="5/8"),((база!$J$6*2*Таблица1[[#This Row],[Столбец1]]*Таблица1[[#This Row],[коэф]])),
IF((G818="4/8"),((база!$J$5*2*Таблица1[[#This Row],[Столбец1]]*Таблица1[[#This Row],[коэф]])),
IF(OR(G818="3/8",G818="2/8"),((база!$J$4*2*Таблица1[[#This Row],[Столбец1]]*Таблица1[[#This Row],[коэф]])))))))))))))),
(IF((G818="5/24"),((база!$M$6*2*Таблица1[[#This Row],[Столбец1]]*Таблица1[[#This Row],[коэф]])),
IF(OR(G818="4/24",G818="3/24"),((база!$M$5*2*Таблица1[[#This Row],[Столбец1]]*Таблица1[[#This Row],[коэф]])),
IF((G818="5/16"),((база!$L$6*2*Таблица1[[#This Row],[Столбец1]]*Таблица1[[#This Row],[коэф]])),
IF(OR(G818="4/16",G818="3/16"),((база!$L$5*2*Таблица1[[#This Row],[Столбец1]]*Таблица1[[#This Row],[коэф]])),
IF(OR(G818="2/4",G818="3/4",G818="4/4"),((база!$I$5*2*Таблица1[[#This Row],[Столбец1]]*Таблица1[[#This Row],[коэф]])),
IF((G818="5/8"),((база!$J$6*2*Таблица1[[#This Row],[Столбец1]]*Таблица1[[#This Row],[коэф]])),
IF(OR(G818="4/8",G818="3/8",G818="2/8"),((база!$J$5*2*Таблица1[[#This Row],[Столбец1]]*Таблица1[[#This Row],[коэф]])))))))))))</f>
        <v>0</v>
      </c>
      <c r="AQ818" s="712" t="str">
        <f>IFERROR(INDEX(база!T:T, MATCH(F818,база!Q:Q,0)),"")</f>
        <v/>
      </c>
      <c r="AR818" s="208" t="str">
        <f>IFERROR(INDEX(база!D:D, MATCH(F818,база!B:B,0)),"")</f>
        <v/>
      </c>
      <c r="AS818" s="758" t="str">
        <f>IFERROR(INDEX(база!E:E, MATCH(F818,база!B:B,0)),"")</f>
        <v/>
      </c>
    </row>
    <row r="819" spans="1:45" ht="15">
      <c r="A819" s="66" t="str">
        <f t="shared" si="12"/>
        <v>январь</v>
      </c>
      <c r="B819" s="231">
        <v>2024</v>
      </c>
      <c r="C819" s="299"/>
      <c r="D819" s="61"/>
      <c r="E819" s="211"/>
      <c r="F819" s="680"/>
      <c r="G819" s="47"/>
      <c r="H819" s="563"/>
      <c r="I819" s="563"/>
      <c r="J819" s="563"/>
      <c r="K819" s="563"/>
      <c r="L819" s="563"/>
      <c r="M819" s="563"/>
      <c r="N819" s="563"/>
      <c r="O819" s="563"/>
      <c r="P819" s="300"/>
      <c r="Q819" s="563"/>
      <c r="R819" s="563"/>
      <c r="S819" s="563"/>
      <c r="T819" s="563"/>
      <c r="U819" s="563"/>
      <c r="V819" s="563"/>
      <c r="W819" s="563"/>
      <c r="X819" s="563"/>
      <c r="Y819" s="563"/>
      <c r="Z819" s="563"/>
      <c r="AA819" s="563"/>
      <c r="AB819" s="563"/>
      <c r="AC819" s="563"/>
      <c r="AD819" s="48"/>
      <c r="AE819" s="48"/>
      <c r="AF819" s="258"/>
      <c r="AG819" s="48"/>
      <c r="AH819" s="48"/>
      <c r="AI819" s="258"/>
      <c r="AJ819" s="258"/>
      <c r="AK819" s="258"/>
      <c r="AL819" s="258"/>
      <c r="AM819" s="212">
        <f>IF(AQ819=1,SUM(Q819:T819,W819:Z819,AC819:AF819,AI819:AL819),
IF(AQ819=2,SUM(P819,S819:V819,Y819:AB819,AE819:AH819,AK819:AL819),
IF(AQ819=3,SUM(P819:R819,U819:X819,AA819:AD819,AG819:AJ819),SUM(Таблица1[[#This Row],[1]:[31]])-Таблица1[[#This Row],[Столбец1]])))</f>
        <v>0</v>
      </c>
      <c r="AN819" s="778">
        <f t="array" ref="AN819">IF(AQ819=1,SUM(P819,U819:V819,AA819:AB819,AG819:AH819),
IF(AQ819=2,SUM(Q819:R819,W819:X819,AC819:AD819,AI819:AJ819),
IF(AQ819=3,SUM(S819:T819,Y819:Z819,AE819:AF819,AK819:AL819),
SUM(IFERROR(WEEKDAY($H$2:$AL$2,2)&gt;5,)*H819:AL819))))+Таблица1[[#This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19" s="292" t="b">
        <f>IF(AR819&lt;=3,(IF((G819="5/24"),((база!$M$6*Таблица1[[#This Row],[сумма]]*Таблица1[[#This Row],[коэф]])),
IF((G819="4/24"),((база!$M$5*Таблица1[[#This Row],[сумма]]*Таблица1[[#This Row],[коэф]])),
IF((G819="3/24"),((база!$M$4*Таблица1[[#This Row],[сумма]]*Таблица1[[#This Row],[коэф]])),
IF((G819="5/16"),((база!$L$6*Таблица1[[#This Row],[сумма]]*Таблица1[[#This Row],[коэф]])),
IF((G819="4/16"),((база!$L$5*Таблица1[[#This Row],[сумма]]*Таблица1[[#This Row],[коэф]])),
IF((G819="3/16"),((база!$L$4*Таблица1[[#This Row],[сумма]]*Таблица1[[#This Row],[коэф]])),
IF((G819="4/4"),((база!$I$5*Таблица1[[#This Row],[сумма]]*Таблица1[[#This Row],[коэф]])),
IF(OR(G819="2/4",G819="3/4"),((база!$I$4*Таблица1[[#This Row],[сумма]]*Таблица1[[#This Row],[коэф]])),
IF((G819="5/8"),((база!$J$6*Таблица1[[#This Row],[сумма]]*Таблица1[[#This Row],[коэф]])),
IF((G819="4/8"),((база!$J$5*Таблица1[[#This Row],[сумма]]*Таблица1[[#This Row],[коэф]])),
IF(OR(G819="3/8",G819="2/8"),((база!$J$4*Таблица1[[#This Row],[сумма]]*Таблица1[[#This Row],[коэф]])))))))))))))),
(IF((G819="5/24"),((база!$M$6*Таблица1[[#This Row],[сумма]]*Таблица1[[#This Row],[коэф]])),
IF(OR(G819="4/24",G819="3/24"),((база!$M$5*Таблица1[[#This Row],[сумма]]*Таблица1[[#This Row],[коэф]])),
IF((G819="5/16"),((база!$L$6*Таблица1[[#This Row],[сумма]]*Таблица1[[#This Row],[коэф]])),
IF(OR(G819="4/16",G819="3/16"),((база!$L$5*Таблица1[[#This Row],[сумма]]*Таблица1[[#This Row],[коэф]])),
IF(OR(G819="2/4",G819="3/4",G819="4/4"),((база!$I$5*Таблица1[[#This Row],[сумма]]*Таблица1[[#This Row],[коэф]])),
IF((G819="5/8"),((база!$J$6*Таблица1[[#This Row],[сумма]]*Таблица1[[#This Row],[коэф]])),
IF(OR(G819="4/8",G819="3/8",G819="2/8"),((база!$J$5*Таблица1[[#This Row],[сумма]]*Таблица1[[#This Row],[коэф]])))))))))))</f>
        <v>0</v>
      </c>
      <c r="AP819" s="730" t="b">
        <f>IF(AR819&lt;=3,(IF((G819="5/24"),((база!$M$6*2*Таблица1[[#This Row],[Столбец1]]*Таблица1[[#This Row],[коэф]])),
IF((G819="4/24"),((база!$M$5*2*Таблица1[[#This Row],[Столбец1]]*Таблица1[[#This Row],[коэф]])),
IF((G819="3/24"),((база!$M$4*2*Таблица1[[#This Row],[Столбец1]]*Таблица1[[#This Row],[коэф]])),
IF((G819="5/16"),((база!$L$6*2*Таблица1[[#This Row],[Столбец1]]*Таблица1[[#This Row],[коэф]])),
IF((G819="4/16"),((база!$L$5*2*Таблица1[[#This Row],[Столбец1]]*Таблица1[[#This Row],[коэф]])),
IF((G819="3/16"),((база!$L$4*2*Таблица1[[#This Row],[Столбец1]]*Таблица1[[#This Row],[коэф]])),
IF((G819="4/4"),((база!$I$5*2*Таблица1[[#This Row],[Столбец1]]*Таблица1[[#This Row],[коэф]])),
IF(OR(G819="2/4",G819="3/4"),((база!$I$4*2*Таблица1[[#This Row],[Столбец1]]*Таблица1[[#This Row],[коэф]])),
IF((G819="5/8"),((база!$J$6*2*Таблица1[[#This Row],[Столбец1]]*Таблица1[[#This Row],[коэф]])),
IF((G819="4/8"),((база!$J$5*2*Таблица1[[#This Row],[Столбец1]]*Таблица1[[#This Row],[коэф]])),
IF(OR(G819="3/8",G819="2/8"),((база!$J$4*2*Таблица1[[#This Row],[Столбец1]]*Таблица1[[#This Row],[коэф]])))))))))))))),
(IF((G819="5/24"),((база!$M$6*2*Таблица1[[#This Row],[Столбец1]]*Таблица1[[#This Row],[коэф]])),
IF(OR(G819="4/24",G819="3/24"),((база!$M$5*2*Таблица1[[#This Row],[Столбец1]]*Таблица1[[#This Row],[коэф]])),
IF((G819="5/16"),((база!$L$6*2*Таблица1[[#This Row],[Столбец1]]*Таблица1[[#This Row],[коэф]])),
IF(OR(G819="4/16",G819="3/16"),((база!$L$5*2*Таблица1[[#This Row],[Столбец1]]*Таблица1[[#This Row],[коэф]])),
IF(OR(G819="2/4",G819="3/4",G819="4/4"),((база!$I$5*2*Таблица1[[#This Row],[Столбец1]]*Таблица1[[#This Row],[коэф]])),
IF((G819="5/8"),((база!$J$6*2*Таблица1[[#This Row],[Столбец1]]*Таблица1[[#This Row],[коэф]])),
IF(OR(G819="4/8",G819="3/8",G819="2/8"),((база!$J$5*2*Таблица1[[#This Row],[Столбец1]]*Таблица1[[#This Row],[коэф]])))))))))))</f>
        <v>0</v>
      </c>
      <c r="AQ819" s="712" t="str">
        <f>IFERROR(INDEX(база!T:T, MATCH(F819,база!Q:Q,0)),"")</f>
        <v/>
      </c>
      <c r="AR819" s="208" t="str">
        <f>IFERROR(INDEX(база!D:D, MATCH(F819,база!B:B,0)),"")</f>
        <v/>
      </c>
      <c r="AS819" s="758" t="str">
        <f>IFERROR(INDEX(база!E:E, MATCH(F819,база!B:B,0)),"")</f>
        <v/>
      </c>
    </row>
    <row r="820" spans="1:45" ht="15">
      <c r="A820" s="66" t="str">
        <f t="shared" si="12"/>
        <v>январь</v>
      </c>
      <c r="B820" s="231">
        <v>2024</v>
      </c>
      <c r="C820" s="299"/>
      <c r="D820" s="61"/>
      <c r="E820" s="211"/>
      <c r="F820" s="680"/>
      <c r="G820" s="47"/>
      <c r="H820" s="563"/>
      <c r="I820" s="563"/>
      <c r="J820" s="563"/>
      <c r="K820" s="563"/>
      <c r="L820" s="563"/>
      <c r="M820" s="563"/>
      <c r="N820" s="563"/>
      <c r="O820" s="563"/>
      <c r="P820" s="300"/>
      <c r="Q820" s="563"/>
      <c r="R820" s="563"/>
      <c r="S820" s="563"/>
      <c r="T820" s="563"/>
      <c r="U820" s="563"/>
      <c r="V820" s="563"/>
      <c r="W820" s="563"/>
      <c r="X820" s="563"/>
      <c r="Y820" s="563"/>
      <c r="Z820" s="563"/>
      <c r="AA820" s="563"/>
      <c r="AB820" s="563"/>
      <c r="AC820" s="563"/>
      <c r="AD820" s="48"/>
      <c r="AE820" s="48"/>
      <c r="AF820" s="258"/>
      <c r="AG820" s="48"/>
      <c r="AH820" s="48"/>
      <c r="AI820" s="48"/>
      <c r="AJ820" s="48"/>
      <c r="AK820" s="48"/>
      <c r="AL820" s="51"/>
      <c r="AM820" s="212">
        <f>IF(AQ820=1,SUM(Q820:T820,W820:Z820,AC820:AF820,AI820:AL820),
IF(AQ820=2,SUM(P820,S820:V820,Y820:AB820,AE820:AH820,AK820:AL820),
IF(AQ820=3,SUM(P820:R820,U820:X820,AA820:AD820,AG820:AJ820),SUM(Таблица1[[#This Row],[1]:[31]])-Таблица1[[#This Row],[Столбец1]])))</f>
        <v>0</v>
      </c>
      <c r="AN820" s="778">
        <f t="array" ref="AN820">IF(AQ820=1,SUM(P820,U820:V820,AA820:AB820,AG820:AH820),
IF(AQ820=2,SUM(Q820:R820,W820:X820,AC820:AD820,AI820:AJ820),
IF(AQ820=3,SUM(S820:T820,Y820:Z820,AE820:AF820,AK820:AL820),
SUM(IFERROR(WEEKDAY($H$2:$AL$2,2)&gt;5,)*H820:AL820))))+Таблица1[[#This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20" s="292" t="b">
        <f>IF(AR820&lt;=3,(IF((G820="5/24"),((база!$M$6*Таблица1[[#This Row],[сумма]]*Таблица1[[#This Row],[коэф]])),
IF((G820="4/24"),((база!$M$5*Таблица1[[#This Row],[сумма]]*Таблица1[[#This Row],[коэф]])),
IF((G820="3/24"),((база!$M$4*Таблица1[[#This Row],[сумма]]*Таблица1[[#This Row],[коэф]])),
IF((G820="5/16"),((база!$L$6*Таблица1[[#This Row],[сумма]]*Таблица1[[#This Row],[коэф]])),
IF((G820="4/16"),((база!$L$5*Таблица1[[#This Row],[сумма]]*Таблица1[[#This Row],[коэф]])),
IF((G820="3/16"),((база!$L$4*Таблица1[[#This Row],[сумма]]*Таблица1[[#This Row],[коэф]])),
IF((G820="4/4"),((база!$I$5*Таблица1[[#This Row],[сумма]]*Таблица1[[#This Row],[коэф]])),
IF(OR(G820="2/4",G820="3/4"),((база!$I$4*Таблица1[[#This Row],[сумма]]*Таблица1[[#This Row],[коэф]])),
IF((G820="5/8"),((база!$J$6*Таблица1[[#This Row],[сумма]]*Таблица1[[#This Row],[коэф]])),
IF((G820="4/8"),((база!$J$5*Таблица1[[#This Row],[сумма]]*Таблица1[[#This Row],[коэф]])),
IF(OR(G820="3/8",G820="2/8"),((база!$J$4*Таблица1[[#This Row],[сумма]]*Таблица1[[#This Row],[коэф]])))))))))))))),
(IF((G820="5/24"),((база!$M$6*Таблица1[[#This Row],[сумма]]*Таблица1[[#This Row],[коэф]])),
IF(OR(G820="4/24",G820="3/24"),((база!$M$5*Таблица1[[#This Row],[сумма]]*Таблица1[[#This Row],[коэф]])),
IF((G820="5/16"),((база!$L$6*Таблица1[[#This Row],[сумма]]*Таблица1[[#This Row],[коэф]])),
IF(OR(G820="4/16",G820="3/16"),((база!$L$5*Таблица1[[#This Row],[сумма]]*Таблица1[[#This Row],[коэф]])),
IF(OR(G820="2/4",G820="3/4",G820="4/4"),((база!$I$5*Таблица1[[#This Row],[сумма]]*Таблица1[[#This Row],[коэф]])),
IF((G820="5/8"),((база!$J$6*Таблица1[[#This Row],[сумма]]*Таблица1[[#This Row],[коэф]])),
IF(OR(G820="4/8",G820="3/8",G820="2/8"),((база!$J$5*Таблица1[[#This Row],[сумма]]*Таблица1[[#This Row],[коэф]])))))))))))</f>
        <v>0</v>
      </c>
      <c r="AP820" s="730" t="b">
        <f>IF(AR820&lt;=3,(IF((G820="5/24"),((база!$M$6*2*Таблица1[[#This Row],[Столбец1]]*Таблица1[[#This Row],[коэф]])),
IF((G820="4/24"),((база!$M$5*2*Таблица1[[#This Row],[Столбец1]]*Таблица1[[#This Row],[коэф]])),
IF((G820="3/24"),((база!$M$4*2*Таблица1[[#This Row],[Столбец1]]*Таблица1[[#This Row],[коэф]])),
IF((G820="5/16"),((база!$L$6*2*Таблица1[[#This Row],[Столбец1]]*Таблица1[[#This Row],[коэф]])),
IF((G820="4/16"),((база!$L$5*2*Таблица1[[#This Row],[Столбец1]]*Таблица1[[#This Row],[коэф]])),
IF((G820="3/16"),((база!$L$4*2*Таблица1[[#This Row],[Столбец1]]*Таблица1[[#This Row],[коэф]])),
IF((G820="4/4"),((база!$I$5*2*Таблица1[[#This Row],[Столбец1]]*Таблица1[[#This Row],[коэф]])),
IF(OR(G820="2/4",G820="3/4"),((база!$I$4*2*Таблица1[[#This Row],[Столбец1]]*Таблица1[[#This Row],[коэф]])),
IF((G820="5/8"),((база!$J$6*2*Таблица1[[#This Row],[Столбец1]]*Таблица1[[#This Row],[коэф]])),
IF((G820="4/8"),((база!$J$5*2*Таблица1[[#This Row],[Столбец1]]*Таблица1[[#This Row],[коэф]])),
IF(OR(G820="3/8",G820="2/8"),((база!$J$4*2*Таблица1[[#This Row],[Столбец1]]*Таблица1[[#This Row],[коэф]])))))))))))))),
(IF((G820="5/24"),((база!$M$6*2*Таблица1[[#This Row],[Столбец1]]*Таблица1[[#This Row],[коэф]])),
IF(OR(G820="4/24",G820="3/24"),((база!$M$5*2*Таблица1[[#This Row],[Столбец1]]*Таблица1[[#This Row],[коэф]])),
IF((G820="5/16"),((база!$L$6*2*Таблица1[[#This Row],[Столбец1]]*Таблица1[[#This Row],[коэф]])),
IF(OR(G820="4/16",G820="3/16"),((база!$L$5*2*Таблица1[[#This Row],[Столбец1]]*Таблица1[[#This Row],[коэф]])),
IF(OR(G820="2/4",G820="3/4",G820="4/4"),((база!$I$5*2*Таблица1[[#This Row],[Столбец1]]*Таблица1[[#This Row],[коэф]])),
IF((G820="5/8"),((база!$J$6*2*Таблица1[[#This Row],[Столбец1]]*Таблица1[[#This Row],[коэф]])),
IF(OR(G820="4/8",G820="3/8",G820="2/8"),((база!$J$5*2*Таблица1[[#This Row],[Столбец1]]*Таблица1[[#This Row],[коэф]])))))))))))</f>
        <v>0</v>
      </c>
      <c r="AQ820" s="712" t="str">
        <f>IFERROR(INDEX(база!T:T, MATCH(F820,база!Q:Q,0)),"")</f>
        <v/>
      </c>
      <c r="AR820" s="208" t="str">
        <f>IFERROR(INDEX(база!D:D, MATCH(F820,база!B:B,0)),"")</f>
        <v/>
      </c>
      <c r="AS820" s="758" t="str">
        <f>IFERROR(INDEX(база!E:E, MATCH(F820,база!B:B,0)),"")</f>
        <v/>
      </c>
    </row>
    <row r="821" spans="1:45" ht="15">
      <c r="A821" s="66" t="str">
        <f t="shared" si="12"/>
        <v>январь</v>
      </c>
      <c r="B821" s="231">
        <v>2024</v>
      </c>
      <c r="C821" s="299"/>
      <c r="D821" s="61"/>
      <c r="E821" s="211"/>
      <c r="F821" s="680"/>
      <c r="G821" s="47"/>
      <c r="H821" s="563"/>
      <c r="I821" s="563"/>
      <c r="J821" s="563"/>
      <c r="K821" s="563"/>
      <c r="L821" s="563"/>
      <c r="M821" s="563"/>
      <c r="N821" s="563"/>
      <c r="O821" s="563"/>
      <c r="P821" s="300"/>
      <c r="Q821" s="563"/>
      <c r="R821" s="563"/>
      <c r="S821" s="563"/>
      <c r="T821" s="563"/>
      <c r="U821" s="563"/>
      <c r="V821" s="563"/>
      <c r="W821" s="563"/>
      <c r="X821" s="563"/>
      <c r="Y821" s="563"/>
      <c r="Z821" s="563"/>
      <c r="AA821" s="563"/>
      <c r="AB821" s="563"/>
      <c r="AC821" s="563"/>
      <c r="AD821" s="48"/>
      <c r="AE821" s="48"/>
      <c r="AF821" s="258"/>
      <c r="AG821" s="48"/>
      <c r="AH821" s="48"/>
      <c r="AI821" s="258"/>
      <c r="AJ821" s="258"/>
      <c r="AK821" s="258"/>
      <c r="AL821" s="258"/>
      <c r="AM821" s="212">
        <f>IF(AQ821=1,SUM(Q821:T821,W821:Z821,AC821:AF821,AI821:AL821),
IF(AQ821=2,SUM(P821,S821:V821,Y821:AB821,AE821:AH821,AK821:AL821),
IF(AQ821=3,SUM(P821:R821,U821:X821,AA821:AD821,AG821:AJ821),SUM(Таблица1[[#This Row],[1]:[31]])-Таблица1[[#This Row],[Столбец1]])))</f>
        <v>0</v>
      </c>
      <c r="AN821" s="778">
        <f t="array" ref="AN821">IF(AQ821=1,SUM(P821,U821:V821,AA821:AB821,AG821:AH821),
IF(AQ821=2,SUM(Q821:R821,W821:X821,AC821:AD821,AI821:AJ821),
IF(AQ821=3,SUM(S821:T821,Y821:Z821,AE821:AF821,AK821:AL821),
SUM(IFERROR(WEEKDAY($H$2:$AL$2,2)&gt;5,)*H821:AL821))))+Таблица1[[#This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21" s="292" t="b">
        <f>IF(AR821&lt;=3,(IF((G821="5/24"),((база!$M$6*Таблица1[[#This Row],[сумма]]*Таблица1[[#This Row],[коэф]])),
IF((G821="4/24"),((база!$M$5*Таблица1[[#This Row],[сумма]]*Таблица1[[#This Row],[коэф]])),
IF((G821="3/24"),((база!$M$4*Таблица1[[#This Row],[сумма]]*Таблица1[[#This Row],[коэф]])),
IF((G821="5/16"),((база!$L$6*Таблица1[[#This Row],[сумма]]*Таблица1[[#This Row],[коэф]])),
IF((G821="4/16"),((база!$L$5*Таблица1[[#This Row],[сумма]]*Таблица1[[#This Row],[коэф]])),
IF((G821="3/16"),((база!$L$4*Таблица1[[#This Row],[сумма]]*Таблица1[[#This Row],[коэф]])),
IF((G821="4/4"),((база!$I$5*Таблица1[[#This Row],[сумма]]*Таблица1[[#This Row],[коэф]])),
IF(OR(G821="2/4",G821="3/4"),((база!$I$4*Таблица1[[#This Row],[сумма]]*Таблица1[[#This Row],[коэф]])),
IF((G821="5/8"),((база!$J$6*Таблица1[[#This Row],[сумма]]*Таблица1[[#This Row],[коэф]])),
IF((G821="4/8"),((база!$J$5*Таблица1[[#This Row],[сумма]]*Таблица1[[#This Row],[коэф]])),
IF(OR(G821="3/8",G821="2/8"),((база!$J$4*Таблица1[[#This Row],[сумма]]*Таблица1[[#This Row],[коэф]])))))))))))))),
(IF((G821="5/24"),((база!$M$6*Таблица1[[#This Row],[сумма]]*Таблица1[[#This Row],[коэф]])),
IF(OR(G821="4/24",G821="3/24"),((база!$M$5*Таблица1[[#This Row],[сумма]]*Таблица1[[#This Row],[коэф]])),
IF((G821="5/16"),((база!$L$6*Таблица1[[#This Row],[сумма]]*Таблица1[[#This Row],[коэф]])),
IF(OR(G821="4/16",G821="3/16"),((база!$L$5*Таблица1[[#This Row],[сумма]]*Таблица1[[#This Row],[коэф]])),
IF(OR(G821="2/4",G821="3/4",G821="4/4"),((база!$I$5*Таблица1[[#This Row],[сумма]]*Таблица1[[#This Row],[коэф]])),
IF((G821="5/8"),((база!$J$6*Таблица1[[#This Row],[сумма]]*Таблица1[[#This Row],[коэф]])),
IF(OR(G821="4/8",G821="3/8",G821="2/8"),((база!$J$5*Таблица1[[#This Row],[сумма]]*Таблица1[[#This Row],[коэф]])))))))))))</f>
        <v>0</v>
      </c>
      <c r="AP821" s="730" t="b">
        <f>IF(AR821&lt;=3,(IF((G821="5/24"),((база!$M$6*2*Таблица1[[#This Row],[Столбец1]]*Таблица1[[#This Row],[коэф]])),
IF((G821="4/24"),((база!$M$5*2*Таблица1[[#This Row],[Столбец1]]*Таблица1[[#This Row],[коэф]])),
IF((G821="3/24"),((база!$M$4*2*Таблица1[[#This Row],[Столбец1]]*Таблица1[[#This Row],[коэф]])),
IF((G821="5/16"),((база!$L$6*2*Таблица1[[#This Row],[Столбец1]]*Таблица1[[#This Row],[коэф]])),
IF((G821="4/16"),((база!$L$5*2*Таблица1[[#This Row],[Столбец1]]*Таблица1[[#This Row],[коэф]])),
IF((G821="3/16"),((база!$L$4*2*Таблица1[[#This Row],[Столбец1]]*Таблица1[[#This Row],[коэф]])),
IF((G821="4/4"),((база!$I$5*2*Таблица1[[#This Row],[Столбец1]]*Таблица1[[#This Row],[коэф]])),
IF(OR(G821="2/4",G821="3/4"),((база!$I$4*2*Таблица1[[#This Row],[Столбец1]]*Таблица1[[#This Row],[коэф]])),
IF((G821="5/8"),((база!$J$6*2*Таблица1[[#This Row],[Столбец1]]*Таблица1[[#This Row],[коэф]])),
IF((G821="4/8"),((база!$J$5*2*Таблица1[[#This Row],[Столбец1]]*Таблица1[[#This Row],[коэф]])),
IF(OR(G821="3/8",G821="2/8"),((база!$J$4*2*Таблица1[[#This Row],[Столбец1]]*Таблица1[[#This Row],[коэф]])))))))))))))),
(IF((G821="5/24"),((база!$M$6*2*Таблица1[[#This Row],[Столбец1]]*Таблица1[[#This Row],[коэф]])),
IF(OR(G821="4/24",G821="3/24"),((база!$M$5*2*Таблица1[[#This Row],[Столбец1]]*Таблица1[[#This Row],[коэф]])),
IF((G821="5/16"),((база!$L$6*2*Таблица1[[#This Row],[Столбец1]]*Таблица1[[#This Row],[коэф]])),
IF(OR(G821="4/16",G821="3/16"),((база!$L$5*2*Таблица1[[#This Row],[Столбец1]]*Таблица1[[#This Row],[коэф]])),
IF(OR(G821="2/4",G821="3/4",G821="4/4"),((база!$I$5*2*Таблица1[[#This Row],[Столбец1]]*Таблица1[[#This Row],[коэф]])),
IF((G821="5/8"),((база!$J$6*2*Таблица1[[#This Row],[Столбец1]]*Таблица1[[#This Row],[коэф]])),
IF(OR(G821="4/8",G821="3/8",G821="2/8"),((база!$J$5*2*Таблица1[[#This Row],[Столбец1]]*Таблица1[[#This Row],[коэф]])))))))))))</f>
        <v>0</v>
      </c>
      <c r="AQ821" s="712" t="str">
        <f>IFERROR(INDEX(база!T:T, MATCH(F821,база!Q:Q,0)),"")</f>
        <v/>
      </c>
      <c r="AR821" s="208" t="str">
        <f>IFERROR(INDEX(база!D:D, MATCH(F821,база!B:B,0)),"")</f>
        <v/>
      </c>
      <c r="AS821" s="758" t="str">
        <f>IFERROR(INDEX(база!E:E, MATCH(F821,база!B:B,0)),"")</f>
        <v/>
      </c>
    </row>
    <row r="822" spans="1:45" ht="15">
      <c r="A822" s="66" t="str">
        <f t="shared" si="12"/>
        <v>январь</v>
      </c>
      <c r="B822" s="231">
        <v>2024</v>
      </c>
      <c r="C822" s="299"/>
      <c r="D822" s="61"/>
      <c r="E822" s="211"/>
      <c r="F822" s="680"/>
      <c r="G822" s="47"/>
      <c r="H822" s="563"/>
      <c r="I822" s="563"/>
      <c r="J822" s="563"/>
      <c r="K822" s="563"/>
      <c r="L822" s="563"/>
      <c r="M822" s="563"/>
      <c r="N822" s="563"/>
      <c r="O822" s="563"/>
      <c r="P822" s="300"/>
      <c r="Q822" s="563"/>
      <c r="R822" s="563"/>
      <c r="S822" s="563"/>
      <c r="T822" s="563"/>
      <c r="U822" s="563"/>
      <c r="V822" s="563"/>
      <c r="W822" s="563"/>
      <c r="X822" s="563"/>
      <c r="Y822" s="563"/>
      <c r="Z822" s="563"/>
      <c r="AA822" s="563"/>
      <c r="AB822" s="563"/>
      <c r="AC822" s="563"/>
      <c r="AD822" s="48"/>
      <c r="AE822" s="48"/>
      <c r="AF822" s="258"/>
      <c r="AG822" s="48"/>
      <c r="AH822" s="48"/>
      <c r="AI822" s="48"/>
      <c r="AJ822" s="48"/>
      <c r="AK822" s="48"/>
      <c r="AL822" s="51"/>
      <c r="AM822" s="212">
        <f>IF(AQ822=1,SUM(Q822:T822,W822:Z822,AC822:AF822,AI822:AL822),
IF(AQ822=2,SUM(P822,S822:V822,Y822:AB822,AE822:AH822,AK822:AL822),
IF(AQ822=3,SUM(P822:R822,U822:X822,AA822:AD822,AG822:AJ822),SUM(Таблица1[[#This Row],[1]:[31]])-Таблица1[[#This Row],[Столбец1]])))</f>
        <v>0</v>
      </c>
      <c r="AN822" s="778">
        <f t="array" ref="AN822">IF(AQ822=1,SUM(P822,U822:V822,AA822:AB822,AG822:AH822),
IF(AQ822=2,SUM(Q822:R822,W822:X822,AC822:AD822,AI822:AJ822),
IF(AQ822=3,SUM(S822:T822,Y822:Z822,AE822:AF822,AK822:AL822),
SUM(IFERROR(WEEKDAY($H$2:$AL$2,2)&gt;5,)*H822:AL822))))+Таблица1[[#This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22" s="292" t="b">
        <f>IF(AR822&lt;=3,(IF((G822="5/24"),((база!$M$6*Таблица1[[#This Row],[сумма]]*Таблица1[[#This Row],[коэф]])),
IF((G822="4/24"),((база!$M$5*Таблица1[[#This Row],[сумма]]*Таблица1[[#This Row],[коэф]])),
IF((G822="3/24"),((база!$M$4*Таблица1[[#This Row],[сумма]]*Таблица1[[#This Row],[коэф]])),
IF((G822="5/16"),((база!$L$6*Таблица1[[#This Row],[сумма]]*Таблица1[[#This Row],[коэф]])),
IF((G822="4/16"),((база!$L$5*Таблица1[[#This Row],[сумма]]*Таблица1[[#This Row],[коэф]])),
IF((G822="3/16"),((база!$L$4*Таблица1[[#This Row],[сумма]]*Таблица1[[#This Row],[коэф]])),
IF((G822="4/4"),((база!$I$5*Таблица1[[#This Row],[сумма]]*Таблица1[[#This Row],[коэф]])),
IF(OR(G822="2/4",G822="3/4"),((база!$I$4*Таблица1[[#This Row],[сумма]]*Таблица1[[#This Row],[коэф]])),
IF((G822="5/8"),((база!$J$6*Таблица1[[#This Row],[сумма]]*Таблица1[[#This Row],[коэф]])),
IF((G822="4/8"),((база!$J$5*Таблица1[[#This Row],[сумма]]*Таблица1[[#This Row],[коэф]])),
IF(OR(G822="3/8",G822="2/8"),((база!$J$4*Таблица1[[#This Row],[сумма]]*Таблица1[[#This Row],[коэф]])))))))))))))),
(IF((G822="5/24"),((база!$M$6*Таблица1[[#This Row],[сумма]]*Таблица1[[#This Row],[коэф]])),
IF(OR(G822="4/24",G822="3/24"),((база!$M$5*Таблица1[[#This Row],[сумма]]*Таблица1[[#This Row],[коэф]])),
IF((G822="5/16"),((база!$L$6*Таблица1[[#This Row],[сумма]]*Таблица1[[#This Row],[коэф]])),
IF(OR(G822="4/16",G822="3/16"),((база!$L$5*Таблица1[[#This Row],[сумма]]*Таблица1[[#This Row],[коэф]])),
IF(OR(G822="2/4",G822="3/4",G822="4/4"),((база!$I$5*Таблица1[[#This Row],[сумма]]*Таблица1[[#This Row],[коэф]])),
IF((G822="5/8"),((база!$J$6*Таблица1[[#This Row],[сумма]]*Таблица1[[#This Row],[коэф]])),
IF(OR(G822="4/8",G822="3/8",G822="2/8"),((база!$J$5*Таблица1[[#This Row],[сумма]]*Таблица1[[#This Row],[коэф]])))))))))))</f>
        <v>0</v>
      </c>
      <c r="AP822" s="730" t="b">
        <f>IF(AR822&lt;=3,(IF((G822="5/24"),((база!$M$6*2*Таблица1[[#This Row],[Столбец1]]*Таблица1[[#This Row],[коэф]])),
IF((G822="4/24"),((база!$M$5*2*Таблица1[[#This Row],[Столбец1]]*Таблица1[[#This Row],[коэф]])),
IF((G822="3/24"),((база!$M$4*2*Таблица1[[#This Row],[Столбец1]]*Таблица1[[#This Row],[коэф]])),
IF((G822="5/16"),((база!$L$6*2*Таблица1[[#This Row],[Столбец1]]*Таблица1[[#This Row],[коэф]])),
IF((G822="4/16"),((база!$L$5*2*Таблица1[[#This Row],[Столбец1]]*Таблица1[[#This Row],[коэф]])),
IF((G822="3/16"),((база!$L$4*2*Таблица1[[#This Row],[Столбец1]]*Таблица1[[#This Row],[коэф]])),
IF((G822="4/4"),((база!$I$5*2*Таблица1[[#This Row],[Столбец1]]*Таблица1[[#This Row],[коэф]])),
IF(OR(G822="2/4",G822="3/4"),((база!$I$4*2*Таблица1[[#This Row],[Столбец1]]*Таблица1[[#This Row],[коэф]])),
IF((G822="5/8"),((база!$J$6*2*Таблица1[[#This Row],[Столбец1]]*Таблица1[[#This Row],[коэф]])),
IF((G822="4/8"),((база!$J$5*2*Таблица1[[#This Row],[Столбец1]]*Таблица1[[#This Row],[коэф]])),
IF(OR(G822="3/8",G822="2/8"),((база!$J$4*2*Таблица1[[#This Row],[Столбец1]]*Таблица1[[#This Row],[коэф]])))))))))))))),
(IF((G822="5/24"),((база!$M$6*2*Таблица1[[#This Row],[Столбец1]]*Таблица1[[#This Row],[коэф]])),
IF(OR(G822="4/24",G822="3/24"),((база!$M$5*2*Таблица1[[#This Row],[Столбец1]]*Таблица1[[#This Row],[коэф]])),
IF((G822="5/16"),((база!$L$6*2*Таблица1[[#This Row],[Столбец1]]*Таблица1[[#This Row],[коэф]])),
IF(OR(G822="4/16",G822="3/16"),((база!$L$5*2*Таблица1[[#This Row],[Столбец1]]*Таблица1[[#This Row],[коэф]])),
IF(OR(G822="2/4",G822="3/4",G822="4/4"),((база!$I$5*2*Таблица1[[#This Row],[Столбец1]]*Таблица1[[#This Row],[коэф]])),
IF((G822="5/8"),((база!$J$6*2*Таблица1[[#This Row],[Столбец1]]*Таблица1[[#This Row],[коэф]])),
IF(OR(G822="4/8",G822="3/8",G822="2/8"),((база!$J$5*2*Таблица1[[#This Row],[Столбец1]]*Таблица1[[#This Row],[коэф]])))))))))))</f>
        <v>0</v>
      </c>
      <c r="AQ822" s="712" t="str">
        <f>IFERROR(INDEX(база!T:T, MATCH(F822,база!Q:Q,0)),"")</f>
        <v/>
      </c>
      <c r="AR822" s="208" t="str">
        <f>IFERROR(INDEX(база!D:D, MATCH(F822,база!B:B,0)),"")</f>
        <v/>
      </c>
      <c r="AS822" s="758" t="str">
        <f>IFERROR(INDEX(база!E:E, MATCH(F822,база!B:B,0)),"")</f>
        <v/>
      </c>
    </row>
    <row r="823" spans="1:45" ht="15">
      <c r="A823" s="66" t="str">
        <f t="shared" si="12"/>
        <v>январь</v>
      </c>
      <c r="B823" s="231">
        <v>2024</v>
      </c>
      <c r="C823" s="299"/>
      <c r="D823" s="61"/>
      <c r="E823" s="211"/>
      <c r="F823" s="680"/>
      <c r="G823" s="47"/>
      <c r="H823" s="563"/>
      <c r="I823" s="563"/>
      <c r="J823" s="563"/>
      <c r="K823" s="563"/>
      <c r="L823" s="563"/>
      <c r="M823" s="563"/>
      <c r="N823" s="563"/>
      <c r="O823" s="563"/>
      <c r="P823" s="300"/>
      <c r="Q823" s="563"/>
      <c r="R823" s="563"/>
      <c r="S823" s="563"/>
      <c r="T823" s="563"/>
      <c r="U823" s="563"/>
      <c r="V823" s="563"/>
      <c r="W823" s="563"/>
      <c r="X823" s="563"/>
      <c r="Y823" s="563"/>
      <c r="Z823" s="563"/>
      <c r="AA823" s="563"/>
      <c r="AB823" s="563"/>
      <c r="AC823" s="563"/>
      <c r="AD823" s="48"/>
      <c r="AE823" s="48"/>
      <c r="AF823" s="258"/>
      <c r="AG823" s="48"/>
      <c r="AH823" s="48"/>
      <c r="AI823" s="258"/>
      <c r="AJ823" s="258"/>
      <c r="AK823" s="258"/>
      <c r="AL823" s="258"/>
      <c r="AM823" s="212">
        <f>IF(AQ823=1,SUM(Q823:T823,W823:Z823,AC823:AF823,AI823:AL823),
IF(AQ823=2,SUM(P823,S823:V823,Y823:AB823,AE823:AH823,AK823:AL823),
IF(AQ823=3,SUM(P823:R823,U823:X823,AA823:AD823,AG823:AJ823),SUM(Таблица1[[#This Row],[1]:[31]])-Таблица1[[#This Row],[Столбец1]])))</f>
        <v>0</v>
      </c>
      <c r="AN823" s="778">
        <f t="array" ref="AN823">IF(AQ823=1,SUM(P823,U823:V823,AA823:AB823,AG823:AH823),
IF(AQ823=2,SUM(Q823:R823,W823:X823,AC823:AD823,AI823:AJ823),
IF(AQ823=3,SUM(S823:T823,Y823:Z823,AE823:AF823,AK823:AL823),
SUM(IFERROR(WEEKDAY($H$2:$AL$2,2)&gt;5,)*H823:AL823))))+Таблица1[[#This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23" s="292" t="b">
        <f>IF(AR823&lt;=3,(IF((G823="5/24"),((база!$M$6*Таблица1[[#This Row],[сумма]]*Таблица1[[#This Row],[коэф]])),
IF((G823="4/24"),((база!$M$5*Таблица1[[#This Row],[сумма]]*Таблица1[[#This Row],[коэф]])),
IF((G823="3/24"),((база!$M$4*Таблица1[[#This Row],[сумма]]*Таблица1[[#This Row],[коэф]])),
IF((G823="5/16"),((база!$L$6*Таблица1[[#This Row],[сумма]]*Таблица1[[#This Row],[коэф]])),
IF((G823="4/16"),((база!$L$5*Таблица1[[#This Row],[сумма]]*Таблица1[[#This Row],[коэф]])),
IF((G823="3/16"),((база!$L$4*Таблица1[[#This Row],[сумма]]*Таблица1[[#This Row],[коэф]])),
IF((G823="4/4"),((база!$I$5*Таблица1[[#This Row],[сумма]]*Таблица1[[#This Row],[коэф]])),
IF(OR(G823="2/4",G823="3/4"),((база!$I$4*Таблица1[[#This Row],[сумма]]*Таблица1[[#This Row],[коэф]])),
IF((G823="5/8"),((база!$J$6*Таблица1[[#This Row],[сумма]]*Таблица1[[#This Row],[коэф]])),
IF((G823="4/8"),((база!$J$5*Таблица1[[#This Row],[сумма]]*Таблица1[[#This Row],[коэф]])),
IF(OR(G823="3/8",G823="2/8"),((база!$J$4*Таблица1[[#This Row],[сумма]]*Таблица1[[#This Row],[коэф]])))))))))))))),
(IF((G823="5/24"),((база!$M$6*Таблица1[[#This Row],[сумма]]*Таблица1[[#This Row],[коэф]])),
IF(OR(G823="4/24",G823="3/24"),((база!$M$5*Таблица1[[#This Row],[сумма]]*Таблица1[[#This Row],[коэф]])),
IF((G823="5/16"),((база!$L$6*Таблица1[[#This Row],[сумма]]*Таблица1[[#This Row],[коэф]])),
IF(OR(G823="4/16",G823="3/16"),((база!$L$5*Таблица1[[#This Row],[сумма]]*Таблица1[[#This Row],[коэф]])),
IF(OR(G823="2/4",G823="3/4",G823="4/4"),((база!$I$5*Таблица1[[#This Row],[сумма]]*Таблица1[[#This Row],[коэф]])),
IF((G823="5/8"),((база!$J$6*Таблица1[[#This Row],[сумма]]*Таблица1[[#This Row],[коэф]])),
IF(OR(G823="4/8",G823="3/8",G823="2/8"),((база!$J$5*Таблица1[[#This Row],[сумма]]*Таблица1[[#This Row],[коэф]])))))))))))</f>
        <v>0</v>
      </c>
      <c r="AP823" s="730" t="b">
        <f>IF(AR823&lt;=3,(IF((G823="5/24"),((база!$M$6*2*Таблица1[[#This Row],[Столбец1]]*Таблица1[[#This Row],[коэф]])),
IF((G823="4/24"),((база!$M$5*2*Таблица1[[#This Row],[Столбец1]]*Таблица1[[#This Row],[коэф]])),
IF((G823="3/24"),((база!$M$4*2*Таблица1[[#This Row],[Столбец1]]*Таблица1[[#This Row],[коэф]])),
IF((G823="5/16"),((база!$L$6*2*Таблица1[[#This Row],[Столбец1]]*Таблица1[[#This Row],[коэф]])),
IF((G823="4/16"),((база!$L$5*2*Таблица1[[#This Row],[Столбец1]]*Таблица1[[#This Row],[коэф]])),
IF((G823="3/16"),((база!$L$4*2*Таблица1[[#This Row],[Столбец1]]*Таблица1[[#This Row],[коэф]])),
IF((G823="4/4"),((база!$I$5*2*Таблица1[[#This Row],[Столбец1]]*Таблица1[[#This Row],[коэф]])),
IF(OR(G823="2/4",G823="3/4"),((база!$I$4*2*Таблица1[[#This Row],[Столбец1]]*Таблица1[[#This Row],[коэф]])),
IF((G823="5/8"),((база!$J$6*2*Таблица1[[#This Row],[Столбец1]]*Таблица1[[#This Row],[коэф]])),
IF((G823="4/8"),((база!$J$5*2*Таблица1[[#This Row],[Столбец1]]*Таблица1[[#This Row],[коэф]])),
IF(OR(G823="3/8",G823="2/8"),((база!$J$4*2*Таблица1[[#This Row],[Столбец1]]*Таблица1[[#This Row],[коэф]])))))))))))))),
(IF((G823="5/24"),((база!$M$6*2*Таблица1[[#This Row],[Столбец1]]*Таблица1[[#This Row],[коэф]])),
IF(OR(G823="4/24",G823="3/24"),((база!$M$5*2*Таблица1[[#This Row],[Столбец1]]*Таблица1[[#This Row],[коэф]])),
IF((G823="5/16"),((база!$L$6*2*Таблица1[[#This Row],[Столбец1]]*Таблица1[[#This Row],[коэф]])),
IF(OR(G823="4/16",G823="3/16"),((база!$L$5*2*Таблица1[[#This Row],[Столбец1]]*Таблица1[[#This Row],[коэф]])),
IF(OR(G823="2/4",G823="3/4",G823="4/4"),((база!$I$5*2*Таблица1[[#This Row],[Столбец1]]*Таблица1[[#This Row],[коэф]])),
IF((G823="5/8"),((база!$J$6*2*Таблица1[[#This Row],[Столбец1]]*Таблица1[[#This Row],[коэф]])),
IF(OR(G823="4/8",G823="3/8",G823="2/8"),((база!$J$5*2*Таблица1[[#This Row],[Столбец1]]*Таблица1[[#This Row],[коэф]])))))))))))</f>
        <v>0</v>
      </c>
      <c r="AQ823" s="712" t="str">
        <f>IFERROR(INDEX(база!T:T, MATCH(F823,база!Q:Q,0)),"")</f>
        <v/>
      </c>
      <c r="AR823" s="208" t="str">
        <f>IFERROR(INDEX(база!D:D, MATCH(F823,база!B:B,0)),"")</f>
        <v/>
      </c>
      <c r="AS823" s="758" t="str">
        <f>IFERROR(INDEX(база!E:E, MATCH(F823,база!B:B,0)),"")</f>
        <v/>
      </c>
    </row>
    <row r="824" spans="1:45" ht="15">
      <c r="A824" s="66" t="str">
        <f t="shared" si="12"/>
        <v>январь</v>
      </c>
      <c r="B824" s="231">
        <v>2024</v>
      </c>
      <c r="C824" s="299"/>
      <c r="D824" s="61"/>
      <c r="E824" s="211"/>
      <c r="F824" s="680"/>
      <c r="G824" s="47"/>
      <c r="H824" s="563"/>
      <c r="I824" s="563"/>
      <c r="J824" s="563"/>
      <c r="K824" s="563"/>
      <c r="L824" s="563"/>
      <c r="M824" s="563"/>
      <c r="N824" s="563"/>
      <c r="O824" s="563"/>
      <c r="P824" s="300"/>
      <c r="Q824" s="563"/>
      <c r="R824" s="563"/>
      <c r="S824" s="563"/>
      <c r="T824" s="563"/>
      <c r="U824" s="563"/>
      <c r="V824" s="563"/>
      <c r="W824" s="563"/>
      <c r="X824" s="563"/>
      <c r="Y824" s="563"/>
      <c r="Z824" s="563"/>
      <c r="AA824" s="563"/>
      <c r="AB824" s="563"/>
      <c r="AC824" s="563"/>
      <c r="AD824" s="48"/>
      <c r="AE824" s="48"/>
      <c r="AF824" s="258"/>
      <c r="AG824" s="48"/>
      <c r="AH824" s="48"/>
      <c r="AI824" s="48"/>
      <c r="AJ824" s="48"/>
      <c r="AK824" s="48"/>
      <c r="AL824" s="51"/>
      <c r="AM824" s="212">
        <f>IF(AQ824=1,SUM(Q824:T824,W824:Z824,AC824:AF824,AI824:AL824),
IF(AQ824=2,SUM(P824,S824:V824,Y824:AB824,AE824:AH824,AK824:AL824),
IF(AQ824=3,SUM(P824:R824,U824:X824,AA824:AD824,AG824:AJ824),SUM(Таблица1[[#This Row],[1]:[31]])-Таблица1[[#This Row],[Столбец1]])))</f>
        <v>0</v>
      </c>
      <c r="AN824" s="778">
        <f t="array" ref="AN824">IF(AQ824=1,SUM(P824,U824:V824,AA824:AB824,AG824:AH824),
IF(AQ824=2,SUM(Q824:R824,W824:X824,AC824:AD824,AI824:AJ824),
IF(AQ824=3,SUM(S824:T824,Y824:Z824,AE824:AF824,AK824:AL824),
SUM(IFERROR(WEEKDAY($H$2:$AL$2,2)&gt;5,)*H824:AL824))))+Таблица1[[#This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24" s="292" t="b">
        <f>IF(AR824&lt;=3,(IF((G824="5/24"),((база!$M$6*Таблица1[[#This Row],[сумма]]*Таблица1[[#This Row],[коэф]])),
IF((G824="4/24"),((база!$M$5*Таблица1[[#This Row],[сумма]]*Таблица1[[#This Row],[коэф]])),
IF((G824="3/24"),((база!$M$4*Таблица1[[#This Row],[сумма]]*Таблица1[[#This Row],[коэф]])),
IF((G824="5/16"),((база!$L$6*Таблица1[[#This Row],[сумма]]*Таблица1[[#This Row],[коэф]])),
IF((G824="4/16"),((база!$L$5*Таблица1[[#This Row],[сумма]]*Таблица1[[#This Row],[коэф]])),
IF((G824="3/16"),((база!$L$4*Таблица1[[#This Row],[сумма]]*Таблица1[[#This Row],[коэф]])),
IF((G824="4/4"),((база!$I$5*Таблица1[[#This Row],[сумма]]*Таблица1[[#This Row],[коэф]])),
IF(OR(G824="2/4",G824="3/4"),((база!$I$4*Таблица1[[#This Row],[сумма]]*Таблица1[[#This Row],[коэф]])),
IF((G824="5/8"),((база!$J$6*Таблица1[[#This Row],[сумма]]*Таблица1[[#This Row],[коэф]])),
IF((G824="4/8"),((база!$J$5*Таблица1[[#This Row],[сумма]]*Таблица1[[#This Row],[коэф]])),
IF(OR(G824="3/8",G824="2/8"),((база!$J$4*Таблица1[[#This Row],[сумма]]*Таблица1[[#This Row],[коэф]])))))))))))))),
(IF((G824="5/24"),((база!$M$6*Таблица1[[#This Row],[сумма]]*Таблица1[[#This Row],[коэф]])),
IF(OR(G824="4/24",G824="3/24"),((база!$M$5*Таблица1[[#This Row],[сумма]]*Таблица1[[#This Row],[коэф]])),
IF((G824="5/16"),((база!$L$6*Таблица1[[#This Row],[сумма]]*Таблица1[[#This Row],[коэф]])),
IF(OR(G824="4/16",G824="3/16"),((база!$L$5*Таблица1[[#This Row],[сумма]]*Таблица1[[#This Row],[коэф]])),
IF(OR(G824="2/4",G824="3/4",G824="4/4"),((база!$I$5*Таблица1[[#This Row],[сумма]]*Таблица1[[#This Row],[коэф]])),
IF((G824="5/8"),((база!$J$6*Таблица1[[#This Row],[сумма]]*Таблица1[[#This Row],[коэф]])),
IF(OR(G824="4/8",G824="3/8",G824="2/8"),((база!$J$5*Таблица1[[#This Row],[сумма]]*Таблица1[[#This Row],[коэф]])))))))))))</f>
        <v>0</v>
      </c>
      <c r="AP824" s="730" t="b">
        <f>IF(AR824&lt;=3,(IF((G824="5/24"),((база!$M$6*2*Таблица1[[#This Row],[Столбец1]]*Таблица1[[#This Row],[коэф]])),
IF((G824="4/24"),((база!$M$5*2*Таблица1[[#This Row],[Столбец1]]*Таблица1[[#This Row],[коэф]])),
IF((G824="3/24"),((база!$M$4*2*Таблица1[[#This Row],[Столбец1]]*Таблица1[[#This Row],[коэф]])),
IF((G824="5/16"),((база!$L$6*2*Таблица1[[#This Row],[Столбец1]]*Таблица1[[#This Row],[коэф]])),
IF((G824="4/16"),((база!$L$5*2*Таблица1[[#This Row],[Столбец1]]*Таблица1[[#This Row],[коэф]])),
IF((G824="3/16"),((база!$L$4*2*Таблица1[[#This Row],[Столбец1]]*Таблица1[[#This Row],[коэф]])),
IF((G824="4/4"),((база!$I$5*2*Таблица1[[#This Row],[Столбец1]]*Таблица1[[#This Row],[коэф]])),
IF(OR(G824="2/4",G824="3/4"),((база!$I$4*2*Таблица1[[#This Row],[Столбец1]]*Таблица1[[#This Row],[коэф]])),
IF((G824="5/8"),((база!$J$6*2*Таблица1[[#This Row],[Столбец1]]*Таблица1[[#This Row],[коэф]])),
IF((G824="4/8"),((база!$J$5*2*Таблица1[[#This Row],[Столбец1]]*Таблица1[[#This Row],[коэф]])),
IF(OR(G824="3/8",G824="2/8"),((база!$J$4*2*Таблица1[[#This Row],[Столбец1]]*Таблица1[[#This Row],[коэф]])))))))))))))),
(IF((G824="5/24"),((база!$M$6*2*Таблица1[[#This Row],[Столбец1]]*Таблица1[[#This Row],[коэф]])),
IF(OR(G824="4/24",G824="3/24"),((база!$M$5*2*Таблица1[[#This Row],[Столбец1]]*Таблица1[[#This Row],[коэф]])),
IF((G824="5/16"),((база!$L$6*2*Таблица1[[#This Row],[Столбец1]]*Таблица1[[#This Row],[коэф]])),
IF(OR(G824="4/16",G824="3/16"),((база!$L$5*2*Таблица1[[#This Row],[Столбец1]]*Таблица1[[#This Row],[коэф]])),
IF(OR(G824="2/4",G824="3/4",G824="4/4"),((база!$I$5*2*Таблица1[[#This Row],[Столбец1]]*Таблица1[[#This Row],[коэф]])),
IF((G824="5/8"),((база!$J$6*2*Таблица1[[#This Row],[Столбец1]]*Таблица1[[#This Row],[коэф]])),
IF(OR(G824="4/8",G824="3/8",G824="2/8"),((база!$J$5*2*Таблица1[[#This Row],[Столбец1]]*Таблица1[[#This Row],[коэф]])))))))))))</f>
        <v>0</v>
      </c>
      <c r="AQ824" s="712" t="str">
        <f>IFERROR(INDEX(база!T:T, MATCH(F824,база!Q:Q,0)),"")</f>
        <v/>
      </c>
      <c r="AR824" s="208" t="str">
        <f>IFERROR(INDEX(база!D:D, MATCH(F824,база!B:B,0)),"")</f>
        <v/>
      </c>
      <c r="AS824" s="758" t="str">
        <f>IFERROR(INDEX(база!E:E, MATCH(F824,база!B:B,0)),"")</f>
        <v/>
      </c>
    </row>
    <row r="825" spans="1:45" ht="15">
      <c r="A825" s="66" t="str">
        <f t="shared" si="12"/>
        <v>январь</v>
      </c>
      <c r="B825" s="231">
        <v>2024</v>
      </c>
      <c r="C825" s="299"/>
      <c r="D825" s="61"/>
      <c r="E825" s="211"/>
      <c r="F825" s="680"/>
      <c r="G825" s="47"/>
      <c r="H825" s="563"/>
      <c r="I825" s="563"/>
      <c r="J825" s="563"/>
      <c r="K825" s="563"/>
      <c r="L825" s="563"/>
      <c r="M825" s="563"/>
      <c r="N825" s="563"/>
      <c r="O825" s="563"/>
      <c r="P825" s="300"/>
      <c r="Q825" s="563"/>
      <c r="R825" s="563"/>
      <c r="S825" s="563"/>
      <c r="T825" s="563"/>
      <c r="U825" s="563"/>
      <c r="V825" s="563"/>
      <c r="W825" s="563"/>
      <c r="X825" s="563"/>
      <c r="Y825" s="563"/>
      <c r="Z825" s="563"/>
      <c r="AA825" s="563"/>
      <c r="AB825" s="563"/>
      <c r="AC825" s="563"/>
      <c r="AD825" s="48"/>
      <c r="AE825" s="48"/>
      <c r="AF825" s="258"/>
      <c r="AG825" s="48"/>
      <c r="AH825" s="48"/>
      <c r="AI825" s="258"/>
      <c r="AJ825" s="258"/>
      <c r="AK825" s="258"/>
      <c r="AL825" s="258"/>
      <c r="AM825" s="212">
        <f>IF(AQ825=1,SUM(Q825:T825,W825:Z825,AC825:AF825,AI825:AL825),
IF(AQ825=2,SUM(P825,S825:V825,Y825:AB825,AE825:AH825,AK825:AL825),
IF(AQ825=3,SUM(P825:R825,U825:X825,AA825:AD825,AG825:AJ825),SUM(Таблица1[[#This Row],[1]:[31]])-Таблица1[[#This Row],[Столбец1]])))</f>
        <v>0</v>
      </c>
      <c r="AN825" s="778">
        <f t="array" ref="AN825">IF(AQ825=1,SUM(P825,U825:V825,AA825:AB825,AG825:AH825),
IF(AQ825=2,SUM(Q825:R825,W825:X825,AC825:AD825,AI825:AJ825),
IF(AQ825=3,SUM(S825:T825,Y825:Z825,AE825:AF825,AK825:AL825),
SUM(IFERROR(WEEKDAY($H$2:$AL$2,2)&gt;5,)*H825:AL825))))+Таблица1[[#This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25" s="292" t="b">
        <f>IF(AR825&lt;=3,(IF((G825="5/24"),((база!$M$6*Таблица1[[#This Row],[сумма]]*Таблица1[[#This Row],[коэф]])),
IF((G825="4/24"),((база!$M$5*Таблица1[[#This Row],[сумма]]*Таблица1[[#This Row],[коэф]])),
IF((G825="3/24"),((база!$M$4*Таблица1[[#This Row],[сумма]]*Таблица1[[#This Row],[коэф]])),
IF((G825="5/16"),((база!$L$6*Таблица1[[#This Row],[сумма]]*Таблица1[[#This Row],[коэф]])),
IF((G825="4/16"),((база!$L$5*Таблица1[[#This Row],[сумма]]*Таблица1[[#This Row],[коэф]])),
IF((G825="3/16"),((база!$L$4*Таблица1[[#This Row],[сумма]]*Таблица1[[#This Row],[коэф]])),
IF((G825="4/4"),((база!$I$5*Таблица1[[#This Row],[сумма]]*Таблица1[[#This Row],[коэф]])),
IF(OR(G825="2/4",G825="3/4"),((база!$I$4*Таблица1[[#This Row],[сумма]]*Таблица1[[#This Row],[коэф]])),
IF((G825="5/8"),((база!$J$6*Таблица1[[#This Row],[сумма]]*Таблица1[[#This Row],[коэф]])),
IF((G825="4/8"),((база!$J$5*Таблица1[[#This Row],[сумма]]*Таблица1[[#This Row],[коэф]])),
IF(OR(G825="3/8",G825="2/8"),((база!$J$4*Таблица1[[#This Row],[сумма]]*Таблица1[[#This Row],[коэф]])))))))))))))),
(IF((G825="5/24"),((база!$M$6*Таблица1[[#This Row],[сумма]]*Таблица1[[#This Row],[коэф]])),
IF(OR(G825="4/24",G825="3/24"),((база!$M$5*Таблица1[[#This Row],[сумма]]*Таблица1[[#This Row],[коэф]])),
IF((G825="5/16"),((база!$L$6*Таблица1[[#This Row],[сумма]]*Таблица1[[#This Row],[коэф]])),
IF(OR(G825="4/16",G825="3/16"),((база!$L$5*Таблица1[[#This Row],[сумма]]*Таблица1[[#This Row],[коэф]])),
IF(OR(G825="2/4",G825="3/4",G825="4/4"),((база!$I$5*Таблица1[[#This Row],[сумма]]*Таблица1[[#This Row],[коэф]])),
IF((G825="5/8"),((база!$J$6*Таблица1[[#This Row],[сумма]]*Таблица1[[#This Row],[коэф]])),
IF(OR(G825="4/8",G825="3/8",G825="2/8"),((база!$J$5*Таблица1[[#This Row],[сумма]]*Таблица1[[#This Row],[коэф]])))))))))))</f>
        <v>0</v>
      </c>
      <c r="AP825" s="730" t="b">
        <f>IF(AR825&lt;=3,(IF((G825="5/24"),((база!$M$6*2*Таблица1[[#This Row],[Столбец1]]*Таблица1[[#This Row],[коэф]])),
IF((G825="4/24"),((база!$M$5*2*Таблица1[[#This Row],[Столбец1]]*Таблица1[[#This Row],[коэф]])),
IF((G825="3/24"),((база!$M$4*2*Таблица1[[#This Row],[Столбец1]]*Таблица1[[#This Row],[коэф]])),
IF((G825="5/16"),((база!$L$6*2*Таблица1[[#This Row],[Столбец1]]*Таблица1[[#This Row],[коэф]])),
IF((G825="4/16"),((база!$L$5*2*Таблица1[[#This Row],[Столбец1]]*Таблица1[[#This Row],[коэф]])),
IF((G825="3/16"),((база!$L$4*2*Таблица1[[#This Row],[Столбец1]]*Таблица1[[#This Row],[коэф]])),
IF((G825="4/4"),((база!$I$5*2*Таблица1[[#This Row],[Столбец1]]*Таблица1[[#This Row],[коэф]])),
IF(OR(G825="2/4",G825="3/4"),((база!$I$4*2*Таблица1[[#This Row],[Столбец1]]*Таблица1[[#This Row],[коэф]])),
IF((G825="5/8"),((база!$J$6*2*Таблица1[[#This Row],[Столбец1]]*Таблица1[[#This Row],[коэф]])),
IF((G825="4/8"),((база!$J$5*2*Таблица1[[#This Row],[Столбец1]]*Таблица1[[#This Row],[коэф]])),
IF(OR(G825="3/8",G825="2/8"),((база!$J$4*2*Таблица1[[#This Row],[Столбец1]]*Таблица1[[#This Row],[коэф]])))))))))))))),
(IF((G825="5/24"),((база!$M$6*2*Таблица1[[#This Row],[Столбец1]]*Таблица1[[#This Row],[коэф]])),
IF(OR(G825="4/24",G825="3/24"),((база!$M$5*2*Таблица1[[#This Row],[Столбец1]]*Таблица1[[#This Row],[коэф]])),
IF((G825="5/16"),((база!$L$6*2*Таблица1[[#This Row],[Столбец1]]*Таблица1[[#This Row],[коэф]])),
IF(OR(G825="4/16",G825="3/16"),((база!$L$5*2*Таблица1[[#This Row],[Столбец1]]*Таблица1[[#This Row],[коэф]])),
IF(OR(G825="2/4",G825="3/4",G825="4/4"),((база!$I$5*2*Таблица1[[#This Row],[Столбец1]]*Таблица1[[#This Row],[коэф]])),
IF((G825="5/8"),((база!$J$6*2*Таблица1[[#This Row],[Столбец1]]*Таблица1[[#This Row],[коэф]])),
IF(OR(G825="4/8",G825="3/8",G825="2/8"),((база!$J$5*2*Таблица1[[#This Row],[Столбец1]]*Таблица1[[#This Row],[коэф]])))))))))))</f>
        <v>0</v>
      </c>
      <c r="AQ825" s="712" t="str">
        <f>IFERROR(INDEX(база!T:T, MATCH(F825,база!Q:Q,0)),"")</f>
        <v/>
      </c>
      <c r="AR825" s="208" t="str">
        <f>IFERROR(INDEX(база!D:D, MATCH(F825,база!B:B,0)),"")</f>
        <v/>
      </c>
      <c r="AS825" s="758" t="str">
        <f>IFERROR(INDEX(база!E:E, MATCH(F825,база!B:B,0)),"")</f>
        <v/>
      </c>
    </row>
    <row r="826" spans="1:45" ht="15">
      <c r="A826" s="66" t="str">
        <f t="shared" si="12"/>
        <v>январь</v>
      </c>
      <c r="B826" s="231">
        <v>2024</v>
      </c>
      <c r="C826" s="299"/>
      <c r="D826" s="61"/>
      <c r="E826" s="211"/>
      <c r="F826" s="680"/>
      <c r="G826" s="47"/>
      <c r="H826" s="563"/>
      <c r="I826" s="563"/>
      <c r="J826" s="563"/>
      <c r="K826" s="563"/>
      <c r="L826" s="563"/>
      <c r="M826" s="563"/>
      <c r="N826" s="563"/>
      <c r="O826" s="563"/>
      <c r="P826" s="300"/>
      <c r="Q826" s="563"/>
      <c r="R826" s="563"/>
      <c r="S826" s="563"/>
      <c r="T826" s="563"/>
      <c r="U826" s="563"/>
      <c r="V826" s="563"/>
      <c r="W826" s="563"/>
      <c r="X826" s="563"/>
      <c r="Y826" s="563"/>
      <c r="Z826" s="563"/>
      <c r="AA826" s="563"/>
      <c r="AB826" s="563"/>
      <c r="AC826" s="563"/>
      <c r="AD826" s="48"/>
      <c r="AE826" s="48"/>
      <c r="AF826" s="258"/>
      <c r="AG826" s="48"/>
      <c r="AH826" s="48"/>
      <c r="AI826" s="48"/>
      <c r="AJ826" s="48"/>
      <c r="AK826" s="48"/>
      <c r="AL826" s="51"/>
      <c r="AM826" s="212">
        <f>IF(AQ826=1,SUM(Q826:T826,W826:Z826,AC826:AF826,AI826:AL826),
IF(AQ826=2,SUM(P826,S826:V826,Y826:AB826,AE826:AH826,AK826:AL826),
IF(AQ826=3,SUM(P826:R826,U826:X826,AA826:AD826,AG826:AJ826),SUM(Таблица1[[#This Row],[1]:[31]])-Таблица1[[#This Row],[Столбец1]])))</f>
        <v>0</v>
      </c>
      <c r="AN826" s="778">
        <f t="array" ref="AN826">IF(AQ826=1,SUM(P826,U826:V826,AA826:AB826,AG826:AH826),
IF(AQ826=2,SUM(Q826:R826,W826:X826,AC826:AD826,AI826:AJ826),
IF(AQ826=3,SUM(S826:T826,Y826:Z826,AE826:AF826,AK826:AL826),
SUM(IFERROR(WEEKDAY($H$2:$AL$2,2)&gt;5,)*H826:AL826))))+Таблица1[[#This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26" s="292" t="b">
        <f>IF(AR826&lt;=3,(IF((G826="5/24"),((база!$M$6*Таблица1[[#This Row],[сумма]]*Таблица1[[#This Row],[коэф]])),
IF((G826="4/24"),((база!$M$5*Таблица1[[#This Row],[сумма]]*Таблица1[[#This Row],[коэф]])),
IF((G826="3/24"),((база!$M$4*Таблица1[[#This Row],[сумма]]*Таблица1[[#This Row],[коэф]])),
IF((G826="5/16"),((база!$L$6*Таблица1[[#This Row],[сумма]]*Таблица1[[#This Row],[коэф]])),
IF((G826="4/16"),((база!$L$5*Таблица1[[#This Row],[сумма]]*Таблица1[[#This Row],[коэф]])),
IF((G826="3/16"),((база!$L$4*Таблица1[[#This Row],[сумма]]*Таблица1[[#This Row],[коэф]])),
IF((G826="4/4"),((база!$I$5*Таблица1[[#This Row],[сумма]]*Таблица1[[#This Row],[коэф]])),
IF(OR(G826="2/4",G826="3/4"),((база!$I$4*Таблица1[[#This Row],[сумма]]*Таблица1[[#This Row],[коэф]])),
IF((G826="5/8"),((база!$J$6*Таблица1[[#This Row],[сумма]]*Таблица1[[#This Row],[коэф]])),
IF((G826="4/8"),((база!$J$5*Таблица1[[#This Row],[сумма]]*Таблица1[[#This Row],[коэф]])),
IF(OR(G826="3/8",G826="2/8"),((база!$J$4*Таблица1[[#This Row],[сумма]]*Таблица1[[#This Row],[коэф]])))))))))))))),
(IF((G826="5/24"),((база!$M$6*Таблица1[[#This Row],[сумма]]*Таблица1[[#This Row],[коэф]])),
IF(OR(G826="4/24",G826="3/24"),((база!$M$5*Таблица1[[#This Row],[сумма]]*Таблица1[[#This Row],[коэф]])),
IF((G826="5/16"),((база!$L$6*Таблица1[[#This Row],[сумма]]*Таблица1[[#This Row],[коэф]])),
IF(OR(G826="4/16",G826="3/16"),((база!$L$5*Таблица1[[#This Row],[сумма]]*Таблица1[[#This Row],[коэф]])),
IF(OR(G826="2/4",G826="3/4",G826="4/4"),((база!$I$5*Таблица1[[#This Row],[сумма]]*Таблица1[[#This Row],[коэф]])),
IF((G826="5/8"),((база!$J$6*Таблица1[[#This Row],[сумма]]*Таблица1[[#This Row],[коэф]])),
IF(OR(G826="4/8",G826="3/8",G826="2/8"),((база!$J$5*Таблица1[[#This Row],[сумма]]*Таблица1[[#This Row],[коэф]])))))))))))</f>
        <v>0</v>
      </c>
      <c r="AP826" s="730" t="b">
        <f>IF(AR826&lt;=3,(IF((G826="5/24"),((база!$M$6*2*Таблица1[[#This Row],[Столбец1]]*Таблица1[[#This Row],[коэф]])),
IF((G826="4/24"),((база!$M$5*2*Таблица1[[#This Row],[Столбец1]]*Таблица1[[#This Row],[коэф]])),
IF((G826="3/24"),((база!$M$4*2*Таблица1[[#This Row],[Столбец1]]*Таблица1[[#This Row],[коэф]])),
IF((G826="5/16"),((база!$L$6*2*Таблица1[[#This Row],[Столбец1]]*Таблица1[[#This Row],[коэф]])),
IF((G826="4/16"),((база!$L$5*2*Таблица1[[#This Row],[Столбец1]]*Таблица1[[#This Row],[коэф]])),
IF((G826="3/16"),((база!$L$4*2*Таблица1[[#This Row],[Столбец1]]*Таблица1[[#This Row],[коэф]])),
IF((G826="4/4"),((база!$I$5*2*Таблица1[[#This Row],[Столбец1]]*Таблица1[[#This Row],[коэф]])),
IF(OR(G826="2/4",G826="3/4"),((база!$I$4*2*Таблица1[[#This Row],[Столбец1]]*Таблица1[[#This Row],[коэф]])),
IF((G826="5/8"),((база!$J$6*2*Таблица1[[#This Row],[Столбец1]]*Таблица1[[#This Row],[коэф]])),
IF((G826="4/8"),((база!$J$5*2*Таблица1[[#This Row],[Столбец1]]*Таблица1[[#This Row],[коэф]])),
IF(OR(G826="3/8",G826="2/8"),((база!$J$4*2*Таблица1[[#This Row],[Столбец1]]*Таблица1[[#This Row],[коэф]])))))))))))))),
(IF((G826="5/24"),((база!$M$6*2*Таблица1[[#This Row],[Столбец1]]*Таблица1[[#This Row],[коэф]])),
IF(OR(G826="4/24",G826="3/24"),((база!$M$5*2*Таблица1[[#This Row],[Столбец1]]*Таблица1[[#This Row],[коэф]])),
IF((G826="5/16"),((база!$L$6*2*Таблица1[[#This Row],[Столбец1]]*Таблица1[[#This Row],[коэф]])),
IF(OR(G826="4/16",G826="3/16"),((база!$L$5*2*Таблица1[[#This Row],[Столбец1]]*Таблица1[[#This Row],[коэф]])),
IF(OR(G826="2/4",G826="3/4",G826="4/4"),((база!$I$5*2*Таблица1[[#This Row],[Столбец1]]*Таблица1[[#This Row],[коэф]])),
IF((G826="5/8"),((база!$J$6*2*Таблица1[[#This Row],[Столбец1]]*Таблица1[[#This Row],[коэф]])),
IF(OR(G826="4/8",G826="3/8",G826="2/8"),((база!$J$5*2*Таблица1[[#This Row],[Столбец1]]*Таблица1[[#This Row],[коэф]])))))))))))</f>
        <v>0</v>
      </c>
      <c r="AQ826" s="712" t="str">
        <f>IFERROR(INDEX(база!T:T, MATCH(F826,база!Q:Q,0)),"")</f>
        <v/>
      </c>
      <c r="AR826" s="208" t="str">
        <f>IFERROR(INDEX(база!D:D, MATCH(F826,база!B:B,0)),"")</f>
        <v/>
      </c>
      <c r="AS826" s="758" t="str">
        <f>IFERROR(INDEX(база!E:E, MATCH(F826,база!B:B,0)),"")</f>
        <v/>
      </c>
    </row>
    <row r="827" spans="1:45" ht="15">
      <c r="A827" s="66" t="str">
        <f t="shared" si="12"/>
        <v>январь</v>
      </c>
      <c r="B827" s="231">
        <v>2024</v>
      </c>
      <c r="C827" s="299"/>
      <c r="D827" s="61"/>
      <c r="E827" s="211"/>
      <c r="F827" s="680"/>
      <c r="G827" s="47"/>
      <c r="H827" s="563"/>
      <c r="I827" s="563"/>
      <c r="J827" s="563"/>
      <c r="K827" s="563"/>
      <c r="L827" s="563"/>
      <c r="M827" s="563"/>
      <c r="N827" s="563"/>
      <c r="O827" s="563"/>
      <c r="P827" s="300"/>
      <c r="Q827" s="563"/>
      <c r="R827" s="563"/>
      <c r="S827" s="563"/>
      <c r="T827" s="563"/>
      <c r="U827" s="563"/>
      <c r="V827" s="563"/>
      <c r="W827" s="563"/>
      <c r="X827" s="563"/>
      <c r="Y827" s="563"/>
      <c r="Z827" s="563"/>
      <c r="AA827" s="563"/>
      <c r="AB827" s="563"/>
      <c r="AC827" s="563"/>
      <c r="AD827" s="48"/>
      <c r="AE827" s="48"/>
      <c r="AF827" s="258"/>
      <c r="AG827" s="48"/>
      <c r="AH827" s="48"/>
      <c r="AI827" s="258"/>
      <c r="AJ827" s="258"/>
      <c r="AK827" s="258"/>
      <c r="AL827" s="258"/>
      <c r="AM827" s="212">
        <f>IF(AQ827=1,SUM(Q827:T827,W827:Z827,AC827:AF827,AI827:AL827),
IF(AQ827=2,SUM(P827,S827:V827,Y827:AB827,AE827:AH827,AK827:AL827),
IF(AQ827=3,SUM(P827:R827,U827:X827,AA827:AD827,AG827:AJ827),SUM(Таблица1[[#This Row],[1]:[31]])-Таблица1[[#This Row],[Столбец1]])))</f>
        <v>0</v>
      </c>
      <c r="AN827" s="778">
        <f t="array" ref="AN827">IF(AQ827=1,SUM(P827,U827:V827,AA827:AB827,AG827:AH827),
IF(AQ827=2,SUM(Q827:R827,W827:X827,AC827:AD827,AI827:AJ827),
IF(AQ827=3,SUM(S827:T827,Y827:Z827,AE827:AF827,AK827:AL827),
SUM(IFERROR(WEEKDAY($H$2:$AL$2,2)&gt;5,)*H827:AL827))))+Таблица1[[#This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27" s="292" t="b">
        <f>IF(AR827&lt;=3,(IF((G827="5/24"),((база!$M$6*Таблица1[[#This Row],[сумма]]*Таблица1[[#This Row],[коэф]])),
IF((G827="4/24"),((база!$M$5*Таблица1[[#This Row],[сумма]]*Таблица1[[#This Row],[коэф]])),
IF((G827="3/24"),((база!$M$4*Таблица1[[#This Row],[сумма]]*Таблица1[[#This Row],[коэф]])),
IF((G827="5/16"),((база!$L$6*Таблица1[[#This Row],[сумма]]*Таблица1[[#This Row],[коэф]])),
IF((G827="4/16"),((база!$L$5*Таблица1[[#This Row],[сумма]]*Таблица1[[#This Row],[коэф]])),
IF((G827="3/16"),((база!$L$4*Таблица1[[#This Row],[сумма]]*Таблица1[[#This Row],[коэф]])),
IF((G827="4/4"),((база!$I$5*Таблица1[[#This Row],[сумма]]*Таблица1[[#This Row],[коэф]])),
IF(OR(G827="2/4",G827="3/4"),((база!$I$4*Таблица1[[#This Row],[сумма]]*Таблица1[[#This Row],[коэф]])),
IF((G827="5/8"),((база!$J$6*Таблица1[[#This Row],[сумма]]*Таблица1[[#This Row],[коэф]])),
IF((G827="4/8"),((база!$J$5*Таблица1[[#This Row],[сумма]]*Таблица1[[#This Row],[коэф]])),
IF(OR(G827="3/8",G827="2/8"),((база!$J$4*Таблица1[[#This Row],[сумма]]*Таблица1[[#This Row],[коэф]])))))))))))))),
(IF((G827="5/24"),((база!$M$6*Таблица1[[#This Row],[сумма]]*Таблица1[[#This Row],[коэф]])),
IF(OR(G827="4/24",G827="3/24"),((база!$M$5*Таблица1[[#This Row],[сумма]]*Таблица1[[#This Row],[коэф]])),
IF((G827="5/16"),((база!$L$6*Таблица1[[#This Row],[сумма]]*Таблица1[[#This Row],[коэф]])),
IF(OR(G827="4/16",G827="3/16"),((база!$L$5*Таблица1[[#This Row],[сумма]]*Таблица1[[#This Row],[коэф]])),
IF(OR(G827="2/4",G827="3/4",G827="4/4"),((база!$I$5*Таблица1[[#This Row],[сумма]]*Таблица1[[#This Row],[коэф]])),
IF((G827="5/8"),((база!$J$6*Таблица1[[#This Row],[сумма]]*Таблица1[[#This Row],[коэф]])),
IF(OR(G827="4/8",G827="3/8",G827="2/8"),((база!$J$5*Таблица1[[#This Row],[сумма]]*Таблица1[[#This Row],[коэф]])))))))))))</f>
        <v>0</v>
      </c>
      <c r="AP827" s="730" t="b">
        <f>IF(AR827&lt;=3,(IF((G827="5/24"),((база!$M$6*2*Таблица1[[#This Row],[Столбец1]]*Таблица1[[#This Row],[коэф]])),
IF((G827="4/24"),((база!$M$5*2*Таблица1[[#This Row],[Столбец1]]*Таблица1[[#This Row],[коэф]])),
IF((G827="3/24"),((база!$M$4*2*Таблица1[[#This Row],[Столбец1]]*Таблица1[[#This Row],[коэф]])),
IF((G827="5/16"),((база!$L$6*2*Таблица1[[#This Row],[Столбец1]]*Таблица1[[#This Row],[коэф]])),
IF((G827="4/16"),((база!$L$5*2*Таблица1[[#This Row],[Столбец1]]*Таблица1[[#This Row],[коэф]])),
IF((G827="3/16"),((база!$L$4*2*Таблица1[[#This Row],[Столбец1]]*Таблица1[[#This Row],[коэф]])),
IF((G827="4/4"),((база!$I$5*2*Таблица1[[#This Row],[Столбец1]]*Таблица1[[#This Row],[коэф]])),
IF(OR(G827="2/4",G827="3/4"),((база!$I$4*2*Таблица1[[#This Row],[Столбец1]]*Таблица1[[#This Row],[коэф]])),
IF((G827="5/8"),((база!$J$6*2*Таблица1[[#This Row],[Столбец1]]*Таблица1[[#This Row],[коэф]])),
IF((G827="4/8"),((база!$J$5*2*Таблица1[[#This Row],[Столбец1]]*Таблица1[[#This Row],[коэф]])),
IF(OR(G827="3/8",G827="2/8"),((база!$J$4*2*Таблица1[[#This Row],[Столбец1]]*Таблица1[[#This Row],[коэф]])))))))))))))),
(IF((G827="5/24"),((база!$M$6*2*Таблица1[[#This Row],[Столбец1]]*Таблица1[[#This Row],[коэф]])),
IF(OR(G827="4/24",G827="3/24"),((база!$M$5*2*Таблица1[[#This Row],[Столбец1]]*Таблица1[[#This Row],[коэф]])),
IF((G827="5/16"),((база!$L$6*2*Таблица1[[#This Row],[Столбец1]]*Таблица1[[#This Row],[коэф]])),
IF(OR(G827="4/16",G827="3/16"),((база!$L$5*2*Таблица1[[#This Row],[Столбец1]]*Таблица1[[#This Row],[коэф]])),
IF(OR(G827="2/4",G827="3/4",G827="4/4"),((база!$I$5*2*Таблица1[[#This Row],[Столбец1]]*Таблица1[[#This Row],[коэф]])),
IF((G827="5/8"),((база!$J$6*2*Таблица1[[#This Row],[Столбец1]]*Таблица1[[#This Row],[коэф]])),
IF(OR(G827="4/8",G827="3/8",G827="2/8"),((база!$J$5*2*Таблица1[[#This Row],[Столбец1]]*Таблица1[[#This Row],[коэф]])))))))))))</f>
        <v>0</v>
      </c>
      <c r="AQ827" s="712" t="str">
        <f>IFERROR(INDEX(база!T:T, MATCH(F827,база!Q:Q,0)),"")</f>
        <v/>
      </c>
      <c r="AR827" s="208" t="str">
        <f>IFERROR(INDEX(база!D:D, MATCH(F827,база!B:B,0)),"")</f>
        <v/>
      </c>
      <c r="AS827" s="758" t="str">
        <f>IFERROR(INDEX(база!E:E, MATCH(F827,база!B:B,0)),"")</f>
        <v/>
      </c>
    </row>
    <row r="828" spans="1:45" ht="15">
      <c r="A828" s="66" t="str">
        <f t="shared" si="12"/>
        <v>январь</v>
      </c>
      <c r="B828" s="231">
        <v>2024</v>
      </c>
      <c r="C828" s="299"/>
      <c r="D828" s="61"/>
      <c r="E828" s="211"/>
      <c r="F828" s="680"/>
      <c r="G828" s="47"/>
      <c r="H828" s="563"/>
      <c r="I828" s="563"/>
      <c r="J828" s="563"/>
      <c r="K828" s="563"/>
      <c r="L828" s="563"/>
      <c r="M828" s="563"/>
      <c r="N828" s="563"/>
      <c r="O828" s="563"/>
      <c r="P828" s="300"/>
      <c r="Q828" s="563"/>
      <c r="R828" s="563"/>
      <c r="S828" s="563"/>
      <c r="T828" s="563"/>
      <c r="U828" s="563"/>
      <c r="V828" s="563"/>
      <c r="W828" s="563"/>
      <c r="X828" s="563"/>
      <c r="Y828" s="563"/>
      <c r="Z828" s="563"/>
      <c r="AA828" s="563"/>
      <c r="AB828" s="563"/>
      <c r="AC828" s="563"/>
      <c r="AD828" s="48"/>
      <c r="AE828" s="48"/>
      <c r="AF828" s="258"/>
      <c r="AG828" s="48"/>
      <c r="AH828" s="48"/>
      <c r="AI828" s="48"/>
      <c r="AJ828" s="48"/>
      <c r="AK828" s="48"/>
      <c r="AL828" s="51"/>
      <c r="AM828" s="212">
        <f>IF(AQ828=1,SUM(Q828:T828,W828:Z828,AC828:AF828,AI828:AL828),
IF(AQ828=2,SUM(P828,S828:V828,Y828:AB828,AE828:AH828,AK828:AL828),
IF(AQ828=3,SUM(P828:R828,U828:X828,AA828:AD828,AG828:AJ828),SUM(Таблица1[[#This Row],[1]:[31]])-Таблица1[[#This Row],[Столбец1]])))</f>
        <v>0</v>
      </c>
      <c r="AN828" s="778">
        <f t="array" ref="AN828">IF(AQ828=1,SUM(P828,U828:V828,AA828:AB828,AG828:AH828),
IF(AQ828=2,SUM(Q828:R828,W828:X828,AC828:AD828,AI828:AJ828),
IF(AQ828=3,SUM(S828:T828,Y828:Z828,AE828:AF828,AK828:AL828),
SUM(IFERROR(WEEKDAY($H$2:$AL$2,2)&gt;5,)*H828:AL828))))+Таблица1[[#This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28" s="292" t="b">
        <f>IF(AR828&lt;=3,(IF((G828="5/24"),((база!$M$6*Таблица1[[#This Row],[сумма]]*Таблица1[[#This Row],[коэф]])),
IF((G828="4/24"),((база!$M$5*Таблица1[[#This Row],[сумма]]*Таблица1[[#This Row],[коэф]])),
IF((G828="3/24"),((база!$M$4*Таблица1[[#This Row],[сумма]]*Таблица1[[#This Row],[коэф]])),
IF((G828="5/16"),((база!$L$6*Таблица1[[#This Row],[сумма]]*Таблица1[[#This Row],[коэф]])),
IF((G828="4/16"),((база!$L$5*Таблица1[[#This Row],[сумма]]*Таблица1[[#This Row],[коэф]])),
IF((G828="3/16"),((база!$L$4*Таблица1[[#This Row],[сумма]]*Таблица1[[#This Row],[коэф]])),
IF((G828="4/4"),((база!$I$5*Таблица1[[#This Row],[сумма]]*Таблица1[[#This Row],[коэф]])),
IF(OR(G828="2/4",G828="3/4"),((база!$I$4*Таблица1[[#This Row],[сумма]]*Таблица1[[#This Row],[коэф]])),
IF((G828="5/8"),((база!$J$6*Таблица1[[#This Row],[сумма]]*Таблица1[[#This Row],[коэф]])),
IF((G828="4/8"),((база!$J$5*Таблица1[[#This Row],[сумма]]*Таблица1[[#This Row],[коэф]])),
IF(OR(G828="3/8",G828="2/8"),((база!$J$4*Таблица1[[#This Row],[сумма]]*Таблица1[[#This Row],[коэф]])))))))))))))),
(IF((G828="5/24"),((база!$M$6*Таблица1[[#This Row],[сумма]]*Таблица1[[#This Row],[коэф]])),
IF(OR(G828="4/24",G828="3/24"),((база!$M$5*Таблица1[[#This Row],[сумма]]*Таблица1[[#This Row],[коэф]])),
IF((G828="5/16"),((база!$L$6*Таблица1[[#This Row],[сумма]]*Таблица1[[#This Row],[коэф]])),
IF(OR(G828="4/16",G828="3/16"),((база!$L$5*Таблица1[[#This Row],[сумма]]*Таблица1[[#This Row],[коэф]])),
IF(OR(G828="2/4",G828="3/4",G828="4/4"),((база!$I$5*Таблица1[[#This Row],[сумма]]*Таблица1[[#This Row],[коэф]])),
IF((G828="5/8"),((база!$J$6*Таблица1[[#This Row],[сумма]]*Таблица1[[#This Row],[коэф]])),
IF(OR(G828="4/8",G828="3/8",G828="2/8"),((база!$J$5*Таблица1[[#This Row],[сумма]]*Таблица1[[#This Row],[коэф]])))))))))))</f>
        <v>0</v>
      </c>
      <c r="AP828" s="730" t="b">
        <f>IF(AR828&lt;=3,(IF((G828="5/24"),((база!$M$6*2*Таблица1[[#This Row],[Столбец1]]*Таблица1[[#This Row],[коэф]])),
IF((G828="4/24"),((база!$M$5*2*Таблица1[[#This Row],[Столбец1]]*Таблица1[[#This Row],[коэф]])),
IF((G828="3/24"),((база!$M$4*2*Таблица1[[#This Row],[Столбец1]]*Таблица1[[#This Row],[коэф]])),
IF((G828="5/16"),((база!$L$6*2*Таблица1[[#This Row],[Столбец1]]*Таблица1[[#This Row],[коэф]])),
IF((G828="4/16"),((база!$L$5*2*Таблица1[[#This Row],[Столбец1]]*Таблица1[[#This Row],[коэф]])),
IF((G828="3/16"),((база!$L$4*2*Таблица1[[#This Row],[Столбец1]]*Таблица1[[#This Row],[коэф]])),
IF((G828="4/4"),((база!$I$5*2*Таблица1[[#This Row],[Столбец1]]*Таблица1[[#This Row],[коэф]])),
IF(OR(G828="2/4",G828="3/4"),((база!$I$4*2*Таблица1[[#This Row],[Столбец1]]*Таблица1[[#This Row],[коэф]])),
IF((G828="5/8"),((база!$J$6*2*Таблица1[[#This Row],[Столбец1]]*Таблица1[[#This Row],[коэф]])),
IF((G828="4/8"),((база!$J$5*2*Таблица1[[#This Row],[Столбец1]]*Таблица1[[#This Row],[коэф]])),
IF(OR(G828="3/8",G828="2/8"),((база!$J$4*2*Таблица1[[#This Row],[Столбец1]]*Таблица1[[#This Row],[коэф]])))))))))))))),
(IF((G828="5/24"),((база!$M$6*2*Таблица1[[#This Row],[Столбец1]]*Таблица1[[#This Row],[коэф]])),
IF(OR(G828="4/24",G828="3/24"),((база!$M$5*2*Таблица1[[#This Row],[Столбец1]]*Таблица1[[#This Row],[коэф]])),
IF((G828="5/16"),((база!$L$6*2*Таблица1[[#This Row],[Столбец1]]*Таблица1[[#This Row],[коэф]])),
IF(OR(G828="4/16",G828="3/16"),((база!$L$5*2*Таблица1[[#This Row],[Столбец1]]*Таблица1[[#This Row],[коэф]])),
IF(OR(G828="2/4",G828="3/4",G828="4/4"),((база!$I$5*2*Таблица1[[#This Row],[Столбец1]]*Таблица1[[#This Row],[коэф]])),
IF((G828="5/8"),((база!$J$6*2*Таблица1[[#This Row],[Столбец1]]*Таблица1[[#This Row],[коэф]])),
IF(OR(G828="4/8",G828="3/8",G828="2/8"),((база!$J$5*2*Таблица1[[#This Row],[Столбец1]]*Таблица1[[#This Row],[коэф]])))))))))))</f>
        <v>0</v>
      </c>
      <c r="AQ828" s="712" t="str">
        <f>IFERROR(INDEX(база!T:T, MATCH(F828,база!Q:Q,0)),"")</f>
        <v/>
      </c>
      <c r="AR828" s="208" t="str">
        <f>IFERROR(INDEX(база!D:D, MATCH(F828,база!B:B,0)),"")</f>
        <v/>
      </c>
      <c r="AS828" s="758" t="str">
        <f>IFERROR(INDEX(база!E:E, MATCH(F828,база!B:B,0)),"")</f>
        <v/>
      </c>
    </row>
    <row r="829" spans="1:45" ht="15">
      <c r="A829" s="66" t="str">
        <f t="shared" si="12"/>
        <v>январь</v>
      </c>
      <c r="B829" s="231">
        <v>2024</v>
      </c>
      <c r="C829" s="299"/>
      <c r="D829" s="61"/>
      <c r="E829" s="211"/>
      <c r="F829" s="680"/>
      <c r="G829" s="47"/>
      <c r="H829" s="563"/>
      <c r="I829" s="563"/>
      <c r="J829" s="563"/>
      <c r="K829" s="563"/>
      <c r="L829" s="563"/>
      <c r="M829" s="563"/>
      <c r="N829" s="563"/>
      <c r="O829" s="563"/>
      <c r="P829" s="300"/>
      <c r="Q829" s="563"/>
      <c r="R829" s="563"/>
      <c r="S829" s="563"/>
      <c r="T829" s="563"/>
      <c r="U829" s="563"/>
      <c r="V829" s="563"/>
      <c r="W829" s="563"/>
      <c r="X829" s="563"/>
      <c r="Y829" s="563"/>
      <c r="Z829" s="563"/>
      <c r="AA829" s="563"/>
      <c r="AB829" s="563"/>
      <c r="AC829" s="563"/>
      <c r="AD829" s="48"/>
      <c r="AE829" s="48"/>
      <c r="AF829" s="258"/>
      <c r="AG829" s="48"/>
      <c r="AH829" s="48"/>
      <c r="AI829" s="258"/>
      <c r="AJ829" s="258"/>
      <c r="AK829" s="258"/>
      <c r="AL829" s="258"/>
      <c r="AM829" s="212">
        <f>IF(AQ829=1,SUM(Q829:T829,W829:Z829,AC829:AF829,AI829:AL829),
IF(AQ829=2,SUM(P829,S829:V829,Y829:AB829,AE829:AH829,AK829:AL829),
IF(AQ829=3,SUM(P829:R829,U829:X829,AA829:AD829,AG829:AJ829),SUM(Таблица1[[#This Row],[1]:[31]])-Таблица1[[#This Row],[Столбец1]])))</f>
        <v>0</v>
      </c>
      <c r="AN829" s="778">
        <f t="array" ref="AN829">IF(AQ829=1,SUM(P829,U829:V829,AA829:AB829,AG829:AH829),
IF(AQ829=2,SUM(Q829:R829,W829:X829,AC829:AD829,AI829:AJ829),
IF(AQ829=3,SUM(S829:T829,Y829:Z829,AE829:AF829,AK829:AL829),
SUM(IFERROR(WEEKDAY($H$2:$AL$2,2)&gt;5,)*H829:AL829))))+Таблица1[[#This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29" s="292" t="b">
        <f>IF(AR829&lt;=3,(IF((G829="5/24"),((база!$M$6*Таблица1[[#This Row],[сумма]]*Таблица1[[#This Row],[коэф]])),
IF((G829="4/24"),((база!$M$5*Таблица1[[#This Row],[сумма]]*Таблица1[[#This Row],[коэф]])),
IF((G829="3/24"),((база!$M$4*Таблица1[[#This Row],[сумма]]*Таблица1[[#This Row],[коэф]])),
IF((G829="5/16"),((база!$L$6*Таблица1[[#This Row],[сумма]]*Таблица1[[#This Row],[коэф]])),
IF((G829="4/16"),((база!$L$5*Таблица1[[#This Row],[сумма]]*Таблица1[[#This Row],[коэф]])),
IF((G829="3/16"),((база!$L$4*Таблица1[[#This Row],[сумма]]*Таблица1[[#This Row],[коэф]])),
IF((G829="4/4"),((база!$I$5*Таблица1[[#This Row],[сумма]]*Таблица1[[#This Row],[коэф]])),
IF(OR(G829="2/4",G829="3/4"),((база!$I$4*Таблица1[[#This Row],[сумма]]*Таблица1[[#This Row],[коэф]])),
IF((G829="5/8"),((база!$J$6*Таблица1[[#This Row],[сумма]]*Таблица1[[#This Row],[коэф]])),
IF((G829="4/8"),((база!$J$5*Таблица1[[#This Row],[сумма]]*Таблица1[[#This Row],[коэф]])),
IF(OR(G829="3/8",G829="2/8"),((база!$J$4*Таблица1[[#This Row],[сумма]]*Таблица1[[#This Row],[коэф]])))))))))))))),
(IF((G829="5/24"),((база!$M$6*Таблица1[[#This Row],[сумма]]*Таблица1[[#This Row],[коэф]])),
IF(OR(G829="4/24",G829="3/24"),((база!$M$5*Таблица1[[#This Row],[сумма]]*Таблица1[[#This Row],[коэф]])),
IF((G829="5/16"),((база!$L$6*Таблица1[[#This Row],[сумма]]*Таблица1[[#This Row],[коэф]])),
IF(OR(G829="4/16",G829="3/16"),((база!$L$5*Таблица1[[#This Row],[сумма]]*Таблица1[[#This Row],[коэф]])),
IF(OR(G829="2/4",G829="3/4",G829="4/4"),((база!$I$5*Таблица1[[#This Row],[сумма]]*Таблица1[[#This Row],[коэф]])),
IF((G829="5/8"),((база!$J$6*Таблица1[[#This Row],[сумма]]*Таблица1[[#This Row],[коэф]])),
IF(OR(G829="4/8",G829="3/8",G829="2/8"),((база!$J$5*Таблица1[[#This Row],[сумма]]*Таблица1[[#This Row],[коэф]])))))))))))</f>
        <v>0</v>
      </c>
      <c r="AP829" s="730" t="b">
        <f>IF(AR829&lt;=3,(IF((G829="5/24"),((база!$M$6*2*Таблица1[[#This Row],[Столбец1]]*Таблица1[[#This Row],[коэф]])),
IF((G829="4/24"),((база!$M$5*2*Таблица1[[#This Row],[Столбец1]]*Таблица1[[#This Row],[коэф]])),
IF((G829="3/24"),((база!$M$4*2*Таблица1[[#This Row],[Столбец1]]*Таблица1[[#This Row],[коэф]])),
IF((G829="5/16"),((база!$L$6*2*Таблица1[[#This Row],[Столбец1]]*Таблица1[[#This Row],[коэф]])),
IF((G829="4/16"),((база!$L$5*2*Таблица1[[#This Row],[Столбец1]]*Таблица1[[#This Row],[коэф]])),
IF((G829="3/16"),((база!$L$4*2*Таблица1[[#This Row],[Столбец1]]*Таблица1[[#This Row],[коэф]])),
IF((G829="4/4"),((база!$I$5*2*Таблица1[[#This Row],[Столбец1]]*Таблица1[[#This Row],[коэф]])),
IF(OR(G829="2/4",G829="3/4"),((база!$I$4*2*Таблица1[[#This Row],[Столбец1]]*Таблица1[[#This Row],[коэф]])),
IF((G829="5/8"),((база!$J$6*2*Таблица1[[#This Row],[Столбец1]]*Таблица1[[#This Row],[коэф]])),
IF((G829="4/8"),((база!$J$5*2*Таблица1[[#This Row],[Столбец1]]*Таблица1[[#This Row],[коэф]])),
IF(OR(G829="3/8",G829="2/8"),((база!$J$4*2*Таблица1[[#This Row],[Столбец1]]*Таблица1[[#This Row],[коэф]])))))))))))))),
(IF((G829="5/24"),((база!$M$6*2*Таблица1[[#This Row],[Столбец1]]*Таблица1[[#This Row],[коэф]])),
IF(OR(G829="4/24",G829="3/24"),((база!$M$5*2*Таблица1[[#This Row],[Столбец1]]*Таблица1[[#This Row],[коэф]])),
IF((G829="5/16"),((база!$L$6*2*Таблица1[[#This Row],[Столбец1]]*Таблица1[[#This Row],[коэф]])),
IF(OR(G829="4/16",G829="3/16"),((база!$L$5*2*Таблица1[[#This Row],[Столбец1]]*Таблица1[[#This Row],[коэф]])),
IF(OR(G829="2/4",G829="3/4",G829="4/4"),((база!$I$5*2*Таблица1[[#This Row],[Столбец1]]*Таблица1[[#This Row],[коэф]])),
IF((G829="5/8"),((база!$J$6*2*Таблица1[[#This Row],[Столбец1]]*Таблица1[[#This Row],[коэф]])),
IF(OR(G829="4/8",G829="3/8",G829="2/8"),((база!$J$5*2*Таблица1[[#This Row],[Столбец1]]*Таблица1[[#This Row],[коэф]])))))))))))</f>
        <v>0</v>
      </c>
      <c r="AQ829" s="712" t="str">
        <f>IFERROR(INDEX(база!T:T, MATCH(F829,база!Q:Q,0)),"")</f>
        <v/>
      </c>
      <c r="AR829" s="208" t="str">
        <f>IFERROR(INDEX(база!D:D, MATCH(F829,база!B:B,0)),"")</f>
        <v/>
      </c>
      <c r="AS829" s="758" t="str">
        <f>IFERROR(INDEX(база!E:E, MATCH(F829,база!B:B,0)),"")</f>
        <v/>
      </c>
    </row>
    <row r="830" spans="1:45" ht="15">
      <c r="A830" s="66" t="str">
        <f t="shared" si="12"/>
        <v>январь</v>
      </c>
      <c r="B830" s="231">
        <v>2024</v>
      </c>
      <c r="C830" s="299"/>
      <c r="D830" s="61"/>
      <c r="E830" s="211"/>
      <c r="F830" s="680"/>
      <c r="G830" s="47"/>
      <c r="H830" s="563"/>
      <c r="I830" s="563"/>
      <c r="J830" s="563"/>
      <c r="K830" s="563"/>
      <c r="L830" s="563"/>
      <c r="M830" s="563"/>
      <c r="N830" s="563"/>
      <c r="O830" s="563"/>
      <c r="P830" s="300"/>
      <c r="Q830" s="563"/>
      <c r="R830" s="563"/>
      <c r="S830" s="563"/>
      <c r="T830" s="563"/>
      <c r="U830" s="563"/>
      <c r="V830" s="563"/>
      <c r="W830" s="563"/>
      <c r="X830" s="563"/>
      <c r="Y830" s="563"/>
      <c r="Z830" s="563"/>
      <c r="AA830" s="563"/>
      <c r="AB830" s="563"/>
      <c r="AC830" s="563"/>
      <c r="AD830" s="48"/>
      <c r="AE830" s="48"/>
      <c r="AF830" s="258"/>
      <c r="AG830" s="48"/>
      <c r="AH830" s="48"/>
      <c r="AI830" s="48"/>
      <c r="AJ830" s="48"/>
      <c r="AK830" s="48"/>
      <c r="AL830" s="51"/>
      <c r="AM830" s="212">
        <f>IF(AQ830=1,SUM(Q830:T830,W830:Z830,AC830:AF830,AI830:AL830),
IF(AQ830=2,SUM(P830,S830:V830,Y830:AB830,AE830:AH830,AK830:AL830),
IF(AQ830=3,SUM(P830:R830,U830:X830,AA830:AD830,AG830:AJ830),SUM(Таблица1[[#This Row],[1]:[31]])-Таблица1[[#This Row],[Столбец1]])))</f>
        <v>0</v>
      </c>
      <c r="AN830" s="778">
        <f t="array" ref="AN830">IF(AQ830=1,SUM(P830,U830:V830,AA830:AB830,AG830:AH830),
IF(AQ830=2,SUM(Q830:R830,W830:X830,AC830:AD830,AI830:AJ830),
IF(AQ830=3,SUM(S830:T830,Y830:Z830,AE830:AF830,AK830:AL830),
SUM(IFERROR(WEEKDAY($H$2:$AL$2,2)&gt;5,)*H830:AL830))))+Таблица1[[#This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30" s="292" t="b">
        <f>IF(AR830&lt;=3,(IF((G830="5/24"),((база!$M$6*Таблица1[[#This Row],[сумма]]*Таблица1[[#This Row],[коэф]])),
IF((G830="4/24"),((база!$M$5*Таблица1[[#This Row],[сумма]]*Таблица1[[#This Row],[коэф]])),
IF((G830="3/24"),((база!$M$4*Таблица1[[#This Row],[сумма]]*Таблица1[[#This Row],[коэф]])),
IF((G830="5/16"),((база!$L$6*Таблица1[[#This Row],[сумма]]*Таблица1[[#This Row],[коэф]])),
IF((G830="4/16"),((база!$L$5*Таблица1[[#This Row],[сумма]]*Таблица1[[#This Row],[коэф]])),
IF((G830="3/16"),((база!$L$4*Таблица1[[#This Row],[сумма]]*Таблица1[[#This Row],[коэф]])),
IF((G830="4/4"),((база!$I$5*Таблица1[[#This Row],[сумма]]*Таблица1[[#This Row],[коэф]])),
IF(OR(G830="2/4",G830="3/4"),((база!$I$4*Таблица1[[#This Row],[сумма]]*Таблица1[[#This Row],[коэф]])),
IF((G830="5/8"),((база!$J$6*Таблица1[[#This Row],[сумма]]*Таблица1[[#This Row],[коэф]])),
IF((G830="4/8"),((база!$J$5*Таблица1[[#This Row],[сумма]]*Таблица1[[#This Row],[коэф]])),
IF(OR(G830="3/8",G830="2/8"),((база!$J$4*Таблица1[[#This Row],[сумма]]*Таблица1[[#This Row],[коэф]])))))))))))))),
(IF((G830="5/24"),((база!$M$6*Таблица1[[#This Row],[сумма]]*Таблица1[[#This Row],[коэф]])),
IF(OR(G830="4/24",G830="3/24"),((база!$M$5*Таблица1[[#This Row],[сумма]]*Таблица1[[#This Row],[коэф]])),
IF((G830="5/16"),((база!$L$6*Таблица1[[#This Row],[сумма]]*Таблица1[[#This Row],[коэф]])),
IF(OR(G830="4/16",G830="3/16"),((база!$L$5*Таблица1[[#This Row],[сумма]]*Таблица1[[#This Row],[коэф]])),
IF(OR(G830="2/4",G830="3/4",G830="4/4"),((база!$I$5*Таблица1[[#This Row],[сумма]]*Таблица1[[#This Row],[коэф]])),
IF((G830="5/8"),((база!$J$6*Таблица1[[#This Row],[сумма]]*Таблица1[[#This Row],[коэф]])),
IF(OR(G830="4/8",G830="3/8",G830="2/8"),((база!$J$5*Таблица1[[#This Row],[сумма]]*Таблица1[[#This Row],[коэф]])))))))))))</f>
        <v>0</v>
      </c>
      <c r="AP830" s="730" t="b">
        <f>IF(AR830&lt;=3,(IF((G830="5/24"),((база!$M$6*2*Таблица1[[#This Row],[Столбец1]]*Таблица1[[#This Row],[коэф]])),
IF((G830="4/24"),((база!$M$5*2*Таблица1[[#This Row],[Столбец1]]*Таблица1[[#This Row],[коэф]])),
IF((G830="3/24"),((база!$M$4*2*Таблица1[[#This Row],[Столбец1]]*Таблица1[[#This Row],[коэф]])),
IF((G830="5/16"),((база!$L$6*2*Таблица1[[#This Row],[Столбец1]]*Таблица1[[#This Row],[коэф]])),
IF((G830="4/16"),((база!$L$5*2*Таблица1[[#This Row],[Столбец1]]*Таблица1[[#This Row],[коэф]])),
IF((G830="3/16"),((база!$L$4*2*Таблица1[[#This Row],[Столбец1]]*Таблица1[[#This Row],[коэф]])),
IF((G830="4/4"),((база!$I$5*2*Таблица1[[#This Row],[Столбец1]]*Таблица1[[#This Row],[коэф]])),
IF(OR(G830="2/4",G830="3/4"),((база!$I$4*2*Таблица1[[#This Row],[Столбец1]]*Таблица1[[#This Row],[коэф]])),
IF((G830="5/8"),((база!$J$6*2*Таблица1[[#This Row],[Столбец1]]*Таблица1[[#This Row],[коэф]])),
IF((G830="4/8"),((база!$J$5*2*Таблица1[[#This Row],[Столбец1]]*Таблица1[[#This Row],[коэф]])),
IF(OR(G830="3/8",G830="2/8"),((база!$J$4*2*Таблица1[[#This Row],[Столбец1]]*Таблица1[[#This Row],[коэф]])))))))))))))),
(IF((G830="5/24"),((база!$M$6*2*Таблица1[[#This Row],[Столбец1]]*Таблица1[[#This Row],[коэф]])),
IF(OR(G830="4/24",G830="3/24"),((база!$M$5*2*Таблица1[[#This Row],[Столбец1]]*Таблица1[[#This Row],[коэф]])),
IF((G830="5/16"),((база!$L$6*2*Таблица1[[#This Row],[Столбец1]]*Таблица1[[#This Row],[коэф]])),
IF(OR(G830="4/16",G830="3/16"),((база!$L$5*2*Таблица1[[#This Row],[Столбец1]]*Таблица1[[#This Row],[коэф]])),
IF(OR(G830="2/4",G830="3/4",G830="4/4"),((база!$I$5*2*Таблица1[[#This Row],[Столбец1]]*Таблица1[[#This Row],[коэф]])),
IF((G830="5/8"),((база!$J$6*2*Таблица1[[#This Row],[Столбец1]]*Таблица1[[#This Row],[коэф]])),
IF(OR(G830="4/8",G830="3/8",G830="2/8"),((база!$J$5*2*Таблица1[[#This Row],[Столбец1]]*Таблица1[[#This Row],[коэф]])))))))))))</f>
        <v>0</v>
      </c>
      <c r="AQ830" s="712" t="str">
        <f>IFERROR(INDEX(база!T:T, MATCH(F830,база!Q:Q,0)),"")</f>
        <v/>
      </c>
      <c r="AR830" s="208" t="str">
        <f>IFERROR(INDEX(база!D:D, MATCH(F830,база!B:B,0)),"")</f>
        <v/>
      </c>
      <c r="AS830" s="758" t="str">
        <f>IFERROR(INDEX(база!E:E, MATCH(F830,база!B:B,0)),"")</f>
        <v/>
      </c>
    </row>
    <row r="831" spans="1:45" ht="15">
      <c r="A831" s="66" t="str">
        <f t="shared" si="12"/>
        <v>январь</v>
      </c>
      <c r="B831" s="231">
        <v>2024</v>
      </c>
      <c r="C831" s="299"/>
      <c r="D831" s="61"/>
      <c r="E831" s="211"/>
      <c r="F831" s="680"/>
      <c r="G831" s="47"/>
      <c r="H831" s="563"/>
      <c r="I831" s="563"/>
      <c r="J831" s="563"/>
      <c r="K831" s="563"/>
      <c r="L831" s="563"/>
      <c r="M831" s="563"/>
      <c r="N831" s="563"/>
      <c r="O831" s="563"/>
      <c r="P831" s="300"/>
      <c r="Q831" s="563"/>
      <c r="R831" s="563"/>
      <c r="S831" s="563"/>
      <c r="T831" s="563"/>
      <c r="U831" s="563"/>
      <c r="V831" s="563"/>
      <c r="W831" s="563"/>
      <c r="X831" s="563"/>
      <c r="Y831" s="563"/>
      <c r="Z831" s="563"/>
      <c r="AA831" s="563"/>
      <c r="AB831" s="563"/>
      <c r="AC831" s="563"/>
      <c r="AD831" s="48"/>
      <c r="AE831" s="48"/>
      <c r="AF831" s="258"/>
      <c r="AG831" s="48"/>
      <c r="AH831" s="48"/>
      <c r="AI831" s="258"/>
      <c r="AJ831" s="258"/>
      <c r="AK831" s="258"/>
      <c r="AL831" s="258"/>
      <c r="AM831" s="212">
        <f>IF(AQ831=1,SUM(Q831:T831,W831:Z831,AC831:AF831,AI831:AL831),
IF(AQ831=2,SUM(P831,S831:V831,Y831:AB831,AE831:AH831,AK831:AL831),
IF(AQ831=3,SUM(P831:R831,U831:X831,AA831:AD831,AG831:AJ831),SUM(Таблица1[[#This Row],[1]:[31]])-Таблица1[[#This Row],[Столбец1]])))</f>
        <v>0</v>
      </c>
      <c r="AN831" s="778">
        <f t="array" ref="AN831">IF(AQ831=1,SUM(P831,U831:V831,AA831:AB831,AG831:AH831),
IF(AQ831=2,SUM(Q831:R831,W831:X831,AC831:AD831,AI831:AJ831),
IF(AQ831=3,SUM(S831:T831,Y831:Z831,AE831:AF831,AK831:AL831),
SUM(IFERROR(WEEKDAY($H$2:$AL$2,2)&gt;5,)*H831:AL831))))+Таблица1[[#This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31" s="292" t="b">
        <f>IF(AR831&lt;=3,(IF((G831="5/24"),((база!$M$6*Таблица1[[#This Row],[сумма]]*Таблица1[[#This Row],[коэф]])),
IF((G831="4/24"),((база!$M$5*Таблица1[[#This Row],[сумма]]*Таблица1[[#This Row],[коэф]])),
IF((G831="3/24"),((база!$M$4*Таблица1[[#This Row],[сумма]]*Таблица1[[#This Row],[коэф]])),
IF((G831="5/16"),((база!$L$6*Таблица1[[#This Row],[сумма]]*Таблица1[[#This Row],[коэф]])),
IF((G831="4/16"),((база!$L$5*Таблица1[[#This Row],[сумма]]*Таблица1[[#This Row],[коэф]])),
IF((G831="3/16"),((база!$L$4*Таблица1[[#This Row],[сумма]]*Таблица1[[#This Row],[коэф]])),
IF((G831="4/4"),((база!$I$5*Таблица1[[#This Row],[сумма]]*Таблица1[[#This Row],[коэф]])),
IF(OR(G831="2/4",G831="3/4"),((база!$I$4*Таблица1[[#This Row],[сумма]]*Таблица1[[#This Row],[коэф]])),
IF((G831="5/8"),((база!$J$6*Таблица1[[#This Row],[сумма]]*Таблица1[[#This Row],[коэф]])),
IF((G831="4/8"),((база!$J$5*Таблица1[[#This Row],[сумма]]*Таблица1[[#This Row],[коэф]])),
IF(OR(G831="3/8",G831="2/8"),((база!$J$4*Таблица1[[#This Row],[сумма]]*Таблица1[[#This Row],[коэф]])))))))))))))),
(IF((G831="5/24"),((база!$M$6*Таблица1[[#This Row],[сумма]]*Таблица1[[#This Row],[коэф]])),
IF(OR(G831="4/24",G831="3/24"),((база!$M$5*Таблица1[[#This Row],[сумма]]*Таблица1[[#This Row],[коэф]])),
IF((G831="5/16"),((база!$L$6*Таблица1[[#This Row],[сумма]]*Таблица1[[#This Row],[коэф]])),
IF(OR(G831="4/16",G831="3/16"),((база!$L$5*Таблица1[[#This Row],[сумма]]*Таблица1[[#This Row],[коэф]])),
IF(OR(G831="2/4",G831="3/4",G831="4/4"),((база!$I$5*Таблица1[[#This Row],[сумма]]*Таблица1[[#This Row],[коэф]])),
IF((G831="5/8"),((база!$J$6*Таблица1[[#This Row],[сумма]]*Таблица1[[#This Row],[коэф]])),
IF(OR(G831="4/8",G831="3/8",G831="2/8"),((база!$J$5*Таблица1[[#This Row],[сумма]]*Таблица1[[#This Row],[коэф]])))))))))))</f>
        <v>0</v>
      </c>
      <c r="AP831" s="730" t="b">
        <f>IF(AR831&lt;=3,(IF((G831="5/24"),((база!$M$6*2*Таблица1[[#This Row],[Столбец1]]*Таблица1[[#This Row],[коэф]])),
IF((G831="4/24"),((база!$M$5*2*Таблица1[[#This Row],[Столбец1]]*Таблица1[[#This Row],[коэф]])),
IF((G831="3/24"),((база!$M$4*2*Таблица1[[#This Row],[Столбец1]]*Таблица1[[#This Row],[коэф]])),
IF((G831="5/16"),((база!$L$6*2*Таблица1[[#This Row],[Столбец1]]*Таблица1[[#This Row],[коэф]])),
IF((G831="4/16"),((база!$L$5*2*Таблица1[[#This Row],[Столбец1]]*Таблица1[[#This Row],[коэф]])),
IF((G831="3/16"),((база!$L$4*2*Таблица1[[#This Row],[Столбец1]]*Таблица1[[#This Row],[коэф]])),
IF((G831="4/4"),((база!$I$5*2*Таблица1[[#This Row],[Столбец1]]*Таблица1[[#This Row],[коэф]])),
IF(OR(G831="2/4",G831="3/4"),((база!$I$4*2*Таблица1[[#This Row],[Столбец1]]*Таблица1[[#This Row],[коэф]])),
IF((G831="5/8"),((база!$J$6*2*Таблица1[[#This Row],[Столбец1]]*Таблица1[[#This Row],[коэф]])),
IF((G831="4/8"),((база!$J$5*2*Таблица1[[#This Row],[Столбец1]]*Таблица1[[#This Row],[коэф]])),
IF(OR(G831="3/8",G831="2/8"),((база!$J$4*2*Таблица1[[#This Row],[Столбец1]]*Таблица1[[#This Row],[коэф]])))))))))))))),
(IF((G831="5/24"),((база!$M$6*2*Таблица1[[#This Row],[Столбец1]]*Таблица1[[#This Row],[коэф]])),
IF(OR(G831="4/24",G831="3/24"),((база!$M$5*2*Таблица1[[#This Row],[Столбец1]]*Таблица1[[#This Row],[коэф]])),
IF((G831="5/16"),((база!$L$6*2*Таблица1[[#This Row],[Столбец1]]*Таблица1[[#This Row],[коэф]])),
IF(OR(G831="4/16",G831="3/16"),((база!$L$5*2*Таблица1[[#This Row],[Столбец1]]*Таблица1[[#This Row],[коэф]])),
IF(OR(G831="2/4",G831="3/4",G831="4/4"),((база!$I$5*2*Таблица1[[#This Row],[Столбец1]]*Таблица1[[#This Row],[коэф]])),
IF((G831="5/8"),((база!$J$6*2*Таблица1[[#This Row],[Столбец1]]*Таблица1[[#This Row],[коэф]])),
IF(OR(G831="4/8",G831="3/8",G831="2/8"),((база!$J$5*2*Таблица1[[#This Row],[Столбец1]]*Таблица1[[#This Row],[коэф]])))))))))))</f>
        <v>0</v>
      </c>
      <c r="AQ831" s="712" t="str">
        <f>IFERROR(INDEX(база!T:T, MATCH(F831,база!Q:Q,0)),"")</f>
        <v/>
      </c>
      <c r="AR831" s="208" t="str">
        <f>IFERROR(INDEX(база!D:D, MATCH(F831,база!B:B,0)),"")</f>
        <v/>
      </c>
      <c r="AS831" s="758" t="str">
        <f>IFERROR(INDEX(база!E:E, MATCH(F831,база!B:B,0)),"")</f>
        <v/>
      </c>
    </row>
    <row r="832" spans="1:45" ht="15">
      <c r="A832" s="66" t="str">
        <f t="shared" si="12"/>
        <v>январь</v>
      </c>
      <c r="B832" s="231">
        <v>2024</v>
      </c>
      <c r="C832" s="299"/>
      <c r="D832" s="61"/>
      <c r="E832" s="211"/>
      <c r="F832" s="680"/>
      <c r="G832" s="47"/>
      <c r="H832" s="563"/>
      <c r="I832" s="563"/>
      <c r="J832" s="563"/>
      <c r="K832" s="563"/>
      <c r="L832" s="563"/>
      <c r="M832" s="563"/>
      <c r="N832" s="563"/>
      <c r="O832" s="563"/>
      <c r="P832" s="300"/>
      <c r="Q832" s="563"/>
      <c r="R832" s="563"/>
      <c r="S832" s="563"/>
      <c r="T832" s="563"/>
      <c r="U832" s="563"/>
      <c r="V832" s="563"/>
      <c r="W832" s="563"/>
      <c r="X832" s="563"/>
      <c r="Y832" s="563"/>
      <c r="Z832" s="563"/>
      <c r="AA832" s="563"/>
      <c r="AB832" s="563"/>
      <c r="AC832" s="563"/>
      <c r="AD832" s="48"/>
      <c r="AE832" s="48"/>
      <c r="AF832" s="258"/>
      <c r="AG832" s="48"/>
      <c r="AH832" s="48"/>
      <c r="AI832" s="48"/>
      <c r="AJ832" s="48"/>
      <c r="AK832" s="48"/>
      <c r="AL832" s="51"/>
      <c r="AM832" s="212">
        <f>IF(AQ832=1,SUM(Q832:T832,W832:Z832,AC832:AF832,AI832:AL832),
IF(AQ832=2,SUM(P832,S832:V832,Y832:AB832,AE832:AH832,AK832:AL832),
IF(AQ832=3,SUM(P832:R832,U832:X832,AA832:AD832,AG832:AJ832),SUM(Таблица1[[#This Row],[1]:[31]])-Таблица1[[#This Row],[Столбец1]])))</f>
        <v>0</v>
      </c>
      <c r="AN832" s="778">
        <f t="array" ref="AN832">IF(AQ832=1,SUM(P832,U832:V832,AA832:AB832,AG832:AH832),
IF(AQ832=2,SUM(Q832:R832,W832:X832,AC832:AD832,AI832:AJ832),
IF(AQ832=3,SUM(S832:T832,Y832:Z832,AE832:AF832,AK832:AL832),
SUM(IFERROR(WEEKDAY($H$2:$AL$2,2)&gt;5,)*H832:AL832))))+Таблица1[[#This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32" s="292" t="b">
        <f>IF(AR832&lt;=3,(IF((G832="5/24"),((база!$M$6*Таблица1[[#This Row],[сумма]]*Таблица1[[#This Row],[коэф]])),
IF((G832="4/24"),((база!$M$5*Таблица1[[#This Row],[сумма]]*Таблица1[[#This Row],[коэф]])),
IF((G832="3/24"),((база!$M$4*Таблица1[[#This Row],[сумма]]*Таблица1[[#This Row],[коэф]])),
IF((G832="5/16"),((база!$L$6*Таблица1[[#This Row],[сумма]]*Таблица1[[#This Row],[коэф]])),
IF((G832="4/16"),((база!$L$5*Таблица1[[#This Row],[сумма]]*Таблица1[[#This Row],[коэф]])),
IF((G832="3/16"),((база!$L$4*Таблица1[[#This Row],[сумма]]*Таблица1[[#This Row],[коэф]])),
IF((G832="4/4"),((база!$I$5*Таблица1[[#This Row],[сумма]]*Таблица1[[#This Row],[коэф]])),
IF(OR(G832="2/4",G832="3/4"),((база!$I$4*Таблица1[[#This Row],[сумма]]*Таблица1[[#This Row],[коэф]])),
IF((G832="5/8"),((база!$J$6*Таблица1[[#This Row],[сумма]]*Таблица1[[#This Row],[коэф]])),
IF((G832="4/8"),((база!$J$5*Таблица1[[#This Row],[сумма]]*Таблица1[[#This Row],[коэф]])),
IF(OR(G832="3/8",G832="2/8"),((база!$J$4*Таблица1[[#This Row],[сумма]]*Таблица1[[#This Row],[коэф]])))))))))))))),
(IF((G832="5/24"),((база!$M$6*Таблица1[[#This Row],[сумма]]*Таблица1[[#This Row],[коэф]])),
IF(OR(G832="4/24",G832="3/24"),((база!$M$5*Таблица1[[#This Row],[сумма]]*Таблица1[[#This Row],[коэф]])),
IF((G832="5/16"),((база!$L$6*Таблица1[[#This Row],[сумма]]*Таблица1[[#This Row],[коэф]])),
IF(OR(G832="4/16",G832="3/16"),((база!$L$5*Таблица1[[#This Row],[сумма]]*Таблица1[[#This Row],[коэф]])),
IF(OR(G832="2/4",G832="3/4",G832="4/4"),((база!$I$5*Таблица1[[#This Row],[сумма]]*Таблица1[[#This Row],[коэф]])),
IF((G832="5/8"),((база!$J$6*Таблица1[[#This Row],[сумма]]*Таблица1[[#This Row],[коэф]])),
IF(OR(G832="4/8",G832="3/8",G832="2/8"),((база!$J$5*Таблица1[[#This Row],[сумма]]*Таблица1[[#This Row],[коэф]])))))))))))</f>
        <v>0</v>
      </c>
      <c r="AP832" s="730" t="b">
        <f>IF(AR832&lt;=3,(IF((G832="5/24"),((база!$M$6*2*Таблица1[[#This Row],[Столбец1]]*Таблица1[[#This Row],[коэф]])),
IF((G832="4/24"),((база!$M$5*2*Таблица1[[#This Row],[Столбец1]]*Таблица1[[#This Row],[коэф]])),
IF((G832="3/24"),((база!$M$4*2*Таблица1[[#This Row],[Столбец1]]*Таблица1[[#This Row],[коэф]])),
IF((G832="5/16"),((база!$L$6*2*Таблица1[[#This Row],[Столбец1]]*Таблица1[[#This Row],[коэф]])),
IF((G832="4/16"),((база!$L$5*2*Таблица1[[#This Row],[Столбец1]]*Таблица1[[#This Row],[коэф]])),
IF((G832="3/16"),((база!$L$4*2*Таблица1[[#This Row],[Столбец1]]*Таблица1[[#This Row],[коэф]])),
IF((G832="4/4"),((база!$I$5*2*Таблица1[[#This Row],[Столбец1]]*Таблица1[[#This Row],[коэф]])),
IF(OR(G832="2/4",G832="3/4"),((база!$I$4*2*Таблица1[[#This Row],[Столбец1]]*Таблица1[[#This Row],[коэф]])),
IF((G832="5/8"),((база!$J$6*2*Таблица1[[#This Row],[Столбец1]]*Таблица1[[#This Row],[коэф]])),
IF((G832="4/8"),((база!$J$5*2*Таблица1[[#This Row],[Столбец1]]*Таблица1[[#This Row],[коэф]])),
IF(OR(G832="3/8",G832="2/8"),((база!$J$4*2*Таблица1[[#This Row],[Столбец1]]*Таблица1[[#This Row],[коэф]])))))))))))))),
(IF((G832="5/24"),((база!$M$6*2*Таблица1[[#This Row],[Столбец1]]*Таблица1[[#This Row],[коэф]])),
IF(OR(G832="4/24",G832="3/24"),((база!$M$5*2*Таблица1[[#This Row],[Столбец1]]*Таблица1[[#This Row],[коэф]])),
IF((G832="5/16"),((база!$L$6*2*Таблица1[[#This Row],[Столбец1]]*Таблица1[[#This Row],[коэф]])),
IF(OR(G832="4/16",G832="3/16"),((база!$L$5*2*Таблица1[[#This Row],[Столбец1]]*Таблица1[[#This Row],[коэф]])),
IF(OR(G832="2/4",G832="3/4",G832="4/4"),((база!$I$5*2*Таблица1[[#This Row],[Столбец1]]*Таблица1[[#This Row],[коэф]])),
IF((G832="5/8"),((база!$J$6*2*Таблица1[[#This Row],[Столбец1]]*Таблица1[[#This Row],[коэф]])),
IF(OR(G832="4/8",G832="3/8",G832="2/8"),((база!$J$5*2*Таблица1[[#This Row],[Столбец1]]*Таблица1[[#This Row],[коэф]])))))))))))</f>
        <v>0</v>
      </c>
      <c r="AQ832" s="712" t="str">
        <f>IFERROR(INDEX(база!T:T, MATCH(F832,база!Q:Q,0)),"")</f>
        <v/>
      </c>
      <c r="AR832" s="208" t="str">
        <f>IFERROR(INDEX(база!D:D, MATCH(F832,база!B:B,0)),"")</f>
        <v/>
      </c>
      <c r="AS832" s="758" t="str">
        <f>IFERROR(INDEX(база!E:E, MATCH(F832,база!B:B,0)),"")</f>
        <v/>
      </c>
    </row>
    <row r="833" spans="1:45" ht="15">
      <c r="A833" s="66" t="str">
        <f t="shared" si="12"/>
        <v>январь</v>
      </c>
      <c r="B833" s="231">
        <v>2024</v>
      </c>
      <c r="C833" s="299"/>
      <c r="D833" s="61"/>
      <c r="E833" s="211"/>
      <c r="F833" s="680"/>
      <c r="G833" s="47"/>
      <c r="H833" s="563"/>
      <c r="I833" s="563"/>
      <c r="J833" s="563"/>
      <c r="K833" s="563"/>
      <c r="L833" s="563"/>
      <c r="M833" s="563"/>
      <c r="N833" s="563"/>
      <c r="O833" s="563"/>
      <c r="P833" s="300"/>
      <c r="Q833" s="563"/>
      <c r="R833" s="563"/>
      <c r="S833" s="563"/>
      <c r="T833" s="563"/>
      <c r="U833" s="563"/>
      <c r="V833" s="563"/>
      <c r="W833" s="563"/>
      <c r="X833" s="563"/>
      <c r="Y833" s="563"/>
      <c r="Z833" s="563"/>
      <c r="AA833" s="563"/>
      <c r="AB833" s="563"/>
      <c r="AC833" s="563"/>
      <c r="AD833" s="48"/>
      <c r="AE833" s="48"/>
      <c r="AF833" s="258"/>
      <c r="AG833" s="48"/>
      <c r="AH833" s="48"/>
      <c r="AI833" s="258"/>
      <c r="AJ833" s="258"/>
      <c r="AK833" s="258"/>
      <c r="AL833" s="258"/>
      <c r="AM833" s="212">
        <f>IF(AQ833=1,SUM(Q833:T833,W833:Z833,AC833:AF833,AI833:AL833),
IF(AQ833=2,SUM(P833,S833:V833,Y833:AB833,AE833:AH833,AK833:AL833),
IF(AQ833=3,SUM(P833:R833,U833:X833,AA833:AD833,AG833:AJ833),SUM(Таблица1[[#This Row],[1]:[31]])-Таблица1[[#This Row],[Столбец1]])))</f>
        <v>0</v>
      </c>
      <c r="AN833" s="778">
        <f t="array" ref="AN833">IF(AQ833=1,SUM(P833,U833:V833,AA833:AB833,AG833:AH833),
IF(AQ833=2,SUM(Q833:R833,W833:X833,AC833:AD833,AI833:AJ833),
IF(AQ833=3,SUM(S833:T833,Y833:Z833,AE833:AF833,AK833:AL833),
SUM(IFERROR(WEEKDAY($H$2:$AL$2,2)&gt;5,)*H833:AL833))))+Таблица1[[#This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33" s="292" t="b">
        <f>IF(AR833&lt;=3,(IF((G833="5/24"),((база!$M$6*Таблица1[[#This Row],[сумма]]*Таблица1[[#This Row],[коэф]])),
IF((G833="4/24"),((база!$M$5*Таблица1[[#This Row],[сумма]]*Таблица1[[#This Row],[коэф]])),
IF((G833="3/24"),((база!$M$4*Таблица1[[#This Row],[сумма]]*Таблица1[[#This Row],[коэф]])),
IF((G833="5/16"),((база!$L$6*Таблица1[[#This Row],[сумма]]*Таблица1[[#This Row],[коэф]])),
IF((G833="4/16"),((база!$L$5*Таблица1[[#This Row],[сумма]]*Таблица1[[#This Row],[коэф]])),
IF((G833="3/16"),((база!$L$4*Таблица1[[#This Row],[сумма]]*Таблица1[[#This Row],[коэф]])),
IF((G833="4/4"),((база!$I$5*Таблица1[[#This Row],[сумма]]*Таблица1[[#This Row],[коэф]])),
IF(OR(G833="2/4",G833="3/4"),((база!$I$4*Таблица1[[#This Row],[сумма]]*Таблица1[[#This Row],[коэф]])),
IF((G833="5/8"),((база!$J$6*Таблица1[[#This Row],[сумма]]*Таблица1[[#This Row],[коэф]])),
IF((G833="4/8"),((база!$J$5*Таблица1[[#This Row],[сумма]]*Таблица1[[#This Row],[коэф]])),
IF(OR(G833="3/8",G833="2/8"),((база!$J$4*Таблица1[[#This Row],[сумма]]*Таблица1[[#This Row],[коэф]])))))))))))))),
(IF((G833="5/24"),((база!$M$6*Таблица1[[#This Row],[сумма]]*Таблица1[[#This Row],[коэф]])),
IF(OR(G833="4/24",G833="3/24"),((база!$M$5*Таблица1[[#This Row],[сумма]]*Таблица1[[#This Row],[коэф]])),
IF((G833="5/16"),((база!$L$6*Таблица1[[#This Row],[сумма]]*Таблица1[[#This Row],[коэф]])),
IF(OR(G833="4/16",G833="3/16"),((база!$L$5*Таблица1[[#This Row],[сумма]]*Таблица1[[#This Row],[коэф]])),
IF(OR(G833="2/4",G833="3/4",G833="4/4"),((база!$I$5*Таблица1[[#This Row],[сумма]]*Таблица1[[#This Row],[коэф]])),
IF((G833="5/8"),((база!$J$6*Таблица1[[#This Row],[сумма]]*Таблица1[[#This Row],[коэф]])),
IF(OR(G833="4/8",G833="3/8",G833="2/8"),((база!$J$5*Таблица1[[#This Row],[сумма]]*Таблица1[[#This Row],[коэф]])))))))))))</f>
        <v>0</v>
      </c>
      <c r="AP833" s="730" t="b">
        <f>IF(AR833&lt;=3,(IF((G833="5/24"),((база!$M$6*2*Таблица1[[#This Row],[Столбец1]]*Таблица1[[#This Row],[коэф]])),
IF((G833="4/24"),((база!$M$5*2*Таблица1[[#This Row],[Столбец1]]*Таблица1[[#This Row],[коэф]])),
IF((G833="3/24"),((база!$M$4*2*Таблица1[[#This Row],[Столбец1]]*Таблица1[[#This Row],[коэф]])),
IF((G833="5/16"),((база!$L$6*2*Таблица1[[#This Row],[Столбец1]]*Таблица1[[#This Row],[коэф]])),
IF((G833="4/16"),((база!$L$5*2*Таблица1[[#This Row],[Столбец1]]*Таблица1[[#This Row],[коэф]])),
IF((G833="3/16"),((база!$L$4*2*Таблица1[[#This Row],[Столбец1]]*Таблица1[[#This Row],[коэф]])),
IF((G833="4/4"),((база!$I$5*2*Таблица1[[#This Row],[Столбец1]]*Таблица1[[#This Row],[коэф]])),
IF(OR(G833="2/4",G833="3/4"),((база!$I$4*2*Таблица1[[#This Row],[Столбец1]]*Таблица1[[#This Row],[коэф]])),
IF((G833="5/8"),((база!$J$6*2*Таблица1[[#This Row],[Столбец1]]*Таблица1[[#This Row],[коэф]])),
IF((G833="4/8"),((база!$J$5*2*Таблица1[[#This Row],[Столбец1]]*Таблица1[[#This Row],[коэф]])),
IF(OR(G833="3/8",G833="2/8"),((база!$J$4*2*Таблица1[[#This Row],[Столбец1]]*Таблица1[[#This Row],[коэф]])))))))))))))),
(IF((G833="5/24"),((база!$M$6*2*Таблица1[[#This Row],[Столбец1]]*Таблица1[[#This Row],[коэф]])),
IF(OR(G833="4/24",G833="3/24"),((база!$M$5*2*Таблица1[[#This Row],[Столбец1]]*Таблица1[[#This Row],[коэф]])),
IF((G833="5/16"),((база!$L$6*2*Таблица1[[#This Row],[Столбец1]]*Таблица1[[#This Row],[коэф]])),
IF(OR(G833="4/16",G833="3/16"),((база!$L$5*2*Таблица1[[#This Row],[Столбец1]]*Таблица1[[#This Row],[коэф]])),
IF(OR(G833="2/4",G833="3/4",G833="4/4"),((база!$I$5*2*Таблица1[[#This Row],[Столбец1]]*Таблица1[[#This Row],[коэф]])),
IF((G833="5/8"),((база!$J$6*2*Таблица1[[#This Row],[Столбец1]]*Таблица1[[#This Row],[коэф]])),
IF(OR(G833="4/8",G833="3/8",G833="2/8"),((база!$J$5*2*Таблица1[[#This Row],[Столбец1]]*Таблица1[[#This Row],[коэф]])))))))))))</f>
        <v>0</v>
      </c>
      <c r="AQ833" s="712" t="str">
        <f>IFERROR(INDEX(база!T:T, MATCH(F833,база!Q:Q,0)),"")</f>
        <v/>
      </c>
      <c r="AR833" s="208" t="str">
        <f>IFERROR(INDEX(база!D:D, MATCH(F833,база!B:B,0)),"")</f>
        <v/>
      </c>
      <c r="AS833" s="758" t="str">
        <f>IFERROR(INDEX(база!E:E, MATCH(F833,база!B:B,0)),"")</f>
        <v/>
      </c>
    </row>
    <row r="834" spans="1:45" ht="15">
      <c r="A834" s="66" t="str">
        <f t="shared" si="12"/>
        <v>январь</v>
      </c>
      <c r="B834" s="231">
        <v>2024</v>
      </c>
      <c r="C834" s="299"/>
      <c r="D834" s="61"/>
      <c r="E834" s="211"/>
      <c r="F834" s="680"/>
      <c r="G834" s="47"/>
      <c r="H834" s="563"/>
      <c r="I834" s="563"/>
      <c r="J834" s="563"/>
      <c r="K834" s="563"/>
      <c r="L834" s="563"/>
      <c r="M834" s="563"/>
      <c r="N834" s="563"/>
      <c r="O834" s="563"/>
      <c r="P834" s="300"/>
      <c r="Q834" s="563"/>
      <c r="R834" s="563"/>
      <c r="S834" s="563"/>
      <c r="T834" s="563"/>
      <c r="U834" s="563"/>
      <c r="V834" s="563"/>
      <c r="W834" s="563"/>
      <c r="X834" s="563"/>
      <c r="Y834" s="563"/>
      <c r="Z834" s="563"/>
      <c r="AA834" s="563"/>
      <c r="AB834" s="563"/>
      <c r="AC834" s="563"/>
      <c r="AD834" s="48"/>
      <c r="AE834" s="48"/>
      <c r="AF834" s="258"/>
      <c r="AG834" s="48"/>
      <c r="AH834" s="48"/>
      <c r="AI834" s="48"/>
      <c r="AJ834" s="48"/>
      <c r="AK834" s="48"/>
      <c r="AL834" s="51"/>
      <c r="AM834" s="212">
        <f>IF(AQ834=1,SUM(Q834:T834,W834:Z834,AC834:AF834,AI834:AL834),
IF(AQ834=2,SUM(P834,S834:V834,Y834:AB834,AE834:AH834,AK834:AL834),
IF(AQ834=3,SUM(P834:R834,U834:X834,AA834:AD834,AG834:AJ834),SUM(Таблица1[[#This Row],[1]:[31]])-Таблица1[[#This Row],[Столбец1]])))</f>
        <v>0</v>
      </c>
      <c r="AN834" s="778">
        <f t="array" ref="AN834">IF(AQ834=1,SUM(P834,U834:V834,AA834:AB834,AG834:AH834),
IF(AQ834=2,SUM(Q834:R834,W834:X834,AC834:AD834,AI834:AJ834),
IF(AQ834=3,SUM(S834:T834,Y834:Z834,AE834:AF834,AK834:AL834),
SUM(IFERROR(WEEKDAY($H$2:$AL$2,2)&gt;5,)*H834:AL834))))+Таблица1[[#This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34" s="292" t="b">
        <f>IF(AR834&lt;=3,(IF((G834="5/24"),((база!$M$6*Таблица1[[#This Row],[сумма]]*Таблица1[[#This Row],[коэф]])),
IF((G834="4/24"),((база!$M$5*Таблица1[[#This Row],[сумма]]*Таблица1[[#This Row],[коэф]])),
IF((G834="3/24"),((база!$M$4*Таблица1[[#This Row],[сумма]]*Таблица1[[#This Row],[коэф]])),
IF((G834="5/16"),((база!$L$6*Таблица1[[#This Row],[сумма]]*Таблица1[[#This Row],[коэф]])),
IF((G834="4/16"),((база!$L$5*Таблица1[[#This Row],[сумма]]*Таблица1[[#This Row],[коэф]])),
IF((G834="3/16"),((база!$L$4*Таблица1[[#This Row],[сумма]]*Таблица1[[#This Row],[коэф]])),
IF((G834="4/4"),((база!$I$5*Таблица1[[#This Row],[сумма]]*Таблица1[[#This Row],[коэф]])),
IF(OR(G834="2/4",G834="3/4"),((база!$I$4*Таблица1[[#This Row],[сумма]]*Таблица1[[#This Row],[коэф]])),
IF((G834="5/8"),((база!$J$6*Таблица1[[#This Row],[сумма]]*Таблица1[[#This Row],[коэф]])),
IF((G834="4/8"),((база!$J$5*Таблица1[[#This Row],[сумма]]*Таблица1[[#This Row],[коэф]])),
IF(OR(G834="3/8",G834="2/8"),((база!$J$4*Таблица1[[#This Row],[сумма]]*Таблица1[[#This Row],[коэф]])))))))))))))),
(IF((G834="5/24"),((база!$M$6*Таблица1[[#This Row],[сумма]]*Таблица1[[#This Row],[коэф]])),
IF(OR(G834="4/24",G834="3/24"),((база!$M$5*Таблица1[[#This Row],[сумма]]*Таблица1[[#This Row],[коэф]])),
IF((G834="5/16"),((база!$L$6*Таблица1[[#This Row],[сумма]]*Таблица1[[#This Row],[коэф]])),
IF(OR(G834="4/16",G834="3/16"),((база!$L$5*Таблица1[[#This Row],[сумма]]*Таблица1[[#This Row],[коэф]])),
IF(OR(G834="2/4",G834="3/4",G834="4/4"),((база!$I$5*Таблица1[[#This Row],[сумма]]*Таблица1[[#This Row],[коэф]])),
IF((G834="5/8"),((база!$J$6*Таблица1[[#This Row],[сумма]]*Таблица1[[#This Row],[коэф]])),
IF(OR(G834="4/8",G834="3/8",G834="2/8"),((база!$J$5*Таблица1[[#This Row],[сумма]]*Таблица1[[#This Row],[коэф]])))))))))))</f>
        <v>0</v>
      </c>
      <c r="AP834" s="730" t="b">
        <f>IF(AR834&lt;=3,(IF((G834="5/24"),((база!$M$6*2*Таблица1[[#This Row],[Столбец1]]*Таблица1[[#This Row],[коэф]])),
IF((G834="4/24"),((база!$M$5*2*Таблица1[[#This Row],[Столбец1]]*Таблица1[[#This Row],[коэф]])),
IF((G834="3/24"),((база!$M$4*2*Таблица1[[#This Row],[Столбец1]]*Таблица1[[#This Row],[коэф]])),
IF((G834="5/16"),((база!$L$6*2*Таблица1[[#This Row],[Столбец1]]*Таблица1[[#This Row],[коэф]])),
IF((G834="4/16"),((база!$L$5*2*Таблица1[[#This Row],[Столбец1]]*Таблица1[[#This Row],[коэф]])),
IF((G834="3/16"),((база!$L$4*2*Таблица1[[#This Row],[Столбец1]]*Таблица1[[#This Row],[коэф]])),
IF((G834="4/4"),((база!$I$5*2*Таблица1[[#This Row],[Столбец1]]*Таблица1[[#This Row],[коэф]])),
IF(OR(G834="2/4",G834="3/4"),((база!$I$4*2*Таблица1[[#This Row],[Столбец1]]*Таблица1[[#This Row],[коэф]])),
IF((G834="5/8"),((база!$J$6*2*Таблица1[[#This Row],[Столбец1]]*Таблица1[[#This Row],[коэф]])),
IF((G834="4/8"),((база!$J$5*2*Таблица1[[#This Row],[Столбец1]]*Таблица1[[#This Row],[коэф]])),
IF(OR(G834="3/8",G834="2/8"),((база!$J$4*2*Таблица1[[#This Row],[Столбец1]]*Таблица1[[#This Row],[коэф]])))))))))))))),
(IF((G834="5/24"),((база!$M$6*2*Таблица1[[#This Row],[Столбец1]]*Таблица1[[#This Row],[коэф]])),
IF(OR(G834="4/24",G834="3/24"),((база!$M$5*2*Таблица1[[#This Row],[Столбец1]]*Таблица1[[#This Row],[коэф]])),
IF((G834="5/16"),((база!$L$6*2*Таблица1[[#This Row],[Столбец1]]*Таблица1[[#This Row],[коэф]])),
IF(OR(G834="4/16",G834="3/16"),((база!$L$5*2*Таблица1[[#This Row],[Столбец1]]*Таблица1[[#This Row],[коэф]])),
IF(OR(G834="2/4",G834="3/4",G834="4/4"),((база!$I$5*2*Таблица1[[#This Row],[Столбец1]]*Таблица1[[#This Row],[коэф]])),
IF((G834="5/8"),((база!$J$6*2*Таблица1[[#This Row],[Столбец1]]*Таблица1[[#This Row],[коэф]])),
IF(OR(G834="4/8",G834="3/8",G834="2/8"),((база!$J$5*2*Таблица1[[#This Row],[Столбец1]]*Таблица1[[#This Row],[коэф]])))))))))))</f>
        <v>0</v>
      </c>
      <c r="AQ834" s="712" t="str">
        <f>IFERROR(INDEX(база!T:T, MATCH(F834,база!Q:Q,0)),"")</f>
        <v/>
      </c>
      <c r="AR834" s="208" t="str">
        <f>IFERROR(INDEX(база!D:D, MATCH(F834,база!B:B,0)),"")</f>
        <v/>
      </c>
      <c r="AS834" s="758" t="str">
        <f>IFERROR(INDEX(база!E:E, MATCH(F834,база!B:B,0)),"")</f>
        <v/>
      </c>
    </row>
    <row r="835" spans="1:45" ht="15">
      <c r="A835" s="66" t="str">
        <f t="shared" si="12"/>
        <v>январь</v>
      </c>
      <c r="B835" s="231">
        <v>2024</v>
      </c>
      <c r="C835" s="299"/>
      <c r="D835" s="61"/>
      <c r="E835" s="211"/>
      <c r="F835" s="680"/>
      <c r="G835" s="47"/>
      <c r="H835" s="563"/>
      <c r="I835" s="563"/>
      <c r="J835" s="563"/>
      <c r="K835" s="563"/>
      <c r="L835" s="563"/>
      <c r="M835" s="563"/>
      <c r="N835" s="563"/>
      <c r="O835" s="563"/>
      <c r="P835" s="300"/>
      <c r="Q835" s="563"/>
      <c r="R835" s="563"/>
      <c r="S835" s="563"/>
      <c r="T835" s="563"/>
      <c r="U835" s="563"/>
      <c r="V835" s="563"/>
      <c r="W835" s="563"/>
      <c r="X835" s="563"/>
      <c r="Y835" s="563"/>
      <c r="Z835" s="563"/>
      <c r="AA835" s="563"/>
      <c r="AB835" s="563"/>
      <c r="AC835" s="563"/>
      <c r="AD835" s="48"/>
      <c r="AE835" s="48"/>
      <c r="AF835" s="258"/>
      <c r="AG835" s="48"/>
      <c r="AH835" s="48"/>
      <c r="AI835" s="258"/>
      <c r="AJ835" s="258"/>
      <c r="AK835" s="258"/>
      <c r="AL835" s="258"/>
      <c r="AM835" s="212">
        <f>IF(AQ835=1,SUM(Q835:T835,W835:Z835,AC835:AF835,AI835:AL835),
IF(AQ835=2,SUM(P835,S835:V835,Y835:AB835,AE835:AH835,AK835:AL835),
IF(AQ835=3,SUM(P835:R835,U835:X835,AA835:AD835,AG835:AJ835),SUM(Таблица1[[#This Row],[1]:[31]])-Таблица1[[#This Row],[Столбец1]])))</f>
        <v>0</v>
      </c>
      <c r="AN835" s="778">
        <f t="array" ref="AN835">IF(AQ835=1,SUM(P835,U835:V835,AA835:AB835,AG835:AH835),
IF(AQ835=2,SUM(Q835:R835,W835:X835,AC835:AD835,AI835:AJ835),
IF(AQ835=3,SUM(S835:T835,Y835:Z835,AE835:AF835,AK835:AL835),
SUM(IFERROR(WEEKDAY($H$2:$AL$2,2)&gt;5,)*H835:AL835))))+Таблица1[[#This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35" s="292" t="b">
        <f>IF(AR835&lt;=3,(IF((G835="5/24"),((база!$M$6*Таблица1[[#This Row],[сумма]]*Таблица1[[#This Row],[коэф]])),
IF((G835="4/24"),((база!$M$5*Таблица1[[#This Row],[сумма]]*Таблица1[[#This Row],[коэф]])),
IF((G835="3/24"),((база!$M$4*Таблица1[[#This Row],[сумма]]*Таблица1[[#This Row],[коэф]])),
IF((G835="5/16"),((база!$L$6*Таблица1[[#This Row],[сумма]]*Таблица1[[#This Row],[коэф]])),
IF((G835="4/16"),((база!$L$5*Таблица1[[#This Row],[сумма]]*Таблица1[[#This Row],[коэф]])),
IF((G835="3/16"),((база!$L$4*Таблица1[[#This Row],[сумма]]*Таблица1[[#This Row],[коэф]])),
IF((G835="4/4"),((база!$I$5*Таблица1[[#This Row],[сумма]]*Таблица1[[#This Row],[коэф]])),
IF(OR(G835="2/4",G835="3/4"),((база!$I$4*Таблица1[[#This Row],[сумма]]*Таблица1[[#This Row],[коэф]])),
IF((G835="5/8"),((база!$J$6*Таблица1[[#This Row],[сумма]]*Таблица1[[#This Row],[коэф]])),
IF((G835="4/8"),((база!$J$5*Таблица1[[#This Row],[сумма]]*Таблица1[[#This Row],[коэф]])),
IF(OR(G835="3/8",G835="2/8"),((база!$J$4*Таблица1[[#This Row],[сумма]]*Таблица1[[#This Row],[коэф]])))))))))))))),
(IF((G835="5/24"),((база!$M$6*Таблица1[[#This Row],[сумма]]*Таблица1[[#This Row],[коэф]])),
IF(OR(G835="4/24",G835="3/24"),((база!$M$5*Таблица1[[#This Row],[сумма]]*Таблица1[[#This Row],[коэф]])),
IF((G835="5/16"),((база!$L$6*Таблица1[[#This Row],[сумма]]*Таблица1[[#This Row],[коэф]])),
IF(OR(G835="4/16",G835="3/16"),((база!$L$5*Таблица1[[#This Row],[сумма]]*Таблица1[[#This Row],[коэф]])),
IF(OR(G835="2/4",G835="3/4",G835="4/4"),((база!$I$5*Таблица1[[#This Row],[сумма]]*Таблица1[[#This Row],[коэф]])),
IF((G835="5/8"),((база!$J$6*Таблица1[[#This Row],[сумма]]*Таблица1[[#This Row],[коэф]])),
IF(OR(G835="4/8",G835="3/8",G835="2/8"),((база!$J$5*Таблица1[[#This Row],[сумма]]*Таблица1[[#This Row],[коэф]])))))))))))</f>
        <v>0</v>
      </c>
      <c r="AP835" s="730" t="b">
        <f>IF(AR835&lt;=3,(IF((G835="5/24"),((база!$M$6*2*Таблица1[[#This Row],[Столбец1]]*Таблица1[[#This Row],[коэф]])),
IF((G835="4/24"),((база!$M$5*2*Таблица1[[#This Row],[Столбец1]]*Таблица1[[#This Row],[коэф]])),
IF((G835="3/24"),((база!$M$4*2*Таблица1[[#This Row],[Столбец1]]*Таблица1[[#This Row],[коэф]])),
IF((G835="5/16"),((база!$L$6*2*Таблица1[[#This Row],[Столбец1]]*Таблица1[[#This Row],[коэф]])),
IF((G835="4/16"),((база!$L$5*2*Таблица1[[#This Row],[Столбец1]]*Таблица1[[#This Row],[коэф]])),
IF((G835="3/16"),((база!$L$4*2*Таблица1[[#This Row],[Столбец1]]*Таблица1[[#This Row],[коэф]])),
IF((G835="4/4"),((база!$I$5*2*Таблица1[[#This Row],[Столбец1]]*Таблица1[[#This Row],[коэф]])),
IF(OR(G835="2/4",G835="3/4"),((база!$I$4*2*Таблица1[[#This Row],[Столбец1]]*Таблица1[[#This Row],[коэф]])),
IF((G835="5/8"),((база!$J$6*2*Таблица1[[#This Row],[Столбец1]]*Таблица1[[#This Row],[коэф]])),
IF((G835="4/8"),((база!$J$5*2*Таблица1[[#This Row],[Столбец1]]*Таблица1[[#This Row],[коэф]])),
IF(OR(G835="3/8",G835="2/8"),((база!$J$4*2*Таблица1[[#This Row],[Столбец1]]*Таблица1[[#This Row],[коэф]])))))))))))))),
(IF((G835="5/24"),((база!$M$6*2*Таблица1[[#This Row],[Столбец1]]*Таблица1[[#This Row],[коэф]])),
IF(OR(G835="4/24",G835="3/24"),((база!$M$5*2*Таблица1[[#This Row],[Столбец1]]*Таблица1[[#This Row],[коэф]])),
IF((G835="5/16"),((база!$L$6*2*Таблица1[[#This Row],[Столбец1]]*Таблица1[[#This Row],[коэф]])),
IF(OR(G835="4/16",G835="3/16"),((база!$L$5*2*Таблица1[[#This Row],[Столбец1]]*Таблица1[[#This Row],[коэф]])),
IF(OR(G835="2/4",G835="3/4",G835="4/4"),((база!$I$5*2*Таблица1[[#This Row],[Столбец1]]*Таблица1[[#This Row],[коэф]])),
IF((G835="5/8"),((база!$J$6*2*Таблица1[[#This Row],[Столбец1]]*Таблица1[[#This Row],[коэф]])),
IF(OR(G835="4/8",G835="3/8",G835="2/8"),((база!$J$5*2*Таблица1[[#This Row],[Столбец1]]*Таблица1[[#This Row],[коэф]])))))))))))</f>
        <v>0</v>
      </c>
      <c r="AQ835" s="712" t="str">
        <f>IFERROR(INDEX(база!T:T, MATCH(F835,база!Q:Q,0)),"")</f>
        <v/>
      </c>
      <c r="AR835" s="208" t="str">
        <f>IFERROR(INDEX(база!D:D, MATCH(F835,база!B:B,0)),"")</f>
        <v/>
      </c>
      <c r="AS835" s="758" t="str">
        <f>IFERROR(INDEX(база!E:E, MATCH(F835,база!B:B,0)),"")</f>
        <v/>
      </c>
    </row>
    <row r="836" spans="1:45">
      <c r="A836" s="66" t="str">
        <f t="shared" si="12"/>
        <v>январь</v>
      </c>
      <c r="B836" s="231">
        <v>2024</v>
      </c>
      <c r="C836" s="299"/>
      <c r="D836" s="61"/>
      <c r="E836" s="211"/>
      <c r="F836" s="680"/>
      <c r="G836" s="47"/>
      <c r="H836" s="563"/>
      <c r="I836" s="563"/>
      <c r="J836" s="563"/>
      <c r="K836" s="563"/>
      <c r="L836" s="563"/>
      <c r="M836" s="563"/>
      <c r="N836" s="563"/>
      <c r="O836" s="563"/>
      <c r="P836" s="300"/>
      <c r="Q836" s="563"/>
      <c r="R836" s="563"/>
      <c r="S836" s="563"/>
      <c r="T836" s="563"/>
      <c r="U836" s="563"/>
      <c r="V836" s="563"/>
      <c r="W836" s="563"/>
      <c r="X836" s="563"/>
      <c r="Y836" s="563"/>
      <c r="Z836" s="563"/>
      <c r="AA836" s="563"/>
      <c r="AB836" s="563"/>
      <c r="AC836" s="563"/>
      <c r="AD836" s="48"/>
      <c r="AE836" s="48"/>
      <c r="AF836" s="258"/>
      <c r="AG836" s="48"/>
      <c r="AH836" s="48"/>
      <c r="AI836" s="48"/>
      <c r="AJ836" s="48"/>
      <c r="AK836" s="48"/>
      <c r="AL836" s="51"/>
      <c r="AM836" s="212">
        <f>IF(AQ836=1,SUM(Q836:T836,W836:Z836,AC836:AF836,AI836:AL836),
IF(AQ836=2,SUM(P836,S836:V836,Y836:AB836,AE836:AH836,AK836:AL836),
IF(AQ836=3,SUM(P836:R836,U836:X836,AA836:AD836,AG836:AJ836),SUM(Таблица1[[#This Row],[1]:[31]])-Таблица1[[#This Row],[Столбец1]])))</f>
        <v>0</v>
      </c>
      <c r="AN836" s="778">
        <f t="array" ref="AN836">IF(AQ836=1,SUM(P836,U836:V836,AA836:AB836,AG836:AH836),
IF(AQ836=2,SUM(Q836:R836,W836:X836,AC836:AD836,AI836:AJ836),
IF(AQ836=3,SUM(S836:T836,Y836:Z836,AE836:AF836,AK836:AL836),
SUM(IFERROR(WEEKDAY($H$2:$AL$2,2)&gt;5,)*H836:AL836))))+Таблица1[[#This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36" s="292" t="b">
        <f>IF(AR836&lt;=3,(IF((G836="5/24"),((база!$M$6*Таблица1[[#This Row],[сумма]]*Таблица1[[#This Row],[коэф]])),
IF((G836="4/24"),((база!$M$5*Таблица1[[#This Row],[сумма]]*Таблица1[[#This Row],[коэф]])),
IF((G836="3/24"),((база!$M$4*Таблица1[[#This Row],[сумма]]*Таблица1[[#This Row],[коэф]])),
IF((G836="5/16"),((база!$L$6*Таблица1[[#This Row],[сумма]]*Таблица1[[#This Row],[коэф]])),
IF((G836="4/16"),((база!$L$5*Таблица1[[#This Row],[сумма]]*Таблица1[[#This Row],[коэф]])),
IF((G836="3/16"),((база!$L$4*Таблица1[[#This Row],[сумма]]*Таблица1[[#This Row],[коэф]])),
IF((G836="4/4"),((база!$I$5*Таблица1[[#This Row],[сумма]]*Таблица1[[#This Row],[коэф]])),
IF(OR(G836="2/4",G836="3/4"),((база!$I$4*Таблица1[[#This Row],[сумма]]*Таблица1[[#This Row],[коэф]])),
IF((G836="5/8"),((база!$J$6*Таблица1[[#This Row],[сумма]]*Таблица1[[#This Row],[коэф]])),
IF((G836="4/8"),((база!$J$5*Таблица1[[#This Row],[сумма]]*Таблица1[[#This Row],[коэф]])),
IF(OR(G836="3/8",G836="2/8"),((база!$J$4*Таблица1[[#This Row],[сумма]]*Таблица1[[#This Row],[коэф]])))))))))))))),
(IF((G836="5/24"),((база!$M$6*Таблица1[[#This Row],[сумма]]*Таблица1[[#This Row],[коэф]])),
IF(OR(G836="4/24",G836="3/24"),((база!$M$5*Таблица1[[#This Row],[сумма]]*Таблица1[[#This Row],[коэф]])),
IF((G836="5/16"),((база!$L$6*Таблица1[[#This Row],[сумма]]*Таблица1[[#This Row],[коэф]])),
IF(OR(G836="4/16",G836="3/16"),((база!$L$5*Таблица1[[#This Row],[сумма]]*Таблица1[[#This Row],[коэф]])),
IF(OR(G836="2/4",G836="3/4",G836="4/4"),((база!$I$5*Таблица1[[#This Row],[сумма]]*Таблица1[[#This Row],[коэф]])),
IF((G836="5/8"),((база!$J$6*Таблица1[[#This Row],[сумма]]*Таблица1[[#This Row],[коэф]])),
IF(OR(G836="4/8",G836="3/8",G836="2/8"),((база!$J$5*Таблица1[[#This Row],[сумма]]*Таблица1[[#This Row],[коэф]])))))))))))</f>
        <v>0</v>
      </c>
      <c r="AP836" s="730" t="b">
        <f>IF(AR836&lt;=3,(IF((G836="5/24"),((база!$M$6*2*Таблица1[[#This Row],[Столбец1]]*Таблица1[[#This Row],[коэф]])),
IF((G836="4/24"),((база!$M$5*2*Таблица1[[#This Row],[Столбец1]]*Таблица1[[#This Row],[коэф]])),
IF((G836="3/24"),((база!$M$4*2*Таблица1[[#This Row],[Столбец1]]*Таблица1[[#This Row],[коэф]])),
IF((G836="5/16"),((база!$L$6*2*Таблица1[[#This Row],[Столбец1]]*Таблица1[[#This Row],[коэф]])),
IF((G836="4/16"),((база!$L$5*2*Таблица1[[#This Row],[Столбец1]]*Таблица1[[#This Row],[коэф]])),
IF((G836="3/16"),((база!$L$4*2*Таблица1[[#This Row],[Столбец1]]*Таблица1[[#This Row],[коэф]])),
IF((G836="4/4"),((база!$I$5*2*Таблица1[[#This Row],[Столбец1]]*Таблица1[[#This Row],[коэф]])),
IF(OR(G836="2/4",G836="3/4"),((база!$I$4*2*Таблица1[[#This Row],[Столбец1]]*Таблица1[[#This Row],[коэф]])),
IF((G836="5/8"),((база!$J$6*2*Таблица1[[#This Row],[Столбец1]]*Таблица1[[#This Row],[коэф]])),
IF((G836="4/8"),((база!$J$5*2*Таблица1[[#This Row],[Столбец1]]*Таблица1[[#This Row],[коэф]])),
IF(OR(G836="3/8",G836="2/8"),((база!$J$4*2*Таблица1[[#This Row],[Столбец1]]*Таблица1[[#This Row],[коэф]])))))))))))))),
(IF((G836="5/24"),((база!$M$6*2*Таблица1[[#This Row],[Столбец1]]*Таблица1[[#This Row],[коэф]])),
IF(OR(G836="4/24",G836="3/24"),((база!$M$5*2*Таблица1[[#This Row],[Столбец1]]*Таблица1[[#This Row],[коэф]])),
IF((G836="5/16"),((база!$L$6*2*Таблица1[[#This Row],[Столбец1]]*Таблица1[[#This Row],[коэф]])),
IF(OR(G836="4/16",G836="3/16"),((база!$L$5*2*Таблица1[[#This Row],[Столбец1]]*Таблица1[[#This Row],[коэф]])),
IF(OR(G836="2/4",G836="3/4",G836="4/4"),((база!$I$5*2*Таблица1[[#This Row],[Столбец1]]*Таблица1[[#This Row],[коэф]])),
IF((G836="5/8"),((база!$J$6*2*Таблица1[[#This Row],[Столбец1]]*Таблица1[[#This Row],[коэф]])),
IF(OR(G836="4/8",G836="3/8",G836="2/8"),((база!$J$5*2*Таблица1[[#This Row],[Столбец1]]*Таблица1[[#This Row],[коэф]])))))))))))</f>
        <v>0</v>
      </c>
      <c r="AR836" s="208" t="str">
        <f>IFERROR(INDEX(база!D:D, MATCH(F836,база!B:B,0)),"")</f>
        <v/>
      </c>
      <c r="AS836" s="758" t="str">
        <f>IFERROR(INDEX(база!E:E, MATCH(F836,база!B:B,0)),"")</f>
        <v/>
      </c>
    </row>
    <row r="837" spans="1:45">
      <c r="A837" s="66" t="str">
        <f t="shared" si="12"/>
        <v>январь</v>
      </c>
      <c r="B837" s="231">
        <v>2024</v>
      </c>
      <c r="C837" s="299"/>
      <c r="D837" s="61"/>
      <c r="E837" s="211"/>
      <c r="F837" s="680"/>
      <c r="G837" s="47"/>
      <c r="H837" s="563"/>
      <c r="I837" s="563"/>
      <c r="J837" s="563"/>
      <c r="K837" s="563"/>
      <c r="L837" s="563"/>
      <c r="M837" s="563"/>
      <c r="N837" s="563"/>
      <c r="O837" s="563"/>
      <c r="P837" s="300"/>
      <c r="Q837" s="563"/>
      <c r="R837" s="563"/>
      <c r="S837" s="563"/>
      <c r="T837" s="563"/>
      <c r="U837" s="563"/>
      <c r="V837" s="563"/>
      <c r="W837" s="563"/>
      <c r="X837" s="563"/>
      <c r="Y837" s="563"/>
      <c r="Z837" s="563"/>
      <c r="AA837" s="563"/>
      <c r="AB837" s="563"/>
      <c r="AC837" s="563"/>
      <c r="AD837" s="48"/>
      <c r="AE837" s="48"/>
      <c r="AF837" s="258"/>
      <c r="AG837" s="48"/>
      <c r="AH837" s="48"/>
      <c r="AI837" s="258"/>
      <c r="AJ837" s="258"/>
      <c r="AK837" s="258"/>
      <c r="AL837" s="258"/>
      <c r="AM837" s="212">
        <f>IF(AQ837=1,SUM(Q837:T837,W837:Z837,AC837:AF837,AI837:AL837),
IF(AQ837=2,SUM(P837,S837:V837,Y837:AB837,AE837:AH837,AK837:AL837),
IF(AQ837=3,SUM(P837:R837,U837:X837,AA837:AD837,AG837:AJ837),SUM(Таблица1[[#This Row],[1]:[31]])-Таблица1[[#This Row],[Столбец1]])))</f>
        <v>0</v>
      </c>
      <c r="AN837" s="778">
        <f t="array" ref="AN837">IF(AQ837=1,SUM(P837,U837:V837,AA837:AB837,AG837:AH837),
IF(AQ837=2,SUM(Q837:R837,W837:X837,AC837:AD837,AI837:AJ837),
IF(AQ837=3,SUM(S837:T837,Y837:Z837,AE837:AF837,AK837:AL837),
SUM(IFERROR(WEEKDAY($H$2:$AL$2,2)&gt;5,)*H837:AL837))))+Таблица1[[#This Row],[1]]+Таблица1[[#This Row],[2]]+Таблица1[[#This Row],[3]]+Таблица1[[#This Row],[4]]+Таблица1[[#This Row],[5]]+Таблица1[[#This Row],[6]]+Таблица1[[#This Row],[7]]+Таблица1[[#This Row],[8]]</f>
        <v>0</v>
      </c>
      <c r="AO837" s="292" t="b">
        <f>IF(AR837&lt;=3,(IF((G837="5/24"),((база!$M$6*Таблица1[[#This Row],[сумма]]*Таблица1[[#This Row],[коэф]])),
IF((G837="4/24"),((база!$M$5*Таблица1[[#This Row],[сумма]]*Таблица1[[#This Row],[коэф]])),
IF((G837="3/24"),((база!$M$4*Таблица1[[#This Row],[сумма]]*Таблица1[[#This Row],[коэф]])),
IF((G837="5/16"),((база!$L$6*Таблица1[[#This Row],[сумма]]*Таблица1[[#This Row],[коэф]])),
IF((G837="4/16"),((база!$L$5*Таблица1[[#This Row],[сумма]]*Таблица1[[#This Row],[коэф]])),
IF((G837="3/16"),((база!$L$4*Таблица1[[#This Row],[сумма]]*Таблица1[[#This Row],[коэф]])),
IF((G837="4/4"),((база!$I$5*Таблица1[[#This Row],[сумма]]*Таблица1[[#This Row],[коэф]])),
IF(OR(G837="2/4",G837="3/4"),((база!$I$4*Таблица1[[#This Row],[сумма]]*Таблица1[[#This Row],[коэф]])),
IF((G837="5/8"),((база!$J$6*Таблица1[[#This Row],[сумма]]*Таблица1[[#This Row],[коэф]])),
IF((G837="4/8"),((база!$J$5*Таблица1[[#This Row],[сумма]]*Таблица1[[#This Row],[коэф]])),
IF(OR(G837="3/8",G837="2/8"),((база!$J$4*Таблица1[[#This Row],[сумма]]*Таблица1[[#This Row],[коэф]])))))))))))))),
(IF((G837="5/24"),((база!$M$6*Таблица1[[#This Row],[сумма]]*Таблица1[[#This Row],[коэф]])),
IF(OR(G837="4/24",G837="3/24"),((база!$M$5*Таблица1[[#This Row],[сумма]]*Таблица1[[#This Row],[коэф]])),
IF((G837="5/16"),((база!$L$6*Таблица1[[#This Row],[сумма]]*Таблица1[[#This Row],[коэф]])),
IF(OR(G837="4/16",G837="3/16"),((база!$L$5*Таблица1[[#This Row],[сумма]]*Таблица1[[#This Row],[коэф]])),
IF(OR(G837="2/4",G837="3/4",G837="4/4"),((база!$I$5*Таблица1[[#This Row],[сумма]]*Таблица1[[#This Row],[коэф]])),
IF((G837="5/8"),((база!$J$6*Таблица1[[#This Row],[сумма]]*Таблица1[[#This Row],[коэф]])),
IF(OR(G837="4/8",G837="3/8",G837="2/8"),((база!$J$5*Таблица1[[#This Row],[сумма]]*Таблица1[[#This Row],[коэф]])))))))))))</f>
        <v>0</v>
      </c>
      <c r="AP837" s="730" t="b">
        <f>IF(AR837&lt;=3,(IF((G837="5/24"),((база!$M$6*2*Таблица1[[#This Row],[Столбец1]]*Таблица1[[#This Row],[коэф]])),
IF((G837="4/24"),((база!$M$5*2*Таблица1[[#This Row],[Столбец1]]*Таблица1[[#This Row],[коэф]])),
IF((G837="3/24"),((база!$M$4*2*Таблица1[[#This Row],[Столбец1]]*Таблица1[[#This Row],[коэф]])),
IF((G837="5/16"),((база!$L$6*2*Таблица1[[#This Row],[Столбец1]]*Таблица1[[#This Row],[коэф]])),
IF((G837="4/16"),((база!$L$5*2*Таблица1[[#This Row],[Столбец1]]*Таблица1[[#This Row],[коэф]])),
IF((G837="3/16"),((база!$L$4*2*Таблица1[[#This Row],[Столбец1]]*Таблица1[[#This Row],[коэф]])),
IF((G837="4/4"),((база!$I$5*2*Таблица1[[#This Row],[Столбец1]]*Таблица1[[#This Row],[коэф]])),
IF(OR(G837="2/4",G837="3/4"),((база!$I$4*2*Таблица1[[#This Row],[Столбец1]]*Таблица1[[#This Row],[коэф]])),
IF((G837="5/8"),((база!$J$6*2*Таблица1[[#This Row],[Столбец1]]*Таблица1[[#This Row],[коэф]])),
IF((G837="4/8"),((база!$J$5*2*Таблица1[[#This Row],[Столбец1]]*Таблица1[[#This Row],[коэф]])),
IF(OR(G837="3/8",G837="2/8"),((база!$J$4*2*Таблица1[[#This Row],[Столбец1]]*Таблица1[[#This Row],[коэф]])))))))))))))),
(IF((G837="5/24"),((база!$M$6*2*Таблица1[[#This Row],[Столбец1]]*Таблица1[[#This Row],[коэф]])),
IF(OR(G837="4/24",G837="3/24"),((база!$M$5*2*Таблица1[[#This Row],[Столбец1]]*Таблица1[[#This Row],[коэф]])),
IF((G837="5/16"),((база!$L$6*2*Таблица1[[#This Row],[Столбец1]]*Таблица1[[#This Row],[коэф]])),
IF(OR(G837="4/16",G837="3/16"),((база!$L$5*2*Таблица1[[#This Row],[Столбец1]]*Таблица1[[#This Row],[коэф]])),
IF(OR(G837="2/4",G837="3/4",G837="4/4"),((база!$I$5*2*Таблица1[[#This Row],[Столбец1]]*Таблица1[[#This Row],[коэф]])),
IF((G837="5/8"),((база!$J$6*2*Таблица1[[#This Row],[Столбец1]]*Таблица1[[#This Row],[коэф]])),
IF(OR(G837="4/8",G837="3/8",G837="2/8"),((база!$J$5*2*Таблица1[[#This Row],[Столбец1]]*Таблица1[[#This Row],[коэф]])))))))))))</f>
        <v>0</v>
      </c>
      <c r="AR837" s="208" t="str">
        <f>IFERROR(INDEX(база!D:D, MATCH(F837,база!B:B,0)),"")</f>
        <v/>
      </c>
      <c r="AS837" s="758" t="str">
        <f>IFERROR(INDEX(база!E:E, MATCH(F837,база!B:B,0)),"")</f>
        <v/>
      </c>
    </row>
    <row r="838" spans="1:45">
      <c r="P838" s="46"/>
    </row>
    <row r="839" spans="1:45">
      <c r="P839" s="46"/>
    </row>
    <row r="840" spans="1:45">
      <c r="P840" s="46"/>
    </row>
    <row r="841" spans="1:45">
      <c r="P841" s="46"/>
    </row>
    <row r="842" spans="1:45">
      <c r="P842" s="46"/>
    </row>
    <row r="843" spans="1:45">
      <c r="P843" s="46"/>
    </row>
    <row r="844" spans="1:45">
      <c r="P844" s="46"/>
    </row>
    <row r="845" spans="1:45">
      <c r="P845" s="46"/>
    </row>
    <row r="846" spans="1:45">
      <c r="P846" s="46"/>
    </row>
    <row r="847" spans="1:45">
      <c r="P847" s="46"/>
    </row>
    <row r="848" spans="1:45">
      <c r="P848" s="46"/>
      <c r="S848" s="46" t="s">
        <v>350</v>
      </c>
      <c r="Z848" s="46" t="s">
        <v>350</v>
      </c>
    </row>
    <row r="849" spans="16:23">
      <c r="P849" s="46"/>
    </row>
    <row r="854" spans="16:23">
      <c r="W854" s="46" t="s">
        <v>350</v>
      </c>
    </row>
  </sheetData>
  <phoneticPr fontId="3" type="noConversion"/>
  <conditionalFormatting sqref="H106:M106 V127:X127 AK133:AL133 AK143:AL143 AG313:AH313 H30:AD30 H55:AC55 H163:AC164 H213:AE213 H226:AE226 H227:AC227 H228:AE228 H254:AD254 AK130:AL130 AF137:AL137 AI175:AL175 AG178:AL178 AG187:AL187 AG200:AL200 AI214:AL214 AI222:AL222 AG227:AL227 AG233:AL233 AI240:AL240 AI254:AL254 AG258:AL258 AI276:AL276 AE42:AL42 AF43:AL54 AJ55:AL55 AJ63:AL63 AJ95:AL95 AF175:AF223 AG190:AI190 AG249:AI249 AF284:AF293 AF295:AF310 AF324 AG386:AI386 AF405:AF406 AF408:AF417 AF419:AF439 AG435:AI436 AG441:AI441 AG444:AI444 H2:AL2 H255:AC274 AD303:AE303 AG304 AF312:AF319 AF321:AF322 AD320:AG320 AF326:AF344 AD376:AE376 AF441:AF455 AF401:AF403 AD400:AF400 AD429:AE429 AD311:AG311 H414:AB414 AF276:AF282 H275:AJ275 AI28:AL28 AI16:AL16 AF29:AL30 H19:AD19 AG405:AJ405 P106:Q106 AF260:AF274 H415:AC486 AF225:AF234 AF236:AF258 H229:AC239 H276:AC278 AF346:AF399 AD345:AF345 AD458:AF486 AG485:AH485 H487:AF489 H491:AF514 H490:AH490 AG459:AH459 H515:AG515 H56:AE56 H57:AC72 H172:AE200 H201:AC212 H214:AC225 H246:AC253 H279:AE279 AD301:AE301 H20:AC20 H280:AC413 H7:AL7 H22:AC29 H21:AE21 AF17:AL27 K241:AC245 K240:AE240 H240:J245 H73:AD73 H74:Q74 W74:X74 AE15 X6:AC6 H85:AD85 AF64:AL94 AI96:AL96 H516:AF837 H99:AD99 AF97:AL99 H86:AC98 AH31:AL31 AH100:AL100 H100:AC103 H104:Q105 R104:AC106 AF101:AL106 AH107:AL107 H75:AC84 AF108:AL109 H123:Y123 AJ123:AL123 AF123:AI124 Z123:AC124 J124:X126 Y125:AC125 AF125:AJ127 Y128:AC129 V129:X129 R128:X128 AF130:AJ131 R130:V130 Z132:AC132 T132:W133 AF132:AI134 Z134:AC134 AF135:AJ135 Y135:AC135 X139:AA142 R139:U141 L139:O140 AF143:AI144 T143:W143 N145:Q145 Z145:AC145 R146:U146 AF56:AL62 X147:AC147 AF146:AL148 H147:O147 AJ149:AK149 AA149:AC149 AH150:AK150 Y151:AC151 AF151:AJ151 AF111:AL122 AH110:AL110 H107:AC122 H152:AC161 H162:AE162 H165:AE165 AF152:AL155 AH156:AL156 H166:AC171 H8:AC18 AH8:AL9 H31:AC53 AF32:AL41 AD170:AE170 AF10:AL15 AF157:AL173 AF174:AI174">
    <cfRule type="expression" dxfId="508" priority="31">
      <formula>WEEKDAY(H$2,2)&gt;5</formula>
    </cfRule>
    <cfRule type="expression" dxfId="507" priority="32">
      <formula>WEEKDAY(#REF!,2)&gt;5</formula>
    </cfRule>
    <cfRule type="expression" dxfId="506" priority="33">
      <formula>WEEKDAY(#REF!,2)&gt;5</formula>
    </cfRule>
  </conditionalFormatting>
  <conditionalFormatting sqref="H127:U127 H124:I126 H145:M145 Y124 Y126:AC127 AF136:AL136 AJ143 AF128:AL129 AD32:AE41 AE30 AD57:AE72 AE73 AJ132:AL132 AF138:AL142 AD163:AE164 AD201:AE212 AD214:AE223 AD227:AE227 AD229:AE234 AD241:AE253 AD255:AE258 AE254 AD276:AE278 AD43:AE55 AD42 AF55:AI55 AF63:AI63 AF95:AI95 AJ133 AF145:AL145 AF283 AF294:AH294 AF323:AI323 AF404:AI404 AF407:AI407 AF418:AI418 AD304:AE310 AD312:AE319 AD321:AE344 AF325:AG325 AD377:AE399 AD430:AE439 AD456:AF457 AD415:AE428 AC414:AE414 AD29:AE29 AD28:AH28 AF16:AH16 AD20:AE20 AE19 AD260:AE274 AD259:AG259 AD441:AE455 AD440:AI440 AD225:AE225 AD224:AH224 AD236:AE239 AD235:AH235 AD346:AE375 AL3:AL6 AD280:AE300 AD302:AE302 H131:AC131 AD10:AE14 R4:AK5 AD22:AE27 AD16:AE18 AD401:AE413 H3:L3 N5:Q5 R74:V74 Y74:AC74 AD74:AE84 AD15 R6:W6 AD6:AK6 AE85 AD86:AE95 AD97:AE98 AD96:AH96 AE99 AD31:AG31 AD100:AG100 AD101:AE106 AD107:AG107 AJ124:AL124 AK125:AL127 H129:U129 H128:Q128 AK131:AL131 H130:Q130 W130:AC130 H144:AC144 X132:Y132 H132:S133 X133:AC133 H134:Y134 AJ134:AL134 AK135:AL135 H135:X135 H136:J137 M136:Q137 W136:X138 H142:W142 AB139:AC142 H138:Q138 V139:W141 H141:Q141 H139:K140 P139:Q140 AJ144:AL144 H143:S143 X143:AC143 R145:Y145 H146:Q146 V146:AC146 H151:X151 P147:W147 AD108:AE109 H148:AE148 H149:Z149 AD149:AI149 H150:AG150 AL149:AL150 AK151:AL151 AD151:AE155 AD111:AE147 AD110:AG110 AD166:AE169 AD157:AE161 AD156:AG156 AD8:AG9 AD171:AE171 N3:O3 T3:AK3 P3:P4">
    <cfRule type="expression" dxfId="505" priority="19">
      <formula>WEEKDAY(H$2,2)&gt;5</formula>
    </cfRule>
    <cfRule type="expression" dxfId="504" priority="20">
      <formula>WEEKDAY(#REF!,2)&gt;5</formula>
    </cfRule>
    <cfRule type="expression" dxfId="503" priority="21">
      <formula>WEEKDAY(#REF!,2)&gt;5</formula>
    </cfRule>
  </conditionalFormatting>
  <conditionalFormatting sqref="M3 H4:O4 H6:Q6 H5:M5 Q4">
    <cfRule type="expression" dxfId="502" priority="16">
      <formula>WEEKDAY(H$2,2)&gt;5</formula>
    </cfRule>
    <cfRule type="expression" dxfId="501" priority="17">
      <formula>WEEKDAY(#REF!,2)&gt;5</formula>
    </cfRule>
    <cfRule type="expression" dxfId="500" priority="18">
      <formula>WEEKDAY(#REF!,2)&gt;5</formula>
    </cfRule>
  </conditionalFormatting>
  <conditionalFormatting sqref="H54:AC54 K136:L137 R136:V138 Y136:AC138">
    <cfRule type="expression" dxfId="499" priority="13">
      <formula>WEEKDAY(H$2,2)&gt;5</formula>
    </cfRule>
    <cfRule type="expression" dxfId="498" priority="14">
      <formula>WEEKDAY(#REF!,2)&gt;5</formula>
    </cfRule>
    <cfRule type="expression" dxfId="497" priority="15">
      <formula>WEEKDAY(#REF!,2)&gt;5</formula>
    </cfRule>
  </conditionalFormatting>
  <conditionalFormatting sqref="O106">
    <cfRule type="expression" dxfId="496" priority="104">
      <formula>WEEKDAY(N$2,2)&gt;5</formula>
    </cfRule>
    <cfRule type="expression" dxfId="495" priority="105">
      <formula>WEEKDAY(#REF!,2)&gt;5</formula>
    </cfRule>
    <cfRule type="expression" dxfId="494" priority="106">
      <formula>WEEKDAY(#REF!,2)&gt;5</formula>
    </cfRule>
  </conditionalFormatting>
  <conditionalFormatting sqref="N106">
    <cfRule type="expression" dxfId="493" priority="10">
      <formula>WEEKDAY(N$2,2)&gt;5</formula>
    </cfRule>
    <cfRule type="expression" dxfId="492" priority="11">
      <formula>WEEKDAY(#REF!,2)&gt;5</formula>
    </cfRule>
    <cfRule type="expression" dxfId="491" priority="12">
      <formula>WEEKDAY(#REF!,2)&gt;5</formula>
    </cfRule>
  </conditionalFormatting>
  <conditionalFormatting sqref="AJ174:AL174 AG179:AL179 AG180:AH186 AG188:AH188 AG192:AH192 AG194:AH194 AG196:AH196 AG198:AH198 AG202:AH202 AG204:AH204 AG208:AH208 AG210:AH210 AG189:AL189 AG191:AL191 AG193:AL193 AG195:AL195 AG197:AL197 AG199:AL199 AG201:AL201 AG203:AL203 AG205:AL205 AG207:AL207 AG209:AL209 AG211:AL211 AG212:AH215 AG217:AH217 AG219:AH219 AG225:AH225 AG229:AH229 AG231:AH231 AG216:AL216 AG218:AL218 AG220:AL220 AG221:AH223 AG226:AL226 AG230:AL230 AG232:AL232 AG234:AL234 AG237:AH237 AG243:AH243 AG245:AH245 AG247:AH247 AG251:AH251 AG257:AH257 AH259 AG261:AH261 AG265:AH265 AG267:AH267 AG269:AH269 AG271:AH271 AG273:AH273 AG281:AH281 AG283:AH283 AG285:AH285 AG287:AH287 AG289:AH289 AG291:AH291 AG293:AH293 AG295:AH295 AG297:AH297 AG299:AH299 AG303:AH303 AG305:AH305 AG307:AH307 AG309:AH309 AH311 AG315:AH315 AG317:AH317 AG319:AH319 AG321:AH321 AH325 AG327:AH327 AG329:AH329 AG331:AH331 AG333:AH333 AG335:AH335 AG337:AH337 AG339:AH339 AG341:AH341 AG343:AH343 AG345:AH345 AG347:AH347 AG349:AH349 AG351:AH351 AG353:AH353 AG355:AH355 AG357:AH357 AG359:AH359 AG363:AH363 AG365:AH365 AG367:AH367 AG369:AH369 AG371:AH371 AG373:AH373 AG375:AH375 AG377:AH377 AG379:AH379 AG381:AH381 AG383:AH383 AG387:AH387 AG389:AH389 AG391:AH391 AG393:AH393 AG395:AH395 AG399:AH399 AG401:AH401 AG409:AH409 AG411:AH411 AG413:AH413 AG415:AH415 AG417:AH417 AG419:AH419 AG421:AH421 AG423:AH423 AG425:AH425 AG427:AH427 AG429:AH429 AG431:AH431 AG433:AH433 AG438:AH438 AG442:AH442 AG446:AH446 AG448:AH448 AG450:AH450 AG452:AH452 AG454:AH454 AG585:AH585 AG587:AH587 AG589:AH589 AG591:AH591 AG691:AH691 AG693:AH693 AG695:AH695 AG697:AH697 AG699:AH699 AG701:AH701 AG703:AH703 AG705:AH705 AG707:AH707 AG709:AH709 AG711:AH711 AG713:AH713 AG715:AH715 AG717:AH717 AG719:AH719 AG721:AH721 AG723:AH723 AG725:AH725 AG727:AH727 AG729:AH729 AG731:AH731 AG733:AH733 AG735:AH735 AG737:AH737 AG739:AH739 AG741:AH741 AG743:AH743 AG745:AH745 AG747:AH747 AG749:AH749 AG751:AH751 AG753:AH753 AG755:AH755 AG757:AH757 AG759:AH759 AG761:AH761 AG763:AH763 AG765:AH765 AG767:AH767 AG769:AH769 AG771:AH771 AG773:AH773 AG775:AH775 AG777:AH777 AG779:AH779 AG781:AH781 AG783:AH783 AG785:AH785 AG787:AH787 AG789:AH789 AG791:AH791 AG793:AH793 AG795:AH795 AG797:AH797 AG799:AH799 AG801:AH801 AG803:AH803 AG805:AH805 AG807:AH807 AG809:AH809 AG811:AH811 AG813:AH813 AG815:AH815 AG817:AH817 AG819:AH819 AG821:AH821 AG823:AH823 AG825:AH825 AG827:AH827 AG829:AH829 AG831:AH831 AG833:AH833 AG236:AL236 AG238:AL238 AG239:AH241 AG242:AL242 AG244:AL244 AG246:AL246 AG248:AL248 AG250:AL250 AG252:AL252 AG253:AH255 AG256:AL256 AG260:AL260 AG266:AL266 AG268:AL268 AG270:AL270 AG274:AL274 AG276:AH277 AG278:AL278 AG280:AL280 AG282:AL282 AG286:AL286 AG288:AL288 AG290:AL290 AG292:AL292 AI294:AL294 AG296:AL296 AG298:AL298 AG302:AL302 AH304:AL304 AG306:AL306 AG308:AL308 AG314:AL314 AG316:AL316 AG318:AL318 AH320:AL320 AG322:AL322 AG324:AL324 AG328:AL328 AG330:AL330 AG332:AL332 AG336:AL336 AG338:AL338 AG340:AL340 AG342:AL342 AG344:AL344 AG346:AL346 AG350:AL350 AG352:AL352 AG354:AL354 AG356:AL356 AG358:AL358 AG360:AL360 AG362:AL362 AG366:AL366 AG368:AL368 AG370:AL370 AG372:AL372 AG374:AL374 AG376:AL376 AG378:AL378 AG380:AL380 AG382:AL382 AJ386:AL386 AG388:AL388 AG390:AL390 AG392:AL392 AG394:AL394 AG398:AL398 AG400:AL400 AJ404:AL404 AG406:AL406 AG408:AL408 AG410:AL410 AG412:AL412 AG414:AL414 AG416:AL416 AJ418:AL418 AG420:AL420 AG422:AL422 AG424:AL424 AG426:AL426 AG428:AL428 AG430:AL430 AG432:AL432 AG434:AL434 AG437:AL437 AG439:AL439 AJ441:AL441 AG443:AL443 AG445:AL445 AG447:AL447 AG449:AL449 AG451:AL451 AG453:AL453 AG455:AL455 AG457:AL457 AI459:AL459 AG586:AL586 AG588:AL588 AG590:AL590 AG592:AL592 AG692:AL692 AG694:AL694 AG696:AL696 AG698:AL698 AG700:AL700 AG702:AL702 AG704:AL704 AG706:AL706 AG708:AL708 AG710:AL710 AG712:AL712 AG714:AL714 AG716:AL716 AG718:AL718 AG720:AL720 AG722:AL722 AG724:AL724 AG726:AL726 AG728:AL728 AG730:AL730 AG732:AL732 AG734:AL734 AG736:AL736 AG738:AL738 AG740:AL740 AG742:AL742 AG744:AL744 AG746:AL746 AG748:AL748 AG750:AL750 AG752:AL752 AG754:AL754 AG756:AL756 AG758:AL758 AG760:AL760 AG762:AL762 AG764:AL764 AG766:AL766 AG768:AL768 AG770:AL770 AG772:AL772 AG774:AL774 AG776:AL776 AG778:AL778 AG780:AL780 AG782:AL782 AG784:AL784 AG786:AL786 AG788:AL788 AG790:AL790 AG792:AL792 AG794:AL794 AG796:AL796 AG798:AL798 AG800:AL800 AG802:AL802 AG804:AL804 AG806:AL806 AG808:AL808 AG810:AL810 AG812:AL812 AG814:AL814 AG816:AL816 AG818:AL818 AG820:AL820 AG822:AL822 AG824:AL824 AG826:AL826 AG828:AL828 AG830:AL830 AG832:AL832 AG834:AL834 AG272:AL272 AG175:AH177 AG228:AL228 AG262:AL264 AG206:AI206 AG284:AL284 AG310:AL310 AG361:AI361 AG385:AI385 AG397:AI397 AG403:AI403 AG456:AI456 AG312:AL312 AG326:AL326 AG348:AL348 AG593:AH593 AG595:AH595 AG597:AH597 AG599:AH599 AG601:AH601 AG603:AH603 AG605:AH605 AG607:AH607 AG609:AH609 AG611:AH611 AG613:AH613 AG615:AH615 AG617:AH617 AG619:AH619 AG621:AH621 AG623:AH623 AG625:AH625 AG627:AH627 AG629:AH629 AG631:AH631 AG633:AH633 AG635:AH635 AG637:AH637 AG639:AH639 AG641:AH641 AG643:AH643 AG645:AH645 AG647:AH647 AG649:AH649 AG651:AH651 AG653:AH653 AG655:AH655 AG657:AH657 AG659:AH659 AG661:AH661 AG663:AH663 AG665:AH665 AG667:AH667 AG669:AH669 AG671:AH671 AG673:AH673 AG675:AH675 AG677:AH677 AG679:AH679 AG681:AH681 AG683:AH683 AG685:AH685 AG687:AH687 AG689:AH689 AG594:AL594 AG596:AL596 AG598:AL598 AG600:AL600 AG602:AL602 AG604:AL604 AG606:AL606 AG610:AL610 AG612:AL612 AG614:AL614 AG616:AL616 AG618:AL618 AG620:AL620 AG622:AL622 AG624:AL624 AG626:AL626 AG628:AL628 AG630:AL630 AG632:AL632 AG634:AL634 AG636:AL636 AG638:AL638 AG640:AL640 AG642:AL642 AG644:AL644 AG646:AL646 AG648:AL648 AG650:AL650 AG652:AL652 AG654:AL654 AG656:AL656 AG658:AL658 AG660:AL660 AG662:AL662 AG664:AL664 AG666:AL666 AG668:AL668 AG670:AL670 AG672:AL672 AG674:AL674 AG676:AL676 AG678:AL678 AG680:AL680 AG682:AL682 AG684:AL684 AG686:AL686 AG688:AL688 AG690:AL690 AG460:AH460 AG462:AH462 AG464:AH464 AG466:AH466 AG468:AH468 AG470:AH470 AG472:AH472 AG474:AH474 AG476:AH476 AG478:AH478 AG480:AH480 AG482:AH482 AG484:AH484 AG488:AH488 AG492:AH492 AG494:AH494 AG496:AH496 AG498:AH498 AG500:AH500 AG502:AH502 AG504:AH504 AG506:AH506 AG508:AH508 AG510:AH510 AG512:AH512 AG514:AH514 AG516:AH516 AG518:AH518 AG520:AH520 AG522:AH522 AG525:AH525 AG527:AH527 AG529:AH529 AG531:AH531 AG533:AH533 AG535:AH535 AG537:AH537 AG539:AH539 AG541:AH541 AG543:AH543 AG545:AH545 AG547:AH547 AG549:AH549 AG551:AH551 AG553:AH553 AG555:AH555 AG557:AH557 AG559:AH559 AG561:AH561 AG567:AH567 AG569:AH569 AG571:AH571 AG573:AH573 AG575:AH575 AG577:AH577 AG579:AH579 AG581:AH581 AG583:AH583 AG461:AL461 AG463:AL463 AG465:AL465 AG467:AL467 AG469:AL469 AG473:AL473 AG475:AL475 AG477:AL477 AG479:AL479 AG481:AL481 AG483:AL483 AG487:AL487 AG489:AL489 AG493:AL493 AG495:AL495 AG497:AL497 AG499:AL499 AG501:AL501 AG503:AL503 AG505:AL505 AG507:AL507 AG509:AL509 AG511:AL511 AH515:AK515 AG517:AK517 AG519:AL519 AG521:AL521 AG523:AL524 AG526:AL526 AG528:AL528 AG530:AL530 AG532:AL532 AG534:AL534 AG536:AL536 AG538:AL538 AG540:AL540 AG542:AL542 AG544:AL544 AG546:AL546 AG548:AL548 AG550:AL550 AG552:AL552 AG554:AL554 AG556:AL556 AG558:AL558 AG560:AL560 AG562:AL562 AG564:AL564 AG566:AL566 AG568:AL568 AG570:AL570 AG572:AL572 AG574:AL574 AG576:AL576 AG578:AL578 AG580:AL580 AG582:AL582 AG584:AL584 AG471:AL471 AG608:AL608 AI485:AL485 AG835:AH835 AG837:AH837 AG836:AL836 AI224:AL224 AG486:AH486 AG491:AL491 AG513:AL513 AG458:AH458 AG563:AH565 AG279:AK279 AG301:AK301 AG334:AL334 AG300:AL300 AG384:AL384 AG364:AL364 AG396:AL396 AG402:AL402">
    <cfRule type="expression" dxfId="490" priority="7">
      <formula>WEEKDAY(AG$2,2)&gt;5</formula>
    </cfRule>
    <cfRule type="expression" dxfId="489" priority="8">
      <formula>WEEKDAY(#REF!,2)&gt;5</formula>
    </cfRule>
    <cfRule type="expression" dxfId="488" priority="9">
      <formula>WEEKDAY(#REF!,2)&gt;5</formula>
    </cfRule>
  </conditionalFormatting>
  <conditionalFormatting sqref="AI176:AL177 AI188:AL188 AJ190:AL190 AI192:AL192 AI194:AL194 AI196:AL196 AI198:AL198 AI202:AL202 AI204:AL204 AJ206:AL206 AI208:AL208 AI210:AL210 AI212:AL213 AI215:AL215 AI217:AL217 AI219:AL219 AI221:AL221 AI223:AL223 AI225:AL225 AI229:AL229 AI231:AL231 AI235:AL235 AI237:AL237 AI239:AL239 AI241:AL241 AI243:AL243 AI245:AL245 AI247:AL247 AJ249:AL249 AI251:AL251 AI253:AL253 AI255:AL255 AI257:AL257 AI259:AL259 AI261:AL261 AI265:AL265 AI267:AL267 AI269:AL269 AI271:AL271 AI273:AL273 AK275:AL275 AI277:AL277 AL279 AI281:AL281 AI283:AL283 AI285:AL285 AI287:AL287 AI289:AL289 AI291:AL291 AI293:AL293 AI295:AL295 AI297:AL297 AI299:AL299 AL301 AI303:AL303 AI305:AL305 AI307:AL307 AI309:AL309 AI311:AL311 AI313:AL313 AI315:AL315 AI317:AL317 AI319:AL319 AJ323:AL323 AI325:AL325 AI327:AL327 AI329:AL329 AI331:AL331 AI333:AL333 AI335:AL335 AI337:AL337 AI339:AL339 AI341:AL341 AI343:AL343 AI345:AL345 AI347:AL347 AI349:AL349 AI351:AL351 AI353:AL353 AI355:AL355 AI357:AL357 AI359:AL359 AJ361:AL361 AI363:AL363 AI365:AL365 AI367:AL367 AI369:AL369 AI371:AL371 AI373:AL373 AI375:AL375 AI377:AL377 AI379:AL379 AI381:AL381 AI383:AL383 AJ385:AL385 AI387:AL387 AI389:AL389 AI391:AL391 AI393:AL393 AI395:AL395 AJ397:AL397 AI399:AL399 AI401:AL401 AJ403:AL403 AK405:AL405 AJ407:AL407 AI409:AL409 AI411:AL411 AI413:AL413 AI415:AL415 AI417:AL417 AI419:AL419 AI421:AL421 AI423:AL423 AI425:AL425 AI427:AL427 AI429:AL429 AI431:AL431 AI433:AL433 AJ435:AL436 AI438:AL438 AJ440:AL440 AI442:AL442 AJ444:AL444 AI446:AL446 AI448:AL448 AI450:AL450 AI452:AL452 AI454:AL454 AJ456:AL456 AI458:AL458 AI585:AL585 AI587:AL587 AI589:AL589 AI591:AL591 AI691:AL691 AI693:AL693 AI695:AL695 AI697:AL697 AI699:AL699 AI701:AL701 AI703:AL703 AI705:AL705 AI707:AL707 AI709:AL709 AI711:AL711 AI713:AL713 AI715:AL715 AI717:AL717 AI719:AL719 AI721:AL721 AI723:AL723 AI725:AL725 AI727:AL727 AI729:AL729 AI731:AL731 AI733:AL733 AI735:AL735 AI737:AL737 AI739:AL739 AI741:AL741 AI743:AL743 AI745:AL745 AI747:AL747 AI749:AL749 AI751:AL751 AI753:AL753 AI755:AL755 AI757:AL757 AI759:AL759 AI761:AL761 AI763:AL763 AI765:AL765 AI767:AL767 AI769:AL769 AI771:AL771 AI773:AL773 AI775:AL775 AI777:AL777 AI779:AL779 AI781:AL781 AI783:AL783 AI785:AL785 AI787:AL787 AI789:AL789 AI791:AL791 AI793:AL793 AI795:AL795 AI797:AL797 AI799:AL799 AI801:AL801 AI803:AL803 AI805:AL805 AI807:AL807 AI809:AL809 AI811:AL811 AI813:AL813 AI815:AL815 AI817:AL817 AI819:AL819 AI821:AL821 AI823:AL823 AI825:AL825 AI827:AL827 AI829:AL829 AI831:AL831 AI833:AL833 AI180:AL186 AI593:AL593 AI597:AL597 AI599:AL599 AI601:AL601 AI603:AL603 AI605:AL605 AI607:AL607 AI609:AL609 AI611:AL611 AI613:AL613 AI615:AL615 AI617:AL617 AI619:AL619 AI621:AL621 AI623:AL623 AI625:AL625 AI627:AL627 AI629:AL629 AI631:AL631 AI633:AL633 AI637:AL637 AI641:AL641 AI643:AL643 AI645:AL645 AI647:AL647 AI649:AL649 AI651:AL651 AI653:AL653 AI655:AL655 AI657:AL657 AI659:AL659 AI661:AL661 AI663:AL663 AI665:AL665 AI667:AL667 AI669:AL669 AI671:AL671 AI673:AL673 AI675:AL675 AI677:AL677 AI679:AL679 AI681:AL681 AI683:AL683 AI685:AL685 AI687:AL687 AI689:AL689 AI460:AL460 AI462:AL462 AI464:AL464 AI468:AL468 AI470:AL470 AI472:AL472 AI474:AL474 AI478:AL478 AI482:AL482 AI484:AL484 AI486:AL486 AI488:AL488 AI490:AL490 AI492:AL492 AI494:AL494 AI496:AL496 AI498:AL498 AI500:AL500 AI502:AL502 AI504:AL504 AI506:AL506 AI508:AL508 AI510:AL510 AI512:AL512 AI514:AL514 AI516:AK516 AI518:AL518 AI520:AL520 AI522:AL522 AI525:AL525 AI527:AL527 AI529:AL529 AI531:AL531 AI533:AL533 AI535:AL535 AI537:AL537 AI539:AL539 AI541:AL541 AI543:AL543 AI545:AL545 AI547:AL547 AI549:AL549 AI551:AL551 AI553:AL553 AI555:AL555 AI557:AL557 AI559:AL559 AI561:AL561 AI563:AL563 AI565:AL565 AI567:AL567 AI569:AL569 AI571:AL571 AI573:AL573 AI575:AL575 AI577:AL577 AI579:AL579 AI581:AL581 AI583:AL583 AI321:AL321 AI480:AL480 AI476:AL476 AI635:AL635 AI639:AL639 AI835:AL835 AI837:AL837 AI466:AL466 AL515:AL517 AI595:AL595">
    <cfRule type="expression" dxfId="487" priority="4">
      <formula>WEEKDAY(AI$2,2)&gt;5</formula>
    </cfRule>
    <cfRule type="expression" dxfId="486" priority="5">
      <formula>WEEKDAY(#REF!,2)&gt;5</formula>
    </cfRule>
    <cfRule type="expression" dxfId="485" priority="6">
      <formula>WEEKDAY(#REF!,2)&gt;5</formula>
    </cfRule>
  </conditionalFormatting>
  <dataValidations count="1">
    <dataValidation type="list" allowBlank="1" showInputMessage="1" showErrorMessage="1" sqref="A3:A837">
      <formula1>"январь,февраль,март,апрель,май,июнь,июль,август,сентябрь,октябрь,ноябрь,декабрь"</formula1>
    </dataValidation>
  </dataValidations>
  <pageMargins left="0.7" right="0.7" top="0.75" bottom="0.75" header="0.3" footer="0.3"/>
  <pageSetup paperSize="9" orientation="portrait" r:id="rId1"/>
  <ignoredErrors>
    <ignoredError sqref="AO3" twoDigitTextYear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Выбирите" prompt="ФИО мастера">
          <x14:formula1>
            <xm:f>база!$O$2:$O$6</xm:f>
          </x14:formula1>
          <xm:sqref>AU7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0000"/>
    <pageSetUpPr fitToPage="1"/>
  </sheetPr>
  <dimension ref="A1:AU501"/>
  <sheetViews>
    <sheetView showZeros="0" topLeftCell="A476" zoomScale="80" zoomScaleNormal="80" workbookViewId="0">
      <selection activeCell="H372" sqref="H372"/>
    </sheetView>
  </sheetViews>
  <sheetFormatPr defaultRowHeight="14.25"/>
  <cols>
    <col min="1" max="1" customWidth="true" style="5" width="11.7109375"/>
    <col min="2" max="2" customWidth="true" style="7" width="6.140625"/>
    <col min="3" max="3" customWidth="true" style="574" width="16.28515625"/>
    <col min="4" max="4" customWidth="true" style="31" width="7.28515625"/>
    <col min="5" max="5" customWidth="true" style="6" width="6.42578125"/>
    <col min="6" max="6" customWidth="true" style="229" width="45.140625"/>
    <col min="7" max="7" customWidth="true" style="1" width="7.0"/>
    <col min="8" max="12" customWidth="true" style="1" width="6.0"/>
    <col min="13" max="15" customWidth="true" style="46" width="6.0"/>
    <col min="16" max="16" customWidth="true" style="21" width="6.0"/>
    <col min="17" max="35" customWidth="true" style="46" width="6.0"/>
    <col min="36" max="38" customWidth="true" style="1" width="6.0"/>
    <col min="39" max="39" customWidth="true" style="1" width="10.42578125"/>
    <col min="40" max="40" customWidth="true" style="145" width="15.85546875"/>
    <col min="41" max="41" customWidth="true" style="46" width="11.85546875"/>
    <col min="42" max="42" style="1" width="9.140625"/>
    <col min="43" max="43" customWidth="true" style="1" width="14.85546875"/>
    <col min="44" max="44" customWidth="true" style="1" width="19.85546875"/>
    <col min="45" max="45" customWidth="true" style="1" width="14.140625"/>
    <col min="46" max="46" customWidth="true" style="1" width="13.140625"/>
    <col min="47" max="16384" style="1" width="9.140625"/>
  </cols>
  <sheetData>
    <row r="1" spans="1:47" s="57" customFormat="1" ht="73.5" customHeight="1">
      <c r="A1" s="209" t="s">
        <v>7</v>
      </c>
      <c r="B1" s="113" t="s">
        <v>8</v>
      </c>
      <c r="C1" s="113" t="s">
        <v>2</v>
      </c>
      <c r="D1" s="115" t="s">
        <v>10</v>
      </c>
      <c r="E1" s="116" t="s">
        <v>9</v>
      </c>
      <c r="F1" s="228" t="s">
        <v>0</v>
      </c>
      <c r="G1" s="117" t="s">
        <v>1</v>
      </c>
      <c r="H1" s="118" t="s">
        <v>46</v>
      </c>
      <c r="I1" s="118" t="s">
        <v>11</v>
      </c>
      <c r="J1" s="118" t="s">
        <v>12</v>
      </c>
      <c r="K1" s="118" t="s">
        <v>54</v>
      </c>
      <c r="L1" s="118" t="s">
        <v>55</v>
      </c>
      <c r="M1" s="118" t="s">
        <v>13</v>
      </c>
      <c r="N1" s="118" t="s">
        <v>44</v>
      </c>
      <c r="O1" s="118" t="s">
        <v>45</v>
      </c>
      <c r="P1" s="118" t="s">
        <v>14</v>
      </c>
      <c r="Q1" s="118" t="s">
        <v>15</v>
      </c>
      <c r="R1" s="118" t="s">
        <v>56</v>
      </c>
      <c r="S1" s="118" t="s">
        <v>57</v>
      </c>
      <c r="T1" s="118" t="s">
        <v>16</v>
      </c>
      <c r="U1" s="118" t="s">
        <v>47</v>
      </c>
      <c r="V1" s="118" t="s">
        <v>48</v>
      </c>
      <c r="W1" s="118" t="s">
        <v>17</v>
      </c>
      <c r="X1" s="118" t="s">
        <v>18</v>
      </c>
      <c r="Y1" s="118" t="s">
        <v>58</v>
      </c>
      <c r="Z1" s="118" t="s">
        <v>59</v>
      </c>
      <c r="AA1" s="118" t="s">
        <v>19</v>
      </c>
      <c r="AB1" s="118" t="s">
        <v>49</v>
      </c>
      <c r="AC1" s="118" t="s">
        <v>50</v>
      </c>
      <c r="AD1" s="118" t="s">
        <v>20</v>
      </c>
      <c r="AE1" s="118" t="s">
        <v>21</v>
      </c>
      <c r="AF1" s="118" t="s">
        <v>60</v>
      </c>
      <c r="AG1" s="118" t="s">
        <v>61</v>
      </c>
      <c r="AH1" s="118" t="s">
        <v>22</v>
      </c>
      <c r="AI1" s="118" t="s">
        <v>51</v>
      </c>
      <c r="AJ1" s="118" t="s">
        <v>52</v>
      </c>
      <c r="AK1" s="118" t="s">
        <v>53</v>
      </c>
      <c r="AL1" s="118" t="s">
        <v>62</v>
      </c>
      <c r="AM1" s="119" t="s">
        <v>41</v>
      </c>
      <c r="AN1" s="294" t="s">
        <v>93</v>
      </c>
      <c r="AO1" s="120" t="s">
        <v>74</v>
      </c>
      <c r="AQ1" s="57">
        <f>Таблица14[[#Totals],[Столбец2]]</f>
        <v>0</v>
      </c>
      <c r="AR1" s="750">
        <f>'наряд СУ'!Z952</f>
        <v>0</v>
      </c>
      <c r="AS1" s="57">
        <f>Таблица14[[#Totals],[часы]]</f>
        <v>0</v>
      </c>
      <c r="AT1" s="750">
        <f>'наряд СУ'!Y952</f>
        <v>0</v>
      </c>
    </row>
    <row r="2" spans="1:47" ht="13.5" customHeight="1">
      <c r="A2" s="924" t="str">
        <f>Data_Tech!A3</f>
        <v>январь</v>
      </c>
      <c r="B2" t="n" s="924">
        <v>2024.0</v>
      </c>
      <c r="C2" t="s" s="924">
        <v>387</v>
      </c>
      <c r="D2" t="s" s="924">
        <v>364</v>
      </c>
      <c r="E2" t="s" s="924">
        <v>46</v>
      </c>
      <c r="F2" t="s" s="924">
        <v>358</v>
      </c>
      <c r="G2" t="s" s="924">
        <v>3</v>
      </c>
      <c r="H2" s="924"/>
      <c r="I2" s="924"/>
      <c r="J2" s="924"/>
      <c r="K2" t="n" s="924">
        <v>4.0</v>
      </c>
      <c r="L2" t="n" s="1">
        <v>4.0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121">
        <f>SUM(H2:AL2)</f>
        <v>0</v>
      </c>
      <c r="AN2" s="564">
        <f>IF(AO2&lt;=3,(IF(AND(G2="5/24",AM2&gt;0.5),(AM2*2*база!$M$6*Таблица14[[#This Row],[коэф]]),
IF(AND(G2="4/24",AM2&gt;0.5),(AM2*2*база!$M$5*Таблица14[[#This Row],[коэф]]),
IF(AND(G2="3/24",AM2&gt;0.5),(AM2*2*база!$M$4*Таблица14[[#This Row],[коэф]]),
IF(AND(G2="5/16",AM2&gt;0.5),(AM2*2*база!$L$6*Таблица14[[#This Row],[коэф]]),
IF(AND(G2="4/16",AM2&gt;0.5),(AM2*2*база!$L$5*Таблица14[[#This Row],[коэф]]),
IF(AND(G2="3/16",AM2&gt;0.5),(AM2*2*база!$L$4*Таблица14[[#This Row],[коэф]]),
IF(AND(G2="4/4",AM2&gt;0.5),(AM2*2*база!$I$5*Таблица14[[#This Row],[коэф]]),
IF(OR(AND(G2="3/4",AM2&gt;0.5),AND(G2="2/4",AM2&gt;0.5)),(AM2*2*база!$I$4*Таблица14[[#This Row],[коэф]]),
IF(AND(G2="5/8",AM2&gt;0.5),(AM2*2*база!$J$6*Таблица14[[#This Row],[коэф]]),
IF(AND(G2="4/8",AM2&gt;0.5),(AM2*2*база!$J$5*Таблица14[[#This Row],[коэф]]),
IF(OR(AND(G2="3/8",AM2&gt;0.5),AND(G2="2/8",AM2&gt;0.5)),(AM2*2*база!$J$4*Таблица14[[#This Row],[коэф]]),
(AM2*0.5*база!$L$4*Таблица14[[#This Row],[коэф]]))))))))))))),
(IF(AND(G2="5/24",AM2&gt;0.5),(AM2*2*база!$M$6*Таблица14[[#This Row],[коэф]]),
IF(OR(AND(G2="4/24",AM2&gt;0.5),AND(G2="3/24",AM2&gt;0.5)),(AM2*2*база!$M$5*Таблица14[[#This Row],[коэф]]),
IF(AND(G2="5/16",AM2&gt;0.5),(AM2*2*база!$L$6*Таблица14[[#This Row],[коэф]]),
IF(OR(AND(G2="4/16",AM2&gt;0.5),AND(G2="3/16",AM2&gt;0.5)),(AM2*2*база!$L$5*Таблица14[[#This Row],[коэф]]),
IF(OR(AND(G2="4/4",AM2&gt;0.5),AND(G2="3/4",AM2&gt;2)),(AM2*2*база!$I$5*Таблица14[[#This Row],[коэф]]),
IF(AND(G2="5/8",AM2&gt;0.5),(AM2*2*база!$J$6*Таблица14[[#This Row],[коэф]]),
IF(AND(G2="4/8",AM2&gt;0.5),(AM2*2*база!$J$5*Таблица14[[#This Row],[коэф]]),
IF(OR(AND(G2="3/8",AM2&gt;0.5),AND(G2="2/8",AM2&gt;0.5)),(AM2*2*база!$J$4*Таблица14[[#This Row],[коэф]]),
(AM2*2*база!$L$5*Таблица14[[#This Row],[коэф]])))))))))))</f>
        <v>0</v>
      </c>
      <c r="AO2" s="122" t="str">
        <f>IFERROR(INDEX(база!$D$2:$D$120, MATCH(Таблица14[[#This Row],[Ф. И. О.]],база!$B$2:$B$100,0)),"")</f>
        <v/>
      </c>
      <c r="AP2" s="57" t="str">
        <f>IFERROR(INDEX(база!$D$2:$D$120, MATCH(Таблица14[[#This Row],[Ф. И. О.]],база!$B$2:$B$100,0)),"")</f>
        <v/>
      </c>
      <c r="AQ2" s="57">
        <f>AQ1-AR1</f>
        <v>0</v>
      </c>
      <c r="AR2" s="57"/>
      <c r="AS2" s="750">
        <f>AS1-AT1</f>
        <v>0</v>
      </c>
      <c r="AT2" s="32"/>
    </row>
    <row r="3" spans="1:47" ht="13.5" customHeight="1">
      <c r="A3" s="925" t="str">
        <f>A2</f>
        <v>январь</v>
      </c>
      <c r="B3" t="n" s="925">
        <v>2024.0</v>
      </c>
      <c r="C3" t="s" s="925">
        <v>386</v>
      </c>
      <c r="D3" t="s" s="925">
        <v>364</v>
      </c>
      <c r="E3" t="s" s="925">
        <v>46</v>
      </c>
      <c r="F3" t="s" s="925">
        <v>276</v>
      </c>
      <c r="G3" t="s" s="925">
        <v>4</v>
      </c>
      <c r="H3" s="925"/>
      <c r="I3" s="925"/>
      <c r="J3" s="925"/>
      <c r="K3" t="n" s="925">
        <v>4.0</v>
      </c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121">
        <f>SUM(H3:AL3)</f>
        <v>0</v>
      </c>
      <c r="AN3" s="564">
        <f>IF(AO3&lt;=3,(IF(AND(G3="5/24",AM3&gt;0.5),(AM3*2*база!$M$6*Таблица14[[#This Row],[коэф]]),
IF(AND(G3="4/24",AM3&gt;0.5),(AM3*2*база!$M$5*Таблица14[[#This Row],[коэф]]),
IF(AND(G3="3/24",AM3&gt;0.5),(AM3*2*база!$M$4*Таблица14[[#This Row],[коэф]]),
IF(AND(G3="5/16",AM3&gt;0.5),(AM3*2*база!$L$6*Таблица14[[#This Row],[коэф]]),
IF(AND(G3="4/16",AM3&gt;0.5),(AM3*2*база!$L$5*Таблица14[[#This Row],[коэф]]),
IF(AND(G3="3/16",AM3&gt;0.5),(AM3*2*база!$L$4*Таблица14[[#This Row],[коэф]]),
IF(AND(G3="4/4",AM3&gt;0.5),(AM3*2*база!$I$5*Таблица14[[#This Row],[коэф]]),
IF(OR(AND(G3="3/4",AM3&gt;0.5),AND(G3="2/4",AM3&gt;0.5)),(AM3*2*база!$I$4*Таблица14[[#This Row],[коэф]]),
IF(AND(G3="5/8",AM3&gt;0.5),(AM3*2*база!$J$6*Таблица14[[#This Row],[коэф]]),
IF(AND(G3="4/8",AM3&gt;0.5),(AM3*2*база!$J$5*Таблица14[[#This Row],[коэф]]),
IF(OR(AND(G3="3/8",AM3&gt;0.5),AND(G3="2/8",AM3&gt;0.5)),(AM3*2*база!$J$4*Таблица14[[#This Row],[коэф]]),
(AM3*0.5*база!$L$4*Таблица14[[#This Row],[коэф]]))))))))))))),
(IF(AND(G3="5/24",AM3&gt;0.5),(AM3*2*база!$M$6*Таблица14[[#This Row],[коэф]]),
IF(OR(AND(G3="4/24",AM3&gt;0.5),AND(G3="3/24",AM3&gt;0.5)),(AM3*2*база!$M$5*Таблица14[[#This Row],[коэф]]),
IF(AND(G3="5/16",AM3&gt;0.5),(AM3*2*база!$L$6*Таблица14[[#This Row],[коэф]]),
IF(OR(AND(G3="4/16",AM3&gt;0.5),AND(G3="3/16",AM3&gt;0.5)),(AM3*2*база!$L$5*Таблица14[[#This Row],[коэф]]),
IF(OR(AND(G3="4/4",AM3&gt;0.5),AND(G3="3/4",AM3&gt;2)),(AM3*2*база!$I$5*Таблица14[[#This Row],[коэф]]),
IF(AND(G3="5/8",AM3&gt;0.5),(AM3*2*база!$J$6*Таблица14[[#This Row],[коэф]]),
IF(AND(G3="4/8",AM3&gt;0.5),(AM3*2*база!$J$5*Таблица14[[#This Row],[коэф]]),
IF(OR(AND(G3="3/8",AM3&gt;0.5),AND(G3="2/8",AM3&gt;0.5)),(AM3*2*база!$J$4*Таблица14[[#This Row],[коэф]]),
(AM3*2*база!$L$5*Таблица14[[#This Row],[коэф]])))))))))))</f>
        <v>0</v>
      </c>
      <c r="AO3" s="122" t="str">
        <f>IFERROR(INDEX(база!$D$2:$D$120, MATCH(Таблица14[[#This Row],[Ф. И. О.]],база!$B$2:$B$100,0)),"")</f>
        <v/>
      </c>
      <c r="AP3" s="57"/>
      <c r="AQ3" s="57"/>
      <c r="AR3" s="57"/>
      <c r="AS3" s="57"/>
      <c r="AT3" s="70"/>
    </row>
    <row r="4" spans="1:47" ht="13.5" customHeight="1">
      <c r="A4" s="928" t="str">
        <f t="shared" ref="A4:A105" si="0">A3</f>
        <v>январь</v>
      </c>
      <c r="B4" t="n" s="928">
        <v>2024.0</v>
      </c>
      <c r="C4" t="s" s="928">
        <v>390</v>
      </c>
      <c r="D4" t="s" s="928">
        <v>391</v>
      </c>
      <c r="E4" t="s" s="928">
        <v>389</v>
      </c>
      <c r="F4" t="s" s="928">
        <v>257</v>
      </c>
      <c r="G4" t="s" s="928">
        <v>5</v>
      </c>
      <c r="H4" s="928"/>
      <c r="I4" s="928"/>
      <c r="J4" s="928"/>
      <c r="K4" t="n" s="928">
        <v>4.0</v>
      </c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121">
        <f t="shared" ref="AM4:AM67" si="1">SUM(H4:AL4)</f>
        <v>0</v>
      </c>
      <c r="AN4" s="564">
        <f>IF(AO4&lt;=3,(IF(AND(G4="5/24",AM4&gt;0.5),(AM4*2*база!$M$6*Таблица14[[#This Row],[коэф]]),
IF(AND(G4="4/24",AM4&gt;0.5),(AM4*2*база!$M$5*Таблица14[[#This Row],[коэф]]),
IF(AND(G4="3/24",AM4&gt;0.5),(AM4*2*база!$M$4*Таблица14[[#This Row],[коэф]]),
IF(AND(G4="5/16",AM4&gt;0.5),(AM4*2*база!$L$6*Таблица14[[#This Row],[коэф]]),
IF(AND(G4="4/16",AM4&gt;0.5),(AM4*2*база!$L$5*Таблица14[[#This Row],[коэф]]),
IF(AND(G4="3/16",AM4&gt;0.5),(AM4*2*база!$L$4*Таблица14[[#This Row],[коэф]]),
IF(AND(G4="4/4",AM4&gt;0.5),(AM4*2*база!$I$5*Таблица14[[#This Row],[коэф]]),
IF(OR(AND(G4="3/4",AM4&gt;0.5),AND(G4="2/4",AM4&gt;0.5)),(AM4*2*база!$I$4*Таблица14[[#This Row],[коэф]]),
IF(AND(G4="5/8",AM4&gt;0.5),(AM4*2*база!$J$6*Таблица14[[#This Row],[коэф]]),
IF(AND(G4="4/8",AM4&gt;0.5),(AM4*2*база!$J$5*Таблица14[[#This Row],[коэф]]),
IF(OR(AND(G4="3/8",AM4&gt;0.5),AND(G4="2/8",AM4&gt;0.5)),(AM4*2*база!$J$4*Таблица14[[#This Row],[коэф]]),
(AM4*0.5*база!$L$4*Таблица14[[#This Row],[коэф]]))))))))))))),
(IF(AND(G4="5/24",AM4&gt;0.5),(AM4*2*база!$M$6*Таблица14[[#This Row],[коэф]]),
IF(OR(AND(G4="4/24",AM4&gt;0.5),AND(G4="3/24",AM4&gt;0.5)),(AM4*2*база!$M$5*Таблица14[[#This Row],[коэф]]),
IF(AND(G4="5/16",AM4&gt;0.5),(AM4*2*база!$L$6*Таблица14[[#This Row],[коэф]]),
IF(OR(AND(G4="4/16",AM4&gt;0.5),AND(G4="3/16",AM4&gt;0.5)),(AM4*2*база!$L$5*Таблица14[[#This Row],[коэф]]),
IF(OR(AND(G4="4/4",AM4&gt;0.5),AND(G4="3/4",AM4&gt;2)),(AM4*2*база!$I$5*Таблица14[[#This Row],[коэф]]),
IF(AND(G4="5/8",AM4&gt;0.5),(AM4*2*база!$J$6*Таблица14[[#This Row],[коэф]]),
IF(AND(G4="4/8",AM4&gt;0.5),(AM4*2*база!$J$5*Таблица14[[#This Row],[коэф]]),
IF(OR(AND(G4="3/8",AM4&gt;0.5),AND(G4="2/8",AM4&gt;0.5)),(AM4*2*база!$J$4*Таблица14[[#This Row],[коэф]]),
(AM4*2*база!$L$5*Таблица14[[#This Row],[коэф]])))))))))))</f>
        <v>0</v>
      </c>
      <c r="AO4" s="122" t="str">
        <f>IFERROR(INDEX(база!$D$2:$D$120, MATCH(Таблица14[[#This Row],[Ф. И. О.]],база!$B$2:$B$100,0)),"")</f>
        <v/>
      </c>
      <c r="AP4" s="57"/>
      <c r="AQ4" s="57"/>
      <c r="AR4" s="57"/>
      <c r="AS4" s="57"/>
      <c r="AT4" s="32"/>
      <c r="AU4" s="32"/>
    </row>
    <row r="5" spans="1:47" ht="13.5" customHeight="1">
      <c r="A5" s="930" t="str">
        <f t="shared" si="0"/>
        <v>январь</v>
      </c>
      <c r="B5" t="n" s="930">
        <v>2024.0</v>
      </c>
      <c r="C5" t="s" s="930">
        <v>386</v>
      </c>
      <c r="D5" t="s" s="930">
        <v>364</v>
      </c>
      <c r="E5" t="s" s="930">
        <v>46</v>
      </c>
      <c r="F5" t="s" s="930">
        <v>258</v>
      </c>
      <c r="G5" t="s" s="930">
        <v>4</v>
      </c>
      <c r="H5" s="930"/>
      <c r="I5" s="930"/>
      <c r="J5" s="930"/>
      <c r="K5" t="n" s="930">
        <v>4.0</v>
      </c>
      <c r="L5" t="n" s="1">
        <v>4.0</v>
      </c>
      <c r="M5" t="n" s="46">
        <v>3.0</v>
      </c>
      <c r="N5" t="n" s="46">
        <v>3.0</v>
      </c>
      <c r="O5" s="215"/>
      <c r="P5" s="215"/>
      <c r="Q5" s="215"/>
      <c r="R5" s="215"/>
      <c r="S5" s="215"/>
      <c r="T5" s="215"/>
      <c r="U5" s="215"/>
      <c r="V5" s="215"/>
      <c r="W5" s="215"/>
      <c r="X5" s="215"/>
      <c r="Y5" s="49"/>
      <c r="Z5" s="215"/>
      <c r="AA5" s="215"/>
      <c r="AB5" s="215"/>
      <c r="AC5" s="215"/>
      <c r="AD5" s="215"/>
      <c r="AE5" s="215"/>
      <c r="AF5" s="215"/>
      <c r="AG5" s="215"/>
      <c r="AH5" s="49"/>
      <c r="AI5" s="215"/>
      <c r="AJ5" s="215"/>
      <c r="AK5" s="215"/>
      <c r="AL5" s="215"/>
      <c r="AM5" s="121">
        <f t="shared" si="1"/>
        <v>0</v>
      </c>
      <c r="AN5" s="564">
        <f>IF(AO5&lt;=3,(IF(AND(G5="5/24",AM5&gt;0.5),(AM5*2*база!$M$6*Таблица14[[#This Row],[коэф]]),
IF(AND(G5="4/24",AM5&gt;0.5),(AM5*2*база!$M$5*Таблица14[[#This Row],[коэф]]),
IF(AND(G5="3/24",AM5&gt;0.5),(AM5*2*база!$M$4*Таблица14[[#This Row],[коэф]]),
IF(AND(G5="5/16",AM5&gt;0.5),(AM5*2*база!$L$6*Таблица14[[#This Row],[коэф]]),
IF(AND(G5="4/16",AM5&gt;0.5),(AM5*2*база!$L$5*Таблица14[[#This Row],[коэф]]),
IF(AND(G5="3/16",AM5&gt;0.5),(AM5*2*база!$L$4*Таблица14[[#This Row],[коэф]]),
IF(AND(G5="4/4",AM5&gt;0.5),(AM5*2*база!$I$5*Таблица14[[#This Row],[коэф]]),
IF(OR(AND(G5="3/4",AM5&gt;0.5),AND(G5="2/4",AM5&gt;0.5)),(AM5*2*база!$I$4*Таблица14[[#This Row],[коэф]]),
IF(AND(G5="5/8",AM5&gt;0.5),(AM5*2*база!$J$6*Таблица14[[#This Row],[коэф]]),
IF(AND(G5="4/8",AM5&gt;0.5),(AM5*2*база!$J$5*Таблица14[[#This Row],[коэф]]),
IF(OR(AND(G5="3/8",AM5&gt;0.5),AND(G5="2/8",AM5&gt;0.5)),(AM5*2*база!$J$4*Таблица14[[#This Row],[коэф]]),
(AM5*0.5*база!$L$4*Таблица14[[#This Row],[коэф]]))))))))))))),
(IF(AND(G5="5/24",AM5&gt;0.5),(AM5*2*база!$M$6*Таблица14[[#This Row],[коэф]]),
IF(OR(AND(G5="4/24",AM5&gt;0.5),AND(G5="3/24",AM5&gt;0.5)),(AM5*2*база!$M$5*Таблица14[[#This Row],[коэф]]),
IF(AND(G5="5/16",AM5&gt;0.5),(AM5*2*база!$L$6*Таблица14[[#This Row],[коэф]]),
IF(OR(AND(G5="4/16",AM5&gt;0.5),AND(G5="3/16",AM5&gt;0.5)),(AM5*2*база!$L$5*Таблица14[[#This Row],[коэф]]),
IF(OR(AND(G5="4/4",AM5&gt;0.5),AND(G5="3/4",AM5&gt;2)),(AM5*2*база!$I$5*Таблица14[[#This Row],[коэф]]),
IF(AND(G5="5/8",AM5&gt;0.5),(AM5*2*база!$J$6*Таблица14[[#This Row],[коэф]]),
IF(AND(G5="4/8",AM5&gt;0.5),(AM5*2*база!$J$5*Таблица14[[#This Row],[коэф]]),
IF(OR(AND(G5="3/8",AM5&gt;0.5),AND(G5="2/8",AM5&gt;0.5)),(AM5*2*база!$J$4*Таблица14[[#This Row],[коэф]]),
(AM5*2*база!$L$5*Таблица14[[#This Row],[коэф]])))))))))))</f>
        <v>0</v>
      </c>
      <c r="AO5" s="122" t="str">
        <f>IFERROR(INDEX(база!$D$2:$D$120, MATCH(Таблица14[[#This Row],[Ф. И. О.]],база!$B$2:$B$100,0)),"")</f>
        <v/>
      </c>
      <c r="AP5" s="57"/>
      <c r="AQ5" s="57"/>
      <c r="AR5" s="57"/>
      <c r="AS5" s="57"/>
      <c r="AT5" s="70"/>
    </row>
    <row r="6" spans="1:47" ht="13.5" customHeight="1">
      <c r="A6" s="933" t="str">
        <f t="shared" si="0"/>
        <v>январь</v>
      </c>
      <c r="B6" t="n" s="933">
        <v>2024.0</v>
      </c>
      <c r="C6" t="s" s="933">
        <v>390</v>
      </c>
      <c r="D6" t="s" s="933">
        <v>391</v>
      </c>
      <c r="E6" t="s" s="933">
        <v>46</v>
      </c>
      <c r="F6" t="s" s="933">
        <v>349</v>
      </c>
      <c r="G6" t="s" s="933">
        <v>6</v>
      </c>
      <c r="H6" s="933"/>
      <c r="I6" s="933"/>
      <c r="J6" s="933"/>
      <c r="K6" t="n" s="933">
        <v>4.0</v>
      </c>
      <c r="L6" t="n" s="1">
        <v>4.0</v>
      </c>
      <c r="M6" s="215"/>
      <c r="N6" s="215"/>
      <c r="O6" s="215"/>
      <c r="P6" s="215"/>
      <c r="Q6" s="215"/>
      <c r="R6" s="215"/>
      <c r="S6" s="215"/>
      <c r="T6" s="215"/>
      <c r="U6" s="49"/>
      <c r="V6" s="215"/>
      <c r="W6" s="215"/>
      <c r="X6" s="215"/>
      <c r="Y6" s="215"/>
      <c r="Z6" s="49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121">
        <f t="shared" si="1"/>
        <v>0</v>
      </c>
      <c r="AN6" s="564">
        <f>IF(AO6&lt;=3,(IF(AND(G6="5/24",AM6&gt;0.5),(AM6*2*база!$M$6*Таблица14[[#This Row],[коэф]]),
IF(AND(G6="4/24",AM6&gt;0.5),(AM6*2*база!$M$5*Таблица14[[#This Row],[коэф]]),
IF(AND(G6="3/24",AM6&gt;0.5),(AM6*2*база!$M$4*Таблица14[[#This Row],[коэф]]),
IF(AND(G6="5/16",AM6&gt;0.5),(AM6*2*база!$L$6*Таблица14[[#This Row],[коэф]]),
IF(AND(G6="4/16",AM6&gt;0.5),(AM6*2*база!$L$5*Таблица14[[#This Row],[коэф]]),
IF(AND(G6="3/16",AM6&gt;0.5),(AM6*2*база!$L$4*Таблица14[[#This Row],[коэф]]),
IF(AND(G6="4/4",AM6&gt;0.5),(AM6*2*база!$I$5*Таблица14[[#This Row],[коэф]]),
IF(OR(AND(G6="3/4",AM6&gt;0.5),AND(G6="2/4",AM6&gt;0.5)),(AM6*2*база!$I$4*Таблица14[[#This Row],[коэф]]),
IF(AND(G6="5/8",AM6&gt;0.5),(AM6*2*база!$J$6*Таблица14[[#This Row],[коэф]]),
IF(AND(G6="4/8",AM6&gt;0.5),(AM6*2*база!$J$5*Таблица14[[#This Row],[коэф]]),
IF(OR(AND(G6="3/8",AM6&gt;0.5),AND(G6="2/8",AM6&gt;0.5)),(AM6*2*база!$J$4*Таблица14[[#This Row],[коэф]]),
(AM6*0.5*база!$L$4*Таблица14[[#This Row],[коэф]]))))))))))))),
(IF(AND(G6="5/24",AM6&gt;0.5),(AM6*2*база!$M$6*Таблица14[[#This Row],[коэф]]),
IF(OR(AND(G6="4/24",AM6&gt;0.5),AND(G6="3/24",AM6&gt;0.5)),(AM6*2*база!$M$5*Таблица14[[#This Row],[коэф]]),
IF(AND(G6="5/16",AM6&gt;0.5),(AM6*2*база!$L$6*Таблица14[[#This Row],[коэф]]),
IF(OR(AND(G6="4/16",AM6&gt;0.5),AND(G6="3/16",AM6&gt;0.5)),(AM6*2*база!$L$5*Таблица14[[#This Row],[коэф]]),
IF(OR(AND(G6="4/4",AM6&gt;0.5),AND(G6="3/4",AM6&gt;2)),(AM6*2*база!$I$5*Таблица14[[#This Row],[коэф]]),
IF(AND(G6="5/8",AM6&gt;0.5),(AM6*2*база!$J$6*Таблица14[[#This Row],[коэф]]),
IF(AND(G6="4/8",AM6&gt;0.5),(AM6*2*база!$J$5*Таблица14[[#This Row],[коэф]]),
IF(OR(AND(G6="3/8",AM6&gt;0.5),AND(G6="2/8",AM6&gt;0.5)),(AM6*2*база!$J$4*Таблица14[[#This Row],[коэф]]),
(AM6*2*база!$L$5*Таблица14[[#This Row],[коэф]])))))))))))</f>
        <v>0</v>
      </c>
      <c r="AO6" s="122" t="str">
        <f>IFERROR(INDEX(база!$D$2:$D$120, MATCH(Таблица14[[#This Row],[Ф. И. О.]],база!$B$2:$B$100,0)),"")</f>
        <v/>
      </c>
      <c r="AP6" s="57"/>
      <c r="AQ6" s="57"/>
      <c r="AR6" s="57"/>
      <c r="AS6" s="57"/>
      <c r="AT6" s="70"/>
      <c r="AU6" s="32"/>
    </row>
    <row r="7" spans="1:47" ht="13.5" customHeight="1">
      <c r="A7" s="935" t="str">
        <f t="shared" si="0"/>
        <v>январь</v>
      </c>
      <c r="B7" t="n" s="935">
        <v>2024.0</v>
      </c>
      <c r="C7" t="s" s="935">
        <v>388</v>
      </c>
      <c r="D7" t="s" s="935">
        <v>381</v>
      </c>
      <c r="E7" t="s" s="935">
        <v>46</v>
      </c>
      <c r="F7" t="s" s="935">
        <v>347</v>
      </c>
      <c r="G7" t="s" s="935">
        <v>6</v>
      </c>
      <c r="H7" s="935"/>
      <c r="I7" s="935"/>
      <c r="J7" s="935"/>
      <c r="K7" t="n" s="935">
        <v>4.0</v>
      </c>
      <c r="L7" s="215"/>
      <c r="M7" s="215"/>
      <c r="N7" s="215"/>
      <c r="O7" s="215"/>
      <c r="P7" s="215"/>
      <c r="Q7" s="215"/>
      <c r="R7" s="215"/>
      <c r="S7" s="215"/>
      <c r="T7" s="215"/>
      <c r="U7" s="49"/>
      <c r="V7" s="215"/>
      <c r="W7" s="215"/>
      <c r="X7" s="215"/>
      <c r="Y7" s="215"/>
      <c r="Z7" s="49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121">
        <f t="shared" si="1"/>
        <v>0</v>
      </c>
      <c r="AN7" s="564">
        <f>IF(AO7&lt;=3,(IF(AND(G7="5/24",AM7&gt;0.5),(AM7*2*база!$M$6*Таблица14[[#This Row],[коэф]]),
IF(AND(G7="4/24",AM7&gt;0.5),(AM7*2*база!$M$5*Таблица14[[#This Row],[коэф]]),
IF(AND(G7="3/24",AM7&gt;0.5),(AM7*2*база!$M$4*Таблица14[[#This Row],[коэф]]),
IF(AND(G7="5/16",AM7&gt;0.5),(AM7*2*база!$L$6*Таблица14[[#This Row],[коэф]]),
IF(AND(G7="4/16",AM7&gt;0.5),(AM7*2*база!$L$5*Таблица14[[#This Row],[коэф]]),
IF(AND(G7="3/16",AM7&gt;0.5),(AM7*2*база!$L$4*Таблица14[[#This Row],[коэф]]),
IF(AND(G7="4/4",AM7&gt;0.5),(AM7*2*база!$I$5*Таблица14[[#This Row],[коэф]]),
IF(OR(AND(G7="3/4",AM7&gt;0.5),AND(G7="2/4",AM7&gt;0.5)),(AM7*2*база!$I$4*Таблица14[[#This Row],[коэф]]),
IF(AND(G7="5/8",AM7&gt;0.5),(AM7*2*база!$J$6*Таблица14[[#This Row],[коэф]]),
IF(AND(G7="4/8",AM7&gt;0.5),(AM7*2*база!$J$5*Таблица14[[#This Row],[коэф]]),
IF(OR(AND(G7="3/8",AM7&gt;0.5),AND(G7="2/8",AM7&gt;0.5)),(AM7*2*база!$J$4*Таблица14[[#This Row],[коэф]]),
(AM7*0.5*база!$L$4*Таблица14[[#This Row],[коэф]]))))))))))))),
(IF(AND(G7="5/24",AM7&gt;0.5),(AM7*2*база!$M$6*Таблица14[[#This Row],[коэф]]),
IF(OR(AND(G7="4/24",AM7&gt;0.5),AND(G7="3/24",AM7&gt;0.5)),(AM7*2*база!$M$5*Таблица14[[#This Row],[коэф]]),
IF(AND(G7="5/16",AM7&gt;0.5),(AM7*2*база!$L$6*Таблица14[[#This Row],[коэф]]),
IF(OR(AND(G7="4/16",AM7&gt;0.5),AND(G7="3/16",AM7&gt;0.5)),(AM7*2*база!$L$5*Таблица14[[#This Row],[коэф]]),
IF(OR(AND(G7="4/4",AM7&gt;0.5),AND(G7="3/4",AM7&gt;2)),(AM7*2*база!$I$5*Таблица14[[#This Row],[коэф]]),
IF(AND(G7="5/8",AM7&gt;0.5),(AM7*2*база!$J$6*Таблица14[[#This Row],[коэф]]),
IF(AND(G7="4/8",AM7&gt;0.5),(AM7*2*база!$J$5*Таблица14[[#This Row],[коэф]]),
IF(OR(AND(G7="3/8",AM7&gt;0.5),AND(G7="2/8",AM7&gt;0.5)),(AM7*2*база!$J$4*Таблица14[[#This Row],[коэф]]),
(AM7*2*база!$L$5*Таблица14[[#This Row],[коэф]])))))))))))</f>
        <v>0</v>
      </c>
      <c r="AO7" s="122" t="str">
        <f>IFERROR(INDEX(база!$D$2:$D$120, MATCH(Таблица14[[#This Row],[Ф. И. О.]],база!$B$2:$B$100,0)),"")</f>
        <v/>
      </c>
      <c r="AP7" s="57"/>
      <c r="AQ7" s="57"/>
      <c r="AR7" s="57"/>
      <c r="AS7" s="57"/>
    </row>
    <row r="8" spans="1:47" ht="13.5" customHeight="1">
      <c r="A8" s="936" t="str">
        <f t="shared" si="0"/>
        <v>январь</v>
      </c>
      <c r="B8" t="n" s="936">
        <v>2024.0</v>
      </c>
      <c r="C8" t="s" s="936">
        <v>386</v>
      </c>
      <c r="D8" t="s" s="936">
        <v>364</v>
      </c>
      <c r="E8" t="s" s="936">
        <v>46</v>
      </c>
      <c r="F8" t="s" s="936">
        <v>359</v>
      </c>
      <c r="G8" t="s" s="936">
        <v>3</v>
      </c>
      <c r="H8" s="936"/>
      <c r="I8" s="936"/>
      <c r="J8" s="936"/>
      <c r="K8" t="n" s="936">
        <v>4.0</v>
      </c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121">
        <f t="shared" si="1"/>
        <v>0</v>
      </c>
      <c r="AN8" s="564">
        <f>IF(AO8&lt;=3,(IF(AND(G8="5/24",AM8&gt;0.5),(AM8*2*база!$M$6*Таблица14[[#This Row],[коэф]]),
IF(AND(G8="4/24",AM8&gt;0.5),(AM8*2*база!$M$5*Таблица14[[#This Row],[коэф]]),
IF(AND(G8="3/24",AM8&gt;0.5),(AM8*2*база!$M$4*Таблица14[[#This Row],[коэф]]),
IF(AND(G8="5/16",AM8&gt;0.5),(AM8*2*база!$L$6*Таблица14[[#This Row],[коэф]]),
IF(AND(G8="4/16",AM8&gt;0.5),(AM8*2*база!$L$5*Таблица14[[#This Row],[коэф]]),
IF(AND(G8="3/16",AM8&gt;0.5),(AM8*2*база!$L$4*Таблица14[[#This Row],[коэф]]),
IF(AND(G8="4/4",AM8&gt;0.5),(AM8*2*база!$I$5*Таблица14[[#This Row],[коэф]]),
IF(OR(AND(G8="3/4",AM8&gt;0.5),AND(G8="2/4",AM8&gt;0.5)),(AM8*2*база!$I$4*Таблица14[[#This Row],[коэф]]),
IF(AND(G8="5/8",AM8&gt;0.5),(AM8*2*база!$J$6*Таблица14[[#This Row],[коэф]]),
IF(AND(G8="4/8",AM8&gt;0.5),(AM8*2*база!$J$5*Таблица14[[#This Row],[коэф]]),
IF(OR(AND(G8="3/8",AM8&gt;0.5),AND(G8="2/8",AM8&gt;0.5)),(AM8*2*база!$J$4*Таблица14[[#This Row],[коэф]]),
(AM8*0.5*база!$L$4*Таблица14[[#This Row],[коэф]]))))))))))))),
(IF(AND(G8="5/24",AM8&gt;0.5),(AM8*2*база!$M$6*Таблица14[[#This Row],[коэф]]),
IF(OR(AND(G8="4/24",AM8&gt;0.5),AND(G8="3/24",AM8&gt;0.5)),(AM8*2*база!$M$5*Таблица14[[#This Row],[коэф]]),
IF(AND(G8="5/16",AM8&gt;0.5),(AM8*2*база!$L$6*Таблица14[[#This Row],[коэф]]),
IF(OR(AND(G8="4/16",AM8&gt;0.5),AND(G8="3/16",AM8&gt;0.5)),(AM8*2*база!$L$5*Таблица14[[#This Row],[коэф]]),
IF(OR(AND(G8="4/4",AM8&gt;0.5),AND(G8="3/4",AM8&gt;2)),(AM8*2*база!$I$5*Таблица14[[#This Row],[коэф]]),
IF(AND(G8="5/8",AM8&gt;0.5),(AM8*2*база!$J$6*Таблица14[[#This Row],[коэф]]),
IF(AND(G8="4/8",AM8&gt;0.5),(AM8*2*база!$J$5*Таблица14[[#This Row],[коэф]]),
IF(OR(AND(G8="3/8",AM8&gt;0.5),AND(G8="2/8",AM8&gt;0.5)),(AM8*2*база!$J$4*Таблица14[[#This Row],[коэф]]),
(AM8*2*база!$L$5*Таблица14[[#This Row],[коэф]])))))))))))</f>
        <v>0</v>
      </c>
      <c r="AO8" s="122" t="str">
        <f>IFERROR(INDEX(база!$D$2:$D$120, MATCH(Таблица14[[#This Row],[Ф. И. О.]],база!$B$2:$B$100,0)),"")</f>
        <v/>
      </c>
      <c r="AP8" s="57"/>
      <c r="AQ8" s="57"/>
      <c r="AR8" s="57"/>
      <c r="AS8" s="57"/>
    </row>
    <row r="9" spans="1:47" ht="13.5" customHeight="1">
      <c r="A9" s="937" t="str">
        <f t="shared" si="0"/>
        <v>январь</v>
      </c>
      <c r="B9" t="n" s="937">
        <v>2024.0</v>
      </c>
      <c r="C9" t="s" s="937">
        <v>386</v>
      </c>
      <c r="D9" t="s" s="937">
        <v>364</v>
      </c>
      <c r="E9" t="s" s="937">
        <v>46</v>
      </c>
      <c r="F9" t="s" s="937">
        <v>292</v>
      </c>
      <c r="G9" t="s" s="937">
        <v>67</v>
      </c>
      <c r="H9" s="937"/>
      <c r="I9" s="937"/>
      <c r="J9" s="937"/>
      <c r="K9" t="n" s="937">
        <v>3.5</v>
      </c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121">
        <f t="shared" si="1"/>
        <v>0</v>
      </c>
      <c r="AN9" s="564">
        <f>IF(AO9&lt;=3,(IF(AND(G9="5/24",AM9&gt;0.5),(AM9*2*база!$M$6*Таблица14[[#This Row],[коэф]]),
IF(AND(G9="4/24",AM9&gt;0.5),(AM9*2*база!$M$5*Таблица14[[#This Row],[коэф]]),
IF(AND(G9="3/24",AM9&gt;0.5),(AM9*2*база!$M$4*Таблица14[[#This Row],[коэф]]),
IF(AND(G9="5/16",AM9&gt;0.5),(AM9*2*база!$L$6*Таблица14[[#This Row],[коэф]]),
IF(AND(G9="4/16",AM9&gt;0.5),(AM9*2*база!$L$5*Таблица14[[#This Row],[коэф]]),
IF(AND(G9="3/16",AM9&gt;0.5),(AM9*2*база!$L$4*Таблица14[[#This Row],[коэф]]),
IF(AND(G9="4/4",AM9&gt;0.5),(AM9*2*база!$I$5*Таблица14[[#This Row],[коэф]]),
IF(OR(AND(G9="3/4",AM9&gt;0.5),AND(G9="2/4",AM9&gt;0.5)),(AM9*2*база!$I$4*Таблица14[[#This Row],[коэф]]),
IF(AND(G9="5/8",AM9&gt;0.5),(AM9*2*база!$J$6*Таблица14[[#This Row],[коэф]]),
IF(AND(G9="4/8",AM9&gt;0.5),(AM9*2*база!$J$5*Таблица14[[#This Row],[коэф]]),
IF(OR(AND(G9="3/8",AM9&gt;0.5),AND(G9="2/8",AM9&gt;0.5)),(AM9*2*база!$J$4*Таблица14[[#This Row],[коэф]]),
(AM9*0.5*база!$L$4*Таблица14[[#This Row],[коэф]]))))))))))))),
(IF(AND(G9="5/24",AM9&gt;0.5),(AM9*2*база!$M$6*Таблица14[[#This Row],[коэф]]),
IF(OR(AND(G9="4/24",AM9&gt;0.5),AND(G9="3/24",AM9&gt;0.5)),(AM9*2*база!$M$5*Таблица14[[#This Row],[коэф]]),
IF(AND(G9="5/16",AM9&gt;0.5),(AM9*2*база!$L$6*Таблица14[[#This Row],[коэф]]),
IF(OR(AND(G9="4/16",AM9&gt;0.5),AND(G9="3/16",AM9&gt;0.5)),(AM9*2*база!$L$5*Таблица14[[#This Row],[коэф]]),
IF(OR(AND(G9="4/4",AM9&gt;0.5),AND(G9="3/4",AM9&gt;2)),(AM9*2*база!$I$5*Таблица14[[#This Row],[коэф]]),
IF(AND(G9="5/8",AM9&gt;0.5),(AM9*2*база!$J$6*Таблица14[[#This Row],[коэф]]),
IF(AND(G9="4/8",AM9&gt;0.5),(AM9*2*база!$J$5*Таблица14[[#This Row],[коэф]]),
IF(OR(AND(G9="3/8",AM9&gt;0.5),AND(G9="2/8",AM9&gt;0.5)),(AM9*2*база!$J$4*Таблица14[[#This Row],[коэф]]),
(AM9*2*база!$L$5*Таблица14[[#This Row],[коэф]])))))))))))</f>
        <v>0</v>
      </c>
      <c r="AO9" s="122" t="str">
        <f>IFERROR(INDEX(база!$D$2:$D$120, MATCH(Таблица14[[#This Row],[Ф. И. О.]],база!$B$2:$B$100,0)),"")</f>
        <v/>
      </c>
      <c r="AP9" s="57"/>
      <c r="AQ9" s="57"/>
      <c r="AR9" s="57"/>
      <c r="AS9" s="57"/>
    </row>
    <row r="10" spans="1:47" ht="13.5" customHeight="1">
      <c r="A10" s="941" t="str">
        <f t="shared" si="0"/>
        <v>январь</v>
      </c>
      <c r="B10" t="n" s="941">
        <v>2024.0</v>
      </c>
      <c r="C10" t="s" s="941">
        <v>392</v>
      </c>
      <c r="D10" t="s" s="941">
        <v>365</v>
      </c>
      <c r="E10" t="s" s="941">
        <v>46</v>
      </c>
      <c r="F10" t="s" s="941">
        <v>252</v>
      </c>
      <c r="G10" t="s" s="941">
        <v>6</v>
      </c>
      <c r="H10" s="941"/>
      <c r="I10" s="941"/>
      <c r="J10" s="941"/>
      <c r="K10" s="941"/>
      <c r="L10" t="n" s="941">
        <v>2.0</v>
      </c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121">
        <f t="shared" si="1"/>
        <v>0</v>
      </c>
      <c r="AN10" s="564">
        <f>IF(AO10&lt;=3,(IF(AND(G10="5/24",AM10&gt;0.5),(AM10*2*база!$M$6*Таблица14[[#This Row],[коэф]]),
IF(AND(G10="4/24",AM10&gt;0.5),(AM10*2*база!$M$5*Таблица14[[#This Row],[коэф]]),
IF(AND(G10="3/24",AM10&gt;0.5),(AM10*2*база!$M$4*Таблица14[[#This Row],[коэф]]),
IF(AND(G10="5/16",AM10&gt;0.5),(AM10*2*база!$L$6*Таблица14[[#This Row],[коэф]]),
IF(AND(G10="4/16",AM10&gt;0.5),(AM10*2*база!$L$5*Таблица14[[#This Row],[коэф]]),
IF(AND(G10="3/16",AM10&gt;0.5),(AM10*2*база!$L$4*Таблица14[[#This Row],[коэф]]),
IF(AND(G10="4/4",AM10&gt;0.5),(AM10*2*база!$I$5*Таблица14[[#This Row],[коэф]]),
IF(OR(AND(G10="3/4",AM10&gt;0.5),AND(G10="2/4",AM10&gt;0.5)),(AM10*2*база!$I$4*Таблица14[[#This Row],[коэф]]),
IF(AND(G10="5/8",AM10&gt;0.5),(AM10*2*база!$J$6*Таблица14[[#This Row],[коэф]]),
IF(AND(G10="4/8",AM10&gt;0.5),(AM10*2*база!$J$5*Таблица14[[#This Row],[коэф]]),
IF(OR(AND(G10="3/8",AM10&gt;0.5),AND(G10="2/8",AM10&gt;0.5)),(AM10*2*база!$J$4*Таблица14[[#This Row],[коэф]]),
(AM10*0.5*база!$L$4*Таблица14[[#This Row],[коэф]]))))))))))))),
(IF(AND(G10="5/24",AM10&gt;0.5),(AM10*2*база!$M$6*Таблица14[[#This Row],[коэф]]),
IF(OR(AND(G10="4/24",AM10&gt;0.5),AND(G10="3/24",AM10&gt;0.5)),(AM10*2*база!$M$5*Таблица14[[#This Row],[коэф]]),
IF(AND(G10="5/16",AM10&gt;0.5),(AM10*2*база!$L$6*Таблица14[[#This Row],[коэф]]),
IF(OR(AND(G10="4/16",AM10&gt;0.5),AND(G10="3/16",AM10&gt;0.5)),(AM10*2*база!$L$5*Таблица14[[#This Row],[коэф]]),
IF(OR(AND(G10="4/4",AM10&gt;0.5),AND(G10="3/4",AM10&gt;2)),(AM10*2*база!$I$5*Таблица14[[#This Row],[коэф]]),
IF(AND(G10="5/8",AM10&gt;0.5),(AM10*2*база!$J$6*Таблица14[[#This Row],[коэф]]),
IF(AND(G10="4/8",AM10&gt;0.5),(AM10*2*база!$J$5*Таблица14[[#This Row],[коэф]]),
IF(OR(AND(G10="3/8",AM10&gt;0.5),AND(G10="2/8",AM10&gt;0.5)),(AM10*2*база!$J$4*Таблица14[[#This Row],[коэф]]),
(AM10*2*база!$L$5*Таблица14[[#This Row],[коэф]])))))))))))</f>
        <v>0</v>
      </c>
      <c r="AO10" s="122" t="str">
        <f>IFERROR(INDEX(база!$D$2:$D$120, MATCH(Таблица14[[#This Row],[Ф. И. О.]],база!$B$2:$B$100,0)),"")</f>
        <v/>
      </c>
      <c r="AP10" s="57"/>
      <c r="AQ10" s="57"/>
      <c r="AR10" s="57"/>
      <c r="AS10" s="57"/>
    </row>
    <row r="11" spans="1:47" ht="13.5" customHeight="1">
      <c r="A11" s="943" t="str">
        <f t="shared" si="0"/>
        <v>январь</v>
      </c>
      <c r="B11" t="n" s="943">
        <v>2024.0</v>
      </c>
      <c r="C11" t="s" s="943">
        <v>386</v>
      </c>
      <c r="D11" t="s" s="943">
        <v>365</v>
      </c>
      <c r="E11" t="s" s="943">
        <v>46</v>
      </c>
      <c r="F11" t="s" s="943">
        <v>359</v>
      </c>
      <c r="G11" t="s" s="943">
        <v>6</v>
      </c>
      <c r="H11" s="943"/>
      <c r="I11" s="943"/>
      <c r="J11" s="943"/>
      <c r="K11" t="n" s="943">
        <v>4.0</v>
      </c>
      <c r="L11" t="n" s="1">
        <v>4.0</v>
      </c>
      <c r="M11" t="n" s="46">
        <v>4.0</v>
      </c>
      <c r="N11" s="215"/>
      <c r="O11" s="215"/>
      <c r="P11" s="215"/>
      <c r="Q11" s="215"/>
      <c r="R11" s="215"/>
      <c r="S11" s="215"/>
      <c r="T11" t="n" s="46">
        <v>4.0</v>
      </c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121">
        <f t="shared" si="1"/>
        <v>0</v>
      </c>
      <c r="AN11" s="564">
        <f>IF(AO11&lt;=3,(IF(AND(G11="5/24",AM11&gt;0.5),(AM11*2*база!$M$6*Таблица14[[#This Row],[коэф]]),
IF(AND(G11="4/24",AM11&gt;0.5),(AM11*2*база!$M$5*Таблица14[[#This Row],[коэф]]),
IF(AND(G11="3/24",AM11&gt;0.5),(AM11*2*база!$M$4*Таблица14[[#This Row],[коэф]]),
IF(AND(G11="5/16",AM11&gt;0.5),(AM11*2*база!$L$6*Таблица14[[#This Row],[коэф]]),
IF(AND(G11="4/16",AM11&gt;0.5),(AM11*2*база!$L$5*Таблица14[[#This Row],[коэф]]),
IF(AND(G11="3/16",AM11&gt;0.5),(AM11*2*база!$L$4*Таблица14[[#This Row],[коэф]]),
IF(AND(G11="4/4",AM11&gt;0.5),(AM11*2*база!$I$5*Таблица14[[#This Row],[коэф]]),
IF(OR(AND(G11="3/4",AM11&gt;0.5),AND(G11="2/4",AM11&gt;0.5)),(AM11*2*база!$I$4*Таблица14[[#This Row],[коэф]]),
IF(AND(G11="5/8",AM11&gt;0.5),(AM11*2*база!$J$6*Таблица14[[#This Row],[коэф]]),
IF(AND(G11="4/8",AM11&gt;0.5),(AM11*2*база!$J$5*Таблица14[[#This Row],[коэф]]),
IF(OR(AND(G11="3/8",AM11&gt;0.5),AND(G11="2/8",AM11&gt;0.5)),(AM11*2*база!$J$4*Таблица14[[#This Row],[коэф]]),
(AM11*0.5*база!$L$4*Таблица14[[#This Row],[коэф]]))))))))))))),
(IF(AND(G11="5/24",AM11&gt;0.5),(AM11*2*база!$M$6*Таблица14[[#This Row],[коэф]]),
IF(OR(AND(G11="4/24",AM11&gt;0.5),AND(G11="3/24",AM11&gt;0.5)),(AM11*2*база!$M$5*Таблица14[[#This Row],[коэф]]),
IF(AND(G11="5/16",AM11&gt;0.5),(AM11*2*база!$L$6*Таблица14[[#This Row],[коэф]]),
IF(OR(AND(G11="4/16",AM11&gt;0.5),AND(G11="3/16",AM11&gt;0.5)),(AM11*2*база!$L$5*Таблица14[[#This Row],[коэф]]),
IF(OR(AND(G11="4/4",AM11&gt;0.5),AND(G11="3/4",AM11&gt;2)),(AM11*2*база!$I$5*Таблица14[[#This Row],[коэф]]),
IF(AND(G11="5/8",AM11&gt;0.5),(AM11*2*база!$J$6*Таблица14[[#This Row],[коэф]]),
IF(AND(G11="4/8",AM11&gt;0.5),(AM11*2*база!$J$5*Таблица14[[#This Row],[коэф]]),
IF(OR(AND(G11="3/8",AM11&gt;0.5),AND(G11="2/8",AM11&gt;0.5)),(AM11*2*база!$J$4*Таблица14[[#This Row],[коэф]]),
(AM11*2*база!$L$5*Таблица14[[#This Row],[коэф]])))))))))))</f>
        <v>0</v>
      </c>
      <c r="AO11" s="122" t="str">
        <f>IFERROR(INDEX(база!$D$2:$D$120, MATCH(Таблица14[[#This Row],[Ф. И. О.]],база!$B$2:$B$100,0)),"")</f>
        <v/>
      </c>
      <c r="AP11" s="57"/>
      <c r="AQ11" s="57"/>
      <c r="AR11" s="57"/>
      <c r="AS11" s="57"/>
    </row>
    <row r="12" spans="1:47" ht="13.5" customHeight="1">
      <c r="A12" s="944" t="str">
        <f t="shared" si="0"/>
        <v>январь</v>
      </c>
      <c r="B12" t="n" s="944">
        <v>2024.0</v>
      </c>
      <c r="C12" t="s" s="944">
        <v>386</v>
      </c>
      <c r="D12" t="s" s="944">
        <v>364</v>
      </c>
      <c r="E12" t="s" s="944">
        <v>46</v>
      </c>
      <c r="F12" t="s" s="944">
        <v>253</v>
      </c>
      <c r="G12" t="s" s="944">
        <v>4</v>
      </c>
      <c r="H12" s="944"/>
      <c r="I12" s="944"/>
      <c r="J12" s="944"/>
      <c r="K12" s="944"/>
      <c r="L12" t="n" s="944">
        <v>2.0</v>
      </c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121">
        <f t="shared" si="1"/>
        <v>0</v>
      </c>
      <c r="AN12" s="564">
        <f>IF(AO12&lt;=3,(IF(AND(G12="5/24",AM12&gt;0.5),(AM12*2*база!$M$6*Таблица14[[#This Row],[коэф]]),
IF(AND(G12="4/24",AM12&gt;0.5),(AM12*2*база!$M$5*Таблица14[[#This Row],[коэф]]),
IF(AND(G12="3/24",AM12&gt;0.5),(AM12*2*база!$M$4*Таблица14[[#This Row],[коэф]]),
IF(AND(G12="5/16",AM12&gt;0.5),(AM12*2*база!$L$6*Таблица14[[#This Row],[коэф]]),
IF(AND(G12="4/16",AM12&gt;0.5),(AM12*2*база!$L$5*Таблица14[[#This Row],[коэф]]),
IF(AND(G12="3/16",AM12&gt;0.5),(AM12*2*база!$L$4*Таблица14[[#This Row],[коэф]]),
IF(AND(G12="4/4",AM12&gt;0.5),(AM12*2*база!$I$5*Таблица14[[#This Row],[коэф]]),
IF(OR(AND(G12="3/4",AM12&gt;0.5),AND(G12="2/4",AM12&gt;0.5)),(AM12*2*база!$I$4*Таблица14[[#This Row],[коэф]]),
IF(AND(G12="5/8",AM12&gt;0.5),(AM12*2*база!$J$6*Таблица14[[#This Row],[коэф]]),
IF(AND(G12="4/8",AM12&gt;0.5),(AM12*2*база!$J$5*Таблица14[[#This Row],[коэф]]),
IF(OR(AND(G12="3/8",AM12&gt;0.5),AND(G12="2/8",AM12&gt;0.5)),(AM12*2*база!$J$4*Таблица14[[#This Row],[коэф]]),
(AM12*0.5*база!$L$4*Таблица14[[#This Row],[коэф]]))))))))))))),
(IF(AND(G12="5/24",AM12&gt;0.5),(AM12*2*база!$M$6*Таблица14[[#This Row],[коэф]]),
IF(OR(AND(G12="4/24",AM12&gt;0.5),AND(G12="3/24",AM12&gt;0.5)),(AM12*2*база!$M$5*Таблица14[[#This Row],[коэф]]),
IF(AND(G12="5/16",AM12&gt;0.5),(AM12*2*база!$L$6*Таблица14[[#This Row],[коэф]]),
IF(OR(AND(G12="4/16",AM12&gt;0.5),AND(G12="3/16",AM12&gt;0.5)),(AM12*2*база!$L$5*Таблица14[[#This Row],[коэф]]),
IF(OR(AND(G12="4/4",AM12&gt;0.5),AND(G12="3/4",AM12&gt;2)),(AM12*2*база!$I$5*Таблица14[[#This Row],[коэф]]),
IF(AND(G12="5/8",AM12&gt;0.5),(AM12*2*база!$J$6*Таблица14[[#This Row],[коэф]]),
IF(AND(G12="4/8",AM12&gt;0.5),(AM12*2*база!$J$5*Таблица14[[#This Row],[коэф]]),
IF(OR(AND(G12="3/8",AM12&gt;0.5),AND(G12="2/8",AM12&gt;0.5)),(AM12*2*база!$J$4*Таблица14[[#This Row],[коэф]]),
(AM12*2*база!$L$5*Таблица14[[#This Row],[коэф]])))))))))))</f>
        <v>0</v>
      </c>
      <c r="AO12" s="122" t="str">
        <f>IFERROR(INDEX(база!$D$2:$D$120, MATCH(Таблица14[[#This Row],[Ф. И. О.]],база!$B$2:$B$100,0)),"")</f>
        <v/>
      </c>
      <c r="AP12" s="57"/>
      <c r="AQ12" s="57"/>
      <c r="AR12" s="57"/>
      <c r="AS12" s="57"/>
    </row>
    <row r="13" spans="1:47" ht="13.5" customHeight="1">
      <c r="A13" s="946" t="str">
        <f t="shared" si="0"/>
        <v>январь</v>
      </c>
      <c r="B13" t="n" s="946">
        <v>2024.0</v>
      </c>
      <c r="C13" t="s" s="946">
        <v>388</v>
      </c>
      <c r="D13" t="s" s="946">
        <v>369</v>
      </c>
      <c r="E13" t="s" s="946">
        <v>46</v>
      </c>
      <c r="F13" t="s" s="946">
        <v>374</v>
      </c>
      <c r="G13" t="s" s="946">
        <v>6</v>
      </c>
      <c r="H13" s="946"/>
      <c r="I13" s="946"/>
      <c r="J13" s="946"/>
      <c r="K13" s="946"/>
      <c r="L13" t="n" s="946">
        <v>4.0</v>
      </c>
      <c r="M13" s="215"/>
      <c r="N13" s="215"/>
      <c r="O13" t="n" s="46">
        <v>4.0</v>
      </c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121">
        <f t="shared" si="1"/>
        <v>0</v>
      </c>
      <c r="AN13" s="564">
        <f>IF(AO13&lt;=3,(IF(AND(G13="5/24",AM13&gt;0.5),(AM13*2*база!$M$6*Таблица14[[#This Row],[коэф]]),
IF(AND(G13="4/24",AM13&gt;0.5),(AM13*2*база!$M$5*Таблица14[[#This Row],[коэф]]),
IF(AND(G13="3/24",AM13&gt;0.5),(AM13*2*база!$M$4*Таблица14[[#This Row],[коэф]]),
IF(AND(G13="5/16",AM13&gt;0.5),(AM13*2*база!$L$6*Таблица14[[#This Row],[коэф]]),
IF(AND(G13="4/16",AM13&gt;0.5),(AM13*2*база!$L$5*Таблица14[[#This Row],[коэф]]),
IF(AND(G13="3/16",AM13&gt;0.5),(AM13*2*база!$L$4*Таблица14[[#This Row],[коэф]]),
IF(AND(G13="4/4",AM13&gt;0.5),(AM13*2*база!$I$5*Таблица14[[#This Row],[коэф]]),
IF(OR(AND(G13="3/4",AM13&gt;0.5),AND(G13="2/4",AM13&gt;0.5)),(AM13*2*база!$I$4*Таблица14[[#This Row],[коэф]]),
IF(AND(G13="5/8",AM13&gt;0.5),(AM13*2*база!$J$6*Таблица14[[#This Row],[коэф]]),
IF(AND(G13="4/8",AM13&gt;0.5),(AM13*2*база!$J$5*Таблица14[[#This Row],[коэф]]),
IF(OR(AND(G13="3/8",AM13&gt;0.5),AND(G13="2/8",AM13&gt;0.5)),(AM13*2*база!$J$4*Таблица14[[#This Row],[коэф]]),
(AM13*0.5*база!$L$4*Таблица14[[#This Row],[коэф]]))))))))))))),
(IF(AND(G13="5/24",AM13&gt;0.5),(AM13*2*база!$M$6*Таблица14[[#This Row],[коэф]]),
IF(OR(AND(G13="4/24",AM13&gt;0.5),AND(G13="3/24",AM13&gt;0.5)),(AM13*2*база!$M$5*Таблица14[[#This Row],[коэф]]),
IF(AND(G13="5/16",AM13&gt;0.5),(AM13*2*база!$L$6*Таблица14[[#This Row],[коэф]]),
IF(OR(AND(G13="4/16",AM13&gt;0.5),AND(G13="3/16",AM13&gt;0.5)),(AM13*2*база!$L$5*Таблица14[[#This Row],[коэф]]),
IF(OR(AND(G13="4/4",AM13&gt;0.5),AND(G13="3/4",AM13&gt;2)),(AM13*2*база!$I$5*Таблица14[[#This Row],[коэф]]),
IF(AND(G13="5/8",AM13&gt;0.5),(AM13*2*база!$J$6*Таблица14[[#This Row],[коэф]]),
IF(AND(G13="4/8",AM13&gt;0.5),(AM13*2*база!$J$5*Таблица14[[#This Row],[коэф]]),
IF(OR(AND(G13="3/8",AM13&gt;0.5),AND(G13="2/8",AM13&gt;0.5)),(AM13*2*база!$J$4*Таблица14[[#This Row],[коэф]]),
(AM13*2*база!$L$5*Таблица14[[#This Row],[коэф]])))))))))))</f>
        <v>0</v>
      </c>
      <c r="AO13" s="122" t="str">
        <f>IFERROR(INDEX(база!$D$2:$D$120, MATCH(Таблица14[[#This Row],[Ф. И. О.]],база!$B$2:$B$100,0)),"")</f>
        <v/>
      </c>
      <c r="AP13" s="57"/>
      <c r="AQ13" s="57"/>
      <c r="AR13" s="57"/>
      <c r="AS13" s="57"/>
    </row>
    <row r="14" spans="1:47" ht="13.5" customHeight="1">
      <c r="A14" s="949" t="str">
        <f t="shared" si="0"/>
        <v>январь</v>
      </c>
      <c r="B14" t="n" s="949">
        <v>2024.0</v>
      </c>
      <c r="C14" t="s" s="949">
        <v>392</v>
      </c>
      <c r="D14" t="s" s="949">
        <v>364</v>
      </c>
      <c r="E14" t="s" s="949">
        <v>46</v>
      </c>
      <c r="F14" t="s" s="949">
        <v>276</v>
      </c>
      <c r="G14" t="s" s="949">
        <v>4</v>
      </c>
      <c r="H14" s="949"/>
      <c r="I14" s="949"/>
      <c r="J14" s="949"/>
      <c r="K14" s="949"/>
      <c r="L14" t="n" s="949">
        <v>4.0</v>
      </c>
      <c r="M14" s="215"/>
      <c r="N14" t="n" s="46">
        <v>4.0</v>
      </c>
      <c r="O14" s="215"/>
      <c r="P14" s="215"/>
      <c r="Q14" t="n" s="46">
        <v>4.0</v>
      </c>
      <c r="R14" t="n" s="46">
        <v>4.0</v>
      </c>
      <c r="S14" t="n" s="46">
        <v>4.0</v>
      </c>
      <c r="T14" t="n" s="46">
        <v>4.0</v>
      </c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121">
        <f t="shared" si="1"/>
        <v>0</v>
      </c>
      <c r="AN14" s="564">
        <f>IF(AO14&lt;=3,(IF(AND(G14="5/24",AM14&gt;0.5),(AM14*2*база!$M$6*Таблица14[[#This Row],[коэф]]),
IF(AND(G14="4/24",AM14&gt;0.5),(AM14*2*база!$M$5*Таблица14[[#This Row],[коэф]]),
IF(AND(G14="3/24",AM14&gt;0.5),(AM14*2*база!$M$4*Таблица14[[#This Row],[коэф]]),
IF(AND(G14="5/16",AM14&gt;0.5),(AM14*2*база!$L$6*Таблица14[[#This Row],[коэф]]),
IF(AND(G14="4/16",AM14&gt;0.5),(AM14*2*база!$L$5*Таблица14[[#This Row],[коэф]]),
IF(AND(G14="3/16",AM14&gt;0.5),(AM14*2*база!$L$4*Таблица14[[#This Row],[коэф]]),
IF(AND(G14="4/4",AM14&gt;0.5),(AM14*2*база!$I$5*Таблица14[[#This Row],[коэф]]),
IF(OR(AND(G14="3/4",AM14&gt;0.5),AND(G14="2/4",AM14&gt;0.5)),(AM14*2*база!$I$4*Таблица14[[#This Row],[коэф]]),
IF(AND(G14="5/8",AM14&gt;0.5),(AM14*2*база!$J$6*Таблица14[[#This Row],[коэф]]),
IF(AND(G14="4/8",AM14&gt;0.5),(AM14*2*база!$J$5*Таблица14[[#This Row],[коэф]]),
IF(OR(AND(G14="3/8",AM14&gt;0.5),AND(G14="2/8",AM14&gt;0.5)),(AM14*2*база!$J$4*Таблица14[[#This Row],[коэф]]),
(AM14*0.5*база!$L$4*Таблица14[[#This Row],[коэф]]))))))))))))),
(IF(AND(G14="5/24",AM14&gt;0.5),(AM14*2*база!$M$6*Таблица14[[#This Row],[коэф]]),
IF(OR(AND(G14="4/24",AM14&gt;0.5),AND(G14="3/24",AM14&gt;0.5)),(AM14*2*база!$M$5*Таблица14[[#This Row],[коэф]]),
IF(AND(G14="5/16",AM14&gt;0.5),(AM14*2*база!$L$6*Таблица14[[#This Row],[коэф]]),
IF(OR(AND(G14="4/16",AM14&gt;0.5),AND(G14="3/16",AM14&gt;0.5)),(AM14*2*база!$L$5*Таблица14[[#This Row],[коэф]]),
IF(OR(AND(G14="4/4",AM14&gt;0.5),AND(G14="3/4",AM14&gt;2)),(AM14*2*база!$I$5*Таблица14[[#This Row],[коэф]]),
IF(AND(G14="5/8",AM14&gt;0.5),(AM14*2*база!$J$6*Таблица14[[#This Row],[коэф]]),
IF(AND(G14="4/8",AM14&gt;0.5),(AM14*2*база!$J$5*Таблица14[[#This Row],[коэф]]),
IF(OR(AND(G14="3/8",AM14&gt;0.5),AND(G14="2/8",AM14&gt;0.5)),(AM14*2*база!$J$4*Таблица14[[#This Row],[коэф]]),
(AM14*2*база!$L$5*Таблица14[[#This Row],[коэф]])))))))))))</f>
        <v>0</v>
      </c>
      <c r="AO14" s="122" t="str">
        <f>IFERROR(INDEX(база!$D$2:$D$120, MATCH(Таблица14[[#This Row],[Ф. И. О.]],база!$B$2:$B$100,0)),"")</f>
        <v/>
      </c>
      <c r="AP14" s="57"/>
      <c r="AQ14" s="57"/>
      <c r="AR14" s="57"/>
      <c r="AS14" s="57"/>
    </row>
    <row r="15" spans="1:47" ht="13.5" customHeight="1">
      <c r="A15" s="951" t="str">
        <f t="shared" si="0"/>
        <v>январь</v>
      </c>
      <c r="B15" t="n" s="951">
        <v>2024.0</v>
      </c>
      <c r="C15" t="s" s="951">
        <v>388</v>
      </c>
      <c r="D15" t="s" s="951">
        <v>368</v>
      </c>
      <c r="E15" t="s" s="951">
        <v>393</v>
      </c>
      <c r="F15" t="s" s="951">
        <v>251</v>
      </c>
      <c r="G15" t="s" s="951">
        <v>4</v>
      </c>
      <c r="H15" s="951"/>
      <c r="I15" s="951"/>
      <c r="J15" s="951"/>
      <c r="K15" t="n" s="951">
        <v>1.0</v>
      </c>
      <c r="L15" s="215"/>
      <c r="M15" s="215"/>
      <c r="N15" s="215"/>
      <c r="O15" s="215"/>
      <c r="P15" s="215"/>
      <c r="Q15" t="n" s="46">
        <v>4.0</v>
      </c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121">
        <f t="shared" si="1"/>
        <v>0</v>
      </c>
      <c r="AN15" s="564">
        <f>IF(AO15&lt;=3,(IF(AND(G15="5/24",AM15&gt;0.5),(AM15*2*база!$M$6*Таблица14[[#This Row],[коэф]]),
IF(AND(G15="4/24",AM15&gt;0.5),(AM15*2*база!$M$5*Таблица14[[#This Row],[коэф]]),
IF(AND(G15="3/24",AM15&gt;0.5),(AM15*2*база!$M$4*Таблица14[[#This Row],[коэф]]),
IF(AND(G15="5/16",AM15&gt;0.5),(AM15*2*база!$L$6*Таблица14[[#This Row],[коэф]]),
IF(AND(G15="4/16",AM15&gt;0.5),(AM15*2*база!$L$5*Таблица14[[#This Row],[коэф]]),
IF(AND(G15="3/16",AM15&gt;0.5),(AM15*2*база!$L$4*Таблица14[[#This Row],[коэф]]),
IF(AND(G15="4/4",AM15&gt;0.5),(AM15*2*база!$I$5*Таблица14[[#This Row],[коэф]]),
IF(OR(AND(G15="3/4",AM15&gt;0.5),AND(G15="2/4",AM15&gt;0.5)),(AM15*2*база!$I$4*Таблица14[[#This Row],[коэф]]),
IF(AND(G15="5/8",AM15&gt;0.5),(AM15*2*база!$J$6*Таблица14[[#This Row],[коэф]]),
IF(AND(G15="4/8",AM15&gt;0.5),(AM15*2*база!$J$5*Таблица14[[#This Row],[коэф]]),
IF(OR(AND(G15="3/8",AM15&gt;0.5),AND(G15="2/8",AM15&gt;0.5)),(AM15*2*база!$J$4*Таблица14[[#This Row],[коэф]]),
(AM15*0.5*база!$L$4*Таблица14[[#This Row],[коэф]]))))))))))))),
(IF(AND(G15="5/24",AM15&gt;0.5),(AM15*2*база!$M$6*Таблица14[[#This Row],[коэф]]),
IF(OR(AND(G15="4/24",AM15&gt;0.5),AND(G15="3/24",AM15&gt;0.5)),(AM15*2*база!$M$5*Таблица14[[#This Row],[коэф]]),
IF(AND(G15="5/16",AM15&gt;0.5),(AM15*2*база!$L$6*Таблица14[[#This Row],[коэф]]),
IF(OR(AND(G15="4/16",AM15&gt;0.5),AND(G15="3/16",AM15&gt;0.5)),(AM15*2*база!$L$5*Таблица14[[#This Row],[коэф]]),
IF(OR(AND(G15="4/4",AM15&gt;0.5),AND(G15="3/4",AM15&gt;2)),(AM15*2*база!$I$5*Таблица14[[#This Row],[коэф]]),
IF(AND(G15="5/8",AM15&gt;0.5),(AM15*2*база!$J$6*Таблица14[[#This Row],[коэф]]),
IF(AND(G15="4/8",AM15&gt;0.5),(AM15*2*база!$J$5*Таблица14[[#This Row],[коэф]]),
IF(OR(AND(G15="3/8",AM15&gt;0.5),AND(G15="2/8",AM15&gt;0.5)),(AM15*2*база!$J$4*Таблица14[[#This Row],[коэф]]),
(AM15*2*база!$L$5*Таблица14[[#This Row],[коэф]])))))))))))</f>
        <v>0</v>
      </c>
      <c r="AO15" s="122" t="str">
        <f>IFERROR(INDEX(база!$D$2:$D$120, MATCH(Таблица14[[#This Row],[Ф. И. О.]],база!$B$2:$B$100,0)),"")</f>
        <v/>
      </c>
      <c r="AP15" s="57"/>
      <c r="AQ15" s="57"/>
      <c r="AR15" s="57"/>
      <c r="AS15" s="57"/>
    </row>
    <row r="16" spans="1:47" ht="13.5" customHeight="1">
      <c r="A16" s="954" t="str">
        <f t="shared" si="0"/>
        <v>январь</v>
      </c>
      <c r="B16" t="n" s="954">
        <v>2024.0</v>
      </c>
      <c r="C16" t="s" s="954">
        <v>390</v>
      </c>
      <c r="D16" t="s" s="954">
        <v>391</v>
      </c>
      <c r="E16" t="s" s="954">
        <v>46</v>
      </c>
      <c r="F16" t="s" s="954">
        <v>325</v>
      </c>
      <c r="G16" t="s" s="954">
        <v>6</v>
      </c>
      <c r="H16" s="954"/>
      <c r="I16" s="954"/>
      <c r="J16" s="954"/>
      <c r="K16" s="954"/>
      <c r="L16" t="n" s="954">
        <v>4.0</v>
      </c>
      <c r="M16" s="215"/>
      <c r="N16" s="215"/>
      <c r="O16" s="215"/>
      <c r="P16" s="215"/>
      <c r="Q16" s="215"/>
      <c r="R16" s="215"/>
      <c r="S16" s="215"/>
      <c r="T16" s="215"/>
      <c r="U16" s="215"/>
      <c r="V16" s="215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  <c r="AL16" s="215"/>
      <c r="AM16" s="121">
        <f t="shared" si="1"/>
        <v>0</v>
      </c>
      <c r="AN16" s="564">
        <f>IF(AO16&lt;=3,(IF(AND(G16="5/24",AM16&gt;0.5),(AM16*2*база!$M$6*Таблица14[[#This Row],[коэф]]),
IF(AND(G16="4/24",AM16&gt;0.5),(AM16*2*база!$M$5*Таблица14[[#This Row],[коэф]]),
IF(AND(G16="3/24",AM16&gt;0.5),(AM16*2*база!$M$4*Таблица14[[#This Row],[коэф]]),
IF(AND(G16="5/16",AM16&gt;0.5),(AM16*2*база!$L$6*Таблица14[[#This Row],[коэф]]),
IF(AND(G16="4/16",AM16&gt;0.5),(AM16*2*база!$L$5*Таблица14[[#This Row],[коэф]]),
IF(AND(G16="3/16",AM16&gt;0.5),(AM16*2*база!$L$4*Таблица14[[#This Row],[коэф]]),
IF(AND(G16="4/4",AM16&gt;0.5),(AM16*2*база!$I$5*Таблица14[[#This Row],[коэф]]),
IF(OR(AND(G16="3/4",AM16&gt;0.5),AND(G16="2/4",AM16&gt;0.5)),(AM16*2*база!$I$4*Таблица14[[#This Row],[коэф]]),
IF(AND(G16="5/8",AM16&gt;0.5),(AM16*2*база!$J$6*Таблица14[[#This Row],[коэф]]),
IF(AND(G16="4/8",AM16&gt;0.5),(AM16*2*база!$J$5*Таблица14[[#This Row],[коэф]]),
IF(OR(AND(G16="3/8",AM16&gt;0.5),AND(G16="2/8",AM16&gt;0.5)),(AM16*2*база!$J$4*Таблица14[[#This Row],[коэф]]),
(AM16*0.5*база!$L$4*Таблица14[[#This Row],[коэф]]))))))))))))),
(IF(AND(G16="5/24",AM16&gt;0.5),(AM16*2*база!$M$6*Таблица14[[#This Row],[коэф]]),
IF(OR(AND(G16="4/24",AM16&gt;0.5),AND(G16="3/24",AM16&gt;0.5)),(AM16*2*база!$M$5*Таблица14[[#This Row],[коэф]]),
IF(AND(G16="5/16",AM16&gt;0.5),(AM16*2*база!$L$6*Таблица14[[#This Row],[коэф]]),
IF(OR(AND(G16="4/16",AM16&gt;0.5),AND(G16="3/16",AM16&gt;0.5)),(AM16*2*база!$L$5*Таблица14[[#This Row],[коэф]]),
IF(OR(AND(G16="4/4",AM16&gt;0.5),AND(G16="3/4",AM16&gt;2)),(AM16*2*база!$I$5*Таблица14[[#This Row],[коэф]]),
IF(AND(G16="5/8",AM16&gt;0.5),(AM16*2*база!$J$6*Таблица14[[#This Row],[коэф]]),
IF(AND(G16="4/8",AM16&gt;0.5),(AM16*2*база!$J$5*Таблица14[[#This Row],[коэф]]),
IF(OR(AND(G16="3/8",AM16&gt;0.5),AND(G16="2/8",AM16&gt;0.5)),(AM16*2*база!$J$4*Таблица14[[#This Row],[коэф]]),
(AM16*2*база!$L$5*Таблица14[[#This Row],[коэф]])))))))))))</f>
        <v>0</v>
      </c>
      <c r="AO16" s="122" t="str">
        <f>IFERROR(INDEX(база!$D$2:$D$120, MATCH(Таблица14[[#This Row],[Ф. И. О.]],база!$B$2:$B$100,0)),"")</f>
        <v/>
      </c>
      <c r="AP16" s="57"/>
      <c r="AQ16" s="57"/>
      <c r="AR16" s="57"/>
      <c r="AS16" s="57"/>
    </row>
    <row r="17" spans="1:45" ht="13.5" customHeight="1">
      <c r="A17" s="956" t="str">
        <f t="shared" si="0"/>
        <v>январь</v>
      </c>
      <c r="B17" t="n" s="956">
        <v>2024.0</v>
      </c>
      <c r="C17" t="s" s="956">
        <v>390</v>
      </c>
      <c r="D17" t="s" s="956">
        <v>391</v>
      </c>
      <c r="E17" t="s" s="956">
        <v>46</v>
      </c>
      <c r="F17" t="s" s="956">
        <v>292</v>
      </c>
      <c r="G17" t="s" s="956">
        <v>6</v>
      </c>
      <c r="H17" s="956"/>
      <c r="I17" s="956"/>
      <c r="J17" s="956"/>
      <c r="K17" s="956"/>
      <c r="L17" t="n" s="956">
        <v>3.0</v>
      </c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  <c r="AI17" s="215"/>
      <c r="AJ17" s="215"/>
      <c r="AK17" s="215"/>
      <c r="AL17" s="215"/>
      <c r="AM17" s="121">
        <f t="shared" si="1"/>
        <v>0</v>
      </c>
      <c r="AN17" s="564">
        <f>IF(AO17&lt;=3,(IF(AND(G17="5/24",AM17&gt;0.5),(AM17*2*база!$M$6*Таблица14[[#This Row],[коэф]]),
IF(AND(G17="4/24",AM17&gt;0.5),(AM17*2*база!$M$5*Таблица14[[#This Row],[коэф]]),
IF(AND(G17="3/24",AM17&gt;0.5),(AM17*2*база!$M$4*Таблица14[[#This Row],[коэф]]),
IF(AND(G17="5/16",AM17&gt;0.5),(AM17*2*база!$L$6*Таблица14[[#This Row],[коэф]]),
IF(AND(G17="4/16",AM17&gt;0.5),(AM17*2*база!$L$5*Таблица14[[#This Row],[коэф]]),
IF(AND(G17="3/16",AM17&gt;0.5),(AM17*2*база!$L$4*Таблица14[[#This Row],[коэф]]),
IF(AND(G17="4/4",AM17&gt;0.5),(AM17*2*база!$I$5*Таблица14[[#This Row],[коэф]]),
IF(OR(AND(G17="3/4",AM17&gt;0.5),AND(G17="2/4",AM17&gt;0.5)),(AM17*2*база!$I$4*Таблица14[[#This Row],[коэф]]),
IF(AND(G17="5/8",AM17&gt;0.5),(AM17*2*база!$J$6*Таблица14[[#This Row],[коэф]]),
IF(AND(G17="4/8",AM17&gt;0.5),(AM17*2*база!$J$5*Таблица14[[#This Row],[коэф]]),
IF(OR(AND(G17="3/8",AM17&gt;0.5),AND(G17="2/8",AM17&gt;0.5)),(AM17*2*база!$J$4*Таблица14[[#This Row],[коэф]]),
(AM17*0.5*база!$L$4*Таблица14[[#This Row],[коэф]]))))))))))))),
(IF(AND(G17="5/24",AM17&gt;0.5),(AM17*2*база!$M$6*Таблица14[[#This Row],[коэф]]),
IF(OR(AND(G17="4/24",AM17&gt;0.5),AND(G17="3/24",AM17&gt;0.5)),(AM17*2*база!$M$5*Таблица14[[#This Row],[коэф]]),
IF(AND(G17="5/16",AM17&gt;0.5),(AM17*2*база!$L$6*Таблица14[[#This Row],[коэф]]),
IF(OR(AND(G17="4/16",AM17&gt;0.5),AND(G17="3/16",AM17&gt;0.5)),(AM17*2*база!$L$5*Таблица14[[#This Row],[коэф]]),
IF(OR(AND(G17="4/4",AM17&gt;0.5),AND(G17="3/4",AM17&gt;2)),(AM17*2*база!$I$5*Таблица14[[#This Row],[коэф]]),
IF(AND(G17="5/8",AM17&gt;0.5),(AM17*2*база!$J$6*Таблица14[[#This Row],[коэф]]),
IF(AND(G17="4/8",AM17&gt;0.5),(AM17*2*база!$J$5*Таблица14[[#This Row],[коэф]]),
IF(OR(AND(G17="3/8",AM17&gt;0.5),AND(G17="2/8",AM17&gt;0.5)),(AM17*2*база!$J$4*Таблица14[[#This Row],[коэф]]),
(AM17*2*база!$L$5*Таблица14[[#This Row],[коэф]])))))))))))</f>
        <v>0</v>
      </c>
      <c r="AO17" s="122" t="str">
        <f>IFERROR(INDEX(база!$D$2:$D$120, MATCH(Таблица14[[#This Row],[Ф. И. О.]],база!$B$2:$B$100,0)),"")</f>
        <v/>
      </c>
      <c r="AP17" s="57"/>
      <c r="AQ17" s="57"/>
      <c r="AR17" s="57"/>
      <c r="AS17" s="57"/>
    </row>
    <row r="18" spans="1:45" ht="13.5" customHeight="1">
      <c r="A18" s="957" t="str">
        <f t="shared" si="0"/>
        <v>январь</v>
      </c>
      <c r="B18" t="n" s="957">
        <v>2024.0</v>
      </c>
      <c r="C18" t="s" s="957">
        <v>388</v>
      </c>
      <c r="D18" t="s" s="957">
        <v>381</v>
      </c>
      <c r="E18" t="s" s="957">
        <v>46</v>
      </c>
      <c r="F18" t="s" s="957">
        <v>295</v>
      </c>
      <c r="G18" t="s" s="957">
        <v>4</v>
      </c>
      <c r="H18" s="957"/>
      <c r="I18" s="957"/>
      <c r="J18" s="957"/>
      <c r="K18" t="n" s="957">
        <v>2.0</v>
      </c>
      <c r="L18" s="215"/>
      <c r="M18" s="215"/>
      <c r="N18" s="215"/>
      <c r="O18" s="215"/>
      <c r="P18" s="215"/>
      <c r="Q18" s="215"/>
      <c r="R18" s="215"/>
      <c r="S18" s="215"/>
      <c r="T18" s="215"/>
      <c r="U18" s="215"/>
      <c r="V18" s="215"/>
      <c r="W18" s="215"/>
      <c r="X18" s="215"/>
      <c r="Y18" s="215"/>
      <c r="Z18" s="215"/>
      <c r="AA18" s="215"/>
      <c r="AB18" s="215"/>
      <c r="AC18" s="215"/>
      <c r="AD18" s="215"/>
      <c r="AE18" s="215"/>
      <c r="AF18" s="215"/>
      <c r="AG18" s="215"/>
      <c r="AH18" s="215"/>
      <c r="AI18" s="215"/>
      <c r="AJ18" s="215"/>
      <c r="AK18" s="215"/>
      <c r="AL18" s="215"/>
      <c r="AM18" s="121">
        <f t="shared" si="1"/>
        <v>0</v>
      </c>
      <c r="AN18" s="564">
        <f>IF(AO18&lt;=3,(IF(AND(G18="5/24",AM18&gt;0.5),(AM18*2*база!$M$6*Таблица14[[#This Row],[коэф]]),
IF(AND(G18="4/24",AM18&gt;0.5),(AM18*2*база!$M$5*Таблица14[[#This Row],[коэф]]),
IF(AND(G18="3/24",AM18&gt;0.5),(AM18*2*база!$M$4*Таблица14[[#This Row],[коэф]]),
IF(AND(G18="5/16",AM18&gt;0.5),(AM18*2*база!$L$6*Таблица14[[#This Row],[коэф]]),
IF(AND(G18="4/16",AM18&gt;0.5),(AM18*2*база!$L$5*Таблица14[[#This Row],[коэф]]),
IF(AND(G18="3/16",AM18&gt;0.5),(AM18*2*база!$L$4*Таблица14[[#This Row],[коэф]]),
IF(AND(G18="4/4",AM18&gt;0.5),(AM18*2*база!$I$5*Таблица14[[#This Row],[коэф]]),
IF(OR(AND(G18="3/4",AM18&gt;0.5),AND(G18="2/4",AM18&gt;0.5)),(AM18*2*база!$I$4*Таблица14[[#This Row],[коэф]]),
IF(AND(G18="5/8",AM18&gt;0.5),(AM18*2*база!$J$6*Таблица14[[#This Row],[коэф]]),
IF(AND(G18="4/8",AM18&gt;0.5),(AM18*2*база!$J$5*Таблица14[[#This Row],[коэф]]),
IF(OR(AND(G18="3/8",AM18&gt;0.5),AND(G18="2/8",AM18&gt;0.5)),(AM18*2*база!$J$4*Таблица14[[#This Row],[коэф]]),
(AM18*0.5*база!$L$4*Таблица14[[#This Row],[коэф]]))))))))))))),
(IF(AND(G18="5/24",AM18&gt;0.5),(AM18*2*база!$M$6*Таблица14[[#This Row],[коэф]]),
IF(OR(AND(G18="4/24",AM18&gt;0.5),AND(G18="3/24",AM18&gt;0.5)),(AM18*2*база!$M$5*Таблица14[[#This Row],[коэф]]),
IF(AND(G18="5/16",AM18&gt;0.5),(AM18*2*база!$L$6*Таблица14[[#This Row],[коэф]]),
IF(OR(AND(G18="4/16",AM18&gt;0.5),AND(G18="3/16",AM18&gt;0.5)),(AM18*2*база!$L$5*Таблица14[[#This Row],[коэф]]),
IF(OR(AND(G18="4/4",AM18&gt;0.5),AND(G18="3/4",AM18&gt;2)),(AM18*2*база!$I$5*Таблица14[[#This Row],[коэф]]),
IF(AND(G18="5/8",AM18&gt;0.5),(AM18*2*база!$J$6*Таблица14[[#This Row],[коэф]]),
IF(AND(G18="4/8",AM18&gt;0.5),(AM18*2*база!$J$5*Таблица14[[#This Row],[коэф]]),
IF(OR(AND(G18="3/8",AM18&gt;0.5),AND(G18="2/8",AM18&gt;0.5)),(AM18*2*база!$J$4*Таблица14[[#This Row],[коэф]]),
(AM18*2*база!$L$5*Таблица14[[#This Row],[коэф]])))))))))))</f>
        <v>0</v>
      </c>
      <c r="AO18" s="122" t="str">
        <f>IFERROR(INDEX(база!$D$2:$D$120, MATCH(Таблица14[[#This Row],[Ф. И. О.]],база!$B$2:$B$100,0)),"")</f>
        <v/>
      </c>
      <c r="AP18" s="57"/>
      <c r="AQ18" s="57"/>
      <c r="AR18" s="57"/>
      <c r="AS18" s="57"/>
    </row>
    <row r="19" spans="1:45" ht="13.5" customHeight="1">
      <c r="A19" s="958" t="str">
        <f t="shared" si="0"/>
        <v>январь</v>
      </c>
      <c r="B19" t="n" s="958">
        <v>2024.0</v>
      </c>
      <c r="C19" t="s" s="958">
        <v>390</v>
      </c>
      <c r="D19" t="s" s="958">
        <v>391</v>
      </c>
      <c r="E19" t="s" s="958">
        <v>46</v>
      </c>
      <c r="F19" t="s" s="958">
        <v>295</v>
      </c>
      <c r="G19" t="s" s="958">
        <v>6</v>
      </c>
      <c r="H19" s="958"/>
      <c r="I19" s="958"/>
      <c r="J19" s="958"/>
      <c r="K19" t="n" s="1">
        <v>1.0</v>
      </c>
      <c r="L19" s="215"/>
      <c r="M19" s="215"/>
      <c r="N19" s="215"/>
      <c r="O19" s="215"/>
      <c r="P19" s="215"/>
      <c r="Q19" s="215"/>
      <c r="R19" s="215"/>
      <c r="S19" s="215"/>
      <c r="T19" s="215"/>
      <c r="U19" s="215"/>
      <c r="V19" s="215"/>
      <c r="W19" s="215"/>
      <c r="X19" s="215"/>
      <c r="Y19" s="215"/>
      <c r="Z19" s="215"/>
      <c r="AA19" s="215"/>
      <c r="AB19" s="215"/>
      <c r="AC19" s="215"/>
      <c r="AD19" s="215"/>
      <c r="AE19" s="215"/>
      <c r="AF19" s="215"/>
      <c r="AG19" s="215"/>
      <c r="AH19" s="215"/>
      <c r="AI19" s="215"/>
      <c r="AJ19" s="215"/>
      <c r="AK19" s="215"/>
      <c r="AL19" s="215"/>
      <c r="AM19" s="121">
        <f t="shared" si="1"/>
        <v>0</v>
      </c>
      <c r="AN19" s="564">
        <f>IF(AO19&lt;=3,(IF(AND(G19="5/24",AM19&gt;0.5),(AM19*2*база!$M$6*Таблица14[[#This Row],[коэф]]),
IF(AND(G19="4/24",AM19&gt;0.5),(AM19*2*база!$M$5*Таблица14[[#This Row],[коэф]]),
IF(AND(G19="3/24",AM19&gt;0.5),(AM19*2*база!$M$4*Таблица14[[#This Row],[коэф]]),
IF(AND(G19="5/16",AM19&gt;0.5),(AM19*2*база!$L$6*Таблица14[[#This Row],[коэф]]),
IF(AND(G19="4/16",AM19&gt;0.5),(AM19*2*база!$L$5*Таблица14[[#This Row],[коэф]]),
IF(AND(G19="3/16",AM19&gt;0.5),(AM19*2*база!$L$4*Таблица14[[#This Row],[коэф]]),
IF(AND(G19="4/4",AM19&gt;0.5),(AM19*2*база!$I$5*Таблица14[[#This Row],[коэф]]),
IF(OR(AND(G19="3/4",AM19&gt;0.5),AND(G19="2/4",AM19&gt;0.5)),(AM19*2*база!$I$4*Таблица14[[#This Row],[коэф]]),
IF(AND(G19="5/8",AM19&gt;0.5),(AM19*2*база!$J$6*Таблица14[[#This Row],[коэф]]),
IF(AND(G19="4/8",AM19&gt;0.5),(AM19*2*база!$J$5*Таблица14[[#This Row],[коэф]]),
IF(OR(AND(G19="3/8",AM19&gt;0.5),AND(G19="2/8",AM19&gt;0.5)),(AM19*2*база!$J$4*Таблица14[[#This Row],[коэф]]),
(AM19*0.5*база!$L$4*Таблица14[[#This Row],[коэф]]))))))))))))),
(IF(AND(G19="5/24",AM19&gt;0.5),(AM19*2*база!$M$6*Таблица14[[#This Row],[коэф]]),
IF(OR(AND(G19="4/24",AM19&gt;0.5),AND(G19="3/24",AM19&gt;0.5)),(AM19*2*база!$M$5*Таблица14[[#This Row],[коэф]]),
IF(AND(G19="5/16",AM19&gt;0.5),(AM19*2*база!$L$6*Таблица14[[#This Row],[коэф]]),
IF(OR(AND(G19="4/16",AM19&gt;0.5),AND(G19="3/16",AM19&gt;0.5)),(AM19*2*база!$L$5*Таблица14[[#This Row],[коэф]]),
IF(OR(AND(G19="4/4",AM19&gt;0.5),AND(G19="3/4",AM19&gt;2)),(AM19*2*база!$I$5*Таблица14[[#This Row],[коэф]]),
IF(AND(G19="5/8",AM19&gt;0.5),(AM19*2*база!$J$6*Таблица14[[#This Row],[коэф]]),
IF(AND(G19="4/8",AM19&gt;0.5),(AM19*2*база!$J$5*Таблица14[[#This Row],[коэф]]),
IF(OR(AND(G19="3/8",AM19&gt;0.5),AND(G19="2/8",AM19&gt;0.5)),(AM19*2*база!$J$4*Таблица14[[#This Row],[коэф]]),
(AM19*2*база!$L$5*Таблица14[[#This Row],[коэф]])))))))))))</f>
        <v>0</v>
      </c>
      <c r="AO19" s="122" t="str">
        <f>IFERROR(INDEX(база!$D$2:$D$120, MATCH(Таблица14[[#This Row],[Ф. И. О.]],база!$B$2:$B$100,0)),"")</f>
        <v/>
      </c>
      <c r="AP19" s="57"/>
      <c r="AQ19" s="57"/>
      <c r="AR19" s="57"/>
      <c r="AS19" s="57"/>
    </row>
    <row r="20" spans="1:45" ht="13.5" customHeight="1">
      <c r="A20" s="960" t="str">
        <f>A19</f>
        <v>январь</v>
      </c>
      <c r="B20" t="n" s="960">
        <v>2024.0</v>
      </c>
      <c r="C20" t="s" s="960">
        <v>392</v>
      </c>
      <c r="D20" t="s" s="960">
        <v>364</v>
      </c>
      <c r="E20" t="s" s="960">
        <v>46</v>
      </c>
      <c r="F20" t="s" s="960">
        <v>295</v>
      </c>
      <c r="G20" t="s" s="960">
        <v>6</v>
      </c>
      <c r="H20" s="960"/>
      <c r="I20" s="960"/>
      <c r="J20" s="960"/>
      <c r="K20" s="960"/>
      <c r="L20" t="n" s="960">
        <v>1.0</v>
      </c>
      <c r="M20" s="215"/>
      <c r="N20" s="215"/>
      <c r="O20" s="215"/>
      <c r="P20" s="215"/>
      <c r="Q20" s="215"/>
      <c r="R20" s="215"/>
      <c r="S20" s="215"/>
      <c r="T20" s="215"/>
      <c r="U20" s="215"/>
      <c r="V20" s="215"/>
      <c r="W20" s="215"/>
      <c r="X20" s="215"/>
      <c r="Y20" s="215"/>
      <c r="Z20" s="215"/>
      <c r="AA20" s="215"/>
      <c r="AB20" s="215"/>
      <c r="AC20" s="215"/>
      <c r="AD20" s="215"/>
      <c r="AE20" s="215"/>
      <c r="AF20" s="215"/>
      <c r="AG20" s="215"/>
      <c r="AH20" s="215"/>
      <c r="AI20" s="215"/>
      <c r="AJ20" s="215"/>
      <c r="AK20" s="215"/>
      <c r="AL20" s="215"/>
      <c r="AM20" s="121">
        <f t="shared" si="1"/>
        <v>0</v>
      </c>
      <c r="AN20" s="564">
        <f>IF(AO20&lt;=3,(IF(AND(G20="5/24",AM20&gt;0.5),(AM20*2*база!$M$6*Таблица14[[#This Row],[коэф]]),
IF(AND(G20="4/24",AM20&gt;0.5),(AM20*2*база!$M$5*Таблица14[[#This Row],[коэф]]),
IF(AND(G20="3/24",AM20&gt;0.5),(AM20*2*база!$M$4*Таблица14[[#This Row],[коэф]]),
IF(AND(G20="5/16",AM20&gt;0.5),(AM20*2*база!$L$6*Таблица14[[#This Row],[коэф]]),
IF(AND(G20="4/16",AM20&gt;0.5),(AM20*2*база!$L$5*Таблица14[[#This Row],[коэф]]),
IF(AND(G20="3/16",AM20&gt;0.5),(AM20*2*база!$L$4*Таблица14[[#This Row],[коэф]]),
IF(AND(G20="4/4",AM20&gt;0.5),(AM20*2*база!$I$5*Таблица14[[#This Row],[коэф]]),
IF(OR(AND(G20="3/4",AM20&gt;0.5),AND(G20="2/4",AM20&gt;0.5)),(AM20*2*база!$I$4*Таблица14[[#This Row],[коэф]]),
IF(AND(G20="5/8",AM20&gt;0.5),(AM20*2*база!$J$6*Таблица14[[#This Row],[коэф]]),
IF(AND(G20="4/8",AM20&gt;0.5),(AM20*2*база!$J$5*Таблица14[[#This Row],[коэф]]),
IF(OR(AND(G20="3/8",AM20&gt;0.5),AND(G20="2/8",AM20&gt;0.5)),(AM20*2*база!$J$4*Таблица14[[#This Row],[коэф]]),
(AM20*0.5*база!$L$4*Таблица14[[#This Row],[коэф]]))))))))))))),
(IF(AND(G20="5/24",AM20&gt;0.5),(AM20*2*база!$M$6*Таблица14[[#This Row],[коэф]]),
IF(OR(AND(G20="4/24",AM20&gt;0.5),AND(G20="3/24",AM20&gt;0.5)),(AM20*2*база!$M$5*Таблица14[[#This Row],[коэф]]),
IF(AND(G20="5/16",AM20&gt;0.5),(AM20*2*база!$L$6*Таблица14[[#This Row],[коэф]]),
IF(OR(AND(G20="4/16",AM20&gt;0.5),AND(G20="3/16",AM20&gt;0.5)),(AM20*2*база!$L$5*Таблица14[[#This Row],[коэф]]),
IF(OR(AND(G20="4/4",AM20&gt;0.5),AND(G20="3/4",AM20&gt;2)),(AM20*2*база!$I$5*Таблица14[[#This Row],[коэф]]),
IF(AND(G20="5/8",AM20&gt;0.5),(AM20*2*база!$J$6*Таблица14[[#This Row],[коэф]]),
IF(AND(G20="4/8",AM20&gt;0.5),(AM20*2*база!$J$5*Таблица14[[#This Row],[коэф]]),
IF(OR(AND(G20="3/8",AM20&gt;0.5),AND(G20="2/8",AM20&gt;0.5)),(AM20*2*база!$J$4*Таблица14[[#This Row],[коэф]]),
(AM20*2*база!$L$5*Таблица14[[#This Row],[коэф]])))))))))))</f>
        <v>0</v>
      </c>
      <c r="AO20" s="122" t="str">
        <f>IFERROR(INDEX(база!$D$2:$D$120, MATCH(Таблица14[[#This Row],[Ф. И. О.]],база!$B$2:$B$100,0)),"")</f>
        <v/>
      </c>
      <c r="AP20" s="57"/>
      <c r="AQ20" s="57"/>
      <c r="AR20" s="57"/>
      <c r="AS20" s="57"/>
    </row>
    <row r="21" spans="1:45" ht="13.5" customHeight="1">
      <c r="A21" s="963" t="str">
        <f t="shared" si="0"/>
        <v>январь</v>
      </c>
      <c r="B21" t="n" s="963">
        <v>2024.0</v>
      </c>
      <c r="C21" t="s" s="963">
        <v>388</v>
      </c>
      <c r="D21" t="s" s="963">
        <v>364</v>
      </c>
      <c r="E21" t="s" s="963">
        <v>46</v>
      </c>
      <c r="F21" t="s" s="963">
        <v>373</v>
      </c>
      <c r="G21" t="s" s="963">
        <v>6</v>
      </c>
      <c r="H21" s="963"/>
      <c r="I21" s="963"/>
      <c r="J21" s="963"/>
      <c r="K21" t="n" s="963">
        <v>4.0</v>
      </c>
      <c r="L21" s="215"/>
      <c r="M21" s="215"/>
      <c r="N21" s="215"/>
      <c r="O21" t="n" s="46">
        <v>4.0</v>
      </c>
      <c r="P21" s="215"/>
      <c r="Q21" s="215"/>
      <c r="R21" s="215"/>
      <c r="S21" s="215"/>
      <c r="T21" s="215"/>
      <c r="U21" s="215"/>
      <c r="V21" s="215"/>
      <c r="W21" s="215"/>
      <c r="X21" s="215"/>
      <c r="Y21" s="215"/>
      <c r="Z21" s="215"/>
      <c r="AA21" s="215"/>
      <c r="AB21" s="215"/>
      <c r="AC21" s="215"/>
      <c r="AD21" s="215"/>
      <c r="AE21" s="215"/>
      <c r="AF21" s="215"/>
      <c r="AG21" s="215"/>
      <c r="AH21" s="215"/>
      <c r="AI21" s="215"/>
      <c r="AJ21" s="215"/>
      <c r="AK21" s="215"/>
      <c r="AL21" s="215"/>
      <c r="AM21" s="121">
        <f t="shared" si="1"/>
        <v>0</v>
      </c>
      <c r="AN21" s="564">
        <f>IF(AO21&lt;=3,(IF(AND(G21="5/24",AM21&gt;0.5),(AM21*2*база!$M$6*Таблица14[[#This Row],[коэф]]),
IF(AND(G21="4/24",AM21&gt;0.5),(AM21*2*база!$M$5*Таблица14[[#This Row],[коэф]]),
IF(AND(G21="3/24",AM21&gt;0.5),(AM21*2*база!$M$4*Таблица14[[#This Row],[коэф]]),
IF(AND(G21="5/16",AM21&gt;0.5),(AM21*2*база!$L$6*Таблица14[[#This Row],[коэф]]),
IF(AND(G21="4/16",AM21&gt;0.5),(AM21*2*база!$L$5*Таблица14[[#This Row],[коэф]]),
IF(AND(G21="3/16",AM21&gt;0.5),(AM21*2*база!$L$4*Таблица14[[#This Row],[коэф]]),
IF(AND(G21="4/4",AM21&gt;0.5),(AM21*2*база!$I$5*Таблица14[[#This Row],[коэф]]),
IF(OR(AND(G21="3/4",AM21&gt;0.5),AND(G21="2/4",AM21&gt;0.5)),(AM21*2*база!$I$4*Таблица14[[#This Row],[коэф]]),
IF(AND(G21="5/8",AM21&gt;0.5),(AM21*2*база!$J$6*Таблица14[[#This Row],[коэф]]),
IF(AND(G21="4/8",AM21&gt;0.5),(AM21*2*база!$J$5*Таблица14[[#This Row],[коэф]]),
IF(OR(AND(G21="3/8",AM21&gt;0.5),AND(G21="2/8",AM21&gt;0.5)),(AM21*2*база!$J$4*Таблица14[[#This Row],[коэф]]),
(AM21*0.5*база!$L$4*Таблица14[[#This Row],[коэф]]))))))))))))),
(IF(AND(G21="5/24",AM21&gt;0.5),(AM21*2*база!$M$6*Таблица14[[#This Row],[коэф]]),
IF(OR(AND(G21="4/24",AM21&gt;0.5),AND(G21="3/24",AM21&gt;0.5)),(AM21*2*база!$M$5*Таблица14[[#This Row],[коэф]]),
IF(AND(G21="5/16",AM21&gt;0.5),(AM21*2*база!$L$6*Таблица14[[#This Row],[коэф]]),
IF(OR(AND(G21="4/16",AM21&gt;0.5),AND(G21="3/16",AM21&gt;0.5)),(AM21*2*база!$L$5*Таблица14[[#This Row],[коэф]]),
IF(OR(AND(G21="4/4",AM21&gt;0.5),AND(G21="3/4",AM21&gt;2)),(AM21*2*база!$I$5*Таблица14[[#This Row],[коэф]]),
IF(AND(G21="5/8",AM21&gt;0.5),(AM21*2*база!$J$6*Таблица14[[#This Row],[коэф]]),
IF(AND(G21="4/8",AM21&gt;0.5),(AM21*2*база!$J$5*Таблица14[[#This Row],[коэф]]),
IF(OR(AND(G21="3/8",AM21&gt;0.5),AND(G21="2/8",AM21&gt;0.5)),(AM21*2*база!$J$4*Таблица14[[#This Row],[коэф]]),
(AM21*2*база!$L$5*Таблица14[[#This Row],[коэф]])))))))))))</f>
        <v>0</v>
      </c>
      <c r="AO21" s="122" t="str">
        <f>IFERROR(INDEX(база!$D$2:$D$120, MATCH(Таблица14[[#This Row],[Ф. И. О.]],база!$B$2:$B$100,0)),"")</f>
        <v/>
      </c>
      <c r="AP21" s="57"/>
      <c r="AQ21" s="57"/>
      <c r="AR21" s="57"/>
      <c r="AS21" s="57"/>
    </row>
    <row r="22" spans="1:45" ht="13.5" customHeight="1">
      <c r="A22" s="965" t="str">
        <f t="shared" si="0"/>
        <v>январь</v>
      </c>
      <c r="B22" t="n" s="965">
        <v>2024.0</v>
      </c>
      <c r="C22" t="s" s="965">
        <v>392</v>
      </c>
      <c r="D22" t="s" s="965">
        <v>364</v>
      </c>
      <c r="E22" t="s" s="965">
        <v>46</v>
      </c>
      <c r="F22" t="s" s="965">
        <v>376</v>
      </c>
      <c r="G22" t="s" s="965">
        <v>4</v>
      </c>
      <c r="H22" s="965"/>
      <c r="I22" s="965"/>
      <c r="J22" s="965"/>
      <c r="K22" s="965"/>
      <c r="L22" t="n" s="965">
        <v>4.0</v>
      </c>
      <c r="M22" s="215"/>
      <c r="N22" s="215"/>
      <c r="O22" s="215"/>
      <c r="P22" s="215"/>
      <c r="Q22" s="215"/>
      <c r="R22" s="215"/>
      <c r="S22" s="215"/>
      <c r="T22" s="215"/>
      <c r="U22" s="215"/>
      <c r="V22" s="215"/>
      <c r="W22" s="215"/>
      <c r="X22" s="215"/>
      <c r="Y22" s="215"/>
      <c r="Z22" s="215"/>
      <c r="AA22" s="215"/>
      <c r="AB22" s="215"/>
      <c r="AC22" s="215"/>
      <c r="AD22" s="215"/>
      <c r="AE22" s="215"/>
      <c r="AF22" s="215"/>
      <c r="AG22" s="215"/>
      <c r="AH22" s="215"/>
      <c r="AI22" s="215"/>
      <c r="AJ22" s="215"/>
      <c r="AK22" s="215"/>
      <c r="AL22" s="215"/>
      <c r="AM22" s="121">
        <f t="shared" si="1"/>
        <v>0</v>
      </c>
      <c r="AN22" s="564">
        <f>IF(AO22&lt;=3,(IF(AND(G22="5/24",AM22&gt;0.5),(AM22*2*база!$M$6*Таблица14[[#This Row],[коэф]]),
IF(AND(G22="4/24",AM22&gt;0.5),(AM22*2*база!$M$5*Таблица14[[#This Row],[коэф]]),
IF(AND(G22="3/24",AM22&gt;0.5),(AM22*2*база!$M$4*Таблица14[[#This Row],[коэф]]),
IF(AND(G22="5/16",AM22&gt;0.5),(AM22*2*база!$L$6*Таблица14[[#This Row],[коэф]]),
IF(AND(G22="4/16",AM22&gt;0.5),(AM22*2*база!$L$5*Таблица14[[#This Row],[коэф]]),
IF(AND(G22="3/16",AM22&gt;0.5),(AM22*2*база!$L$4*Таблица14[[#This Row],[коэф]]),
IF(AND(G22="4/4",AM22&gt;0.5),(AM22*2*база!$I$5*Таблица14[[#This Row],[коэф]]),
IF(OR(AND(G22="3/4",AM22&gt;0.5),AND(G22="2/4",AM22&gt;0.5)),(AM22*2*база!$I$4*Таблица14[[#This Row],[коэф]]),
IF(AND(G22="5/8",AM22&gt;0.5),(AM22*2*база!$J$6*Таблица14[[#This Row],[коэф]]),
IF(AND(G22="4/8",AM22&gt;0.5),(AM22*2*база!$J$5*Таблица14[[#This Row],[коэф]]),
IF(OR(AND(G22="3/8",AM22&gt;0.5),AND(G22="2/8",AM22&gt;0.5)),(AM22*2*база!$J$4*Таблица14[[#This Row],[коэф]]),
(AM22*0.5*база!$L$4*Таблица14[[#This Row],[коэф]]))))))))))))),
(IF(AND(G22="5/24",AM22&gt;0.5),(AM22*2*база!$M$6*Таблица14[[#This Row],[коэф]]),
IF(OR(AND(G22="4/24",AM22&gt;0.5),AND(G22="3/24",AM22&gt;0.5)),(AM22*2*база!$M$5*Таблица14[[#This Row],[коэф]]),
IF(AND(G22="5/16",AM22&gt;0.5),(AM22*2*база!$L$6*Таблица14[[#This Row],[коэф]]),
IF(OR(AND(G22="4/16",AM22&gt;0.5),AND(G22="3/16",AM22&gt;0.5)),(AM22*2*база!$L$5*Таблица14[[#This Row],[коэф]]),
IF(OR(AND(G22="4/4",AM22&gt;0.5),AND(G22="3/4",AM22&gt;2)),(AM22*2*база!$I$5*Таблица14[[#This Row],[коэф]]),
IF(AND(G22="5/8",AM22&gt;0.5),(AM22*2*база!$J$6*Таблица14[[#This Row],[коэф]]),
IF(AND(G22="4/8",AM22&gt;0.5),(AM22*2*база!$J$5*Таблица14[[#This Row],[коэф]]),
IF(OR(AND(G22="3/8",AM22&gt;0.5),AND(G22="2/8",AM22&gt;0.5)),(AM22*2*база!$J$4*Таблица14[[#This Row],[коэф]]),
(AM22*2*база!$L$5*Таблица14[[#This Row],[коэф]])))))))))))</f>
        <v>0</v>
      </c>
      <c r="AO22" s="122" t="str">
        <f>IFERROR(INDEX(база!$D$2:$D$120, MATCH(Таблица14[[#This Row],[Ф. И. О.]],база!$B$2:$B$100,0)),"")</f>
        <v/>
      </c>
      <c r="AP22" s="57"/>
      <c r="AQ22" s="57"/>
      <c r="AR22" s="57"/>
      <c r="AS22" s="57"/>
    </row>
    <row r="23" spans="1:45" ht="13.5" customHeight="1">
      <c r="A23" s="966" t="str">
        <f t="shared" si="0"/>
        <v>январь</v>
      </c>
      <c r="B23" t="n" s="966">
        <v>2024.0</v>
      </c>
      <c r="C23" t="s" s="966">
        <v>386</v>
      </c>
      <c r="D23" t="s" s="966">
        <v>364</v>
      </c>
      <c r="E23" t="s" s="966">
        <v>46</v>
      </c>
      <c r="F23" t="s" s="966">
        <v>376</v>
      </c>
      <c r="G23" t="s" s="966">
        <v>4</v>
      </c>
      <c r="H23" s="966"/>
      <c r="I23" s="966"/>
      <c r="J23" s="966"/>
      <c r="K23" t="n" s="966">
        <v>4.0</v>
      </c>
      <c r="L23" s="215"/>
      <c r="M23" s="215"/>
      <c r="N23" s="215"/>
      <c r="O23" s="215"/>
      <c r="P23" s="215"/>
      <c r="Q23" s="215"/>
      <c r="R23" s="215"/>
      <c r="S23" s="215"/>
      <c r="T23" s="215"/>
      <c r="U23" s="215"/>
      <c r="V23" s="215"/>
      <c r="W23" s="215"/>
      <c r="X23" s="215"/>
      <c r="Y23" s="215"/>
      <c r="Z23" s="215"/>
      <c r="AA23" s="215"/>
      <c r="AB23" s="215"/>
      <c r="AC23" s="215"/>
      <c r="AD23" s="215"/>
      <c r="AE23" s="215"/>
      <c r="AF23" s="215"/>
      <c r="AG23" s="215"/>
      <c r="AH23" s="215"/>
      <c r="AI23" s="215"/>
      <c r="AJ23" s="215"/>
      <c r="AK23" s="215"/>
      <c r="AL23" s="215"/>
      <c r="AM23" s="121">
        <f t="shared" si="1"/>
        <v>0</v>
      </c>
      <c r="AN23" s="564">
        <f>IF(AO23&lt;=3,(IF(AND(G23="5/24",AM23&gt;0.5),(AM23*2*база!$M$6*Таблица14[[#This Row],[коэф]]),
IF(AND(G23="4/24",AM23&gt;0.5),(AM23*2*база!$M$5*Таблица14[[#This Row],[коэф]]),
IF(AND(G23="3/24",AM23&gt;0.5),(AM23*2*база!$M$4*Таблица14[[#This Row],[коэф]]),
IF(AND(G23="5/16",AM23&gt;0.5),(AM23*2*база!$L$6*Таблица14[[#This Row],[коэф]]),
IF(AND(G23="4/16",AM23&gt;0.5),(AM23*2*база!$L$5*Таблица14[[#This Row],[коэф]]),
IF(AND(G23="3/16",AM23&gt;0.5),(AM23*2*база!$L$4*Таблица14[[#This Row],[коэф]]),
IF(AND(G23="4/4",AM23&gt;0.5),(AM23*2*база!$I$5*Таблица14[[#This Row],[коэф]]),
IF(OR(AND(G23="3/4",AM23&gt;0.5),AND(G23="2/4",AM23&gt;0.5)),(AM23*2*база!$I$4*Таблица14[[#This Row],[коэф]]),
IF(AND(G23="5/8",AM23&gt;0.5),(AM23*2*база!$J$6*Таблица14[[#This Row],[коэф]]),
IF(AND(G23="4/8",AM23&gt;0.5),(AM23*2*база!$J$5*Таблица14[[#This Row],[коэф]]),
IF(OR(AND(G23="3/8",AM23&gt;0.5),AND(G23="2/8",AM23&gt;0.5)),(AM23*2*база!$J$4*Таблица14[[#This Row],[коэф]]),
(AM23*0.5*база!$L$4*Таблица14[[#This Row],[коэф]]))))))))))))),
(IF(AND(G23="5/24",AM23&gt;0.5),(AM23*2*база!$M$6*Таблица14[[#This Row],[коэф]]),
IF(OR(AND(G23="4/24",AM23&gt;0.5),AND(G23="3/24",AM23&gt;0.5)),(AM23*2*база!$M$5*Таблица14[[#This Row],[коэф]]),
IF(AND(G23="5/16",AM23&gt;0.5),(AM23*2*база!$L$6*Таблица14[[#This Row],[коэф]]),
IF(OR(AND(G23="4/16",AM23&gt;0.5),AND(G23="3/16",AM23&gt;0.5)),(AM23*2*база!$L$5*Таблица14[[#This Row],[коэф]]),
IF(OR(AND(G23="4/4",AM23&gt;0.5),AND(G23="3/4",AM23&gt;2)),(AM23*2*база!$I$5*Таблица14[[#This Row],[коэф]]),
IF(AND(G23="5/8",AM23&gt;0.5),(AM23*2*база!$J$6*Таблица14[[#This Row],[коэф]]),
IF(AND(G23="4/8",AM23&gt;0.5),(AM23*2*база!$J$5*Таблица14[[#This Row],[коэф]]),
IF(OR(AND(G23="3/8",AM23&gt;0.5),AND(G23="2/8",AM23&gt;0.5)),(AM23*2*база!$J$4*Таблица14[[#This Row],[коэф]]),
(AM23*2*база!$L$5*Таблица14[[#This Row],[коэф]])))))))))))</f>
        <v>0</v>
      </c>
      <c r="AO23" s="122" t="str">
        <f>IFERROR(INDEX(база!$D$2:$D$120, MATCH(Таблица14[[#This Row],[Ф. И. О.]],база!$B$2:$B$100,0)),"")</f>
        <v/>
      </c>
      <c r="AP23" s="57"/>
      <c r="AQ23" s="57"/>
      <c r="AR23" s="57"/>
      <c r="AS23" s="57"/>
    </row>
    <row r="24" spans="1:45" ht="13.5" customHeight="1">
      <c r="A24" s="968" t="str">
        <f t="shared" si="0"/>
        <v>январь</v>
      </c>
      <c r="B24" t="n" s="968">
        <v>2024.0</v>
      </c>
      <c r="C24" t="s" s="968">
        <v>392</v>
      </c>
      <c r="D24" t="s" s="968">
        <v>365</v>
      </c>
      <c r="E24" t="s" s="968">
        <v>46</v>
      </c>
      <c r="F24" t="s" s="968">
        <v>347</v>
      </c>
      <c r="G24" t="s" s="968">
        <v>6</v>
      </c>
      <c r="H24" s="968"/>
      <c r="I24" s="968"/>
      <c r="J24" s="968"/>
      <c r="K24" s="968"/>
      <c r="L24" t="n" s="968">
        <v>4.0</v>
      </c>
      <c r="M24" s="215"/>
      <c r="N24" s="215"/>
      <c r="O24" s="215"/>
      <c r="P24" s="215"/>
      <c r="Q24" s="215"/>
      <c r="R24" s="215"/>
      <c r="S24" s="215"/>
      <c r="T24" s="215"/>
      <c r="U24" s="215"/>
      <c r="V24" s="215"/>
      <c r="W24" s="215"/>
      <c r="X24" s="215"/>
      <c r="Y24" s="215"/>
      <c r="Z24" s="215"/>
      <c r="AA24" s="215"/>
      <c r="AB24" s="215"/>
      <c r="AC24" s="215"/>
      <c r="AD24" s="215"/>
      <c r="AE24" s="215"/>
      <c r="AF24" s="215"/>
      <c r="AG24" s="215"/>
      <c r="AH24" s="215"/>
      <c r="AI24" s="215"/>
      <c r="AJ24" s="215"/>
      <c r="AK24" s="215"/>
      <c r="AL24" s="215"/>
      <c r="AM24" s="121">
        <f t="shared" si="1"/>
        <v>0</v>
      </c>
      <c r="AN24" s="564">
        <f>IF(AO24&lt;=3,(IF(AND(G24="5/24",AM24&gt;0.5),(AM24*2*база!$M$6*Таблица14[[#This Row],[коэф]]),
IF(AND(G24="4/24",AM24&gt;0.5),(AM24*2*база!$M$5*Таблица14[[#This Row],[коэф]]),
IF(AND(G24="3/24",AM24&gt;0.5),(AM24*2*база!$M$4*Таблица14[[#This Row],[коэф]]),
IF(AND(G24="5/16",AM24&gt;0.5),(AM24*2*база!$L$6*Таблица14[[#This Row],[коэф]]),
IF(AND(G24="4/16",AM24&gt;0.5),(AM24*2*база!$L$5*Таблица14[[#This Row],[коэф]]),
IF(AND(G24="3/16",AM24&gt;0.5),(AM24*2*база!$L$4*Таблица14[[#This Row],[коэф]]),
IF(AND(G24="4/4",AM24&gt;0.5),(AM24*2*база!$I$5*Таблица14[[#This Row],[коэф]]),
IF(OR(AND(G24="3/4",AM24&gt;0.5),AND(G24="2/4",AM24&gt;0.5)),(AM24*2*база!$I$4*Таблица14[[#This Row],[коэф]]),
IF(AND(G24="5/8",AM24&gt;0.5),(AM24*2*база!$J$6*Таблица14[[#This Row],[коэф]]),
IF(AND(G24="4/8",AM24&gt;0.5),(AM24*2*база!$J$5*Таблица14[[#This Row],[коэф]]),
IF(OR(AND(G24="3/8",AM24&gt;0.5),AND(G24="2/8",AM24&gt;0.5)),(AM24*2*база!$J$4*Таблица14[[#This Row],[коэф]]),
(AM24*0.5*база!$L$4*Таблица14[[#This Row],[коэф]]))))))))))))),
(IF(AND(G24="5/24",AM24&gt;0.5),(AM24*2*база!$M$6*Таблица14[[#This Row],[коэф]]),
IF(OR(AND(G24="4/24",AM24&gt;0.5),AND(G24="3/24",AM24&gt;0.5)),(AM24*2*база!$M$5*Таблица14[[#This Row],[коэф]]),
IF(AND(G24="5/16",AM24&gt;0.5),(AM24*2*база!$L$6*Таблица14[[#This Row],[коэф]]),
IF(OR(AND(G24="4/16",AM24&gt;0.5),AND(G24="3/16",AM24&gt;0.5)),(AM24*2*база!$L$5*Таблица14[[#This Row],[коэф]]),
IF(OR(AND(G24="4/4",AM24&gt;0.5),AND(G24="3/4",AM24&gt;2)),(AM24*2*база!$I$5*Таблица14[[#This Row],[коэф]]),
IF(AND(G24="5/8",AM24&gt;0.5),(AM24*2*база!$J$6*Таблица14[[#This Row],[коэф]]),
IF(AND(G24="4/8",AM24&gt;0.5),(AM24*2*база!$J$5*Таблица14[[#This Row],[коэф]]),
IF(OR(AND(G24="3/8",AM24&gt;0.5),AND(G24="2/8",AM24&gt;0.5)),(AM24*2*база!$J$4*Таблица14[[#This Row],[коэф]]),
(AM24*2*база!$L$5*Таблица14[[#This Row],[коэф]])))))))))))</f>
        <v>0</v>
      </c>
      <c r="AO24" s="122" t="str">
        <f>IFERROR(INDEX(база!$D$2:$D$120, MATCH(Таблица14[[#This Row],[Ф. И. О.]],база!$B$2:$B$100,0)),"")</f>
        <v/>
      </c>
      <c r="AP24" s="57"/>
      <c r="AQ24" s="57"/>
      <c r="AR24" s="57"/>
      <c r="AS24" s="57"/>
    </row>
    <row r="25" spans="1:45" ht="13.5" customHeight="1">
      <c r="A25" s="975" t="str">
        <f t="shared" si="0"/>
        <v>январь</v>
      </c>
      <c r="B25" t="n" s="975">
        <v>2024.0</v>
      </c>
      <c r="C25" t="s" s="975">
        <v>388</v>
      </c>
      <c r="D25" t="s" s="975">
        <v>366</v>
      </c>
      <c r="E25" t="s" s="975">
        <v>46</v>
      </c>
      <c r="F25" t="s" s="975">
        <v>302</v>
      </c>
      <c r="G25" t="s" s="975">
        <v>4</v>
      </c>
      <c r="H25" s="975"/>
      <c r="I25" s="975"/>
      <c r="J25" s="975"/>
      <c r="K25" s="975"/>
      <c r="L25" s="975"/>
      <c r="M25" t="n" s="975">
        <v>4.0</v>
      </c>
      <c r="N25" s="215"/>
      <c r="O25" s="215"/>
      <c r="P25" s="215"/>
      <c r="Q25" s="215"/>
      <c r="R25" s="215"/>
      <c r="S25" s="215"/>
      <c r="T25" s="215"/>
      <c r="U25" s="215"/>
      <c r="V25" s="215"/>
      <c r="W25" s="215"/>
      <c r="X25" s="215"/>
      <c r="Y25" s="215"/>
      <c r="Z25" s="215"/>
      <c r="AA25" s="215"/>
      <c r="AB25" s="215"/>
      <c r="AC25" s="215"/>
      <c r="AD25" s="215"/>
      <c r="AE25" s="215"/>
      <c r="AF25" s="215"/>
      <c r="AG25" s="215"/>
      <c r="AH25" s="215"/>
      <c r="AI25" s="215"/>
      <c r="AJ25" s="215"/>
      <c r="AK25" s="215"/>
      <c r="AL25" s="215"/>
      <c r="AM25" s="121">
        <f t="shared" si="1"/>
        <v>0</v>
      </c>
      <c r="AN25" s="564">
        <f>IF(AO25&lt;=3,(IF(AND(G25="5/24",AM25&gt;0.5),(AM25*2*база!$M$6*Таблица14[[#This Row],[коэф]]),
IF(AND(G25="4/24",AM25&gt;0.5),(AM25*2*база!$M$5*Таблица14[[#This Row],[коэф]]),
IF(AND(G25="3/24",AM25&gt;0.5),(AM25*2*база!$M$4*Таблица14[[#This Row],[коэф]]),
IF(AND(G25="5/16",AM25&gt;0.5),(AM25*2*база!$L$6*Таблица14[[#This Row],[коэф]]),
IF(AND(G25="4/16",AM25&gt;0.5),(AM25*2*база!$L$5*Таблица14[[#This Row],[коэф]]),
IF(AND(G25="3/16",AM25&gt;0.5),(AM25*2*база!$L$4*Таблица14[[#This Row],[коэф]]),
IF(AND(G25="4/4",AM25&gt;0.5),(AM25*2*база!$I$5*Таблица14[[#This Row],[коэф]]),
IF(OR(AND(G25="3/4",AM25&gt;0.5),AND(G25="2/4",AM25&gt;0.5)),(AM25*2*база!$I$4*Таблица14[[#This Row],[коэф]]),
IF(AND(G25="5/8",AM25&gt;0.5),(AM25*2*база!$J$6*Таблица14[[#This Row],[коэф]]),
IF(AND(G25="4/8",AM25&gt;0.5),(AM25*2*база!$J$5*Таблица14[[#This Row],[коэф]]),
IF(OR(AND(G25="3/8",AM25&gt;0.5),AND(G25="2/8",AM25&gt;0.5)),(AM25*2*база!$J$4*Таблица14[[#This Row],[коэф]]),
(AM25*0.5*база!$L$4*Таблица14[[#This Row],[коэф]]))))))))))))),
(IF(AND(G25="5/24",AM25&gt;0.5),(AM25*2*база!$M$6*Таблица14[[#This Row],[коэф]]),
IF(OR(AND(G25="4/24",AM25&gt;0.5),AND(G25="3/24",AM25&gt;0.5)),(AM25*2*база!$M$5*Таблица14[[#This Row],[коэф]]),
IF(AND(G25="5/16",AM25&gt;0.5),(AM25*2*база!$L$6*Таблица14[[#This Row],[коэф]]),
IF(OR(AND(G25="4/16",AM25&gt;0.5),AND(G25="3/16",AM25&gt;0.5)),(AM25*2*база!$L$5*Таблица14[[#This Row],[коэф]]),
IF(OR(AND(G25="4/4",AM25&gt;0.5),AND(G25="3/4",AM25&gt;2)),(AM25*2*база!$I$5*Таблица14[[#This Row],[коэф]]),
IF(AND(G25="5/8",AM25&gt;0.5),(AM25*2*база!$J$6*Таблица14[[#This Row],[коэф]]),
IF(AND(G25="4/8",AM25&gt;0.5),(AM25*2*база!$J$5*Таблица14[[#This Row],[коэф]]),
IF(OR(AND(G25="3/8",AM25&gt;0.5),AND(G25="2/8",AM25&gt;0.5)),(AM25*2*база!$J$4*Таблица14[[#This Row],[коэф]]),
(AM25*2*база!$L$5*Таблица14[[#This Row],[коэф]])))))))))))</f>
        <v>0</v>
      </c>
      <c r="AO25" s="122" t="str">
        <f>IFERROR(INDEX(база!$D$2:$D$120, MATCH(Таблица14[[#This Row],[Ф. И. О.]],база!$B$2:$B$100,0)),"")</f>
        <v/>
      </c>
      <c r="AP25" s="57"/>
      <c r="AQ25" s="57"/>
      <c r="AR25" s="57"/>
      <c r="AS25" s="57"/>
    </row>
    <row r="26" spans="1:45" ht="13.5" customHeight="1">
      <c r="A26" s="979" t="str">
        <f t="shared" si="0"/>
        <v>январь</v>
      </c>
      <c r="B26" t="n" s="979">
        <v>2024.0</v>
      </c>
      <c r="C26" t="s" s="979">
        <v>386</v>
      </c>
      <c r="D26" t="s" s="979">
        <v>364</v>
      </c>
      <c r="E26" t="s" s="979">
        <v>46</v>
      </c>
      <c r="F26" t="s" s="979">
        <v>354</v>
      </c>
      <c r="G26" t="s" s="979">
        <v>4</v>
      </c>
      <c r="H26" s="979"/>
      <c r="I26" s="979"/>
      <c r="J26" s="979"/>
      <c r="K26" s="979"/>
      <c r="L26" s="979"/>
      <c r="M26" t="n" s="979">
        <v>4.0</v>
      </c>
      <c r="N26" t="n" s="46">
        <v>4.0</v>
      </c>
      <c r="O26" s="215"/>
      <c r="P26" t="n" s="21">
        <v>2.5</v>
      </c>
      <c r="Q26" t="n" s="46">
        <v>7.0</v>
      </c>
      <c r="R26" s="215"/>
      <c r="S26" s="215"/>
      <c r="T26" t="n" s="46">
        <v>4.0</v>
      </c>
      <c r="U26" s="215"/>
      <c r="V26" s="215"/>
      <c r="W26" s="215"/>
      <c r="X26" s="215"/>
      <c r="Y26" s="215"/>
      <c r="Z26" s="215"/>
      <c r="AA26" s="215"/>
      <c r="AB26" s="215"/>
      <c r="AC26" s="215"/>
      <c r="AD26" s="215"/>
      <c r="AE26" s="215"/>
      <c r="AF26" s="215"/>
      <c r="AG26" s="215"/>
      <c r="AH26" s="215"/>
      <c r="AI26" s="215"/>
      <c r="AJ26" s="215"/>
      <c r="AK26" s="215"/>
      <c r="AL26" s="215"/>
      <c r="AM26" s="121">
        <f t="shared" si="1"/>
        <v>0</v>
      </c>
      <c r="AN26" s="564">
        <f>IF(AO26&lt;=3,(IF(AND(G26="5/24",AM26&gt;0.5),(AM26*2*база!$M$6*Таблица14[[#This Row],[коэф]]),
IF(AND(G26="4/24",AM26&gt;0.5),(AM26*2*база!$M$5*Таблица14[[#This Row],[коэф]]),
IF(AND(G26="3/24",AM26&gt;0.5),(AM26*2*база!$M$4*Таблица14[[#This Row],[коэф]]),
IF(AND(G26="5/16",AM26&gt;0.5),(AM26*2*база!$L$6*Таблица14[[#This Row],[коэф]]),
IF(AND(G26="4/16",AM26&gt;0.5),(AM26*2*база!$L$5*Таблица14[[#This Row],[коэф]]),
IF(AND(G26="3/16",AM26&gt;0.5),(AM26*2*база!$L$4*Таблица14[[#This Row],[коэф]]),
IF(AND(G26="4/4",AM26&gt;0.5),(AM26*2*база!$I$5*Таблица14[[#This Row],[коэф]]),
IF(OR(AND(G26="3/4",AM26&gt;0.5),AND(G26="2/4",AM26&gt;0.5)),(AM26*2*база!$I$4*Таблица14[[#This Row],[коэф]]),
IF(AND(G26="5/8",AM26&gt;0.5),(AM26*2*база!$J$6*Таблица14[[#This Row],[коэф]]),
IF(AND(G26="4/8",AM26&gt;0.5),(AM26*2*база!$J$5*Таблица14[[#This Row],[коэф]]),
IF(OR(AND(G26="3/8",AM26&gt;0.5),AND(G26="2/8",AM26&gt;0.5)),(AM26*2*база!$J$4*Таблица14[[#This Row],[коэф]]),
(AM26*0.5*база!$L$4*Таблица14[[#This Row],[коэф]]))))))))))))),
(IF(AND(G26="5/24",AM26&gt;0.5),(AM26*2*база!$M$6*Таблица14[[#This Row],[коэф]]),
IF(OR(AND(G26="4/24",AM26&gt;0.5),AND(G26="3/24",AM26&gt;0.5)),(AM26*2*база!$M$5*Таблица14[[#This Row],[коэф]]),
IF(AND(G26="5/16",AM26&gt;0.5),(AM26*2*база!$L$6*Таблица14[[#This Row],[коэф]]),
IF(OR(AND(G26="4/16",AM26&gt;0.5),AND(G26="3/16",AM26&gt;0.5)),(AM26*2*база!$L$5*Таблица14[[#This Row],[коэф]]),
IF(OR(AND(G26="4/4",AM26&gt;0.5),AND(G26="3/4",AM26&gt;2)),(AM26*2*база!$I$5*Таблица14[[#This Row],[коэф]]),
IF(AND(G26="5/8",AM26&gt;0.5),(AM26*2*база!$J$6*Таблица14[[#This Row],[коэф]]),
IF(AND(G26="4/8",AM26&gt;0.5),(AM26*2*база!$J$5*Таблица14[[#This Row],[коэф]]),
IF(OR(AND(G26="3/8",AM26&gt;0.5),AND(G26="2/8",AM26&gt;0.5)),(AM26*2*база!$J$4*Таблица14[[#This Row],[коэф]]),
(AM26*2*база!$L$5*Таблица14[[#This Row],[коэф]])))))))))))</f>
        <v>0</v>
      </c>
      <c r="AO26" s="122" t="str">
        <f>IFERROR(INDEX(база!$D$2:$D$120, MATCH(Таблица14[[#This Row],[Ф. И. О.]],база!$B$2:$B$100,0)),"")</f>
        <v/>
      </c>
      <c r="AP26" s="57"/>
      <c r="AQ26" s="57"/>
      <c r="AR26" s="57"/>
      <c r="AS26" s="57"/>
    </row>
    <row r="27" spans="1:45" ht="13.5" customHeight="1">
      <c r="A27" s="980" t="str">
        <f t="shared" si="0"/>
        <v>январь</v>
      </c>
      <c r="B27" t="n" s="980">
        <v>2024.0</v>
      </c>
      <c r="C27" t="s" s="980">
        <v>386</v>
      </c>
      <c r="D27" t="s" s="980">
        <v>364</v>
      </c>
      <c r="E27" t="s" s="980">
        <v>46</v>
      </c>
      <c r="F27" t="s" s="980">
        <v>352</v>
      </c>
      <c r="G27" t="s" s="980">
        <v>4</v>
      </c>
      <c r="H27" s="980"/>
      <c r="I27" s="980"/>
      <c r="J27" s="980"/>
      <c r="K27" s="980"/>
      <c r="L27" t="n" s="980">
        <v>4.0</v>
      </c>
      <c r="M27" s="215"/>
      <c r="N27" s="215"/>
      <c r="O27" s="215"/>
      <c r="P27" s="215"/>
      <c r="Q27" s="215"/>
      <c r="R27" s="215"/>
      <c r="S27" s="215"/>
      <c r="T27" s="215"/>
      <c r="U27" s="215"/>
      <c r="V27" s="215"/>
      <c r="W27" s="215"/>
      <c r="X27" s="215"/>
      <c r="Y27" s="215"/>
      <c r="Z27" s="215"/>
      <c r="AA27" s="215"/>
      <c r="AB27" s="215"/>
      <c r="AC27" s="215"/>
      <c r="AD27" s="215"/>
      <c r="AE27" s="215"/>
      <c r="AF27" s="215"/>
      <c r="AG27" s="215"/>
      <c r="AH27" s="215"/>
      <c r="AI27" s="215"/>
      <c r="AJ27" s="215"/>
      <c r="AK27" s="215"/>
      <c r="AL27" s="215"/>
      <c r="AM27" s="121">
        <f t="shared" si="1"/>
        <v>0</v>
      </c>
      <c r="AN27" s="564">
        <f>IF(AO27&lt;=3,(IF(AND(G27="5/24",AM27&gt;0.5),(AM27*2*база!$M$6*Таблица14[[#This Row],[коэф]]),
IF(AND(G27="4/24",AM27&gt;0.5),(AM27*2*база!$M$5*Таблица14[[#This Row],[коэф]]),
IF(AND(G27="3/24",AM27&gt;0.5),(AM27*2*база!$M$4*Таблица14[[#This Row],[коэф]]),
IF(AND(G27="5/16",AM27&gt;0.5),(AM27*2*база!$L$6*Таблица14[[#This Row],[коэф]]),
IF(AND(G27="4/16",AM27&gt;0.5),(AM27*2*база!$L$5*Таблица14[[#This Row],[коэф]]),
IF(AND(G27="3/16",AM27&gt;0.5),(AM27*2*база!$L$4*Таблица14[[#This Row],[коэф]]),
IF(AND(G27="4/4",AM27&gt;0.5),(AM27*2*база!$I$5*Таблица14[[#This Row],[коэф]]),
IF(OR(AND(G27="3/4",AM27&gt;0.5),AND(G27="2/4",AM27&gt;0.5)),(AM27*2*база!$I$4*Таблица14[[#This Row],[коэф]]),
IF(AND(G27="5/8",AM27&gt;0.5),(AM27*2*база!$J$6*Таблица14[[#This Row],[коэф]]),
IF(AND(G27="4/8",AM27&gt;0.5),(AM27*2*база!$J$5*Таблица14[[#This Row],[коэф]]),
IF(OR(AND(G27="3/8",AM27&gt;0.5),AND(G27="2/8",AM27&gt;0.5)),(AM27*2*база!$J$4*Таблица14[[#This Row],[коэф]]),
(AM27*0.5*база!$L$4*Таблица14[[#This Row],[коэф]]))))))))))))),
(IF(AND(G27="5/24",AM27&gt;0.5),(AM27*2*база!$M$6*Таблица14[[#This Row],[коэф]]),
IF(OR(AND(G27="4/24",AM27&gt;0.5),AND(G27="3/24",AM27&gt;0.5)),(AM27*2*база!$M$5*Таблица14[[#This Row],[коэф]]),
IF(AND(G27="5/16",AM27&gt;0.5),(AM27*2*база!$L$6*Таблица14[[#This Row],[коэф]]),
IF(OR(AND(G27="4/16",AM27&gt;0.5),AND(G27="3/16",AM27&gt;0.5)),(AM27*2*база!$L$5*Таблица14[[#This Row],[коэф]]),
IF(OR(AND(G27="4/4",AM27&gt;0.5),AND(G27="3/4",AM27&gt;2)),(AM27*2*база!$I$5*Таблица14[[#This Row],[коэф]]),
IF(AND(G27="5/8",AM27&gt;0.5),(AM27*2*база!$J$6*Таблица14[[#This Row],[коэф]]),
IF(AND(G27="4/8",AM27&gt;0.5),(AM27*2*база!$J$5*Таблица14[[#This Row],[коэф]]),
IF(OR(AND(G27="3/8",AM27&gt;0.5),AND(G27="2/8",AM27&gt;0.5)),(AM27*2*база!$J$4*Таблица14[[#This Row],[коэф]]),
(AM27*2*база!$L$5*Таблица14[[#This Row],[коэф]])))))))))))</f>
        <v>0</v>
      </c>
      <c r="AO27" s="122" t="str">
        <f>IFERROR(INDEX(база!$D$2:$D$120, MATCH(Таблица14[[#This Row],[Ф. И. О.]],база!$B$2:$B$100,0)),"")</f>
        <v/>
      </c>
      <c r="AP27" s="57"/>
      <c r="AQ27" s="57"/>
      <c r="AR27" s="57"/>
      <c r="AS27" s="57"/>
    </row>
    <row r="28" spans="1:45" ht="13.5" customHeight="1">
      <c r="A28" s="984" t="str">
        <f t="shared" si="0"/>
        <v>январь</v>
      </c>
      <c r="B28" t="n" s="984">
        <v>2024.0</v>
      </c>
      <c r="C28" t="s" s="984">
        <v>386</v>
      </c>
      <c r="D28" t="s" s="984">
        <v>364</v>
      </c>
      <c r="E28" t="s" s="984">
        <v>46</v>
      </c>
      <c r="F28" t="s" s="984">
        <v>262</v>
      </c>
      <c r="G28" t="s" s="984">
        <v>4</v>
      </c>
      <c r="H28" s="984"/>
      <c r="I28" s="984"/>
      <c r="J28" s="984"/>
      <c r="K28" s="984"/>
      <c r="L28" s="984"/>
      <c r="M28" t="n" s="984">
        <v>1.0</v>
      </c>
      <c r="N28" s="215"/>
      <c r="O28" s="215"/>
      <c r="P28" t="n" s="21">
        <v>4.0</v>
      </c>
      <c r="Q28" s="215"/>
      <c r="R28" s="215"/>
      <c r="S28" t="n" s="46">
        <v>4.0</v>
      </c>
      <c r="T28" s="215"/>
      <c r="U28" t="n" s="46">
        <v>4.0</v>
      </c>
      <c r="V28" s="215"/>
      <c r="W28" s="215"/>
      <c r="X28" s="215"/>
      <c r="Y28" s="215"/>
      <c r="Z28" s="215"/>
      <c r="AA28" s="215"/>
      <c r="AB28" s="215"/>
      <c r="AC28" s="215"/>
      <c r="AD28" s="215"/>
      <c r="AE28" s="215"/>
      <c r="AF28" s="215"/>
      <c r="AG28" s="215"/>
      <c r="AH28" s="215"/>
      <c r="AI28" s="215"/>
      <c r="AJ28" s="215"/>
      <c r="AK28" s="215"/>
      <c r="AL28" s="215"/>
      <c r="AM28" s="121">
        <f t="shared" si="1"/>
        <v>0</v>
      </c>
      <c r="AN28" s="564">
        <f>IF(AO28&lt;=3,(IF(AND(G28="5/24",AM28&gt;0.5),(AM28*2*база!$M$6*Таблица14[[#This Row],[коэф]]),
IF(AND(G28="4/24",AM28&gt;0.5),(AM28*2*база!$M$5*Таблица14[[#This Row],[коэф]]),
IF(AND(G28="3/24",AM28&gt;0.5),(AM28*2*база!$M$4*Таблица14[[#This Row],[коэф]]),
IF(AND(G28="5/16",AM28&gt;0.5),(AM28*2*база!$L$6*Таблица14[[#This Row],[коэф]]),
IF(AND(G28="4/16",AM28&gt;0.5),(AM28*2*база!$L$5*Таблица14[[#This Row],[коэф]]),
IF(AND(G28="3/16",AM28&gt;0.5),(AM28*2*база!$L$4*Таблица14[[#This Row],[коэф]]),
IF(AND(G28="4/4",AM28&gt;0.5),(AM28*2*база!$I$5*Таблица14[[#This Row],[коэф]]),
IF(OR(AND(G28="3/4",AM28&gt;0.5),AND(G28="2/4",AM28&gt;0.5)),(AM28*2*база!$I$4*Таблица14[[#This Row],[коэф]]),
IF(AND(G28="5/8",AM28&gt;0.5),(AM28*2*база!$J$6*Таблица14[[#This Row],[коэф]]),
IF(AND(G28="4/8",AM28&gt;0.5),(AM28*2*база!$J$5*Таблица14[[#This Row],[коэф]]),
IF(OR(AND(G28="3/8",AM28&gt;0.5),AND(G28="2/8",AM28&gt;0.5)),(AM28*2*база!$J$4*Таблица14[[#This Row],[коэф]]),
(AM28*0.5*база!$L$4*Таблица14[[#This Row],[коэф]]))))))))))))),
(IF(AND(G28="5/24",AM28&gt;0.5),(AM28*2*база!$M$6*Таблица14[[#This Row],[коэф]]),
IF(OR(AND(G28="4/24",AM28&gt;0.5),AND(G28="3/24",AM28&gt;0.5)),(AM28*2*база!$M$5*Таблица14[[#This Row],[коэф]]),
IF(AND(G28="5/16",AM28&gt;0.5),(AM28*2*база!$L$6*Таблица14[[#This Row],[коэф]]),
IF(OR(AND(G28="4/16",AM28&gt;0.5),AND(G28="3/16",AM28&gt;0.5)),(AM28*2*база!$L$5*Таблица14[[#This Row],[коэф]]),
IF(OR(AND(G28="4/4",AM28&gt;0.5),AND(G28="3/4",AM28&gt;2)),(AM28*2*база!$I$5*Таблица14[[#This Row],[коэф]]),
IF(AND(G28="5/8",AM28&gt;0.5),(AM28*2*база!$J$6*Таблица14[[#This Row],[коэф]]),
IF(AND(G28="4/8",AM28&gt;0.5),(AM28*2*база!$J$5*Таблица14[[#This Row],[коэф]]),
IF(OR(AND(G28="3/8",AM28&gt;0.5),AND(G28="2/8",AM28&gt;0.5)),(AM28*2*база!$J$4*Таблица14[[#This Row],[коэф]]),
(AM28*2*база!$L$5*Таблица14[[#This Row],[коэф]])))))))))))</f>
        <v>0</v>
      </c>
      <c r="AO28" s="122" t="str">
        <f>IFERROR(INDEX(база!$D$2:$D$120, MATCH(Таблица14[[#This Row],[Ф. И. О.]],база!$B$2:$B$100,0)),"")</f>
        <v/>
      </c>
      <c r="AP28" s="57"/>
      <c r="AQ28" s="57"/>
      <c r="AR28" s="57"/>
      <c r="AS28" s="57"/>
    </row>
    <row r="29" spans="1:45" ht="13.5" customHeight="1">
      <c r="A29" s="987" t="str">
        <f t="shared" si="0"/>
        <v>январь</v>
      </c>
      <c r="B29" t="n" s="987">
        <v>2024.0</v>
      </c>
      <c r="C29" t="s" s="987">
        <v>386</v>
      </c>
      <c r="D29" t="s" s="987">
        <v>364</v>
      </c>
      <c r="E29" t="s" s="987">
        <v>46</v>
      </c>
      <c r="F29" t="s" s="987">
        <v>329</v>
      </c>
      <c r="G29" t="s" s="987">
        <v>6</v>
      </c>
      <c r="H29" s="987"/>
      <c r="I29" s="987"/>
      <c r="J29" s="987"/>
      <c r="K29" s="987"/>
      <c r="L29" s="987"/>
      <c r="M29" t="n" s="987">
        <v>1.0</v>
      </c>
      <c r="N29" s="215"/>
      <c r="O29" s="215"/>
      <c r="P29" s="215"/>
      <c r="Q29" s="215"/>
      <c r="R29" s="215"/>
      <c r="S29" s="215"/>
      <c r="T29" s="215"/>
      <c r="U29" s="215"/>
      <c r="V29" s="215"/>
      <c r="W29" s="215"/>
      <c r="X29" s="215"/>
      <c r="Y29" s="215"/>
      <c r="Z29" s="215"/>
      <c r="AA29" s="215"/>
      <c r="AB29" s="215"/>
      <c r="AC29" s="215"/>
      <c r="AD29" s="215"/>
      <c r="AE29" s="215"/>
      <c r="AF29" s="215"/>
      <c r="AG29" s="215"/>
      <c r="AH29" s="215"/>
      <c r="AI29" s="215"/>
      <c r="AJ29" s="215"/>
      <c r="AK29" s="215"/>
      <c r="AL29" s="215"/>
      <c r="AM29" s="121">
        <f t="shared" si="1"/>
        <v>0</v>
      </c>
      <c r="AN29" s="564">
        <f>IF(AO29&lt;=3,(IF(AND(G29="5/24",AM29&gt;0.5),(AM29*2*база!$M$6*Таблица14[[#This Row],[коэф]]),
IF(AND(G29="4/24",AM29&gt;0.5),(AM29*2*база!$M$5*Таблица14[[#This Row],[коэф]]),
IF(AND(G29="3/24",AM29&gt;0.5),(AM29*2*база!$M$4*Таблица14[[#This Row],[коэф]]),
IF(AND(G29="5/16",AM29&gt;0.5),(AM29*2*база!$L$6*Таблица14[[#This Row],[коэф]]),
IF(AND(G29="4/16",AM29&gt;0.5),(AM29*2*база!$L$5*Таблица14[[#This Row],[коэф]]),
IF(AND(G29="3/16",AM29&gt;0.5),(AM29*2*база!$L$4*Таблица14[[#This Row],[коэф]]),
IF(AND(G29="4/4",AM29&gt;0.5),(AM29*2*база!$I$5*Таблица14[[#This Row],[коэф]]),
IF(OR(AND(G29="3/4",AM29&gt;0.5),AND(G29="2/4",AM29&gt;0.5)),(AM29*2*база!$I$4*Таблица14[[#This Row],[коэф]]),
IF(AND(G29="5/8",AM29&gt;0.5),(AM29*2*база!$J$6*Таблица14[[#This Row],[коэф]]),
IF(AND(G29="4/8",AM29&gt;0.5),(AM29*2*база!$J$5*Таблица14[[#This Row],[коэф]]),
IF(OR(AND(G29="3/8",AM29&gt;0.5),AND(G29="2/8",AM29&gt;0.5)),(AM29*2*база!$J$4*Таблица14[[#This Row],[коэф]]),
(AM29*0.5*база!$L$4*Таблица14[[#This Row],[коэф]]))))))))))))),
(IF(AND(G29="5/24",AM29&gt;0.5),(AM29*2*база!$M$6*Таблица14[[#This Row],[коэф]]),
IF(OR(AND(G29="4/24",AM29&gt;0.5),AND(G29="3/24",AM29&gt;0.5)),(AM29*2*база!$M$5*Таблица14[[#This Row],[коэф]]),
IF(AND(G29="5/16",AM29&gt;0.5),(AM29*2*база!$L$6*Таблица14[[#This Row],[коэф]]),
IF(OR(AND(G29="4/16",AM29&gt;0.5),AND(G29="3/16",AM29&gt;0.5)),(AM29*2*база!$L$5*Таблица14[[#This Row],[коэф]]),
IF(OR(AND(G29="4/4",AM29&gt;0.5),AND(G29="3/4",AM29&gt;2)),(AM29*2*база!$I$5*Таблица14[[#This Row],[коэф]]),
IF(AND(G29="5/8",AM29&gt;0.5),(AM29*2*база!$J$6*Таблица14[[#This Row],[коэф]]),
IF(AND(G29="4/8",AM29&gt;0.5),(AM29*2*база!$J$5*Таблица14[[#This Row],[коэф]]),
IF(OR(AND(G29="3/8",AM29&gt;0.5),AND(G29="2/8",AM29&gt;0.5)),(AM29*2*база!$J$4*Таблица14[[#This Row],[коэф]]),
(AM29*2*база!$L$5*Таблица14[[#This Row],[коэф]])))))))))))</f>
        <v>0</v>
      </c>
      <c r="AO29" s="122" t="str">
        <f>IFERROR(INDEX(база!$D$2:$D$120, MATCH(Таблица14[[#This Row],[Ф. И. О.]],база!$B$2:$B$100,0)),"")</f>
        <v/>
      </c>
      <c r="AP29" s="57"/>
      <c r="AQ29" s="57"/>
      <c r="AR29" s="57"/>
      <c r="AS29" s="57"/>
    </row>
    <row r="30" spans="1:45" s="46" customFormat="1" ht="13.5" customHeight="1">
      <c r="A30" s="989" t="str">
        <f t="shared" si="0"/>
        <v>январь</v>
      </c>
      <c r="B30" t="n" s="989">
        <v>2024.0</v>
      </c>
      <c r="C30" t="s" s="989">
        <v>387</v>
      </c>
      <c r="D30" t="s" s="989">
        <v>395</v>
      </c>
      <c r="E30" t="s" s="989">
        <v>389</v>
      </c>
      <c r="F30" t="s" s="989">
        <v>253</v>
      </c>
      <c r="G30" t="s" s="989">
        <v>5</v>
      </c>
      <c r="H30" s="989"/>
      <c r="I30" s="989"/>
      <c r="J30" s="989"/>
      <c r="K30" s="989"/>
      <c r="L30" s="989"/>
      <c r="M30" t="n" s="989">
        <v>4.0</v>
      </c>
      <c r="N30" t="n" s="46">
        <v>4.0</v>
      </c>
      <c r="O30" s="215"/>
      <c r="P30" s="215"/>
      <c r="Q30" t="n" s="46">
        <v>3.0</v>
      </c>
      <c r="R30" s="215"/>
      <c r="S30" s="215"/>
      <c r="T30" s="215"/>
      <c r="U30" s="215"/>
      <c r="V30" s="215"/>
      <c r="W30" s="215"/>
      <c r="X30" s="215"/>
      <c r="Y30" s="215"/>
      <c r="Z30" s="215"/>
      <c r="AA30" s="215"/>
      <c r="AB30" s="215"/>
      <c r="AC30" s="215"/>
      <c r="AD30" s="215"/>
      <c r="AE30" s="215"/>
      <c r="AF30" s="215"/>
      <c r="AG30" s="215"/>
      <c r="AH30" s="215"/>
      <c r="AI30" s="215"/>
      <c r="AJ30" s="215"/>
      <c r="AK30" s="215"/>
      <c r="AL30" s="215"/>
      <c r="AM30" s="121">
        <f t="shared" si="1"/>
        <v>0</v>
      </c>
      <c r="AN30" s="564">
        <f>IF(AO30&lt;=3,(IF(AND(G30="5/24",AM30&gt;0.5),(AM30*2*база!$M$6*Таблица14[[#This Row],[коэф]]),
IF(AND(G30="4/24",AM30&gt;0.5),(AM30*2*база!$M$5*Таблица14[[#This Row],[коэф]]),
IF(AND(G30="3/24",AM30&gt;0.5),(AM30*2*база!$M$4*Таблица14[[#This Row],[коэф]]),
IF(AND(G30="5/16",AM30&gt;0.5),(AM30*2*база!$L$6*Таблица14[[#This Row],[коэф]]),
IF(AND(G30="4/16",AM30&gt;0.5),(AM30*2*база!$L$5*Таблица14[[#This Row],[коэф]]),
IF(AND(G30="3/16",AM30&gt;0.5),(AM30*2*база!$L$4*Таблица14[[#This Row],[коэф]]),
IF(AND(G30="4/4",AM30&gt;0.5),(AM30*2*база!$I$5*Таблица14[[#This Row],[коэф]]),
IF(OR(AND(G30="3/4",AM30&gt;0.5),AND(G30="2/4",AM30&gt;0.5)),(AM30*2*база!$I$4*Таблица14[[#This Row],[коэф]]),
IF(AND(G30="5/8",AM30&gt;0.5),(AM30*2*база!$J$6*Таблица14[[#This Row],[коэф]]),
IF(AND(G30="4/8",AM30&gt;0.5),(AM30*2*база!$J$5*Таблица14[[#This Row],[коэф]]),
IF(OR(AND(G30="3/8",AM30&gt;0.5),AND(G30="2/8",AM30&gt;0.5)),(AM30*2*база!$J$4*Таблица14[[#This Row],[коэф]]),
(AM30*0.5*база!$L$4*Таблица14[[#This Row],[коэф]]))))))))))))),
(IF(AND(G30="5/24",AM30&gt;0.5),(AM30*2*база!$M$6*Таблица14[[#This Row],[коэф]]),
IF(OR(AND(G30="4/24",AM30&gt;0.5),AND(G30="3/24",AM30&gt;0.5)),(AM30*2*база!$M$5*Таблица14[[#This Row],[коэф]]),
IF(AND(G30="5/16",AM30&gt;0.5),(AM30*2*база!$L$6*Таблица14[[#This Row],[коэф]]),
IF(OR(AND(G30="4/16",AM30&gt;0.5),AND(G30="3/16",AM30&gt;0.5)),(AM30*2*база!$L$5*Таблица14[[#This Row],[коэф]]),
IF(OR(AND(G30="4/4",AM30&gt;0.5),AND(G30="3/4",AM30&gt;2)),(AM30*2*база!$I$5*Таблица14[[#This Row],[коэф]]),
IF(AND(G30="5/8",AM30&gt;0.5),(AM30*2*база!$J$6*Таблица14[[#This Row],[коэф]]),
IF(AND(G30="4/8",AM30&gt;0.5),(AM30*2*база!$J$5*Таблица14[[#This Row],[коэф]]),
IF(OR(AND(G30="3/8",AM30&gt;0.5),AND(G30="2/8",AM30&gt;0.5)),(AM30*2*база!$J$4*Таблица14[[#This Row],[коэф]]),
(AM30*2*база!$L$5*Таблица14[[#This Row],[коэф]])))))))))))</f>
        <v>0</v>
      </c>
      <c r="AO30" s="122" t="str">
        <f>IFERROR(INDEX(база!$D$2:$D$120, MATCH(Таблица14[[#This Row],[Ф. И. О.]],база!$B$2:$B$100,0)),"")</f>
        <v/>
      </c>
      <c r="AP30" s="57"/>
      <c r="AQ30" s="57"/>
      <c r="AR30" s="57"/>
      <c r="AS30" s="57"/>
    </row>
    <row r="31" spans="1:45" s="46" customFormat="1" ht="13.5" customHeight="1">
      <c r="A31" s="990" t="str">
        <f t="shared" si="0"/>
        <v>январь</v>
      </c>
      <c r="B31" t="n" s="990">
        <v>2024.0</v>
      </c>
      <c r="C31" t="s" s="990">
        <v>388</v>
      </c>
      <c r="D31" t="s" s="990">
        <v>365</v>
      </c>
      <c r="E31" t="s" s="990">
        <v>46</v>
      </c>
      <c r="F31" t="s" s="990">
        <v>327</v>
      </c>
      <c r="G31" t="s" s="990">
        <v>4</v>
      </c>
      <c r="H31" s="990"/>
      <c r="I31" s="990"/>
      <c r="J31" s="990"/>
      <c r="K31" s="990"/>
      <c r="L31" t="n" s="990">
        <v>4.0</v>
      </c>
      <c r="M31" s="215"/>
      <c r="N31" s="215"/>
      <c r="O31" s="215"/>
      <c r="P31" s="215"/>
      <c r="Q31" s="215"/>
      <c r="R31" s="215"/>
      <c r="S31" s="215"/>
      <c r="T31" s="215"/>
      <c r="U31" s="215"/>
      <c r="V31" s="215"/>
      <c r="W31" s="215"/>
      <c r="X31" s="215"/>
      <c r="Y31" s="215"/>
      <c r="Z31" s="215"/>
      <c r="AA31" s="215"/>
      <c r="AB31" s="215"/>
      <c r="AC31" s="215"/>
      <c r="AD31" s="215"/>
      <c r="AE31" s="215"/>
      <c r="AF31" s="215"/>
      <c r="AG31" s="215"/>
      <c r="AH31" s="215"/>
      <c r="AI31" s="215"/>
      <c r="AJ31" s="215"/>
      <c r="AK31" s="215"/>
      <c r="AL31" s="215"/>
      <c r="AM31" s="121">
        <f t="shared" si="1"/>
        <v>0</v>
      </c>
      <c r="AN31" s="564">
        <f>IF(AO31&lt;=3,(IF(AND(G31="5/24",AM31&gt;0.5),(AM31*2*база!$M$6*Таблица14[[#This Row],[коэф]]),
IF(AND(G31="4/24",AM31&gt;0.5),(AM31*2*база!$M$5*Таблица14[[#This Row],[коэф]]),
IF(AND(G31="3/24",AM31&gt;0.5),(AM31*2*база!$M$4*Таблица14[[#This Row],[коэф]]),
IF(AND(G31="5/16",AM31&gt;0.5),(AM31*2*база!$L$6*Таблица14[[#This Row],[коэф]]),
IF(AND(G31="4/16",AM31&gt;0.5),(AM31*2*база!$L$5*Таблица14[[#This Row],[коэф]]),
IF(AND(G31="3/16",AM31&gt;0.5),(AM31*2*база!$L$4*Таблица14[[#This Row],[коэф]]),
IF(AND(G31="4/4",AM31&gt;0.5),(AM31*2*база!$I$5*Таблица14[[#This Row],[коэф]]),
IF(OR(AND(G31="3/4",AM31&gt;0.5),AND(G31="2/4",AM31&gt;0.5)),(AM31*2*база!$I$4*Таблица14[[#This Row],[коэф]]),
IF(AND(G31="5/8",AM31&gt;0.5),(AM31*2*база!$J$6*Таблица14[[#This Row],[коэф]]),
IF(AND(G31="4/8",AM31&gt;0.5),(AM31*2*база!$J$5*Таблица14[[#This Row],[коэф]]),
IF(OR(AND(G31="3/8",AM31&gt;0.5),AND(G31="2/8",AM31&gt;0.5)),(AM31*2*база!$J$4*Таблица14[[#This Row],[коэф]]),
(AM31*0.5*база!$L$4*Таблица14[[#This Row],[коэф]]))))))))))))),
(IF(AND(G31="5/24",AM31&gt;0.5),(AM31*2*база!$M$6*Таблица14[[#This Row],[коэф]]),
IF(OR(AND(G31="4/24",AM31&gt;0.5),AND(G31="3/24",AM31&gt;0.5)),(AM31*2*база!$M$5*Таблица14[[#This Row],[коэф]]),
IF(AND(G31="5/16",AM31&gt;0.5),(AM31*2*база!$L$6*Таблица14[[#This Row],[коэф]]),
IF(OR(AND(G31="4/16",AM31&gt;0.5),AND(G31="3/16",AM31&gt;0.5)),(AM31*2*база!$L$5*Таблица14[[#This Row],[коэф]]),
IF(OR(AND(G31="4/4",AM31&gt;0.5),AND(G31="3/4",AM31&gt;2)),(AM31*2*база!$I$5*Таблица14[[#This Row],[коэф]]),
IF(AND(G31="5/8",AM31&gt;0.5),(AM31*2*база!$J$6*Таблица14[[#This Row],[коэф]]),
IF(AND(G31="4/8",AM31&gt;0.5),(AM31*2*база!$J$5*Таблица14[[#This Row],[коэф]]),
IF(OR(AND(G31="3/8",AM31&gt;0.5),AND(G31="2/8",AM31&gt;0.5)),(AM31*2*база!$J$4*Таблица14[[#This Row],[коэф]]),
(AM31*2*база!$L$5*Таблица14[[#This Row],[коэф]])))))))))))</f>
        <v>0</v>
      </c>
      <c r="AO31" s="122" t="str">
        <f>IFERROR(INDEX(база!$D$2:$D$120, MATCH(Таблица14[[#This Row],[Ф. И. О.]],база!$B$2:$B$100,0)),"")</f>
        <v/>
      </c>
      <c r="AP31" s="57"/>
      <c r="AQ31" s="57"/>
      <c r="AR31" s="57"/>
      <c r="AS31" s="57"/>
    </row>
    <row r="32" spans="1:45" s="46" customFormat="1" ht="13.5" customHeight="1">
      <c r="A32" s="991" t="str">
        <f t="shared" si="0"/>
        <v>январь</v>
      </c>
      <c r="B32" t="n" s="991">
        <v>2024.0</v>
      </c>
      <c r="C32" t="s" s="991">
        <v>394</v>
      </c>
      <c r="D32" t="s" s="991">
        <v>364</v>
      </c>
      <c r="E32" t="s" s="991">
        <v>46</v>
      </c>
      <c r="F32" t="s" s="991">
        <v>280</v>
      </c>
      <c r="G32" t="s" s="991">
        <v>4</v>
      </c>
      <c r="H32" s="991"/>
      <c r="I32" s="991"/>
      <c r="J32" s="991"/>
      <c r="K32" s="991"/>
      <c r="L32" s="991"/>
      <c r="M32" t="n" s="991">
        <v>4.0</v>
      </c>
      <c r="N32" s="215"/>
      <c r="O32" s="215"/>
      <c r="P32" s="215"/>
      <c r="Q32" s="215"/>
      <c r="R32" s="215"/>
      <c r="S32" s="215"/>
      <c r="T32" s="215"/>
      <c r="U32" s="215"/>
      <c r="V32" s="215"/>
      <c r="W32" s="215"/>
      <c r="X32" s="215"/>
      <c r="Y32" s="215"/>
      <c r="Z32" s="215"/>
      <c r="AA32" s="215"/>
      <c r="AB32" s="215"/>
      <c r="AC32" s="215"/>
      <c r="AD32" s="215"/>
      <c r="AE32" s="215"/>
      <c r="AF32" s="215"/>
      <c r="AG32" s="215"/>
      <c r="AH32" s="215"/>
      <c r="AI32" s="215"/>
      <c r="AJ32" s="215"/>
      <c r="AK32" s="215"/>
      <c r="AL32" s="215"/>
      <c r="AM32" s="121">
        <f t="shared" si="1"/>
        <v>0</v>
      </c>
      <c r="AN32" s="564">
        <f>IF(AO32&lt;=3,(IF(AND(G32="5/24",AM32&gt;0.5),(AM32*2*база!$M$6*Таблица14[[#This Row],[коэф]]),
IF(AND(G32="4/24",AM32&gt;0.5),(AM32*2*база!$M$5*Таблица14[[#This Row],[коэф]]),
IF(AND(G32="3/24",AM32&gt;0.5),(AM32*2*база!$M$4*Таблица14[[#This Row],[коэф]]),
IF(AND(G32="5/16",AM32&gt;0.5),(AM32*2*база!$L$6*Таблица14[[#This Row],[коэф]]),
IF(AND(G32="4/16",AM32&gt;0.5),(AM32*2*база!$L$5*Таблица14[[#This Row],[коэф]]),
IF(AND(G32="3/16",AM32&gt;0.5),(AM32*2*база!$L$4*Таблица14[[#This Row],[коэф]]),
IF(AND(G32="4/4",AM32&gt;0.5),(AM32*2*база!$I$5*Таблица14[[#This Row],[коэф]]),
IF(OR(AND(G32="3/4",AM32&gt;0.5),AND(G32="2/4",AM32&gt;0.5)),(AM32*2*база!$I$4*Таблица14[[#This Row],[коэф]]),
IF(AND(G32="5/8",AM32&gt;0.5),(AM32*2*база!$J$6*Таблица14[[#This Row],[коэф]]),
IF(AND(G32="4/8",AM32&gt;0.5),(AM32*2*база!$J$5*Таблица14[[#This Row],[коэф]]),
IF(OR(AND(G32="3/8",AM32&gt;0.5),AND(G32="2/8",AM32&gt;0.5)),(AM32*2*база!$J$4*Таблица14[[#This Row],[коэф]]),
(AM32*0.5*база!$L$4*Таблица14[[#This Row],[коэф]]))))))))))))),
(IF(AND(G32="5/24",AM32&gt;0.5),(AM32*2*база!$M$6*Таблица14[[#This Row],[коэф]]),
IF(OR(AND(G32="4/24",AM32&gt;0.5),AND(G32="3/24",AM32&gt;0.5)),(AM32*2*база!$M$5*Таблица14[[#This Row],[коэф]]),
IF(AND(G32="5/16",AM32&gt;0.5),(AM32*2*база!$L$6*Таблица14[[#This Row],[коэф]]),
IF(OR(AND(G32="4/16",AM32&gt;0.5),AND(G32="3/16",AM32&gt;0.5)),(AM32*2*база!$L$5*Таблица14[[#This Row],[коэф]]),
IF(OR(AND(G32="4/4",AM32&gt;0.5),AND(G32="3/4",AM32&gt;2)),(AM32*2*база!$I$5*Таблица14[[#This Row],[коэф]]),
IF(AND(G32="5/8",AM32&gt;0.5),(AM32*2*база!$J$6*Таблица14[[#This Row],[коэф]]),
IF(AND(G32="4/8",AM32&gt;0.5),(AM32*2*база!$J$5*Таблица14[[#This Row],[коэф]]),
IF(OR(AND(G32="3/8",AM32&gt;0.5),AND(G32="2/8",AM32&gt;0.5)),(AM32*2*база!$J$4*Таблица14[[#This Row],[коэф]]),
(AM32*2*база!$L$5*Таблица14[[#This Row],[коэф]])))))))))))</f>
        <v>0</v>
      </c>
      <c r="AO32" s="122" t="str">
        <f>IFERROR(INDEX(база!$D$2:$D$120, MATCH(Таблица14[[#This Row],[Ф. И. О.]],база!$B$2:$B$100,0)),"")</f>
        <v/>
      </c>
      <c r="AP32" s="57"/>
      <c r="AQ32" s="57"/>
      <c r="AR32" s="57"/>
      <c r="AS32" s="57"/>
    </row>
    <row r="33" spans="1:45" s="46" customFormat="1" ht="13.5" customHeight="1">
      <c r="A33" s="992" t="str">
        <f t="shared" si="0"/>
        <v>январь</v>
      </c>
      <c r="B33" t="n" s="992">
        <v>2024.0</v>
      </c>
      <c r="C33" t="s" s="992">
        <v>396</v>
      </c>
      <c r="D33" t="s" s="992">
        <v>364</v>
      </c>
      <c r="E33" t="s" s="992">
        <v>46</v>
      </c>
      <c r="F33" t="s" s="992">
        <v>358</v>
      </c>
      <c r="G33" t="s" s="992">
        <v>3</v>
      </c>
      <c r="H33" s="992"/>
      <c r="I33" s="992"/>
      <c r="J33" s="992"/>
      <c r="K33" s="992"/>
      <c r="L33" s="992"/>
      <c r="M33" t="n" s="992">
        <v>4.0</v>
      </c>
      <c r="N33" t="n" s="46">
        <v>4.0</v>
      </c>
      <c r="O33" s="215"/>
      <c r="P33" s="215"/>
      <c r="Q33" s="215"/>
      <c r="R33" s="215"/>
      <c r="S33" s="215"/>
      <c r="T33" s="215"/>
      <c r="U33" s="215"/>
      <c r="V33" s="215"/>
      <c r="W33" s="215"/>
      <c r="X33" s="215"/>
      <c r="Y33" s="215"/>
      <c r="Z33" s="215"/>
      <c r="AA33" s="215"/>
      <c r="AB33" s="215"/>
      <c r="AC33" s="215"/>
      <c r="AD33" s="215"/>
      <c r="AE33" s="215"/>
      <c r="AF33" s="215"/>
      <c r="AG33" s="215"/>
      <c r="AH33" s="215"/>
      <c r="AI33" s="215"/>
      <c r="AJ33" s="215"/>
      <c r="AK33" s="215"/>
      <c r="AL33" s="215"/>
      <c r="AM33" s="121">
        <f t="shared" si="1"/>
        <v>0</v>
      </c>
      <c r="AN33" s="564">
        <f>IF(AO33&lt;=3,(IF(AND(G33="5/24",AM33&gt;0.5),(AM33*2*база!$M$6*Таблица14[[#This Row],[коэф]]),
IF(AND(G33="4/24",AM33&gt;0.5),(AM33*2*база!$M$5*Таблица14[[#This Row],[коэф]]),
IF(AND(G33="3/24",AM33&gt;0.5),(AM33*2*база!$M$4*Таблица14[[#This Row],[коэф]]),
IF(AND(G33="5/16",AM33&gt;0.5),(AM33*2*база!$L$6*Таблица14[[#This Row],[коэф]]),
IF(AND(G33="4/16",AM33&gt;0.5),(AM33*2*база!$L$5*Таблица14[[#This Row],[коэф]]),
IF(AND(G33="3/16",AM33&gt;0.5),(AM33*2*база!$L$4*Таблица14[[#This Row],[коэф]]),
IF(AND(G33="4/4",AM33&gt;0.5),(AM33*2*база!$I$5*Таблица14[[#This Row],[коэф]]),
IF(OR(AND(G33="3/4",AM33&gt;0.5),AND(G33="2/4",AM33&gt;0.5)),(AM33*2*база!$I$4*Таблица14[[#This Row],[коэф]]),
IF(AND(G33="5/8",AM33&gt;0.5),(AM33*2*база!$J$6*Таблица14[[#This Row],[коэф]]),
IF(AND(G33="4/8",AM33&gt;0.5),(AM33*2*база!$J$5*Таблица14[[#This Row],[коэф]]),
IF(OR(AND(G33="3/8",AM33&gt;0.5),AND(G33="2/8",AM33&gt;0.5)),(AM33*2*база!$J$4*Таблица14[[#This Row],[коэф]]),
(AM33*0.5*база!$L$4*Таблица14[[#This Row],[коэф]]))))))))))))),
(IF(AND(G33="5/24",AM33&gt;0.5),(AM33*2*база!$M$6*Таблица14[[#This Row],[коэф]]),
IF(OR(AND(G33="4/24",AM33&gt;0.5),AND(G33="3/24",AM33&gt;0.5)),(AM33*2*база!$M$5*Таблица14[[#This Row],[коэф]]),
IF(AND(G33="5/16",AM33&gt;0.5),(AM33*2*база!$L$6*Таблица14[[#This Row],[коэф]]),
IF(OR(AND(G33="4/16",AM33&gt;0.5),AND(G33="3/16",AM33&gt;0.5)),(AM33*2*база!$L$5*Таблица14[[#This Row],[коэф]]),
IF(OR(AND(G33="4/4",AM33&gt;0.5),AND(G33="3/4",AM33&gt;2)),(AM33*2*база!$I$5*Таблица14[[#This Row],[коэф]]),
IF(AND(G33="5/8",AM33&gt;0.5),(AM33*2*база!$J$6*Таблица14[[#This Row],[коэф]]),
IF(AND(G33="4/8",AM33&gt;0.5),(AM33*2*база!$J$5*Таблица14[[#This Row],[коэф]]),
IF(OR(AND(G33="3/8",AM33&gt;0.5),AND(G33="2/8",AM33&gt;0.5)),(AM33*2*база!$J$4*Таблица14[[#This Row],[коэф]]),
(AM33*2*база!$L$5*Таблица14[[#This Row],[коэф]])))))))))))</f>
        <v>0</v>
      </c>
      <c r="AO33" s="122" t="str">
        <f>IFERROR(INDEX(база!$D$2:$D$120, MATCH(Таблица14[[#This Row],[Ф. И. О.]],база!$B$2:$B$100,0)),"")</f>
        <v/>
      </c>
      <c r="AP33" s="57"/>
      <c r="AQ33" s="57"/>
      <c r="AR33" s="57"/>
      <c r="AS33" s="57"/>
    </row>
    <row r="34" spans="1:45" s="46" customFormat="1" ht="13.5" customHeight="1">
      <c r="A34" s="995" t="str">
        <f t="shared" si="0"/>
        <v>январь</v>
      </c>
      <c r="B34" t="n" s="995">
        <v>2024.0</v>
      </c>
      <c r="C34" t="s" s="995">
        <v>386</v>
      </c>
      <c r="D34" t="s" s="995">
        <v>365</v>
      </c>
      <c r="E34" t="s" s="995">
        <v>46</v>
      </c>
      <c r="F34" t="s" s="995">
        <v>377</v>
      </c>
      <c r="G34" t="s" s="995">
        <v>4</v>
      </c>
      <c r="H34" s="995"/>
      <c r="I34" s="995"/>
      <c r="J34" s="995"/>
      <c r="K34" s="995"/>
      <c r="L34" s="995"/>
      <c r="M34" t="n" s="995">
        <v>4.0</v>
      </c>
      <c r="N34" s="215"/>
      <c r="O34" s="215"/>
      <c r="P34" s="215"/>
      <c r="Q34" s="215"/>
      <c r="R34" s="215"/>
      <c r="S34" s="215"/>
      <c r="T34" s="215"/>
      <c r="U34" s="215"/>
      <c r="V34" s="215"/>
      <c r="W34" s="215"/>
      <c r="X34" s="215"/>
      <c r="Y34" s="215"/>
      <c r="Z34" s="215"/>
      <c r="AA34" s="215"/>
      <c r="AB34" s="215"/>
      <c r="AC34" s="215"/>
      <c r="AD34" s="215"/>
      <c r="AE34" s="215"/>
      <c r="AF34" s="215"/>
      <c r="AG34" s="215"/>
      <c r="AH34" s="215"/>
      <c r="AI34" s="215"/>
      <c r="AJ34" s="215"/>
      <c r="AK34" s="215"/>
      <c r="AL34" s="215"/>
      <c r="AM34" s="121">
        <f t="shared" si="1"/>
        <v>0</v>
      </c>
      <c r="AN34" s="564">
        <f>IF(AO34&lt;=3,(IF(AND(G34="5/24",AM34&gt;0.5),(AM34*2*база!$M$6*Таблица14[[#This Row],[коэф]]),
IF(AND(G34="4/24",AM34&gt;0.5),(AM34*2*база!$M$5*Таблица14[[#This Row],[коэф]]),
IF(AND(G34="3/24",AM34&gt;0.5),(AM34*2*база!$M$4*Таблица14[[#This Row],[коэф]]),
IF(AND(G34="5/16",AM34&gt;0.5),(AM34*2*база!$L$6*Таблица14[[#This Row],[коэф]]),
IF(AND(G34="4/16",AM34&gt;0.5),(AM34*2*база!$L$5*Таблица14[[#This Row],[коэф]]),
IF(AND(G34="3/16",AM34&gt;0.5),(AM34*2*база!$L$4*Таблица14[[#This Row],[коэф]]),
IF(AND(G34="4/4",AM34&gt;0.5),(AM34*2*база!$I$5*Таблица14[[#This Row],[коэф]]),
IF(OR(AND(G34="3/4",AM34&gt;0.5),AND(G34="2/4",AM34&gt;0.5)),(AM34*2*база!$I$4*Таблица14[[#This Row],[коэф]]),
IF(AND(G34="5/8",AM34&gt;0.5),(AM34*2*база!$J$6*Таблица14[[#This Row],[коэф]]),
IF(AND(G34="4/8",AM34&gt;0.5),(AM34*2*база!$J$5*Таблица14[[#This Row],[коэф]]),
IF(OR(AND(G34="3/8",AM34&gt;0.5),AND(G34="2/8",AM34&gt;0.5)),(AM34*2*база!$J$4*Таблица14[[#This Row],[коэф]]),
(AM34*0.5*база!$L$4*Таблица14[[#This Row],[коэф]]))))))))))))),
(IF(AND(G34="5/24",AM34&gt;0.5),(AM34*2*база!$M$6*Таблица14[[#This Row],[коэф]]),
IF(OR(AND(G34="4/24",AM34&gt;0.5),AND(G34="3/24",AM34&gt;0.5)),(AM34*2*база!$M$5*Таблица14[[#This Row],[коэф]]),
IF(AND(G34="5/16",AM34&gt;0.5),(AM34*2*база!$L$6*Таблица14[[#This Row],[коэф]]),
IF(OR(AND(G34="4/16",AM34&gt;0.5),AND(G34="3/16",AM34&gt;0.5)),(AM34*2*база!$L$5*Таблица14[[#This Row],[коэф]]),
IF(OR(AND(G34="4/4",AM34&gt;0.5),AND(G34="3/4",AM34&gt;2)),(AM34*2*база!$I$5*Таблица14[[#This Row],[коэф]]),
IF(AND(G34="5/8",AM34&gt;0.5),(AM34*2*база!$J$6*Таблица14[[#This Row],[коэф]]),
IF(AND(G34="4/8",AM34&gt;0.5),(AM34*2*база!$J$5*Таблица14[[#This Row],[коэф]]),
IF(OR(AND(G34="3/8",AM34&gt;0.5),AND(G34="2/8",AM34&gt;0.5)),(AM34*2*база!$J$4*Таблица14[[#This Row],[коэф]]),
(AM34*2*база!$L$5*Таблица14[[#This Row],[коэф]])))))))))))</f>
        <v>0</v>
      </c>
      <c r="AO34" s="122" t="str">
        <f>IFERROR(INDEX(база!$D$2:$D$120, MATCH(Таблица14[[#This Row],[Ф. И. О.]],база!$B$2:$B$100,0)),"")</f>
        <v/>
      </c>
      <c r="AP34" s="57"/>
      <c r="AQ34" s="57"/>
      <c r="AR34" s="57"/>
      <c r="AS34" s="57"/>
    </row>
    <row r="35" spans="1:45" s="46" customFormat="1" ht="13.5" customHeight="1">
      <c r="A35" s="997" t="str">
        <f t="shared" si="0"/>
        <v>январь</v>
      </c>
      <c r="B35" t="n" s="997">
        <v>2024.0</v>
      </c>
      <c r="C35" t="s" s="997">
        <v>386</v>
      </c>
      <c r="D35" t="s" s="997">
        <v>365</v>
      </c>
      <c r="E35" t="s" s="997">
        <v>46</v>
      </c>
      <c r="F35" t="s" s="997">
        <v>347</v>
      </c>
      <c r="G35" t="s" s="997">
        <v>4</v>
      </c>
      <c r="H35" s="997"/>
      <c r="I35" s="997"/>
      <c r="J35" s="997"/>
      <c r="K35" s="997"/>
      <c r="L35" s="997"/>
      <c r="M35" t="n" s="997">
        <v>4.0</v>
      </c>
      <c r="N35" s="215"/>
      <c r="O35" s="215"/>
      <c r="P35" s="215"/>
      <c r="Q35" s="215"/>
      <c r="R35" s="215"/>
      <c r="S35" s="215"/>
      <c r="T35" s="215"/>
      <c r="U35" s="215"/>
      <c r="V35" s="215"/>
      <c r="W35" s="215"/>
      <c r="X35" s="215"/>
      <c r="Y35" s="215"/>
      <c r="Z35" s="215"/>
      <c r="AA35" s="215"/>
      <c r="AB35" s="215"/>
      <c r="AC35" s="215"/>
      <c r="AD35" s="215"/>
      <c r="AE35" s="215"/>
      <c r="AF35" s="215"/>
      <c r="AG35" s="215"/>
      <c r="AH35" s="215"/>
      <c r="AI35" s="215"/>
      <c r="AJ35" s="215"/>
      <c r="AK35" s="215"/>
      <c r="AL35" s="215"/>
      <c r="AM35" s="121">
        <f t="shared" si="1"/>
        <v>0</v>
      </c>
      <c r="AN35" s="564">
        <f>IF(AO35&lt;=3,(IF(AND(G35="5/24",AM35&gt;0.5),(AM35*2*база!$M$6*Таблица14[[#This Row],[коэф]]),
IF(AND(G35="4/24",AM35&gt;0.5),(AM35*2*база!$M$5*Таблица14[[#This Row],[коэф]]),
IF(AND(G35="3/24",AM35&gt;0.5),(AM35*2*база!$M$4*Таблица14[[#This Row],[коэф]]),
IF(AND(G35="5/16",AM35&gt;0.5),(AM35*2*база!$L$6*Таблица14[[#This Row],[коэф]]),
IF(AND(G35="4/16",AM35&gt;0.5),(AM35*2*база!$L$5*Таблица14[[#This Row],[коэф]]),
IF(AND(G35="3/16",AM35&gt;0.5),(AM35*2*база!$L$4*Таблица14[[#This Row],[коэф]]),
IF(AND(G35="4/4",AM35&gt;0.5),(AM35*2*база!$I$5*Таблица14[[#This Row],[коэф]]),
IF(OR(AND(G35="3/4",AM35&gt;0.5),AND(G35="2/4",AM35&gt;0.5)),(AM35*2*база!$I$4*Таблица14[[#This Row],[коэф]]),
IF(AND(G35="5/8",AM35&gt;0.5),(AM35*2*база!$J$6*Таблица14[[#This Row],[коэф]]),
IF(AND(G35="4/8",AM35&gt;0.5),(AM35*2*база!$J$5*Таблица14[[#This Row],[коэф]]),
IF(OR(AND(G35="3/8",AM35&gt;0.5),AND(G35="2/8",AM35&gt;0.5)),(AM35*2*база!$J$4*Таблица14[[#This Row],[коэф]]),
(AM35*0.5*база!$L$4*Таблица14[[#This Row],[коэф]]))))))))))))),
(IF(AND(G35="5/24",AM35&gt;0.5),(AM35*2*база!$M$6*Таблица14[[#This Row],[коэф]]),
IF(OR(AND(G35="4/24",AM35&gt;0.5),AND(G35="3/24",AM35&gt;0.5)),(AM35*2*база!$M$5*Таблица14[[#This Row],[коэф]]),
IF(AND(G35="5/16",AM35&gt;0.5),(AM35*2*база!$L$6*Таблица14[[#This Row],[коэф]]),
IF(OR(AND(G35="4/16",AM35&gt;0.5),AND(G35="3/16",AM35&gt;0.5)),(AM35*2*база!$L$5*Таблица14[[#This Row],[коэф]]),
IF(OR(AND(G35="4/4",AM35&gt;0.5),AND(G35="3/4",AM35&gt;2)),(AM35*2*база!$I$5*Таблица14[[#This Row],[коэф]]),
IF(AND(G35="5/8",AM35&gt;0.5),(AM35*2*база!$J$6*Таблица14[[#This Row],[коэф]]),
IF(AND(G35="4/8",AM35&gt;0.5),(AM35*2*база!$J$5*Таблица14[[#This Row],[коэф]]),
IF(OR(AND(G35="3/8",AM35&gt;0.5),AND(G35="2/8",AM35&gt;0.5)),(AM35*2*база!$J$4*Таблица14[[#This Row],[коэф]]),
(AM35*2*база!$L$5*Таблица14[[#This Row],[коэф]])))))))))))</f>
        <v>0</v>
      </c>
      <c r="AO35" s="122" t="str">
        <f>IFERROR(INDEX(база!$D$2:$D$120, MATCH(Таблица14[[#This Row],[Ф. И. О.]],база!$B$2:$B$100,0)),"")</f>
        <v/>
      </c>
      <c r="AP35" s="57"/>
      <c r="AQ35" s="57"/>
      <c r="AR35" s="57"/>
      <c r="AS35" s="57"/>
    </row>
    <row r="36" spans="1:45" s="46" customFormat="1" ht="13.5" customHeight="1">
      <c r="A36" s="1000" t="str">
        <f t="shared" si="0"/>
        <v>январь</v>
      </c>
      <c r="B36" t="n" s="1000">
        <v>2024.0</v>
      </c>
      <c r="C36" t="s" s="1000">
        <v>388</v>
      </c>
      <c r="D36" t="s" s="1000">
        <v>367</v>
      </c>
      <c r="E36" t="s" s="1000">
        <v>389</v>
      </c>
      <c r="F36" t="s" s="1000">
        <v>271</v>
      </c>
      <c r="G36" t="s" s="1000">
        <v>5</v>
      </c>
      <c r="H36" s="1000"/>
      <c r="I36" s="1000"/>
      <c r="J36" s="1000"/>
      <c r="K36" s="1000"/>
      <c r="L36" s="1000"/>
      <c r="M36" s="1000"/>
      <c r="N36" t="n" s="1000">
        <v>4.0</v>
      </c>
      <c r="O36" s="215"/>
      <c r="P36" s="215"/>
      <c r="Q36" s="215"/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15"/>
      <c r="AM36" s="121">
        <f t="shared" si="1"/>
        <v>0</v>
      </c>
      <c r="AN36" s="564">
        <f>IF(AO36&lt;=3,(IF(AND(G36="5/24",AM36&gt;0.5),(AM36*2*база!$M$6*Таблица14[[#This Row],[коэф]]),
IF(AND(G36="4/24",AM36&gt;0.5),(AM36*2*база!$M$5*Таблица14[[#This Row],[коэф]]),
IF(AND(G36="3/24",AM36&gt;0.5),(AM36*2*база!$M$4*Таблица14[[#This Row],[коэф]]),
IF(AND(G36="5/16",AM36&gt;0.5),(AM36*2*база!$L$6*Таблица14[[#This Row],[коэф]]),
IF(AND(G36="4/16",AM36&gt;0.5),(AM36*2*база!$L$5*Таблица14[[#This Row],[коэф]]),
IF(AND(G36="3/16",AM36&gt;0.5),(AM36*2*база!$L$4*Таблица14[[#This Row],[коэф]]),
IF(AND(G36="4/4",AM36&gt;0.5),(AM36*2*база!$I$5*Таблица14[[#This Row],[коэф]]),
IF(OR(AND(G36="3/4",AM36&gt;0.5),AND(G36="2/4",AM36&gt;0.5)),(AM36*2*база!$I$4*Таблица14[[#This Row],[коэф]]),
IF(AND(G36="5/8",AM36&gt;0.5),(AM36*2*база!$J$6*Таблица14[[#This Row],[коэф]]),
IF(AND(G36="4/8",AM36&gt;0.5),(AM36*2*база!$J$5*Таблица14[[#This Row],[коэф]]),
IF(OR(AND(G36="3/8",AM36&gt;0.5),AND(G36="2/8",AM36&gt;0.5)),(AM36*2*база!$J$4*Таблица14[[#This Row],[коэф]]),
(AM36*0.5*база!$L$4*Таблица14[[#This Row],[коэф]]))))))))))))),
(IF(AND(G36="5/24",AM36&gt;0.5),(AM36*2*база!$M$6*Таблица14[[#This Row],[коэф]]),
IF(OR(AND(G36="4/24",AM36&gt;0.5),AND(G36="3/24",AM36&gt;0.5)),(AM36*2*база!$M$5*Таблица14[[#This Row],[коэф]]),
IF(AND(G36="5/16",AM36&gt;0.5),(AM36*2*база!$L$6*Таблица14[[#This Row],[коэф]]),
IF(OR(AND(G36="4/16",AM36&gt;0.5),AND(G36="3/16",AM36&gt;0.5)),(AM36*2*база!$L$5*Таблица14[[#This Row],[коэф]]),
IF(OR(AND(G36="4/4",AM36&gt;0.5),AND(G36="3/4",AM36&gt;2)),(AM36*2*база!$I$5*Таблица14[[#This Row],[коэф]]),
IF(AND(G36="5/8",AM36&gt;0.5),(AM36*2*база!$J$6*Таблица14[[#This Row],[коэф]]),
IF(AND(G36="4/8",AM36&gt;0.5),(AM36*2*база!$J$5*Таблица14[[#This Row],[коэф]]),
IF(OR(AND(G36="3/8",AM36&gt;0.5),AND(G36="2/8",AM36&gt;0.5)),(AM36*2*база!$J$4*Таблица14[[#This Row],[коэф]]),
(AM36*2*база!$L$5*Таблица14[[#This Row],[коэф]])))))))))))</f>
        <v>0</v>
      </c>
      <c r="AO36" s="122" t="str">
        <f>IFERROR(INDEX(база!$D$2:$D$120, MATCH(Таблица14[[#This Row],[Ф. И. О.]],база!$B$2:$B$100,0)),"")</f>
        <v/>
      </c>
    </row>
    <row r="37" spans="1:45" s="46" customFormat="1" ht="13.5" customHeight="1">
      <c r="A37" s="1001" t="str">
        <f t="shared" si="0"/>
        <v>январь</v>
      </c>
      <c r="B37" t="n" s="1001">
        <v>2024.0</v>
      </c>
      <c r="C37" t="s" s="1001">
        <v>386</v>
      </c>
      <c r="D37" t="s" s="1001">
        <v>365</v>
      </c>
      <c r="E37" t="s" s="1001">
        <v>46</v>
      </c>
      <c r="F37" t="s" s="1001">
        <v>349</v>
      </c>
      <c r="G37" t="s" s="1001">
        <v>4</v>
      </c>
      <c r="H37" s="1001"/>
      <c r="I37" s="1001"/>
      <c r="J37" s="1001"/>
      <c r="K37" s="1001"/>
      <c r="L37" s="1001"/>
      <c r="M37" t="n" s="1001">
        <v>4.0</v>
      </c>
      <c r="N37" t="n" s="46">
        <v>4.0</v>
      </c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215"/>
      <c r="Z37" s="215"/>
      <c r="AA37" s="215"/>
      <c r="AB37" s="215"/>
      <c r="AC37" s="215"/>
      <c r="AD37" s="215"/>
      <c r="AE37" s="215"/>
      <c r="AF37" s="215"/>
      <c r="AG37" s="215"/>
      <c r="AH37" s="215"/>
      <c r="AI37" s="215"/>
      <c r="AJ37" s="215"/>
      <c r="AK37" s="215"/>
      <c r="AL37" s="215"/>
      <c r="AM37" s="121">
        <f t="shared" si="1"/>
        <v>0</v>
      </c>
      <c r="AN37" s="564">
        <f>IF(AO37&lt;=3,(IF(AND(G37="5/24",AM37&gt;0.5),(AM37*2*база!$M$6*Таблица14[[#This Row],[коэф]]),
IF(AND(G37="4/24",AM37&gt;0.5),(AM37*2*база!$M$5*Таблица14[[#This Row],[коэф]]),
IF(AND(G37="3/24",AM37&gt;0.5),(AM37*2*база!$M$4*Таблица14[[#This Row],[коэф]]),
IF(AND(G37="5/16",AM37&gt;0.5),(AM37*2*база!$L$6*Таблица14[[#This Row],[коэф]]),
IF(AND(G37="4/16",AM37&gt;0.5),(AM37*2*база!$L$5*Таблица14[[#This Row],[коэф]]),
IF(AND(G37="3/16",AM37&gt;0.5),(AM37*2*база!$L$4*Таблица14[[#This Row],[коэф]]),
IF(AND(G37="4/4",AM37&gt;0.5),(AM37*2*база!$I$5*Таблица14[[#This Row],[коэф]]),
IF(OR(AND(G37="3/4",AM37&gt;0.5),AND(G37="2/4",AM37&gt;0.5)),(AM37*2*база!$I$4*Таблица14[[#This Row],[коэф]]),
IF(AND(G37="5/8",AM37&gt;0.5),(AM37*2*база!$J$6*Таблица14[[#This Row],[коэф]]),
IF(AND(G37="4/8",AM37&gt;0.5),(AM37*2*база!$J$5*Таблица14[[#This Row],[коэф]]),
IF(OR(AND(G37="3/8",AM37&gt;0.5),AND(G37="2/8",AM37&gt;0.5)),(AM37*2*база!$J$4*Таблица14[[#This Row],[коэф]]),
(AM37*0.5*база!$L$4*Таблица14[[#This Row],[коэф]]))))))))))))),
(IF(AND(G37="5/24",AM37&gt;0.5),(AM37*2*база!$M$6*Таблица14[[#This Row],[коэф]]),
IF(OR(AND(G37="4/24",AM37&gt;0.5),AND(G37="3/24",AM37&gt;0.5)),(AM37*2*база!$M$5*Таблица14[[#This Row],[коэф]]),
IF(AND(G37="5/16",AM37&gt;0.5),(AM37*2*база!$L$6*Таблица14[[#This Row],[коэф]]),
IF(OR(AND(G37="4/16",AM37&gt;0.5),AND(G37="3/16",AM37&gt;0.5)),(AM37*2*база!$L$5*Таблица14[[#This Row],[коэф]]),
IF(OR(AND(G37="4/4",AM37&gt;0.5),AND(G37="3/4",AM37&gt;2)),(AM37*2*база!$I$5*Таблица14[[#This Row],[коэф]]),
IF(AND(G37="5/8",AM37&gt;0.5),(AM37*2*база!$J$6*Таблица14[[#This Row],[коэф]]),
IF(AND(G37="4/8",AM37&gt;0.5),(AM37*2*база!$J$5*Таблица14[[#This Row],[коэф]]),
IF(OR(AND(G37="3/8",AM37&gt;0.5),AND(G37="2/8",AM37&gt;0.5)),(AM37*2*база!$J$4*Таблица14[[#This Row],[коэф]]),
(AM37*2*база!$L$5*Таблица14[[#This Row],[коэф]])))))))))))</f>
        <v>0</v>
      </c>
      <c r="AO37" s="122" t="str">
        <f>IFERROR(INDEX(база!$D$2:$D$120, MATCH(Таблица14[[#This Row],[Ф. И. О.]],база!$B$2:$B$100,0)),"")</f>
        <v/>
      </c>
    </row>
    <row r="38" spans="1:45" s="46" customFormat="1" ht="13.5" customHeight="1">
      <c r="A38" s="1003" t="str">
        <f t="shared" si="0"/>
        <v>январь</v>
      </c>
      <c r="B38" t="n" s="1003">
        <v>2024.0</v>
      </c>
      <c r="C38" t="s" s="1003">
        <v>388</v>
      </c>
      <c r="D38" t="s" s="1003">
        <v>366</v>
      </c>
      <c r="E38" t="s" s="1003">
        <v>46</v>
      </c>
      <c r="F38" t="s" s="1003">
        <v>370</v>
      </c>
      <c r="G38" t="s" s="1003">
        <v>4</v>
      </c>
      <c r="H38" s="1003"/>
      <c r="I38" s="1003"/>
      <c r="J38" s="1003"/>
      <c r="K38" s="1003"/>
      <c r="L38" s="1003"/>
      <c r="M38" s="1003"/>
      <c r="N38" t="n" s="1003">
        <v>4.0</v>
      </c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215"/>
      <c r="AA38" s="215"/>
      <c r="AB38" s="215"/>
      <c r="AC38" s="215"/>
      <c r="AD38" s="215"/>
      <c r="AE38" s="215"/>
      <c r="AF38" s="215"/>
      <c r="AG38" s="215"/>
      <c r="AH38" s="215"/>
      <c r="AI38" s="215"/>
      <c r="AJ38" s="215"/>
      <c r="AK38" s="215"/>
      <c r="AL38" s="215"/>
      <c r="AM38" s="121">
        <f t="shared" si="1"/>
        <v>0</v>
      </c>
      <c r="AN38" s="564">
        <f>IF(AO38&lt;=3,(IF(AND(G38="5/24",AM38&gt;0.5),(AM38*2*база!$M$6*Таблица14[[#This Row],[коэф]]),
IF(AND(G38="4/24",AM38&gt;0.5),(AM38*2*база!$M$5*Таблица14[[#This Row],[коэф]]),
IF(AND(G38="3/24",AM38&gt;0.5),(AM38*2*база!$M$4*Таблица14[[#This Row],[коэф]]),
IF(AND(G38="5/16",AM38&gt;0.5),(AM38*2*база!$L$6*Таблица14[[#This Row],[коэф]]),
IF(AND(G38="4/16",AM38&gt;0.5),(AM38*2*база!$L$5*Таблица14[[#This Row],[коэф]]),
IF(AND(G38="3/16",AM38&gt;0.5),(AM38*2*база!$L$4*Таблица14[[#This Row],[коэф]]),
IF(AND(G38="4/4",AM38&gt;0.5),(AM38*2*база!$I$5*Таблица14[[#This Row],[коэф]]),
IF(OR(AND(G38="3/4",AM38&gt;0.5),AND(G38="2/4",AM38&gt;0.5)),(AM38*2*база!$I$4*Таблица14[[#This Row],[коэф]]),
IF(AND(G38="5/8",AM38&gt;0.5),(AM38*2*база!$J$6*Таблица14[[#This Row],[коэф]]),
IF(AND(G38="4/8",AM38&gt;0.5),(AM38*2*база!$J$5*Таблица14[[#This Row],[коэф]]),
IF(OR(AND(G38="3/8",AM38&gt;0.5),AND(G38="2/8",AM38&gt;0.5)),(AM38*2*база!$J$4*Таблица14[[#This Row],[коэф]]),
(AM38*0.5*база!$L$4*Таблица14[[#This Row],[коэф]]))))))))))))),
(IF(AND(G38="5/24",AM38&gt;0.5),(AM38*2*база!$M$6*Таблица14[[#This Row],[коэф]]),
IF(OR(AND(G38="4/24",AM38&gt;0.5),AND(G38="3/24",AM38&gt;0.5)),(AM38*2*база!$M$5*Таблица14[[#This Row],[коэф]]),
IF(AND(G38="5/16",AM38&gt;0.5),(AM38*2*база!$L$6*Таблица14[[#This Row],[коэф]]),
IF(OR(AND(G38="4/16",AM38&gt;0.5),AND(G38="3/16",AM38&gt;0.5)),(AM38*2*база!$L$5*Таблица14[[#This Row],[коэф]]),
IF(OR(AND(G38="4/4",AM38&gt;0.5),AND(G38="3/4",AM38&gt;2)),(AM38*2*база!$I$5*Таблица14[[#This Row],[коэф]]),
IF(AND(G38="5/8",AM38&gt;0.5),(AM38*2*база!$J$6*Таблица14[[#This Row],[коэф]]),
IF(AND(G38="4/8",AM38&gt;0.5),(AM38*2*база!$J$5*Таблица14[[#This Row],[коэф]]),
IF(OR(AND(G38="3/8",AM38&gt;0.5),AND(G38="2/8",AM38&gt;0.5)),(AM38*2*база!$J$4*Таблица14[[#This Row],[коэф]]),
(AM38*2*база!$L$5*Таблица14[[#This Row],[коэф]])))))))))))</f>
        <v>0</v>
      </c>
      <c r="AO38" s="122" t="str">
        <f>IFERROR(INDEX(база!$D$2:$D$120, MATCH(Таблица14[[#This Row],[Ф. И. О.]],база!$B$2:$B$100,0)),"")</f>
        <v/>
      </c>
    </row>
    <row r="39" spans="1:45" s="46" customFormat="1" ht="13.5" customHeight="1">
      <c r="A39" s="1004" t="str">
        <f t="shared" si="0"/>
        <v>январь</v>
      </c>
      <c r="B39" t="n" s="1004">
        <v>2024.0</v>
      </c>
      <c r="C39" t="s" s="1004">
        <v>392</v>
      </c>
      <c r="D39" t="s" s="1004">
        <v>364</v>
      </c>
      <c r="E39" t="s" s="1004">
        <v>46</v>
      </c>
      <c r="F39" t="s" s="1004">
        <v>292</v>
      </c>
      <c r="G39" t="s" s="1004">
        <v>6</v>
      </c>
      <c r="H39" s="1004"/>
      <c r="I39" s="1004"/>
      <c r="J39" s="1004"/>
      <c r="K39" s="1004"/>
      <c r="L39" s="1004"/>
      <c r="M39" s="1004"/>
      <c r="N39" t="n" s="1004">
        <v>6.0</v>
      </c>
      <c r="O39" s="215"/>
      <c r="P39" s="215"/>
      <c r="Q39" s="215"/>
      <c r="R39" s="215"/>
      <c r="S39" s="215"/>
      <c r="T39" s="215"/>
      <c r="U39" s="215"/>
      <c r="V39" s="215"/>
      <c r="W39" s="215"/>
      <c r="X39" s="215"/>
      <c r="Y39" s="215"/>
      <c r="Z39" s="215"/>
      <c r="AA39" s="215"/>
      <c r="AB39" s="215"/>
      <c r="AC39" s="215"/>
      <c r="AD39" s="215"/>
      <c r="AE39" s="215"/>
      <c r="AF39" s="215"/>
      <c r="AG39" s="215"/>
      <c r="AH39" s="215"/>
      <c r="AI39" s="215"/>
      <c r="AJ39" s="215"/>
      <c r="AK39" s="215"/>
      <c r="AL39" s="215"/>
      <c r="AM39" s="121">
        <f t="shared" si="1"/>
        <v>0</v>
      </c>
      <c r="AN39" s="564">
        <f>IF(AO39&lt;=3,(IF(AND(G39="5/24",AM39&gt;0.5),(AM39*2*база!$M$6*Таблица14[[#This Row],[коэф]]),
IF(AND(G39="4/24",AM39&gt;0.5),(AM39*2*база!$M$5*Таблица14[[#This Row],[коэф]]),
IF(AND(G39="3/24",AM39&gt;0.5),(AM39*2*база!$M$4*Таблица14[[#This Row],[коэф]]),
IF(AND(G39="5/16",AM39&gt;0.5),(AM39*2*база!$L$6*Таблица14[[#This Row],[коэф]]),
IF(AND(G39="4/16",AM39&gt;0.5),(AM39*2*база!$L$5*Таблица14[[#This Row],[коэф]]),
IF(AND(G39="3/16",AM39&gt;0.5),(AM39*2*база!$L$4*Таблица14[[#This Row],[коэф]]),
IF(AND(G39="4/4",AM39&gt;0.5),(AM39*2*база!$I$5*Таблица14[[#This Row],[коэф]]),
IF(OR(AND(G39="3/4",AM39&gt;0.5),AND(G39="2/4",AM39&gt;0.5)),(AM39*2*база!$I$4*Таблица14[[#This Row],[коэф]]),
IF(AND(G39="5/8",AM39&gt;0.5),(AM39*2*база!$J$6*Таблица14[[#This Row],[коэф]]),
IF(AND(G39="4/8",AM39&gt;0.5),(AM39*2*база!$J$5*Таблица14[[#This Row],[коэф]]),
IF(OR(AND(G39="3/8",AM39&gt;0.5),AND(G39="2/8",AM39&gt;0.5)),(AM39*2*база!$J$4*Таблица14[[#This Row],[коэф]]),
(AM39*0.5*база!$L$4*Таблица14[[#This Row],[коэф]]))))))))))))),
(IF(AND(G39="5/24",AM39&gt;0.5),(AM39*2*база!$M$6*Таблица14[[#This Row],[коэф]]),
IF(OR(AND(G39="4/24",AM39&gt;0.5),AND(G39="3/24",AM39&gt;0.5)),(AM39*2*база!$M$5*Таблица14[[#This Row],[коэф]]),
IF(AND(G39="5/16",AM39&gt;0.5),(AM39*2*база!$L$6*Таблица14[[#This Row],[коэф]]),
IF(OR(AND(G39="4/16",AM39&gt;0.5),AND(G39="3/16",AM39&gt;0.5)),(AM39*2*база!$L$5*Таблица14[[#This Row],[коэф]]),
IF(OR(AND(G39="4/4",AM39&gt;0.5),AND(G39="3/4",AM39&gt;2)),(AM39*2*база!$I$5*Таблица14[[#This Row],[коэф]]),
IF(AND(G39="5/8",AM39&gt;0.5),(AM39*2*база!$J$6*Таблица14[[#This Row],[коэф]]),
IF(AND(G39="4/8",AM39&gt;0.5),(AM39*2*база!$J$5*Таблица14[[#This Row],[коэф]]),
IF(OR(AND(G39="3/8",AM39&gt;0.5),AND(G39="2/8",AM39&gt;0.5)),(AM39*2*база!$J$4*Таблица14[[#This Row],[коэф]]),
(AM39*2*база!$L$5*Таблица14[[#This Row],[коэф]])))))))))))</f>
        <v>0</v>
      </c>
      <c r="AO39" s="122" t="str">
        <f>IFERROR(INDEX(база!$D$2:$D$120, MATCH(Таблица14[[#This Row],[Ф. И. О.]],база!$B$2:$B$100,0)),"")</f>
        <v/>
      </c>
    </row>
    <row r="40" spans="1:45" s="46" customFormat="1" ht="13.5" customHeight="1">
      <c r="A40" s="1005" t="str">
        <f t="shared" si="0"/>
        <v>январь</v>
      </c>
      <c r="B40" t="n" s="1005">
        <v>2024.0</v>
      </c>
      <c r="C40" t="s" s="1005">
        <v>388</v>
      </c>
      <c r="D40" t="s" s="1005">
        <v>367</v>
      </c>
      <c r="E40" t="s" s="1005">
        <v>389</v>
      </c>
      <c r="F40" t="s" s="1005">
        <v>329</v>
      </c>
      <c r="G40" t="s" s="1005">
        <v>5</v>
      </c>
      <c r="H40" s="1005"/>
      <c r="I40" s="1005"/>
      <c r="J40" s="1005"/>
      <c r="K40" s="1005"/>
      <c r="L40" s="1005"/>
      <c r="M40" s="1005"/>
      <c r="N40" t="n" s="1005">
        <v>1.0</v>
      </c>
      <c r="O40" s="215"/>
      <c r="P40" s="215"/>
      <c r="Q40" s="215"/>
      <c r="R40" s="215"/>
      <c r="S40" s="215"/>
      <c r="T40" s="215"/>
      <c r="U40" s="215"/>
      <c r="V40" s="215"/>
      <c r="W40" s="215"/>
      <c r="X40" s="215"/>
      <c r="Y40" s="215"/>
      <c r="Z40" s="215"/>
      <c r="AA40" s="215"/>
      <c r="AB40" s="215"/>
      <c r="AC40" s="215"/>
      <c r="AD40" s="215"/>
      <c r="AE40" s="215"/>
      <c r="AF40" s="215"/>
      <c r="AG40" s="215"/>
      <c r="AH40" s="215"/>
      <c r="AI40" s="215"/>
      <c r="AJ40" s="215"/>
      <c r="AK40" s="215"/>
      <c r="AL40" s="215"/>
      <c r="AM40" s="121">
        <f t="shared" si="1"/>
        <v>0</v>
      </c>
      <c r="AN40" s="564">
        <f>IF(AO40&lt;=3,(IF(AND(G40="5/24",AM40&gt;0.5),(AM40*2*база!$M$6*Таблица14[[#This Row],[коэф]]),
IF(AND(G40="4/24",AM40&gt;0.5),(AM40*2*база!$M$5*Таблица14[[#This Row],[коэф]]),
IF(AND(G40="3/24",AM40&gt;0.5),(AM40*2*база!$M$4*Таблица14[[#This Row],[коэф]]),
IF(AND(G40="5/16",AM40&gt;0.5),(AM40*2*база!$L$6*Таблица14[[#This Row],[коэф]]),
IF(AND(G40="4/16",AM40&gt;0.5),(AM40*2*база!$L$5*Таблица14[[#This Row],[коэф]]),
IF(AND(G40="3/16",AM40&gt;0.5),(AM40*2*база!$L$4*Таблица14[[#This Row],[коэф]]),
IF(AND(G40="4/4",AM40&gt;0.5),(AM40*2*база!$I$5*Таблица14[[#This Row],[коэф]]),
IF(OR(AND(G40="3/4",AM40&gt;0.5),AND(G40="2/4",AM40&gt;0.5)),(AM40*2*база!$I$4*Таблица14[[#This Row],[коэф]]),
IF(AND(G40="5/8",AM40&gt;0.5),(AM40*2*база!$J$6*Таблица14[[#This Row],[коэф]]),
IF(AND(G40="4/8",AM40&gt;0.5),(AM40*2*база!$J$5*Таблица14[[#This Row],[коэф]]),
IF(OR(AND(G40="3/8",AM40&gt;0.5),AND(G40="2/8",AM40&gt;0.5)),(AM40*2*база!$J$4*Таблица14[[#This Row],[коэф]]),
(AM40*0.5*база!$L$4*Таблица14[[#This Row],[коэф]]))))))))))))),
(IF(AND(G40="5/24",AM40&gt;0.5),(AM40*2*база!$M$6*Таблица14[[#This Row],[коэф]]),
IF(OR(AND(G40="4/24",AM40&gt;0.5),AND(G40="3/24",AM40&gt;0.5)),(AM40*2*база!$M$5*Таблица14[[#This Row],[коэф]]),
IF(AND(G40="5/16",AM40&gt;0.5),(AM40*2*база!$L$6*Таблица14[[#This Row],[коэф]]),
IF(OR(AND(G40="4/16",AM40&gt;0.5),AND(G40="3/16",AM40&gt;0.5)),(AM40*2*база!$L$5*Таблица14[[#This Row],[коэф]]),
IF(OR(AND(G40="4/4",AM40&gt;0.5),AND(G40="3/4",AM40&gt;2)),(AM40*2*база!$I$5*Таблица14[[#This Row],[коэф]]),
IF(AND(G40="5/8",AM40&gt;0.5),(AM40*2*база!$J$6*Таблица14[[#This Row],[коэф]]),
IF(AND(G40="4/8",AM40&gt;0.5),(AM40*2*база!$J$5*Таблица14[[#This Row],[коэф]]),
IF(OR(AND(G40="3/8",AM40&gt;0.5),AND(G40="2/8",AM40&gt;0.5)),(AM40*2*база!$J$4*Таблица14[[#This Row],[коэф]]),
(AM40*2*база!$L$5*Таблица14[[#This Row],[коэф]])))))))))))</f>
        <v>0</v>
      </c>
      <c r="AO40" s="122" t="str">
        <f>IFERROR(INDEX(база!$D$2:$D$120, MATCH(Таблица14[[#This Row],[Ф. И. О.]],база!$B$2:$B$100,0)),"")</f>
        <v/>
      </c>
    </row>
    <row r="41" spans="1:45" s="46" customFormat="1" ht="13.5" customHeight="1">
      <c r="A41" s="1007" t="str">
        <f t="shared" si="0"/>
        <v>январь</v>
      </c>
      <c r="B41" t="n" s="1007">
        <v>2024.0</v>
      </c>
      <c r="C41" t="s" s="1007">
        <v>392</v>
      </c>
      <c r="D41" t="s" s="1007">
        <v>364</v>
      </c>
      <c r="E41" t="s" s="1007">
        <v>46</v>
      </c>
      <c r="F41" t="s" s="1007">
        <v>302</v>
      </c>
      <c r="G41" t="s" s="1007">
        <v>4</v>
      </c>
      <c r="H41" s="1007"/>
      <c r="I41" s="1007"/>
      <c r="J41" s="1007"/>
      <c r="K41" s="1007"/>
      <c r="L41" s="1007"/>
      <c r="M41" s="1007"/>
      <c r="N41" t="n" s="1007">
        <v>4.0</v>
      </c>
      <c r="O41" s="215"/>
      <c r="P41" s="215"/>
      <c r="Q41" s="215"/>
      <c r="R41" s="215"/>
      <c r="S41" s="215"/>
      <c r="T41" s="215"/>
      <c r="U41" s="215"/>
      <c r="V41" s="215"/>
      <c r="W41" s="215"/>
      <c r="X41" s="215"/>
      <c r="Y41" s="215"/>
      <c r="Z41" s="215"/>
      <c r="AA41" s="215"/>
      <c r="AB41" s="215"/>
      <c r="AC41" s="215"/>
      <c r="AD41" s="215"/>
      <c r="AE41" s="215"/>
      <c r="AF41" s="215"/>
      <c r="AG41" s="215"/>
      <c r="AH41" s="215"/>
      <c r="AI41" s="215"/>
      <c r="AJ41" s="215"/>
      <c r="AK41" s="215"/>
      <c r="AL41" s="215"/>
      <c r="AM41" s="121">
        <f t="shared" si="1"/>
        <v>0</v>
      </c>
      <c r="AN41" s="564">
        <f>IF(AO41&lt;=3,(IF(AND(G41="5/24",AM41&gt;0.5),(AM41*2*база!$M$6*Таблица14[[#This Row],[коэф]]),
IF(AND(G41="4/24",AM41&gt;0.5),(AM41*2*база!$M$5*Таблица14[[#This Row],[коэф]]),
IF(AND(G41="3/24",AM41&gt;0.5),(AM41*2*база!$M$4*Таблица14[[#This Row],[коэф]]),
IF(AND(G41="5/16",AM41&gt;0.5),(AM41*2*база!$L$6*Таблица14[[#This Row],[коэф]]),
IF(AND(G41="4/16",AM41&gt;0.5),(AM41*2*база!$L$5*Таблица14[[#This Row],[коэф]]),
IF(AND(G41="3/16",AM41&gt;0.5),(AM41*2*база!$L$4*Таблица14[[#This Row],[коэф]]),
IF(AND(G41="4/4",AM41&gt;0.5),(AM41*2*база!$I$5*Таблица14[[#This Row],[коэф]]),
IF(OR(AND(G41="3/4",AM41&gt;0.5),AND(G41="2/4",AM41&gt;0.5)),(AM41*2*база!$I$4*Таблица14[[#This Row],[коэф]]),
IF(AND(G41="5/8",AM41&gt;0.5),(AM41*2*база!$J$6*Таблица14[[#This Row],[коэф]]),
IF(AND(G41="4/8",AM41&gt;0.5),(AM41*2*база!$J$5*Таблица14[[#This Row],[коэф]]),
IF(OR(AND(G41="3/8",AM41&gt;0.5),AND(G41="2/8",AM41&gt;0.5)),(AM41*2*база!$J$4*Таблица14[[#This Row],[коэф]]),
(AM41*0.5*база!$L$4*Таблица14[[#This Row],[коэф]]))))))))))))),
(IF(AND(G41="5/24",AM41&gt;0.5),(AM41*2*база!$M$6*Таблица14[[#This Row],[коэф]]),
IF(OR(AND(G41="4/24",AM41&gt;0.5),AND(G41="3/24",AM41&gt;0.5)),(AM41*2*база!$M$5*Таблица14[[#This Row],[коэф]]),
IF(AND(G41="5/16",AM41&gt;0.5),(AM41*2*база!$L$6*Таблица14[[#This Row],[коэф]]),
IF(OR(AND(G41="4/16",AM41&gt;0.5),AND(G41="3/16",AM41&gt;0.5)),(AM41*2*база!$L$5*Таблица14[[#This Row],[коэф]]),
IF(OR(AND(G41="4/4",AM41&gt;0.5),AND(G41="3/4",AM41&gt;2)),(AM41*2*база!$I$5*Таблица14[[#This Row],[коэф]]),
IF(AND(G41="5/8",AM41&gt;0.5),(AM41*2*база!$J$6*Таблица14[[#This Row],[коэф]]),
IF(AND(G41="4/8",AM41&gt;0.5),(AM41*2*база!$J$5*Таблица14[[#This Row],[коэф]]),
IF(OR(AND(G41="3/8",AM41&gt;0.5),AND(G41="2/8",AM41&gt;0.5)),(AM41*2*база!$J$4*Таблица14[[#This Row],[коэф]]),
(AM41*2*база!$L$5*Таблица14[[#This Row],[коэф]])))))))))))</f>
        <v>0</v>
      </c>
      <c r="AO41" s="122" t="str">
        <f>IFERROR(INDEX(база!$D$2:$D$120, MATCH(Таблица14[[#This Row],[Ф. И. О.]],база!$B$2:$B$100,0)),"")</f>
        <v/>
      </c>
    </row>
    <row r="42" spans="1:45" s="46" customFormat="1" ht="13.5" customHeight="1">
      <c r="A42" s="1010" t="str">
        <f t="shared" si="0"/>
        <v>январь</v>
      </c>
      <c r="B42" t="n" s="1010">
        <v>2024.0</v>
      </c>
      <c r="C42" t="s" s="1010">
        <v>386</v>
      </c>
      <c r="D42" t="s" s="1010">
        <v>364</v>
      </c>
      <c r="E42" t="s" s="1010">
        <v>46</v>
      </c>
      <c r="F42" t="s" s="1010">
        <v>280</v>
      </c>
      <c r="G42" t="s" s="1010">
        <v>4</v>
      </c>
      <c r="H42" s="1010"/>
      <c r="I42" s="1010"/>
      <c r="J42" s="1010"/>
      <c r="K42" s="1010"/>
      <c r="L42" s="1010"/>
      <c r="M42" s="1010"/>
      <c r="N42" t="n" s="1010">
        <v>4.0</v>
      </c>
      <c r="O42" s="215"/>
      <c r="P42" s="215"/>
      <c r="Q42" s="215"/>
      <c r="R42" s="215"/>
      <c r="S42" s="215"/>
      <c r="T42" s="215"/>
      <c r="U42" s="215"/>
      <c r="V42" s="215"/>
      <c r="W42" s="215"/>
      <c r="X42" s="215"/>
      <c r="Y42" s="215"/>
      <c r="Z42" s="215"/>
      <c r="AA42" s="215"/>
      <c r="AB42" s="215"/>
      <c r="AC42" s="215"/>
      <c r="AD42" s="215"/>
      <c r="AE42" s="215"/>
      <c r="AF42" s="215"/>
      <c r="AG42" s="215"/>
      <c r="AH42" s="215"/>
      <c r="AI42" s="215"/>
      <c r="AJ42" s="215"/>
      <c r="AK42" s="215"/>
      <c r="AL42" s="215"/>
      <c r="AM42" s="121">
        <f t="shared" si="1"/>
        <v>0</v>
      </c>
      <c r="AN42" s="564">
        <f>IF(AO42&lt;=3,(IF(AND(G42="5/24",AM42&gt;0.5),(AM42*2*база!$M$6*Таблица14[[#This Row],[коэф]]),
IF(AND(G42="4/24",AM42&gt;0.5),(AM42*2*база!$M$5*Таблица14[[#This Row],[коэф]]),
IF(AND(G42="3/24",AM42&gt;0.5),(AM42*2*база!$M$4*Таблица14[[#This Row],[коэф]]),
IF(AND(G42="5/16",AM42&gt;0.5),(AM42*2*база!$L$6*Таблица14[[#This Row],[коэф]]),
IF(AND(G42="4/16",AM42&gt;0.5),(AM42*2*база!$L$5*Таблица14[[#This Row],[коэф]]),
IF(AND(G42="3/16",AM42&gt;0.5),(AM42*2*база!$L$4*Таблица14[[#This Row],[коэф]]),
IF(AND(G42="4/4",AM42&gt;0.5),(AM42*2*база!$I$5*Таблица14[[#This Row],[коэф]]),
IF(OR(AND(G42="3/4",AM42&gt;0.5),AND(G42="2/4",AM42&gt;0.5)),(AM42*2*база!$I$4*Таблица14[[#This Row],[коэф]]),
IF(AND(G42="5/8",AM42&gt;0.5),(AM42*2*база!$J$6*Таблица14[[#This Row],[коэф]]),
IF(AND(G42="4/8",AM42&gt;0.5),(AM42*2*база!$J$5*Таблица14[[#This Row],[коэф]]),
IF(OR(AND(G42="3/8",AM42&gt;0.5),AND(G42="2/8",AM42&gt;0.5)),(AM42*2*база!$J$4*Таблица14[[#This Row],[коэф]]),
(AM42*0.5*база!$L$4*Таблица14[[#This Row],[коэф]]))))))))))))),
(IF(AND(G42="5/24",AM42&gt;0.5),(AM42*2*база!$M$6*Таблица14[[#This Row],[коэф]]),
IF(OR(AND(G42="4/24",AM42&gt;0.5),AND(G42="3/24",AM42&gt;0.5)),(AM42*2*база!$M$5*Таблица14[[#This Row],[коэф]]),
IF(AND(G42="5/16",AM42&gt;0.5),(AM42*2*база!$L$6*Таблица14[[#This Row],[коэф]]),
IF(OR(AND(G42="4/16",AM42&gt;0.5),AND(G42="3/16",AM42&gt;0.5)),(AM42*2*база!$L$5*Таблица14[[#This Row],[коэф]]),
IF(OR(AND(G42="4/4",AM42&gt;0.5),AND(G42="3/4",AM42&gt;2)),(AM42*2*база!$I$5*Таблица14[[#This Row],[коэф]]),
IF(AND(G42="5/8",AM42&gt;0.5),(AM42*2*база!$J$6*Таблица14[[#This Row],[коэф]]),
IF(AND(G42="4/8",AM42&gt;0.5),(AM42*2*база!$J$5*Таблица14[[#This Row],[коэф]]),
IF(OR(AND(G42="3/8",AM42&gt;0.5),AND(G42="2/8",AM42&gt;0.5)),(AM42*2*база!$J$4*Таблица14[[#This Row],[коэф]]),
(AM42*2*база!$L$5*Таблица14[[#This Row],[коэф]])))))))))))</f>
        <v>0</v>
      </c>
      <c r="AO42" s="122" t="str">
        <f>IFERROR(INDEX(база!$D$2:$D$120, MATCH(Таблица14[[#This Row],[Ф. И. О.]],база!$B$2:$B$100,0)),"")</f>
        <v/>
      </c>
    </row>
    <row r="43" spans="1:45" s="46" customFormat="1" ht="13.5" customHeight="1">
      <c r="A43" s="1016" t="str">
        <f t="shared" si="0"/>
        <v>январь</v>
      </c>
      <c r="B43" t="n" s="1016">
        <v>2024.0</v>
      </c>
      <c r="C43" t="s" s="1016">
        <v>388</v>
      </c>
      <c r="D43" t="s" s="1016">
        <v>365</v>
      </c>
      <c r="E43" t="s" s="1016">
        <v>46</v>
      </c>
      <c r="F43" t="s" s="1016">
        <v>377</v>
      </c>
      <c r="G43" t="s" s="1016">
        <v>4</v>
      </c>
      <c r="H43" s="1016"/>
      <c r="I43" s="1016"/>
      <c r="J43" s="1016"/>
      <c r="K43" s="1016"/>
      <c r="L43" s="1016"/>
      <c r="M43" s="1016"/>
      <c r="N43" t="n" s="1016">
        <v>4.0</v>
      </c>
      <c r="O43" s="215"/>
      <c r="P43" s="215"/>
      <c r="Q43" s="215"/>
      <c r="R43" s="215"/>
      <c r="S43" s="215"/>
      <c r="T43" s="215"/>
      <c r="U43" s="215"/>
      <c r="V43" s="215"/>
      <c r="W43" s="215"/>
      <c r="X43" s="215"/>
      <c r="Y43" s="215"/>
      <c r="Z43" s="215"/>
      <c r="AA43" s="215"/>
      <c r="AB43" s="215"/>
      <c r="AC43" s="215"/>
      <c r="AD43" s="215"/>
      <c r="AE43" s="215"/>
      <c r="AF43" s="215"/>
      <c r="AG43" s="215"/>
      <c r="AH43" s="215"/>
      <c r="AI43" s="215"/>
      <c r="AJ43" s="215"/>
      <c r="AK43" s="215"/>
      <c r="AL43" s="215"/>
      <c r="AM43" s="121">
        <f t="shared" si="1"/>
        <v>0</v>
      </c>
      <c r="AN43" s="564">
        <f>IF(AO43&lt;=3,(IF(AND(G43="5/24",AM43&gt;0.5),(AM43*2*база!$M$6*Таблица14[[#This Row],[коэф]]),
IF(AND(G43="4/24",AM43&gt;0.5),(AM43*2*база!$M$5*Таблица14[[#This Row],[коэф]]),
IF(AND(G43="3/24",AM43&gt;0.5),(AM43*2*база!$M$4*Таблица14[[#This Row],[коэф]]),
IF(AND(G43="5/16",AM43&gt;0.5),(AM43*2*база!$L$6*Таблица14[[#This Row],[коэф]]),
IF(AND(G43="4/16",AM43&gt;0.5),(AM43*2*база!$L$5*Таблица14[[#This Row],[коэф]]),
IF(AND(G43="3/16",AM43&gt;0.5),(AM43*2*база!$L$4*Таблица14[[#This Row],[коэф]]),
IF(AND(G43="4/4",AM43&gt;0.5),(AM43*2*база!$I$5*Таблица14[[#This Row],[коэф]]),
IF(OR(AND(G43="3/4",AM43&gt;0.5),AND(G43="2/4",AM43&gt;0.5)),(AM43*2*база!$I$4*Таблица14[[#This Row],[коэф]]),
IF(AND(G43="5/8",AM43&gt;0.5),(AM43*2*база!$J$6*Таблица14[[#This Row],[коэф]]),
IF(AND(G43="4/8",AM43&gt;0.5),(AM43*2*база!$J$5*Таблица14[[#This Row],[коэф]]),
IF(OR(AND(G43="3/8",AM43&gt;0.5),AND(G43="2/8",AM43&gt;0.5)),(AM43*2*база!$J$4*Таблица14[[#This Row],[коэф]]),
(AM43*0.5*база!$L$4*Таблица14[[#This Row],[коэф]]))))))))))))),
(IF(AND(G43="5/24",AM43&gt;0.5),(AM43*2*база!$M$6*Таблица14[[#This Row],[коэф]]),
IF(OR(AND(G43="4/24",AM43&gt;0.5),AND(G43="3/24",AM43&gt;0.5)),(AM43*2*база!$M$5*Таблица14[[#This Row],[коэф]]),
IF(AND(G43="5/16",AM43&gt;0.5),(AM43*2*база!$L$6*Таблица14[[#This Row],[коэф]]),
IF(OR(AND(G43="4/16",AM43&gt;0.5),AND(G43="3/16",AM43&gt;0.5)),(AM43*2*база!$L$5*Таблица14[[#This Row],[коэф]]),
IF(OR(AND(G43="4/4",AM43&gt;0.5),AND(G43="3/4",AM43&gt;2)),(AM43*2*база!$I$5*Таблица14[[#This Row],[коэф]]),
IF(AND(G43="5/8",AM43&gt;0.5),(AM43*2*база!$J$6*Таблица14[[#This Row],[коэф]]),
IF(AND(G43="4/8",AM43&gt;0.5),(AM43*2*база!$J$5*Таблица14[[#This Row],[коэф]]),
IF(OR(AND(G43="3/8",AM43&gt;0.5),AND(G43="2/8",AM43&gt;0.5)),(AM43*2*база!$J$4*Таблица14[[#This Row],[коэф]]),
(AM43*2*база!$L$5*Таблица14[[#This Row],[коэф]])))))))))))</f>
        <v>0</v>
      </c>
      <c r="AO43" s="122" t="str">
        <f>IFERROR(INDEX(база!$D$2:$D$120, MATCH(Таблица14[[#This Row],[Ф. И. О.]],база!$B$2:$B$100,0)),"")</f>
        <v/>
      </c>
    </row>
    <row r="44" spans="1:45" s="46" customFormat="1" ht="13.5" customHeight="1">
      <c r="A44" s="1017" t="str">
        <f t="shared" si="0"/>
        <v>январь</v>
      </c>
      <c r="B44" t="n" s="1017">
        <v>2024.0</v>
      </c>
      <c r="C44" t="s" s="1017">
        <v>388</v>
      </c>
      <c r="D44" t="s" s="1017">
        <v>364</v>
      </c>
      <c r="E44" t="s" s="1017">
        <v>46</v>
      </c>
      <c r="F44" t="s" s="1017">
        <v>331</v>
      </c>
      <c r="G44" t="s" s="1017">
        <v>6</v>
      </c>
      <c r="H44" s="1017"/>
      <c r="I44" s="1017"/>
      <c r="J44" s="1017"/>
      <c r="K44" s="1017"/>
      <c r="L44" s="1017"/>
      <c r="M44" t="n" s="1017">
        <v>1.0</v>
      </c>
      <c r="N44" s="215"/>
      <c r="O44" s="215"/>
      <c r="P44" s="215"/>
      <c r="Q44" s="215"/>
      <c r="R44" s="215"/>
      <c r="S44" s="215"/>
      <c r="T44" s="215"/>
      <c r="U44" s="215"/>
      <c r="V44" s="215"/>
      <c r="W44" s="215"/>
      <c r="X44" s="215"/>
      <c r="Y44" s="215"/>
      <c r="Z44" s="215"/>
      <c r="AA44" s="215"/>
      <c r="AB44" s="215"/>
      <c r="AC44" s="215"/>
      <c r="AD44" s="215"/>
      <c r="AE44" s="215"/>
      <c r="AF44" s="215"/>
      <c r="AG44" s="215"/>
      <c r="AH44" s="215"/>
      <c r="AI44" s="215"/>
      <c r="AJ44" s="215"/>
      <c r="AK44" s="215"/>
      <c r="AL44" s="215"/>
      <c r="AM44" s="121">
        <f t="shared" si="1"/>
        <v>0</v>
      </c>
      <c r="AN44" s="564">
        <f>IF(AO44&lt;=3,(IF(AND(G44="5/24",AM44&gt;0.5),(AM44*2*база!$M$6*Таблица14[[#This Row],[коэф]]),
IF(AND(G44="4/24",AM44&gt;0.5),(AM44*2*база!$M$5*Таблица14[[#This Row],[коэф]]),
IF(AND(G44="3/24",AM44&gt;0.5),(AM44*2*база!$M$4*Таблица14[[#This Row],[коэф]]),
IF(AND(G44="5/16",AM44&gt;0.5),(AM44*2*база!$L$6*Таблица14[[#This Row],[коэф]]),
IF(AND(G44="4/16",AM44&gt;0.5),(AM44*2*база!$L$5*Таблица14[[#This Row],[коэф]]),
IF(AND(G44="3/16",AM44&gt;0.5),(AM44*2*база!$L$4*Таблица14[[#This Row],[коэф]]),
IF(AND(G44="4/4",AM44&gt;0.5),(AM44*2*база!$I$5*Таблица14[[#This Row],[коэф]]),
IF(OR(AND(G44="3/4",AM44&gt;0.5),AND(G44="2/4",AM44&gt;0.5)),(AM44*2*база!$I$4*Таблица14[[#This Row],[коэф]]),
IF(AND(G44="5/8",AM44&gt;0.5),(AM44*2*база!$J$6*Таблица14[[#This Row],[коэф]]),
IF(AND(G44="4/8",AM44&gt;0.5),(AM44*2*база!$J$5*Таблица14[[#This Row],[коэф]]),
IF(OR(AND(G44="3/8",AM44&gt;0.5),AND(G44="2/8",AM44&gt;0.5)),(AM44*2*база!$J$4*Таблица14[[#This Row],[коэф]]),
(AM44*0.5*база!$L$4*Таблица14[[#This Row],[коэф]]))))))))))))),
(IF(AND(G44="5/24",AM44&gt;0.5),(AM44*2*база!$M$6*Таблица14[[#This Row],[коэф]]),
IF(OR(AND(G44="4/24",AM44&gt;0.5),AND(G44="3/24",AM44&gt;0.5)),(AM44*2*база!$M$5*Таблица14[[#This Row],[коэф]]),
IF(AND(G44="5/16",AM44&gt;0.5),(AM44*2*база!$L$6*Таблица14[[#This Row],[коэф]]),
IF(OR(AND(G44="4/16",AM44&gt;0.5),AND(G44="3/16",AM44&gt;0.5)),(AM44*2*база!$L$5*Таблица14[[#This Row],[коэф]]),
IF(OR(AND(G44="4/4",AM44&gt;0.5),AND(G44="3/4",AM44&gt;2)),(AM44*2*база!$I$5*Таблица14[[#This Row],[коэф]]),
IF(AND(G44="5/8",AM44&gt;0.5),(AM44*2*база!$J$6*Таблица14[[#This Row],[коэф]]),
IF(AND(G44="4/8",AM44&gt;0.5),(AM44*2*база!$J$5*Таблица14[[#This Row],[коэф]]),
IF(OR(AND(G44="3/8",AM44&gt;0.5),AND(G44="2/8",AM44&gt;0.5)),(AM44*2*база!$J$4*Таблица14[[#This Row],[коэф]]),
(AM44*2*база!$L$5*Таблица14[[#This Row],[коэф]])))))))))))</f>
        <v>0</v>
      </c>
      <c r="AO44" s="122" t="str">
        <f>IFERROR(INDEX(база!$D$2:$D$120, MATCH(Таблица14[[#This Row],[Ф. И. О.]],база!$B$2:$B$100,0)),"")</f>
        <v/>
      </c>
    </row>
    <row r="45" spans="1:45" s="46" customFormat="1" ht="13.5" customHeight="1">
      <c r="A45" s="1019" t="str">
        <f t="shared" si="0"/>
        <v>январь</v>
      </c>
      <c r="B45" t="n" s="1019">
        <v>2024.0</v>
      </c>
      <c r="C45" t="s" s="1019">
        <v>387</v>
      </c>
      <c r="D45" t="s" s="1019">
        <v>364</v>
      </c>
      <c r="E45" t="s" s="1019">
        <v>46</v>
      </c>
      <c r="F45" t="s" s="1019">
        <v>286</v>
      </c>
      <c r="G45" t="s" s="1019">
        <v>71</v>
      </c>
      <c r="H45" s="1019"/>
      <c r="I45" s="1019"/>
      <c r="J45" s="1019"/>
      <c r="K45" s="1019"/>
      <c r="L45" s="1019"/>
      <c r="M45" s="1019"/>
      <c r="N45" t="n" s="1019">
        <v>1.5</v>
      </c>
      <c r="O45" s="215"/>
      <c r="P45" t="n" s="21">
        <v>3.0</v>
      </c>
      <c r="Q45" t="n" s="46">
        <v>7.0</v>
      </c>
      <c r="R45" s="215"/>
      <c r="S45" s="215"/>
      <c r="T45" s="215"/>
      <c r="U45" s="215"/>
      <c r="V45" s="215"/>
      <c r="W45" s="215"/>
      <c r="X45" s="215"/>
      <c r="Y45" s="215"/>
      <c r="Z45" s="215"/>
      <c r="AA45" s="215"/>
      <c r="AB45" s="215"/>
      <c r="AC45" s="215"/>
      <c r="AD45" s="215"/>
      <c r="AE45" s="215"/>
      <c r="AF45" s="215"/>
      <c r="AG45" s="215"/>
      <c r="AH45" s="215"/>
      <c r="AI45" s="215"/>
      <c r="AJ45" s="215"/>
      <c r="AK45" s="215"/>
      <c r="AL45" s="215"/>
      <c r="AM45" s="121">
        <f t="shared" si="1"/>
        <v>0</v>
      </c>
      <c r="AN45" s="564">
        <f>IF(AO45&lt;=3,(IF(AND(G45="5/24",AM45&gt;0.5),(AM45*2*база!$M$6*Таблица14[[#This Row],[коэф]]),
IF(AND(G45="4/24",AM45&gt;0.5),(AM45*2*база!$M$5*Таблица14[[#This Row],[коэф]]),
IF(AND(G45="3/24",AM45&gt;0.5),(AM45*2*база!$M$4*Таблица14[[#This Row],[коэф]]),
IF(AND(G45="5/16",AM45&gt;0.5),(AM45*2*база!$L$6*Таблица14[[#This Row],[коэф]]),
IF(AND(G45="4/16",AM45&gt;0.5),(AM45*2*база!$L$5*Таблица14[[#This Row],[коэф]]),
IF(AND(G45="3/16",AM45&gt;0.5),(AM45*2*база!$L$4*Таблица14[[#This Row],[коэф]]),
IF(AND(G45="4/4",AM45&gt;0.5),(AM45*2*база!$I$5*Таблица14[[#This Row],[коэф]]),
IF(OR(AND(G45="3/4",AM45&gt;0.5),AND(G45="2/4",AM45&gt;0.5)),(AM45*2*база!$I$4*Таблица14[[#This Row],[коэф]]),
IF(AND(G45="5/8",AM45&gt;0.5),(AM45*2*база!$J$6*Таблица14[[#This Row],[коэф]]),
IF(AND(G45="4/8",AM45&gt;0.5),(AM45*2*база!$J$5*Таблица14[[#This Row],[коэф]]),
IF(OR(AND(G45="3/8",AM45&gt;0.5),AND(G45="2/8",AM45&gt;0.5)),(AM45*2*база!$J$4*Таблица14[[#This Row],[коэф]]),
(AM45*0.5*база!$L$4*Таблица14[[#This Row],[коэф]]))))))))))))),
(IF(AND(G45="5/24",AM45&gt;0.5),(AM45*2*база!$M$6*Таблица14[[#This Row],[коэф]]),
IF(OR(AND(G45="4/24",AM45&gt;0.5),AND(G45="3/24",AM45&gt;0.5)),(AM45*2*база!$M$5*Таблица14[[#This Row],[коэф]]),
IF(AND(G45="5/16",AM45&gt;0.5),(AM45*2*база!$L$6*Таблица14[[#This Row],[коэф]]),
IF(OR(AND(G45="4/16",AM45&gt;0.5),AND(G45="3/16",AM45&gt;0.5)),(AM45*2*база!$L$5*Таблица14[[#This Row],[коэф]]),
IF(OR(AND(G45="4/4",AM45&gt;0.5),AND(G45="3/4",AM45&gt;2)),(AM45*2*база!$I$5*Таблица14[[#This Row],[коэф]]),
IF(AND(G45="5/8",AM45&gt;0.5),(AM45*2*база!$J$6*Таблица14[[#This Row],[коэф]]),
IF(AND(G45="4/8",AM45&gt;0.5),(AM45*2*база!$J$5*Таблица14[[#This Row],[коэф]]),
IF(OR(AND(G45="3/8",AM45&gt;0.5),AND(G45="2/8",AM45&gt;0.5)),(AM45*2*база!$J$4*Таблица14[[#This Row],[коэф]]),
(AM45*2*база!$L$5*Таблица14[[#This Row],[коэф]])))))))))))</f>
        <v>0</v>
      </c>
      <c r="AO45" s="122" t="str">
        <f>IFERROR(INDEX(база!$D$2:$D$120, MATCH(Таблица14[[#This Row],[Ф. И. О.]],база!$B$2:$B$100,0)),"")</f>
        <v/>
      </c>
    </row>
    <row r="46" spans="1:45" s="46" customFormat="1" ht="13.5" customHeight="1">
      <c r="A46" s="1021" t="str">
        <f t="shared" si="0"/>
        <v>январь</v>
      </c>
      <c r="B46" t="n" s="1021">
        <v>2024.0</v>
      </c>
      <c r="C46" t="s" s="1021">
        <v>392</v>
      </c>
      <c r="D46" t="s" s="1021">
        <v>364</v>
      </c>
      <c r="E46" t="s" s="1021">
        <v>46</v>
      </c>
      <c r="F46" t="s" s="1021">
        <v>353</v>
      </c>
      <c r="G46" t="s" s="1021">
        <v>6</v>
      </c>
      <c r="H46" s="1021"/>
      <c r="I46" s="1021"/>
      <c r="J46" s="1021"/>
      <c r="K46" s="1021"/>
      <c r="L46" s="1021"/>
      <c r="M46" t="n" s="1021">
        <v>4.0</v>
      </c>
      <c r="N46" s="215"/>
      <c r="O46" s="215"/>
      <c r="P46" s="215"/>
      <c r="Q46" s="215"/>
      <c r="R46" s="215"/>
      <c r="S46" s="215"/>
      <c r="T46" s="215"/>
      <c r="U46" s="215"/>
      <c r="V46" s="215"/>
      <c r="W46" s="215"/>
      <c r="X46" s="215"/>
      <c r="Y46" s="215"/>
      <c r="Z46" s="215"/>
      <c r="AA46" s="215"/>
      <c r="AB46" s="215"/>
      <c r="AC46" s="215"/>
      <c r="AD46" s="215"/>
      <c r="AE46" s="215"/>
      <c r="AF46" s="215"/>
      <c r="AG46" s="215"/>
      <c r="AH46" s="215"/>
      <c r="AI46" s="215"/>
      <c r="AJ46" s="215"/>
      <c r="AK46" s="215"/>
      <c r="AL46" s="215"/>
      <c r="AM46" s="121">
        <f t="shared" si="1"/>
        <v>0</v>
      </c>
      <c r="AN46" s="564">
        <f>IF(AO46&lt;=3,(IF(AND(G46="5/24",AM46&gt;0.5),(AM46*2*база!$M$6*Таблица14[[#This Row],[коэф]]),
IF(AND(G46="4/24",AM46&gt;0.5),(AM46*2*база!$M$5*Таблица14[[#This Row],[коэф]]),
IF(AND(G46="3/24",AM46&gt;0.5),(AM46*2*база!$M$4*Таблица14[[#This Row],[коэф]]),
IF(AND(G46="5/16",AM46&gt;0.5),(AM46*2*база!$L$6*Таблица14[[#This Row],[коэф]]),
IF(AND(G46="4/16",AM46&gt;0.5),(AM46*2*база!$L$5*Таблица14[[#This Row],[коэф]]),
IF(AND(G46="3/16",AM46&gt;0.5),(AM46*2*база!$L$4*Таблица14[[#This Row],[коэф]]),
IF(AND(G46="4/4",AM46&gt;0.5),(AM46*2*база!$I$5*Таблица14[[#This Row],[коэф]]),
IF(OR(AND(G46="3/4",AM46&gt;0.5),AND(G46="2/4",AM46&gt;0.5)),(AM46*2*база!$I$4*Таблица14[[#This Row],[коэф]]),
IF(AND(G46="5/8",AM46&gt;0.5),(AM46*2*база!$J$6*Таблица14[[#This Row],[коэф]]),
IF(AND(G46="4/8",AM46&gt;0.5),(AM46*2*база!$J$5*Таблица14[[#This Row],[коэф]]),
IF(OR(AND(G46="3/8",AM46&gt;0.5),AND(G46="2/8",AM46&gt;0.5)),(AM46*2*база!$J$4*Таблица14[[#This Row],[коэф]]),
(AM46*0.5*база!$L$4*Таблица14[[#This Row],[коэф]]))))))))))))),
(IF(AND(G46="5/24",AM46&gt;0.5),(AM46*2*база!$M$6*Таблица14[[#This Row],[коэф]]),
IF(OR(AND(G46="4/24",AM46&gt;0.5),AND(G46="3/24",AM46&gt;0.5)),(AM46*2*база!$M$5*Таблица14[[#This Row],[коэф]]),
IF(AND(G46="5/16",AM46&gt;0.5),(AM46*2*база!$L$6*Таблица14[[#This Row],[коэф]]),
IF(OR(AND(G46="4/16",AM46&gt;0.5),AND(G46="3/16",AM46&gt;0.5)),(AM46*2*база!$L$5*Таблица14[[#This Row],[коэф]]),
IF(OR(AND(G46="4/4",AM46&gt;0.5),AND(G46="3/4",AM46&gt;2)),(AM46*2*база!$I$5*Таблица14[[#This Row],[коэф]]),
IF(AND(G46="5/8",AM46&gt;0.5),(AM46*2*база!$J$6*Таблица14[[#This Row],[коэф]]),
IF(AND(G46="4/8",AM46&gt;0.5),(AM46*2*база!$J$5*Таблица14[[#This Row],[коэф]]),
IF(OR(AND(G46="3/8",AM46&gt;0.5),AND(G46="2/8",AM46&gt;0.5)),(AM46*2*база!$J$4*Таблица14[[#This Row],[коэф]]),
(AM46*2*база!$L$5*Таблица14[[#This Row],[коэф]])))))))))))</f>
        <v>0</v>
      </c>
      <c r="AO46" s="122" t="str">
        <f>IFERROR(INDEX(база!$D$2:$D$120, MATCH(Таблица14[[#This Row],[Ф. И. О.]],база!$B$2:$B$100,0)),"")</f>
        <v/>
      </c>
    </row>
    <row r="47" spans="1:45" s="46" customFormat="1" ht="13.5" customHeight="1">
      <c r="A47" s="1035" t="str">
        <f t="shared" si="0"/>
        <v>январь</v>
      </c>
      <c r="B47" t="n" s="1035">
        <v>2024.0</v>
      </c>
      <c r="C47" t="s" s="1035">
        <v>386</v>
      </c>
      <c r="D47" t="s" s="1035">
        <v>364</v>
      </c>
      <c r="E47" t="s" s="1035">
        <v>46</v>
      </c>
      <c r="F47" t="s" s="1035">
        <v>292</v>
      </c>
      <c r="G47" t="s" s="1035">
        <v>6</v>
      </c>
      <c r="H47" s="1035"/>
      <c r="I47" s="1035"/>
      <c r="J47" s="1035"/>
      <c r="K47" s="1035"/>
      <c r="L47" s="1035"/>
      <c r="M47" s="1035"/>
      <c r="N47" s="1035"/>
      <c r="O47" t="n" s="1035">
        <v>2.0</v>
      </c>
      <c r="P47" s="215"/>
      <c r="Q47" s="215"/>
      <c r="R47" s="215"/>
      <c r="S47" s="215"/>
      <c r="T47" s="215"/>
      <c r="U47" s="215"/>
      <c r="V47" s="215"/>
      <c r="W47" s="215"/>
      <c r="X47" s="215"/>
      <c r="Y47" s="215"/>
      <c r="Z47" s="215"/>
      <c r="AA47" s="215"/>
      <c r="AB47" s="215"/>
      <c r="AC47" s="215"/>
      <c r="AD47" s="215"/>
      <c r="AE47" s="215"/>
      <c r="AF47" s="215"/>
      <c r="AG47" s="215"/>
      <c r="AH47" s="215"/>
      <c r="AI47" s="215"/>
      <c r="AJ47" s="215"/>
      <c r="AK47" s="215"/>
      <c r="AL47" s="215"/>
      <c r="AM47" s="121">
        <f t="shared" si="1"/>
        <v>0</v>
      </c>
      <c r="AN47" s="564">
        <f>IF(AO47&lt;=3,(IF(AND(G47="5/24",AM47&gt;0.5),(AM47*2*база!$M$6*Таблица14[[#This Row],[коэф]]),
IF(AND(G47="4/24",AM47&gt;0.5),(AM47*2*база!$M$5*Таблица14[[#This Row],[коэф]]),
IF(AND(G47="3/24",AM47&gt;0.5),(AM47*2*база!$M$4*Таблица14[[#This Row],[коэф]]),
IF(AND(G47="5/16",AM47&gt;0.5),(AM47*2*база!$L$6*Таблица14[[#This Row],[коэф]]),
IF(AND(G47="4/16",AM47&gt;0.5),(AM47*2*база!$L$5*Таблица14[[#This Row],[коэф]]),
IF(AND(G47="3/16",AM47&gt;0.5),(AM47*2*база!$L$4*Таблица14[[#This Row],[коэф]]),
IF(AND(G47="4/4",AM47&gt;0.5),(AM47*2*база!$I$5*Таблица14[[#This Row],[коэф]]),
IF(OR(AND(G47="3/4",AM47&gt;0.5),AND(G47="2/4",AM47&gt;0.5)),(AM47*2*база!$I$4*Таблица14[[#This Row],[коэф]]),
IF(AND(G47="5/8",AM47&gt;0.5),(AM47*2*база!$J$6*Таблица14[[#This Row],[коэф]]),
IF(AND(G47="4/8",AM47&gt;0.5),(AM47*2*база!$J$5*Таблица14[[#This Row],[коэф]]),
IF(OR(AND(G47="3/8",AM47&gt;0.5),AND(G47="2/8",AM47&gt;0.5)),(AM47*2*база!$J$4*Таблица14[[#This Row],[коэф]]),
(AM47*0.5*база!$L$4*Таблица14[[#This Row],[коэф]]))))))))))))),
(IF(AND(G47="5/24",AM47&gt;0.5),(AM47*2*база!$M$6*Таблица14[[#This Row],[коэф]]),
IF(OR(AND(G47="4/24",AM47&gt;0.5),AND(G47="3/24",AM47&gt;0.5)),(AM47*2*база!$M$5*Таблица14[[#This Row],[коэф]]),
IF(AND(G47="5/16",AM47&gt;0.5),(AM47*2*база!$L$6*Таблица14[[#This Row],[коэф]]),
IF(OR(AND(G47="4/16",AM47&gt;0.5),AND(G47="3/16",AM47&gt;0.5)),(AM47*2*база!$L$5*Таблица14[[#This Row],[коэф]]),
IF(OR(AND(G47="4/4",AM47&gt;0.5),AND(G47="3/4",AM47&gt;2)),(AM47*2*база!$I$5*Таблица14[[#This Row],[коэф]]),
IF(AND(G47="5/8",AM47&gt;0.5),(AM47*2*база!$J$6*Таблица14[[#This Row],[коэф]]),
IF(AND(G47="4/8",AM47&gt;0.5),(AM47*2*база!$J$5*Таблица14[[#This Row],[коэф]]),
IF(OR(AND(G47="3/8",AM47&gt;0.5),AND(G47="2/8",AM47&gt;0.5)),(AM47*2*база!$J$4*Таблица14[[#This Row],[коэф]]),
(AM47*2*база!$L$5*Таблица14[[#This Row],[коэф]])))))))))))</f>
        <v>0</v>
      </c>
      <c r="AO47" s="122" t="str">
        <f>IFERROR(INDEX(база!$D$2:$D$120, MATCH(Таблица14[[#This Row],[Ф. И. О.]],база!$B$2:$B$100,0)),"")</f>
        <v/>
      </c>
    </row>
    <row r="48" spans="1:45" s="46" customFormat="1" ht="13.5" customHeight="1">
      <c r="A48" s="1038" t="str">
        <f t="shared" si="0"/>
        <v>январь</v>
      </c>
      <c r="B48" t="n" s="1038">
        <v>2024.0</v>
      </c>
      <c r="C48" t="s" s="1038">
        <v>386</v>
      </c>
      <c r="D48" t="s" s="1038">
        <v>364</v>
      </c>
      <c r="E48" t="s" s="1038">
        <v>46</v>
      </c>
      <c r="F48" t="s" s="1038">
        <v>329</v>
      </c>
      <c r="G48" t="s" s="1038">
        <v>4</v>
      </c>
      <c r="H48" s="1038"/>
      <c r="I48" s="1038"/>
      <c r="J48" s="1038"/>
      <c r="K48" s="1038"/>
      <c r="L48" s="1038"/>
      <c r="M48" s="1038"/>
      <c r="N48" s="1038"/>
      <c r="O48" t="n" s="1038">
        <v>2.5</v>
      </c>
      <c r="P48" s="215"/>
      <c r="Q48" s="215"/>
      <c r="R48" s="215"/>
      <c r="S48" s="215"/>
      <c r="T48" s="215"/>
      <c r="U48" s="215"/>
      <c r="V48" s="215"/>
      <c r="W48" s="215"/>
      <c r="X48" s="215"/>
      <c r="Y48" s="215"/>
      <c r="Z48" s="215"/>
      <c r="AA48" s="215"/>
      <c r="AB48" s="215"/>
      <c r="AC48" s="215"/>
      <c r="AD48" s="215"/>
      <c r="AE48" s="215"/>
      <c r="AF48" s="215"/>
      <c r="AG48" s="215"/>
      <c r="AH48" s="215"/>
      <c r="AI48" s="215"/>
      <c r="AJ48" s="215"/>
      <c r="AK48" s="215"/>
      <c r="AL48" s="215"/>
      <c r="AM48" s="121">
        <f t="shared" si="1"/>
        <v>0</v>
      </c>
      <c r="AN48" s="564">
        <f>IF(AO48&lt;=3,(IF(AND(G48="5/24",AM48&gt;0.5),(AM48*2*база!$M$6*Таблица14[[#This Row],[коэф]]),
IF(AND(G48="4/24",AM48&gt;0.5),(AM48*2*база!$M$5*Таблица14[[#This Row],[коэф]]),
IF(AND(G48="3/24",AM48&gt;0.5),(AM48*2*база!$M$4*Таблица14[[#This Row],[коэф]]),
IF(AND(G48="5/16",AM48&gt;0.5),(AM48*2*база!$L$6*Таблица14[[#This Row],[коэф]]),
IF(AND(G48="4/16",AM48&gt;0.5),(AM48*2*база!$L$5*Таблица14[[#This Row],[коэф]]),
IF(AND(G48="3/16",AM48&gt;0.5),(AM48*2*база!$L$4*Таблица14[[#This Row],[коэф]]),
IF(AND(G48="4/4",AM48&gt;0.5),(AM48*2*база!$I$5*Таблица14[[#This Row],[коэф]]),
IF(OR(AND(G48="3/4",AM48&gt;0.5),AND(G48="2/4",AM48&gt;0.5)),(AM48*2*база!$I$4*Таблица14[[#This Row],[коэф]]),
IF(AND(G48="5/8",AM48&gt;0.5),(AM48*2*база!$J$6*Таблица14[[#This Row],[коэф]]),
IF(AND(G48="4/8",AM48&gt;0.5),(AM48*2*база!$J$5*Таблица14[[#This Row],[коэф]]),
IF(OR(AND(G48="3/8",AM48&gt;0.5),AND(G48="2/8",AM48&gt;0.5)),(AM48*2*база!$J$4*Таблица14[[#This Row],[коэф]]),
(AM48*0.5*база!$L$4*Таблица14[[#This Row],[коэф]]))))))))))))),
(IF(AND(G48="5/24",AM48&gt;0.5),(AM48*2*база!$M$6*Таблица14[[#This Row],[коэф]]),
IF(OR(AND(G48="4/24",AM48&gt;0.5),AND(G48="3/24",AM48&gt;0.5)),(AM48*2*база!$M$5*Таблица14[[#This Row],[коэф]]),
IF(AND(G48="5/16",AM48&gt;0.5),(AM48*2*база!$L$6*Таблица14[[#This Row],[коэф]]),
IF(OR(AND(G48="4/16",AM48&gt;0.5),AND(G48="3/16",AM48&gt;0.5)),(AM48*2*база!$L$5*Таблица14[[#This Row],[коэф]]),
IF(OR(AND(G48="4/4",AM48&gt;0.5),AND(G48="3/4",AM48&gt;2)),(AM48*2*база!$I$5*Таблица14[[#This Row],[коэф]]),
IF(AND(G48="5/8",AM48&gt;0.5),(AM48*2*база!$J$6*Таблица14[[#This Row],[коэф]]),
IF(AND(G48="4/8",AM48&gt;0.5),(AM48*2*база!$J$5*Таблица14[[#This Row],[коэф]]),
IF(OR(AND(G48="3/8",AM48&gt;0.5),AND(G48="2/8",AM48&gt;0.5)),(AM48*2*база!$J$4*Таблица14[[#This Row],[коэф]]),
(AM48*2*база!$L$5*Таблица14[[#This Row],[коэф]])))))))))))</f>
        <v>0</v>
      </c>
      <c r="AO48" s="122" t="str">
        <f>IFERROR(INDEX(база!$D$2:$D$120, MATCH(Таблица14[[#This Row],[Ф. И. О.]],база!$B$2:$B$100,0)),"")</f>
        <v/>
      </c>
    </row>
    <row r="49" spans="1:41" s="46" customFormat="1" ht="13.5" customHeight="1">
      <c r="A49" s="1041" t="str">
        <f t="shared" si="0"/>
        <v>январь</v>
      </c>
      <c r="B49" t="n" s="1041">
        <v>2024.0</v>
      </c>
      <c r="C49" t="s" s="1041">
        <v>388</v>
      </c>
      <c r="D49" t="s" s="1041">
        <v>366</v>
      </c>
      <c r="E49" t="s" s="1041">
        <v>46</v>
      </c>
      <c r="F49" t="s" s="1041">
        <v>361</v>
      </c>
      <c r="G49" t="s" s="1041">
        <v>4</v>
      </c>
      <c r="H49" s="1041"/>
      <c r="I49" s="1041"/>
      <c r="J49" s="1041"/>
      <c r="K49" s="1041"/>
      <c r="L49" s="1041"/>
      <c r="M49" s="1041"/>
      <c r="N49" s="1041"/>
      <c r="O49" t="n" s="1041">
        <v>4.0</v>
      </c>
      <c r="P49" s="215"/>
      <c r="Q49" s="215"/>
      <c r="R49" s="215"/>
      <c r="S49" s="215"/>
      <c r="T49" s="215"/>
      <c r="U49" s="215"/>
      <c r="V49" s="215"/>
      <c r="W49" s="215"/>
      <c r="X49" s="215"/>
      <c r="Y49" s="215"/>
      <c r="Z49" s="215"/>
      <c r="AA49" s="215"/>
      <c r="AB49" s="215"/>
      <c r="AC49" s="215"/>
      <c r="AD49" s="215"/>
      <c r="AE49" s="215"/>
      <c r="AF49" s="215"/>
      <c r="AG49" s="215"/>
      <c r="AH49" s="215"/>
      <c r="AI49" s="215"/>
      <c r="AJ49" s="215"/>
      <c r="AK49" s="215"/>
      <c r="AL49" s="215"/>
      <c r="AM49" s="121">
        <f t="shared" si="1"/>
        <v>0</v>
      </c>
      <c r="AN49" s="564">
        <f>IF(AO49&lt;=3,(IF(AND(G49="5/24",AM49&gt;0.5),(AM49*2*база!$M$6*Таблица14[[#This Row],[коэф]]),
IF(AND(G49="4/24",AM49&gt;0.5),(AM49*2*база!$M$5*Таблица14[[#This Row],[коэф]]),
IF(AND(G49="3/24",AM49&gt;0.5),(AM49*2*база!$M$4*Таблица14[[#This Row],[коэф]]),
IF(AND(G49="5/16",AM49&gt;0.5),(AM49*2*база!$L$6*Таблица14[[#This Row],[коэф]]),
IF(AND(G49="4/16",AM49&gt;0.5),(AM49*2*база!$L$5*Таблица14[[#This Row],[коэф]]),
IF(AND(G49="3/16",AM49&gt;0.5),(AM49*2*база!$L$4*Таблица14[[#This Row],[коэф]]),
IF(AND(G49="4/4",AM49&gt;0.5),(AM49*2*база!$I$5*Таблица14[[#This Row],[коэф]]),
IF(OR(AND(G49="3/4",AM49&gt;0.5),AND(G49="2/4",AM49&gt;0.5)),(AM49*2*база!$I$4*Таблица14[[#This Row],[коэф]]),
IF(AND(G49="5/8",AM49&gt;0.5),(AM49*2*база!$J$6*Таблица14[[#This Row],[коэф]]),
IF(AND(G49="4/8",AM49&gt;0.5),(AM49*2*база!$J$5*Таблица14[[#This Row],[коэф]]),
IF(OR(AND(G49="3/8",AM49&gt;0.5),AND(G49="2/8",AM49&gt;0.5)),(AM49*2*база!$J$4*Таблица14[[#This Row],[коэф]]),
(AM49*0.5*база!$L$4*Таблица14[[#This Row],[коэф]]))))))))))))),
(IF(AND(G49="5/24",AM49&gt;0.5),(AM49*2*база!$M$6*Таблица14[[#This Row],[коэф]]),
IF(OR(AND(G49="4/24",AM49&gt;0.5),AND(G49="3/24",AM49&gt;0.5)),(AM49*2*база!$M$5*Таблица14[[#This Row],[коэф]]),
IF(AND(G49="5/16",AM49&gt;0.5),(AM49*2*база!$L$6*Таблица14[[#This Row],[коэф]]),
IF(OR(AND(G49="4/16",AM49&gt;0.5),AND(G49="3/16",AM49&gt;0.5)),(AM49*2*база!$L$5*Таблица14[[#This Row],[коэф]]),
IF(OR(AND(G49="4/4",AM49&gt;0.5),AND(G49="3/4",AM49&gt;2)),(AM49*2*база!$I$5*Таблица14[[#This Row],[коэф]]),
IF(AND(G49="5/8",AM49&gt;0.5),(AM49*2*база!$J$6*Таблица14[[#This Row],[коэф]]),
IF(AND(G49="4/8",AM49&gt;0.5),(AM49*2*база!$J$5*Таблица14[[#This Row],[коэф]]),
IF(OR(AND(G49="3/8",AM49&gt;0.5),AND(G49="2/8",AM49&gt;0.5)),(AM49*2*база!$J$4*Таблица14[[#This Row],[коэф]]),
(AM49*2*база!$L$5*Таблица14[[#This Row],[коэф]])))))))))))</f>
        <v>0</v>
      </c>
      <c r="AO49" s="122" t="str">
        <f>IFERROR(INDEX(база!$D$2:$D$120, MATCH(Таблица14[[#This Row],[Ф. И. О.]],база!$B$2:$B$100,0)),"")</f>
        <v/>
      </c>
    </row>
    <row r="50" spans="1:41" s="46" customFormat="1" ht="13.5" customHeight="1">
      <c r="A50" s="1044" t="str">
        <f t="shared" si="0"/>
        <v>январь</v>
      </c>
      <c r="B50" t="n" s="1044">
        <v>2024.0</v>
      </c>
      <c r="C50" t="s" s="1044">
        <v>386</v>
      </c>
      <c r="D50" t="s" s="1044">
        <v>365</v>
      </c>
      <c r="E50" t="s" s="1044">
        <v>389</v>
      </c>
      <c r="F50" t="s" s="1044">
        <v>271</v>
      </c>
      <c r="G50" t="s" s="1044">
        <v>5</v>
      </c>
      <c r="H50" s="1044"/>
      <c r="I50" s="1044"/>
      <c r="J50" s="1044"/>
      <c r="K50" s="1044"/>
      <c r="L50" s="1044"/>
      <c r="M50" s="1044"/>
      <c r="N50" s="1044"/>
      <c r="O50" t="n" s="1044">
        <v>4.0</v>
      </c>
      <c r="P50" s="215"/>
      <c r="Q50" s="215"/>
      <c r="R50" s="215"/>
      <c r="S50" s="215"/>
      <c r="T50" s="215"/>
      <c r="U50" s="215"/>
      <c r="V50" s="215"/>
      <c r="W50" s="215"/>
      <c r="X50" s="215"/>
      <c r="Y50" s="215"/>
      <c r="Z50" s="215"/>
      <c r="AA50" s="215"/>
      <c r="AB50" s="215"/>
      <c r="AC50" s="215"/>
      <c r="AD50" s="215"/>
      <c r="AE50" s="215"/>
      <c r="AF50" s="215"/>
      <c r="AG50" s="215"/>
      <c r="AH50" s="215"/>
      <c r="AI50" s="215"/>
      <c r="AJ50" s="215"/>
      <c r="AK50" s="215"/>
      <c r="AL50" s="215"/>
      <c r="AM50" s="121">
        <f t="shared" si="1"/>
        <v>0</v>
      </c>
      <c r="AN50" s="564">
        <f>IF(AO50&lt;=3,(IF(AND(G50="5/24",AM50&gt;0.5),(AM50*2*база!$M$6*Таблица14[[#This Row],[коэф]]),
IF(AND(G50="4/24",AM50&gt;0.5),(AM50*2*база!$M$5*Таблица14[[#This Row],[коэф]]),
IF(AND(G50="3/24",AM50&gt;0.5),(AM50*2*база!$M$4*Таблица14[[#This Row],[коэф]]),
IF(AND(G50="5/16",AM50&gt;0.5),(AM50*2*база!$L$6*Таблица14[[#This Row],[коэф]]),
IF(AND(G50="4/16",AM50&gt;0.5),(AM50*2*база!$L$5*Таблица14[[#This Row],[коэф]]),
IF(AND(G50="3/16",AM50&gt;0.5),(AM50*2*база!$L$4*Таблица14[[#This Row],[коэф]]),
IF(AND(G50="4/4",AM50&gt;0.5),(AM50*2*база!$I$5*Таблица14[[#This Row],[коэф]]),
IF(OR(AND(G50="3/4",AM50&gt;0.5),AND(G50="2/4",AM50&gt;0.5)),(AM50*2*база!$I$4*Таблица14[[#This Row],[коэф]]),
IF(AND(G50="5/8",AM50&gt;0.5),(AM50*2*база!$J$6*Таблица14[[#This Row],[коэф]]),
IF(AND(G50="4/8",AM50&gt;0.5),(AM50*2*база!$J$5*Таблица14[[#This Row],[коэф]]),
IF(OR(AND(G50="3/8",AM50&gt;0.5),AND(G50="2/8",AM50&gt;0.5)),(AM50*2*база!$J$4*Таблица14[[#This Row],[коэф]]),
(AM50*0.5*база!$L$4*Таблица14[[#This Row],[коэф]]))))))))))))),
(IF(AND(G50="5/24",AM50&gt;0.5),(AM50*2*база!$M$6*Таблица14[[#This Row],[коэф]]),
IF(OR(AND(G50="4/24",AM50&gt;0.5),AND(G50="3/24",AM50&gt;0.5)),(AM50*2*база!$M$5*Таблица14[[#This Row],[коэф]]),
IF(AND(G50="5/16",AM50&gt;0.5),(AM50*2*база!$L$6*Таблица14[[#This Row],[коэф]]),
IF(OR(AND(G50="4/16",AM50&gt;0.5),AND(G50="3/16",AM50&gt;0.5)),(AM50*2*база!$L$5*Таблица14[[#This Row],[коэф]]),
IF(OR(AND(G50="4/4",AM50&gt;0.5),AND(G50="3/4",AM50&gt;2)),(AM50*2*база!$I$5*Таблица14[[#This Row],[коэф]]),
IF(AND(G50="5/8",AM50&gt;0.5),(AM50*2*база!$J$6*Таблица14[[#This Row],[коэф]]),
IF(AND(G50="4/8",AM50&gt;0.5),(AM50*2*база!$J$5*Таблица14[[#This Row],[коэф]]),
IF(OR(AND(G50="3/8",AM50&gt;0.5),AND(G50="2/8",AM50&gt;0.5)),(AM50*2*база!$J$4*Таблица14[[#This Row],[коэф]]),
(AM50*2*база!$L$5*Таблица14[[#This Row],[коэф]])))))))))))</f>
        <v>0</v>
      </c>
      <c r="AO50" s="122" t="str">
        <f>IFERROR(INDEX(база!$D$2:$D$120, MATCH(Таблица14[[#This Row],[Ф. И. О.]],база!$B$2:$B$100,0)),"")</f>
        <v/>
      </c>
    </row>
    <row r="51" spans="1:41" s="46" customFormat="1" ht="13.5" customHeight="1">
      <c r="A51" s="1046" t="str">
        <f t="shared" si="0"/>
        <v>январь</v>
      </c>
      <c r="B51" t="n" s="1046">
        <v>2024.0</v>
      </c>
      <c r="C51" t="s" s="1046">
        <v>392</v>
      </c>
      <c r="D51" t="s" s="1046">
        <v>364</v>
      </c>
      <c r="E51" t="s" s="1046">
        <v>46</v>
      </c>
      <c r="F51" t="s" s="1046">
        <v>322</v>
      </c>
      <c r="G51" t="s" s="1046">
        <v>6</v>
      </c>
      <c r="H51" s="1046"/>
      <c r="I51" s="1046"/>
      <c r="J51" s="1046"/>
      <c r="K51" s="1046"/>
      <c r="L51" s="1046"/>
      <c r="M51" s="1046"/>
      <c r="N51" s="1046"/>
      <c r="O51" t="n" s="1046">
        <v>1.5</v>
      </c>
      <c r="P51" s="215"/>
      <c r="Q51" s="215"/>
      <c r="R51" s="215"/>
      <c r="S51" s="215"/>
      <c r="T51" s="215"/>
      <c r="U51" s="215"/>
      <c r="V51" s="215"/>
      <c r="W51" s="215"/>
      <c r="X51" s="215"/>
      <c r="Y51" s="215"/>
      <c r="Z51" s="215"/>
      <c r="AA51" s="215"/>
      <c r="AB51" s="215"/>
      <c r="AC51" s="215"/>
      <c r="AD51" s="215"/>
      <c r="AE51" s="215"/>
      <c r="AF51" s="215"/>
      <c r="AG51" s="215"/>
      <c r="AH51" s="215"/>
      <c r="AI51" s="215"/>
      <c r="AJ51" s="215"/>
      <c r="AK51" s="215"/>
      <c r="AL51" s="215"/>
      <c r="AM51" s="121">
        <f t="shared" si="1"/>
        <v>0</v>
      </c>
      <c r="AN51" s="564">
        <f>IF(AO51&lt;=3,(IF(AND(G51="5/24",AM51&gt;0.5),(AM51*2*база!$M$6*Таблица14[[#This Row],[коэф]]),
IF(AND(G51="4/24",AM51&gt;0.5),(AM51*2*база!$M$5*Таблица14[[#This Row],[коэф]]),
IF(AND(G51="3/24",AM51&gt;0.5),(AM51*2*база!$M$4*Таблица14[[#This Row],[коэф]]),
IF(AND(G51="5/16",AM51&gt;0.5),(AM51*2*база!$L$6*Таблица14[[#This Row],[коэф]]),
IF(AND(G51="4/16",AM51&gt;0.5),(AM51*2*база!$L$5*Таблица14[[#This Row],[коэф]]),
IF(AND(G51="3/16",AM51&gt;0.5),(AM51*2*база!$L$4*Таблица14[[#This Row],[коэф]]),
IF(AND(G51="4/4",AM51&gt;0.5),(AM51*2*база!$I$5*Таблица14[[#This Row],[коэф]]),
IF(OR(AND(G51="3/4",AM51&gt;0.5),AND(G51="2/4",AM51&gt;0.5)),(AM51*2*база!$I$4*Таблица14[[#This Row],[коэф]]),
IF(AND(G51="5/8",AM51&gt;0.5),(AM51*2*база!$J$6*Таблица14[[#This Row],[коэф]]),
IF(AND(G51="4/8",AM51&gt;0.5),(AM51*2*база!$J$5*Таблица14[[#This Row],[коэф]]),
IF(OR(AND(G51="3/8",AM51&gt;0.5),AND(G51="2/8",AM51&gt;0.5)),(AM51*2*база!$J$4*Таблица14[[#This Row],[коэф]]),
(AM51*0.5*база!$L$4*Таблица14[[#This Row],[коэф]]))))))))))))),
(IF(AND(G51="5/24",AM51&gt;0.5),(AM51*2*база!$M$6*Таблица14[[#This Row],[коэф]]),
IF(OR(AND(G51="4/24",AM51&gt;0.5),AND(G51="3/24",AM51&gt;0.5)),(AM51*2*база!$M$5*Таблица14[[#This Row],[коэф]]),
IF(AND(G51="5/16",AM51&gt;0.5),(AM51*2*база!$L$6*Таблица14[[#This Row],[коэф]]),
IF(OR(AND(G51="4/16",AM51&gt;0.5),AND(G51="3/16",AM51&gt;0.5)),(AM51*2*база!$L$5*Таблица14[[#This Row],[коэф]]),
IF(OR(AND(G51="4/4",AM51&gt;0.5),AND(G51="3/4",AM51&gt;2)),(AM51*2*база!$I$5*Таблица14[[#This Row],[коэф]]),
IF(AND(G51="5/8",AM51&gt;0.5),(AM51*2*база!$J$6*Таблица14[[#This Row],[коэф]]),
IF(AND(G51="4/8",AM51&gt;0.5),(AM51*2*база!$J$5*Таблица14[[#This Row],[коэф]]),
IF(OR(AND(G51="3/8",AM51&gt;0.5),AND(G51="2/8",AM51&gt;0.5)),(AM51*2*база!$J$4*Таблица14[[#This Row],[коэф]]),
(AM51*2*база!$L$5*Таблица14[[#This Row],[коэф]])))))))))))</f>
        <v>0</v>
      </c>
      <c r="AO51" s="122" t="str">
        <f>IFERROR(INDEX(база!$D$2:$D$120, MATCH(Таблица14[[#This Row],[Ф. И. О.]],база!$B$2:$B$100,0)),"")</f>
        <v/>
      </c>
    </row>
    <row r="52" spans="1:41" s="46" customFormat="1" ht="13.5" customHeight="1">
      <c r="A52" s="1047" t="str">
        <f t="shared" si="0"/>
        <v>январь</v>
      </c>
      <c r="B52" t="n" s="1047">
        <v>2024.0</v>
      </c>
      <c r="C52" t="s" s="1047">
        <v>386</v>
      </c>
      <c r="D52" t="s" s="1047">
        <v>364</v>
      </c>
      <c r="E52" t="s" s="1047">
        <v>46</v>
      </c>
      <c r="F52" t="s" s="1047">
        <v>303</v>
      </c>
      <c r="G52" t="s" s="1047">
        <v>6</v>
      </c>
      <c r="H52" s="1047"/>
      <c r="I52" s="1047"/>
      <c r="J52" s="1047"/>
      <c r="K52" s="1047"/>
      <c r="L52" s="1047"/>
      <c r="M52" s="1047"/>
      <c r="N52" s="1047"/>
      <c r="O52" t="n" s="1047">
        <v>4.0</v>
      </c>
      <c r="P52" s="215"/>
      <c r="Q52" s="215"/>
      <c r="R52" s="215"/>
      <c r="S52" s="215"/>
      <c r="T52" t="n" s="46">
        <v>2.5</v>
      </c>
      <c r="U52" s="215"/>
      <c r="V52" s="215"/>
      <c r="W52" s="215"/>
      <c r="X52" s="215"/>
      <c r="Y52" s="215"/>
      <c r="Z52" s="215"/>
      <c r="AA52" s="215"/>
      <c r="AB52" s="215"/>
      <c r="AC52" s="215"/>
      <c r="AD52" s="215"/>
      <c r="AE52" s="215"/>
      <c r="AF52" s="215"/>
      <c r="AG52" s="215"/>
      <c r="AH52" s="215"/>
      <c r="AI52" s="215"/>
      <c r="AJ52" s="215"/>
      <c r="AK52" s="215"/>
      <c r="AL52" s="215"/>
      <c r="AM52" s="121">
        <f t="shared" si="1"/>
        <v>0</v>
      </c>
      <c r="AN52" s="564">
        <f>IF(AO52&lt;=3,(IF(AND(G52="5/24",AM52&gt;0.5),(AM52*2*база!$M$6*Таблица14[[#This Row],[коэф]]),
IF(AND(G52="4/24",AM52&gt;0.5),(AM52*2*база!$M$5*Таблица14[[#This Row],[коэф]]),
IF(AND(G52="3/24",AM52&gt;0.5),(AM52*2*база!$M$4*Таблица14[[#This Row],[коэф]]),
IF(AND(G52="5/16",AM52&gt;0.5),(AM52*2*база!$L$6*Таблица14[[#This Row],[коэф]]),
IF(AND(G52="4/16",AM52&gt;0.5),(AM52*2*база!$L$5*Таблица14[[#This Row],[коэф]]),
IF(AND(G52="3/16",AM52&gt;0.5),(AM52*2*база!$L$4*Таблица14[[#This Row],[коэф]]),
IF(AND(G52="4/4",AM52&gt;0.5),(AM52*2*база!$I$5*Таблица14[[#This Row],[коэф]]),
IF(OR(AND(G52="3/4",AM52&gt;0.5),AND(G52="2/4",AM52&gt;0.5)),(AM52*2*база!$I$4*Таблица14[[#This Row],[коэф]]),
IF(AND(G52="5/8",AM52&gt;0.5),(AM52*2*база!$J$6*Таблица14[[#This Row],[коэф]]),
IF(AND(G52="4/8",AM52&gt;0.5),(AM52*2*база!$J$5*Таблица14[[#This Row],[коэф]]),
IF(OR(AND(G52="3/8",AM52&gt;0.5),AND(G52="2/8",AM52&gt;0.5)),(AM52*2*база!$J$4*Таблица14[[#This Row],[коэф]]),
(AM52*0.5*база!$L$4*Таблица14[[#This Row],[коэф]]))))))))))))),
(IF(AND(G52="5/24",AM52&gt;0.5),(AM52*2*база!$M$6*Таблица14[[#This Row],[коэф]]),
IF(OR(AND(G52="4/24",AM52&gt;0.5),AND(G52="3/24",AM52&gt;0.5)),(AM52*2*база!$M$5*Таблица14[[#This Row],[коэф]]),
IF(AND(G52="5/16",AM52&gt;0.5),(AM52*2*база!$L$6*Таблица14[[#This Row],[коэф]]),
IF(OR(AND(G52="4/16",AM52&gt;0.5),AND(G52="3/16",AM52&gt;0.5)),(AM52*2*база!$L$5*Таблица14[[#This Row],[коэф]]),
IF(OR(AND(G52="4/4",AM52&gt;0.5),AND(G52="3/4",AM52&gt;2)),(AM52*2*база!$I$5*Таблица14[[#This Row],[коэф]]),
IF(AND(G52="5/8",AM52&gt;0.5),(AM52*2*база!$J$6*Таблица14[[#This Row],[коэф]]),
IF(AND(G52="4/8",AM52&gt;0.5),(AM52*2*база!$J$5*Таблица14[[#This Row],[коэф]]),
IF(OR(AND(G52="3/8",AM52&gt;0.5),AND(G52="2/8",AM52&gt;0.5)),(AM52*2*база!$J$4*Таблица14[[#This Row],[коэф]]),
(AM52*2*база!$L$5*Таблица14[[#This Row],[коэф]])))))))))))</f>
        <v>0</v>
      </c>
      <c r="AO52" s="122" t="str">
        <f>IFERROR(INDEX(база!$D$2:$D$120, MATCH(Таблица14[[#This Row],[Ф. И. О.]],база!$B$2:$B$100,0)),"")</f>
        <v/>
      </c>
    </row>
    <row r="53" spans="1:41" s="46" customFormat="1" ht="13.5" customHeight="1">
      <c r="A53" s="1049" t="str">
        <f t="shared" si="0"/>
        <v>январь</v>
      </c>
      <c r="B53" t="n" s="1049">
        <v>2024.0</v>
      </c>
      <c r="C53" t="s" s="1049">
        <v>388</v>
      </c>
      <c r="D53" t="s" s="1049">
        <v>364</v>
      </c>
      <c r="E53" t="s" s="1049">
        <v>46</v>
      </c>
      <c r="F53" t="s" s="1049">
        <v>353</v>
      </c>
      <c r="G53" t="s" s="1049">
        <v>4</v>
      </c>
      <c r="H53" s="1049"/>
      <c r="I53" s="1049"/>
      <c r="J53" s="1049"/>
      <c r="K53" s="1049"/>
      <c r="L53" s="1049"/>
      <c r="M53" s="1049"/>
      <c r="N53" t="n" s="1049">
        <v>3.0</v>
      </c>
      <c r="O53" s="215"/>
      <c r="P53" s="215"/>
      <c r="Q53" s="215"/>
      <c r="R53" s="215"/>
      <c r="S53" s="215"/>
      <c r="T53" s="215"/>
      <c r="U53" s="215"/>
      <c r="V53" s="215"/>
      <c r="W53" s="215"/>
      <c r="X53" s="215"/>
      <c r="Y53" s="215"/>
      <c r="Z53" s="215"/>
      <c r="AA53" s="215"/>
      <c r="AB53" s="215"/>
      <c r="AC53" s="215"/>
      <c r="AD53" s="215"/>
      <c r="AE53" s="215"/>
      <c r="AF53" s="215"/>
      <c r="AG53" s="215"/>
      <c r="AH53" s="215"/>
      <c r="AI53" s="215"/>
      <c r="AJ53" s="215"/>
      <c r="AK53" s="215"/>
      <c r="AL53" s="215"/>
      <c r="AM53" s="121">
        <f t="shared" si="1"/>
        <v>0</v>
      </c>
      <c r="AN53" s="564">
        <f>IF(AO53&lt;=3,(IF(AND(G53="5/24",AM53&gt;0.5),(AM53*2*база!$M$6*Таблица14[[#This Row],[коэф]]),
IF(AND(G53="4/24",AM53&gt;0.5),(AM53*2*база!$M$5*Таблица14[[#This Row],[коэф]]),
IF(AND(G53="3/24",AM53&gt;0.5),(AM53*2*база!$M$4*Таблица14[[#This Row],[коэф]]),
IF(AND(G53="5/16",AM53&gt;0.5),(AM53*2*база!$L$6*Таблица14[[#This Row],[коэф]]),
IF(AND(G53="4/16",AM53&gt;0.5),(AM53*2*база!$L$5*Таблица14[[#This Row],[коэф]]),
IF(AND(G53="3/16",AM53&gt;0.5),(AM53*2*база!$L$4*Таблица14[[#This Row],[коэф]]),
IF(AND(G53="4/4",AM53&gt;0.5),(AM53*2*база!$I$5*Таблица14[[#This Row],[коэф]]),
IF(OR(AND(G53="3/4",AM53&gt;0.5),AND(G53="2/4",AM53&gt;0.5)),(AM53*2*база!$I$4*Таблица14[[#This Row],[коэф]]),
IF(AND(G53="5/8",AM53&gt;0.5),(AM53*2*база!$J$6*Таблица14[[#This Row],[коэф]]),
IF(AND(G53="4/8",AM53&gt;0.5),(AM53*2*база!$J$5*Таблица14[[#This Row],[коэф]]),
IF(OR(AND(G53="3/8",AM53&gt;0.5),AND(G53="2/8",AM53&gt;0.5)),(AM53*2*база!$J$4*Таблица14[[#This Row],[коэф]]),
(AM53*0.5*база!$L$4*Таблица14[[#This Row],[коэф]]))))))))))))),
(IF(AND(G53="5/24",AM53&gt;0.5),(AM53*2*база!$M$6*Таблица14[[#This Row],[коэф]]),
IF(OR(AND(G53="4/24",AM53&gt;0.5),AND(G53="3/24",AM53&gt;0.5)),(AM53*2*база!$M$5*Таблица14[[#This Row],[коэф]]),
IF(AND(G53="5/16",AM53&gt;0.5),(AM53*2*база!$L$6*Таблица14[[#This Row],[коэф]]),
IF(OR(AND(G53="4/16",AM53&gt;0.5),AND(G53="3/16",AM53&gt;0.5)),(AM53*2*база!$L$5*Таблица14[[#This Row],[коэф]]),
IF(OR(AND(G53="4/4",AM53&gt;0.5),AND(G53="3/4",AM53&gt;2)),(AM53*2*база!$I$5*Таблица14[[#This Row],[коэф]]),
IF(AND(G53="5/8",AM53&gt;0.5),(AM53*2*база!$J$6*Таблица14[[#This Row],[коэф]]),
IF(AND(G53="4/8",AM53&gt;0.5),(AM53*2*база!$J$5*Таблица14[[#This Row],[коэф]]),
IF(OR(AND(G53="3/8",AM53&gt;0.5),AND(G53="2/8",AM53&gt;0.5)),(AM53*2*база!$J$4*Таблица14[[#This Row],[коэф]]),
(AM53*2*база!$L$5*Таблица14[[#This Row],[коэф]])))))))))))</f>
        <v>0</v>
      </c>
      <c r="AO53" s="122" t="str">
        <f>IFERROR(INDEX(база!$D$2:$D$120, MATCH(Таблица14[[#This Row],[Ф. И. О.]],база!$B$2:$B$100,0)),"")</f>
        <v/>
      </c>
    </row>
    <row r="54" spans="1:41" s="46" customFormat="1" ht="13.5" customHeight="1">
      <c r="A54" s="1050" t="str">
        <f t="shared" si="0"/>
        <v>январь</v>
      </c>
      <c r="B54" t="n" s="1050">
        <v>2024.0</v>
      </c>
      <c r="C54" t="s" s="1050">
        <v>388</v>
      </c>
      <c r="D54" t="s" s="1050">
        <v>364</v>
      </c>
      <c r="E54" t="s" s="1050">
        <v>46</v>
      </c>
      <c r="F54" t="s" s="1050">
        <v>353</v>
      </c>
      <c r="G54" t="s" s="1050">
        <v>6</v>
      </c>
      <c r="H54" s="1050"/>
      <c r="I54" s="1050"/>
      <c r="J54" s="1050"/>
      <c r="K54" s="1050"/>
      <c r="L54" s="1050"/>
      <c r="M54" s="1050"/>
      <c r="N54" s="1050"/>
      <c r="O54" t="n" s="1050">
        <v>4.0</v>
      </c>
      <c r="P54" s="215"/>
      <c r="Q54" s="215"/>
      <c r="R54" s="215"/>
      <c r="S54" s="215"/>
      <c r="T54" s="215"/>
      <c r="U54" s="215"/>
      <c r="V54" s="215"/>
      <c r="W54" s="215"/>
      <c r="X54" s="215"/>
      <c r="Y54" s="215"/>
      <c r="Z54" s="215"/>
      <c r="AA54" s="215"/>
      <c r="AB54" s="215"/>
      <c r="AC54" s="215"/>
      <c r="AD54" s="215"/>
      <c r="AE54" s="215"/>
      <c r="AF54" s="215"/>
      <c r="AG54" s="215"/>
      <c r="AH54" s="215"/>
      <c r="AI54" s="215"/>
      <c r="AJ54" s="215"/>
      <c r="AK54" s="215"/>
      <c r="AL54" s="215"/>
      <c r="AM54" s="121">
        <f t="shared" si="1"/>
        <v>0</v>
      </c>
      <c r="AN54" s="564">
        <f>IF(AO54&lt;=3,(IF(AND(G54="5/24",AM54&gt;0.5),(AM54*2*база!$M$6*Таблица14[[#This Row],[коэф]]),
IF(AND(G54="4/24",AM54&gt;0.5),(AM54*2*база!$M$5*Таблица14[[#This Row],[коэф]]),
IF(AND(G54="3/24",AM54&gt;0.5),(AM54*2*база!$M$4*Таблица14[[#This Row],[коэф]]),
IF(AND(G54="5/16",AM54&gt;0.5),(AM54*2*база!$L$6*Таблица14[[#This Row],[коэф]]),
IF(AND(G54="4/16",AM54&gt;0.5),(AM54*2*база!$L$5*Таблица14[[#This Row],[коэф]]),
IF(AND(G54="3/16",AM54&gt;0.5),(AM54*2*база!$L$4*Таблица14[[#This Row],[коэф]]),
IF(AND(G54="4/4",AM54&gt;0.5),(AM54*2*база!$I$5*Таблица14[[#This Row],[коэф]]),
IF(OR(AND(G54="3/4",AM54&gt;0.5),AND(G54="2/4",AM54&gt;0.5)),(AM54*2*база!$I$4*Таблица14[[#This Row],[коэф]]),
IF(AND(G54="5/8",AM54&gt;0.5),(AM54*2*база!$J$6*Таблица14[[#This Row],[коэф]]),
IF(AND(G54="4/8",AM54&gt;0.5),(AM54*2*база!$J$5*Таблица14[[#This Row],[коэф]]),
IF(OR(AND(G54="3/8",AM54&gt;0.5),AND(G54="2/8",AM54&gt;0.5)),(AM54*2*база!$J$4*Таблица14[[#This Row],[коэф]]),
(AM54*0.5*база!$L$4*Таблица14[[#This Row],[коэф]]))))))))))))),
(IF(AND(G54="5/24",AM54&gt;0.5),(AM54*2*база!$M$6*Таблица14[[#This Row],[коэф]]),
IF(OR(AND(G54="4/24",AM54&gt;0.5),AND(G54="3/24",AM54&gt;0.5)),(AM54*2*база!$M$5*Таблица14[[#This Row],[коэф]]),
IF(AND(G54="5/16",AM54&gt;0.5),(AM54*2*база!$L$6*Таблица14[[#This Row],[коэф]]),
IF(OR(AND(G54="4/16",AM54&gt;0.5),AND(G54="3/16",AM54&gt;0.5)),(AM54*2*база!$L$5*Таблица14[[#This Row],[коэф]]),
IF(OR(AND(G54="4/4",AM54&gt;0.5),AND(G54="3/4",AM54&gt;2)),(AM54*2*база!$I$5*Таблица14[[#This Row],[коэф]]),
IF(AND(G54="5/8",AM54&gt;0.5),(AM54*2*база!$J$6*Таблица14[[#This Row],[коэф]]),
IF(AND(G54="4/8",AM54&gt;0.5),(AM54*2*база!$J$5*Таблица14[[#This Row],[коэф]]),
IF(OR(AND(G54="3/8",AM54&gt;0.5),AND(G54="2/8",AM54&gt;0.5)),(AM54*2*база!$J$4*Таблица14[[#This Row],[коэф]]),
(AM54*2*база!$L$5*Таблица14[[#This Row],[коэф]])))))))))))</f>
        <v>0</v>
      </c>
      <c r="AO54" s="122" t="str">
        <f>IFERROR(INDEX(база!$D$2:$D$120, MATCH(Таблица14[[#This Row],[Ф. И. О.]],база!$B$2:$B$100,0)),"")</f>
        <v/>
      </c>
    </row>
    <row r="55" spans="1:41" s="46" customFormat="1" ht="13.5" customHeight="1">
      <c r="A55" s="1052" t="str">
        <f t="shared" si="0"/>
        <v>январь</v>
      </c>
      <c r="B55" t="n" s="1052">
        <v>2024.0</v>
      </c>
      <c r="C55" t="s" s="1052">
        <v>388</v>
      </c>
      <c r="D55" t="s" s="1052">
        <v>364</v>
      </c>
      <c r="E55" t="s" s="1052">
        <v>46</v>
      </c>
      <c r="F55" t="s" s="1052">
        <v>282</v>
      </c>
      <c r="G55" t="s" s="1052">
        <v>6</v>
      </c>
      <c r="H55" s="1052"/>
      <c r="I55" s="1052"/>
      <c r="J55" s="1052"/>
      <c r="K55" s="1052"/>
      <c r="L55" s="1052"/>
      <c r="M55" s="1052"/>
      <c r="N55" s="1052"/>
      <c r="O55" s="1052"/>
      <c r="P55" t="n" s="1052">
        <v>4.0</v>
      </c>
      <c r="Q55" s="215"/>
      <c r="R55" s="215"/>
      <c r="S55" s="215"/>
      <c r="T55" s="215"/>
      <c r="U55" s="215"/>
      <c r="V55" s="215"/>
      <c r="W55" s="215"/>
      <c r="X55" s="215"/>
      <c r="Y55" s="215"/>
      <c r="Z55" s="215"/>
      <c r="AA55" s="215"/>
      <c r="AB55" s="215"/>
      <c r="AC55" s="215"/>
      <c r="AD55" s="215"/>
      <c r="AE55" s="215"/>
      <c r="AF55" s="215"/>
      <c r="AG55" s="215"/>
      <c r="AH55" s="215"/>
      <c r="AI55" s="215"/>
      <c r="AJ55" s="215"/>
      <c r="AK55" s="215"/>
      <c r="AL55" s="215"/>
      <c r="AM55" s="121">
        <f t="shared" si="1"/>
        <v>0</v>
      </c>
      <c r="AN55" s="564">
        <f>IF(AO55&lt;=3,(IF(AND(G55="5/24",AM55&gt;0.5),(AM55*2*база!$M$6*Таблица14[[#This Row],[коэф]]),
IF(AND(G55="4/24",AM55&gt;0.5),(AM55*2*база!$M$5*Таблица14[[#This Row],[коэф]]),
IF(AND(G55="3/24",AM55&gt;0.5),(AM55*2*база!$M$4*Таблица14[[#This Row],[коэф]]),
IF(AND(G55="5/16",AM55&gt;0.5),(AM55*2*база!$L$6*Таблица14[[#This Row],[коэф]]),
IF(AND(G55="4/16",AM55&gt;0.5),(AM55*2*база!$L$5*Таблица14[[#This Row],[коэф]]),
IF(AND(G55="3/16",AM55&gt;0.5),(AM55*2*база!$L$4*Таблица14[[#This Row],[коэф]]),
IF(AND(G55="4/4",AM55&gt;0.5),(AM55*2*база!$I$5*Таблица14[[#This Row],[коэф]]),
IF(OR(AND(G55="3/4",AM55&gt;0.5),AND(G55="2/4",AM55&gt;0.5)),(AM55*2*база!$I$4*Таблица14[[#This Row],[коэф]]),
IF(AND(G55="5/8",AM55&gt;0.5),(AM55*2*база!$J$6*Таблица14[[#This Row],[коэф]]),
IF(AND(G55="4/8",AM55&gt;0.5),(AM55*2*база!$J$5*Таблица14[[#This Row],[коэф]]),
IF(OR(AND(G55="3/8",AM55&gt;0.5),AND(G55="2/8",AM55&gt;0.5)),(AM55*2*база!$J$4*Таблица14[[#This Row],[коэф]]),
(AM55*0.5*база!$L$4*Таблица14[[#This Row],[коэф]]))))))))))))),
(IF(AND(G55="5/24",AM55&gt;0.5),(AM55*2*база!$M$6*Таблица14[[#This Row],[коэф]]),
IF(OR(AND(G55="4/24",AM55&gt;0.5),AND(G55="3/24",AM55&gt;0.5)),(AM55*2*база!$M$5*Таблица14[[#This Row],[коэф]]),
IF(AND(G55="5/16",AM55&gt;0.5),(AM55*2*база!$L$6*Таблица14[[#This Row],[коэф]]),
IF(OR(AND(G55="4/16",AM55&gt;0.5),AND(G55="3/16",AM55&gt;0.5)),(AM55*2*база!$L$5*Таблица14[[#This Row],[коэф]]),
IF(OR(AND(G55="4/4",AM55&gt;0.5),AND(G55="3/4",AM55&gt;2)),(AM55*2*база!$I$5*Таблица14[[#This Row],[коэф]]),
IF(AND(G55="5/8",AM55&gt;0.5),(AM55*2*база!$J$6*Таблица14[[#This Row],[коэф]]),
IF(AND(G55="4/8",AM55&gt;0.5),(AM55*2*база!$J$5*Таблица14[[#This Row],[коэф]]),
IF(OR(AND(G55="3/8",AM55&gt;0.5),AND(G55="2/8",AM55&gt;0.5)),(AM55*2*база!$J$4*Таблица14[[#This Row],[коэф]]),
(AM55*2*база!$L$5*Таблица14[[#This Row],[коэф]])))))))))))</f>
        <v>0</v>
      </c>
      <c r="AO55" s="122" t="str">
        <f>IFERROR(INDEX(база!$D$2:$D$120, MATCH(Таблица14[[#This Row],[Ф. И. О.]],база!$B$2:$B$100,0)),"")</f>
        <v/>
      </c>
    </row>
    <row r="56" spans="1:41" s="46" customFormat="1" ht="13.5" customHeight="1">
      <c r="A56" s="1053" t="str">
        <f t="shared" si="0"/>
        <v>январь</v>
      </c>
      <c r="B56" t="n" s="1053">
        <v>2024.0</v>
      </c>
      <c r="C56" t="s" s="1053">
        <v>388</v>
      </c>
      <c r="D56" t="s" s="1053">
        <v>364</v>
      </c>
      <c r="E56" t="s" s="1053">
        <v>46</v>
      </c>
      <c r="F56" t="s" s="1053">
        <v>282</v>
      </c>
      <c r="G56" t="s" s="1053">
        <v>4</v>
      </c>
      <c r="H56" s="1053"/>
      <c r="I56" s="1053"/>
      <c r="J56" s="1053"/>
      <c r="K56" s="1053"/>
      <c r="L56" s="1053"/>
      <c r="M56" s="1053"/>
      <c r="N56" s="1053"/>
      <c r="O56" s="1053"/>
      <c r="P56" t="n" s="1053">
        <v>4.0</v>
      </c>
      <c r="Q56" t="n" s="46">
        <v>4.0</v>
      </c>
      <c r="R56" t="n" s="46">
        <v>4.0</v>
      </c>
      <c r="S56" t="n" s="46">
        <v>4.0</v>
      </c>
      <c r="T56" s="215"/>
      <c r="U56" s="215"/>
      <c r="V56" s="215"/>
      <c r="W56" s="215"/>
      <c r="X56" s="215"/>
      <c r="Y56" s="215"/>
      <c r="Z56" s="215"/>
      <c r="AA56" s="215"/>
      <c r="AB56" s="215"/>
      <c r="AC56" s="215"/>
      <c r="AD56" s="215"/>
      <c r="AE56" s="215"/>
      <c r="AF56" s="215"/>
      <c r="AG56" s="215"/>
      <c r="AH56" s="215"/>
      <c r="AI56" s="215"/>
      <c r="AJ56" s="215"/>
      <c r="AK56" s="215"/>
      <c r="AL56" s="215"/>
      <c r="AM56" s="121">
        <f t="shared" si="1"/>
        <v>0</v>
      </c>
      <c r="AN56" s="564">
        <f>IF(AO56&lt;=3,(IF(AND(G56="5/24",AM56&gt;0.5),(AM56*2*база!$M$6*Таблица14[[#This Row],[коэф]]),
IF(AND(G56="4/24",AM56&gt;0.5),(AM56*2*база!$M$5*Таблица14[[#This Row],[коэф]]),
IF(AND(G56="3/24",AM56&gt;0.5),(AM56*2*база!$M$4*Таблица14[[#This Row],[коэф]]),
IF(AND(G56="5/16",AM56&gt;0.5),(AM56*2*база!$L$6*Таблица14[[#This Row],[коэф]]),
IF(AND(G56="4/16",AM56&gt;0.5),(AM56*2*база!$L$5*Таблица14[[#This Row],[коэф]]),
IF(AND(G56="3/16",AM56&gt;0.5),(AM56*2*база!$L$4*Таблица14[[#This Row],[коэф]]),
IF(AND(G56="4/4",AM56&gt;0.5),(AM56*2*база!$I$5*Таблица14[[#This Row],[коэф]]),
IF(OR(AND(G56="3/4",AM56&gt;0.5),AND(G56="2/4",AM56&gt;0.5)),(AM56*2*база!$I$4*Таблица14[[#This Row],[коэф]]),
IF(AND(G56="5/8",AM56&gt;0.5),(AM56*2*база!$J$6*Таблица14[[#This Row],[коэф]]),
IF(AND(G56="4/8",AM56&gt;0.5),(AM56*2*база!$J$5*Таблица14[[#This Row],[коэф]]),
IF(OR(AND(G56="3/8",AM56&gt;0.5),AND(G56="2/8",AM56&gt;0.5)),(AM56*2*база!$J$4*Таблица14[[#This Row],[коэф]]),
(AM56*0.5*база!$L$4*Таблица14[[#This Row],[коэф]]))))))))))))),
(IF(AND(G56="5/24",AM56&gt;0.5),(AM56*2*база!$M$6*Таблица14[[#This Row],[коэф]]),
IF(OR(AND(G56="4/24",AM56&gt;0.5),AND(G56="3/24",AM56&gt;0.5)),(AM56*2*база!$M$5*Таблица14[[#This Row],[коэф]]),
IF(AND(G56="5/16",AM56&gt;0.5),(AM56*2*база!$L$6*Таблица14[[#This Row],[коэф]]),
IF(OR(AND(G56="4/16",AM56&gt;0.5),AND(G56="3/16",AM56&gt;0.5)),(AM56*2*база!$L$5*Таблица14[[#This Row],[коэф]]),
IF(OR(AND(G56="4/4",AM56&gt;0.5),AND(G56="3/4",AM56&gt;2)),(AM56*2*база!$I$5*Таблица14[[#This Row],[коэф]]),
IF(AND(G56="5/8",AM56&gt;0.5),(AM56*2*база!$J$6*Таблица14[[#This Row],[коэф]]),
IF(AND(G56="4/8",AM56&gt;0.5),(AM56*2*база!$J$5*Таблица14[[#This Row],[коэф]]),
IF(OR(AND(G56="3/8",AM56&gt;0.5),AND(G56="2/8",AM56&gt;0.5)),(AM56*2*база!$J$4*Таблица14[[#This Row],[коэф]]),
(AM56*2*база!$L$5*Таблица14[[#This Row],[коэф]])))))))))))</f>
        <v>0</v>
      </c>
      <c r="AO56" s="122" t="str">
        <f>IFERROR(INDEX(база!$D$2:$D$120, MATCH(Таблица14[[#This Row],[Ф. И. О.]],база!$B$2:$B$100,0)),"")</f>
        <v/>
      </c>
    </row>
    <row r="57" spans="1:41" s="46" customFormat="1" ht="13.5" customHeight="1">
      <c r="A57" s="1061" t="str">
        <f t="shared" si="0"/>
        <v>январь</v>
      </c>
      <c r="B57" t="n" s="1061">
        <v>2024.0</v>
      </c>
      <c r="C57" t="s" s="1061">
        <v>394</v>
      </c>
      <c r="D57" t="s" s="1061">
        <v>364</v>
      </c>
      <c r="E57" t="s" s="1061">
        <v>46</v>
      </c>
      <c r="F57" t="s" s="1061">
        <v>297</v>
      </c>
      <c r="G57" t="s" s="1061">
        <v>4</v>
      </c>
      <c r="H57" s="1061"/>
      <c r="I57" s="1061"/>
      <c r="J57" s="1061"/>
      <c r="K57" s="1061"/>
      <c r="L57" s="1061"/>
      <c r="M57" s="1061"/>
      <c r="N57" s="1061"/>
      <c r="O57" s="1061"/>
      <c r="P57" t="n" s="1061">
        <v>4.0</v>
      </c>
      <c r="Q57" s="215"/>
      <c r="R57" s="215"/>
      <c r="S57" s="215"/>
      <c r="T57" s="215"/>
      <c r="U57" s="215"/>
      <c r="V57" s="215"/>
      <c r="W57" s="215"/>
      <c r="X57" s="215"/>
      <c r="Y57" s="215"/>
      <c r="Z57" s="215"/>
      <c r="AA57" s="215"/>
      <c r="AB57" s="215"/>
      <c r="AC57" s="215"/>
      <c r="AD57" s="215"/>
      <c r="AE57" s="215"/>
      <c r="AF57" s="215"/>
      <c r="AG57" s="215"/>
      <c r="AH57" s="215"/>
      <c r="AI57" s="215"/>
      <c r="AJ57" s="215"/>
      <c r="AK57" s="215"/>
      <c r="AL57" s="215"/>
      <c r="AM57" s="121">
        <f t="shared" si="1"/>
        <v>0</v>
      </c>
      <c r="AN57" s="564">
        <f>IF(AO57&lt;=3,(IF(AND(G57="5/24",AM57&gt;0.5),(AM57*2*база!$M$6*Таблица14[[#This Row],[коэф]]),
IF(AND(G57="4/24",AM57&gt;0.5),(AM57*2*база!$M$5*Таблица14[[#This Row],[коэф]]),
IF(AND(G57="3/24",AM57&gt;0.5),(AM57*2*база!$M$4*Таблица14[[#This Row],[коэф]]),
IF(AND(G57="5/16",AM57&gt;0.5),(AM57*2*база!$L$6*Таблица14[[#This Row],[коэф]]),
IF(AND(G57="4/16",AM57&gt;0.5),(AM57*2*база!$L$5*Таблица14[[#This Row],[коэф]]),
IF(AND(G57="3/16",AM57&gt;0.5),(AM57*2*база!$L$4*Таблица14[[#This Row],[коэф]]),
IF(AND(G57="4/4",AM57&gt;0.5),(AM57*2*база!$I$5*Таблица14[[#This Row],[коэф]]),
IF(OR(AND(G57="3/4",AM57&gt;0.5),AND(G57="2/4",AM57&gt;0.5)),(AM57*2*база!$I$4*Таблица14[[#This Row],[коэф]]),
IF(AND(G57="5/8",AM57&gt;0.5),(AM57*2*база!$J$6*Таблица14[[#This Row],[коэф]]),
IF(AND(G57="4/8",AM57&gt;0.5),(AM57*2*база!$J$5*Таблица14[[#This Row],[коэф]]),
IF(OR(AND(G57="3/8",AM57&gt;0.5),AND(G57="2/8",AM57&gt;0.5)),(AM57*2*база!$J$4*Таблица14[[#This Row],[коэф]]),
(AM57*0.5*база!$L$4*Таблица14[[#This Row],[коэф]]))))))))))))),
(IF(AND(G57="5/24",AM57&gt;0.5),(AM57*2*база!$M$6*Таблица14[[#This Row],[коэф]]),
IF(OR(AND(G57="4/24",AM57&gt;0.5),AND(G57="3/24",AM57&gt;0.5)),(AM57*2*база!$M$5*Таблица14[[#This Row],[коэф]]),
IF(AND(G57="5/16",AM57&gt;0.5),(AM57*2*база!$L$6*Таблица14[[#This Row],[коэф]]),
IF(OR(AND(G57="4/16",AM57&gt;0.5),AND(G57="3/16",AM57&gt;0.5)),(AM57*2*база!$L$5*Таблица14[[#This Row],[коэф]]),
IF(OR(AND(G57="4/4",AM57&gt;0.5),AND(G57="3/4",AM57&gt;2)),(AM57*2*база!$I$5*Таблица14[[#This Row],[коэф]]),
IF(AND(G57="5/8",AM57&gt;0.5),(AM57*2*база!$J$6*Таблица14[[#This Row],[коэф]]),
IF(AND(G57="4/8",AM57&gt;0.5),(AM57*2*база!$J$5*Таблица14[[#This Row],[коэф]]),
IF(OR(AND(G57="3/8",AM57&gt;0.5),AND(G57="2/8",AM57&gt;0.5)),(AM57*2*база!$J$4*Таблица14[[#This Row],[коэф]]),
(AM57*2*база!$L$5*Таблица14[[#This Row],[коэф]])))))))))))</f>
        <v>0</v>
      </c>
      <c r="AO57" s="122" t="str">
        <f>IFERROR(INDEX(база!$D$2:$D$120, MATCH(Таблица14[[#This Row],[Ф. И. О.]],база!$B$2:$B$100,0)),"")</f>
        <v/>
      </c>
    </row>
    <row r="58" spans="1:41" s="46" customFormat="1" ht="13.5" customHeight="1">
      <c r="A58" s="1062" t="str">
        <f t="shared" si="0"/>
        <v>январь</v>
      </c>
      <c r="B58" t="n" s="1062">
        <v>2024.0</v>
      </c>
      <c r="C58" t="s" s="1062">
        <v>396</v>
      </c>
      <c r="D58" t="s" s="1062">
        <v>364</v>
      </c>
      <c r="E58" t="s" s="1062">
        <v>46</v>
      </c>
      <c r="F58" t="s" s="1062">
        <v>271</v>
      </c>
      <c r="G58" t="s" s="1062">
        <v>4</v>
      </c>
      <c r="H58" s="1062"/>
      <c r="I58" s="1062"/>
      <c r="J58" s="1062"/>
      <c r="K58" s="1062"/>
      <c r="L58" s="1062"/>
      <c r="M58" s="1062"/>
      <c r="N58" s="1062"/>
      <c r="O58" s="1062"/>
      <c r="P58" t="n" s="1062">
        <v>4.0</v>
      </c>
      <c r="Q58" s="215"/>
      <c r="R58" s="215"/>
      <c r="S58" s="215"/>
      <c r="T58" t="n" s="46">
        <v>4.0</v>
      </c>
      <c r="U58" s="215"/>
      <c r="V58" s="215"/>
      <c r="W58" s="215"/>
      <c r="X58" s="215"/>
      <c r="Y58" s="215"/>
      <c r="Z58" s="215"/>
      <c r="AA58" s="215"/>
      <c r="AB58" s="215"/>
      <c r="AC58" s="215"/>
      <c r="AD58" s="215"/>
      <c r="AE58" s="215"/>
      <c r="AF58" s="215"/>
      <c r="AG58" s="215"/>
      <c r="AH58" s="215"/>
      <c r="AI58" s="215"/>
      <c r="AJ58" s="215"/>
      <c r="AK58" s="215"/>
      <c r="AL58" s="215"/>
      <c r="AM58" s="121">
        <f t="shared" si="1"/>
        <v>0</v>
      </c>
      <c r="AN58" s="564">
        <f>IF(AO58&lt;=3,(IF(AND(G58="5/24",AM58&gt;0.5),(AM58*2*база!$M$6*Таблица14[[#This Row],[коэф]]),
IF(AND(G58="4/24",AM58&gt;0.5),(AM58*2*база!$M$5*Таблица14[[#This Row],[коэф]]),
IF(AND(G58="3/24",AM58&gt;0.5),(AM58*2*база!$M$4*Таблица14[[#This Row],[коэф]]),
IF(AND(G58="5/16",AM58&gt;0.5),(AM58*2*база!$L$6*Таблица14[[#This Row],[коэф]]),
IF(AND(G58="4/16",AM58&gt;0.5),(AM58*2*база!$L$5*Таблица14[[#This Row],[коэф]]),
IF(AND(G58="3/16",AM58&gt;0.5),(AM58*2*база!$L$4*Таблица14[[#This Row],[коэф]]),
IF(AND(G58="4/4",AM58&gt;0.5),(AM58*2*база!$I$5*Таблица14[[#This Row],[коэф]]),
IF(OR(AND(G58="3/4",AM58&gt;0.5),AND(G58="2/4",AM58&gt;0.5)),(AM58*2*база!$I$4*Таблица14[[#This Row],[коэф]]),
IF(AND(G58="5/8",AM58&gt;0.5),(AM58*2*база!$J$6*Таблица14[[#This Row],[коэф]]),
IF(AND(G58="4/8",AM58&gt;0.5),(AM58*2*база!$J$5*Таблица14[[#This Row],[коэф]]),
IF(OR(AND(G58="3/8",AM58&gt;0.5),AND(G58="2/8",AM58&gt;0.5)),(AM58*2*база!$J$4*Таблица14[[#This Row],[коэф]]),
(AM58*0.5*база!$L$4*Таблица14[[#This Row],[коэф]]))))))))))))),
(IF(AND(G58="5/24",AM58&gt;0.5),(AM58*2*база!$M$6*Таблица14[[#This Row],[коэф]]),
IF(OR(AND(G58="4/24",AM58&gt;0.5),AND(G58="3/24",AM58&gt;0.5)),(AM58*2*база!$M$5*Таблица14[[#This Row],[коэф]]),
IF(AND(G58="5/16",AM58&gt;0.5),(AM58*2*база!$L$6*Таблица14[[#This Row],[коэф]]),
IF(OR(AND(G58="4/16",AM58&gt;0.5),AND(G58="3/16",AM58&gt;0.5)),(AM58*2*база!$L$5*Таблица14[[#This Row],[коэф]]),
IF(OR(AND(G58="4/4",AM58&gt;0.5),AND(G58="3/4",AM58&gt;2)),(AM58*2*база!$I$5*Таблица14[[#This Row],[коэф]]),
IF(AND(G58="5/8",AM58&gt;0.5),(AM58*2*база!$J$6*Таблица14[[#This Row],[коэф]]),
IF(AND(G58="4/8",AM58&gt;0.5),(AM58*2*база!$J$5*Таблица14[[#This Row],[коэф]]),
IF(OR(AND(G58="3/8",AM58&gt;0.5),AND(G58="2/8",AM58&gt;0.5)),(AM58*2*база!$J$4*Таблица14[[#This Row],[коэф]]),
(AM58*2*база!$L$5*Таблица14[[#This Row],[коэф]])))))))))))</f>
        <v>0</v>
      </c>
      <c r="AO58" s="122" t="str">
        <f>IFERROR(INDEX(база!$D$2:$D$120, MATCH(Таблица14[[#This Row],[Ф. И. О.]],база!$B$2:$B$100,0)),"")</f>
        <v/>
      </c>
    </row>
    <row r="59" spans="1:41" s="46" customFormat="1" ht="13.5" customHeight="1">
      <c r="A59" s="1066" t="str">
        <f t="shared" si="0"/>
        <v>январь</v>
      </c>
      <c r="B59" t="n" s="1066">
        <v>2024.0</v>
      </c>
      <c r="C59" t="s" s="1066">
        <v>396</v>
      </c>
      <c r="D59" t="s" s="1066">
        <v>364</v>
      </c>
      <c r="E59" t="s" s="1066">
        <v>46</v>
      </c>
      <c r="F59" t="s" s="1066">
        <v>260</v>
      </c>
      <c r="G59" t="s" s="1066">
        <v>31</v>
      </c>
      <c r="H59" s="1066"/>
      <c r="I59" s="1066"/>
      <c r="J59" s="1066"/>
      <c r="K59" s="1066"/>
      <c r="L59" s="1066"/>
      <c r="M59" s="1066"/>
      <c r="N59" s="1066"/>
      <c r="O59" s="1066"/>
      <c r="P59" t="n" s="1066">
        <v>4.0</v>
      </c>
      <c r="Q59" s="215"/>
      <c r="R59" s="215"/>
      <c r="S59" s="215"/>
      <c r="T59" s="215"/>
      <c r="U59" s="215"/>
      <c r="V59" s="215"/>
      <c r="W59" s="215"/>
      <c r="X59" s="215"/>
      <c r="Y59" s="215"/>
      <c r="Z59" s="215"/>
      <c r="AA59" s="215"/>
      <c r="AB59" s="215"/>
      <c r="AC59" s="215"/>
      <c r="AD59" s="215"/>
      <c r="AE59" s="215"/>
      <c r="AF59" s="215"/>
      <c r="AG59" s="215"/>
      <c r="AH59" s="215"/>
      <c r="AI59" s="215"/>
      <c r="AJ59" s="215"/>
      <c r="AK59" s="215"/>
      <c r="AL59" s="215"/>
      <c r="AM59" s="121">
        <f t="shared" si="1"/>
        <v>0</v>
      </c>
      <c r="AN59" s="564">
        <f>IF(AO59&lt;=3,(IF(AND(G59="5/24",AM59&gt;0.5),(AM59*2*база!$M$6*Таблица14[[#This Row],[коэф]]),
IF(AND(G59="4/24",AM59&gt;0.5),(AM59*2*база!$M$5*Таблица14[[#This Row],[коэф]]),
IF(AND(G59="3/24",AM59&gt;0.5),(AM59*2*база!$M$4*Таблица14[[#This Row],[коэф]]),
IF(AND(G59="5/16",AM59&gt;0.5),(AM59*2*база!$L$6*Таблица14[[#This Row],[коэф]]),
IF(AND(G59="4/16",AM59&gt;0.5),(AM59*2*база!$L$5*Таблица14[[#This Row],[коэф]]),
IF(AND(G59="3/16",AM59&gt;0.5),(AM59*2*база!$L$4*Таблица14[[#This Row],[коэф]]),
IF(AND(G59="4/4",AM59&gt;0.5),(AM59*2*база!$I$5*Таблица14[[#This Row],[коэф]]),
IF(OR(AND(G59="3/4",AM59&gt;0.5),AND(G59="2/4",AM59&gt;0.5)),(AM59*2*база!$I$4*Таблица14[[#This Row],[коэф]]),
IF(AND(G59="5/8",AM59&gt;0.5),(AM59*2*база!$J$6*Таблица14[[#This Row],[коэф]]),
IF(AND(G59="4/8",AM59&gt;0.5),(AM59*2*база!$J$5*Таблица14[[#This Row],[коэф]]),
IF(OR(AND(G59="3/8",AM59&gt;0.5),AND(G59="2/8",AM59&gt;0.5)),(AM59*2*база!$J$4*Таблица14[[#This Row],[коэф]]),
(AM59*0.5*база!$L$4*Таблица14[[#This Row],[коэф]]))))))))))))),
(IF(AND(G59="5/24",AM59&gt;0.5),(AM59*2*база!$M$6*Таблица14[[#This Row],[коэф]]),
IF(OR(AND(G59="4/24",AM59&gt;0.5),AND(G59="3/24",AM59&gt;0.5)),(AM59*2*база!$M$5*Таблица14[[#This Row],[коэф]]),
IF(AND(G59="5/16",AM59&gt;0.5),(AM59*2*база!$L$6*Таблица14[[#This Row],[коэф]]),
IF(OR(AND(G59="4/16",AM59&gt;0.5),AND(G59="3/16",AM59&gt;0.5)),(AM59*2*база!$L$5*Таблица14[[#This Row],[коэф]]),
IF(OR(AND(G59="4/4",AM59&gt;0.5),AND(G59="3/4",AM59&gt;2)),(AM59*2*база!$I$5*Таблица14[[#This Row],[коэф]]),
IF(AND(G59="5/8",AM59&gt;0.5),(AM59*2*база!$J$6*Таблица14[[#This Row],[коэф]]),
IF(AND(G59="4/8",AM59&gt;0.5),(AM59*2*база!$J$5*Таблица14[[#This Row],[коэф]]),
IF(OR(AND(G59="3/8",AM59&gt;0.5),AND(G59="2/8",AM59&gt;0.5)),(AM59*2*база!$J$4*Таблица14[[#This Row],[коэф]]),
(AM59*2*база!$L$5*Таблица14[[#This Row],[коэф]])))))))))))</f>
        <v>0</v>
      </c>
      <c r="AO59" s="122" t="str">
        <f>IFERROR(INDEX(база!$D$2:$D$120, MATCH(Таблица14[[#This Row],[Ф. И. О.]],база!$B$2:$B$100,0)),"")</f>
        <v/>
      </c>
    </row>
    <row r="60" spans="1:41" s="46" customFormat="1" ht="13.5" customHeight="1">
      <c r="A60" s="1067" t="str">
        <f t="shared" si="0"/>
        <v>январь</v>
      </c>
      <c r="B60" t="n" s="1067">
        <v>2024.0</v>
      </c>
      <c r="C60" t="s" s="1067">
        <v>387</v>
      </c>
      <c r="D60" t="s" s="1067">
        <v>395</v>
      </c>
      <c r="E60" t="s" s="1067">
        <v>398</v>
      </c>
      <c r="F60" t="s" s="1067">
        <v>356</v>
      </c>
      <c r="G60" t="s" s="1067">
        <v>31</v>
      </c>
      <c r="H60" s="1067"/>
      <c r="I60" s="1067"/>
      <c r="J60" s="1067"/>
      <c r="K60" s="1067"/>
      <c r="L60" s="1067"/>
      <c r="M60" s="1067"/>
      <c r="N60" s="1067"/>
      <c r="O60" s="1067"/>
      <c r="P60" t="n" s="1067">
        <v>2.0</v>
      </c>
      <c r="Q60" s="215"/>
      <c r="R60" s="215"/>
      <c r="S60" s="215"/>
      <c r="T60" s="215"/>
      <c r="U60" s="215"/>
      <c r="V60" s="215"/>
      <c r="W60" s="215"/>
      <c r="X60" s="215"/>
      <c r="Y60" s="215"/>
      <c r="Z60" s="215"/>
      <c r="AA60" s="215"/>
      <c r="AB60" s="215"/>
      <c r="AC60" s="215"/>
      <c r="AD60" s="215"/>
      <c r="AE60" s="215"/>
      <c r="AF60" s="215"/>
      <c r="AG60" s="215"/>
      <c r="AH60" s="215"/>
      <c r="AI60" s="215"/>
      <c r="AJ60" s="215"/>
      <c r="AK60" s="215"/>
      <c r="AL60" s="215"/>
      <c r="AM60" s="121">
        <f t="shared" si="1"/>
        <v>0</v>
      </c>
      <c r="AN60" s="564">
        <f>IF(AO60&lt;=3,(IF(AND(G60="5/24",AM60&gt;0.5),(AM60*2*база!$M$6*Таблица14[[#This Row],[коэф]]),
IF(AND(G60="4/24",AM60&gt;0.5),(AM60*2*база!$M$5*Таблица14[[#This Row],[коэф]]),
IF(AND(G60="3/24",AM60&gt;0.5),(AM60*2*база!$M$4*Таблица14[[#This Row],[коэф]]),
IF(AND(G60="5/16",AM60&gt;0.5),(AM60*2*база!$L$6*Таблица14[[#This Row],[коэф]]),
IF(AND(G60="4/16",AM60&gt;0.5),(AM60*2*база!$L$5*Таблица14[[#This Row],[коэф]]),
IF(AND(G60="3/16",AM60&gt;0.5),(AM60*2*база!$L$4*Таблица14[[#This Row],[коэф]]),
IF(AND(G60="4/4",AM60&gt;0.5),(AM60*2*база!$I$5*Таблица14[[#This Row],[коэф]]),
IF(OR(AND(G60="3/4",AM60&gt;0.5),AND(G60="2/4",AM60&gt;0.5)),(AM60*2*база!$I$4*Таблица14[[#This Row],[коэф]]),
IF(AND(G60="5/8",AM60&gt;0.5),(AM60*2*база!$J$6*Таблица14[[#This Row],[коэф]]),
IF(AND(G60="4/8",AM60&gt;0.5),(AM60*2*база!$J$5*Таблица14[[#This Row],[коэф]]),
IF(OR(AND(G60="3/8",AM60&gt;0.5),AND(G60="2/8",AM60&gt;0.5)),(AM60*2*база!$J$4*Таблица14[[#This Row],[коэф]]),
(AM60*0.5*база!$L$4*Таблица14[[#This Row],[коэф]]))))))))))))),
(IF(AND(G60="5/24",AM60&gt;0.5),(AM60*2*база!$M$6*Таблица14[[#This Row],[коэф]]),
IF(OR(AND(G60="4/24",AM60&gt;0.5),AND(G60="3/24",AM60&gt;0.5)),(AM60*2*база!$M$5*Таблица14[[#This Row],[коэф]]),
IF(AND(G60="5/16",AM60&gt;0.5),(AM60*2*база!$L$6*Таблица14[[#This Row],[коэф]]),
IF(OR(AND(G60="4/16",AM60&gt;0.5),AND(G60="3/16",AM60&gt;0.5)),(AM60*2*база!$L$5*Таблица14[[#This Row],[коэф]]),
IF(OR(AND(G60="4/4",AM60&gt;0.5),AND(G60="3/4",AM60&gt;2)),(AM60*2*база!$I$5*Таблица14[[#This Row],[коэф]]),
IF(AND(G60="5/8",AM60&gt;0.5),(AM60*2*база!$J$6*Таблица14[[#This Row],[коэф]]),
IF(AND(G60="4/8",AM60&gt;0.5),(AM60*2*база!$J$5*Таблица14[[#This Row],[коэф]]),
IF(OR(AND(G60="3/8",AM60&gt;0.5),AND(G60="2/8",AM60&gt;0.5)),(AM60*2*база!$J$4*Таблица14[[#This Row],[коэф]]),
(AM60*2*база!$L$5*Таблица14[[#This Row],[коэф]])))))))))))</f>
        <v>0</v>
      </c>
      <c r="AO60" s="122" t="str">
        <f>IFERROR(INDEX(база!$D$2:$D$120, MATCH(Таблица14[[#This Row],[Ф. И. О.]],база!$B$2:$B$100,0)),"")</f>
        <v/>
      </c>
    </row>
    <row r="61" spans="1:41" s="46" customFormat="1" ht="13.5" customHeight="1">
      <c r="A61" s="1069" t="str">
        <f t="shared" si="0"/>
        <v>январь</v>
      </c>
      <c r="B61" t="n" s="1069">
        <v>2024.0</v>
      </c>
      <c r="C61" t="s" s="1069">
        <v>388</v>
      </c>
      <c r="D61" t="s" s="1069">
        <v>364</v>
      </c>
      <c r="E61" t="s" s="1069">
        <v>46</v>
      </c>
      <c r="F61" t="s" s="1069">
        <v>292</v>
      </c>
      <c r="G61" t="s" s="1069">
        <v>4</v>
      </c>
      <c r="H61" s="1069"/>
      <c r="I61" s="1069"/>
      <c r="J61" s="1069"/>
      <c r="K61" s="1069"/>
      <c r="L61" s="1069"/>
      <c r="M61" s="1069"/>
      <c r="N61" s="1069"/>
      <c r="O61" s="1069"/>
      <c r="P61" t="n" s="1069">
        <v>4.0</v>
      </c>
      <c r="Q61" t="n" s="46">
        <v>4.0</v>
      </c>
      <c r="R61" s="215"/>
      <c r="S61" s="215"/>
      <c r="T61" s="215"/>
      <c r="U61" s="215"/>
      <c r="V61" s="215"/>
      <c r="W61" s="215"/>
      <c r="X61" s="215"/>
      <c r="Y61" s="215"/>
      <c r="Z61" s="215"/>
      <c r="AA61" s="215"/>
      <c r="AB61" s="215"/>
      <c r="AC61" s="215"/>
      <c r="AD61" s="215"/>
      <c r="AE61" s="215"/>
      <c r="AF61" s="215"/>
      <c r="AG61" s="215"/>
      <c r="AH61" s="215"/>
      <c r="AI61" s="215"/>
      <c r="AJ61" s="215"/>
      <c r="AK61" s="215"/>
      <c r="AL61" s="215"/>
      <c r="AM61" s="121">
        <f t="shared" si="1"/>
        <v>0</v>
      </c>
      <c r="AN61" s="564">
        <f>IF(AO61&lt;=3,(IF(AND(G61="5/24",AM61&gt;0.5),(AM61*2*база!$M$6*Таблица14[[#This Row],[коэф]]),
IF(AND(G61="4/24",AM61&gt;0.5),(AM61*2*база!$M$5*Таблица14[[#This Row],[коэф]]),
IF(AND(G61="3/24",AM61&gt;0.5),(AM61*2*база!$M$4*Таблица14[[#This Row],[коэф]]),
IF(AND(G61="5/16",AM61&gt;0.5),(AM61*2*база!$L$6*Таблица14[[#This Row],[коэф]]),
IF(AND(G61="4/16",AM61&gt;0.5),(AM61*2*база!$L$5*Таблица14[[#This Row],[коэф]]),
IF(AND(G61="3/16",AM61&gt;0.5),(AM61*2*база!$L$4*Таблица14[[#This Row],[коэф]]),
IF(AND(G61="4/4",AM61&gt;0.5),(AM61*2*база!$I$5*Таблица14[[#This Row],[коэф]]),
IF(OR(AND(G61="3/4",AM61&gt;0.5),AND(G61="2/4",AM61&gt;0.5)),(AM61*2*база!$I$4*Таблица14[[#This Row],[коэф]]),
IF(AND(G61="5/8",AM61&gt;0.5),(AM61*2*база!$J$6*Таблица14[[#This Row],[коэф]]),
IF(AND(G61="4/8",AM61&gt;0.5),(AM61*2*база!$J$5*Таблица14[[#This Row],[коэф]]),
IF(OR(AND(G61="3/8",AM61&gt;0.5),AND(G61="2/8",AM61&gt;0.5)),(AM61*2*база!$J$4*Таблица14[[#This Row],[коэф]]),
(AM61*0.5*база!$L$4*Таблица14[[#This Row],[коэф]]))))))))))))),
(IF(AND(G61="5/24",AM61&gt;0.5),(AM61*2*база!$M$6*Таблица14[[#This Row],[коэф]]),
IF(OR(AND(G61="4/24",AM61&gt;0.5),AND(G61="3/24",AM61&gt;0.5)),(AM61*2*база!$M$5*Таблица14[[#This Row],[коэф]]),
IF(AND(G61="5/16",AM61&gt;0.5),(AM61*2*база!$L$6*Таблица14[[#This Row],[коэф]]),
IF(OR(AND(G61="4/16",AM61&gt;0.5),AND(G61="3/16",AM61&gt;0.5)),(AM61*2*база!$L$5*Таблица14[[#This Row],[коэф]]),
IF(OR(AND(G61="4/4",AM61&gt;0.5),AND(G61="3/4",AM61&gt;2)),(AM61*2*база!$I$5*Таблица14[[#This Row],[коэф]]),
IF(AND(G61="5/8",AM61&gt;0.5),(AM61*2*база!$J$6*Таблица14[[#This Row],[коэф]]),
IF(AND(G61="4/8",AM61&gt;0.5),(AM61*2*база!$J$5*Таблица14[[#This Row],[коэф]]),
IF(OR(AND(G61="3/8",AM61&gt;0.5),AND(G61="2/8",AM61&gt;0.5)),(AM61*2*база!$J$4*Таблица14[[#This Row],[коэф]]),
(AM61*2*база!$L$5*Таблица14[[#This Row],[коэф]])))))))))))</f>
        <v>0</v>
      </c>
      <c r="AO61" s="122" t="str">
        <f>IFERROR(INDEX(база!$D$2:$D$120, MATCH(Таблица14[[#This Row],[Ф. И. О.]],база!$B$2:$B$100,0)),"")</f>
        <v/>
      </c>
    </row>
    <row r="62" spans="1:41" s="46" customFormat="1" ht="13.5" customHeight="1">
      <c r="A62" s="1071" t="str">
        <f t="shared" si="0"/>
        <v>январь</v>
      </c>
      <c r="B62" t="n" s="1071">
        <v>2024.0</v>
      </c>
      <c r="C62" t="s" s="1071">
        <v>388</v>
      </c>
      <c r="D62" t="s" s="1071">
        <v>364</v>
      </c>
      <c r="E62" t="s" s="1071">
        <v>46</v>
      </c>
      <c r="F62" t="s" s="1071">
        <v>325</v>
      </c>
      <c r="G62" t="s" s="1071">
        <v>4</v>
      </c>
      <c r="H62" s="1071"/>
      <c r="I62" s="1071"/>
      <c r="J62" s="1071"/>
      <c r="K62" s="1071"/>
      <c r="L62" s="1071"/>
      <c r="M62" s="1071"/>
      <c r="N62" s="1071"/>
      <c r="O62" s="1071"/>
      <c r="P62" t="n" s="1071">
        <v>4.0</v>
      </c>
      <c r="Q62" s="215"/>
      <c r="R62" s="215"/>
      <c r="S62" s="215"/>
      <c r="T62" s="215"/>
      <c r="U62" s="215"/>
      <c r="V62" s="215"/>
      <c r="W62" s="215"/>
      <c r="X62" s="215"/>
      <c r="Y62" s="215"/>
      <c r="Z62" s="215"/>
      <c r="AA62" s="215"/>
      <c r="AB62" s="215"/>
      <c r="AC62" s="215"/>
      <c r="AD62" s="215"/>
      <c r="AE62" s="215"/>
      <c r="AF62" s="215"/>
      <c r="AG62" s="215"/>
      <c r="AH62" s="215"/>
      <c r="AI62" s="215"/>
      <c r="AJ62" s="215"/>
      <c r="AK62" s="215"/>
      <c r="AL62" s="215"/>
      <c r="AM62" s="121">
        <f t="shared" si="1"/>
        <v>0</v>
      </c>
      <c r="AN62" s="564">
        <f>IF(AO62&lt;=3,(IF(AND(G62="5/24",AM62&gt;0.5),(AM62*2*база!$M$6*Таблица14[[#This Row],[коэф]]),
IF(AND(G62="4/24",AM62&gt;0.5),(AM62*2*база!$M$5*Таблица14[[#This Row],[коэф]]),
IF(AND(G62="3/24",AM62&gt;0.5),(AM62*2*база!$M$4*Таблица14[[#This Row],[коэф]]),
IF(AND(G62="5/16",AM62&gt;0.5),(AM62*2*база!$L$6*Таблица14[[#This Row],[коэф]]),
IF(AND(G62="4/16",AM62&gt;0.5),(AM62*2*база!$L$5*Таблица14[[#This Row],[коэф]]),
IF(AND(G62="3/16",AM62&gt;0.5),(AM62*2*база!$L$4*Таблица14[[#This Row],[коэф]]),
IF(AND(G62="4/4",AM62&gt;0.5),(AM62*2*база!$I$5*Таблица14[[#This Row],[коэф]]),
IF(OR(AND(G62="3/4",AM62&gt;0.5),AND(G62="2/4",AM62&gt;0.5)),(AM62*2*база!$I$4*Таблица14[[#This Row],[коэф]]),
IF(AND(G62="5/8",AM62&gt;0.5),(AM62*2*база!$J$6*Таблица14[[#This Row],[коэф]]),
IF(AND(G62="4/8",AM62&gt;0.5),(AM62*2*база!$J$5*Таблица14[[#This Row],[коэф]]),
IF(OR(AND(G62="3/8",AM62&gt;0.5),AND(G62="2/8",AM62&gt;0.5)),(AM62*2*база!$J$4*Таблица14[[#This Row],[коэф]]),
(AM62*0.5*база!$L$4*Таблица14[[#This Row],[коэф]]))))))))))))),
(IF(AND(G62="5/24",AM62&gt;0.5),(AM62*2*база!$M$6*Таблица14[[#This Row],[коэф]]),
IF(OR(AND(G62="4/24",AM62&gt;0.5),AND(G62="3/24",AM62&gt;0.5)),(AM62*2*база!$M$5*Таблица14[[#This Row],[коэф]]),
IF(AND(G62="5/16",AM62&gt;0.5),(AM62*2*база!$L$6*Таблица14[[#This Row],[коэф]]),
IF(OR(AND(G62="4/16",AM62&gt;0.5),AND(G62="3/16",AM62&gt;0.5)),(AM62*2*база!$L$5*Таблица14[[#This Row],[коэф]]),
IF(OR(AND(G62="4/4",AM62&gt;0.5),AND(G62="3/4",AM62&gt;2)),(AM62*2*база!$I$5*Таблица14[[#This Row],[коэф]]),
IF(AND(G62="5/8",AM62&gt;0.5),(AM62*2*база!$J$6*Таблица14[[#This Row],[коэф]]),
IF(AND(G62="4/8",AM62&gt;0.5),(AM62*2*база!$J$5*Таблица14[[#This Row],[коэф]]),
IF(OR(AND(G62="3/8",AM62&gt;0.5),AND(G62="2/8",AM62&gt;0.5)),(AM62*2*база!$J$4*Таблица14[[#This Row],[коэф]]),
(AM62*2*база!$L$5*Таблица14[[#This Row],[коэф]])))))))))))</f>
        <v>0</v>
      </c>
      <c r="AO62" s="122" t="str">
        <f>IFERROR(INDEX(база!$D$2:$D$120, MATCH(Таблица14[[#This Row],[Ф. И. О.]],база!$B$2:$B$100,0)),"")</f>
        <v/>
      </c>
    </row>
    <row r="63" spans="1:41" s="46" customFormat="1" ht="13.5" customHeight="1">
      <c r="A63" s="1072" t="str">
        <f t="shared" si="0"/>
        <v>январь</v>
      </c>
      <c r="B63" t="n" s="1072">
        <v>2024.0</v>
      </c>
      <c r="C63" t="s" s="1072">
        <v>388</v>
      </c>
      <c r="D63" t="s" s="1072">
        <v>369</v>
      </c>
      <c r="E63" t="s" s="1072">
        <v>46</v>
      </c>
      <c r="F63" t="s" s="1072">
        <v>329</v>
      </c>
      <c r="G63" t="s" s="1072">
        <v>6</v>
      </c>
      <c r="H63" s="1072"/>
      <c r="I63" s="1072"/>
      <c r="J63" s="1072"/>
      <c r="K63" s="1072"/>
      <c r="L63" s="1072"/>
      <c r="M63" s="1072"/>
      <c r="N63" s="1072"/>
      <c r="O63" s="1072"/>
      <c r="P63" t="n" s="1072">
        <v>2.0</v>
      </c>
      <c r="Q63" s="215"/>
      <c r="R63" s="215"/>
      <c r="S63" s="215"/>
      <c r="T63" s="215"/>
      <c r="U63" s="215"/>
      <c r="V63" s="215"/>
      <c r="W63" s="215"/>
      <c r="X63" s="215"/>
      <c r="Y63" s="215"/>
      <c r="Z63" s="215"/>
      <c r="AA63" s="215"/>
      <c r="AB63" s="215"/>
      <c r="AC63" s="215"/>
      <c r="AD63" s="215"/>
      <c r="AE63" s="215"/>
      <c r="AF63" s="215"/>
      <c r="AG63" s="215"/>
      <c r="AH63" s="215"/>
      <c r="AI63" s="215"/>
      <c r="AJ63" s="215"/>
      <c r="AK63" s="215"/>
      <c r="AL63" s="215"/>
      <c r="AM63" s="121">
        <f t="shared" si="1"/>
        <v>0</v>
      </c>
      <c r="AN63" s="564">
        <f>IF(AO63&lt;=3,(IF(AND(G63="5/24",AM63&gt;0.5),(AM63*2*база!$M$6*Таблица14[[#This Row],[коэф]]),
IF(AND(G63="4/24",AM63&gt;0.5),(AM63*2*база!$M$5*Таблица14[[#This Row],[коэф]]),
IF(AND(G63="3/24",AM63&gt;0.5),(AM63*2*база!$M$4*Таблица14[[#This Row],[коэф]]),
IF(AND(G63="5/16",AM63&gt;0.5),(AM63*2*база!$L$6*Таблица14[[#This Row],[коэф]]),
IF(AND(G63="4/16",AM63&gt;0.5),(AM63*2*база!$L$5*Таблица14[[#This Row],[коэф]]),
IF(AND(G63="3/16",AM63&gt;0.5),(AM63*2*база!$L$4*Таблица14[[#This Row],[коэф]]),
IF(AND(G63="4/4",AM63&gt;0.5),(AM63*2*база!$I$5*Таблица14[[#This Row],[коэф]]),
IF(OR(AND(G63="3/4",AM63&gt;0.5),AND(G63="2/4",AM63&gt;0.5)),(AM63*2*база!$I$4*Таблица14[[#This Row],[коэф]]),
IF(AND(G63="5/8",AM63&gt;0.5),(AM63*2*база!$J$6*Таблица14[[#This Row],[коэф]]),
IF(AND(G63="4/8",AM63&gt;0.5),(AM63*2*база!$J$5*Таблица14[[#This Row],[коэф]]),
IF(OR(AND(G63="3/8",AM63&gt;0.5),AND(G63="2/8",AM63&gt;0.5)),(AM63*2*база!$J$4*Таблица14[[#This Row],[коэф]]),
(AM63*0.5*база!$L$4*Таблица14[[#This Row],[коэф]]))))))))))))),
(IF(AND(G63="5/24",AM63&gt;0.5),(AM63*2*база!$M$6*Таблица14[[#This Row],[коэф]]),
IF(OR(AND(G63="4/24",AM63&gt;0.5),AND(G63="3/24",AM63&gt;0.5)),(AM63*2*база!$M$5*Таблица14[[#This Row],[коэф]]),
IF(AND(G63="5/16",AM63&gt;0.5),(AM63*2*база!$L$6*Таблица14[[#This Row],[коэф]]),
IF(OR(AND(G63="4/16",AM63&gt;0.5),AND(G63="3/16",AM63&gt;0.5)),(AM63*2*база!$L$5*Таблица14[[#This Row],[коэф]]),
IF(OR(AND(G63="4/4",AM63&gt;0.5),AND(G63="3/4",AM63&gt;2)),(AM63*2*база!$I$5*Таблица14[[#This Row],[коэф]]),
IF(AND(G63="5/8",AM63&gt;0.5),(AM63*2*база!$J$6*Таблица14[[#This Row],[коэф]]),
IF(AND(G63="4/8",AM63&gt;0.5),(AM63*2*база!$J$5*Таблица14[[#This Row],[коэф]]),
IF(OR(AND(G63="3/8",AM63&gt;0.5),AND(G63="2/8",AM63&gt;0.5)),(AM63*2*база!$J$4*Таблица14[[#This Row],[коэф]]),
(AM63*2*база!$L$5*Таблица14[[#This Row],[коэф]])))))))))))</f>
        <v>0</v>
      </c>
      <c r="AO63" s="122" t="str">
        <f>IFERROR(INDEX(база!$D$2:$D$120, MATCH(Таблица14[[#This Row],[Ф. И. О.]],база!$B$2:$B$100,0)),"")</f>
        <v/>
      </c>
    </row>
    <row r="64" spans="1:41" s="46" customFormat="1" ht="13.5" customHeight="1">
      <c r="A64" s="1074" t="str">
        <f t="shared" si="0"/>
        <v>январь</v>
      </c>
      <c r="B64" t="n" s="1074">
        <v>2024.0</v>
      </c>
      <c r="C64" t="s" s="1074">
        <v>386</v>
      </c>
      <c r="D64" t="s" s="1074">
        <v>364</v>
      </c>
      <c r="E64" t="s" s="1074">
        <v>46</v>
      </c>
      <c r="F64" t="s" s="1074">
        <v>251</v>
      </c>
      <c r="G64" t="s" s="1074">
        <v>4</v>
      </c>
      <c r="H64" s="1074"/>
      <c r="I64" s="1074"/>
      <c r="J64" s="1074"/>
      <c r="K64" s="1074"/>
      <c r="L64" s="1074"/>
      <c r="M64" s="1074"/>
      <c r="N64" s="1074"/>
      <c r="O64" s="1074"/>
      <c r="P64" t="n" s="1074">
        <v>4.0</v>
      </c>
      <c r="Q64" s="215"/>
      <c r="R64" s="215"/>
      <c r="S64" s="215"/>
      <c r="T64" s="215"/>
      <c r="U64" s="215"/>
      <c r="V64" s="215"/>
      <c r="W64" s="215"/>
      <c r="X64" s="215"/>
      <c r="Y64" s="215"/>
      <c r="Z64" s="215"/>
      <c r="AA64" s="215"/>
      <c r="AB64" s="215"/>
      <c r="AC64" s="215"/>
      <c r="AD64" s="215"/>
      <c r="AE64" s="215"/>
      <c r="AF64" s="215"/>
      <c r="AG64" s="215"/>
      <c r="AH64" s="215"/>
      <c r="AI64" s="215"/>
      <c r="AJ64" s="215"/>
      <c r="AK64" s="215"/>
      <c r="AL64" s="215"/>
      <c r="AM64" s="121">
        <f t="shared" si="1"/>
        <v>0</v>
      </c>
      <c r="AN64" s="564">
        <f>IF(AO64&lt;=3,(IF(AND(G64="5/24",AM64&gt;0.5),(AM64*2*база!$M$6*Таблица14[[#This Row],[коэф]]),
IF(AND(G64="4/24",AM64&gt;0.5),(AM64*2*база!$M$5*Таблица14[[#This Row],[коэф]]),
IF(AND(G64="3/24",AM64&gt;0.5),(AM64*2*база!$M$4*Таблица14[[#This Row],[коэф]]),
IF(AND(G64="5/16",AM64&gt;0.5),(AM64*2*база!$L$6*Таблица14[[#This Row],[коэф]]),
IF(AND(G64="4/16",AM64&gt;0.5),(AM64*2*база!$L$5*Таблица14[[#This Row],[коэф]]),
IF(AND(G64="3/16",AM64&gt;0.5),(AM64*2*база!$L$4*Таблица14[[#This Row],[коэф]]),
IF(AND(G64="4/4",AM64&gt;0.5),(AM64*2*база!$I$5*Таблица14[[#This Row],[коэф]]),
IF(OR(AND(G64="3/4",AM64&gt;0.5),AND(G64="2/4",AM64&gt;0.5)),(AM64*2*база!$I$4*Таблица14[[#This Row],[коэф]]),
IF(AND(G64="5/8",AM64&gt;0.5),(AM64*2*база!$J$6*Таблица14[[#This Row],[коэф]]),
IF(AND(G64="4/8",AM64&gt;0.5),(AM64*2*база!$J$5*Таблица14[[#This Row],[коэф]]),
IF(OR(AND(G64="3/8",AM64&gt;0.5),AND(G64="2/8",AM64&gt;0.5)),(AM64*2*база!$J$4*Таблица14[[#This Row],[коэф]]),
(AM64*0.5*база!$L$4*Таблица14[[#This Row],[коэф]]))))))))))))),
(IF(AND(G64="5/24",AM64&gt;0.5),(AM64*2*база!$M$6*Таблица14[[#This Row],[коэф]]),
IF(OR(AND(G64="4/24",AM64&gt;0.5),AND(G64="3/24",AM64&gt;0.5)),(AM64*2*база!$M$5*Таблица14[[#This Row],[коэф]]),
IF(AND(G64="5/16",AM64&gt;0.5),(AM64*2*база!$L$6*Таблица14[[#This Row],[коэф]]),
IF(OR(AND(G64="4/16",AM64&gt;0.5),AND(G64="3/16",AM64&gt;0.5)),(AM64*2*база!$L$5*Таблица14[[#This Row],[коэф]]),
IF(OR(AND(G64="4/4",AM64&gt;0.5),AND(G64="3/4",AM64&gt;2)),(AM64*2*база!$I$5*Таблица14[[#This Row],[коэф]]),
IF(AND(G64="5/8",AM64&gt;0.5),(AM64*2*база!$J$6*Таблица14[[#This Row],[коэф]]),
IF(AND(G64="4/8",AM64&gt;0.5),(AM64*2*база!$J$5*Таблица14[[#This Row],[коэф]]),
IF(OR(AND(G64="3/8",AM64&gt;0.5),AND(G64="2/8",AM64&gt;0.5)),(AM64*2*база!$J$4*Таблица14[[#This Row],[коэф]]),
(AM64*2*база!$L$5*Таблица14[[#This Row],[коэф]])))))))))))</f>
        <v>0</v>
      </c>
      <c r="AO64" s="122" t="str">
        <f>IFERROR(INDEX(база!$D$2:$D$120, MATCH(Таблица14[[#This Row],[Ф. И. О.]],база!$B$2:$B$100,0)),"")</f>
        <v/>
      </c>
    </row>
    <row r="65" spans="1:41" s="46" customFormat="1" ht="13.5" customHeight="1">
      <c r="A65" s="1075" t="str">
        <f t="shared" si="0"/>
        <v>январь</v>
      </c>
      <c r="B65" t="n" s="1075">
        <v>2024.0</v>
      </c>
      <c r="C65" t="s" s="1075">
        <v>386</v>
      </c>
      <c r="D65" t="s" s="1075">
        <v>364</v>
      </c>
      <c r="E65" t="s" s="1075">
        <v>46</v>
      </c>
      <c r="F65" t="s" s="1075">
        <v>298</v>
      </c>
      <c r="G65" t="s" s="1075">
        <v>4</v>
      </c>
      <c r="H65" s="1075"/>
      <c r="I65" s="1075"/>
      <c r="J65" s="1075"/>
      <c r="K65" s="1075"/>
      <c r="L65" s="1075"/>
      <c r="M65" s="1075"/>
      <c r="N65" s="1075"/>
      <c r="O65" s="1075"/>
      <c r="P65" t="n" s="1075">
        <v>4.0</v>
      </c>
      <c r="Q65" s="215"/>
      <c r="R65" s="215"/>
      <c r="S65" s="215"/>
      <c r="T65" s="215"/>
      <c r="U65" s="215"/>
      <c r="V65" s="215"/>
      <c r="W65" s="215"/>
      <c r="X65" s="215"/>
      <c r="Y65" s="215"/>
      <c r="Z65" s="215"/>
      <c r="AA65" s="215"/>
      <c r="AB65" s="215"/>
      <c r="AC65" s="215"/>
      <c r="AD65" s="215"/>
      <c r="AE65" s="215"/>
      <c r="AF65" s="215"/>
      <c r="AG65" s="215"/>
      <c r="AH65" s="215"/>
      <c r="AI65" s="215"/>
      <c r="AJ65" s="215"/>
      <c r="AK65" s="215"/>
      <c r="AL65" s="215"/>
      <c r="AM65" s="121">
        <f t="shared" si="1"/>
        <v>0</v>
      </c>
      <c r="AN65" s="564">
        <f>IF(AO65&lt;=3,(IF(AND(G65="5/24",AM65&gt;0.5),(AM65*2*база!$M$6*Таблица14[[#This Row],[коэф]]),
IF(AND(G65="4/24",AM65&gt;0.5),(AM65*2*база!$M$5*Таблица14[[#This Row],[коэф]]),
IF(AND(G65="3/24",AM65&gt;0.5),(AM65*2*база!$M$4*Таблица14[[#This Row],[коэф]]),
IF(AND(G65="5/16",AM65&gt;0.5),(AM65*2*база!$L$6*Таблица14[[#This Row],[коэф]]),
IF(AND(G65="4/16",AM65&gt;0.5),(AM65*2*база!$L$5*Таблица14[[#This Row],[коэф]]),
IF(AND(G65="3/16",AM65&gt;0.5),(AM65*2*база!$L$4*Таблица14[[#This Row],[коэф]]),
IF(AND(G65="4/4",AM65&gt;0.5),(AM65*2*база!$I$5*Таблица14[[#This Row],[коэф]]),
IF(OR(AND(G65="3/4",AM65&gt;0.5),AND(G65="2/4",AM65&gt;0.5)),(AM65*2*база!$I$4*Таблица14[[#This Row],[коэф]]),
IF(AND(G65="5/8",AM65&gt;0.5),(AM65*2*база!$J$6*Таблица14[[#This Row],[коэф]]),
IF(AND(G65="4/8",AM65&gt;0.5),(AM65*2*база!$J$5*Таблица14[[#This Row],[коэф]]),
IF(OR(AND(G65="3/8",AM65&gt;0.5),AND(G65="2/8",AM65&gt;0.5)),(AM65*2*база!$J$4*Таблица14[[#This Row],[коэф]]),
(AM65*0.5*база!$L$4*Таблица14[[#This Row],[коэф]]))))))))))))),
(IF(AND(G65="5/24",AM65&gt;0.5),(AM65*2*база!$M$6*Таблица14[[#This Row],[коэф]]),
IF(OR(AND(G65="4/24",AM65&gt;0.5),AND(G65="3/24",AM65&gt;0.5)),(AM65*2*база!$M$5*Таблица14[[#This Row],[коэф]]),
IF(AND(G65="5/16",AM65&gt;0.5),(AM65*2*база!$L$6*Таблица14[[#This Row],[коэф]]),
IF(OR(AND(G65="4/16",AM65&gt;0.5),AND(G65="3/16",AM65&gt;0.5)),(AM65*2*база!$L$5*Таблица14[[#This Row],[коэф]]),
IF(OR(AND(G65="4/4",AM65&gt;0.5),AND(G65="3/4",AM65&gt;2)),(AM65*2*база!$I$5*Таблица14[[#This Row],[коэф]]),
IF(AND(G65="5/8",AM65&gt;0.5),(AM65*2*база!$J$6*Таблица14[[#This Row],[коэф]]),
IF(AND(G65="4/8",AM65&gt;0.5),(AM65*2*база!$J$5*Таблица14[[#This Row],[коэф]]),
IF(OR(AND(G65="3/8",AM65&gt;0.5),AND(G65="2/8",AM65&gt;0.5)),(AM65*2*база!$J$4*Таблица14[[#This Row],[коэф]]),
(AM65*2*база!$L$5*Таблица14[[#This Row],[коэф]])))))))))))</f>
        <v>0</v>
      </c>
      <c r="AO65" s="122" t="str">
        <f>IFERROR(INDEX(база!$D$2:$D$120, MATCH(Таблица14[[#This Row],[Ф. И. О.]],база!$B$2:$B$100,0)),"")</f>
        <v/>
      </c>
    </row>
    <row r="66" spans="1:41" s="46" customFormat="1" ht="13.5" customHeight="1">
      <c r="A66" s="1078" t="str">
        <f t="shared" si="0"/>
        <v>январь</v>
      </c>
      <c r="B66" t="n" s="1078">
        <v>2024.0</v>
      </c>
      <c r="C66" t="s" s="1078">
        <v>396</v>
      </c>
      <c r="D66" t="s" s="1078">
        <v>364</v>
      </c>
      <c r="E66" t="s" s="1078">
        <v>389</v>
      </c>
      <c r="F66" t="s" s="1078">
        <v>296</v>
      </c>
      <c r="G66" t="s" s="1078">
        <v>5</v>
      </c>
      <c r="H66" s="1078"/>
      <c r="I66" s="1078"/>
      <c r="J66" s="1078"/>
      <c r="K66" s="1078"/>
      <c r="L66" s="1078"/>
      <c r="M66" s="1078"/>
      <c r="N66" s="1078"/>
      <c r="O66" s="1078"/>
      <c r="P66" t="n" s="1078">
        <v>4.0</v>
      </c>
      <c r="Q66" t="n" s="46">
        <v>4.0</v>
      </c>
      <c r="R66" t="n" s="46">
        <v>4.0</v>
      </c>
      <c r="S66" s="215"/>
      <c r="T66" s="215"/>
      <c r="U66" s="215"/>
      <c r="V66" s="215"/>
      <c r="W66" s="215"/>
      <c r="X66" s="215"/>
      <c r="Y66" s="215"/>
      <c r="Z66" s="215"/>
      <c r="AA66" s="215"/>
      <c r="AB66" s="215"/>
      <c r="AC66" s="215"/>
      <c r="AD66" s="215"/>
      <c r="AE66" s="215"/>
      <c r="AF66" s="215"/>
      <c r="AG66" s="215"/>
      <c r="AH66" s="215"/>
      <c r="AI66" s="215"/>
      <c r="AJ66" s="215"/>
      <c r="AK66" s="215"/>
      <c r="AL66" s="215"/>
      <c r="AM66" s="121">
        <f t="shared" si="1"/>
        <v>0</v>
      </c>
      <c r="AN66" s="564">
        <f>IF(AO66&lt;=3,(IF(AND(G66="5/24",AM66&gt;0.5),(AM66*2*база!$M$6*Таблица14[[#This Row],[коэф]]),
IF(AND(G66="4/24",AM66&gt;0.5),(AM66*2*база!$M$5*Таблица14[[#This Row],[коэф]]),
IF(AND(G66="3/24",AM66&gt;0.5),(AM66*2*база!$M$4*Таблица14[[#This Row],[коэф]]),
IF(AND(G66="5/16",AM66&gt;0.5),(AM66*2*база!$L$6*Таблица14[[#This Row],[коэф]]),
IF(AND(G66="4/16",AM66&gt;0.5),(AM66*2*база!$L$5*Таблица14[[#This Row],[коэф]]),
IF(AND(G66="3/16",AM66&gt;0.5),(AM66*2*база!$L$4*Таблица14[[#This Row],[коэф]]),
IF(AND(G66="4/4",AM66&gt;0.5),(AM66*2*база!$I$5*Таблица14[[#This Row],[коэф]]),
IF(OR(AND(G66="3/4",AM66&gt;0.5),AND(G66="2/4",AM66&gt;0.5)),(AM66*2*база!$I$4*Таблица14[[#This Row],[коэф]]),
IF(AND(G66="5/8",AM66&gt;0.5),(AM66*2*база!$J$6*Таблица14[[#This Row],[коэф]]),
IF(AND(G66="4/8",AM66&gt;0.5),(AM66*2*база!$J$5*Таблица14[[#This Row],[коэф]]),
IF(OR(AND(G66="3/8",AM66&gt;0.5),AND(G66="2/8",AM66&gt;0.5)),(AM66*2*база!$J$4*Таблица14[[#This Row],[коэф]]),
(AM66*0.5*база!$L$4*Таблица14[[#This Row],[коэф]]))))))))))))),
(IF(AND(G66="5/24",AM66&gt;0.5),(AM66*2*база!$M$6*Таблица14[[#This Row],[коэф]]),
IF(OR(AND(G66="4/24",AM66&gt;0.5),AND(G66="3/24",AM66&gt;0.5)),(AM66*2*база!$M$5*Таблица14[[#This Row],[коэф]]),
IF(AND(G66="5/16",AM66&gt;0.5),(AM66*2*база!$L$6*Таблица14[[#This Row],[коэф]]),
IF(OR(AND(G66="4/16",AM66&gt;0.5),AND(G66="3/16",AM66&gt;0.5)),(AM66*2*база!$L$5*Таблица14[[#This Row],[коэф]]),
IF(OR(AND(G66="4/4",AM66&gt;0.5),AND(G66="3/4",AM66&gt;2)),(AM66*2*база!$I$5*Таблица14[[#This Row],[коэф]]),
IF(AND(G66="5/8",AM66&gt;0.5),(AM66*2*база!$J$6*Таблица14[[#This Row],[коэф]]),
IF(AND(G66="4/8",AM66&gt;0.5),(AM66*2*база!$J$5*Таблица14[[#This Row],[коэф]]),
IF(OR(AND(G66="3/8",AM66&gt;0.5),AND(G66="2/8",AM66&gt;0.5)),(AM66*2*база!$J$4*Таблица14[[#This Row],[коэф]]),
(AM66*2*база!$L$5*Таблица14[[#This Row],[коэф]])))))))))))</f>
        <v>0</v>
      </c>
      <c r="AO66" s="122" t="str">
        <f>IFERROR(INDEX(база!$D$2:$D$120, MATCH(Таблица14[[#This Row],[Ф. И. О.]],база!$B$2:$B$100,0)),"")</f>
        <v/>
      </c>
    </row>
    <row r="67" spans="1:41" s="46" customFormat="1" ht="13.5" customHeight="1">
      <c r="A67" s="1081" t="str">
        <f t="shared" si="0"/>
        <v>январь</v>
      </c>
      <c r="B67" t="n" s="1081">
        <v>2024.0</v>
      </c>
      <c r="C67" t="s" s="1081">
        <v>388</v>
      </c>
      <c r="D67" t="s" s="1081">
        <v>364</v>
      </c>
      <c r="E67" t="s" s="1081">
        <v>46</v>
      </c>
      <c r="F67" t="s" s="1081">
        <v>295</v>
      </c>
      <c r="G67" t="s" s="1081">
        <v>4</v>
      </c>
      <c r="H67" s="1081"/>
      <c r="I67" s="1081"/>
      <c r="J67" s="1081"/>
      <c r="K67" s="1081"/>
      <c r="L67" s="1081"/>
      <c r="M67" s="1081"/>
      <c r="N67" s="1081"/>
      <c r="O67" s="1081"/>
      <c r="P67" t="n" s="1081">
        <v>3.3</v>
      </c>
      <c r="Q67" t="n" s="46">
        <v>4.0</v>
      </c>
      <c r="R67" t="n" s="46">
        <v>4.0</v>
      </c>
      <c r="S67" s="215"/>
      <c r="T67" s="215"/>
      <c r="U67" s="215"/>
      <c r="V67" s="215"/>
      <c r="W67" s="215"/>
      <c r="X67" s="215"/>
      <c r="Y67" s="215"/>
      <c r="Z67" s="215"/>
      <c r="AA67" s="215"/>
      <c r="AB67" s="215"/>
      <c r="AC67" s="215"/>
      <c r="AD67" s="215"/>
      <c r="AE67" s="215"/>
      <c r="AF67" s="215"/>
      <c r="AG67" s="215"/>
      <c r="AH67" s="215"/>
      <c r="AI67" s="215"/>
      <c r="AJ67" s="215"/>
      <c r="AK67" s="215"/>
      <c r="AL67" s="215"/>
      <c r="AM67" s="121">
        <f t="shared" si="1"/>
        <v>0</v>
      </c>
      <c r="AN67" s="564">
        <f>IF(AO67&lt;=3,(IF(AND(G67="5/24",AM67&gt;0.5),(AM67*2*база!$M$6*Таблица14[[#This Row],[коэф]]),
IF(AND(G67="4/24",AM67&gt;0.5),(AM67*2*база!$M$5*Таблица14[[#This Row],[коэф]]),
IF(AND(G67="3/24",AM67&gt;0.5),(AM67*2*база!$M$4*Таблица14[[#This Row],[коэф]]),
IF(AND(G67="5/16",AM67&gt;0.5),(AM67*2*база!$L$6*Таблица14[[#This Row],[коэф]]),
IF(AND(G67="4/16",AM67&gt;0.5),(AM67*2*база!$L$5*Таблица14[[#This Row],[коэф]]),
IF(AND(G67="3/16",AM67&gt;0.5),(AM67*2*база!$L$4*Таблица14[[#This Row],[коэф]]),
IF(AND(G67="4/4",AM67&gt;0.5),(AM67*2*база!$I$5*Таблица14[[#This Row],[коэф]]),
IF(OR(AND(G67="3/4",AM67&gt;0.5),AND(G67="2/4",AM67&gt;0.5)),(AM67*2*база!$I$4*Таблица14[[#This Row],[коэф]]),
IF(AND(G67="5/8",AM67&gt;0.5),(AM67*2*база!$J$6*Таблица14[[#This Row],[коэф]]),
IF(AND(G67="4/8",AM67&gt;0.5),(AM67*2*база!$J$5*Таблица14[[#This Row],[коэф]]),
IF(OR(AND(G67="3/8",AM67&gt;0.5),AND(G67="2/8",AM67&gt;0.5)),(AM67*2*база!$J$4*Таблица14[[#This Row],[коэф]]),
(AM67*0.5*база!$L$4*Таблица14[[#This Row],[коэф]]))))))))))))),
(IF(AND(G67="5/24",AM67&gt;0.5),(AM67*2*база!$M$6*Таблица14[[#This Row],[коэф]]),
IF(OR(AND(G67="4/24",AM67&gt;0.5),AND(G67="3/24",AM67&gt;0.5)),(AM67*2*база!$M$5*Таблица14[[#This Row],[коэф]]),
IF(AND(G67="5/16",AM67&gt;0.5),(AM67*2*база!$L$6*Таблица14[[#This Row],[коэф]]),
IF(OR(AND(G67="4/16",AM67&gt;0.5),AND(G67="3/16",AM67&gt;0.5)),(AM67*2*база!$L$5*Таблица14[[#This Row],[коэф]]),
IF(OR(AND(G67="4/4",AM67&gt;0.5),AND(G67="3/4",AM67&gt;2)),(AM67*2*база!$I$5*Таблица14[[#This Row],[коэф]]),
IF(AND(G67="5/8",AM67&gt;0.5),(AM67*2*база!$J$6*Таблица14[[#This Row],[коэф]]),
IF(AND(G67="4/8",AM67&gt;0.5),(AM67*2*база!$J$5*Таблица14[[#This Row],[коэф]]),
IF(OR(AND(G67="3/8",AM67&gt;0.5),AND(G67="2/8",AM67&gt;0.5)),(AM67*2*база!$J$4*Таблица14[[#This Row],[коэф]]),
(AM67*2*база!$L$5*Таблица14[[#This Row],[коэф]])))))))))))</f>
        <v>0</v>
      </c>
      <c r="AO67" s="122" t="str">
        <f>IFERROR(INDEX(база!$D$2:$D$120, MATCH(Таблица14[[#This Row],[Ф. И. О.]],база!$B$2:$B$100,0)),"")</f>
        <v/>
      </c>
    </row>
    <row r="68" spans="1:41" s="46" customFormat="1" ht="13.5" customHeight="1">
      <c r="A68" s="1082" t="str">
        <f t="shared" si="0"/>
        <v>январь</v>
      </c>
      <c r="B68" t="n" s="1082">
        <v>2024.0</v>
      </c>
      <c r="C68" t="s" s="1082">
        <v>396</v>
      </c>
      <c r="D68" t="s" s="1082">
        <v>364</v>
      </c>
      <c r="E68" t="s" s="1082">
        <v>46</v>
      </c>
      <c r="F68" t="s" s="1082">
        <v>310</v>
      </c>
      <c r="G68" t="s" s="1082">
        <v>71</v>
      </c>
      <c r="H68" s="1082"/>
      <c r="I68" s="1082"/>
      <c r="J68" s="1082"/>
      <c r="K68" s="1082"/>
      <c r="L68" s="1082"/>
      <c r="M68" s="1082"/>
      <c r="N68" s="1082"/>
      <c r="O68" s="1082"/>
      <c r="P68" t="n" s="1082">
        <v>4.0</v>
      </c>
      <c r="Q68" s="215"/>
      <c r="R68" s="215"/>
      <c r="S68" s="215"/>
      <c r="T68" s="215"/>
      <c r="U68" s="215"/>
      <c r="V68" s="215"/>
      <c r="W68" s="215"/>
      <c r="X68" s="215"/>
      <c r="Y68" s="215"/>
      <c r="Z68" s="215"/>
      <c r="AA68" s="215"/>
      <c r="AB68" s="215"/>
      <c r="AC68" s="215"/>
      <c r="AD68" s="215"/>
      <c r="AE68" s="215"/>
      <c r="AF68" s="215"/>
      <c r="AG68" s="215"/>
      <c r="AH68" s="215"/>
      <c r="AI68" s="215"/>
      <c r="AJ68" s="215"/>
      <c r="AK68" s="215"/>
      <c r="AL68" s="215"/>
      <c r="AM68" s="121">
        <f t="shared" ref="AM68:AM131" si="2">SUM(H68:AL68)</f>
        <v>0</v>
      </c>
      <c r="AN68" s="564">
        <f>IF(AO68&lt;=3,(IF(AND(G68="5/24",AM68&gt;0.5),(AM68*2*база!$M$6*Таблица14[[#This Row],[коэф]]),
IF(AND(G68="4/24",AM68&gt;0.5),(AM68*2*база!$M$5*Таблица14[[#This Row],[коэф]]),
IF(AND(G68="3/24",AM68&gt;0.5),(AM68*2*база!$M$4*Таблица14[[#This Row],[коэф]]),
IF(AND(G68="5/16",AM68&gt;0.5),(AM68*2*база!$L$6*Таблица14[[#This Row],[коэф]]),
IF(AND(G68="4/16",AM68&gt;0.5),(AM68*2*база!$L$5*Таблица14[[#This Row],[коэф]]),
IF(AND(G68="3/16",AM68&gt;0.5),(AM68*2*база!$L$4*Таблица14[[#This Row],[коэф]]),
IF(AND(G68="4/4",AM68&gt;0.5),(AM68*2*база!$I$5*Таблица14[[#This Row],[коэф]]),
IF(OR(AND(G68="3/4",AM68&gt;0.5),AND(G68="2/4",AM68&gt;0.5)),(AM68*2*база!$I$4*Таблица14[[#This Row],[коэф]]),
IF(AND(G68="5/8",AM68&gt;0.5),(AM68*2*база!$J$6*Таблица14[[#This Row],[коэф]]),
IF(AND(G68="4/8",AM68&gt;0.5),(AM68*2*база!$J$5*Таблица14[[#This Row],[коэф]]),
IF(OR(AND(G68="3/8",AM68&gt;0.5),AND(G68="2/8",AM68&gt;0.5)),(AM68*2*база!$J$4*Таблица14[[#This Row],[коэф]]),
(AM68*0.5*база!$L$4*Таблица14[[#This Row],[коэф]]))))))))))))),
(IF(AND(G68="5/24",AM68&gt;0.5),(AM68*2*база!$M$6*Таблица14[[#This Row],[коэф]]),
IF(OR(AND(G68="4/24",AM68&gt;0.5),AND(G68="3/24",AM68&gt;0.5)),(AM68*2*база!$M$5*Таблица14[[#This Row],[коэф]]),
IF(AND(G68="5/16",AM68&gt;0.5),(AM68*2*база!$L$6*Таблица14[[#This Row],[коэф]]),
IF(OR(AND(G68="4/16",AM68&gt;0.5),AND(G68="3/16",AM68&gt;0.5)),(AM68*2*база!$L$5*Таблица14[[#This Row],[коэф]]),
IF(OR(AND(G68="4/4",AM68&gt;0.5),AND(G68="3/4",AM68&gt;2)),(AM68*2*база!$I$5*Таблица14[[#This Row],[коэф]]),
IF(AND(G68="5/8",AM68&gt;0.5),(AM68*2*база!$J$6*Таблица14[[#This Row],[коэф]]),
IF(AND(G68="4/8",AM68&gt;0.5),(AM68*2*база!$J$5*Таблица14[[#This Row],[коэф]]),
IF(OR(AND(G68="3/8",AM68&gt;0.5),AND(G68="2/8",AM68&gt;0.5)),(AM68*2*база!$J$4*Таблица14[[#This Row],[коэф]]),
(AM68*2*база!$L$5*Таблица14[[#This Row],[коэф]])))))))))))</f>
        <v>0</v>
      </c>
      <c r="AO68" s="122" t="str">
        <f>IFERROR(INDEX(база!$D$2:$D$120, MATCH(Таблица14[[#This Row],[Ф. И. О.]],база!$B$2:$B$100,0)),"")</f>
        <v/>
      </c>
    </row>
    <row r="69" spans="1:41" s="46" customFormat="1" ht="13.5" customHeight="1">
      <c r="A69" s="1083" t="str">
        <f t="shared" si="0"/>
        <v>январь</v>
      </c>
      <c r="B69" t="n" s="1083">
        <v>2024.0</v>
      </c>
      <c r="C69" t="s" s="1083">
        <v>386</v>
      </c>
      <c r="D69" t="s" s="1083">
        <v>364</v>
      </c>
      <c r="E69" t="s" s="1083">
        <v>46</v>
      </c>
      <c r="F69" t="s" s="1083">
        <v>322</v>
      </c>
      <c r="G69" t="s" s="1083">
        <v>6</v>
      </c>
      <c r="H69" s="1083"/>
      <c r="I69" s="1083"/>
      <c r="J69" s="1083"/>
      <c r="K69" s="1083"/>
      <c r="L69" s="1083"/>
      <c r="M69" s="1083"/>
      <c r="N69" s="1083"/>
      <c r="O69" s="1083"/>
      <c r="P69" t="n" s="1083">
        <v>2.0</v>
      </c>
      <c r="Q69" s="215"/>
      <c r="R69" s="215"/>
      <c r="S69" s="215"/>
      <c r="T69" s="215"/>
      <c r="U69" s="215"/>
      <c r="V69" s="215"/>
      <c r="W69" s="215"/>
      <c r="X69" s="215"/>
      <c r="Y69" s="215"/>
      <c r="Z69" s="215"/>
      <c r="AA69" s="215"/>
      <c r="AB69" s="215"/>
      <c r="AC69" s="215"/>
      <c r="AD69" s="215"/>
      <c r="AE69" s="215"/>
      <c r="AF69" s="215"/>
      <c r="AG69" s="215"/>
      <c r="AH69" s="215"/>
      <c r="AI69" s="215"/>
      <c r="AJ69" s="215"/>
      <c r="AK69" s="215"/>
      <c r="AL69" s="215"/>
      <c r="AM69" s="121">
        <f t="shared" si="2"/>
        <v>0</v>
      </c>
      <c r="AN69" s="564">
        <f>IF(AO69&lt;=3,(IF(AND(G69="5/24",AM69&gt;0.5),(AM69*2*база!$M$6*Таблица14[[#This Row],[коэф]]),
IF(AND(G69="4/24",AM69&gt;0.5),(AM69*2*база!$M$5*Таблица14[[#This Row],[коэф]]),
IF(AND(G69="3/24",AM69&gt;0.5),(AM69*2*база!$M$4*Таблица14[[#This Row],[коэф]]),
IF(AND(G69="5/16",AM69&gt;0.5),(AM69*2*база!$L$6*Таблица14[[#This Row],[коэф]]),
IF(AND(G69="4/16",AM69&gt;0.5),(AM69*2*база!$L$5*Таблица14[[#This Row],[коэф]]),
IF(AND(G69="3/16",AM69&gt;0.5),(AM69*2*база!$L$4*Таблица14[[#This Row],[коэф]]),
IF(AND(G69="4/4",AM69&gt;0.5),(AM69*2*база!$I$5*Таблица14[[#This Row],[коэф]]),
IF(OR(AND(G69="3/4",AM69&gt;0.5),AND(G69="2/4",AM69&gt;0.5)),(AM69*2*база!$I$4*Таблица14[[#This Row],[коэф]]),
IF(AND(G69="5/8",AM69&gt;0.5),(AM69*2*база!$J$6*Таблица14[[#This Row],[коэф]]),
IF(AND(G69="4/8",AM69&gt;0.5),(AM69*2*база!$J$5*Таблица14[[#This Row],[коэф]]),
IF(OR(AND(G69="3/8",AM69&gt;0.5),AND(G69="2/8",AM69&gt;0.5)),(AM69*2*база!$J$4*Таблица14[[#This Row],[коэф]]),
(AM69*0.5*база!$L$4*Таблица14[[#This Row],[коэф]]))))))))))))),
(IF(AND(G69="5/24",AM69&gt;0.5),(AM69*2*база!$M$6*Таблица14[[#This Row],[коэф]]),
IF(OR(AND(G69="4/24",AM69&gt;0.5),AND(G69="3/24",AM69&gt;0.5)),(AM69*2*база!$M$5*Таблица14[[#This Row],[коэф]]),
IF(AND(G69="5/16",AM69&gt;0.5),(AM69*2*база!$L$6*Таблица14[[#This Row],[коэф]]),
IF(OR(AND(G69="4/16",AM69&gt;0.5),AND(G69="3/16",AM69&gt;0.5)),(AM69*2*база!$L$5*Таблица14[[#This Row],[коэф]]),
IF(OR(AND(G69="4/4",AM69&gt;0.5),AND(G69="3/4",AM69&gt;2)),(AM69*2*база!$I$5*Таблица14[[#This Row],[коэф]]),
IF(AND(G69="5/8",AM69&gt;0.5),(AM69*2*база!$J$6*Таблица14[[#This Row],[коэф]]),
IF(AND(G69="4/8",AM69&gt;0.5),(AM69*2*база!$J$5*Таблица14[[#This Row],[коэф]]),
IF(OR(AND(G69="3/8",AM69&gt;0.5),AND(G69="2/8",AM69&gt;0.5)),(AM69*2*база!$J$4*Таблица14[[#This Row],[коэф]]),
(AM69*2*база!$L$5*Таблица14[[#This Row],[коэф]])))))))))))</f>
        <v>0</v>
      </c>
      <c r="AO69" s="122" t="str">
        <f>IFERROR(INDEX(база!$D$2:$D$120, MATCH(Таблица14[[#This Row],[Ф. И. О.]],база!$B$2:$B$100,0)),"")</f>
        <v/>
      </c>
    </row>
    <row r="70" spans="1:41" s="46" customFormat="1" ht="13.5" customHeight="1">
      <c r="A70" s="1087" t="str">
        <f t="shared" si="0"/>
        <v>январь</v>
      </c>
      <c r="B70" t="n" s="1087">
        <v>2024.0</v>
      </c>
      <c r="C70" t="s" s="1087">
        <v>386</v>
      </c>
      <c r="D70" t="s" s="1087">
        <v>364</v>
      </c>
      <c r="E70" t="s" s="1087">
        <v>46</v>
      </c>
      <c r="F70" t="s" s="1087">
        <v>281</v>
      </c>
      <c r="G70" t="s" s="1087">
        <v>4</v>
      </c>
      <c r="H70" s="1087"/>
      <c r="I70" s="1087"/>
      <c r="J70" s="1087"/>
      <c r="K70" s="1087"/>
      <c r="L70" s="1087"/>
      <c r="M70" s="1087"/>
      <c r="N70" s="1087"/>
      <c r="O70" s="1087"/>
      <c r="P70" t="n" s="1087">
        <v>2.0</v>
      </c>
      <c r="Q70" s="215"/>
      <c r="R70" s="215"/>
      <c r="S70" s="215"/>
      <c r="T70" s="215"/>
      <c r="U70" s="215"/>
      <c r="V70" s="215"/>
      <c r="W70" s="215"/>
      <c r="X70" s="215"/>
      <c r="Y70" s="215"/>
      <c r="Z70" s="215"/>
      <c r="AA70" s="215"/>
      <c r="AB70" s="215"/>
      <c r="AC70" s="215"/>
      <c r="AD70" s="215"/>
      <c r="AE70" s="215"/>
      <c r="AF70" s="215"/>
      <c r="AG70" s="215"/>
      <c r="AH70" s="215"/>
      <c r="AI70" s="215"/>
      <c r="AJ70" s="215"/>
      <c r="AK70" s="215"/>
      <c r="AL70" s="215"/>
      <c r="AM70" s="121">
        <f t="shared" si="2"/>
        <v>0</v>
      </c>
      <c r="AN70" s="564">
        <f>IF(AO70&lt;=3,(IF(AND(G70="5/24",AM70&gt;0.5),(AM70*2*база!$M$6*Таблица14[[#This Row],[коэф]]),
IF(AND(G70="4/24",AM70&gt;0.5),(AM70*2*база!$M$5*Таблица14[[#This Row],[коэф]]),
IF(AND(G70="3/24",AM70&gt;0.5),(AM70*2*база!$M$4*Таблица14[[#This Row],[коэф]]),
IF(AND(G70="5/16",AM70&gt;0.5),(AM70*2*база!$L$6*Таблица14[[#This Row],[коэф]]),
IF(AND(G70="4/16",AM70&gt;0.5),(AM70*2*база!$L$5*Таблица14[[#This Row],[коэф]]),
IF(AND(G70="3/16",AM70&gt;0.5),(AM70*2*база!$L$4*Таблица14[[#This Row],[коэф]]),
IF(AND(G70="4/4",AM70&gt;0.5),(AM70*2*база!$I$5*Таблица14[[#This Row],[коэф]]),
IF(OR(AND(G70="3/4",AM70&gt;0.5),AND(G70="2/4",AM70&gt;0.5)),(AM70*2*база!$I$4*Таблица14[[#This Row],[коэф]]),
IF(AND(G70="5/8",AM70&gt;0.5),(AM70*2*база!$J$6*Таблица14[[#This Row],[коэф]]),
IF(AND(G70="4/8",AM70&gt;0.5),(AM70*2*база!$J$5*Таблица14[[#This Row],[коэф]]),
IF(OR(AND(G70="3/8",AM70&gt;0.5),AND(G70="2/8",AM70&gt;0.5)),(AM70*2*база!$J$4*Таблица14[[#This Row],[коэф]]),
(AM70*0.5*база!$L$4*Таблица14[[#This Row],[коэф]]))))))))))))),
(IF(AND(G70="5/24",AM70&gt;0.5),(AM70*2*база!$M$6*Таблица14[[#This Row],[коэф]]),
IF(OR(AND(G70="4/24",AM70&gt;0.5),AND(G70="3/24",AM70&gt;0.5)),(AM70*2*база!$M$5*Таблица14[[#This Row],[коэф]]),
IF(AND(G70="5/16",AM70&gt;0.5),(AM70*2*база!$L$6*Таблица14[[#This Row],[коэф]]),
IF(OR(AND(G70="4/16",AM70&gt;0.5),AND(G70="3/16",AM70&gt;0.5)),(AM70*2*база!$L$5*Таблица14[[#This Row],[коэф]]),
IF(OR(AND(G70="4/4",AM70&gt;0.5),AND(G70="3/4",AM70&gt;2)),(AM70*2*база!$I$5*Таблица14[[#This Row],[коэф]]),
IF(AND(G70="5/8",AM70&gt;0.5),(AM70*2*база!$J$6*Таблица14[[#This Row],[коэф]]),
IF(AND(G70="4/8",AM70&gt;0.5),(AM70*2*база!$J$5*Таблица14[[#This Row],[коэф]]),
IF(OR(AND(G70="3/8",AM70&gt;0.5),AND(G70="2/8",AM70&gt;0.5)),(AM70*2*база!$J$4*Таблица14[[#This Row],[коэф]]),
(AM70*2*база!$L$5*Таблица14[[#This Row],[коэф]])))))))))))</f>
        <v>0</v>
      </c>
      <c r="AO70" s="122" t="str">
        <f>IFERROR(INDEX(база!$D$2:$D$120, MATCH(Таблица14[[#This Row],[Ф. И. О.]],база!$B$2:$B$100,0)),"")</f>
        <v/>
      </c>
    </row>
    <row r="71" spans="1:41" s="46" customFormat="1" ht="13.5" customHeight="1">
      <c r="A71" s="1088" t="str">
        <f t="shared" si="0"/>
        <v>январь</v>
      </c>
      <c r="B71" t="n" s="1088">
        <v>2024.0</v>
      </c>
      <c r="C71" t="s" s="1088">
        <v>387</v>
      </c>
      <c r="D71" t="s" s="1088">
        <v>364</v>
      </c>
      <c r="E71" t="s" s="1088">
        <v>46</v>
      </c>
      <c r="F71" t="s" s="1088">
        <v>272</v>
      </c>
      <c r="G71" t="s" s="1088">
        <v>31</v>
      </c>
      <c r="H71" s="1088"/>
      <c r="I71" s="1088"/>
      <c r="J71" s="1088"/>
      <c r="K71" s="1088"/>
      <c r="L71" s="1088"/>
      <c r="M71" s="1088"/>
      <c r="N71" s="1088"/>
      <c r="O71" s="1088"/>
      <c r="P71" t="n" s="1088">
        <v>4.0</v>
      </c>
      <c r="Q71" s="215"/>
      <c r="R71" s="215"/>
      <c r="S71" s="215"/>
      <c r="T71" s="215"/>
      <c r="U71" s="215"/>
      <c r="V71" s="215"/>
      <c r="W71" s="215"/>
      <c r="X71" s="215"/>
      <c r="Y71" s="215"/>
      <c r="Z71" s="215"/>
      <c r="AA71" s="215"/>
      <c r="AB71" s="215"/>
      <c r="AC71" s="215"/>
      <c r="AD71" s="215"/>
      <c r="AE71" s="215"/>
      <c r="AF71" s="215"/>
      <c r="AG71" s="215"/>
      <c r="AH71" s="215"/>
      <c r="AI71" s="215"/>
      <c r="AJ71" s="215"/>
      <c r="AK71" s="215"/>
      <c r="AL71" s="215"/>
      <c r="AM71" s="121">
        <f t="shared" si="2"/>
        <v>0</v>
      </c>
      <c r="AN71" s="564">
        <f>IF(AO71&lt;=3,(IF(AND(G71="5/24",AM71&gt;0.5),(AM71*2*база!$M$6*Таблица14[[#This Row],[коэф]]),
IF(AND(G71="4/24",AM71&gt;0.5),(AM71*2*база!$M$5*Таблица14[[#This Row],[коэф]]),
IF(AND(G71="3/24",AM71&gt;0.5),(AM71*2*база!$M$4*Таблица14[[#This Row],[коэф]]),
IF(AND(G71="5/16",AM71&gt;0.5),(AM71*2*база!$L$6*Таблица14[[#This Row],[коэф]]),
IF(AND(G71="4/16",AM71&gt;0.5),(AM71*2*база!$L$5*Таблица14[[#This Row],[коэф]]),
IF(AND(G71="3/16",AM71&gt;0.5),(AM71*2*база!$L$4*Таблица14[[#This Row],[коэф]]),
IF(AND(G71="4/4",AM71&gt;0.5),(AM71*2*база!$I$5*Таблица14[[#This Row],[коэф]]),
IF(OR(AND(G71="3/4",AM71&gt;0.5),AND(G71="2/4",AM71&gt;0.5)),(AM71*2*база!$I$4*Таблица14[[#This Row],[коэф]]),
IF(AND(G71="5/8",AM71&gt;0.5),(AM71*2*база!$J$6*Таблица14[[#This Row],[коэф]]),
IF(AND(G71="4/8",AM71&gt;0.5),(AM71*2*база!$J$5*Таблица14[[#This Row],[коэф]]),
IF(OR(AND(G71="3/8",AM71&gt;0.5),AND(G71="2/8",AM71&gt;0.5)),(AM71*2*база!$J$4*Таблица14[[#This Row],[коэф]]),
(AM71*0.5*база!$L$4*Таблица14[[#This Row],[коэф]]))))))))))))),
(IF(AND(G71="5/24",AM71&gt;0.5),(AM71*2*база!$M$6*Таблица14[[#This Row],[коэф]]),
IF(OR(AND(G71="4/24",AM71&gt;0.5),AND(G71="3/24",AM71&gt;0.5)),(AM71*2*база!$M$5*Таблица14[[#This Row],[коэф]]),
IF(AND(G71="5/16",AM71&gt;0.5),(AM71*2*база!$L$6*Таблица14[[#This Row],[коэф]]),
IF(OR(AND(G71="4/16",AM71&gt;0.5),AND(G71="3/16",AM71&gt;0.5)),(AM71*2*база!$L$5*Таблица14[[#This Row],[коэф]]),
IF(OR(AND(G71="4/4",AM71&gt;0.5),AND(G71="3/4",AM71&gt;2)),(AM71*2*база!$I$5*Таблица14[[#This Row],[коэф]]),
IF(AND(G71="5/8",AM71&gt;0.5),(AM71*2*база!$J$6*Таблица14[[#This Row],[коэф]]),
IF(AND(G71="4/8",AM71&gt;0.5),(AM71*2*база!$J$5*Таблица14[[#This Row],[коэф]]),
IF(OR(AND(G71="3/8",AM71&gt;0.5),AND(G71="2/8",AM71&gt;0.5)),(AM71*2*база!$J$4*Таблица14[[#This Row],[коэф]]),
(AM71*2*база!$L$5*Таблица14[[#This Row],[коэф]])))))))))))</f>
        <v>0</v>
      </c>
      <c r="AO71" s="122" t="str">
        <f>IFERROR(INDEX(база!$D$2:$D$120, MATCH(Таблица14[[#This Row],[Ф. И. О.]],база!$B$2:$B$100,0)),"")</f>
        <v/>
      </c>
    </row>
    <row r="72" spans="1:41" s="46" customFormat="1" ht="13.5" customHeight="1">
      <c r="A72" s="1097" t="str">
        <f t="shared" si="0"/>
        <v>январь</v>
      </c>
      <c r="B72" t="n" s="1097">
        <v>2024.0</v>
      </c>
      <c r="C72" t="s" s="1097">
        <v>388</v>
      </c>
      <c r="D72" t="s" s="1097">
        <v>364</v>
      </c>
      <c r="E72" t="s" s="1097">
        <v>46</v>
      </c>
      <c r="F72" t="s" s="1097">
        <v>376</v>
      </c>
      <c r="G72" t="s" s="1097">
        <v>4</v>
      </c>
      <c r="H72" s="1097"/>
      <c r="I72" s="1097"/>
      <c r="J72" s="1097"/>
      <c r="K72" s="1097"/>
      <c r="L72" s="1097"/>
      <c r="M72" s="1097"/>
      <c r="N72" s="1097"/>
      <c r="O72" s="1097"/>
      <c r="P72" s="1097"/>
      <c r="Q72" t="n" s="1097">
        <v>1.0</v>
      </c>
      <c r="R72" s="215"/>
      <c r="S72" s="215"/>
      <c r="T72" s="215"/>
      <c r="U72" s="215"/>
      <c r="V72" s="215"/>
      <c r="W72" s="215"/>
      <c r="X72" s="215"/>
      <c r="Y72" s="215"/>
      <c r="Z72" s="215"/>
      <c r="AA72" s="215"/>
      <c r="AB72" s="215"/>
      <c r="AC72" s="215"/>
      <c r="AD72" s="215"/>
      <c r="AE72" s="215"/>
      <c r="AF72" s="215"/>
      <c r="AG72" s="215"/>
      <c r="AH72" s="215"/>
      <c r="AI72" s="215"/>
      <c r="AJ72" s="215"/>
      <c r="AK72" s="215"/>
      <c r="AL72" s="215"/>
      <c r="AM72" s="121">
        <f t="shared" si="2"/>
        <v>0</v>
      </c>
      <c r="AN72" s="564">
        <f>IF(AO72&lt;=3,(IF(AND(G72="5/24",AM72&gt;0.5),(AM72*2*база!$M$6*Таблица14[[#This Row],[коэф]]),
IF(AND(G72="4/24",AM72&gt;0.5),(AM72*2*база!$M$5*Таблица14[[#This Row],[коэф]]),
IF(AND(G72="3/24",AM72&gt;0.5),(AM72*2*база!$M$4*Таблица14[[#This Row],[коэф]]),
IF(AND(G72="5/16",AM72&gt;0.5),(AM72*2*база!$L$6*Таблица14[[#This Row],[коэф]]),
IF(AND(G72="4/16",AM72&gt;0.5),(AM72*2*база!$L$5*Таблица14[[#This Row],[коэф]]),
IF(AND(G72="3/16",AM72&gt;0.5),(AM72*2*база!$L$4*Таблица14[[#This Row],[коэф]]),
IF(AND(G72="4/4",AM72&gt;0.5),(AM72*2*база!$I$5*Таблица14[[#This Row],[коэф]]),
IF(OR(AND(G72="3/4",AM72&gt;0.5),AND(G72="2/4",AM72&gt;0.5)),(AM72*2*база!$I$4*Таблица14[[#This Row],[коэф]]),
IF(AND(G72="5/8",AM72&gt;0.5),(AM72*2*база!$J$6*Таблица14[[#This Row],[коэф]]),
IF(AND(G72="4/8",AM72&gt;0.5),(AM72*2*база!$J$5*Таблица14[[#This Row],[коэф]]),
IF(OR(AND(G72="3/8",AM72&gt;0.5),AND(G72="2/8",AM72&gt;0.5)),(AM72*2*база!$J$4*Таблица14[[#This Row],[коэф]]),
(AM72*0.5*база!$L$4*Таблица14[[#This Row],[коэф]]))))))))))))),
(IF(AND(G72="5/24",AM72&gt;0.5),(AM72*2*база!$M$6*Таблица14[[#This Row],[коэф]]),
IF(OR(AND(G72="4/24",AM72&gt;0.5),AND(G72="3/24",AM72&gt;0.5)),(AM72*2*база!$M$5*Таблица14[[#This Row],[коэф]]),
IF(AND(G72="5/16",AM72&gt;0.5),(AM72*2*база!$L$6*Таблица14[[#This Row],[коэф]]),
IF(OR(AND(G72="4/16",AM72&gt;0.5),AND(G72="3/16",AM72&gt;0.5)),(AM72*2*база!$L$5*Таблица14[[#This Row],[коэф]]),
IF(OR(AND(G72="4/4",AM72&gt;0.5),AND(G72="3/4",AM72&gt;2)),(AM72*2*база!$I$5*Таблица14[[#This Row],[коэф]]),
IF(AND(G72="5/8",AM72&gt;0.5),(AM72*2*база!$J$6*Таблица14[[#This Row],[коэф]]),
IF(AND(G72="4/8",AM72&gt;0.5),(AM72*2*база!$J$5*Таблица14[[#This Row],[коэф]]),
IF(OR(AND(G72="3/8",AM72&gt;0.5),AND(G72="2/8",AM72&gt;0.5)),(AM72*2*база!$J$4*Таблица14[[#This Row],[коэф]]),
(AM72*2*база!$L$5*Таблица14[[#This Row],[коэф]])))))))))))</f>
        <v>0</v>
      </c>
      <c r="AO72" s="122" t="str">
        <f>IFERROR(INDEX(база!$D$2:$D$120, MATCH(Таблица14[[#This Row],[Ф. И. О.]],база!$B$2:$B$100,0)),"")</f>
        <v/>
      </c>
    </row>
    <row r="73" spans="1:41" s="46" customFormat="1" ht="13.5" customHeight="1">
      <c r="A73" s="1099" t="str">
        <f t="shared" si="0"/>
        <v>январь</v>
      </c>
      <c r="B73" t="n" s="1099">
        <v>2024.0</v>
      </c>
      <c r="C73" t="s" s="1099">
        <v>388</v>
      </c>
      <c r="D73" t="s" s="1099">
        <v>364</v>
      </c>
      <c r="E73" t="s" s="1099">
        <v>46</v>
      </c>
      <c r="F73" t="s" s="1099">
        <v>259</v>
      </c>
      <c r="G73" t="s" s="1099">
        <v>4</v>
      </c>
      <c r="H73" s="1099"/>
      <c r="I73" s="1099"/>
      <c r="J73" s="1099"/>
      <c r="K73" s="1099"/>
      <c r="L73" s="1099"/>
      <c r="M73" s="1099"/>
      <c r="N73" s="1099"/>
      <c r="O73" s="1099"/>
      <c r="P73" s="1099"/>
      <c r="Q73" t="n" s="1099">
        <v>4.0</v>
      </c>
      <c r="R73" s="215"/>
      <c r="S73" s="215"/>
      <c r="T73" s="215"/>
      <c r="U73" s="215"/>
      <c r="V73" s="215"/>
      <c r="W73" s="215"/>
      <c r="X73" s="215"/>
      <c r="Y73" s="215"/>
      <c r="Z73" s="215"/>
      <c r="AA73" s="215"/>
      <c r="AB73" s="215"/>
      <c r="AC73" s="215"/>
      <c r="AD73" s="215"/>
      <c r="AE73" s="215"/>
      <c r="AF73" s="215"/>
      <c r="AG73" s="215"/>
      <c r="AH73" s="215"/>
      <c r="AI73" s="215"/>
      <c r="AJ73" s="215"/>
      <c r="AK73" s="215"/>
      <c r="AL73" s="215"/>
      <c r="AM73" s="121">
        <f t="shared" si="2"/>
        <v>0</v>
      </c>
      <c r="AN73" s="564">
        <f>IF(AO73&lt;=3,(IF(AND(G73="5/24",AM73&gt;0.5),(AM73*2*база!$M$6*Таблица14[[#This Row],[коэф]]),
IF(AND(G73="4/24",AM73&gt;0.5),(AM73*2*база!$M$5*Таблица14[[#This Row],[коэф]]),
IF(AND(G73="3/24",AM73&gt;0.5),(AM73*2*база!$M$4*Таблица14[[#This Row],[коэф]]),
IF(AND(G73="5/16",AM73&gt;0.5),(AM73*2*база!$L$6*Таблица14[[#This Row],[коэф]]),
IF(AND(G73="4/16",AM73&gt;0.5),(AM73*2*база!$L$5*Таблица14[[#This Row],[коэф]]),
IF(AND(G73="3/16",AM73&gt;0.5),(AM73*2*база!$L$4*Таблица14[[#This Row],[коэф]]),
IF(AND(G73="4/4",AM73&gt;0.5),(AM73*2*база!$I$5*Таблица14[[#This Row],[коэф]]),
IF(OR(AND(G73="3/4",AM73&gt;0.5),AND(G73="2/4",AM73&gt;0.5)),(AM73*2*база!$I$4*Таблица14[[#This Row],[коэф]]),
IF(AND(G73="5/8",AM73&gt;0.5),(AM73*2*база!$J$6*Таблица14[[#This Row],[коэф]]),
IF(AND(G73="4/8",AM73&gt;0.5),(AM73*2*база!$J$5*Таблица14[[#This Row],[коэф]]),
IF(OR(AND(G73="3/8",AM73&gt;0.5),AND(G73="2/8",AM73&gt;0.5)),(AM73*2*база!$J$4*Таблица14[[#This Row],[коэф]]),
(AM73*0.5*база!$L$4*Таблица14[[#This Row],[коэф]]))))))))))))),
(IF(AND(G73="5/24",AM73&gt;0.5),(AM73*2*база!$M$6*Таблица14[[#This Row],[коэф]]),
IF(OR(AND(G73="4/24",AM73&gt;0.5),AND(G73="3/24",AM73&gt;0.5)),(AM73*2*база!$M$5*Таблица14[[#This Row],[коэф]]),
IF(AND(G73="5/16",AM73&gt;0.5),(AM73*2*база!$L$6*Таблица14[[#This Row],[коэф]]),
IF(OR(AND(G73="4/16",AM73&gt;0.5),AND(G73="3/16",AM73&gt;0.5)),(AM73*2*база!$L$5*Таблица14[[#This Row],[коэф]]),
IF(OR(AND(G73="4/4",AM73&gt;0.5),AND(G73="3/4",AM73&gt;2)),(AM73*2*база!$I$5*Таблица14[[#This Row],[коэф]]),
IF(AND(G73="5/8",AM73&gt;0.5),(AM73*2*база!$J$6*Таблица14[[#This Row],[коэф]]),
IF(AND(G73="4/8",AM73&gt;0.5),(AM73*2*база!$J$5*Таблица14[[#This Row],[коэф]]),
IF(OR(AND(G73="3/8",AM73&gt;0.5),AND(G73="2/8",AM73&gt;0.5)),(AM73*2*база!$J$4*Таблица14[[#This Row],[коэф]]),
(AM73*2*база!$L$5*Таблица14[[#This Row],[коэф]])))))))))))</f>
        <v>0</v>
      </c>
      <c r="AO73" s="122" t="str">
        <f>IFERROR(INDEX(база!$D$2:$D$120, MATCH(Таблица14[[#This Row],[Ф. И. О.]],база!$B$2:$B$100,0)),"")</f>
        <v/>
      </c>
    </row>
    <row r="74" spans="1:41" s="46" customFormat="1" ht="13.5" customHeight="1">
      <c r="A74" s="1101" t="str">
        <f t="shared" si="0"/>
        <v>январь</v>
      </c>
      <c r="B74" t="n" s="1101">
        <v>2024.0</v>
      </c>
      <c r="C74" t="s" s="1101">
        <v>388</v>
      </c>
      <c r="D74" t="s" s="1101">
        <v>364</v>
      </c>
      <c r="E74" t="s" s="1101">
        <v>46</v>
      </c>
      <c r="F74" t="s" s="1101">
        <v>264</v>
      </c>
      <c r="G74" t="s" s="1101">
        <v>4</v>
      </c>
      <c r="H74" s="1101"/>
      <c r="I74" s="1101"/>
      <c r="J74" s="1101"/>
      <c r="K74" s="1101"/>
      <c r="L74" s="1101"/>
      <c r="M74" s="1101"/>
      <c r="N74" s="1101"/>
      <c r="O74" s="1101"/>
      <c r="P74" t="n" s="1101">
        <v>4.0</v>
      </c>
      <c r="Q74" t="n" s="46">
        <v>4.0</v>
      </c>
      <c r="R74" s="215"/>
      <c r="S74" s="215"/>
      <c r="T74" s="215"/>
      <c r="U74" s="215"/>
      <c r="V74" s="215"/>
      <c r="W74" s="215"/>
      <c r="X74" s="215"/>
      <c r="Y74" s="215"/>
      <c r="Z74" s="215"/>
      <c r="AA74" s="215"/>
      <c r="AB74" s="215"/>
      <c r="AC74" s="215"/>
      <c r="AD74" s="215"/>
      <c r="AE74" s="215"/>
      <c r="AF74" s="215"/>
      <c r="AG74" s="215"/>
      <c r="AH74" s="215"/>
      <c r="AI74" s="215"/>
      <c r="AJ74" s="215"/>
      <c r="AK74" s="215"/>
      <c r="AL74" s="215"/>
      <c r="AM74" s="121">
        <f t="shared" si="2"/>
        <v>0</v>
      </c>
      <c r="AN74" s="564">
        <f>IF(AO74&lt;=3,(IF(AND(G74="5/24",AM74&gt;0.5),(AM74*2*база!$M$6*Таблица14[[#This Row],[коэф]]),
IF(AND(G74="4/24",AM74&gt;0.5),(AM74*2*база!$M$5*Таблица14[[#This Row],[коэф]]),
IF(AND(G74="3/24",AM74&gt;0.5),(AM74*2*база!$M$4*Таблица14[[#This Row],[коэф]]),
IF(AND(G74="5/16",AM74&gt;0.5),(AM74*2*база!$L$6*Таблица14[[#This Row],[коэф]]),
IF(AND(G74="4/16",AM74&gt;0.5),(AM74*2*база!$L$5*Таблица14[[#This Row],[коэф]]),
IF(AND(G74="3/16",AM74&gt;0.5),(AM74*2*база!$L$4*Таблица14[[#This Row],[коэф]]),
IF(AND(G74="4/4",AM74&gt;0.5),(AM74*2*база!$I$5*Таблица14[[#This Row],[коэф]]),
IF(OR(AND(G74="3/4",AM74&gt;0.5),AND(G74="2/4",AM74&gt;0.5)),(AM74*2*база!$I$4*Таблица14[[#This Row],[коэф]]),
IF(AND(G74="5/8",AM74&gt;0.5),(AM74*2*база!$J$6*Таблица14[[#This Row],[коэф]]),
IF(AND(G74="4/8",AM74&gt;0.5),(AM74*2*база!$J$5*Таблица14[[#This Row],[коэф]]),
IF(OR(AND(G74="3/8",AM74&gt;0.5),AND(G74="2/8",AM74&gt;0.5)),(AM74*2*база!$J$4*Таблица14[[#This Row],[коэф]]),
(AM74*0.5*база!$L$4*Таблица14[[#This Row],[коэф]]))))))))))))),
(IF(AND(G74="5/24",AM74&gt;0.5),(AM74*2*база!$M$6*Таблица14[[#This Row],[коэф]]),
IF(OR(AND(G74="4/24",AM74&gt;0.5),AND(G74="3/24",AM74&gt;0.5)),(AM74*2*база!$M$5*Таблица14[[#This Row],[коэф]]),
IF(AND(G74="5/16",AM74&gt;0.5),(AM74*2*база!$L$6*Таблица14[[#This Row],[коэф]]),
IF(OR(AND(G74="4/16",AM74&gt;0.5),AND(G74="3/16",AM74&gt;0.5)),(AM74*2*база!$L$5*Таблица14[[#This Row],[коэф]]),
IF(OR(AND(G74="4/4",AM74&gt;0.5),AND(G74="3/4",AM74&gt;2)),(AM74*2*база!$I$5*Таблица14[[#This Row],[коэф]]),
IF(AND(G74="5/8",AM74&gt;0.5),(AM74*2*база!$J$6*Таблица14[[#This Row],[коэф]]),
IF(AND(G74="4/8",AM74&gt;0.5),(AM74*2*база!$J$5*Таблица14[[#This Row],[коэф]]),
IF(OR(AND(G74="3/8",AM74&gt;0.5),AND(G74="2/8",AM74&gt;0.5)),(AM74*2*база!$J$4*Таблица14[[#This Row],[коэф]]),
(AM74*2*база!$L$5*Таблица14[[#This Row],[коэф]])))))))))))</f>
        <v>0</v>
      </c>
      <c r="AO74" s="122" t="str">
        <f>IFERROR(INDEX(база!$D$2:$D$120, MATCH(Таблица14[[#This Row],[Ф. И. О.]],база!$B$2:$B$100,0)),"")</f>
        <v/>
      </c>
    </row>
    <row r="75" spans="1:41" s="46" customFormat="1" ht="13.5" customHeight="1">
      <c r="A75" s="1103" t="str">
        <f t="shared" si="0"/>
        <v>январь</v>
      </c>
      <c r="B75" t="n" s="1103">
        <v>2024.0</v>
      </c>
      <c r="C75" t="s" s="1103">
        <v>388</v>
      </c>
      <c r="D75" t="s" s="1103">
        <v>364</v>
      </c>
      <c r="E75" t="s" s="1103">
        <v>46</v>
      </c>
      <c r="F75" t="s" s="1103">
        <v>254</v>
      </c>
      <c r="G75" t="s" s="1103">
        <v>4</v>
      </c>
      <c r="H75" s="1103"/>
      <c r="I75" s="1103"/>
      <c r="J75" s="1103"/>
      <c r="K75" s="1103"/>
      <c r="L75" s="1103"/>
      <c r="M75" s="1103"/>
      <c r="N75" s="1103"/>
      <c r="O75" s="1103"/>
      <c r="P75" t="n" s="1103">
        <v>4.0</v>
      </c>
      <c r="Q75" s="215"/>
      <c r="R75" s="215"/>
      <c r="S75" t="n" s="46">
        <v>4.0</v>
      </c>
      <c r="T75" s="215"/>
      <c r="U75" s="215"/>
      <c r="V75" s="215"/>
      <c r="W75" s="215"/>
      <c r="X75" s="215"/>
      <c r="Y75" s="215"/>
      <c r="Z75" s="215"/>
      <c r="AA75" s="215"/>
      <c r="AB75" s="215"/>
      <c r="AC75" s="215"/>
      <c r="AD75" s="215"/>
      <c r="AE75" s="215"/>
      <c r="AF75" s="215"/>
      <c r="AG75" s="215"/>
      <c r="AH75" s="215"/>
      <c r="AI75" s="215"/>
      <c r="AJ75" s="215"/>
      <c r="AK75" s="215"/>
      <c r="AL75" s="215"/>
      <c r="AM75" s="121">
        <f t="shared" si="2"/>
        <v>0</v>
      </c>
      <c r="AN75" s="564">
        <f>IF(AO75&lt;=3,(IF(AND(G75="5/24",AM75&gt;0.5),(AM75*2*база!$M$6*Таблица14[[#This Row],[коэф]]),
IF(AND(G75="4/24",AM75&gt;0.5),(AM75*2*база!$M$5*Таблица14[[#This Row],[коэф]]),
IF(AND(G75="3/24",AM75&gt;0.5),(AM75*2*база!$M$4*Таблица14[[#This Row],[коэф]]),
IF(AND(G75="5/16",AM75&gt;0.5),(AM75*2*база!$L$6*Таблица14[[#This Row],[коэф]]),
IF(AND(G75="4/16",AM75&gt;0.5),(AM75*2*база!$L$5*Таблица14[[#This Row],[коэф]]),
IF(AND(G75="3/16",AM75&gt;0.5),(AM75*2*база!$L$4*Таблица14[[#This Row],[коэф]]),
IF(AND(G75="4/4",AM75&gt;0.5),(AM75*2*база!$I$5*Таблица14[[#This Row],[коэф]]),
IF(OR(AND(G75="3/4",AM75&gt;0.5),AND(G75="2/4",AM75&gt;0.5)),(AM75*2*база!$I$4*Таблица14[[#This Row],[коэф]]),
IF(AND(G75="5/8",AM75&gt;0.5),(AM75*2*база!$J$6*Таблица14[[#This Row],[коэф]]),
IF(AND(G75="4/8",AM75&gt;0.5),(AM75*2*база!$J$5*Таблица14[[#This Row],[коэф]]),
IF(OR(AND(G75="3/8",AM75&gt;0.5),AND(G75="2/8",AM75&gt;0.5)),(AM75*2*база!$J$4*Таблица14[[#This Row],[коэф]]),
(AM75*0.5*база!$L$4*Таблица14[[#This Row],[коэф]]))))))))))))),
(IF(AND(G75="5/24",AM75&gt;0.5),(AM75*2*база!$M$6*Таблица14[[#This Row],[коэф]]),
IF(OR(AND(G75="4/24",AM75&gt;0.5),AND(G75="3/24",AM75&gt;0.5)),(AM75*2*база!$M$5*Таблица14[[#This Row],[коэф]]),
IF(AND(G75="5/16",AM75&gt;0.5),(AM75*2*база!$L$6*Таблица14[[#This Row],[коэф]]),
IF(OR(AND(G75="4/16",AM75&gt;0.5),AND(G75="3/16",AM75&gt;0.5)),(AM75*2*база!$L$5*Таблица14[[#This Row],[коэф]]),
IF(OR(AND(G75="4/4",AM75&gt;0.5),AND(G75="3/4",AM75&gt;2)),(AM75*2*база!$I$5*Таблица14[[#This Row],[коэф]]),
IF(AND(G75="5/8",AM75&gt;0.5),(AM75*2*база!$J$6*Таблица14[[#This Row],[коэф]]),
IF(AND(G75="4/8",AM75&gt;0.5),(AM75*2*база!$J$5*Таблица14[[#This Row],[коэф]]),
IF(OR(AND(G75="3/8",AM75&gt;0.5),AND(G75="2/8",AM75&gt;0.5)),(AM75*2*база!$J$4*Таблица14[[#This Row],[коэф]]),
(AM75*2*база!$L$5*Таблица14[[#This Row],[коэф]])))))))))))</f>
        <v>0</v>
      </c>
      <c r="AO75" s="122" t="str">
        <f>IFERROR(INDEX(база!$D$2:$D$120, MATCH(Таблица14[[#This Row],[Ф. И. О.]],база!$B$2:$B$100,0)),"")</f>
        <v/>
      </c>
    </row>
    <row r="76" spans="1:41" ht="13.5" customHeight="1">
      <c r="A76" s="1107" t="str">
        <f t="shared" si="0"/>
        <v>январь</v>
      </c>
      <c r="B76" t="n" s="1107">
        <v>2024.0</v>
      </c>
      <c r="C76" t="s" s="1107">
        <v>388</v>
      </c>
      <c r="D76" t="s" s="1107">
        <v>381</v>
      </c>
      <c r="E76" t="s" s="1107">
        <v>46</v>
      </c>
      <c r="F76" t="s" s="1107">
        <v>356</v>
      </c>
      <c r="G76" t="s" s="1107">
        <v>4</v>
      </c>
      <c r="H76" s="1107"/>
      <c r="I76" s="1107"/>
      <c r="J76" s="1107"/>
      <c r="K76" s="1107"/>
      <c r="L76" s="1107"/>
      <c r="M76" s="1107"/>
      <c r="N76" s="1107"/>
      <c r="O76" s="1107"/>
      <c r="P76" s="1107"/>
      <c r="Q76" t="n" s="1107">
        <v>1.0</v>
      </c>
      <c r="R76" s="215"/>
      <c r="S76" s="215"/>
      <c r="T76" s="215"/>
      <c r="U76" s="215"/>
      <c r="V76" s="215"/>
      <c r="W76" s="215"/>
      <c r="X76" s="215"/>
      <c r="Y76" s="215"/>
      <c r="Z76" s="215"/>
      <c r="AA76" s="215"/>
      <c r="AB76" s="215"/>
      <c r="AC76" s="215"/>
      <c r="AD76" s="215"/>
      <c r="AE76" s="215"/>
      <c r="AF76" s="215"/>
      <c r="AG76" s="215"/>
      <c r="AH76" s="215"/>
      <c r="AI76" s="215"/>
      <c r="AJ76" s="215"/>
      <c r="AK76" s="215"/>
      <c r="AL76" s="215"/>
      <c r="AM76" s="121">
        <f t="shared" si="2"/>
        <v>0</v>
      </c>
      <c r="AN76" s="564">
        <f>IF(AO76&lt;=3,(IF(AND(G76="5/24",AM76&gt;0.5),(AM76*2*база!$M$6*Таблица14[[#This Row],[коэф]]),
IF(AND(G76="4/24",AM76&gt;0.5),(AM76*2*база!$M$5*Таблица14[[#This Row],[коэф]]),
IF(AND(G76="3/24",AM76&gt;0.5),(AM76*2*база!$M$4*Таблица14[[#This Row],[коэф]]),
IF(AND(G76="5/16",AM76&gt;0.5),(AM76*2*база!$L$6*Таблица14[[#This Row],[коэф]]),
IF(AND(G76="4/16",AM76&gt;0.5),(AM76*2*база!$L$5*Таблица14[[#This Row],[коэф]]),
IF(AND(G76="3/16",AM76&gt;0.5),(AM76*2*база!$L$4*Таблица14[[#This Row],[коэф]]),
IF(AND(G76="4/4",AM76&gt;0.5),(AM76*2*база!$I$5*Таблица14[[#This Row],[коэф]]),
IF(OR(AND(G76="3/4",AM76&gt;0.5),AND(G76="2/4",AM76&gt;0.5)),(AM76*2*база!$I$4*Таблица14[[#This Row],[коэф]]),
IF(AND(G76="5/8",AM76&gt;0.5),(AM76*2*база!$J$6*Таблица14[[#This Row],[коэф]]),
IF(AND(G76="4/8",AM76&gt;0.5),(AM76*2*база!$J$5*Таблица14[[#This Row],[коэф]]),
IF(OR(AND(G76="3/8",AM76&gt;0.5),AND(G76="2/8",AM76&gt;0.5)),(AM76*2*база!$J$4*Таблица14[[#This Row],[коэф]]),
(AM76*0.5*база!$L$4*Таблица14[[#This Row],[коэф]]))))))))))))),
(IF(AND(G76="5/24",AM76&gt;0.5),(AM76*2*база!$M$6*Таблица14[[#This Row],[коэф]]),
IF(OR(AND(G76="4/24",AM76&gt;0.5),AND(G76="3/24",AM76&gt;0.5)),(AM76*2*база!$M$5*Таблица14[[#This Row],[коэф]]),
IF(AND(G76="5/16",AM76&gt;0.5),(AM76*2*база!$L$6*Таблица14[[#This Row],[коэф]]),
IF(OR(AND(G76="4/16",AM76&gt;0.5),AND(G76="3/16",AM76&gt;0.5)),(AM76*2*база!$L$5*Таблица14[[#This Row],[коэф]]),
IF(OR(AND(G76="4/4",AM76&gt;0.5),AND(G76="3/4",AM76&gt;2)),(AM76*2*база!$I$5*Таблица14[[#This Row],[коэф]]),
IF(AND(G76="5/8",AM76&gt;0.5),(AM76*2*база!$J$6*Таблица14[[#This Row],[коэф]]),
IF(AND(G76="4/8",AM76&gt;0.5),(AM76*2*база!$J$5*Таблица14[[#This Row],[коэф]]),
IF(OR(AND(G76="3/8",AM76&gt;0.5),AND(G76="2/8",AM76&gt;0.5)),(AM76*2*база!$J$4*Таблица14[[#This Row],[коэф]]),
(AM76*2*база!$L$5*Таблица14[[#This Row],[коэф]])))))))))))</f>
        <v>0</v>
      </c>
      <c r="AO76" s="122" t="str">
        <f>IFERROR(INDEX(база!$D$2:$D$120, MATCH(Таблица14[[#This Row],[Ф. И. О.]],база!$B$2:$B$100,0)),"")</f>
        <v/>
      </c>
    </row>
    <row r="77" spans="1:41" ht="13.5" customHeight="1">
      <c r="A77" s="1109" t="str">
        <f t="shared" si="0"/>
        <v>январь</v>
      </c>
      <c r="B77" t="n" s="1109">
        <v>2024.0</v>
      </c>
      <c r="C77" t="s" s="1109">
        <v>397</v>
      </c>
      <c r="D77" t="s" s="1109">
        <v>364</v>
      </c>
      <c r="E77" t="s" s="1109">
        <v>46</v>
      </c>
      <c r="F77" t="s" s="1109">
        <v>310</v>
      </c>
      <c r="G77" t="s" s="1109">
        <v>71</v>
      </c>
      <c r="H77" s="1109"/>
      <c r="I77" s="1109"/>
      <c r="J77" s="1109"/>
      <c r="K77" s="1109"/>
      <c r="L77" s="1109"/>
      <c r="M77" s="1109"/>
      <c r="N77" s="1109"/>
      <c r="O77" s="1109"/>
      <c r="P77" s="1109"/>
      <c r="Q77" t="n" s="1109">
        <v>4.0</v>
      </c>
      <c r="R77" t="n" s="46">
        <v>4.0</v>
      </c>
      <c r="S77" t="n" s="46">
        <v>4.0</v>
      </c>
      <c r="T77" s="215"/>
      <c r="U77" s="215"/>
      <c r="V77" s="215"/>
      <c r="W77" s="215"/>
      <c r="X77" s="215"/>
      <c r="Y77" s="215"/>
      <c r="Z77" s="215"/>
      <c r="AA77" s="215"/>
      <c r="AB77" s="215"/>
      <c r="AC77" s="215"/>
      <c r="AD77" s="215"/>
      <c r="AE77" s="215"/>
      <c r="AF77" s="215"/>
      <c r="AG77" s="215"/>
      <c r="AH77" s="215"/>
      <c r="AI77" s="215"/>
      <c r="AJ77" s="215"/>
      <c r="AK77" s="215"/>
      <c r="AL77" s="215"/>
      <c r="AM77" s="121">
        <f t="shared" si="2"/>
        <v>0</v>
      </c>
      <c r="AN77" s="564">
        <f>IF(AO77&lt;=3,(IF(AND(G77="5/24",AM77&gt;0.5),(AM77*2*база!$M$6*Таблица14[[#This Row],[коэф]]),
IF(AND(G77="4/24",AM77&gt;0.5),(AM77*2*база!$M$5*Таблица14[[#This Row],[коэф]]),
IF(AND(G77="3/24",AM77&gt;0.5),(AM77*2*база!$M$4*Таблица14[[#This Row],[коэф]]),
IF(AND(G77="5/16",AM77&gt;0.5),(AM77*2*база!$L$6*Таблица14[[#This Row],[коэф]]),
IF(AND(G77="4/16",AM77&gt;0.5),(AM77*2*база!$L$5*Таблица14[[#This Row],[коэф]]),
IF(AND(G77="3/16",AM77&gt;0.5),(AM77*2*база!$L$4*Таблица14[[#This Row],[коэф]]),
IF(AND(G77="4/4",AM77&gt;0.5),(AM77*2*база!$I$5*Таблица14[[#This Row],[коэф]]),
IF(OR(AND(G77="3/4",AM77&gt;0.5),AND(G77="2/4",AM77&gt;0.5)),(AM77*2*база!$I$4*Таблица14[[#This Row],[коэф]]),
IF(AND(G77="5/8",AM77&gt;0.5),(AM77*2*база!$J$6*Таблица14[[#This Row],[коэф]]),
IF(AND(G77="4/8",AM77&gt;0.5),(AM77*2*база!$J$5*Таблица14[[#This Row],[коэф]]),
IF(OR(AND(G77="3/8",AM77&gt;0.5),AND(G77="2/8",AM77&gt;0.5)),(AM77*2*база!$J$4*Таблица14[[#This Row],[коэф]]),
(AM77*0.5*база!$L$4*Таблица14[[#This Row],[коэф]]))))))))))))),
(IF(AND(G77="5/24",AM77&gt;0.5),(AM77*2*база!$M$6*Таблица14[[#This Row],[коэф]]),
IF(OR(AND(G77="4/24",AM77&gt;0.5),AND(G77="3/24",AM77&gt;0.5)),(AM77*2*база!$M$5*Таблица14[[#This Row],[коэф]]),
IF(AND(G77="5/16",AM77&gt;0.5),(AM77*2*база!$L$6*Таблица14[[#This Row],[коэф]]),
IF(OR(AND(G77="4/16",AM77&gt;0.5),AND(G77="3/16",AM77&gt;0.5)),(AM77*2*база!$L$5*Таблица14[[#This Row],[коэф]]),
IF(OR(AND(G77="4/4",AM77&gt;0.5),AND(G77="3/4",AM77&gt;2)),(AM77*2*база!$I$5*Таблица14[[#This Row],[коэф]]),
IF(AND(G77="5/8",AM77&gt;0.5),(AM77*2*база!$J$6*Таблица14[[#This Row],[коэф]]),
IF(AND(G77="4/8",AM77&gt;0.5),(AM77*2*база!$J$5*Таблица14[[#This Row],[коэф]]),
IF(OR(AND(G77="3/8",AM77&gt;0.5),AND(G77="2/8",AM77&gt;0.5)),(AM77*2*база!$J$4*Таблица14[[#This Row],[коэф]]),
(AM77*2*база!$L$5*Таблица14[[#This Row],[коэф]])))))))))))</f>
        <v>0</v>
      </c>
      <c r="AO77" s="122" t="str">
        <f>IFERROR(INDEX(база!$D$2:$D$120, MATCH(Таблица14[[#This Row],[Ф. И. О.]],база!$B$2:$B$100,0)),"")</f>
        <v/>
      </c>
    </row>
    <row r="78" spans="1:41" ht="13.5" customHeight="1">
      <c r="A78" s="1116" t="str">
        <f t="shared" si="0"/>
        <v>январь</v>
      </c>
      <c r="B78" t="n" s="1116">
        <v>2024.0</v>
      </c>
      <c r="C78" t="s" s="1116">
        <v>387</v>
      </c>
      <c r="D78" t="s" s="1116">
        <v>364</v>
      </c>
      <c r="E78" t="s" s="1116">
        <v>46</v>
      </c>
      <c r="F78" t="s" s="1116">
        <v>266</v>
      </c>
      <c r="G78" t="s" s="1116">
        <v>31</v>
      </c>
      <c r="H78" s="1116"/>
      <c r="I78" s="1116"/>
      <c r="J78" s="1116"/>
      <c r="K78" s="1116"/>
      <c r="L78" s="1116"/>
      <c r="M78" s="1116"/>
      <c r="N78" s="1116"/>
      <c r="O78" s="1116"/>
      <c r="P78" s="1116"/>
      <c r="Q78" t="n" s="1116">
        <v>4.0</v>
      </c>
      <c r="R78" s="215"/>
      <c r="S78" t="n" s="46">
        <v>2.5</v>
      </c>
      <c r="T78" s="215"/>
      <c r="U78" s="215"/>
      <c r="V78" s="215"/>
      <c r="W78" s="215"/>
      <c r="X78" s="215"/>
      <c r="Y78" s="215"/>
      <c r="Z78" s="215"/>
      <c r="AA78" s="215"/>
      <c r="AB78" s="215"/>
      <c r="AC78" s="215"/>
      <c r="AD78" s="215"/>
      <c r="AE78" s="215"/>
      <c r="AF78" s="215"/>
      <c r="AG78" s="215"/>
      <c r="AH78" s="215"/>
      <c r="AI78" s="215"/>
      <c r="AJ78" s="215"/>
      <c r="AK78" s="215"/>
      <c r="AL78" s="215"/>
      <c r="AM78" s="121">
        <f t="shared" si="2"/>
        <v>0</v>
      </c>
      <c r="AN78" s="564">
        <f>IF(AO78&lt;=3,(IF(AND(G78="5/24",AM78&gt;0.5),(AM78*2*база!$M$6*Таблица14[[#This Row],[коэф]]),
IF(AND(G78="4/24",AM78&gt;0.5),(AM78*2*база!$M$5*Таблица14[[#This Row],[коэф]]),
IF(AND(G78="3/24",AM78&gt;0.5),(AM78*2*база!$M$4*Таблица14[[#This Row],[коэф]]),
IF(AND(G78="5/16",AM78&gt;0.5),(AM78*2*база!$L$6*Таблица14[[#This Row],[коэф]]),
IF(AND(G78="4/16",AM78&gt;0.5),(AM78*2*база!$L$5*Таблица14[[#This Row],[коэф]]),
IF(AND(G78="3/16",AM78&gt;0.5),(AM78*2*база!$L$4*Таблица14[[#This Row],[коэф]]),
IF(AND(G78="4/4",AM78&gt;0.5),(AM78*2*база!$I$5*Таблица14[[#This Row],[коэф]]),
IF(OR(AND(G78="3/4",AM78&gt;0.5),AND(G78="2/4",AM78&gt;0.5)),(AM78*2*база!$I$4*Таблица14[[#This Row],[коэф]]),
IF(AND(G78="5/8",AM78&gt;0.5),(AM78*2*база!$J$6*Таблица14[[#This Row],[коэф]]),
IF(AND(G78="4/8",AM78&gt;0.5),(AM78*2*база!$J$5*Таблица14[[#This Row],[коэф]]),
IF(OR(AND(G78="3/8",AM78&gt;0.5),AND(G78="2/8",AM78&gt;0.5)),(AM78*2*база!$J$4*Таблица14[[#This Row],[коэф]]),
(AM78*0.5*база!$L$4*Таблица14[[#This Row],[коэф]]))))))))))))),
(IF(AND(G78="5/24",AM78&gt;0.5),(AM78*2*база!$M$6*Таблица14[[#This Row],[коэф]]),
IF(OR(AND(G78="4/24",AM78&gt;0.5),AND(G78="3/24",AM78&gt;0.5)),(AM78*2*база!$M$5*Таблица14[[#This Row],[коэф]]),
IF(AND(G78="5/16",AM78&gt;0.5),(AM78*2*база!$L$6*Таблица14[[#This Row],[коэф]]),
IF(OR(AND(G78="4/16",AM78&gt;0.5),AND(G78="3/16",AM78&gt;0.5)),(AM78*2*база!$L$5*Таблица14[[#This Row],[коэф]]),
IF(OR(AND(G78="4/4",AM78&gt;0.5),AND(G78="3/4",AM78&gt;2)),(AM78*2*база!$I$5*Таблица14[[#This Row],[коэф]]),
IF(AND(G78="5/8",AM78&gt;0.5),(AM78*2*база!$J$6*Таблица14[[#This Row],[коэф]]),
IF(AND(G78="4/8",AM78&gt;0.5),(AM78*2*база!$J$5*Таблица14[[#This Row],[коэф]]),
IF(OR(AND(G78="3/8",AM78&gt;0.5),AND(G78="2/8",AM78&gt;0.5)),(AM78*2*база!$J$4*Таблица14[[#This Row],[коэф]]),
(AM78*2*база!$L$5*Таблица14[[#This Row],[коэф]])))))))))))</f>
        <v>0</v>
      </c>
      <c r="AO78" s="122" t="str">
        <f>IFERROR(INDEX(база!$D$2:$D$120, MATCH(Таблица14[[#This Row],[Ф. И. О.]],база!$B$2:$B$100,0)),"")</f>
        <v/>
      </c>
    </row>
    <row r="79" spans="1:41" ht="13.5" customHeight="1">
      <c r="A79" s="1118" t="str">
        <f t="shared" si="0"/>
        <v>январь</v>
      </c>
      <c r="B79" t="n" s="1118">
        <v>2024.0</v>
      </c>
      <c r="C79" t="s" s="1118">
        <v>396</v>
      </c>
      <c r="D79" t="s" s="1118">
        <v>364</v>
      </c>
      <c r="E79" t="s" s="1118">
        <v>46</v>
      </c>
      <c r="F79" t="s" s="1118">
        <v>284</v>
      </c>
      <c r="G79" t="s" s="1118">
        <v>6</v>
      </c>
      <c r="H79" s="1118"/>
      <c r="I79" s="1118"/>
      <c r="J79" s="1118"/>
      <c r="K79" s="1118"/>
      <c r="L79" s="1118"/>
      <c r="M79" s="1118"/>
      <c r="N79" s="1118"/>
      <c r="O79" s="1118"/>
      <c r="P79" s="1118"/>
      <c r="Q79" t="n" s="1118">
        <v>1.0</v>
      </c>
      <c r="R79" t="n" s="46">
        <v>2.0</v>
      </c>
      <c r="S79" s="215"/>
      <c r="T79" s="215"/>
      <c r="U79" s="215"/>
      <c r="V79" s="215"/>
      <c r="W79" s="215"/>
      <c r="X79" s="215"/>
      <c r="Y79" s="215"/>
      <c r="Z79" s="215"/>
      <c r="AA79" s="215"/>
      <c r="AB79" s="215"/>
      <c r="AC79" s="215"/>
      <c r="AD79" s="215"/>
      <c r="AE79" s="215"/>
      <c r="AF79" s="215"/>
      <c r="AG79" s="215"/>
      <c r="AH79" s="215"/>
      <c r="AI79" s="215"/>
      <c r="AJ79" s="215"/>
      <c r="AK79" s="215"/>
      <c r="AL79" s="215"/>
      <c r="AM79" s="121">
        <f t="shared" si="2"/>
        <v>0</v>
      </c>
      <c r="AN79" s="564">
        <f>IF(AO79&lt;=3,(IF(AND(G79="5/24",AM79&gt;0.5),(AM79*2*база!$M$6*Таблица14[[#This Row],[коэф]]),
IF(AND(G79="4/24",AM79&gt;0.5),(AM79*2*база!$M$5*Таблица14[[#This Row],[коэф]]),
IF(AND(G79="3/24",AM79&gt;0.5),(AM79*2*база!$M$4*Таблица14[[#This Row],[коэф]]),
IF(AND(G79="5/16",AM79&gt;0.5),(AM79*2*база!$L$6*Таблица14[[#This Row],[коэф]]),
IF(AND(G79="4/16",AM79&gt;0.5),(AM79*2*база!$L$5*Таблица14[[#This Row],[коэф]]),
IF(AND(G79="3/16",AM79&gt;0.5),(AM79*2*база!$L$4*Таблица14[[#This Row],[коэф]]),
IF(AND(G79="4/4",AM79&gt;0.5),(AM79*2*база!$I$5*Таблица14[[#This Row],[коэф]]),
IF(OR(AND(G79="3/4",AM79&gt;0.5),AND(G79="2/4",AM79&gt;0.5)),(AM79*2*база!$I$4*Таблица14[[#This Row],[коэф]]),
IF(AND(G79="5/8",AM79&gt;0.5),(AM79*2*база!$J$6*Таблица14[[#This Row],[коэф]]),
IF(AND(G79="4/8",AM79&gt;0.5),(AM79*2*база!$J$5*Таблица14[[#This Row],[коэф]]),
IF(OR(AND(G79="3/8",AM79&gt;0.5),AND(G79="2/8",AM79&gt;0.5)),(AM79*2*база!$J$4*Таблица14[[#This Row],[коэф]]),
(AM79*0.5*база!$L$4*Таблица14[[#This Row],[коэф]]))))))))))))),
(IF(AND(G79="5/24",AM79&gt;0.5),(AM79*2*база!$M$6*Таблица14[[#This Row],[коэф]]),
IF(OR(AND(G79="4/24",AM79&gt;0.5),AND(G79="3/24",AM79&gt;0.5)),(AM79*2*база!$M$5*Таблица14[[#This Row],[коэф]]),
IF(AND(G79="5/16",AM79&gt;0.5),(AM79*2*база!$L$6*Таблица14[[#This Row],[коэф]]),
IF(OR(AND(G79="4/16",AM79&gt;0.5),AND(G79="3/16",AM79&gt;0.5)),(AM79*2*база!$L$5*Таблица14[[#This Row],[коэф]]),
IF(OR(AND(G79="4/4",AM79&gt;0.5),AND(G79="3/4",AM79&gt;2)),(AM79*2*база!$I$5*Таблица14[[#This Row],[коэф]]),
IF(AND(G79="5/8",AM79&gt;0.5),(AM79*2*база!$J$6*Таблица14[[#This Row],[коэф]]),
IF(AND(G79="4/8",AM79&gt;0.5),(AM79*2*база!$J$5*Таблица14[[#This Row],[коэф]]),
IF(OR(AND(G79="3/8",AM79&gt;0.5),AND(G79="2/8",AM79&gt;0.5)),(AM79*2*база!$J$4*Таблица14[[#This Row],[коэф]]),
(AM79*2*база!$L$5*Таблица14[[#This Row],[коэф]])))))))))))</f>
        <v>0</v>
      </c>
      <c r="AO79" s="122" t="str">
        <f>IFERROR(INDEX(база!$D$2:$D$120, MATCH(Таблица14[[#This Row],[Ф. И. О.]],база!$B$2:$B$100,0)),"")</f>
        <v/>
      </c>
    </row>
    <row r="80" spans="1:41" ht="13.5" customHeight="1">
      <c r="A80" s="1119" t="str">
        <f t="shared" si="0"/>
        <v>январь</v>
      </c>
      <c r="B80" t="n" s="1119">
        <v>2024.0</v>
      </c>
      <c r="C80" t="s" s="1119">
        <v>387</v>
      </c>
      <c r="D80" t="s" s="1119">
        <v>364</v>
      </c>
      <c r="E80" t="s" s="1119">
        <v>46</v>
      </c>
      <c r="F80" t="s" s="1119">
        <v>284</v>
      </c>
      <c r="G80" t="s" s="1119">
        <v>4</v>
      </c>
      <c r="H80" s="1119"/>
      <c r="I80" s="1119"/>
      <c r="J80" s="1119"/>
      <c r="K80" s="1119"/>
      <c r="L80" s="1119"/>
      <c r="M80" s="1119"/>
      <c r="N80" s="1119"/>
      <c r="O80" s="1119"/>
      <c r="P80" s="1119"/>
      <c r="Q80" t="n" s="1119">
        <v>2.0</v>
      </c>
      <c r="R80" s="215"/>
      <c r="S80" s="215"/>
      <c r="T80" s="215"/>
      <c r="U80" s="215"/>
      <c r="V80" s="215"/>
      <c r="W80" s="215"/>
      <c r="X80" s="215"/>
      <c r="Y80" s="215"/>
      <c r="Z80" s="215"/>
      <c r="AA80" s="215"/>
      <c r="AB80" s="215"/>
      <c r="AC80" s="215"/>
      <c r="AD80" s="215"/>
      <c r="AE80" s="215"/>
      <c r="AF80" s="215"/>
      <c r="AG80" s="215"/>
      <c r="AH80" s="215"/>
      <c r="AI80" s="215"/>
      <c r="AJ80" s="215"/>
      <c r="AK80" s="215"/>
      <c r="AL80" s="215"/>
      <c r="AM80" s="121">
        <f t="shared" si="2"/>
        <v>0</v>
      </c>
      <c r="AN80" s="564">
        <f>IF(AO80&lt;=3,(IF(AND(G80="5/24",AM80&gt;0.5),(AM80*2*база!$M$6*Таблица14[[#This Row],[коэф]]),
IF(AND(G80="4/24",AM80&gt;0.5),(AM80*2*база!$M$5*Таблица14[[#This Row],[коэф]]),
IF(AND(G80="3/24",AM80&gt;0.5),(AM80*2*база!$M$4*Таблица14[[#This Row],[коэф]]),
IF(AND(G80="5/16",AM80&gt;0.5),(AM80*2*база!$L$6*Таблица14[[#This Row],[коэф]]),
IF(AND(G80="4/16",AM80&gt;0.5),(AM80*2*база!$L$5*Таблица14[[#This Row],[коэф]]),
IF(AND(G80="3/16",AM80&gt;0.5),(AM80*2*база!$L$4*Таблица14[[#This Row],[коэф]]),
IF(AND(G80="4/4",AM80&gt;0.5),(AM80*2*база!$I$5*Таблица14[[#This Row],[коэф]]),
IF(OR(AND(G80="3/4",AM80&gt;0.5),AND(G80="2/4",AM80&gt;0.5)),(AM80*2*база!$I$4*Таблица14[[#This Row],[коэф]]),
IF(AND(G80="5/8",AM80&gt;0.5),(AM80*2*база!$J$6*Таблица14[[#This Row],[коэф]]),
IF(AND(G80="4/8",AM80&gt;0.5),(AM80*2*база!$J$5*Таблица14[[#This Row],[коэф]]),
IF(OR(AND(G80="3/8",AM80&gt;0.5),AND(G80="2/8",AM80&gt;0.5)),(AM80*2*база!$J$4*Таблица14[[#This Row],[коэф]]),
(AM80*0.5*база!$L$4*Таблица14[[#This Row],[коэф]]))))))))))))),
(IF(AND(G80="5/24",AM80&gt;0.5),(AM80*2*база!$M$6*Таблица14[[#This Row],[коэф]]),
IF(OR(AND(G80="4/24",AM80&gt;0.5),AND(G80="3/24",AM80&gt;0.5)),(AM80*2*база!$M$5*Таблица14[[#This Row],[коэф]]),
IF(AND(G80="5/16",AM80&gt;0.5),(AM80*2*база!$L$6*Таблица14[[#This Row],[коэф]]),
IF(OR(AND(G80="4/16",AM80&gt;0.5),AND(G80="3/16",AM80&gt;0.5)),(AM80*2*база!$L$5*Таблица14[[#This Row],[коэф]]),
IF(OR(AND(G80="4/4",AM80&gt;0.5),AND(G80="3/4",AM80&gt;2)),(AM80*2*база!$I$5*Таблица14[[#This Row],[коэф]]),
IF(AND(G80="5/8",AM80&gt;0.5),(AM80*2*база!$J$6*Таблица14[[#This Row],[коэф]]),
IF(AND(G80="4/8",AM80&gt;0.5),(AM80*2*база!$J$5*Таблица14[[#This Row],[коэф]]),
IF(OR(AND(G80="3/8",AM80&gt;0.5),AND(G80="2/8",AM80&gt;0.5)),(AM80*2*база!$J$4*Таблица14[[#This Row],[коэф]]),
(AM80*2*база!$L$5*Таблица14[[#This Row],[коэф]])))))))))))</f>
        <v>0</v>
      </c>
      <c r="AO80" s="122" t="str">
        <f>IFERROR(INDEX(база!$D$2:$D$120, MATCH(Таблица14[[#This Row],[Ф. И. О.]],база!$B$2:$B$100,0)),"")</f>
        <v/>
      </c>
    </row>
    <row r="81" spans="1:41" ht="13.5" customHeight="1">
      <c r="A81" s="1120" t="str">
        <f t="shared" si="0"/>
        <v>январь</v>
      </c>
      <c r="B81" t="n" s="1120">
        <v>2024.0</v>
      </c>
      <c r="C81" t="s" s="1120">
        <v>388</v>
      </c>
      <c r="D81" t="s" s="1120">
        <v>364</v>
      </c>
      <c r="E81" t="s" s="1120">
        <v>46</v>
      </c>
      <c r="F81" t="s" s="1120">
        <v>267</v>
      </c>
      <c r="G81" t="s" s="1120">
        <v>4</v>
      </c>
      <c r="H81" s="1120"/>
      <c r="I81" s="1120"/>
      <c r="J81" s="1120"/>
      <c r="K81" s="1120"/>
      <c r="L81" s="1120"/>
      <c r="M81" s="1120"/>
      <c r="N81" s="1120"/>
      <c r="O81" s="1120"/>
      <c r="P81" t="n" s="1120">
        <v>4.0</v>
      </c>
      <c r="Q81" s="215"/>
      <c r="R81" s="215"/>
      <c r="S81" s="215"/>
      <c r="T81" s="215"/>
      <c r="U81" s="215"/>
      <c r="V81" s="215"/>
      <c r="W81" s="215"/>
      <c r="X81" s="215"/>
      <c r="Y81" s="215"/>
      <c r="Z81" s="215"/>
      <c r="AA81" s="215"/>
      <c r="AB81" s="215"/>
      <c r="AC81" s="215"/>
      <c r="AD81" s="215"/>
      <c r="AE81" s="215"/>
      <c r="AF81" s="215"/>
      <c r="AG81" s="215"/>
      <c r="AH81" s="215"/>
      <c r="AI81" s="215"/>
      <c r="AJ81" s="215"/>
      <c r="AK81" s="215"/>
      <c r="AL81" s="215"/>
      <c r="AM81" s="121">
        <f t="shared" si="2"/>
        <v>0</v>
      </c>
      <c r="AN81" s="564">
        <f>IF(AO81&lt;=3,(IF(AND(G81="5/24",AM81&gt;0.5),(AM81*2*база!$M$6*Таблица14[[#This Row],[коэф]]),
IF(AND(G81="4/24",AM81&gt;0.5),(AM81*2*база!$M$5*Таблица14[[#This Row],[коэф]]),
IF(AND(G81="3/24",AM81&gt;0.5),(AM81*2*база!$M$4*Таблица14[[#This Row],[коэф]]),
IF(AND(G81="5/16",AM81&gt;0.5),(AM81*2*база!$L$6*Таблица14[[#This Row],[коэф]]),
IF(AND(G81="4/16",AM81&gt;0.5),(AM81*2*база!$L$5*Таблица14[[#This Row],[коэф]]),
IF(AND(G81="3/16",AM81&gt;0.5),(AM81*2*база!$L$4*Таблица14[[#This Row],[коэф]]),
IF(AND(G81="4/4",AM81&gt;0.5),(AM81*2*база!$I$5*Таблица14[[#This Row],[коэф]]),
IF(OR(AND(G81="3/4",AM81&gt;0.5),AND(G81="2/4",AM81&gt;0.5)),(AM81*2*база!$I$4*Таблица14[[#This Row],[коэф]]),
IF(AND(G81="5/8",AM81&gt;0.5),(AM81*2*база!$J$6*Таблица14[[#This Row],[коэф]]),
IF(AND(G81="4/8",AM81&gt;0.5),(AM81*2*база!$J$5*Таблица14[[#This Row],[коэф]]),
IF(OR(AND(G81="3/8",AM81&gt;0.5),AND(G81="2/8",AM81&gt;0.5)),(AM81*2*база!$J$4*Таблица14[[#This Row],[коэф]]),
(AM81*0.5*база!$L$4*Таблица14[[#This Row],[коэф]]))))))))))))),
(IF(AND(G81="5/24",AM81&gt;0.5),(AM81*2*база!$M$6*Таблица14[[#This Row],[коэф]]),
IF(OR(AND(G81="4/24",AM81&gt;0.5),AND(G81="3/24",AM81&gt;0.5)),(AM81*2*база!$M$5*Таблица14[[#This Row],[коэф]]),
IF(AND(G81="5/16",AM81&gt;0.5),(AM81*2*база!$L$6*Таблица14[[#This Row],[коэф]]),
IF(OR(AND(G81="4/16",AM81&gt;0.5),AND(G81="3/16",AM81&gt;0.5)),(AM81*2*база!$L$5*Таблица14[[#This Row],[коэф]]),
IF(OR(AND(G81="4/4",AM81&gt;0.5),AND(G81="3/4",AM81&gt;2)),(AM81*2*база!$I$5*Таблица14[[#This Row],[коэф]]),
IF(AND(G81="5/8",AM81&gt;0.5),(AM81*2*база!$J$6*Таблица14[[#This Row],[коэф]]),
IF(AND(G81="4/8",AM81&gt;0.5),(AM81*2*база!$J$5*Таблица14[[#This Row],[коэф]]),
IF(OR(AND(G81="3/8",AM81&gt;0.5),AND(G81="2/8",AM81&gt;0.5)),(AM81*2*база!$J$4*Таблица14[[#This Row],[коэф]]),
(AM81*2*база!$L$5*Таблица14[[#This Row],[коэф]])))))))))))</f>
        <v>0</v>
      </c>
      <c r="AO81" s="122" t="str">
        <f>IFERROR(INDEX(база!$D$2:$D$120, MATCH(Таблица14[[#This Row],[Ф. И. О.]],база!$B$2:$B$100,0)),"")</f>
        <v/>
      </c>
    </row>
    <row r="82" spans="1:41" ht="13.5" customHeight="1">
      <c r="A82" s="1121" t="str">
        <f t="shared" si="0"/>
        <v>январь</v>
      </c>
      <c r="B82" t="n" s="1121">
        <v>2024.0</v>
      </c>
      <c r="C82" t="s" s="1121">
        <v>388</v>
      </c>
      <c r="D82" t="s" s="1121">
        <v>365</v>
      </c>
      <c r="E82" t="s" s="1121">
        <v>46</v>
      </c>
      <c r="F82" t="s" s="1121">
        <v>267</v>
      </c>
      <c r="G82" t="s" s="1121">
        <v>4</v>
      </c>
      <c r="H82" s="1121"/>
      <c r="I82" s="1121"/>
      <c r="J82" s="1121"/>
      <c r="K82" s="1121"/>
      <c r="L82" s="1121"/>
      <c r="M82" s="1121"/>
      <c r="N82" s="1121"/>
      <c r="O82" s="1121"/>
      <c r="P82" s="1121"/>
      <c r="Q82" t="n" s="1121">
        <v>4.0</v>
      </c>
      <c r="R82" s="215"/>
      <c r="S82" s="215"/>
      <c r="T82" s="215"/>
      <c r="U82" s="215"/>
      <c r="V82" s="215"/>
      <c r="W82" s="215"/>
      <c r="X82" s="215"/>
      <c r="Y82" s="215"/>
      <c r="Z82" s="215"/>
      <c r="AA82" s="215"/>
      <c r="AB82" s="215"/>
      <c r="AC82" s="215"/>
      <c r="AD82" s="215"/>
      <c r="AE82" s="215"/>
      <c r="AF82" s="215"/>
      <c r="AG82" s="215"/>
      <c r="AH82" s="215"/>
      <c r="AI82" s="215"/>
      <c r="AJ82" s="215"/>
      <c r="AK82" s="215"/>
      <c r="AL82" s="215"/>
      <c r="AM82" s="121">
        <f t="shared" si="2"/>
        <v>0</v>
      </c>
      <c r="AN82" s="564">
        <f>IF(AO82&lt;=3,(IF(AND(G82="5/24",AM82&gt;0.5),(AM82*2*база!$M$6*Таблица14[[#This Row],[коэф]]),
IF(AND(G82="4/24",AM82&gt;0.5),(AM82*2*база!$M$5*Таблица14[[#This Row],[коэф]]),
IF(AND(G82="3/24",AM82&gt;0.5),(AM82*2*база!$M$4*Таблица14[[#This Row],[коэф]]),
IF(AND(G82="5/16",AM82&gt;0.5),(AM82*2*база!$L$6*Таблица14[[#This Row],[коэф]]),
IF(AND(G82="4/16",AM82&gt;0.5),(AM82*2*база!$L$5*Таблица14[[#This Row],[коэф]]),
IF(AND(G82="3/16",AM82&gt;0.5),(AM82*2*база!$L$4*Таблица14[[#This Row],[коэф]]),
IF(AND(G82="4/4",AM82&gt;0.5),(AM82*2*база!$I$5*Таблица14[[#This Row],[коэф]]),
IF(OR(AND(G82="3/4",AM82&gt;0.5),AND(G82="2/4",AM82&gt;0.5)),(AM82*2*база!$I$4*Таблица14[[#This Row],[коэф]]),
IF(AND(G82="5/8",AM82&gt;0.5),(AM82*2*база!$J$6*Таблица14[[#This Row],[коэф]]),
IF(AND(G82="4/8",AM82&gt;0.5),(AM82*2*база!$J$5*Таблица14[[#This Row],[коэф]]),
IF(OR(AND(G82="3/8",AM82&gt;0.5),AND(G82="2/8",AM82&gt;0.5)),(AM82*2*база!$J$4*Таблица14[[#This Row],[коэф]]),
(AM82*0.5*база!$L$4*Таблица14[[#This Row],[коэф]]))))))))))))),
(IF(AND(G82="5/24",AM82&gt;0.5),(AM82*2*база!$M$6*Таблица14[[#This Row],[коэф]]),
IF(OR(AND(G82="4/24",AM82&gt;0.5),AND(G82="3/24",AM82&gt;0.5)),(AM82*2*база!$M$5*Таблица14[[#This Row],[коэф]]),
IF(AND(G82="5/16",AM82&gt;0.5),(AM82*2*база!$L$6*Таблица14[[#This Row],[коэф]]),
IF(OR(AND(G82="4/16",AM82&gt;0.5),AND(G82="3/16",AM82&gt;0.5)),(AM82*2*база!$L$5*Таблица14[[#This Row],[коэф]]),
IF(OR(AND(G82="4/4",AM82&gt;0.5),AND(G82="3/4",AM82&gt;2)),(AM82*2*база!$I$5*Таблица14[[#This Row],[коэф]]),
IF(AND(G82="5/8",AM82&gt;0.5),(AM82*2*база!$J$6*Таблица14[[#This Row],[коэф]]),
IF(AND(G82="4/8",AM82&gt;0.5),(AM82*2*база!$J$5*Таблица14[[#This Row],[коэф]]),
IF(OR(AND(G82="3/8",AM82&gt;0.5),AND(G82="2/8",AM82&gt;0.5)),(AM82*2*база!$J$4*Таблица14[[#This Row],[коэф]]),
(AM82*2*база!$L$5*Таблица14[[#This Row],[коэф]])))))))))))</f>
        <v>0</v>
      </c>
      <c r="AO82" s="122" t="str">
        <f>IFERROR(INDEX(база!$D$2:$D$120, MATCH(Таблица14[[#This Row],[Ф. И. О.]],база!$B$2:$B$100,0)),"")</f>
        <v/>
      </c>
    </row>
    <row r="83" spans="1:41" ht="13.5" customHeight="1">
      <c r="A83" s="1138" t="str">
        <f t="shared" si="0"/>
        <v>январь</v>
      </c>
      <c r="B83" t="n" s="1138">
        <v>2024.0</v>
      </c>
      <c r="C83" t="s" s="1138">
        <v>392</v>
      </c>
      <c r="D83" t="s" s="1138">
        <v>364</v>
      </c>
      <c r="E83" t="s" s="1138">
        <v>46</v>
      </c>
      <c r="F83" t="s" s="1138">
        <v>331</v>
      </c>
      <c r="G83" t="s" s="1138">
        <v>6</v>
      </c>
      <c r="H83" s="1138"/>
      <c r="I83" s="1138"/>
      <c r="J83" s="1138"/>
      <c r="K83" s="1138"/>
      <c r="L83" s="1138"/>
      <c r="M83" s="1138"/>
      <c r="N83" t="n" s="1138">
        <v>1.0</v>
      </c>
      <c r="O83" s="215"/>
      <c r="P83" s="215"/>
      <c r="Q83" s="215"/>
      <c r="R83" s="215"/>
      <c r="S83" s="215"/>
      <c r="T83" s="215"/>
      <c r="U83" s="215"/>
      <c r="V83" s="215"/>
      <c r="W83" s="215"/>
      <c r="X83" s="215"/>
      <c r="Y83" s="215"/>
      <c r="Z83" s="215"/>
      <c r="AA83" s="215"/>
      <c r="AB83" s="215"/>
      <c r="AC83" s="215"/>
      <c r="AD83" s="215"/>
      <c r="AE83" s="215"/>
      <c r="AF83" s="215"/>
      <c r="AG83" s="215"/>
      <c r="AH83" s="215"/>
      <c r="AI83" s="215"/>
      <c r="AJ83" s="215"/>
      <c r="AK83" s="215"/>
      <c r="AL83" s="215"/>
      <c r="AM83" s="121">
        <f t="shared" si="2"/>
        <v>0</v>
      </c>
      <c r="AN83" s="564">
        <f>IF(AO83&lt;=3,(IF(AND(G83="5/24",AM83&gt;0.5),(AM83*2*база!$M$6*Таблица14[[#This Row],[коэф]]),
IF(AND(G83="4/24",AM83&gt;0.5),(AM83*2*база!$M$5*Таблица14[[#This Row],[коэф]]),
IF(AND(G83="3/24",AM83&gt;0.5),(AM83*2*база!$M$4*Таблица14[[#This Row],[коэф]]),
IF(AND(G83="5/16",AM83&gt;0.5),(AM83*2*база!$L$6*Таблица14[[#This Row],[коэф]]),
IF(AND(G83="4/16",AM83&gt;0.5),(AM83*2*база!$L$5*Таблица14[[#This Row],[коэф]]),
IF(AND(G83="3/16",AM83&gt;0.5),(AM83*2*база!$L$4*Таблица14[[#This Row],[коэф]]),
IF(AND(G83="4/4",AM83&gt;0.5),(AM83*2*база!$I$5*Таблица14[[#This Row],[коэф]]),
IF(OR(AND(G83="3/4",AM83&gt;0.5),AND(G83="2/4",AM83&gt;0.5)),(AM83*2*база!$I$4*Таблица14[[#This Row],[коэф]]),
IF(AND(G83="5/8",AM83&gt;0.5),(AM83*2*база!$J$6*Таблица14[[#This Row],[коэф]]),
IF(AND(G83="4/8",AM83&gt;0.5),(AM83*2*база!$J$5*Таблица14[[#This Row],[коэф]]),
IF(OR(AND(G83="3/8",AM83&gt;0.5),AND(G83="2/8",AM83&gt;0.5)),(AM83*2*база!$J$4*Таблица14[[#This Row],[коэф]]),
(AM83*0.5*база!$L$4*Таблица14[[#This Row],[коэф]]))))))))))))),
(IF(AND(G83="5/24",AM83&gt;0.5),(AM83*2*база!$M$6*Таблица14[[#This Row],[коэф]]),
IF(OR(AND(G83="4/24",AM83&gt;0.5),AND(G83="3/24",AM83&gt;0.5)),(AM83*2*база!$M$5*Таблица14[[#This Row],[коэф]]),
IF(AND(G83="5/16",AM83&gt;0.5),(AM83*2*база!$L$6*Таблица14[[#This Row],[коэф]]),
IF(OR(AND(G83="4/16",AM83&gt;0.5),AND(G83="3/16",AM83&gt;0.5)),(AM83*2*база!$L$5*Таблица14[[#This Row],[коэф]]),
IF(OR(AND(G83="4/4",AM83&gt;0.5),AND(G83="3/4",AM83&gt;2)),(AM83*2*база!$I$5*Таблица14[[#This Row],[коэф]]),
IF(AND(G83="5/8",AM83&gt;0.5),(AM83*2*база!$J$6*Таблица14[[#This Row],[коэф]]),
IF(AND(G83="4/8",AM83&gt;0.5),(AM83*2*база!$J$5*Таблица14[[#This Row],[коэф]]),
IF(OR(AND(G83="3/8",AM83&gt;0.5),AND(G83="2/8",AM83&gt;0.5)),(AM83*2*база!$J$4*Таблица14[[#This Row],[коэф]]),
(AM83*2*база!$L$5*Таблица14[[#This Row],[коэф]])))))))))))</f>
        <v>0</v>
      </c>
      <c r="AO83" s="122" t="str">
        <f>IFERROR(INDEX(база!$D$2:$D$120, MATCH(Таблица14[[#This Row],[Ф. И. О.]],база!$B$2:$B$100,0)),"")</f>
        <v/>
      </c>
    </row>
    <row r="84" spans="1:41" ht="13.5" customHeight="1">
      <c r="A84" s="1143" t="str">
        <f t="shared" si="0"/>
        <v>январь</v>
      </c>
      <c r="B84" t="n" s="1143">
        <v>2024.0</v>
      </c>
      <c r="C84" t="s" s="1143">
        <v>388</v>
      </c>
      <c r="D84" t="s" s="1143">
        <v>365</v>
      </c>
      <c r="E84" t="s" s="1143">
        <v>46</v>
      </c>
      <c r="F84" t="s" s="1143">
        <v>274</v>
      </c>
      <c r="G84" t="s" s="1143">
        <v>4</v>
      </c>
      <c r="H84" s="1143"/>
      <c r="I84" s="1143"/>
      <c r="J84" s="1143"/>
      <c r="K84" s="1143"/>
      <c r="L84" s="1143"/>
      <c r="M84" s="1143"/>
      <c r="N84" s="1143"/>
      <c r="O84" s="1143"/>
      <c r="P84" s="1143"/>
      <c r="Q84" t="n" s="1143">
        <v>4.0</v>
      </c>
      <c r="R84" s="215"/>
      <c r="S84" s="215"/>
      <c r="T84" s="215"/>
      <c r="U84" s="215"/>
      <c r="V84" s="215"/>
      <c r="W84" s="215"/>
      <c r="X84" s="215"/>
      <c r="Y84" s="215"/>
      <c r="Z84" s="215"/>
      <c r="AA84" s="215"/>
      <c r="AB84" s="215"/>
      <c r="AC84" s="215"/>
      <c r="AD84" s="215"/>
      <c r="AE84" s="215"/>
      <c r="AF84" s="215"/>
      <c r="AG84" s="215"/>
      <c r="AH84" s="215"/>
      <c r="AI84" s="215"/>
      <c r="AJ84" s="215"/>
      <c r="AK84" s="215"/>
      <c r="AL84" s="215"/>
      <c r="AM84" s="121">
        <f t="shared" si="2"/>
        <v>0</v>
      </c>
      <c r="AN84" s="564">
        <f>IF(AO84&lt;=3,(IF(AND(G84="5/24",AM84&gt;0.5),(AM84*2*база!$M$6*Таблица14[[#This Row],[коэф]]),
IF(AND(G84="4/24",AM84&gt;0.5),(AM84*2*база!$M$5*Таблица14[[#This Row],[коэф]]),
IF(AND(G84="3/24",AM84&gt;0.5),(AM84*2*база!$M$4*Таблица14[[#This Row],[коэф]]),
IF(AND(G84="5/16",AM84&gt;0.5),(AM84*2*база!$L$6*Таблица14[[#This Row],[коэф]]),
IF(AND(G84="4/16",AM84&gt;0.5),(AM84*2*база!$L$5*Таблица14[[#This Row],[коэф]]),
IF(AND(G84="3/16",AM84&gt;0.5),(AM84*2*база!$L$4*Таблица14[[#This Row],[коэф]]),
IF(AND(G84="4/4",AM84&gt;0.5),(AM84*2*база!$I$5*Таблица14[[#This Row],[коэф]]),
IF(OR(AND(G84="3/4",AM84&gt;0.5),AND(G84="2/4",AM84&gt;0.5)),(AM84*2*база!$I$4*Таблица14[[#This Row],[коэф]]),
IF(AND(G84="5/8",AM84&gt;0.5),(AM84*2*база!$J$6*Таблица14[[#This Row],[коэф]]),
IF(AND(G84="4/8",AM84&gt;0.5),(AM84*2*база!$J$5*Таблица14[[#This Row],[коэф]]),
IF(OR(AND(G84="3/8",AM84&gt;0.5),AND(G84="2/8",AM84&gt;0.5)),(AM84*2*база!$J$4*Таблица14[[#This Row],[коэф]]),
(AM84*0.5*база!$L$4*Таблица14[[#This Row],[коэф]]))))))))))))),
(IF(AND(G84="5/24",AM84&gt;0.5),(AM84*2*база!$M$6*Таблица14[[#This Row],[коэф]]),
IF(OR(AND(G84="4/24",AM84&gt;0.5),AND(G84="3/24",AM84&gt;0.5)),(AM84*2*база!$M$5*Таблица14[[#This Row],[коэф]]),
IF(AND(G84="5/16",AM84&gt;0.5),(AM84*2*база!$L$6*Таблица14[[#This Row],[коэф]]),
IF(OR(AND(G84="4/16",AM84&gt;0.5),AND(G84="3/16",AM84&gt;0.5)),(AM84*2*база!$L$5*Таблица14[[#This Row],[коэф]]),
IF(OR(AND(G84="4/4",AM84&gt;0.5),AND(G84="3/4",AM84&gt;2)),(AM84*2*база!$I$5*Таблица14[[#This Row],[коэф]]),
IF(AND(G84="5/8",AM84&gt;0.5),(AM84*2*база!$J$6*Таблица14[[#This Row],[коэф]]),
IF(AND(G84="4/8",AM84&gt;0.5),(AM84*2*база!$J$5*Таблица14[[#This Row],[коэф]]),
IF(OR(AND(G84="3/8",AM84&gt;0.5),AND(G84="2/8",AM84&gt;0.5)),(AM84*2*база!$J$4*Таблица14[[#This Row],[коэф]]),
(AM84*2*база!$L$5*Таблица14[[#This Row],[коэф]])))))))))))</f>
        <v>0</v>
      </c>
      <c r="AO84" s="122" t="str">
        <f>IFERROR(INDEX(база!$D$2:$D$120, MATCH(Таблица14[[#This Row],[Ф. И. О.]],база!$B$2:$B$100,0)),"")</f>
        <v/>
      </c>
    </row>
    <row r="85" spans="1:41" s="46" customFormat="1" ht="13.5" customHeight="1">
      <c r="A85" s="1144" t="str">
        <f t="shared" si="0"/>
        <v>январь</v>
      </c>
      <c r="B85" t="n" s="1144">
        <v>2024.0</v>
      </c>
      <c r="C85" t="s" s="1144">
        <v>387</v>
      </c>
      <c r="D85" t="s" s="1144">
        <v>364</v>
      </c>
      <c r="E85" t="s" s="1144">
        <v>46</v>
      </c>
      <c r="F85" t="s" s="1144">
        <v>266</v>
      </c>
      <c r="G85" t="s" s="1144">
        <v>4</v>
      </c>
      <c r="H85" s="1144"/>
      <c r="I85" s="1144"/>
      <c r="J85" s="1144"/>
      <c r="K85" s="1144"/>
      <c r="L85" s="1144"/>
      <c r="M85" s="1144"/>
      <c r="N85" s="1144"/>
      <c r="O85" s="1144"/>
      <c r="P85" s="1144"/>
      <c r="Q85" s="1144"/>
      <c r="R85" t="n" s="1144">
        <v>2.0</v>
      </c>
      <c r="S85" s="215"/>
      <c r="T85" s="215"/>
      <c r="U85" s="215"/>
      <c r="V85" s="215"/>
      <c r="W85" s="215"/>
      <c r="X85" s="215"/>
      <c r="Y85" s="215"/>
      <c r="Z85" s="215"/>
      <c r="AA85" s="215"/>
      <c r="AB85" s="215"/>
      <c r="AC85" s="215"/>
      <c r="AD85" s="215"/>
      <c r="AE85" s="215"/>
      <c r="AF85" s="215"/>
      <c r="AG85" s="215"/>
      <c r="AH85" s="215"/>
      <c r="AI85" s="215"/>
      <c r="AJ85" s="215"/>
      <c r="AK85" s="215"/>
      <c r="AL85" s="215"/>
      <c r="AM85" s="121">
        <f t="shared" si="2"/>
        <v>0</v>
      </c>
      <c r="AN85" s="564">
        <f>IF(AO85&lt;=3,(IF(AND(G85="5/24",AM85&gt;0.5),(AM85*2*база!$M$6*Таблица14[[#This Row],[коэф]]),
IF(AND(G85="4/24",AM85&gt;0.5),(AM85*2*база!$M$5*Таблица14[[#This Row],[коэф]]),
IF(AND(G85="3/24",AM85&gt;0.5),(AM85*2*база!$M$4*Таблица14[[#This Row],[коэф]]),
IF(AND(G85="5/16",AM85&gt;0.5),(AM85*2*база!$L$6*Таблица14[[#This Row],[коэф]]),
IF(AND(G85="4/16",AM85&gt;0.5),(AM85*2*база!$L$5*Таблица14[[#This Row],[коэф]]),
IF(AND(G85="3/16",AM85&gt;0.5),(AM85*2*база!$L$4*Таблица14[[#This Row],[коэф]]),
IF(AND(G85="4/4",AM85&gt;0.5),(AM85*2*база!$I$5*Таблица14[[#This Row],[коэф]]),
IF(OR(AND(G85="3/4",AM85&gt;0.5),AND(G85="2/4",AM85&gt;0.5)),(AM85*2*база!$I$4*Таблица14[[#This Row],[коэф]]),
IF(AND(G85="5/8",AM85&gt;0.5),(AM85*2*база!$J$6*Таблица14[[#This Row],[коэф]]),
IF(AND(G85="4/8",AM85&gt;0.5),(AM85*2*база!$J$5*Таблица14[[#This Row],[коэф]]),
IF(OR(AND(G85="3/8",AM85&gt;0.5),AND(G85="2/8",AM85&gt;0.5)),(AM85*2*база!$J$4*Таблица14[[#This Row],[коэф]]),
(AM85*0.5*база!$L$4*Таблица14[[#This Row],[коэф]]))))))))))))),
(IF(AND(G85="5/24",AM85&gt;0.5),(AM85*2*база!$M$6*Таблица14[[#This Row],[коэф]]),
IF(OR(AND(G85="4/24",AM85&gt;0.5),AND(G85="3/24",AM85&gt;0.5)),(AM85*2*база!$M$5*Таблица14[[#This Row],[коэф]]),
IF(AND(G85="5/16",AM85&gt;0.5),(AM85*2*база!$L$6*Таблица14[[#This Row],[коэф]]),
IF(OR(AND(G85="4/16",AM85&gt;0.5),AND(G85="3/16",AM85&gt;0.5)),(AM85*2*база!$L$5*Таблица14[[#This Row],[коэф]]),
IF(OR(AND(G85="4/4",AM85&gt;0.5),AND(G85="3/4",AM85&gt;2)),(AM85*2*база!$I$5*Таблица14[[#This Row],[коэф]]),
IF(AND(G85="5/8",AM85&gt;0.5),(AM85*2*база!$J$6*Таблица14[[#This Row],[коэф]]),
IF(AND(G85="4/8",AM85&gt;0.5),(AM85*2*база!$J$5*Таблица14[[#This Row],[коэф]]),
IF(OR(AND(G85="3/8",AM85&gt;0.5),AND(G85="2/8",AM85&gt;0.5)),(AM85*2*база!$J$4*Таблица14[[#This Row],[коэф]]),
(AM85*2*база!$L$5*Таблица14[[#This Row],[коэф]])))))))))))</f>
        <v>0</v>
      </c>
      <c r="AO85" s="122" t="str">
        <f>IFERROR(INDEX(база!$D$2:$D$120, MATCH(Таблица14[[#This Row],[Ф. И. О.]],база!$B$2:$B$100,0)),"")</f>
        <v/>
      </c>
    </row>
    <row r="86" spans="1:41" ht="13.5" customHeight="1">
      <c r="A86" s="1145" t="str">
        <f t="shared" si="0"/>
        <v>январь</v>
      </c>
      <c r="B86" t="n" s="1145">
        <v>2024.0</v>
      </c>
      <c r="C86" t="s" s="1145">
        <v>386</v>
      </c>
      <c r="D86" t="s" s="1145">
        <v>365</v>
      </c>
      <c r="E86" t="s" s="1145">
        <v>46</v>
      </c>
      <c r="F86" t="s" s="1145">
        <v>281</v>
      </c>
      <c r="G86" t="s" s="1145">
        <v>4</v>
      </c>
      <c r="H86" s="1145"/>
      <c r="I86" s="1145"/>
      <c r="J86" s="1145"/>
      <c r="K86" s="1145"/>
      <c r="L86" s="1145"/>
      <c r="M86" s="1145"/>
      <c r="N86" s="1145"/>
      <c r="O86" s="1145"/>
      <c r="P86" s="1145"/>
      <c r="Q86" s="1145"/>
      <c r="R86" t="n" s="1145">
        <v>2.0</v>
      </c>
      <c r="S86" t="n" s="46">
        <v>2.0</v>
      </c>
      <c r="T86" s="215"/>
      <c r="U86" s="215"/>
      <c r="V86" s="215"/>
      <c r="W86" s="215"/>
      <c r="X86" s="215"/>
      <c r="Y86" s="215"/>
      <c r="Z86" s="215"/>
      <c r="AA86" s="215"/>
      <c r="AB86" s="215"/>
      <c r="AC86" s="215"/>
      <c r="AD86" s="215"/>
      <c r="AE86" s="215"/>
      <c r="AF86" s="215"/>
      <c r="AG86" s="215"/>
      <c r="AH86" s="215"/>
      <c r="AI86" s="215"/>
      <c r="AJ86" s="215"/>
      <c r="AK86" s="215"/>
      <c r="AL86" s="215"/>
      <c r="AM86" s="121">
        <f t="shared" si="2"/>
        <v>0</v>
      </c>
      <c r="AN86" s="564">
        <f>IF(AO86&lt;=3,(IF(AND(G86="5/24",AM86&gt;0.5),(AM86*2*база!$M$6*Таблица14[[#This Row],[коэф]]),
IF(AND(G86="4/24",AM86&gt;0.5),(AM86*2*база!$M$5*Таблица14[[#This Row],[коэф]]),
IF(AND(G86="3/24",AM86&gt;0.5),(AM86*2*база!$M$4*Таблица14[[#This Row],[коэф]]),
IF(AND(G86="5/16",AM86&gt;0.5),(AM86*2*база!$L$6*Таблица14[[#This Row],[коэф]]),
IF(AND(G86="4/16",AM86&gt;0.5),(AM86*2*база!$L$5*Таблица14[[#This Row],[коэф]]),
IF(AND(G86="3/16",AM86&gt;0.5),(AM86*2*база!$L$4*Таблица14[[#This Row],[коэф]]),
IF(AND(G86="4/4",AM86&gt;0.5),(AM86*2*база!$I$5*Таблица14[[#This Row],[коэф]]),
IF(OR(AND(G86="3/4",AM86&gt;0.5),AND(G86="2/4",AM86&gt;0.5)),(AM86*2*база!$I$4*Таблица14[[#This Row],[коэф]]),
IF(AND(G86="5/8",AM86&gt;0.5),(AM86*2*база!$J$6*Таблица14[[#This Row],[коэф]]),
IF(AND(G86="4/8",AM86&gt;0.5),(AM86*2*база!$J$5*Таблица14[[#This Row],[коэф]]),
IF(OR(AND(G86="3/8",AM86&gt;0.5),AND(G86="2/8",AM86&gt;0.5)),(AM86*2*база!$J$4*Таблица14[[#This Row],[коэф]]),
(AM86*0.5*база!$L$4*Таблица14[[#This Row],[коэф]]))))))))))))),
(IF(AND(G86="5/24",AM86&gt;0.5),(AM86*2*база!$M$6*Таблица14[[#This Row],[коэф]]),
IF(OR(AND(G86="4/24",AM86&gt;0.5),AND(G86="3/24",AM86&gt;0.5)),(AM86*2*база!$M$5*Таблица14[[#This Row],[коэф]]),
IF(AND(G86="5/16",AM86&gt;0.5),(AM86*2*база!$L$6*Таблица14[[#This Row],[коэф]]),
IF(OR(AND(G86="4/16",AM86&gt;0.5),AND(G86="3/16",AM86&gt;0.5)),(AM86*2*база!$L$5*Таблица14[[#This Row],[коэф]]),
IF(OR(AND(G86="4/4",AM86&gt;0.5),AND(G86="3/4",AM86&gt;2)),(AM86*2*база!$I$5*Таблица14[[#This Row],[коэф]]),
IF(AND(G86="5/8",AM86&gt;0.5),(AM86*2*база!$J$6*Таблица14[[#This Row],[коэф]]),
IF(AND(G86="4/8",AM86&gt;0.5),(AM86*2*база!$J$5*Таблица14[[#This Row],[коэф]]),
IF(OR(AND(G86="3/8",AM86&gt;0.5),AND(G86="2/8",AM86&gt;0.5)),(AM86*2*база!$J$4*Таблица14[[#This Row],[коэф]]),
(AM86*2*база!$L$5*Таблица14[[#This Row],[коэф]])))))))))))</f>
        <v>0</v>
      </c>
      <c r="AO86" s="122" t="str">
        <f>IFERROR(INDEX(база!$D$2:$D$120, MATCH(Таблица14[[#This Row],[Ф. И. О.]],база!$B$2:$B$100,0)),"")</f>
        <v/>
      </c>
    </row>
    <row r="87" spans="1:41">
      <c r="A87" s="1147" t="str">
        <f t="shared" si="0"/>
        <v>январь</v>
      </c>
      <c r="B87" t="n" s="1147">
        <v>2024.0</v>
      </c>
      <c r="C87" t="s" s="1147">
        <v>397</v>
      </c>
      <c r="D87" t="s" s="1147">
        <v>364</v>
      </c>
      <c r="E87" t="s" s="1147">
        <v>46</v>
      </c>
      <c r="F87" t="s" s="1147">
        <v>358</v>
      </c>
      <c r="G87" t="s" s="1147">
        <v>6</v>
      </c>
      <c r="H87" s="1147"/>
      <c r="I87" s="1147"/>
      <c r="J87" s="1147"/>
      <c r="K87" s="1147"/>
      <c r="L87" s="1147"/>
      <c r="M87" s="1147"/>
      <c r="N87" s="1147"/>
      <c r="O87" s="1147"/>
      <c r="P87" s="1147"/>
      <c r="Q87" s="1147"/>
      <c r="R87" t="n" s="1147">
        <v>2.0</v>
      </c>
      <c r="S87" t="n" s="46">
        <v>4.0</v>
      </c>
      <c r="T87" t="n" s="46">
        <v>4.0</v>
      </c>
      <c r="U87" s="215"/>
      <c r="V87" s="215"/>
      <c r="W87" s="215"/>
      <c r="X87" s="215"/>
      <c r="Y87" s="215"/>
      <c r="Z87" s="215"/>
      <c r="AA87" s="215"/>
      <c r="AB87" s="215"/>
      <c r="AC87" s="215"/>
      <c r="AD87" s="215"/>
      <c r="AE87" s="215"/>
      <c r="AF87" s="215"/>
      <c r="AG87" s="215"/>
      <c r="AH87" s="215"/>
      <c r="AI87" s="215"/>
      <c r="AJ87" s="215"/>
      <c r="AK87" s="215"/>
      <c r="AL87" s="215"/>
      <c r="AM87" s="121">
        <f t="shared" si="2"/>
        <v>0</v>
      </c>
      <c r="AN87" s="564">
        <f>IF(AO87&lt;=3,(IF(AND(G87="5/24",AM87&gt;0.5),(AM87*2*база!$M$6*Таблица14[[#This Row],[коэф]]),
IF(AND(G87="4/24",AM87&gt;0.5),(AM87*2*база!$M$5*Таблица14[[#This Row],[коэф]]),
IF(AND(G87="3/24",AM87&gt;0.5),(AM87*2*база!$M$4*Таблица14[[#This Row],[коэф]]),
IF(AND(G87="5/16",AM87&gt;0.5),(AM87*2*база!$L$6*Таблица14[[#This Row],[коэф]]),
IF(AND(G87="4/16",AM87&gt;0.5),(AM87*2*база!$L$5*Таблица14[[#This Row],[коэф]]),
IF(AND(G87="3/16",AM87&gt;0.5),(AM87*2*база!$L$4*Таблица14[[#This Row],[коэф]]),
IF(AND(G87="4/4",AM87&gt;0.5),(AM87*2*база!$I$5*Таблица14[[#This Row],[коэф]]),
IF(OR(AND(G87="3/4",AM87&gt;0.5),AND(G87="2/4",AM87&gt;0.5)),(AM87*2*база!$I$4*Таблица14[[#This Row],[коэф]]),
IF(AND(G87="5/8",AM87&gt;0.5),(AM87*2*база!$J$6*Таблица14[[#This Row],[коэф]]),
IF(AND(G87="4/8",AM87&gt;0.5),(AM87*2*база!$J$5*Таблица14[[#This Row],[коэф]]),
IF(OR(AND(G87="3/8",AM87&gt;0.5),AND(G87="2/8",AM87&gt;0.5)),(AM87*2*база!$J$4*Таблица14[[#This Row],[коэф]]),
(AM87*0.5*база!$L$4*Таблица14[[#This Row],[коэф]]))))))))))))),
(IF(AND(G87="5/24",AM87&gt;0.5),(AM87*2*база!$M$6*Таблица14[[#This Row],[коэф]]),
IF(OR(AND(G87="4/24",AM87&gt;0.5),AND(G87="3/24",AM87&gt;0.5)),(AM87*2*база!$M$5*Таблица14[[#This Row],[коэф]]),
IF(AND(G87="5/16",AM87&gt;0.5),(AM87*2*база!$L$6*Таблица14[[#This Row],[коэф]]),
IF(OR(AND(G87="4/16",AM87&gt;0.5),AND(G87="3/16",AM87&gt;0.5)),(AM87*2*база!$L$5*Таблица14[[#This Row],[коэф]]),
IF(OR(AND(G87="4/4",AM87&gt;0.5),AND(G87="3/4",AM87&gt;2)),(AM87*2*база!$I$5*Таблица14[[#This Row],[коэф]]),
IF(AND(G87="5/8",AM87&gt;0.5),(AM87*2*база!$J$6*Таблица14[[#This Row],[коэф]]),
IF(AND(G87="4/8",AM87&gt;0.5),(AM87*2*база!$J$5*Таблица14[[#This Row],[коэф]]),
IF(OR(AND(G87="3/8",AM87&gt;0.5),AND(G87="2/8",AM87&gt;0.5)),(AM87*2*база!$J$4*Таблица14[[#This Row],[коэф]]),
(AM87*2*база!$L$5*Таблица14[[#This Row],[коэф]])))))))))))</f>
        <v>0</v>
      </c>
      <c r="AO87" s="122" t="str">
        <f>IFERROR(INDEX(база!$D$2:$D$120, MATCH(Таблица14[[#This Row],[Ф. И. О.]],база!$B$2:$B$100,0)),"")</f>
        <v/>
      </c>
    </row>
    <row r="88" spans="1:41">
      <c r="A88" s="1148" t="str">
        <f t="shared" si="0"/>
        <v>январь</v>
      </c>
      <c r="B88" t="n" s="1148">
        <v>2024.0</v>
      </c>
      <c r="C88" t="s" s="1148">
        <v>386</v>
      </c>
      <c r="D88" t="s" s="1148">
        <v>364</v>
      </c>
      <c r="E88" t="s" s="1148">
        <v>46</v>
      </c>
      <c r="F88" t="s" s="1148">
        <v>297</v>
      </c>
      <c r="G88" t="s" s="1148">
        <v>4</v>
      </c>
      <c r="H88" s="1148"/>
      <c r="I88" s="1148"/>
      <c r="J88" s="1148"/>
      <c r="K88" s="1148"/>
      <c r="L88" s="1148"/>
      <c r="M88" s="1148"/>
      <c r="N88" s="1148"/>
      <c r="O88" s="1148"/>
      <c r="P88" s="1148"/>
      <c r="Q88" s="1148"/>
      <c r="R88" t="n" s="1148">
        <v>4.0</v>
      </c>
      <c r="S88" s="215"/>
      <c r="T88" s="215"/>
      <c r="U88" s="215"/>
      <c r="V88" s="215"/>
      <c r="W88" s="215"/>
      <c r="X88" s="215"/>
      <c r="Y88" s="215"/>
      <c r="Z88" s="215"/>
      <c r="AA88" s="215"/>
      <c r="AB88" s="215"/>
      <c r="AC88" s="215"/>
      <c r="AD88" s="215"/>
      <c r="AE88" s="215"/>
      <c r="AF88" s="215"/>
      <c r="AG88" s="215"/>
      <c r="AH88" s="215"/>
      <c r="AI88" s="215"/>
      <c r="AJ88" s="215"/>
      <c r="AK88" s="215"/>
      <c r="AL88" s="215"/>
      <c r="AM88" s="121">
        <f t="shared" si="2"/>
        <v>0</v>
      </c>
      <c r="AN88" s="564">
        <f>IF(AO88&lt;=3,(IF(AND(G88="5/24",AM88&gt;0.5),(AM88*2*база!$M$6*Таблица14[[#This Row],[коэф]]),
IF(AND(G88="4/24",AM88&gt;0.5),(AM88*2*база!$M$5*Таблица14[[#This Row],[коэф]]),
IF(AND(G88="3/24",AM88&gt;0.5),(AM88*2*база!$M$4*Таблица14[[#This Row],[коэф]]),
IF(AND(G88="5/16",AM88&gt;0.5),(AM88*2*база!$L$6*Таблица14[[#This Row],[коэф]]),
IF(AND(G88="4/16",AM88&gt;0.5),(AM88*2*база!$L$5*Таблица14[[#This Row],[коэф]]),
IF(AND(G88="3/16",AM88&gt;0.5),(AM88*2*база!$L$4*Таблица14[[#This Row],[коэф]]),
IF(AND(G88="4/4",AM88&gt;0.5),(AM88*2*база!$I$5*Таблица14[[#This Row],[коэф]]),
IF(OR(AND(G88="3/4",AM88&gt;0.5),AND(G88="2/4",AM88&gt;0.5)),(AM88*2*база!$I$4*Таблица14[[#This Row],[коэф]]),
IF(AND(G88="5/8",AM88&gt;0.5),(AM88*2*база!$J$6*Таблица14[[#This Row],[коэф]]),
IF(AND(G88="4/8",AM88&gt;0.5),(AM88*2*база!$J$5*Таблица14[[#This Row],[коэф]]),
IF(OR(AND(G88="3/8",AM88&gt;0.5),AND(G88="2/8",AM88&gt;0.5)),(AM88*2*база!$J$4*Таблица14[[#This Row],[коэф]]),
(AM88*0.5*база!$L$4*Таблица14[[#This Row],[коэф]]))))))))))))),
(IF(AND(G88="5/24",AM88&gt;0.5),(AM88*2*база!$M$6*Таблица14[[#This Row],[коэф]]),
IF(OR(AND(G88="4/24",AM88&gt;0.5),AND(G88="3/24",AM88&gt;0.5)),(AM88*2*база!$M$5*Таблица14[[#This Row],[коэф]]),
IF(AND(G88="5/16",AM88&gt;0.5),(AM88*2*база!$L$6*Таблица14[[#This Row],[коэф]]),
IF(OR(AND(G88="4/16",AM88&gt;0.5),AND(G88="3/16",AM88&gt;0.5)),(AM88*2*база!$L$5*Таблица14[[#This Row],[коэф]]),
IF(OR(AND(G88="4/4",AM88&gt;0.5),AND(G88="3/4",AM88&gt;2)),(AM88*2*база!$I$5*Таблица14[[#This Row],[коэф]]),
IF(AND(G88="5/8",AM88&gt;0.5),(AM88*2*база!$J$6*Таблица14[[#This Row],[коэф]]),
IF(AND(G88="4/8",AM88&gt;0.5),(AM88*2*база!$J$5*Таблица14[[#This Row],[коэф]]),
IF(OR(AND(G88="3/8",AM88&gt;0.5),AND(G88="2/8",AM88&gt;0.5)),(AM88*2*база!$J$4*Таблица14[[#This Row],[коэф]]),
(AM88*2*база!$L$5*Таблица14[[#This Row],[коэф]])))))))))))</f>
        <v>0</v>
      </c>
      <c r="AO88" s="122" t="str">
        <f>IFERROR(INDEX(база!$D$2:$D$120, MATCH(Таблица14[[#This Row],[Ф. И. О.]],база!$B$2:$B$100,0)),"")</f>
        <v/>
      </c>
    </row>
    <row r="89" spans="1:41">
      <c r="A89" s="1149" t="str">
        <f t="shared" si="0"/>
        <v>январь</v>
      </c>
      <c r="B89" t="n" s="1149">
        <v>2024.0</v>
      </c>
      <c r="C89" t="s" s="1149">
        <v>392</v>
      </c>
      <c r="D89" t="s" s="1149">
        <v>364</v>
      </c>
      <c r="E89" t="s" s="1149">
        <v>46</v>
      </c>
      <c r="F89" t="s" s="1149">
        <v>298</v>
      </c>
      <c r="G89" t="s" s="1149">
        <v>4</v>
      </c>
      <c r="H89" s="1149"/>
      <c r="I89" s="1149"/>
      <c r="J89" s="1149"/>
      <c r="K89" s="1149"/>
      <c r="L89" s="1149"/>
      <c r="M89" s="1149"/>
      <c r="N89" s="1149"/>
      <c r="O89" s="1149"/>
      <c r="P89" s="1149"/>
      <c r="Q89" s="1149"/>
      <c r="R89" t="n" s="1149">
        <v>4.0</v>
      </c>
      <c r="S89" s="215"/>
      <c r="T89" s="215"/>
      <c r="U89" s="215"/>
      <c r="V89" s="215"/>
      <c r="W89" s="215"/>
      <c r="X89" s="215"/>
      <c r="Y89" s="215"/>
      <c r="Z89" s="215"/>
      <c r="AA89" s="215"/>
      <c r="AB89" s="215"/>
      <c r="AC89" s="215"/>
      <c r="AD89" s="215"/>
      <c r="AE89" s="215"/>
      <c r="AF89" s="215"/>
      <c r="AG89" s="215"/>
      <c r="AH89" s="215"/>
      <c r="AI89" s="215"/>
      <c r="AJ89" s="215"/>
      <c r="AK89" s="215"/>
      <c r="AL89" s="215"/>
      <c r="AM89" s="121">
        <f t="shared" si="2"/>
        <v>0</v>
      </c>
      <c r="AN89" s="564">
        <f>IF(AO89&lt;=3,(IF(AND(G89="5/24",AM89&gt;0.5),(AM89*2*база!$M$6*Таблица14[[#This Row],[коэф]]),
IF(AND(G89="4/24",AM89&gt;0.5),(AM89*2*база!$M$5*Таблица14[[#This Row],[коэф]]),
IF(AND(G89="3/24",AM89&gt;0.5),(AM89*2*база!$M$4*Таблица14[[#This Row],[коэф]]),
IF(AND(G89="5/16",AM89&gt;0.5),(AM89*2*база!$L$6*Таблица14[[#This Row],[коэф]]),
IF(AND(G89="4/16",AM89&gt;0.5),(AM89*2*база!$L$5*Таблица14[[#This Row],[коэф]]),
IF(AND(G89="3/16",AM89&gt;0.5),(AM89*2*база!$L$4*Таблица14[[#This Row],[коэф]]),
IF(AND(G89="4/4",AM89&gt;0.5),(AM89*2*база!$I$5*Таблица14[[#This Row],[коэф]]),
IF(OR(AND(G89="3/4",AM89&gt;0.5),AND(G89="2/4",AM89&gt;0.5)),(AM89*2*база!$I$4*Таблица14[[#This Row],[коэф]]),
IF(AND(G89="5/8",AM89&gt;0.5),(AM89*2*база!$J$6*Таблица14[[#This Row],[коэф]]),
IF(AND(G89="4/8",AM89&gt;0.5),(AM89*2*база!$J$5*Таблица14[[#This Row],[коэф]]),
IF(OR(AND(G89="3/8",AM89&gt;0.5),AND(G89="2/8",AM89&gt;0.5)),(AM89*2*база!$J$4*Таблица14[[#This Row],[коэф]]),
(AM89*0.5*база!$L$4*Таблица14[[#This Row],[коэф]]))))))))))))),
(IF(AND(G89="5/24",AM89&gt;0.5),(AM89*2*база!$M$6*Таблица14[[#This Row],[коэф]]),
IF(OR(AND(G89="4/24",AM89&gt;0.5),AND(G89="3/24",AM89&gt;0.5)),(AM89*2*база!$M$5*Таблица14[[#This Row],[коэф]]),
IF(AND(G89="5/16",AM89&gt;0.5),(AM89*2*база!$L$6*Таблица14[[#This Row],[коэф]]),
IF(OR(AND(G89="4/16",AM89&gt;0.5),AND(G89="3/16",AM89&gt;0.5)),(AM89*2*база!$L$5*Таблица14[[#This Row],[коэф]]),
IF(OR(AND(G89="4/4",AM89&gt;0.5),AND(G89="3/4",AM89&gt;2)),(AM89*2*база!$I$5*Таблица14[[#This Row],[коэф]]),
IF(AND(G89="5/8",AM89&gt;0.5),(AM89*2*база!$J$6*Таблица14[[#This Row],[коэф]]),
IF(AND(G89="4/8",AM89&gt;0.5),(AM89*2*база!$J$5*Таблица14[[#This Row],[коэф]]),
IF(OR(AND(G89="3/8",AM89&gt;0.5),AND(G89="2/8",AM89&gt;0.5)),(AM89*2*база!$J$4*Таблица14[[#This Row],[коэф]]),
(AM89*2*база!$L$5*Таблица14[[#This Row],[коэф]])))))))))))</f>
        <v>0</v>
      </c>
      <c r="AO89" s="122" t="str">
        <f>IFERROR(INDEX(база!$D$2:$D$120, MATCH(Таблица14[[#This Row],[Ф. И. О.]],база!$B$2:$B$100,0)),"")</f>
        <v/>
      </c>
    </row>
    <row r="90" spans="1:41">
      <c r="A90" s="1150" t="str">
        <f t="shared" si="0"/>
        <v>январь</v>
      </c>
      <c r="B90" t="n" s="1150">
        <v>2024.0</v>
      </c>
      <c r="C90" t="s" s="1150">
        <v>392</v>
      </c>
      <c r="D90" t="s" s="1150">
        <v>364</v>
      </c>
      <c r="E90" t="s" s="1150">
        <v>46</v>
      </c>
      <c r="F90" t="s" s="1150">
        <v>258</v>
      </c>
      <c r="G90" t="s" s="1150">
        <v>4</v>
      </c>
      <c r="H90" s="1150"/>
      <c r="I90" s="1150"/>
      <c r="J90" s="1150"/>
      <c r="K90" s="1150"/>
      <c r="L90" s="1150"/>
      <c r="M90" s="1150"/>
      <c r="N90" s="1150"/>
      <c r="O90" s="1150"/>
      <c r="P90" s="1150"/>
      <c r="Q90" s="1150"/>
      <c r="R90" t="n" s="1150">
        <v>4.0</v>
      </c>
      <c r="S90" s="215"/>
      <c r="T90" s="215"/>
      <c r="U90" s="215"/>
      <c r="V90" s="215"/>
      <c r="W90" s="215"/>
      <c r="X90" s="215"/>
      <c r="Y90" s="215"/>
      <c r="Z90" s="215"/>
      <c r="AA90" s="215"/>
      <c r="AB90" s="215"/>
      <c r="AC90" s="215"/>
      <c r="AD90" s="215"/>
      <c r="AE90" s="215"/>
      <c r="AF90" s="215"/>
      <c r="AG90" s="215"/>
      <c r="AH90" s="215"/>
      <c r="AI90" s="215"/>
      <c r="AJ90" s="215"/>
      <c r="AK90" s="215"/>
      <c r="AL90" s="215"/>
      <c r="AM90" s="121">
        <f t="shared" si="2"/>
        <v>0</v>
      </c>
      <c r="AN90" s="564">
        <f>IF(AO90&lt;=3,(IF(AND(G90="5/24",AM90&gt;0.5),(AM90*2*база!$M$6*Таблица14[[#This Row],[коэф]]),
IF(AND(G90="4/24",AM90&gt;0.5),(AM90*2*база!$M$5*Таблица14[[#This Row],[коэф]]),
IF(AND(G90="3/24",AM90&gt;0.5),(AM90*2*база!$M$4*Таблица14[[#This Row],[коэф]]),
IF(AND(G90="5/16",AM90&gt;0.5),(AM90*2*база!$L$6*Таблица14[[#This Row],[коэф]]),
IF(AND(G90="4/16",AM90&gt;0.5),(AM90*2*база!$L$5*Таблица14[[#This Row],[коэф]]),
IF(AND(G90="3/16",AM90&gt;0.5),(AM90*2*база!$L$4*Таблица14[[#This Row],[коэф]]),
IF(AND(G90="4/4",AM90&gt;0.5),(AM90*2*база!$I$5*Таблица14[[#This Row],[коэф]]),
IF(OR(AND(G90="3/4",AM90&gt;0.5),AND(G90="2/4",AM90&gt;0.5)),(AM90*2*база!$I$4*Таблица14[[#This Row],[коэф]]),
IF(AND(G90="5/8",AM90&gt;0.5),(AM90*2*база!$J$6*Таблица14[[#This Row],[коэф]]),
IF(AND(G90="4/8",AM90&gt;0.5),(AM90*2*база!$J$5*Таблица14[[#This Row],[коэф]]),
IF(OR(AND(G90="3/8",AM90&gt;0.5),AND(G90="2/8",AM90&gt;0.5)),(AM90*2*база!$J$4*Таблица14[[#This Row],[коэф]]),
(AM90*0.5*база!$L$4*Таблица14[[#This Row],[коэф]]))))))))))))),
(IF(AND(G90="5/24",AM90&gt;0.5),(AM90*2*база!$M$6*Таблица14[[#This Row],[коэф]]),
IF(OR(AND(G90="4/24",AM90&gt;0.5),AND(G90="3/24",AM90&gt;0.5)),(AM90*2*база!$M$5*Таблица14[[#This Row],[коэф]]),
IF(AND(G90="5/16",AM90&gt;0.5),(AM90*2*база!$L$6*Таблица14[[#This Row],[коэф]]),
IF(OR(AND(G90="4/16",AM90&gt;0.5),AND(G90="3/16",AM90&gt;0.5)),(AM90*2*база!$L$5*Таблица14[[#This Row],[коэф]]),
IF(OR(AND(G90="4/4",AM90&gt;0.5),AND(G90="3/4",AM90&gt;2)),(AM90*2*база!$I$5*Таблица14[[#This Row],[коэф]]),
IF(AND(G90="5/8",AM90&gt;0.5),(AM90*2*база!$J$6*Таблица14[[#This Row],[коэф]]),
IF(AND(G90="4/8",AM90&gt;0.5),(AM90*2*база!$J$5*Таблица14[[#This Row],[коэф]]),
IF(OR(AND(G90="3/8",AM90&gt;0.5),AND(G90="2/8",AM90&gt;0.5)),(AM90*2*база!$J$4*Таблица14[[#This Row],[коэф]]),
(AM90*2*база!$L$5*Таблица14[[#This Row],[коэф]])))))))))))</f>
        <v>0</v>
      </c>
      <c r="AO90" s="122" t="str">
        <f>IFERROR(INDEX(база!$D$2:$D$120, MATCH(Таблица14[[#This Row],[Ф. И. О.]],база!$B$2:$B$100,0)),"")</f>
        <v/>
      </c>
    </row>
    <row r="91" spans="1:41">
      <c r="A91" s="1154" t="str">
        <f t="shared" si="0"/>
        <v>январь</v>
      </c>
      <c r="B91" t="n" s="1154">
        <v>2024.0</v>
      </c>
      <c r="C91" t="s" s="1154">
        <v>392</v>
      </c>
      <c r="D91" t="s" s="1154">
        <v>364</v>
      </c>
      <c r="E91" t="s" s="1154">
        <v>46</v>
      </c>
      <c r="F91" t="s" s="1154">
        <v>253</v>
      </c>
      <c r="G91" t="s" s="1154">
        <v>4</v>
      </c>
      <c r="H91" s="1154"/>
      <c r="I91" s="1154"/>
      <c r="J91" s="1154"/>
      <c r="K91" s="1154"/>
      <c r="L91" s="1154"/>
      <c r="M91" s="1154"/>
      <c r="N91" s="1154"/>
      <c r="O91" s="1154"/>
      <c r="P91" s="1154"/>
      <c r="Q91" s="1154"/>
      <c r="R91" t="n" s="1154">
        <v>4.0</v>
      </c>
      <c r="S91" t="n" s="46">
        <v>4.0</v>
      </c>
      <c r="T91" s="215"/>
      <c r="U91" s="215"/>
      <c r="V91" s="215"/>
      <c r="W91" s="215"/>
      <c r="X91" s="215"/>
      <c r="Y91" s="215"/>
      <c r="Z91" s="215"/>
      <c r="AA91" s="215"/>
      <c r="AB91" s="215"/>
      <c r="AC91" s="215"/>
      <c r="AD91" s="215"/>
      <c r="AE91" s="215"/>
      <c r="AF91" s="215"/>
      <c r="AG91" s="215"/>
      <c r="AH91" s="215"/>
      <c r="AI91" s="215"/>
      <c r="AJ91" s="215"/>
      <c r="AK91" s="215"/>
      <c r="AL91" s="215"/>
      <c r="AM91" s="121">
        <f t="shared" si="2"/>
        <v>0</v>
      </c>
      <c r="AN91" s="564">
        <f>IF(AO91&lt;=3,(IF(AND(G91="5/24",AM91&gt;0.5),(AM91*2*база!$M$6*Таблица14[[#This Row],[коэф]]),
IF(AND(G91="4/24",AM91&gt;0.5),(AM91*2*база!$M$5*Таблица14[[#This Row],[коэф]]),
IF(AND(G91="3/24",AM91&gt;0.5),(AM91*2*база!$M$4*Таблица14[[#This Row],[коэф]]),
IF(AND(G91="5/16",AM91&gt;0.5),(AM91*2*база!$L$6*Таблица14[[#This Row],[коэф]]),
IF(AND(G91="4/16",AM91&gt;0.5),(AM91*2*база!$L$5*Таблица14[[#This Row],[коэф]]),
IF(AND(G91="3/16",AM91&gt;0.5),(AM91*2*база!$L$4*Таблица14[[#This Row],[коэф]]),
IF(AND(G91="4/4",AM91&gt;0.5),(AM91*2*база!$I$5*Таблица14[[#This Row],[коэф]]),
IF(OR(AND(G91="3/4",AM91&gt;0.5),AND(G91="2/4",AM91&gt;0.5)),(AM91*2*база!$I$4*Таблица14[[#This Row],[коэф]]),
IF(AND(G91="5/8",AM91&gt;0.5),(AM91*2*база!$J$6*Таблица14[[#This Row],[коэф]]),
IF(AND(G91="4/8",AM91&gt;0.5),(AM91*2*база!$J$5*Таблица14[[#This Row],[коэф]]),
IF(OR(AND(G91="3/8",AM91&gt;0.5),AND(G91="2/8",AM91&gt;0.5)),(AM91*2*база!$J$4*Таблица14[[#This Row],[коэф]]),
(AM91*0.5*база!$L$4*Таблица14[[#This Row],[коэф]]))))))))))))),
(IF(AND(G91="5/24",AM91&gt;0.5),(AM91*2*база!$M$6*Таблица14[[#This Row],[коэф]]),
IF(OR(AND(G91="4/24",AM91&gt;0.5),AND(G91="3/24",AM91&gt;0.5)),(AM91*2*база!$M$5*Таблица14[[#This Row],[коэф]]),
IF(AND(G91="5/16",AM91&gt;0.5),(AM91*2*база!$L$6*Таблица14[[#This Row],[коэф]]),
IF(OR(AND(G91="4/16",AM91&gt;0.5),AND(G91="3/16",AM91&gt;0.5)),(AM91*2*база!$L$5*Таблица14[[#This Row],[коэф]]),
IF(OR(AND(G91="4/4",AM91&gt;0.5),AND(G91="3/4",AM91&gt;2)),(AM91*2*база!$I$5*Таблица14[[#This Row],[коэф]]),
IF(AND(G91="5/8",AM91&gt;0.5),(AM91*2*база!$J$6*Таблица14[[#This Row],[коэф]]),
IF(AND(G91="4/8",AM91&gt;0.5),(AM91*2*база!$J$5*Таблица14[[#This Row],[коэф]]),
IF(OR(AND(G91="3/8",AM91&gt;0.5),AND(G91="2/8",AM91&gt;0.5)),(AM91*2*база!$J$4*Таблица14[[#This Row],[коэф]]),
(AM91*2*база!$L$5*Таблица14[[#This Row],[коэф]])))))))))))</f>
        <v>0</v>
      </c>
      <c r="AO91" s="122" t="str">
        <f>IFERROR(INDEX(база!$D$2:$D$120, MATCH(Таблица14[[#This Row],[Ф. И. О.]],база!$B$2:$B$100,0)),"")</f>
        <v/>
      </c>
    </row>
    <row r="92" spans="1:41">
      <c r="A92" s="1156" t="str">
        <f t="shared" si="0"/>
        <v>январь</v>
      </c>
      <c r="B92" t="n" s="1156">
        <v>2024.0</v>
      </c>
      <c r="C92" t="s" s="1156">
        <v>386</v>
      </c>
      <c r="D92" t="s" s="1156">
        <v>364</v>
      </c>
      <c r="E92" t="s" s="1156">
        <v>46</v>
      </c>
      <c r="F92" t="s" s="1156">
        <v>324</v>
      </c>
      <c r="G92" t="s" s="1156">
        <v>6</v>
      </c>
      <c r="H92" s="1156"/>
      <c r="I92" s="1156"/>
      <c r="J92" s="1156"/>
      <c r="K92" s="1156"/>
      <c r="L92" s="1156"/>
      <c r="M92" s="1156"/>
      <c r="N92" s="1156"/>
      <c r="O92" s="1156"/>
      <c r="P92" s="1156"/>
      <c r="Q92" s="1156"/>
      <c r="R92" t="n" s="1156">
        <v>3.0</v>
      </c>
      <c r="S92" s="215"/>
      <c r="T92" s="215"/>
      <c r="U92" s="215"/>
      <c r="V92" s="215"/>
      <c r="W92" s="215"/>
      <c r="X92" s="215"/>
      <c r="Y92" s="215"/>
      <c r="Z92" s="215"/>
      <c r="AA92" s="215"/>
      <c r="AB92" s="215"/>
      <c r="AC92" s="215"/>
      <c r="AD92" s="215"/>
      <c r="AE92" s="215"/>
      <c r="AF92" s="215"/>
      <c r="AG92" s="215"/>
      <c r="AH92" s="215"/>
      <c r="AI92" s="215"/>
      <c r="AJ92" s="215"/>
      <c r="AK92" s="215"/>
      <c r="AL92" s="215"/>
      <c r="AM92" s="121">
        <f t="shared" si="2"/>
        <v>0</v>
      </c>
      <c r="AN92" s="564">
        <f>IF(AO92&lt;=3,(IF(AND(G92="5/24",AM92&gt;0.5),(AM92*2*база!$M$6*Таблица14[[#This Row],[коэф]]),
IF(AND(G92="4/24",AM92&gt;0.5),(AM92*2*база!$M$5*Таблица14[[#This Row],[коэф]]),
IF(AND(G92="3/24",AM92&gt;0.5),(AM92*2*база!$M$4*Таблица14[[#This Row],[коэф]]),
IF(AND(G92="5/16",AM92&gt;0.5),(AM92*2*база!$L$6*Таблица14[[#This Row],[коэф]]),
IF(AND(G92="4/16",AM92&gt;0.5),(AM92*2*база!$L$5*Таблица14[[#This Row],[коэф]]),
IF(AND(G92="3/16",AM92&gt;0.5),(AM92*2*база!$L$4*Таблица14[[#This Row],[коэф]]),
IF(AND(G92="4/4",AM92&gt;0.5),(AM92*2*база!$I$5*Таблица14[[#This Row],[коэф]]),
IF(OR(AND(G92="3/4",AM92&gt;0.5),AND(G92="2/4",AM92&gt;0.5)),(AM92*2*база!$I$4*Таблица14[[#This Row],[коэф]]),
IF(AND(G92="5/8",AM92&gt;0.5),(AM92*2*база!$J$6*Таблица14[[#This Row],[коэф]]),
IF(AND(G92="4/8",AM92&gt;0.5),(AM92*2*база!$J$5*Таблица14[[#This Row],[коэф]]),
IF(OR(AND(G92="3/8",AM92&gt;0.5),AND(G92="2/8",AM92&gt;0.5)),(AM92*2*база!$J$4*Таблица14[[#This Row],[коэф]]),
(AM92*0.5*база!$L$4*Таблица14[[#This Row],[коэф]]))))))))))))),
(IF(AND(G92="5/24",AM92&gt;0.5),(AM92*2*база!$M$6*Таблица14[[#This Row],[коэф]]),
IF(OR(AND(G92="4/24",AM92&gt;0.5),AND(G92="3/24",AM92&gt;0.5)),(AM92*2*база!$M$5*Таблица14[[#This Row],[коэф]]),
IF(AND(G92="5/16",AM92&gt;0.5),(AM92*2*база!$L$6*Таблица14[[#This Row],[коэф]]),
IF(OR(AND(G92="4/16",AM92&gt;0.5),AND(G92="3/16",AM92&gt;0.5)),(AM92*2*база!$L$5*Таблица14[[#This Row],[коэф]]),
IF(OR(AND(G92="4/4",AM92&gt;0.5),AND(G92="3/4",AM92&gt;2)),(AM92*2*база!$I$5*Таблица14[[#This Row],[коэф]]),
IF(AND(G92="5/8",AM92&gt;0.5),(AM92*2*база!$J$6*Таблица14[[#This Row],[коэф]]),
IF(AND(G92="4/8",AM92&gt;0.5),(AM92*2*база!$J$5*Таблица14[[#This Row],[коэф]]),
IF(OR(AND(G92="3/8",AM92&gt;0.5),AND(G92="2/8",AM92&gt;0.5)),(AM92*2*база!$J$4*Таблица14[[#This Row],[коэф]]),
(AM92*2*база!$L$5*Таблица14[[#This Row],[коэф]])))))))))))</f>
        <v>0</v>
      </c>
      <c r="AO92" s="122" t="str">
        <f>IFERROR(INDEX(база!$D$2:$D$120, MATCH(Таблица14[[#This Row],[Ф. И. О.]],база!$B$2:$B$100,0)),"")</f>
        <v/>
      </c>
    </row>
    <row r="93" spans="1:41">
      <c r="A93" s="1160" t="str">
        <f t="shared" si="0"/>
        <v>январь</v>
      </c>
      <c r="B93" t="n" s="1160">
        <v>2024.0</v>
      </c>
      <c r="C93" t="s" s="1160">
        <v>386</v>
      </c>
      <c r="D93" t="s" s="1160">
        <v>365</v>
      </c>
      <c r="E93" t="s" s="1160">
        <v>46</v>
      </c>
      <c r="F93" t="s" s="1160">
        <v>251</v>
      </c>
      <c r="G93" t="s" s="1160">
        <v>4</v>
      </c>
      <c r="H93" s="1160"/>
      <c r="I93" s="1160"/>
      <c r="J93" s="1160"/>
      <c r="K93" s="1160"/>
      <c r="L93" s="1160"/>
      <c r="M93" s="1160"/>
      <c r="N93" s="1160"/>
      <c r="O93" s="1160"/>
      <c r="P93" s="1160"/>
      <c r="Q93" s="1160"/>
      <c r="R93" t="n" s="1160">
        <v>3.0</v>
      </c>
      <c r="S93" s="215"/>
      <c r="T93" s="215"/>
      <c r="U93" s="215"/>
      <c r="V93" s="215"/>
      <c r="W93" s="215"/>
      <c r="X93" s="215"/>
      <c r="Y93" s="215"/>
      <c r="Z93" s="215"/>
      <c r="AA93" s="215"/>
      <c r="AB93" s="215"/>
      <c r="AC93" s="215"/>
      <c r="AD93" s="215"/>
      <c r="AE93" s="215"/>
      <c r="AF93" s="215"/>
      <c r="AG93" s="215"/>
      <c r="AH93" s="215"/>
      <c r="AI93" s="215"/>
      <c r="AJ93" s="215"/>
      <c r="AK93" s="215"/>
      <c r="AL93" s="215"/>
      <c r="AM93" s="121">
        <f t="shared" si="2"/>
        <v>0</v>
      </c>
      <c r="AN93" s="564">
        <f>IF(AO93&lt;=3,(IF(AND(G93="5/24",AM93&gt;0.5),(AM93*2*база!$M$6*Таблица14[[#This Row],[коэф]]),
IF(AND(G93="4/24",AM93&gt;0.5),(AM93*2*база!$M$5*Таблица14[[#This Row],[коэф]]),
IF(AND(G93="3/24",AM93&gt;0.5),(AM93*2*база!$M$4*Таблица14[[#This Row],[коэф]]),
IF(AND(G93="5/16",AM93&gt;0.5),(AM93*2*база!$L$6*Таблица14[[#This Row],[коэф]]),
IF(AND(G93="4/16",AM93&gt;0.5),(AM93*2*база!$L$5*Таблица14[[#This Row],[коэф]]),
IF(AND(G93="3/16",AM93&gt;0.5),(AM93*2*база!$L$4*Таблица14[[#This Row],[коэф]]),
IF(AND(G93="4/4",AM93&gt;0.5),(AM93*2*база!$I$5*Таблица14[[#This Row],[коэф]]),
IF(OR(AND(G93="3/4",AM93&gt;0.5),AND(G93="2/4",AM93&gt;0.5)),(AM93*2*база!$I$4*Таблица14[[#This Row],[коэф]]),
IF(AND(G93="5/8",AM93&gt;0.5),(AM93*2*база!$J$6*Таблица14[[#This Row],[коэф]]),
IF(AND(G93="4/8",AM93&gt;0.5),(AM93*2*база!$J$5*Таблица14[[#This Row],[коэф]]),
IF(OR(AND(G93="3/8",AM93&gt;0.5),AND(G93="2/8",AM93&gt;0.5)),(AM93*2*база!$J$4*Таблица14[[#This Row],[коэф]]),
(AM93*0.5*база!$L$4*Таблица14[[#This Row],[коэф]]))))))))))))),
(IF(AND(G93="5/24",AM93&gt;0.5),(AM93*2*база!$M$6*Таблица14[[#This Row],[коэф]]),
IF(OR(AND(G93="4/24",AM93&gt;0.5),AND(G93="3/24",AM93&gt;0.5)),(AM93*2*база!$M$5*Таблица14[[#This Row],[коэф]]),
IF(AND(G93="5/16",AM93&gt;0.5),(AM93*2*база!$L$6*Таблица14[[#This Row],[коэф]]),
IF(OR(AND(G93="4/16",AM93&gt;0.5),AND(G93="3/16",AM93&gt;0.5)),(AM93*2*база!$L$5*Таблица14[[#This Row],[коэф]]),
IF(OR(AND(G93="4/4",AM93&gt;0.5),AND(G93="3/4",AM93&gt;2)),(AM93*2*база!$I$5*Таблица14[[#This Row],[коэф]]),
IF(AND(G93="5/8",AM93&gt;0.5),(AM93*2*база!$J$6*Таблица14[[#This Row],[коэф]]),
IF(AND(G93="4/8",AM93&gt;0.5),(AM93*2*база!$J$5*Таблица14[[#This Row],[коэф]]),
IF(OR(AND(G93="3/8",AM93&gt;0.5),AND(G93="2/8",AM93&gt;0.5)),(AM93*2*база!$J$4*Таблица14[[#This Row],[коэф]]),
(AM93*2*база!$L$5*Таблица14[[#This Row],[коэф]])))))))))))</f>
        <v>0</v>
      </c>
      <c r="AO93" s="122" t="str">
        <f>IFERROR(INDEX(база!$D$2:$D$120, MATCH(Таблица14[[#This Row],[Ф. И. О.]],база!$B$2:$B$100,0)),"")</f>
        <v/>
      </c>
    </row>
    <row r="94" spans="1:41">
      <c r="A94" s="1161" t="str">
        <f t="shared" si="0"/>
        <v>январь</v>
      </c>
      <c r="B94" t="n" s="1161">
        <v>2024.0</v>
      </c>
      <c r="C94" t="s" s="1161">
        <v>387</v>
      </c>
      <c r="D94" t="s" s="1161">
        <v>395</v>
      </c>
      <c r="E94" t="s" s="1161">
        <v>46</v>
      </c>
      <c r="F94" t="s" s="1161">
        <v>274</v>
      </c>
      <c r="G94" t="s" s="1161">
        <v>4</v>
      </c>
      <c r="H94" s="1161"/>
      <c r="I94" s="1161"/>
      <c r="J94" s="1161"/>
      <c r="K94" s="1161"/>
      <c r="L94" s="1161"/>
      <c r="M94" s="1161"/>
      <c r="N94" s="1161"/>
      <c r="O94" s="1161"/>
      <c r="P94" s="1161"/>
      <c r="Q94" s="1161"/>
      <c r="R94" t="n" s="1161">
        <v>2.0</v>
      </c>
      <c r="S94" s="215"/>
      <c r="T94" s="215"/>
      <c r="U94" s="215"/>
      <c r="V94" s="215"/>
      <c r="W94" s="215"/>
      <c r="X94" s="215"/>
      <c r="Y94" s="215"/>
      <c r="Z94" s="215"/>
      <c r="AA94" s="215"/>
      <c r="AB94" s="215"/>
      <c r="AC94" s="215"/>
      <c r="AD94" s="215"/>
      <c r="AE94" s="215"/>
      <c r="AF94" s="215"/>
      <c r="AG94" s="215"/>
      <c r="AH94" s="215"/>
      <c r="AI94" s="215"/>
      <c r="AJ94" s="215"/>
      <c r="AK94" s="215"/>
      <c r="AL94" s="215"/>
      <c r="AM94" s="121">
        <f t="shared" si="2"/>
        <v>0</v>
      </c>
      <c r="AN94" s="564">
        <f>IF(AO94&lt;=3,(IF(AND(G94="5/24",AM94&gt;0.5),(AM94*2*база!$M$6*Таблица14[[#This Row],[коэф]]),
IF(AND(G94="4/24",AM94&gt;0.5),(AM94*2*база!$M$5*Таблица14[[#This Row],[коэф]]),
IF(AND(G94="3/24",AM94&gt;0.5),(AM94*2*база!$M$4*Таблица14[[#This Row],[коэф]]),
IF(AND(G94="5/16",AM94&gt;0.5),(AM94*2*база!$L$6*Таблица14[[#This Row],[коэф]]),
IF(AND(G94="4/16",AM94&gt;0.5),(AM94*2*база!$L$5*Таблица14[[#This Row],[коэф]]),
IF(AND(G94="3/16",AM94&gt;0.5),(AM94*2*база!$L$4*Таблица14[[#This Row],[коэф]]),
IF(AND(G94="4/4",AM94&gt;0.5),(AM94*2*база!$I$5*Таблица14[[#This Row],[коэф]]),
IF(OR(AND(G94="3/4",AM94&gt;0.5),AND(G94="2/4",AM94&gt;0.5)),(AM94*2*база!$I$4*Таблица14[[#This Row],[коэф]]),
IF(AND(G94="5/8",AM94&gt;0.5),(AM94*2*база!$J$6*Таблица14[[#This Row],[коэф]]),
IF(AND(G94="4/8",AM94&gt;0.5),(AM94*2*база!$J$5*Таблица14[[#This Row],[коэф]]),
IF(OR(AND(G94="3/8",AM94&gt;0.5),AND(G94="2/8",AM94&gt;0.5)),(AM94*2*база!$J$4*Таблица14[[#This Row],[коэф]]),
(AM94*0.5*база!$L$4*Таблица14[[#This Row],[коэф]]))))))))))))),
(IF(AND(G94="5/24",AM94&gt;0.5),(AM94*2*база!$M$6*Таблица14[[#This Row],[коэф]]),
IF(OR(AND(G94="4/24",AM94&gt;0.5),AND(G94="3/24",AM94&gt;0.5)),(AM94*2*база!$M$5*Таблица14[[#This Row],[коэф]]),
IF(AND(G94="5/16",AM94&gt;0.5),(AM94*2*база!$L$6*Таблица14[[#This Row],[коэф]]),
IF(OR(AND(G94="4/16",AM94&gt;0.5),AND(G94="3/16",AM94&gt;0.5)),(AM94*2*база!$L$5*Таблица14[[#This Row],[коэф]]),
IF(OR(AND(G94="4/4",AM94&gt;0.5),AND(G94="3/4",AM94&gt;2)),(AM94*2*база!$I$5*Таблица14[[#This Row],[коэф]]),
IF(AND(G94="5/8",AM94&gt;0.5),(AM94*2*база!$J$6*Таблица14[[#This Row],[коэф]]),
IF(AND(G94="4/8",AM94&gt;0.5),(AM94*2*база!$J$5*Таблица14[[#This Row],[коэф]]),
IF(OR(AND(G94="3/8",AM94&gt;0.5),AND(G94="2/8",AM94&gt;0.5)),(AM94*2*база!$J$4*Таблица14[[#This Row],[коэф]]),
(AM94*2*база!$L$5*Таблица14[[#This Row],[коэф]])))))))))))</f>
        <v>0</v>
      </c>
      <c r="AO94" s="122" t="str">
        <f>IFERROR(INDEX(база!$D$2:$D$120, MATCH(Таблица14[[#This Row],[Ф. И. О.]],база!$B$2:$B$100,0)),"")</f>
        <v/>
      </c>
    </row>
    <row r="95" spans="1:41">
      <c r="A95" s="1165" t="str">
        <f t="shared" si="0"/>
        <v>январь</v>
      </c>
      <c r="B95" t="n" s="1165">
        <v>2024.0</v>
      </c>
      <c r="C95" t="s" s="1165">
        <v>387</v>
      </c>
      <c r="D95" t="s" s="1165">
        <v>364</v>
      </c>
      <c r="E95" t="s" s="1165">
        <v>389</v>
      </c>
      <c r="F95" t="s" s="1165">
        <v>255</v>
      </c>
      <c r="G95" t="s" s="1165">
        <v>5</v>
      </c>
      <c r="H95" s="1165"/>
      <c r="I95" s="1165"/>
      <c r="J95" s="1165"/>
      <c r="K95" s="1165"/>
      <c r="L95" s="1165"/>
      <c r="M95" s="1165"/>
      <c r="N95" s="1165"/>
      <c r="O95" s="1165"/>
      <c r="P95" s="1165"/>
      <c r="Q95" s="1165"/>
      <c r="R95" s="1165"/>
      <c r="S95" t="n" s="1165">
        <v>4.0</v>
      </c>
      <c r="T95" s="215"/>
      <c r="U95" s="215"/>
      <c r="V95" s="215"/>
      <c r="W95" s="215"/>
      <c r="X95" s="215"/>
      <c r="Y95" s="215"/>
      <c r="Z95" s="215"/>
      <c r="AA95" s="215"/>
      <c r="AB95" s="215"/>
      <c r="AC95" s="215"/>
      <c r="AD95" s="215"/>
      <c r="AE95" s="215"/>
      <c r="AF95" s="215"/>
      <c r="AG95" s="215"/>
      <c r="AH95" s="215"/>
      <c r="AI95" s="215"/>
      <c r="AJ95" s="215"/>
      <c r="AK95" s="215"/>
      <c r="AL95" s="215"/>
      <c r="AM95" s="121">
        <f t="shared" si="2"/>
        <v>0</v>
      </c>
      <c r="AN95" s="564">
        <f>IF(AO95&lt;=3,(IF(AND(G95="5/24",AM95&gt;0.5),(AM95*2*база!$M$6*Таблица14[[#This Row],[коэф]]),
IF(AND(G95="4/24",AM95&gt;0.5),(AM95*2*база!$M$5*Таблица14[[#This Row],[коэф]]),
IF(AND(G95="3/24",AM95&gt;0.5),(AM95*2*база!$M$4*Таблица14[[#This Row],[коэф]]),
IF(AND(G95="5/16",AM95&gt;0.5),(AM95*2*база!$L$6*Таблица14[[#This Row],[коэф]]),
IF(AND(G95="4/16",AM95&gt;0.5),(AM95*2*база!$L$5*Таблица14[[#This Row],[коэф]]),
IF(AND(G95="3/16",AM95&gt;0.5),(AM95*2*база!$L$4*Таблица14[[#This Row],[коэф]]),
IF(AND(G95="4/4",AM95&gt;0.5),(AM95*2*база!$I$5*Таблица14[[#This Row],[коэф]]),
IF(OR(AND(G95="3/4",AM95&gt;0.5),AND(G95="2/4",AM95&gt;0.5)),(AM95*2*база!$I$4*Таблица14[[#This Row],[коэф]]),
IF(AND(G95="5/8",AM95&gt;0.5),(AM95*2*база!$J$6*Таблица14[[#This Row],[коэф]]),
IF(AND(G95="4/8",AM95&gt;0.5),(AM95*2*база!$J$5*Таблица14[[#This Row],[коэф]]),
IF(OR(AND(G95="3/8",AM95&gt;0.5),AND(G95="2/8",AM95&gt;0.5)),(AM95*2*база!$J$4*Таблица14[[#This Row],[коэф]]),
(AM95*0.5*база!$L$4*Таблица14[[#This Row],[коэф]]))))))))))))),
(IF(AND(G95="5/24",AM95&gt;0.5),(AM95*2*база!$M$6*Таблица14[[#This Row],[коэф]]),
IF(OR(AND(G95="4/24",AM95&gt;0.5),AND(G95="3/24",AM95&gt;0.5)),(AM95*2*база!$M$5*Таблица14[[#This Row],[коэф]]),
IF(AND(G95="5/16",AM95&gt;0.5),(AM95*2*база!$L$6*Таблица14[[#This Row],[коэф]]),
IF(OR(AND(G95="4/16",AM95&gt;0.5),AND(G95="3/16",AM95&gt;0.5)),(AM95*2*база!$L$5*Таблица14[[#This Row],[коэф]]),
IF(OR(AND(G95="4/4",AM95&gt;0.5),AND(G95="3/4",AM95&gt;2)),(AM95*2*база!$I$5*Таблица14[[#This Row],[коэф]]),
IF(AND(G95="5/8",AM95&gt;0.5),(AM95*2*база!$J$6*Таблица14[[#This Row],[коэф]]),
IF(AND(G95="4/8",AM95&gt;0.5),(AM95*2*база!$J$5*Таблица14[[#This Row],[коэф]]),
IF(OR(AND(G95="3/8",AM95&gt;0.5),AND(G95="2/8",AM95&gt;0.5)),(AM95*2*база!$J$4*Таблица14[[#This Row],[коэф]]),
(AM95*2*база!$L$5*Таблица14[[#This Row],[коэф]])))))))))))</f>
        <v>0</v>
      </c>
      <c r="AO95" s="122" t="str">
        <f>IFERROR(INDEX(база!$D$2:$D$120, MATCH(Таблица14[[#This Row],[Ф. И. О.]],база!$B$2:$B$100,0)),"")</f>
        <v/>
      </c>
    </row>
    <row r="96" spans="1:41">
      <c r="A96" s="1172" t="str">
        <f t="shared" si="0"/>
        <v>январь</v>
      </c>
      <c r="B96" t="n" s="1172">
        <v>2024.0</v>
      </c>
      <c r="C96" t="s" s="1172">
        <v>388</v>
      </c>
      <c r="D96" t="s" s="1172">
        <v>380</v>
      </c>
      <c r="E96" t="s" s="1172">
        <v>389</v>
      </c>
      <c r="F96" t="s" s="1172">
        <v>271</v>
      </c>
      <c r="G96" t="s" s="1172">
        <v>5</v>
      </c>
      <c r="H96" s="1172"/>
      <c r="I96" s="1172"/>
      <c r="J96" s="1172"/>
      <c r="K96" s="1172"/>
      <c r="L96" s="1172"/>
      <c r="M96" s="1172"/>
      <c r="N96" s="1172"/>
      <c r="O96" s="1172"/>
      <c r="P96" s="1172"/>
      <c r="Q96" s="1172"/>
      <c r="R96" s="1172"/>
      <c r="S96" t="n" s="1172">
        <v>3.0</v>
      </c>
      <c r="T96" s="215"/>
      <c r="U96" s="215"/>
      <c r="V96" s="215"/>
      <c r="W96" s="215"/>
      <c r="X96" s="215"/>
      <c r="Y96" s="215"/>
      <c r="Z96" s="215"/>
      <c r="AA96" s="215"/>
      <c r="AB96" s="215"/>
      <c r="AC96" s="215"/>
      <c r="AD96" s="215"/>
      <c r="AE96" s="215"/>
      <c r="AF96" s="215"/>
      <c r="AG96" s="215"/>
      <c r="AH96" s="215"/>
      <c r="AI96" s="215"/>
      <c r="AJ96" s="215"/>
      <c r="AK96" s="215"/>
      <c r="AL96" s="215"/>
      <c r="AM96" s="121">
        <f t="shared" si="2"/>
        <v>0</v>
      </c>
      <c r="AN96" s="564">
        <f>IF(AO96&lt;=3,(IF(AND(G96="5/24",AM96&gt;0.5),(AM96*2*база!$M$6*Таблица14[[#This Row],[коэф]]),
IF(AND(G96="4/24",AM96&gt;0.5),(AM96*2*база!$M$5*Таблица14[[#This Row],[коэф]]),
IF(AND(G96="3/24",AM96&gt;0.5),(AM96*2*база!$M$4*Таблица14[[#This Row],[коэф]]),
IF(AND(G96="5/16",AM96&gt;0.5),(AM96*2*база!$L$6*Таблица14[[#This Row],[коэф]]),
IF(AND(G96="4/16",AM96&gt;0.5),(AM96*2*база!$L$5*Таблица14[[#This Row],[коэф]]),
IF(AND(G96="3/16",AM96&gt;0.5),(AM96*2*база!$L$4*Таблица14[[#This Row],[коэф]]),
IF(AND(G96="4/4",AM96&gt;0.5),(AM96*2*база!$I$5*Таблица14[[#This Row],[коэф]]),
IF(OR(AND(G96="3/4",AM96&gt;0.5),AND(G96="2/4",AM96&gt;0.5)),(AM96*2*база!$I$4*Таблица14[[#This Row],[коэф]]),
IF(AND(G96="5/8",AM96&gt;0.5),(AM96*2*база!$J$6*Таблица14[[#This Row],[коэф]]),
IF(AND(G96="4/8",AM96&gt;0.5),(AM96*2*база!$J$5*Таблица14[[#This Row],[коэф]]),
IF(OR(AND(G96="3/8",AM96&gt;0.5),AND(G96="2/8",AM96&gt;0.5)),(AM96*2*база!$J$4*Таблица14[[#This Row],[коэф]]),
(AM96*0.5*база!$L$4*Таблица14[[#This Row],[коэф]]))))))))))))),
(IF(AND(G96="5/24",AM96&gt;0.5),(AM96*2*база!$M$6*Таблица14[[#This Row],[коэф]]),
IF(OR(AND(G96="4/24",AM96&gt;0.5),AND(G96="3/24",AM96&gt;0.5)),(AM96*2*база!$M$5*Таблица14[[#This Row],[коэф]]),
IF(AND(G96="5/16",AM96&gt;0.5),(AM96*2*база!$L$6*Таблица14[[#This Row],[коэф]]),
IF(OR(AND(G96="4/16",AM96&gt;0.5),AND(G96="3/16",AM96&gt;0.5)),(AM96*2*база!$L$5*Таблица14[[#This Row],[коэф]]),
IF(OR(AND(G96="4/4",AM96&gt;0.5),AND(G96="3/4",AM96&gt;2)),(AM96*2*база!$I$5*Таблица14[[#This Row],[коэф]]),
IF(AND(G96="5/8",AM96&gt;0.5),(AM96*2*база!$J$6*Таблица14[[#This Row],[коэф]]),
IF(AND(G96="4/8",AM96&gt;0.5),(AM96*2*база!$J$5*Таблица14[[#This Row],[коэф]]),
IF(OR(AND(G96="3/8",AM96&gt;0.5),AND(G96="2/8",AM96&gt;0.5)),(AM96*2*база!$J$4*Таблица14[[#This Row],[коэф]]),
(AM96*2*база!$L$5*Таблица14[[#This Row],[коэф]])))))))))))</f>
        <v>0</v>
      </c>
      <c r="AO96" s="122" t="str">
        <f>IFERROR(INDEX(база!$D$2:$D$120, MATCH(Таблица14[[#This Row],[Ф. И. О.]],база!$B$2:$B$100,0)),"")</f>
        <v/>
      </c>
    </row>
    <row r="97" spans="1:41">
      <c r="A97" s="1173" t="str">
        <f t="shared" si="0"/>
        <v>январь</v>
      </c>
      <c r="B97" t="n" s="1173">
        <v>2024.0</v>
      </c>
      <c r="C97" t="s" s="1173">
        <v>388</v>
      </c>
      <c r="D97" t="s" s="1173">
        <v>366</v>
      </c>
      <c r="E97" t="s" s="1173">
        <v>46</v>
      </c>
      <c r="F97" t="s" s="1173">
        <v>274</v>
      </c>
      <c r="G97" t="s" s="1173">
        <v>4</v>
      </c>
      <c r="H97" s="1173"/>
      <c r="I97" s="1173"/>
      <c r="J97" s="1173"/>
      <c r="K97" s="1173"/>
      <c r="L97" s="1173"/>
      <c r="M97" s="1173"/>
      <c r="N97" s="1173"/>
      <c r="O97" s="1173"/>
      <c r="P97" s="1173"/>
      <c r="Q97" s="1173"/>
      <c r="R97" s="1173"/>
      <c r="S97" t="n" s="1173">
        <v>4.0</v>
      </c>
      <c r="T97" s="215"/>
      <c r="U97" s="215"/>
      <c r="V97" s="215"/>
      <c r="W97" s="215"/>
      <c r="X97" s="215"/>
      <c r="Y97" s="215"/>
      <c r="Z97" s="215"/>
      <c r="AA97" s="215"/>
      <c r="AB97" s="215"/>
      <c r="AC97" s="215"/>
      <c r="AD97" s="215"/>
      <c r="AE97" s="215"/>
      <c r="AF97" s="215"/>
      <c r="AG97" s="215"/>
      <c r="AH97" s="215"/>
      <c r="AI97" s="215"/>
      <c r="AJ97" s="215"/>
      <c r="AK97" s="215"/>
      <c r="AL97" s="215"/>
      <c r="AM97" s="121">
        <f t="shared" si="2"/>
        <v>0</v>
      </c>
      <c r="AN97" s="564">
        <f>IF(AO97&lt;=3,(IF(AND(G97="5/24",AM97&gt;0.5),(AM97*2*база!$M$6*Таблица14[[#This Row],[коэф]]),
IF(AND(G97="4/24",AM97&gt;0.5),(AM97*2*база!$M$5*Таблица14[[#This Row],[коэф]]),
IF(AND(G97="3/24",AM97&gt;0.5),(AM97*2*база!$M$4*Таблица14[[#This Row],[коэф]]),
IF(AND(G97="5/16",AM97&gt;0.5),(AM97*2*база!$L$6*Таблица14[[#This Row],[коэф]]),
IF(AND(G97="4/16",AM97&gt;0.5),(AM97*2*база!$L$5*Таблица14[[#This Row],[коэф]]),
IF(AND(G97="3/16",AM97&gt;0.5),(AM97*2*база!$L$4*Таблица14[[#This Row],[коэф]]),
IF(AND(G97="4/4",AM97&gt;0.5),(AM97*2*база!$I$5*Таблица14[[#This Row],[коэф]]),
IF(OR(AND(G97="3/4",AM97&gt;0.5),AND(G97="2/4",AM97&gt;0.5)),(AM97*2*база!$I$4*Таблица14[[#This Row],[коэф]]),
IF(AND(G97="5/8",AM97&gt;0.5),(AM97*2*база!$J$6*Таблица14[[#This Row],[коэф]]),
IF(AND(G97="4/8",AM97&gt;0.5),(AM97*2*база!$J$5*Таблица14[[#This Row],[коэф]]),
IF(OR(AND(G97="3/8",AM97&gt;0.5),AND(G97="2/8",AM97&gt;0.5)),(AM97*2*база!$J$4*Таблица14[[#This Row],[коэф]]),
(AM97*0.5*база!$L$4*Таблица14[[#This Row],[коэф]]))))))))))))),
(IF(AND(G97="5/24",AM97&gt;0.5),(AM97*2*база!$M$6*Таблица14[[#This Row],[коэф]]),
IF(OR(AND(G97="4/24",AM97&gt;0.5),AND(G97="3/24",AM97&gt;0.5)),(AM97*2*база!$M$5*Таблица14[[#This Row],[коэф]]),
IF(AND(G97="5/16",AM97&gt;0.5),(AM97*2*база!$L$6*Таблица14[[#This Row],[коэф]]),
IF(OR(AND(G97="4/16",AM97&gt;0.5),AND(G97="3/16",AM97&gt;0.5)),(AM97*2*база!$L$5*Таблица14[[#This Row],[коэф]]),
IF(OR(AND(G97="4/4",AM97&gt;0.5),AND(G97="3/4",AM97&gt;2)),(AM97*2*база!$I$5*Таблица14[[#This Row],[коэф]]),
IF(AND(G97="5/8",AM97&gt;0.5),(AM97*2*база!$J$6*Таблица14[[#This Row],[коэф]]),
IF(AND(G97="4/8",AM97&gt;0.5),(AM97*2*база!$J$5*Таблица14[[#This Row],[коэф]]),
IF(OR(AND(G97="3/8",AM97&gt;0.5),AND(G97="2/8",AM97&gt;0.5)),(AM97*2*база!$J$4*Таблица14[[#This Row],[коэф]]),
(AM97*2*база!$L$5*Таблица14[[#This Row],[коэф]])))))))))))</f>
        <v>0</v>
      </c>
      <c r="AO97" s="122" t="str">
        <f>IFERROR(INDEX(база!$D$2:$D$120, MATCH(Таблица14[[#This Row],[Ф. И. О.]],база!$B$2:$B$100,0)),"")</f>
        <v/>
      </c>
    </row>
    <row r="98" spans="1:41">
      <c r="A98" s="1174" t="str">
        <f t="shared" si="0"/>
        <v>январь</v>
      </c>
      <c r="B98" t="n" s="1174">
        <v>2024.0</v>
      </c>
      <c r="C98" t="s" s="1174">
        <v>392</v>
      </c>
      <c r="D98" t="s" s="1174">
        <v>364</v>
      </c>
      <c r="E98" t="s" s="1174">
        <v>46</v>
      </c>
      <c r="F98" t="s" s="1174">
        <v>328</v>
      </c>
      <c r="G98" t="s" s="1174">
        <v>4</v>
      </c>
      <c r="H98" s="1174"/>
      <c r="I98" s="1174"/>
      <c r="J98" s="1174"/>
      <c r="K98" s="1174"/>
      <c r="L98" s="1174"/>
      <c r="M98" s="1174"/>
      <c r="N98" s="1174"/>
      <c r="O98" s="1174"/>
      <c r="P98" s="1174"/>
      <c r="Q98" s="1174"/>
      <c r="R98" s="1174"/>
      <c r="S98" t="n" s="1174">
        <v>4.0</v>
      </c>
      <c r="T98" s="215"/>
      <c r="U98" s="215"/>
      <c r="V98" s="215"/>
      <c r="W98" s="215"/>
      <c r="X98" s="215"/>
      <c r="Y98" s="215"/>
      <c r="Z98" s="215"/>
      <c r="AA98" s="215"/>
      <c r="AB98" s="215"/>
      <c r="AC98" s="215"/>
      <c r="AD98" s="215"/>
      <c r="AE98" s="215"/>
      <c r="AF98" s="215"/>
      <c r="AG98" s="215"/>
      <c r="AH98" s="215"/>
      <c r="AI98" s="215"/>
      <c r="AJ98" s="215"/>
      <c r="AK98" s="215"/>
      <c r="AL98" s="215"/>
      <c r="AM98" s="121">
        <f t="shared" si="2"/>
        <v>0</v>
      </c>
      <c r="AN98" s="564">
        <f>IF(AO98&lt;=3,(IF(AND(G98="5/24",AM98&gt;0.5),(AM98*2*база!$M$6*Таблица14[[#This Row],[коэф]]),
IF(AND(G98="4/24",AM98&gt;0.5),(AM98*2*база!$M$5*Таблица14[[#This Row],[коэф]]),
IF(AND(G98="3/24",AM98&gt;0.5),(AM98*2*база!$M$4*Таблица14[[#This Row],[коэф]]),
IF(AND(G98="5/16",AM98&gt;0.5),(AM98*2*база!$L$6*Таблица14[[#This Row],[коэф]]),
IF(AND(G98="4/16",AM98&gt;0.5),(AM98*2*база!$L$5*Таблица14[[#This Row],[коэф]]),
IF(AND(G98="3/16",AM98&gt;0.5),(AM98*2*база!$L$4*Таблица14[[#This Row],[коэф]]),
IF(AND(G98="4/4",AM98&gt;0.5),(AM98*2*база!$I$5*Таблица14[[#This Row],[коэф]]),
IF(OR(AND(G98="3/4",AM98&gt;0.5),AND(G98="2/4",AM98&gt;0.5)),(AM98*2*база!$I$4*Таблица14[[#This Row],[коэф]]),
IF(AND(G98="5/8",AM98&gt;0.5),(AM98*2*база!$J$6*Таблица14[[#This Row],[коэф]]),
IF(AND(G98="4/8",AM98&gt;0.5),(AM98*2*база!$J$5*Таблица14[[#This Row],[коэф]]),
IF(OR(AND(G98="3/8",AM98&gt;0.5),AND(G98="2/8",AM98&gt;0.5)),(AM98*2*база!$J$4*Таблица14[[#This Row],[коэф]]),
(AM98*0.5*база!$L$4*Таблица14[[#This Row],[коэф]]))))))))))))),
(IF(AND(G98="5/24",AM98&gt;0.5),(AM98*2*база!$M$6*Таблица14[[#This Row],[коэф]]),
IF(OR(AND(G98="4/24",AM98&gt;0.5),AND(G98="3/24",AM98&gt;0.5)),(AM98*2*база!$M$5*Таблица14[[#This Row],[коэф]]),
IF(AND(G98="5/16",AM98&gt;0.5),(AM98*2*база!$L$6*Таблица14[[#This Row],[коэф]]),
IF(OR(AND(G98="4/16",AM98&gt;0.5),AND(G98="3/16",AM98&gt;0.5)),(AM98*2*база!$L$5*Таблица14[[#This Row],[коэф]]),
IF(OR(AND(G98="4/4",AM98&gt;0.5),AND(G98="3/4",AM98&gt;2)),(AM98*2*база!$I$5*Таблица14[[#This Row],[коэф]]),
IF(AND(G98="5/8",AM98&gt;0.5),(AM98*2*база!$J$6*Таблица14[[#This Row],[коэф]]),
IF(AND(G98="4/8",AM98&gt;0.5),(AM98*2*база!$J$5*Таблица14[[#This Row],[коэф]]),
IF(OR(AND(G98="3/8",AM98&gt;0.5),AND(G98="2/8",AM98&gt;0.5)),(AM98*2*база!$J$4*Таблица14[[#This Row],[коэф]]),
(AM98*2*база!$L$5*Таблица14[[#This Row],[коэф]])))))))))))</f>
        <v>0</v>
      </c>
      <c r="AO98" s="122" t="str">
        <f>IFERROR(INDEX(база!$D$2:$D$120, MATCH(Таблица14[[#This Row],[Ф. И. О.]],база!$B$2:$B$100,0)),"")</f>
        <v/>
      </c>
    </row>
    <row r="99" spans="1:41">
      <c r="A99" s="1177" t="str">
        <f t="shared" si="0"/>
        <v>январь</v>
      </c>
      <c r="B99" t="n" s="1177">
        <v>2024.0</v>
      </c>
      <c r="C99" t="s" s="1177">
        <v>386</v>
      </c>
      <c r="D99" t="s" s="1177">
        <v>364</v>
      </c>
      <c r="E99" t="s" s="1177">
        <v>46</v>
      </c>
      <c r="F99" t="s" s="1177">
        <v>360</v>
      </c>
      <c r="G99" t="s" s="1177">
        <v>4</v>
      </c>
      <c r="H99" s="1177"/>
      <c r="I99" s="1177"/>
      <c r="J99" s="1177"/>
      <c r="K99" s="1177"/>
      <c r="L99" s="1177"/>
      <c r="M99" s="1177"/>
      <c r="N99" s="1177"/>
      <c r="O99" s="1177"/>
      <c r="P99" s="1177"/>
      <c r="Q99" s="1177"/>
      <c r="R99" t="n" s="1177">
        <v>2.0</v>
      </c>
      <c r="S99" s="215"/>
      <c r="T99" s="215"/>
      <c r="U99" s="215"/>
      <c r="V99" s="215"/>
      <c r="W99" s="215"/>
      <c r="X99" s="215"/>
      <c r="Y99" s="215"/>
      <c r="Z99" s="215"/>
      <c r="AA99" s="215"/>
      <c r="AB99" s="215"/>
      <c r="AC99" s="215"/>
      <c r="AD99" s="215"/>
      <c r="AE99" s="215"/>
      <c r="AF99" s="215"/>
      <c r="AG99" s="215"/>
      <c r="AH99" s="215"/>
      <c r="AI99" s="215"/>
      <c r="AJ99" s="215"/>
      <c r="AK99" s="215"/>
      <c r="AL99" s="215"/>
      <c r="AM99" s="121">
        <f t="shared" si="2"/>
        <v>0</v>
      </c>
      <c r="AN99" s="564">
        <f>IF(AO99&lt;=3,(IF(AND(G99="5/24",AM99&gt;0.5),(AM99*2*база!$M$6*Таблица14[[#This Row],[коэф]]),
IF(AND(G99="4/24",AM99&gt;0.5),(AM99*2*база!$M$5*Таблица14[[#This Row],[коэф]]),
IF(AND(G99="3/24",AM99&gt;0.5),(AM99*2*база!$M$4*Таблица14[[#This Row],[коэф]]),
IF(AND(G99="5/16",AM99&gt;0.5),(AM99*2*база!$L$6*Таблица14[[#This Row],[коэф]]),
IF(AND(G99="4/16",AM99&gt;0.5),(AM99*2*база!$L$5*Таблица14[[#This Row],[коэф]]),
IF(AND(G99="3/16",AM99&gt;0.5),(AM99*2*база!$L$4*Таблица14[[#This Row],[коэф]]),
IF(AND(G99="4/4",AM99&gt;0.5),(AM99*2*база!$I$5*Таблица14[[#This Row],[коэф]]),
IF(OR(AND(G99="3/4",AM99&gt;0.5),AND(G99="2/4",AM99&gt;0.5)),(AM99*2*база!$I$4*Таблица14[[#This Row],[коэф]]),
IF(AND(G99="5/8",AM99&gt;0.5),(AM99*2*база!$J$6*Таблица14[[#This Row],[коэф]]),
IF(AND(G99="4/8",AM99&gt;0.5),(AM99*2*база!$J$5*Таблица14[[#This Row],[коэф]]),
IF(OR(AND(G99="3/8",AM99&gt;0.5),AND(G99="2/8",AM99&gt;0.5)),(AM99*2*база!$J$4*Таблица14[[#This Row],[коэф]]),
(AM99*0.5*база!$L$4*Таблица14[[#This Row],[коэф]]))))))))))))),
(IF(AND(G99="5/24",AM99&gt;0.5),(AM99*2*база!$M$6*Таблица14[[#This Row],[коэф]]),
IF(OR(AND(G99="4/24",AM99&gt;0.5),AND(G99="3/24",AM99&gt;0.5)),(AM99*2*база!$M$5*Таблица14[[#This Row],[коэф]]),
IF(AND(G99="5/16",AM99&gt;0.5),(AM99*2*база!$L$6*Таблица14[[#This Row],[коэф]]),
IF(OR(AND(G99="4/16",AM99&gt;0.5),AND(G99="3/16",AM99&gt;0.5)),(AM99*2*база!$L$5*Таблица14[[#This Row],[коэф]]),
IF(OR(AND(G99="4/4",AM99&gt;0.5),AND(G99="3/4",AM99&gt;2)),(AM99*2*база!$I$5*Таблица14[[#This Row],[коэф]]),
IF(AND(G99="5/8",AM99&gt;0.5),(AM99*2*база!$J$6*Таблица14[[#This Row],[коэф]]),
IF(AND(G99="4/8",AM99&gt;0.5),(AM99*2*база!$J$5*Таблица14[[#This Row],[коэф]]),
IF(OR(AND(G99="3/8",AM99&gt;0.5),AND(G99="2/8",AM99&gt;0.5)),(AM99*2*база!$J$4*Таблица14[[#This Row],[коэф]]),
(AM99*2*база!$L$5*Таблица14[[#This Row],[коэф]])))))))))))</f>
        <v>0</v>
      </c>
      <c r="AO99" s="122" t="str">
        <f>IFERROR(INDEX(база!$D$2:$D$120, MATCH(Таблица14[[#This Row],[Ф. И. О.]],база!$B$2:$B$100,0)),"")</f>
        <v/>
      </c>
    </row>
    <row r="100" spans="1:41" s="46" customFormat="1">
      <c r="A100" s="1178" t="str">
        <f t="shared" si="0"/>
        <v>январь</v>
      </c>
      <c r="B100" t="n" s="1178">
        <v>2024.0</v>
      </c>
      <c r="C100" t="s" s="1178">
        <v>388</v>
      </c>
      <c r="D100" t="s" s="1178">
        <v>364</v>
      </c>
      <c r="E100" t="s" s="1178">
        <v>46</v>
      </c>
      <c r="F100" t="s" s="1178">
        <v>264</v>
      </c>
      <c r="G100" t="s" s="1178">
        <v>67</v>
      </c>
      <c r="H100" s="1178"/>
      <c r="I100" s="1178"/>
      <c r="J100" s="1178"/>
      <c r="K100" s="1178"/>
      <c r="L100" s="1178"/>
      <c r="M100" s="1178"/>
      <c r="N100" s="1178"/>
      <c r="O100" s="1178"/>
      <c r="P100" s="1178"/>
      <c r="Q100" s="1178"/>
      <c r="R100" s="1178"/>
      <c r="S100" t="n" s="1178">
        <v>4.0</v>
      </c>
      <c r="T100" s="215"/>
      <c r="U100" s="215"/>
      <c r="V100" s="215"/>
      <c r="W100" s="215"/>
      <c r="X100" s="215"/>
      <c r="Y100" s="215"/>
      <c r="Z100" s="215"/>
      <c r="AA100" s="215"/>
      <c r="AB100" s="215"/>
      <c r="AC100" s="215"/>
      <c r="AD100" s="215"/>
      <c r="AE100" s="215"/>
      <c r="AF100" s="215"/>
      <c r="AG100" s="215"/>
      <c r="AH100" s="215"/>
      <c r="AI100" s="215"/>
      <c r="AJ100" s="215"/>
      <c r="AK100" s="215"/>
      <c r="AL100" s="215"/>
      <c r="AM100" s="121">
        <f t="shared" si="2"/>
        <v>0</v>
      </c>
      <c r="AN100" s="564">
        <f>IF(AO100&lt;=3,(IF(AND(G100="5/24",AM100&gt;0.5),(AM100*2*база!$M$6*Таблица14[[#This Row],[коэф]]),
IF(AND(G100="4/24",AM100&gt;0.5),(AM100*2*база!$M$5*Таблица14[[#This Row],[коэф]]),
IF(AND(G100="3/24",AM100&gt;0.5),(AM100*2*база!$M$4*Таблица14[[#This Row],[коэф]]),
IF(AND(G100="5/16",AM100&gt;0.5),(AM100*2*база!$L$6*Таблица14[[#This Row],[коэф]]),
IF(AND(G100="4/16",AM100&gt;0.5),(AM100*2*база!$L$5*Таблица14[[#This Row],[коэф]]),
IF(AND(G100="3/16",AM100&gt;0.5),(AM100*2*база!$L$4*Таблица14[[#This Row],[коэф]]),
IF(AND(G100="4/4",AM100&gt;0.5),(AM100*2*база!$I$5*Таблица14[[#This Row],[коэф]]),
IF(OR(AND(G100="3/4",AM100&gt;0.5),AND(G100="2/4",AM100&gt;0.5)),(AM100*2*база!$I$4*Таблица14[[#This Row],[коэф]]),
IF(AND(G100="5/8",AM100&gt;0.5),(AM100*2*база!$J$6*Таблица14[[#This Row],[коэф]]),
IF(AND(G100="4/8",AM100&gt;0.5),(AM100*2*база!$J$5*Таблица14[[#This Row],[коэф]]),
IF(OR(AND(G100="3/8",AM100&gt;0.5),AND(G100="2/8",AM100&gt;0.5)),(AM100*2*база!$J$4*Таблица14[[#This Row],[коэф]]),
(AM100*0.5*база!$L$4*Таблица14[[#This Row],[коэф]]))))))))))))),
(IF(AND(G100="5/24",AM100&gt;0.5),(AM100*2*база!$M$6*Таблица14[[#This Row],[коэф]]),
IF(OR(AND(G100="4/24",AM100&gt;0.5),AND(G100="3/24",AM100&gt;0.5)),(AM100*2*база!$M$5*Таблица14[[#This Row],[коэф]]),
IF(AND(G100="5/16",AM100&gt;0.5),(AM100*2*база!$L$6*Таблица14[[#This Row],[коэф]]),
IF(OR(AND(G100="4/16",AM100&gt;0.5),AND(G100="3/16",AM100&gt;0.5)),(AM100*2*база!$L$5*Таблица14[[#This Row],[коэф]]),
IF(OR(AND(G100="4/4",AM100&gt;0.5),AND(G100="3/4",AM100&gt;2)),(AM100*2*база!$I$5*Таблица14[[#This Row],[коэф]]),
IF(AND(G100="5/8",AM100&gt;0.5),(AM100*2*база!$J$6*Таблица14[[#This Row],[коэф]]),
IF(AND(G100="4/8",AM100&gt;0.5),(AM100*2*база!$J$5*Таблица14[[#This Row],[коэф]]),
IF(OR(AND(G100="3/8",AM100&gt;0.5),AND(G100="2/8",AM100&gt;0.5)),(AM100*2*база!$J$4*Таблица14[[#This Row],[коэф]]),
(AM100*2*база!$L$5*Таблица14[[#This Row],[коэф]])))))))))))</f>
        <v>0</v>
      </c>
      <c r="AO100" s="122" t="str">
        <f>IFERROR(INDEX(база!$D$2:$D$120, MATCH(Таблица14[[#This Row],[Ф. И. О.]],база!$B$2:$B$100,0)),"")</f>
        <v/>
      </c>
    </row>
    <row r="101" spans="1:41" s="46" customFormat="1">
      <c r="A101" s="1179" t="str">
        <f t="shared" si="0"/>
        <v>январь</v>
      </c>
      <c r="B101" t="n" s="1179">
        <v>2024.0</v>
      </c>
      <c r="C101" t="s" s="1179">
        <v>388</v>
      </c>
      <c r="D101" t="s" s="1179">
        <v>381</v>
      </c>
      <c r="E101" t="s" s="1179">
        <v>46</v>
      </c>
      <c r="F101" t="s" s="1179">
        <v>349</v>
      </c>
      <c r="G101" t="s" s="1179">
        <v>4</v>
      </c>
      <c r="H101" s="1179"/>
      <c r="I101" s="1179"/>
      <c r="J101" s="1179"/>
      <c r="K101" s="1179"/>
      <c r="L101" s="1179"/>
      <c r="M101" s="1179"/>
      <c r="N101" s="1179"/>
      <c r="O101" s="1179"/>
      <c r="P101" s="1179"/>
      <c r="Q101" s="1179"/>
      <c r="R101" s="1179"/>
      <c r="S101" t="n" s="1179">
        <v>2.0</v>
      </c>
      <c r="T101" s="215"/>
      <c r="U101" s="215"/>
      <c r="V101" s="215"/>
      <c r="W101" s="215"/>
      <c r="X101" s="215"/>
      <c r="Y101" s="215"/>
      <c r="Z101" s="215"/>
      <c r="AA101" s="215"/>
      <c r="AB101" s="215"/>
      <c r="AC101" s="215"/>
      <c r="AD101" s="215"/>
      <c r="AE101" s="215"/>
      <c r="AF101" s="215"/>
      <c r="AG101" s="215"/>
      <c r="AH101" s="215"/>
      <c r="AI101" s="215"/>
      <c r="AJ101" s="215"/>
      <c r="AK101" s="215"/>
      <c r="AL101" s="215"/>
      <c r="AM101" s="121">
        <f t="shared" si="2"/>
        <v>0</v>
      </c>
      <c r="AN101" s="564">
        <f>IF(AO101&lt;=3,(IF(AND(G101="5/24",AM101&gt;0.5),(AM101*2*база!$M$6*Таблица14[[#This Row],[коэф]]),
IF(AND(G101="4/24",AM101&gt;0.5),(AM101*2*база!$M$5*Таблица14[[#This Row],[коэф]]),
IF(AND(G101="3/24",AM101&gt;0.5),(AM101*2*база!$M$4*Таблица14[[#This Row],[коэф]]),
IF(AND(G101="5/16",AM101&gt;0.5),(AM101*2*база!$L$6*Таблица14[[#This Row],[коэф]]),
IF(AND(G101="4/16",AM101&gt;0.5),(AM101*2*база!$L$5*Таблица14[[#This Row],[коэф]]),
IF(AND(G101="3/16",AM101&gt;0.5),(AM101*2*база!$L$4*Таблица14[[#This Row],[коэф]]),
IF(AND(G101="4/4",AM101&gt;0.5),(AM101*2*база!$I$5*Таблица14[[#This Row],[коэф]]),
IF(OR(AND(G101="3/4",AM101&gt;0.5),AND(G101="2/4",AM101&gt;0.5)),(AM101*2*база!$I$4*Таблица14[[#This Row],[коэф]]),
IF(AND(G101="5/8",AM101&gt;0.5),(AM101*2*база!$J$6*Таблица14[[#This Row],[коэф]]),
IF(AND(G101="4/8",AM101&gt;0.5),(AM101*2*база!$J$5*Таблица14[[#This Row],[коэф]]),
IF(OR(AND(G101="3/8",AM101&gt;0.5),AND(G101="2/8",AM101&gt;0.5)),(AM101*2*база!$J$4*Таблица14[[#This Row],[коэф]]),
(AM101*0.5*база!$L$4*Таблица14[[#This Row],[коэф]]))))))))))))),
(IF(AND(G101="5/24",AM101&gt;0.5),(AM101*2*база!$M$6*Таблица14[[#This Row],[коэф]]),
IF(OR(AND(G101="4/24",AM101&gt;0.5),AND(G101="3/24",AM101&gt;0.5)),(AM101*2*база!$M$5*Таблица14[[#This Row],[коэф]]),
IF(AND(G101="5/16",AM101&gt;0.5),(AM101*2*база!$L$6*Таблица14[[#This Row],[коэф]]),
IF(OR(AND(G101="4/16",AM101&gt;0.5),AND(G101="3/16",AM101&gt;0.5)),(AM101*2*база!$L$5*Таблица14[[#This Row],[коэф]]),
IF(OR(AND(G101="4/4",AM101&gt;0.5),AND(G101="3/4",AM101&gt;2)),(AM101*2*база!$I$5*Таблица14[[#This Row],[коэф]]),
IF(AND(G101="5/8",AM101&gt;0.5),(AM101*2*база!$J$6*Таблица14[[#This Row],[коэф]]),
IF(AND(G101="4/8",AM101&gt;0.5),(AM101*2*база!$J$5*Таблица14[[#This Row],[коэф]]),
IF(OR(AND(G101="3/8",AM101&gt;0.5),AND(G101="2/8",AM101&gt;0.5)),(AM101*2*база!$J$4*Таблица14[[#This Row],[коэф]]),
(AM101*2*база!$L$5*Таблица14[[#This Row],[коэф]])))))))))))</f>
        <v>0</v>
      </c>
      <c r="AO101" s="122" t="str">
        <f>IFERROR(INDEX(база!$D$2:$D$120, MATCH(Таблица14[[#This Row],[Ф. И. О.]],база!$B$2:$B$100,0)),"")</f>
        <v/>
      </c>
    </row>
    <row r="102" spans="1:41" s="46" customFormat="1">
      <c r="A102" s="1180" t="str">
        <f t="shared" si="0"/>
        <v>январь</v>
      </c>
      <c r="B102" t="n" s="1180">
        <v>2024.0</v>
      </c>
      <c r="C102" t="s" s="1180">
        <v>386</v>
      </c>
      <c r="D102" t="s" s="1180">
        <v>364</v>
      </c>
      <c r="E102" t="s" s="1180">
        <v>46</v>
      </c>
      <c r="F102" t="s" s="1180">
        <v>347</v>
      </c>
      <c r="G102" t="s" s="1180">
        <v>4</v>
      </c>
      <c r="H102" s="1180"/>
      <c r="I102" s="1180"/>
      <c r="J102" s="1180"/>
      <c r="K102" s="1180"/>
      <c r="L102" s="1180"/>
      <c r="M102" s="1180"/>
      <c r="N102" s="1180"/>
      <c r="O102" s="1180"/>
      <c r="P102" s="1180"/>
      <c r="Q102" s="1180"/>
      <c r="R102" s="1180"/>
      <c r="S102" t="n" s="1180">
        <v>3.0</v>
      </c>
      <c r="T102" s="215"/>
      <c r="U102" s="215"/>
      <c r="V102" s="215"/>
      <c r="W102" s="215"/>
      <c r="X102" s="215"/>
      <c r="Y102" s="215"/>
      <c r="Z102" s="215"/>
      <c r="AA102" s="215"/>
      <c r="AB102" s="215"/>
      <c r="AC102" s="215"/>
      <c r="AD102" s="215"/>
      <c r="AE102" s="215"/>
      <c r="AF102" s="215"/>
      <c r="AG102" s="215"/>
      <c r="AH102" s="215"/>
      <c r="AI102" s="215"/>
      <c r="AJ102" s="215"/>
      <c r="AK102" s="215"/>
      <c r="AL102" s="215"/>
      <c r="AM102" s="121">
        <f t="shared" si="2"/>
        <v>0</v>
      </c>
      <c r="AN102" s="564">
        <f>IF(AO102&lt;=3,(IF(AND(G102="5/24",AM102&gt;0.5),(AM102*2*база!$M$6*Таблица14[[#This Row],[коэф]]),
IF(AND(G102="4/24",AM102&gt;0.5),(AM102*2*база!$M$5*Таблица14[[#This Row],[коэф]]),
IF(AND(G102="3/24",AM102&gt;0.5),(AM102*2*база!$M$4*Таблица14[[#This Row],[коэф]]),
IF(AND(G102="5/16",AM102&gt;0.5),(AM102*2*база!$L$6*Таблица14[[#This Row],[коэф]]),
IF(AND(G102="4/16",AM102&gt;0.5),(AM102*2*база!$L$5*Таблица14[[#This Row],[коэф]]),
IF(AND(G102="3/16",AM102&gt;0.5),(AM102*2*база!$L$4*Таблица14[[#This Row],[коэф]]),
IF(AND(G102="4/4",AM102&gt;0.5),(AM102*2*база!$I$5*Таблица14[[#This Row],[коэф]]),
IF(OR(AND(G102="3/4",AM102&gt;0.5),AND(G102="2/4",AM102&gt;0.5)),(AM102*2*база!$I$4*Таблица14[[#This Row],[коэф]]),
IF(AND(G102="5/8",AM102&gt;0.5),(AM102*2*база!$J$6*Таблица14[[#This Row],[коэф]]),
IF(AND(G102="4/8",AM102&gt;0.5),(AM102*2*база!$J$5*Таблица14[[#This Row],[коэф]]),
IF(OR(AND(G102="3/8",AM102&gt;0.5),AND(G102="2/8",AM102&gt;0.5)),(AM102*2*база!$J$4*Таблица14[[#This Row],[коэф]]),
(AM102*0.5*база!$L$4*Таблица14[[#This Row],[коэф]]))))))))))))),
(IF(AND(G102="5/24",AM102&gt;0.5),(AM102*2*база!$M$6*Таблица14[[#This Row],[коэф]]),
IF(OR(AND(G102="4/24",AM102&gt;0.5),AND(G102="3/24",AM102&gt;0.5)),(AM102*2*база!$M$5*Таблица14[[#This Row],[коэф]]),
IF(AND(G102="5/16",AM102&gt;0.5),(AM102*2*база!$L$6*Таблица14[[#This Row],[коэф]]),
IF(OR(AND(G102="4/16",AM102&gt;0.5),AND(G102="3/16",AM102&gt;0.5)),(AM102*2*база!$L$5*Таблица14[[#This Row],[коэф]]),
IF(OR(AND(G102="4/4",AM102&gt;0.5),AND(G102="3/4",AM102&gt;2)),(AM102*2*база!$I$5*Таблица14[[#This Row],[коэф]]),
IF(AND(G102="5/8",AM102&gt;0.5),(AM102*2*база!$J$6*Таблица14[[#This Row],[коэф]]),
IF(AND(G102="4/8",AM102&gt;0.5),(AM102*2*база!$J$5*Таблица14[[#This Row],[коэф]]),
IF(OR(AND(G102="3/8",AM102&gt;0.5),AND(G102="2/8",AM102&gt;0.5)),(AM102*2*база!$J$4*Таблица14[[#This Row],[коэф]]),
(AM102*2*база!$L$5*Таблица14[[#This Row],[коэф]])))))))))))</f>
        <v>0</v>
      </c>
      <c r="AO102" s="122" t="str">
        <f>IFERROR(INDEX(база!$D$2:$D$120, MATCH(Таблица14[[#This Row],[Ф. И. О.]],база!$B$2:$B$100,0)),"")</f>
        <v/>
      </c>
    </row>
    <row r="103" spans="1:41" s="46" customFormat="1">
      <c r="A103" s="1183" t="str">
        <f t="shared" si="0"/>
        <v>январь</v>
      </c>
      <c r="B103" t="n" s="1183">
        <v>2024.0</v>
      </c>
      <c r="C103" t="s" s="1183">
        <v>388</v>
      </c>
      <c r="D103" t="s" s="1183">
        <v>365</v>
      </c>
      <c r="E103" t="s" s="1183">
        <v>46</v>
      </c>
      <c r="F103" t="s" s="1183">
        <v>297</v>
      </c>
      <c r="G103" t="s" s="1183">
        <v>4</v>
      </c>
      <c r="H103" s="1183"/>
      <c r="I103" s="1183"/>
      <c r="J103" s="1183"/>
      <c r="K103" s="1183"/>
      <c r="L103" s="1183"/>
      <c r="M103" s="1183"/>
      <c r="N103" s="1183"/>
      <c r="O103" s="1183"/>
      <c r="P103" s="1183"/>
      <c r="Q103" s="1183"/>
      <c r="R103" s="1183"/>
      <c r="S103" t="n" s="1183">
        <v>4.0</v>
      </c>
      <c r="T103" s="215"/>
      <c r="U103" s="215"/>
      <c r="V103" s="215"/>
      <c r="W103" s="215"/>
      <c r="X103" s="215"/>
      <c r="Y103" s="215"/>
      <c r="Z103" s="215"/>
      <c r="AA103" s="215"/>
      <c r="AB103" s="215"/>
      <c r="AC103" s="215"/>
      <c r="AD103" s="215"/>
      <c r="AE103" s="215"/>
      <c r="AF103" s="215"/>
      <c r="AG103" s="215"/>
      <c r="AH103" s="215"/>
      <c r="AI103" s="215"/>
      <c r="AJ103" s="215"/>
      <c r="AK103" s="215"/>
      <c r="AL103" s="215"/>
      <c r="AM103" s="121">
        <f t="shared" si="2"/>
        <v>0</v>
      </c>
      <c r="AN103" s="564">
        <f>IF(AO103&lt;=3,(IF(AND(G103="5/24",AM103&gt;0.5),(AM103*2*база!$M$6*Таблица14[[#This Row],[коэф]]),
IF(AND(G103="4/24",AM103&gt;0.5),(AM103*2*база!$M$5*Таблица14[[#This Row],[коэф]]),
IF(AND(G103="3/24",AM103&gt;0.5),(AM103*2*база!$M$4*Таблица14[[#This Row],[коэф]]),
IF(AND(G103="5/16",AM103&gt;0.5),(AM103*2*база!$L$6*Таблица14[[#This Row],[коэф]]),
IF(AND(G103="4/16",AM103&gt;0.5),(AM103*2*база!$L$5*Таблица14[[#This Row],[коэф]]),
IF(AND(G103="3/16",AM103&gt;0.5),(AM103*2*база!$L$4*Таблица14[[#This Row],[коэф]]),
IF(AND(G103="4/4",AM103&gt;0.5),(AM103*2*база!$I$5*Таблица14[[#This Row],[коэф]]),
IF(OR(AND(G103="3/4",AM103&gt;0.5),AND(G103="2/4",AM103&gt;0.5)),(AM103*2*база!$I$4*Таблица14[[#This Row],[коэф]]),
IF(AND(G103="5/8",AM103&gt;0.5),(AM103*2*база!$J$6*Таблица14[[#This Row],[коэф]]),
IF(AND(G103="4/8",AM103&gt;0.5),(AM103*2*база!$J$5*Таблица14[[#This Row],[коэф]]),
IF(OR(AND(G103="3/8",AM103&gt;0.5),AND(G103="2/8",AM103&gt;0.5)),(AM103*2*база!$J$4*Таблица14[[#This Row],[коэф]]),
(AM103*0.5*база!$L$4*Таблица14[[#This Row],[коэф]]))))))))))))),
(IF(AND(G103="5/24",AM103&gt;0.5),(AM103*2*база!$M$6*Таблица14[[#This Row],[коэф]]),
IF(OR(AND(G103="4/24",AM103&gt;0.5),AND(G103="3/24",AM103&gt;0.5)),(AM103*2*база!$M$5*Таблица14[[#This Row],[коэф]]),
IF(AND(G103="5/16",AM103&gt;0.5),(AM103*2*база!$L$6*Таблица14[[#This Row],[коэф]]),
IF(OR(AND(G103="4/16",AM103&gt;0.5),AND(G103="3/16",AM103&gt;0.5)),(AM103*2*база!$L$5*Таблица14[[#This Row],[коэф]]),
IF(OR(AND(G103="4/4",AM103&gt;0.5),AND(G103="3/4",AM103&gt;2)),(AM103*2*база!$I$5*Таблица14[[#This Row],[коэф]]),
IF(AND(G103="5/8",AM103&gt;0.5),(AM103*2*база!$J$6*Таблица14[[#This Row],[коэф]]),
IF(AND(G103="4/8",AM103&gt;0.5),(AM103*2*база!$J$5*Таблица14[[#This Row],[коэф]]),
IF(OR(AND(G103="3/8",AM103&gt;0.5),AND(G103="2/8",AM103&gt;0.5)),(AM103*2*база!$J$4*Таблица14[[#This Row],[коэф]]),
(AM103*2*база!$L$5*Таблица14[[#This Row],[коэф]])))))))))))</f>
        <v>0</v>
      </c>
      <c r="AO103" s="122" t="str">
        <f>IFERROR(INDEX(база!$D$2:$D$120, MATCH(Таблица14[[#This Row],[Ф. И. О.]],база!$B$2:$B$100,0)),"")</f>
        <v/>
      </c>
    </row>
    <row r="104" spans="1:41" s="46" customFormat="1">
      <c r="A104" s="1184" t="str">
        <f t="shared" ref="A104" si="3">A103</f>
        <v>январь</v>
      </c>
      <c r="B104" t="n" s="1184">
        <v>2024.0</v>
      </c>
      <c r="C104" t="s" s="1184">
        <v>386</v>
      </c>
      <c r="D104" t="s" s="1184">
        <v>364</v>
      </c>
      <c r="E104" t="s" s="1184">
        <v>46</v>
      </c>
      <c r="F104" t="s" s="1184">
        <v>327</v>
      </c>
      <c r="G104" t="s" s="1184">
        <v>4</v>
      </c>
      <c r="H104" s="1184"/>
      <c r="I104" s="1184"/>
      <c r="J104" s="1184"/>
      <c r="K104" s="1184"/>
      <c r="L104" s="1184"/>
      <c r="M104" s="1184"/>
      <c r="N104" s="1184"/>
      <c r="O104" s="1184"/>
      <c r="P104" s="1184"/>
      <c r="Q104" s="1184"/>
      <c r="R104" s="1184"/>
      <c r="S104" t="n" s="1184">
        <v>4.0</v>
      </c>
      <c r="T104" s="215"/>
      <c r="U104" s="215"/>
      <c r="V104" s="215"/>
      <c r="W104" s="215"/>
      <c r="X104" s="215"/>
      <c r="Y104" s="215"/>
      <c r="Z104" s="215"/>
      <c r="AA104" s="215"/>
      <c r="AB104" s="215"/>
      <c r="AC104" s="215"/>
      <c r="AD104" s="215"/>
      <c r="AE104" s="215"/>
      <c r="AF104" s="215"/>
      <c r="AG104" s="215"/>
      <c r="AH104" s="215"/>
      <c r="AI104" s="215"/>
      <c r="AJ104" s="215"/>
      <c r="AK104" s="215"/>
      <c r="AL104" s="215"/>
      <c r="AM104" s="121">
        <f t="shared" si="2"/>
        <v>0</v>
      </c>
      <c r="AN104" s="564">
        <f>IF(AO104&lt;=3,(IF(AND(G104="5/24",AM104&gt;0.5),(AM104*2*база!$M$6*Таблица14[[#This Row],[коэф]]),
IF(AND(G104="4/24",AM104&gt;0.5),(AM104*2*база!$M$5*Таблица14[[#This Row],[коэф]]),
IF(AND(G104="3/24",AM104&gt;0.5),(AM104*2*база!$M$4*Таблица14[[#This Row],[коэф]]),
IF(AND(G104="5/16",AM104&gt;0.5),(AM104*2*база!$L$6*Таблица14[[#This Row],[коэф]]),
IF(AND(G104="4/16",AM104&gt;0.5),(AM104*2*база!$L$5*Таблица14[[#This Row],[коэф]]),
IF(AND(G104="3/16",AM104&gt;0.5),(AM104*2*база!$L$4*Таблица14[[#This Row],[коэф]]),
IF(AND(G104="4/4",AM104&gt;0.5),(AM104*2*база!$I$5*Таблица14[[#This Row],[коэф]]),
IF(OR(AND(G104="3/4",AM104&gt;0.5),AND(G104="2/4",AM104&gt;0.5)),(AM104*2*база!$I$4*Таблица14[[#This Row],[коэф]]),
IF(AND(G104="5/8",AM104&gt;0.5),(AM104*2*база!$J$6*Таблица14[[#This Row],[коэф]]),
IF(AND(G104="4/8",AM104&gt;0.5),(AM104*2*база!$J$5*Таблица14[[#This Row],[коэф]]),
IF(OR(AND(G104="3/8",AM104&gt;0.5),AND(G104="2/8",AM104&gt;0.5)),(AM104*2*база!$J$4*Таблица14[[#This Row],[коэф]]),
(AM104*0.5*база!$L$4*Таблица14[[#This Row],[коэф]]))))))))))))),
(IF(AND(G104="5/24",AM104&gt;0.5),(AM104*2*база!$M$6*Таблица14[[#This Row],[коэф]]),
IF(OR(AND(G104="4/24",AM104&gt;0.5),AND(G104="3/24",AM104&gt;0.5)),(AM104*2*база!$M$5*Таблица14[[#This Row],[коэф]]),
IF(AND(G104="5/16",AM104&gt;0.5),(AM104*2*база!$L$6*Таблица14[[#This Row],[коэф]]),
IF(OR(AND(G104="4/16",AM104&gt;0.5),AND(G104="3/16",AM104&gt;0.5)),(AM104*2*база!$L$5*Таблица14[[#This Row],[коэф]]),
IF(OR(AND(G104="4/4",AM104&gt;0.5),AND(G104="3/4",AM104&gt;2)),(AM104*2*база!$I$5*Таблица14[[#This Row],[коэф]]),
IF(AND(G104="5/8",AM104&gt;0.5),(AM104*2*база!$J$6*Таблица14[[#This Row],[коэф]]),
IF(AND(G104="4/8",AM104&gt;0.5),(AM104*2*база!$J$5*Таблица14[[#This Row],[коэф]]),
IF(OR(AND(G104="3/8",AM104&gt;0.5),AND(G104="2/8",AM104&gt;0.5)),(AM104*2*база!$J$4*Таблица14[[#This Row],[коэф]]),
(AM104*2*база!$L$5*Таблица14[[#This Row],[коэф]])))))))))))</f>
        <v>0</v>
      </c>
      <c r="AO104" s="122" t="str">
        <f>IFERROR(INDEX(база!$D$2:$D$120, MATCH(Таблица14[[#This Row],[Ф. И. О.]],база!$B$2:$B$100,0)),"")</f>
        <v/>
      </c>
    </row>
    <row r="105" spans="1:41" s="46" customFormat="1">
      <c r="A105" s="1185" t="str">
        <f t="shared" si="0"/>
        <v>январь</v>
      </c>
      <c r="B105" t="n" s="1185">
        <v>2024.0</v>
      </c>
      <c r="C105" t="s" s="1185">
        <v>386</v>
      </c>
      <c r="D105" t="s" s="1185">
        <v>364</v>
      </c>
      <c r="E105" t="s" s="1185">
        <v>46</v>
      </c>
      <c r="F105" t="s" s="1185">
        <v>325</v>
      </c>
      <c r="G105" t="s" s="1185">
        <v>4</v>
      </c>
      <c r="H105" s="1185"/>
      <c r="I105" s="1185"/>
      <c r="J105" s="1185"/>
      <c r="K105" s="1185"/>
      <c r="L105" s="1185"/>
      <c r="M105" s="1185"/>
      <c r="N105" s="1185"/>
      <c r="O105" s="1185"/>
      <c r="P105" s="1185"/>
      <c r="Q105" s="1185"/>
      <c r="R105" s="1185"/>
      <c r="S105" t="n" s="1185">
        <v>6.0</v>
      </c>
      <c r="T105" s="215"/>
      <c r="U105" s="215"/>
      <c r="V105" s="215"/>
      <c r="W105" s="215"/>
      <c r="X105" s="215"/>
      <c r="Y105" s="215"/>
      <c r="Z105" s="215"/>
      <c r="AA105" s="215"/>
      <c r="AB105" s="215"/>
      <c r="AC105" s="215"/>
      <c r="AD105" s="215"/>
      <c r="AE105" s="215"/>
      <c r="AF105" s="215"/>
      <c r="AG105" s="215"/>
      <c r="AH105" s="215"/>
      <c r="AI105" s="215"/>
      <c r="AJ105" s="215"/>
      <c r="AK105" s="215"/>
      <c r="AL105" s="215"/>
      <c r="AM105" s="121">
        <f t="shared" si="2"/>
        <v>0</v>
      </c>
      <c r="AN105" s="564">
        <f>IF(AO105&lt;=3,(IF(AND(G105="5/24",AM105&gt;0.5),(AM105*2*база!$M$6*Таблица14[[#This Row],[коэф]]),
IF(AND(G105="4/24",AM105&gt;0.5),(AM105*2*база!$M$5*Таблица14[[#This Row],[коэф]]),
IF(AND(G105="3/24",AM105&gt;0.5),(AM105*2*база!$M$4*Таблица14[[#This Row],[коэф]]),
IF(AND(G105="5/16",AM105&gt;0.5),(AM105*2*база!$L$6*Таблица14[[#This Row],[коэф]]),
IF(AND(G105="4/16",AM105&gt;0.5),(AM105*2*база!$L$5*Таблица14[[#This Row],[коэф]]),
IF(AND(G105="3/16",AM105&gt;0.5),(AM105*2*база!$L$4*Таблица14[[#This Row],[коэф]]),
IF(AND(G105="4/4",AM105&gt;0.5),(AM105*2*база!$I$5*Таблица14[[#This Row],[коэф]]),
IF(OR(AND(G105="3/4",AM105&gt;0.5),AND(G105="2/4",AM105&gt;0.5)),(AM105*2*база!$I$4*Таблица14[[#This Row],[коэф]]),
IF(AND(G105="5/8",AM105&gt;0.5),(AM105*2*база!$J$6*Таблица14[[#This Row],[коэф]]),
IF(AND(G105="4/8",AM105&gt;0.5),(AM105*2*база!$J$5*Таблица14[[#This Row],[коэф]]),
IF(OR(AND(G105="3/8",AM105&gt;0.5),AND(G105="2/8",AM105&gt;0.5)),(AM105*2*база!$J$4*Таблица14[[#This Row],[коэф]]),
(AM105*0.5*база!$L$4*Таблица14[[#This Row],[коэф]]))))))))))))),
(IF(AND(G105="5/24",AM105&gt;0.5),(AM105*2*база!$M$6*Таблица14[[#This Row],[коэф]]),
IF(OR(AND(G105="4/24",AM105&gt;0.5),AND(G105="3/24",AM105&gt;0.5)),(AM105*2*база!$M$5*Таблица14[[#This Row],[коэф]]),
IF(AND(G105="5/16",AM105&gt;0.5),(AM105*2*база!$L$6*Таблица14[[#This Row],[коэф]]),
IF(OR(AND(G105="4/16",AM105&gt;0.5),AND(G105="3/16",AM105&gt;0.5)),(AM105*2*база!$L$5*Таблица14[[#This Row],[коэф]]),
IF(OR(AND(G105="4/4",AM105&gt;0.5),AND(G105="3/4",AM105&gt;2)),(AM105*2*база!$I$5*Таблица14[[#This Row],[коэф]]),
IF(AND(G105="5/8",AM105&gt;0.5),(AM105*2*база!$J$6*Таблица14[[#This Row],[коэф]]),
IF(AND(G105="4/8",AM105&gt;0.5),(AM105*2*база!$J$5*Таблица14[[#This Row],[коэф]]),
IF(OR(AND(G105="3/8",AM105&gt;0.5),AND(G105="2/8",AM105&gt;0.5)),(AM105*2*база!$J$4*Таблица14[[#This Row],[коэф]]),
(AM105*2*база!$L$5*Таблица14[[#This Row],[коэф]])))))))))))</f>
        <v>0</v>
      </c>
      <c r="AO105" s="122" t="str">
        <f>IFERROR(INDEX(база!$D$2:$D$120, MATCH(Таблица14[[#This Row],[Ф. И. О.]],база!$B$2:$B$100,0)),"")</f>
        <v/>
      </c>
    </row>
    <row r="106" spans="1:41" s="46" customFormat="1">
      <c r="A106" s="1186" t="str">
        <f t="shared" ref="A106:A182" si="4">A105</f>
        <v>январь</v>
      </c>
      <c r="B106" t="n" s="1186">
        <v>2024.0</v>
      </c>
      <c r="C106" t="s" s="1186">
        <v>392</v>
      </c>
      <c r="D106" t="s" s="1186">
        <v>365</v>
      </c>
      <c r="E106" t="s" s="1186">
        <v>46</v>
      </c>
      <c r="F106" t="s" s="1186">
        <v>267</v>
      </c>
      <c r="G106" t="s" s="1186">
        <v>4</v>
      </c>
      <c r="H106" s="1186"/>
      <c r="I106" s="1186"/>
      <c r="J106" s="1186"/>
      <c r="K106" s="1186"/>
      <c r="L106" s="1186"/>
      <c r="M106" s="1186"/>
      <c r="N106" s="1186"/>
      <c r="O106" s="1186"/>
      <c r="P106" s="1186"/>
      <c r="Q106" s="1186"/>
      <c r="R106" s="1186"/>
      <c r="S106" t="n" s="46">
        <v>2.5</v>
      </c>
      <c r="T106" s="215"/>
      <c r="U106" s="215"/>
      <c r="V106" s="215"/>
      <c r="W106" s="215"/>
      <c r="X106" s="215"/>
      <c r="Y106" s="215"/>
      <c r="Z106" s="215"/>
      <c r="AA106" s="215"/>
      <c r="AB106" s="215"/>
      <c r="AC106" s="215"/>
      <c r="AD106" s="215"/>
      <c r="AE106" s="215"/>
      <c r="AF106" s="215"/>
      <c r="AG106" s="215"/>
      <c r="AH106" s="215"/>
      <c r="AI106" s="215"/>
      <c r="AJ106" s="215"/>
      <c r="AK106" s="215"/>
      <c r="AL106" s="215"/>
      <c r="AM106" s="121">
        <f t="shared" si="2"/>
        <v>0</v>
      </c>
      <c r="AN106" s="564">
        <f>IF(AO106&lt;=3,(IF(AND(G106="5/24",AM106&gt;0.5),(AM106*2*база!$M$6*Таблица14[[#This Row],[коэф]]),
IF(AND(G106="4/24",AM106&gt;0.5),(AM106*2*база!$M$5*Таблица14[[#This Row],[коэф]]),
IF(AND(G106="3/24",AM106&gt;0.5),(AM106*2*база!$M$4*Таблица14[[#This Row],[коэф]]),
IF(AND(G106="5/16",AM106&gt;0.5),(AM106*2*база!$L$6*Таблица14[[#This Row],[коэф]]),
IF(AND(G106="4/16",AM106&gt;0.5),(AM106*2*база!$L$5*Таблица14[[#This Row],[коэф]]),
IF(AND(G106="3/16",AM106&gt;0.5),(AM106*2*база!$L$4*Таблица14[[#This Row],[коэф]]),
IF(AND(G106="4/4",AM106&gt;0.5),(AM106*2*база!$I$5*Таблица14[[#This Row],[коэф]]),
IF(OR(AND(G106="3/4",AM106&gt;0.5),AND(G106="2/4",AM106&gt;0.5)),(AM106*2*база!$I$4*Таблица14[[#This Row],[коэф]]),
IF(AND(G106="5/8",AM106&gt;0.5),(AM106*2*база!$J$6*Таблица14[[#This Row],[коэф]]),
IF(AND(G106="4/8",AM106&gt;0.5),(AM106*2*база!$J$5*Таблица14[[#This Row],[коэф]]),
IF(OR(AND(G106="3/8",AM106&gt;0.5),AND(G106="2/8",AM106&gt;0.5)),(AM106*2*база!$J$4*Таблица14[[#This Row],[коэф]]),
(AM106*0.5*база!$L$4*Таблица14[[#This Row],[коэф]]))))))))))))),
(IF(AND(G106="5/24",AM106&gt;0.5),(AM106*2*база!$M$6*Таблица14[[#This Row],[коэф]]),
IF(OR(AND(G106="4/24",AM106&gt;0.5),AND(G106="3/24",AM106&gt;0.5)),(AM106*2*база!$M$5*Таблица14[[#This Row],[коэф]]),
IF(AND(G106="5/16",AM106&gt;0.5),(AM106*2*база!$L$6*Таблица14[[#This Row],[коэф]]),
IF(OR(AND(G106="4/16",AM106&gt;0.5),AND(G106="3/16",AM106&gt;0.5)),(AM106*2*база!$L$5*Таблица14[[#This Row],[коэф]]),
IF(OR(AND(G106="4/4",AM106&gt;0.5),AND(G106="3/4",AM106&gt;2)),(AM106*2*база!$I$5*Таблица14[[#This Row],[коэф]]),
IF(AND(G106="5/8",AM106&gt;0.5),(AM106*2*база!$J$6*Таблица14[[#This Row],[коэф]]),
IF(AND(G106="4/8",AM106&gt;0.5),(AM106*2*база!$J$5*Таблица14[[#This Row],[коэф]]),
IF(OR(AND(G106="3/8",AM106&gt;0.5),AND(G106="2/8",AM106&gt;0.5)),(AM106*2*база!$J$4*Таблица14[[#This Row],[коэф]]),
(AM106*2*база!$L$5*Таблица14[[#This Row],[коэф]])))))))))))</f>
        <v>0</v>
      </c>
      <c r="AO106" s="122" t="str">
        <f>IFERROR(INDEX(база!$D$2:$D$120, MATCH(Таблица14[[#This Row],[Ф. И. О.]],база!$B$2:$B$100,0)),"")</f>
        <v/>
      </c>
    </row>
    <row r="107" spans="1:41" s="46" customFormat="1">
      <c r="A107" s="1197" t="str">
        <f t="shared" si="4"/>
        <v>январь</v>
      </c>
      <c r="B107" t="n" s="1197">
        <v>2024.0</v>
      </c>
      <c r="C107" t="s" s="1197">
        <v>386</v>
      </c>
      <c r="D107" t="s" s="1197">
        <v>365</v>
      </c>
      <c r="E107" t="s" s="1197">
        <v>46</v>
      </c>
      <c r="F107" t="s" s="1197">
        <v>353</v>
      </c>
      <c r="G107" t="s" s="1197">
        <v>6</v>
      </c>
      <c r="H107" s="1197"/>
      <c r="I107" s="1197"/>
      <c r="J107" s="1197"/>
      <c r="K107" s="1197"/>
      <c r="L107" s="1197"/>
      <c r="M107" s="1197"/>
      <c r="N107" s="1197"/>
      <c r="O107" s="1197"/>
      <c r="P107" s="1197"/>
      <c r="Q107" s="1197"/>
      <c r="R107" s="1197"/>
      <c r="S107" s="1197"/>
      <c r="T107" t="n" s="1197">
        <v>4.0</v>
      </c>
      <c r="U107" s="215"/>
      <c r="V107" s="215"/>
      <c r="W107" s="215"/>
      <c r="X107" s="215"/>
      <c r="Y107" s="215"/>
      <c r="Z107" s="215"/>
      <c r="AA107" s="215"/>
      <c r="AB107" s="215"/>
      <c r="AC107" s="215"/>
      <c r="AD107" s="215"/>
      <c r="AE107" s="215"/>
      <c r="AF107" s="215"/>
      <c r="AG107" s="215"/>
      <c r="AH107" s="215"/>
      <c r="AI107" s="215"/>
      <c r="AJ107" s="215"/>
      <c r="AK107" s="215"/>
      <c r="AL107" s="215"/>
      <c r="AM107" s="121">
        <f t="shared" si="2"/>
        <v>0</v>
      </c>
      <c r="AN107" s="564">
        <f>IF(AO107&lt;=3,(IF(AND(G107="5/24",AM107&gt;0.5),(AM107*2*база!$M$6*Таблица14[[#This Row],[коэф]]),
IF(AND(G107="4/24",AM107&gt;0.5),(AM107*2*база!$M$5*Таблица14[[#This Row],[коэф]]),
IF(AND(G107="3/24",AM107&gt;0.5),(AM107*2*база!$M$4*Таблица14[[#This Row],[коэф]]),
IF(AND(G107="5/16",AM107&gt;0.5),(AM107*2*база!$L$6*Таблица14[[#This Row],[коэф]]),
IF(AND(G107="4/16",AM107&gt;0.5),(AM107*2*база!$L$5*Таблица14[[#This Row],[коэф]]),
IF(AND(G107="3/16",AM107&gt;0.5),(AM107*2*база!$L$4*Таблица14[[#This Row],[коэф]]),
IF(AND(G107="4/4",AM107&gt;0.5),(AM107*2*база!$I$5*Таблица14[[#This Row],[коэф]]),
IF(OR(AND(G107="3/4",AM107&gt;0.5),AND(G107="2/4",AM107&gt;0.5)),(AM107*2*база!$I$4*Таблица14[[#This Row],[коэф]]),
IF(AND(G107="5/8",AM107&gt;0.5),(AM107*2*база!$J$6*Таблица14[[#This Row],[коэф]]),
IF(AND(G107="4/8",AM107&gt;0.5),(AM107*2*база!$J$5*Таблица14[[#This Row],[коэф]]),
IF(OR(AND(G107="3/8",AM107&gt;0.5),AND(G107="2/8",AM107&gt;0.5)),(AM107*2*база!$J$4*Таблица14[[#This Row],[коэф]]),
(AM107*0.5*база!$L$4*Таблица14[[#This Row],[коэф]]))))))))))))),
(IF(AND(G107="5/24",AM107&gt;0.5),(AM107*2*база!$M$6*Таблица14[[#This Row],[коэф]]),
IF(OR(AND(G107="4/24",AM107&gt;0.5),AND(G107="3/24",AM107&gt;0.5)),(AM107*2*база!$M$5*Таблица14[[#This Row],[коэф]]),
IF(AND(G107="5/16",AM107&gt;0.5),(AM107*2*база!$L$6*Таблица14[[#This Row],[коэф]]),
IF(OR(AND(G107="4/16",AM107&gt;0.5),AND(G107="3/16",AM107&gt;0.5)),(AM107*2*база!$L$5*Таблица14[[#This Row],[коэф]]),
IF(OR(AND(G107="4/4",AM107&gt;0.5),AND(G107="3/4",AM107&gt;2)),(AM107*2*база!$I$5*Таблица14[[#This Row],[коэф]]),
IF(AND(G107="5/8",AM107&gt;0.5),(AM107*2*база!$J$6*Таблица14[[#This Row],[коэф]]),
IF(AND(G107="4/8",AM107&gt;0.5),(AM107*2*база!$J$5*Таблица14[[#This Row],[коэф]]),
IF(OR(AND(G107="3/8",AM107&gt;0.5),AND(G107="2/8",AM107&gt;0.5)),(AM107*2*база!$J$4*Таблица14[[#This Row],[коэф]]),
(AM107*2*база!$L$5*Таблица14[[#This Row],[коэф]])))))))))))</f>
        <v>0</v>
      </c>
      <c r="AO107" s="122" t="str">
        <f>IFERROR(INDEX(база!$D$2:$D$120, MATCH(Таблица14[[#This Row],[Ф. И. О.]],база!$B$2:$B$100,0)),"")</f>
        <v/>
      </c>
    </row>
    <row r="108" spans="1:41" s="46" customFormat="1">
      <c r="A108" s="1198" t="str">
        <f t="shared" si="4"/>
        <v>январь</v>
      </c>
      <c r="B108" t="n" s="1198">
        <v>2024.0</v>
      </c>
      <c r="C108" t="s" s="1198">
        <v>394</v>
      </c>
      <c r="D108" t="s" s="1198">
        <v>364</v>
      </c>
      <c r="E108" t="s" s="1198">
        <v>389</v>
      </c>
      <c r="F108" t="s" s="1198">
        <v>253</v>
      </c>
      <c r="G108" t="s" s="1198">
        <v>5</v>
      </c>
      <c r="H108" s="1198"/>
      <c r="I108" s="1198"/>
      <c r="J108" s="1198"/>
      <c r="K108" s="1198"/>
      <c r="L108" s="1198"/>
      <c r="M108" s="1198"/>
      <c r="N108" s="1198"/>
      <c r="O108" s="1198"/>
      <c r="P108" s="1198"/>
      <c r="Q108" s="1198"/>
      <c r="R108" s="1198"/>
      <c r="S108" s="1198"/>
      <c r="T108" t="n" s="1198">
        <v>3.0</v>
      </c>
      <c r="U108" s="215"/>
      <c r="V108" s="215"/>
      <c r="W108" s="215"/>
      <c r="X108" s="215"/>
      <c r="Y108" s="215"/>
      <c r="Z108" s="215"/>
      <c r="AA108" s="215"/>
      <c r="AB108" s="215"/>
      <c r="AC108" s="215"/>
      <c r="AD108" s="215"/>
      <c r="AE108" s="215"/>
      <c r="AF108" s="215"/>
      <c r="AG108" s="215"/>
      <c r="AH108" s="215"/>
      <c r="AI108" s="215"/>
      <c r="AJ108" s="215"/>
      <c r="AK108" s="215"/>
      <c r="AL108" s="215"/>
      <c r="AM108" s="121">
        <f t="shared" si="2"/>
        <v>0</v>
      </c>
      <c r="AN108" s="564">
        <f>IF(AO108&lt;=3,(IF(AND(G108="5/24",AM108&gt;0.5),(AM108*2*база!$M$6*Таблица14[[#This Row],[коэф]]),
IF(AND(G108="4/24",AM108&gt;0.5),(AM108*2*база!$M$5*Таблица14[[#This Row],[коэф]]),
IF(AND(G108="3/24",AM108&gt;0.5),(AM108*2*база!$M$4*Таблица14[[#This Row],[коэф]]),
IF(AND(G108="5/16",AM108&gt;0.5),(AM108*2*база!$L$6*Таблица14[[#This Row],[коэф]]),
IF(AND(G108="4/16",AM108&gt;0.5),(AM108*2*база!$L$5*Таблица14[[#This Row],[коэф]]),
IF(AND(G108="3/16",AM108&gt;0.5),(AM108*2*база!$L$4*Таблица14[[#This Row],[коэф]]),
IF(AND(G108="4/4",AM108&gt;0.5),(AM108*2*база!$I$5*Таблица14[[#This Row],[коэф]]),
IF(OR(AND(G108="3/4",AM108&gt;0.5),AND(G108="2/4",AM108&gt;0.5)),(AM108*2*база!$I$4*Таблица14[[#This Row],[коэф]]),
IF(AND(G108="5/8",AM108&gt;0.5),(AM108*2*база!$J$6*Таблица14[[#This Row],[коэф]]),
IF(AND(G108="4/8",AM108&gt;0.5),(AM108*2*база!$J$5*Таблица14[[#This Row],[коэф]]),
IF(OR(AND(G108="3/8",AM108&gt;0.5),AND(G108="2/8",AM108&gt;0.5)),(AM108*2*база!$J$4*Таблица14[[#This Row],[коэф]]),
(AM108*0.5*база!$L$4*Таблица14[[#This Row],[коэф]]))))))))))))),
(IF(AND(G108="5/24",AM108&gt;0.5),(AM108*2*база!$M$6*Таблица14[[#This Row],[коэф]]),
IF(OR(AND(G108="4/24",AM108&gt;0.5),AND(G108="3/24",AM108&gt;0.5)),(AM108*2*база!$M$5*Таблица14[[#This Row],[коэф]]),
IF(AND(G108="5/16",AM108&gt;0.5),(AM108*2*база!$L$6*Таблица14[[#This Row],[коэф]]),
IF(OR(AND(G108="4/16",AM108&gt;0.5),AND(G108="3/16",AM108&gt;0.5)),(AM108*2*база!$L$5*Таблица14[[#This Row],[коэф]]),
IF(OR(AND(G108="4/4",AM108&gt;0.5),AND(G108="3/4",AM108&gt;2)),(AM108*2*база!$I$5*Таблица14[[#This Row],[коэф]]),
IF(AND(G108="5/8",AM108&gt;0.5),(AM108*2*база!$J$6*Таблица14[[#This Row],[коэф]]),
IF(AND(G108="4/8",AM108&gt;0.5),(AM108*2*база!$J$5*Таблица14[[#This Row],[коэф]]),
IF(OR(AND(G108="3/8",AM108&gt;0.5),AND(G108="2/8",AM108&gt;0.5)),(AM108*2*база!$J$4*Таблица14[[#This Row],[коэф]]),
(AM108*2*база!$L$5*Таблица14[[#This Row],[коэф]])))))))))))</f>
        <v>0</v>
      </c>
      <c r="AO108" s="122" t="str">
        <f>IFERROR(INDEX(база!$D$2:$D$120, MATCH(Таблица14[[#This Row],[Ф. И. О.]],база!$B$2:$B$100,0)),"")</f>
        <v/>
      </c>
    </row>
    <row r="109" spans="1:41" s="46" customFormat="1">
      <c r="A109" s="1204" t="str">
        <f t="shared" si="4"/>
        <v>январь</v>
      </c>
      <c r="B109" t="n" s="1204">
        <v>2024.0</v>
      </c>
      <c r="C109" t="s" s="1204">
        <v>396</v>
      </c>
      <c r="D109" t="s" s="1204">
        <v>364</v>
      </c>
      <c r="E109" t="s" s="1204">
        <v>46</v>
      </c>
      <c r="F109" t="s" s="1204">
        <v>280</v>
      </c>
      <c r="G109" t="s" s="1204">
        <v>4</v>
      </c>
      <c r="H109" s="1204"/>
      <c r="I109" s="1204"/>
      <c r="J109" s="1204"/>
      <c r="K109" s="1204"/>
      <c r="L109" s="1204"/>
      <c r="M109" s="1204"/>
      <c r="N109" s="1204"/>
      <c r="O109" s="1204"/>
      <c r="P109" s="1204"/>
      <c r="Q109" s="1204"/>
      <c r="R109" s="1204"/>
      <c r="S109" t="n" s="1204">
        <v>2.0</v>
      </c>
      <c r="T109" s="215"/>
      <c r="U109" s="215"/>
      <c r="V109" s="215"/>
      <c r="W109" s="215"/>
      <c r="X109" s="215"/>
      <c r="Y109" s="215"/>
      <c r="Z109" s="215"/>
      <c r="AA109" s="215"/>
      <c r="AB109" s="215"/>
      <c r="AC109" s="215"/>
      <c r="AD109" s="215"/>
      <c r="AE109" s="215"/>
      <c r="AF109" s="215"/>
      <c r="AG109" s="215"/>
      <c r="AH109" s="215"/>
      <c r="AI109" s="215"/>
      <c r="AJ109" s="215"/>
      <c r="AK109" s="215"/>
      <c r="AL109" s="215"/>
      <c r="AM109" s="121">
        <f t="shared" si="2"/>
        <v>0</v>
      </c>
      <c r="AN109" s="564">
        <f>IF(AO109&lt;=3,(IF(AND(G109="5/24",AM109&gt;0.5),(AM109*2*база!$M$6*Таблица14[[#This Row],[коэф]]),
IF(AND(G109="4/24",AM109&gt;0.5),(AM109*2*база!$M$5*Таблица14[[#This Row],[коэф]]),
IF(AND(G109="3/24",AM109&gt;0.5),(AM109*2*база!$M$4*Таблица14[[#This Row],[коэф]]),
IF(AND(G109="5/16",AM109&gt;0.5),(AM109*2*база!$L$6*Таблица14[[#This Row],[коэф]]),
IF(AND(G109="4/16",AM109&gt;0.5),(AM109*2*база!$L$5*Таблица14[[#This Row],[коэф]]),
IF(AND(G109="3/16",AM109&gt;0.5),(AM109*2*база!$L$4*Таблица14[[#This Row],[коэф]]),
IF(AND(G109="4/4",AM109&gt;0.5),(AM109*2*база!$I$5*Таблица14[[#This Row],[коэф]]),
IF(OR(AND(G109="3/4",AM109&gt;0.5),AND(G109="2/4",AM109&gt;0.5)),(AM109*2*база!$I$4*Таблица14[[#This Row],[коэф]]),
IF(AND(G109="5/8",AM109&gt;0.5),(AM109*2*база!$J$6*Таблица14[[#This Row],[коэф]]),
IF(AND(G109="4/8",AM109&gt;0.5),(AM109*2*база!$J$5*Таблица14[[#This Row],[коэф]]),
IF(OR(AND(G109="3/8",AM109&gt;0.5),AND(G109="2/8",AM109&gt;0.5)),(AM109*2*база!$J$4*Таблица14[[#This Row],[коэф]]),
(AM109*0.5*база!$L$4*Таблица14[[#This Row],[коэф]]))))))))))))),
(IF(AND(G109="5/24",AM109&gt;0.5),(AM109*2*база!$M$6*Таблица14[[#This Row],[коэф]]),
IF(OR(AND(G109="4/24",AM109&gt;0.5),AND(G109="3/24",AM109&gt;0.5)),(AM109*2*база!$M$5*Таблица14[[#This Row],[коэф]]),
IF(AND(G109="5/16",AM109&gt;0.5),(AM109*2*база!$L$6*Таблица14[[#This Row],[коэф]]),
IF(OR(AND(G109="4/16",AM109&gt;0.5),AND(G109="3/16",AM109&gt;0.5)),(AM109*2*база!$L$5*Таблица14[[#This Row],[коэф]]),
IF(OR(AND(G109="4/4",AM109&gt;0.5),AND(G109="3/4",AM109&gt;2)),(AM109*2*база!$I$5*Таблица14[[#This Row],[коэф]]),
IF(AND(G109="5/8",AM109&gt;0.5),(AM109*2*база!$J$6*Таблица14[[#This Row],[коэф]]),
IF(AND(G109="4/8",AM109&gt;0.5),(AM109*2*база!$J$5*Таблица14[[#This Row],[коэф]]),
IF(OR(AND(G109="3/8",AM109&gt;0.5),AND(G109="2/8",AM109&gt;0.5)),(AM109*2*база!$J$4*Таблица14[[#This Row],[коэф]]),
(AM109*2*база!$L$5*Таблица14[[#This Row],[коэф]])))))))))))</f>
        <v>0</v>
      </c>
      <c r="AO109" s="122" t="str">
        <f>IFERROR(INDEX(база!$D$2:$D$120, MATCH(Таблица14[[#This Row],[Ф. И. О.]],база!$B$2:$B$100,0)),"")</f>
        <v/>
      </c>
    </row>
    <row r="110" spans="1:41" s="46" customFormat="1">
      <c r="A110" s="1205" t="str">
        <f t="shared" si="4"/>
        <v>январь</v>
      </c>
      <c r="B110" t="n" s="1205">
        <v>2024.0</v>
      </c>
      <c r="C110" t="s" s="1205">
        <v>388</v>
      </c>
      <c r="D110" t="s" s="1205">
        <v>365</v>
      </c>
      <c r="E110" t="s" s="1205">
        <v>46</v>
      </c>
      <c r="F110" t="s" s="1205">
        <v>280</v>
      </c>
      <c r="G110" t="s" s="1205">
        <v>4</v>
      </c>
      <c r="H110" s="1205"/>
      <c r="I110" s="1205"/>
      <c r="J110" s="1205"/>
      <c r="K110" s="1205"/>
      <c r="L110" s="1205"/>
      <c r="M110" s="1205"/>
      <c r="N110" s="1205"/>
      <c r="O110" s="1205"/>
      <c r="P110" s="1205"/>
      <c r="Q110" s="1205"/>
      <c r="R110" s="1205"/>
      <c r="S110" t="n" s="1205">
        <v>1.0</v>
      </c>
      <c r="T110" s="215"/>
      <c r="U110" s="215"/>
      <c r="V110" s="215"/>
      <c r="W110" s="215"/>
      <c r="X110" s="215"/>
      <c r="Y110" s="215"/>
      <c r="Z110" s="215"/>
      <c r="AA110" s="215"/>
      <c r="AB110" s="215"/>
      <c r="AC110" s="215"/>
      <c r="AD110" s="215"/>
      <c r="AE110" s="215"/>
      <c r="AF110" s="215"/>
      <c r="AG110" s="215"/>
      <c r="AH110" s="215"/>
      <c r="AI110" s="215"/>
      <c r="AJ110" s="215"/>
      <c r="AK110" s="215"/>
      <c r="AL110" s="215"/>
      <c r="AM110" s="121">
        <f t="shared" si="2"/>
        <v>0</v>
      </c>
      <c r="AN110" s="564">
        <f>IF(AO110&lt;=3,(IF(AND(G110="5/24",AM110&gt;0.5),(AM110*2*база!$M$6*Таблица14[[#This Row],[коэф]]),
IF(AND(G110="4/24",AM110&gt;0.5),(AM110*2*база!$M$5*Таблица14[[#This Row],[коэф]]),
IF(AND(G110="3/24",AM110&gt;0.5),(AM110*2*база!$M$4*Таблица14[[#This Row],[коэф]]),
IF(AND(G110="5/16",AM110&gt;0.5),(AM110*2*база!$L$6*Таблица14[[#This Row],[коэф]]),
IF(AND(G110="4/16",AM110&gt;0.5),(AM110*2*база!$L$5*Таблица14[[#This Row],[коэф]]),
IF(AND(G110="3/16",AM110&gt;0.5),(AM110*2*база!$L$4*Таблица14[[#This Row],[коэф]]),
IF(AND(G110="4/4",AM110&gt;0.5),(AM110*2*база!$I$5*Таблица14[[#This Row],[коэф]]),
IF(OR(AND(G110="3/4",AM110&gt;0.5),AND(G110="2/4",AM110&gt;0.5)),(AM110*2*база!$I$4*Таблица14[[#This Row],[коэф]]),
IF(AND(G110="5/8",AM110&gt;0.5),(AM110*2*база!$J$6*Таблица14[[#This Row],[коэф]]),
IF(AND(G110="4/8",AM110&gt;0.5),(AM110*2*база!$J$5*Таблица14[[#This Row],[коэф]]),
IF(OR(AND(G110="3/8",AM110&gt;0.5),AND(G110="2/8",AM110&gt;0.5)),(AM110*2*база!$J$4*Таблица14[[#This Row],[коэф]]),
(AM110*0.5*база!$L$4*Таблица14[[#This Row],[коэф]]))))))))))))),
(IF(AND(G110="5/24",AM110&gt;0.5),(AM110*2*база!$M$6*Таблица14[[#This Row],[коэф]]),
IF(OR(AND(G110="4/24",AM110&gt;0.5),AND(G110="3/24",AM110&gt;0.5)),(AM110*2*база!$M$5*Таблица14[[#This Row],[коэф]]),
IF(AND(G110="5/16",AM110&gt;0.5),(AM110*2*база!$L$6*Таблица14[[#This Row],[коэф]]),
IF(OR(AND(G110="4/16",AM110&gt;0.5),AND(G110="3/16",AM110&gt;0.5)),(AM110*2*база!$L$5*Таблица14[[#This Row],[коэф]]),
IF(OR(AND(G110="4/4",AM110&gt;0.5),AND(G110="3/4",AM110&gt;2)),(AM110*2*база!$I$5*Таблица14[[#This Row],[коэф]]),
IF(AND(G110="5/8",AM110&gt;0.5),(AM110*2*база!$J$6*Таблица14[[#This Row],[коэф]]),
IF(AND(G110="4/8",AM110&gt;0.5),(AM110*2*база!$J$5*Таблица14[[#This Row],[коэф]]),
IF(OR(AND(G110="3/8",AM110&gt;0.5),AND(G110="2/8",AM110&gt;0.5)),(AM110*2*база!$J$4*Таблица14[[#This Row],[коэф]]),
(AM110*2*база!$L$5*Таблица14[[#This Row],[коэф]])))))))))))</f>
        <v>0</v>
      </c>
      <c r="AO110" s="122" t="str">
        <f>IFERROR(INDEX(база!$D$2:$D$120, MATCH(Таблица14[[#This Row],[Ф. И. О.]],база!$B$2:$B$100,0)),"")</f>
        <v/>
      </c>
    </row>
    <row r="111" spans="1:41" s="46" customFormat="1">
      <c r="A111" s="1206" t="str">
        <f t="shared" si="4"/>
        <v>январь</v>
      </c>
      <c r="B111" t="n" s="1206">
        <v>2024.0</v>
      </c>
      <c r="C111" t="s" s="1206">
        <v>392</v>
      </c>
      <c r="D111" t="s" s="1206">
        <v>364</v>
      </c>
      <c r="E111" t="s" s="1206">
        <v>46</v>
      </c>
      <c r="F111" t="s" s="1206">
        <v>280</v>
      </c>
      <c r="G111" t="s" s="1206">
        <v>4</v>
      </c>
      <c r="H111" s="1206"/>
      <c r="I111" s="1206"/>
      <c r="J111" s="1206"/>
      <c r="K111" s="1206"/>
      <c r="L111" s="1206"/>
      <c r="M111" s="1206"/>
      <c r="N111" s="1206"/>
      <c r="O111" s="1206"/>
      <c r="P111" s="1206"/>
      <c r="Q111" s="1206"/>
      <c r="R111" s="1206"/>
      <c r="S111" s="1206"/>
      <c r="T111" t="n" s="1206">
        <v>1.0</v>
      </c>
      <c r="U111" s="215"/>
      <c r="V111" s="215"/>
      <c r="W111" s="215"/>
      <c r="X111" s="215"/>
      <c r="Y111" s="215"/>
      <c r="Z111" s="215"/>
      <c r="AA111" s="215"/>
      <c r="AB111" s="215"/>
      <c r="AC111" s="215"/>
      <c r="AD111" s="215"/>
      <c r="AE111" s="215"/>
      <c r="AF111" s="215"/>
      <c r="AG111" s="215"/>
      <c r="AH111" s="215"/>
      <c r="AI111" s="215"/>
      <c r="AJ111" s="215"/>
      <c r="AK111" s="215"/>
      <c r="AL111" s="215"/>
      <c r="AM111" s="121">
        <f t="shared" si="2"/>
        <v>0</v>
      </c>
      <c r="AN111" s="564">
        <f>IF(AO111&lt;=3,(IF(AND(G111="5/24",AM111&gt;0.5),(AM111*2*база!$M$6*Таблица14[[#This Row],[коэф]]),
IF(AND(G111="4/24",AM111&gt;0.5),(AM111*2*база!$M$5*Таблица14[[#This Row],[коэф]]),
IF(AND(G111="3/24",AM111&gt;0.5),(AM111*2*база!$M$4*Таблица14[[#This Row],[коэф]]),
IF(AND(G111="5/16",AM111&gt;0.5),(AM111*2*база!$L$6*Таблица14[[#This Row],[коэф]]),
IF(AND(G111="4/16",AM111&gt;0.5),(AM111*2*база!$L$5*Таблица14[[#This Row],[коэф]]),
IF(AND(G111="3/16",AM111&gt;0.5),(AM111*2*база!$L$4*Таблица14[[#This Row],[коэф]]),
IF(AND(G111="4/4",AM111&gt;0.5),(AM111*2*база!$I$5*Таблица14[[#This Row],[коэф]]),
IF(OR(AND(G111="3/4",AM111&gt;0.5),AND(G111="2/4",AM111&gt;0.5)),(AM111*2*база!$I$4*Таблица14[[#This Row],[коэф]]),
IF(AND(G111="5/8",AM111&gt;0.5),(AM111*2*база!$J$6*Таблица14[[#This Row],[коэф]]),
IF(AND(G111="4/8",AM111&gt;0.5),(AM111*2*база!$J$5*Таблица14[[#This Row],[коэф]]),
IF(OR(AND(G111="3/8",AM111&gt;0.5),AND(G111="2/8",AM111&gt;0.5)),(AM111*2*база!$J$4*Таблица14[[#This Row],[коэф]]),
(AM111*0.5*база!$L$4*Таблица14[[#This Row],[коэф]]))))))))))))),
(IF(AND(G111="5/24",AM111&gt;0.5),(AM111*2*база!$M$6*Таблица14[[#This Row],[коэф]]),
IF(OR(AND(G111="4/24",AM111&gt;0.5),AND(G111="3/24",AM111&gt;0.5)),(AM111*2*база!$M$5*Таблица14[[#This Row],[коэф]]),
IF(AND(G111="5/16",AM111&gt;0.5),(AM111*2*база!$L$6*Таблица14[[#This Row],[коэф]]),
IF(OR(AND(G111="4/16",AM111&gt;0.5),AND(G111="3/16",AM111&gt;0.5)),(AM111*2*база!$L$5*Таблица14[[#This Row],[коэф]]),
IF(OR(AND(G111="4/4",AM111&gt;0.5),AND(G111="3/4",AM111&gt;2)),(AM111*2*база!$I$5*Таблица14[[#This Row],[коэф]]),
IF(AND(G111="5/8",AM111&gt;0.5),(AM111*2*база!$J$6*Таблица14[[#This Row],[коэф]]),
IF(AND(G111="4/8",AM111&gt;0.5),(AM111*2*база!$J$5*Таблица14[[#This Row],[коэф]]),
IF(OR(AND(G111="3/8",AM111&gt;0.5),AND(G111="2/8",AM111&gt;0.5)),(AM111*2*база!$J$4*Таблица14[[#This Row],[коэф]]),
(AM111*2*база!$L$5*Таблица14[[#This Row],[коэф]])))))))))))</f>
        <v>0</v>
      </c>
      <c r="AO111" s="122" t="str">
        <f>IFERROR(INDEX(база!$D$2:$D$120, MATCH(Таблица14[[#This Row],[Ф. И. О.]],база!$B$2:$B$100,0)),"")</f>
        <v/>
      </c>
    </row>
    <row r="112" spans="1:41" s="46" customFormat="1">
      <c r="A112" s="1207" t="str">
        <f t="shared" si="4"/>
        <v>январь</v>
      </c>
      <c r="B112" t="n" s="1207">
        <v>2024.0</v>
      </c>
      <c r="C112" t="s" s="1207">
        <v>388</v>
      </c>
      <c r="D112" t="s" s="1207">
        <v>369</v>
      </c>
      <c r="E112" t="s" s="1207">
        <v>46</v>
      </c>
      <c r="F112" t="s" s="1207">
        <v>322</v>
      </c>
      <c r="G112" t="s" s="1207">
        <v>4</v>
      </c>
      <c r="H112" s="1207"/>
      <c r="I112" s="1207"/>
      <c r="J112" s="1207"/>
      <c r="K112" s="1207"/>
      <c r="L112" s="1207"/>
      <c r="M112" s="1207"/>
      <c r="N112" s="1207"/>
      <c r="O112" s="1207"/>
      <c r="P112" s="1207"/>
      <c r="Q112" s="1207"/>
      <c r="R112" s="1207"/>
      <c r="S112" s="1207"/>
      <c r="T112" t="n" s="1207">
        <v>1.5</v>
      </c>
      <c r="U112" s="215"/>
      <c r="V112" s="215"/>
      <c r="W112" s="215"/>
      <c r="X112" s="215"/>
      <c r="Y112" s="215"/>
      <c r="Z112" s="215"/>
      <c r="AA112" s="215"/>
      <c r="AB112" s="215"/>
      <c r="AC112" s="215"/>
      <c r="AD112" s="215"/>
      <c r="AE112" s="215"/>
      <c r="AF112" s="215"/>
      <c r="AG112" s="215"/>
      <c r="AH112" s="215"/>
      <c r="AI112" s="215"/>
      <c r="AJ112" s="215"/>
      <c r="AK112" s="215"/>
      <c r="AL112" s="215"/>
      <c r="AM112" s="121">
        <f t="shared" si="2"/>
        <v>0</v>
      </c>
      <c r="AN112" s="564">
        <f>IF(AO112&lt;=3,(IF(AND(G112="5/24",AM112&gt;0.5),(AM112*2*база!$M$6*Таблица14[[#This Row],[коэф]]),
IF(AND(G112="4/24",AM112&gt;0.5),(AM112*2*база!$M$5*Таблица14[[#This Row],[коэф]]),
IF(AND(G112="3/24",AM112&gt;0.5),(AM112*2*база!$M$4*Таблица14[[#This Row],[коэф]]),
IF(AND(G112="5/16",AM112&gt;0.5),(AM112*2*база!$L$6*Таблица14[[#This Row],[коэф]]),
IF(AND(G112="4/16",AM112&gt;0.5),(AM112*2*база!$L$5*Таблица14[[#This Row],[коэф]]),
IF(AND(G112="3/16",AM112&gt;0.5),(AM112*2*база!$L$4*Таблица14[[#This Row],[коэф]]),
IF(AND(G112="4/4",AM112&gt;0.5),(AM112*2*база!$I$5*Таблица14[[#This Row],[коэф]]),
IF(OR(AND(G112="3/4",AM112&gt;0.5),AND(G112="2/4",AM112&gt;0.5)),(AM112*2*база!$I$4*Таблица14[[#This Row],[коэф]]),
IF(AND(G112="5/8",AM112&gt;0.5),(AM112*2*база!$J$6*Таблица14[[#This Row],[коэф]]),
IF(AND(G112="4/8",AM112&gt;0.5),(AM112*2*база!$J$5*Таблица14[[#This Row],[коэф]]),
IF(OR(AND(G112="3/8",AM112&gt;0.5),AND(G112="2/8",AM112&gt;0.5)),(AM112*2*база!$J$4*Таблица14[[#This Row],[коэф]]),
(AM112*0.5*база!$L$4*Таблица14[[#This Row],[коэф]]))))))))))))),
(IF(AND(G112="5/24",AM112&gt;0.5),(AM112*2*база!$M$6*Таблица14[[#This Row],[коэф]]),
IF(OR(AND(G112="4/24",AM112&gt;0.5),AND(G112="3/24",AM112&gt;0.5)),(AM112*2*база!$M$5*Таблица14[[#This Row],[коэф]]),
IF(AND(G112="5/16",AM112&gt;0.5),(AM112*2*база!$L$6*Таблица14[[#This Row],[коэф]]),
IF(OR(AND(G112="4/16",AM112&gt;0.5),AND(G112="3/16",AM112&gt;0.5)),(AM112*2*база!$L$5*Таблица14[[#This Row],[коэф]]),
IF(OR(AND(G112="4/4",AM112&gt;0.5),AND(G112="3/4",AM112&gt;2)),(AM112*2*база!$I$5*Таблица14[[#This Row],[коэф]]),
IF(AND(G112="5/8",AM112&gt;0.5),(AM112*2*база!$J$6*Таблица14[[#This Row],[коэф]]),
IF(AND(G112="4/8",AM112&gt;0.5),(AM112*2*база!$J$5*Таблица14[[#This Row],[коэф]]),
IF(OR(AND(G112="3/8",AM112&gt;0.5),AND(G112="2/8",AM112&gt;0.5)),(AM112*2*база!$J$4*Таблица14[[#This Row],[коэф]]),
(AM112*2*база!$L$5*Таблица14[[#This Row],[коэф]])))))))))))</f>
        <v>0</v>
      </c>
      <c r="AO112" s="122" t="str">
        <f>IFERROR(INDEX(база!$D$2:$D$120, MATCH(Таблица14[[#This Row],[Ф. И. О.]],база!$B$2:$B$100,0)),"")</f>
        <v/>
      </c>
    </row>
    <row r="113" spans="1:41" s="46" customFormat="1">
      <c r="A113" s="1208" t="str">
        <f t="shared" si="4"/>
        <v>январь</v>
      </c>
      <c r="B113" t="n" s="1208">
        <v>2024.0</v>
      </c>
      <c r="C113" t="s" s="1208">
        <v>392</v>
      </c>
      <c r="D113" t="s" s="1208">
        <v>364</v>
      </c>
      <c r="E113" t="s" s="1208">
        <v>46</v>
      </c>
      <c r="F113" t="s" s="1208">
        <v>322</v>
      </c>
      <c r="G113" t="s" s="1208">
        <v>4</v>
      </c>
      <c r="H113" s="1208"/>
      <c r="I113" s="1208"/>
      <c r="J113" s="1208"/>
      <c r="K113" s="1208"/>
      <c r="L113" s="1208"/>
      <c r="M113" s="1208"/>
      <c r="N113" s="1208"/>
      <c r="O113" s="1208"/>
      <c r="P113" s="1208"/>
      <c r="Q113" s="1208"/>
      <c r="R113" s="1208"/>
      <c r="S113" s="1208"/>
      <c r="T113" t="n" s="1208">
        <v>1.0</v>
      </c>
      <c r="U113" s="215"/>
      <c r="V113" s="215"/>
      <c r="W113" s="215"/>
      <c r="X113" s="215"/>
      <c r="Y113" s="215"/>
      <c r="Z113" s="215"/>
      <c r="AA113" s="215"/>
      <c r="AB113" s="215"/>
      <c r="AC113" s="215"/>
      <c r="AD113" s="215"/>
      <c r="AE113" s="215"/>
      <c r="AF113" s="215"/>
      <c r="AG113" s="215"/>
      <c r="AH113" s="215"/>
      <c r="AI113" s="215"/>
      <c r="AJ113" s="215"/>
      <c r="AK113" s="215"/>
      <c r="AL113" s="215"/>
      <c r="AM113" s="121">
        <f t="shared" si="2"/>
        <v>0</v>
      </c>
      <c r="AN113" s="564">
        <f>IF(AO113&lt;=3,(IF(AND(G113="5/24",AM113&gt;0.5),(AM113*2*база!$M$6*Таблица14[[#This Row],[коэф]]),
IF(AND(G113="4/24",AM113&gt;0.5),(AM113*2*база!$M$5*Таблица14[[#This Row],[коэф]]),
IF(AND(G113="3/24",AM113&gt;0.5),(AM113*2*база!$M$4*Таблица14[[#This Row],[коэф]]),
IF(AND(G113="5/16",AM113&gt;0.5),(AM113*2*база!$L$6*Таблица14[[#This Row],[коэф]]),
IF(AND(G113="4/16",AM113&gt;0.5),(AM113*2*база!$L$5*Таблица14[[#This Row],[коэф]]),
IF(AND(G113="3/16",AM113&gt;0.5),(AM113*2*база!$L$4*Таблица14[[#This Row],[коэф]]),
IF(AND(G113="4/4",AM113&gt;0.5),(AM113*2*база!$I$5*Таблица14[[#This Row],[коэф]]),
IF(OR(AND(G113="3/4",AM113&gt;0.5),AND(G113="2/4",AM113&gt;0.5)),(AM113*2*база!$I$4*Таблица14[[#This Row],[коэф]]),
IF(AND(G113="5/8",AM113&gt;0.5),(AM113*2*база!$J$6*Таблица14[[#This Row],[коэф]]),
IF(AND(G113="4/8",AM113&gt;0.5),(AM113*2*база!$J$5*Таблица14[[#This Row],[коэф]]),
IF(OR(AND(G113="3/8",AM113&gt;0.5),AND(G113="2/8",AM113&gt;0.5)),(AM113*2*база!$J$4*Таблица14[[#This Row],[коэф]]),
(AM113*0.5*база!$L$4*Таблица14[[#This Row],[коэф]]))))))))))))),
(IF(AND(G113="5/24",AM113&gt;0.5),(AM113*2*база!$M$6*Таблица14[[#This Row],[коэф]]),
IF(OR(AND(G113="4/24",AM113&gt;0.5),AND(G113="3/24",AM113&gt;0.5)),(AM113*2*база!$M$5*Таблица14[[#This Row],[коэф]]),
IF(AND(G113="5/16",AM113&gt;0.5),(AM113*2*база!$L$6*Таблица14[[#This Row],[коэф]]),
IF(OR(AND(G113="4/16",AM113&gt;0.5),AND(G113="3/16",AM113&gt;0.5)),(AM113*2*база!$L$5*Таблица14[[#This Row],[коэф]]),
IF(OR(AND(G113="4/4",AM113&gt;0.5),AND(G113="3/4",AM113&gt;2)),(AM113*2*база!$I$5*Таблица14[[#This Row],[коэф]]),
IF(AND(G113="5/8",AM113&gt;0.5),(AM113*2*база!$J$6*Таблица14[[#This Row],[коэф]]),
IF(AND(G113="4/8",AM113&gt;0.5),(AM113*2*база!$J$5*Таблица14[[#This Row],[коэф]]),
IF(OR(AND(G113="3/8",AM113&gt;0.5),AND(G113="2/8",AM113&gt;0.5)),(AM113*2*база!$J$4*Таблица14[[#This Row],[коэф]]),
(AM113*2*база!$L$5*Таблица14[[#This Row],[коэф]])))))))))))</f>
        <v>0</v>
      </c>
      <c r="AO113" s="122" t="str">
        <f>IFERROR(INDEX(база!$D$2:$D$120, MATCH(Таблица14[[#This Row],[Ф. И. О.]],база!$B$2:$B$100,0)),"")</f>
        <v/>
      </c>
    </row>
    <row r="114" spans="1:41" s="46" customFormat="1">
      <c r="A114" s="1211" t="str">
        <f t="shared" si="4"/>
        <v>январь</v>
      </c>
      <c r="B114" t="n" s="1211">
        <v>2024.0</v>
      </c>
      <c r="C114" t="s" s="1211">
        <v>394</v>
      </c>
      <c r="D114" t="s" s="1211">
        <v>364</v>
      </c>
      <c r="E114" t="s" s="1211">
        <v>389</v>
      </c>
      <c r="F114" t="s" s="1211">
        <v>262</v>
      </c>
      <c r="G114" t="s" s="1211">
        <v>5</v>
      </c>
      <c r="H114" s="1211"/>
      <c r="I114" s="1211"/>
      <c r="J114" s="1211"/>
      <c r="K114" s="1211"/>
      <c r="L114" s="1211"/>
      <c r="M114" s="1211"/>
      <c r="N114" s="1211"/>
      <c r="O114" s="1211"/>
      <c r="P114" s="1211"/>
      <c r="Q114" s="1211"/>
      <c r="R114" s="1211"/>
      <c r="S114" s="1211"/>
      <c r="T114" t="n" s="1211">
        <v>4.0</v>
      </c>
      <c r="U114" s="215"/>
      <c r="V114" s="215"/>
      <c r="W114" s="215"/>
      <c r="X114" s="215"/>
      <c r="Y114" s="215"/>
      <c r="Z114" s="215"/>
      <c r="AA114" s="215"/>
      <c r="AB114" s="215"/>
      <c r="AC114" s="215"/>
      <c r="AD114" s="215"/>
      <c r="AE114" s="215"/>
      <c r="AF114" s="215"/>
      <c r="AG114" s="215"/>
      <c r="AH114" s="215"/>
      <c r="AI114" s="215"/>
      <c r="AJ114" s="215"/>
      <c r="AK114" s="215"/>
      <c r="AL114" s="215"/>
      <c r="AM114" s="121">
        <f t="shared" si="2"/>
        <v>0</v>
      </c>
      <c r="AN114" s="564">
        <f>IF(AO114&lt;=3,(IF(AND(G114="5/24",AM114&gt;0.5),(AM114*2*база!$M$6*Таблица14[[#This Row],[коэф]]),
IF(AND(G114="4/24",AM114&gt;0.5),(AM114*2*база!$M$5*Таблица14[[#This Row],[коэф]]),
IF(AND(G114="3/24",AM114&gt;0.5),(AM114*2*база!$M$4*Таблица14[[#This Row],[коэф]]),
IF(AND(G114="5/16",AM114&gt;0.5),(AM114*2*база!$L$6*Таблица14[[#This Row],[коэф]]),
IF(AND(G114="4/16",AM114&gt;0.5),(AM114*2*база!$L$5*Таблица14[[#This Row],[коэф]]),
IF(AND(G114="3/16",AM114&gt;0.5),(AM114*2*база!$L$4*Таблица14[[#This Row],[коэф]]),
IF(AND(G114="4/4",AM114&gt;0.5),(AM114*2*база!$I$5*Таблица14[[#This Row],[коэф]]),
IF(OR(AND(G114="3/4",AM114&gt;0.5),AND(G114="2/4",AM114&gt;0.5)),(AM114*2*база!$I$4*Таблица14[[#This Row],[коэф]]),
IF(AND(G114="5/8",AM114&gt;0.5),(AM114*2*база!$J$6*Таблица14[[#This Row],[коэф]]),
IF(AND(G114="4/8",AM114&gt;0.5),(AM114*2*база!$J$5*Таблица14[[#This Row],[коэф]]),
IF(OR(AND(G114="3/8",AM114&gt;0.5),AND(G114="2/8",AM114&gt;0.5)),(AM114*2*база!$J$4*Таблица14[[#This Row],[коэф]]),
(AM114*0.5*база!$L$4*Таблица14[[#This Row],[коэф]]))))))))))))),
(IF(AND(G114="5/24",AM114&gt;0.5),(AM114*2*база!$M$6*Таблица14[[#This Row],[коэф]]),
IF(OR(AND(G114="4/24",AM114&gt;0.5),AND(G114="3/24",AM114&gt;0.5)),(AM114*2*база!$M$5*Таблица14[[#This Row],[коэф]]),
IF(AND(G114="5/16",AM114&gt;0.5),(AM114*2*база!$L$6*Таблица14[[#This Row],[коэф]]),
IF(OR(AND(G114="4/16",AM114&gt;0.5),AND(G114="3/16",AM114&gt;0.5)),(AM114*2*база!$L$5*Таблица14[[#This Row],[коэф]]),
IF(OR(AND(G114="4/4",AM114&gt;0.5),AND(G114="3/4",AM114&gt;2)),(AM114*2*база!$I$5*Таблица14[[#This Row],[коэф]]),
IF(AND(G114="5/8",AM114&gt;0.5),(AM114*2*база!$J$6*Таблица14[[#This Row],[коэф]]),
IF(AND(G114="4/8",AM114&gt;0.5),(AM114*2*база!$J$5*Таблица14[[#This Row],[коэф]]),
IF(OR(AND(G114="3/8",AM114&gt;0.5),AND(G114="2/8",AM114&gt;0.5)),(AM114*2*база!$J$4*Таблица14[[#This Row],[коэф]]),
(AM114*2*база!$L$5*Таблица14[[#This Row],[коэф]])))))))))))</f>
        <v>0</v>
      </c>
      <c r="AO114" s="122" t="str">
        <f>IFERROR(INDEX(база!$D$2:$D$120, MATCH(Таблица14[[#This Row],[Ф. И. О.]],база!$B$2:$B$100,0)),"")</f>
        <v/>
      </c>
    </row>
    <row r="115" spans="1:41" s="46" customFormat="1">
      <c r="A115" s="1212" t="str">
        <f t="shared" si="4"/>
        <v>январь</v>
      </c>
      <c r="B115" t="n" s="1212">
        <v>2024.0</v>
      </c>
      <c r="C115" t="s" s="1212">
        <v>392</v>
      </c>
      <c r="D115" t="s" s="1212">
        <v>365</v>
      </c>
      <c r="E115" t="s" s="1212">
        <v>46</v>
      </c>
      <c r="F115" t="s" s="1212">
        <v>327</v>
      </c>
      <c r="G115" t="s" s="1212">
        <v>4</v>
      </c>
      <c r="H115" s="1212"/>
      <c r="I115" s="1212"/>
      <c r="J115" s="1212"/>
      <c r="K115" s="1212"/>
      <c r="L115" s="1212"/>
      <c r="M115" s="1212"/>
      <c r="N115" s="1212"/>
      <c r="O115" s="1212"/>
      <c r="P115" s="1212"/>
      <c r="Q115" s="1212"/>
      <c r="R115" s="1212"/>
      <c r="S115" s="1212"/>
      <c r="T115" t="n" s="1212">
        <v>4.0</v>
      </c>
      <c r="U115" s="215"/>
      <c r="V115" s="215"/>
      <c r="W115" s="215"/>
      <c r="X115" s="215"/>
      <c r="Y115" s="215"/>
      <c r="Z115" s="215"/>
      <c r="AA115" s="215"/>
      <c r="AB115" s="215"/>
      <c r="AC115" s="215"/>
      <c r="AD115" s="215"/>
      <c r="AE115" s="215"/>
      <c r="AF115" s="215"/>
      <c r="AG115" s="215"/>
      <c r="AH115" s="215"/>
      <c r="AI115" s="215"/>
      <c r="AJ115" s="215"/>
      <c r="AK115" s="215"/>
      <c r="AL115" s="215"/>
      <c r="AM115" s="121">
        <f t="shared" si="2"/>
        <v>0</v>
      </c>
      <c r="AN115" s="564">
        <f>IF(AO115&lt;=3,(IF(AND(G115="5/24",AM115&gt;0.5),(AM115*2*база!$M$6*Таблица14[[#This Row],[коэф]]),
IF(AND(G115="4/24",AM115&gt;0.5),(AM115*2*база!$M$5*Таблица14[[#This Row],[коэф]]),
IF(AND(G115="3/24",AM115&gt;0.5),(AM115*2*база!$M$4*Таблица14[[#This Row],[коэф]]),
IF(AND(G115="5/16",AM115&gt;0.5),(AM115*2*база!$L$6*Таблица14[[#This Row],[коэф]]),
IF(AND(G115="4/16",AM115&gt;0.5),(AM115*2*база!$L$5*Таблица14[[#This Row],[коэф]]),
IF(AND(G115="3/16",AM115&gt;0.5),(AM115*2*база!$L$4*Таблица14[[#This Row],[коэф]]),
IF(AND(G115="4/4",AM115&gt;0.5),(AM115*2*база!$I$5*Таблица14[[#This Row],[коэф]]),
IF(OR(AND(G115="3/4",AM115&gt;0.5),AND(G115="2/4",AM115&gt;0.5)),(AM115*2*база!$I$4*Таблица14[[#This Row],[коэф]]),
IF(AND(G115="5/8",AM115&gt;0.5),(AM115*2*база!$J$6*Таблица14[[#This Row],[коэф]]),
IF(AND(G115="4/8",AM115&gt;0.5),(AM115*2*база!$J$5*Таблица14[[#This Row],[коэф]]),
IF(OR(AND(G115="3/8",AM115&gt;0.5),AND(G115="2/8",AM115&gt;0.5)),(AM115*2*база!$J$4*Таблица14[[#This Row],[коэф]]),
(AM115*0.5*база!$L$4*Таблица14[[#This Row],[коэф]]))))))))))))),
(IF(AND(G115="5/24",AM115&gt;0.5),(AM115*2*база!$M$6*Таблица14[[#This Row],[коэф]]),
IF(OR(AND(G115="4/24",AM115&gt;0.5),AND(G115="3/24",AM115&gt;0.5)),(AM115*2*база!$M$5*Таблица14[[#This Row],[коэф]]),
IF(AND(G115="5/16",AM115&gt;0.5),(AM115*2*база!$L$6*Таблица14[[#This Row],[коэф]]),
IF(OR(AND(G115="4/16",AM115&gt;0.5),AND(G115="3/16",AM115&gt;0.5)),(AM115*2*база!$L$5*Таблица14[[#This Row],[коэф]]),
IF(OR(AND(G115="4/4",AM115&gt;0.5),AND(G115="3/4",AM115&gt;2)),(AM115*2*база!$I$5*Таблица14[[#This Row],[коэф]]),
IF(AND(G115="5/8",AM115&gt;0.5),(AM115*2*база!$J$6*Таблица14[[#This Row],[коэф]]),
IF(AND(G115="4/8",AM115&gt;0.5),(AM115*2*база!$J$5*Таблица14[[#This Row],[коэф]]),
IF(OR(AND(G115="3/8",AM115&gt;0.5),AND(G115="2/8",AM115&gt;0.5)),(AM115*2*база!$J$4*Таблица14[[#This Row],[коэф]]),
(AM115*2*база!$L$5*Таблица14[[#This Row],[коэф]])))))))))))</f>
        <v>0</v>
      </c>
      <c r="AO115" s="122" t="str">
        <f>IFERROR(INDEX(база!$D$2:$D$120, MATCH(Таблица14[[#This Row],[Ф. И. О.]],база!$B$2:$B$100,0)),"")</f>
        <v/>
      </c>
    </row>
    <row r="116" spans="1:41" s="46" customFormat="1">
      <c r="A116" s="1214" t="str">
        <f t="shared" si="4"/>
        <v>январь</v>
      </c>
      <c r="B116" t="n" s="1214">
        <v>2024.0</v>
      </c>
      <c r="C116" t="s" s="1214">
        <v>386</v>
      </c>
      <c r="D116" t="s" s="1214">
        <v>364</v>
      </c>
      <c r="E116" t="s" s="1214">
        <v>46</v>
      </c>
      <c r="F116" t="s" s="1214">
        <v>361</v>
      </c>
      <c r="G116" t="s" s="1214">
        <v>4</v>
      </c>
      <c r="H116" s="1214"/>
      <c r="I116" s="1214"/>
      <c r="J116" s="1214"/>
      <c r="K116" s="1214"/>
      <c r="L116" s="1214"/>
      <c r="M116" s="1214"/>
      <c r="N116" s="1214"/>
      <c r="O116" s="1214"/>
      <c r="P116" s="1214"/>
      <c r="Q116" s="1214"/>
      <c r="R116" s="1214"/>
      <c r="S116" s="1214"/>
      <c r="T116" s="1214"/>
      <c r="U116" t="n" s="1214">
        <v>4.0</v>
      </c>
      <c r="V116" s="215"/>
      <c r="W116" s="215"/>
      <c r="X116" s="215"/>
      <c r="Y116" s="215"/>
      <c r="Z116" s="215"/>
      <c r="AA116" s="215"/>
      <c r="AB116" s="215"/>
      <c r="AC116" s="215"/>
      <c r="AD116" s="215"/>
      <c r="AE116" s="215"/>
      <c r="AF116" s="215"/>
      <c r="AG116" s="215"/>
      <c r="AH116" s="215"/>
      <c r="AI116" s="215"/>
      <c r="AJ116" s="215"/>
      <c r="AK116" s="215"/>
      <c r="AL116" s="215"/>
      <c r="AM116" s="121">
        <f t="shared" si="2"/>
        <v>0</v>
      </c>
      <c r="AN116" s="564">
        <f>IF(AO116&lt;=3,(IF(AND(G116="5/24",AM116&gt;0.5),(AM116*2*база!$M$6*Таблица14[[#This Row],[коэф]]),
IF(AND(G116="4/24",AM116&gt;0.5),(AM116*2*база!$M$5*Таблица14[[#This Row],[коэф]]),
IF(AND(G116="3/24",AM116&gt;0.5),(AM116*2*база!$M$4*Таблица14[[#This Row],[коэф]]),
IF(AND(G116="5/16",AM116&gt;0.5),(AM116*2*база!$L$6*Таблица14[[#This Row],[коэф]]),
IF(AND(G116="4/16",AM116&gt;0.5),(AM116*2*база!$L$5*Таблица14[[#This Row],[коэф]]),
IF(AND(G116="3/16",AM116&gt;0.5),(AM116*2*база!$L$4*Таблица14[[#This Row],[коэф]]),
IF(AND(G116="4/4",AM116&gt;0.5),(AM116*2*база!$I$5*Таблица14[[#This Row],[коэф]]),
IF(OR(AND(G116="3/4",AM116&gt;0.5),AND(G116="2/4",AM116&gt;0.5)),(AM116*2*база!$I$4*Таблица14[[#This Row],[коэф]]),
IF(AND(G116="5/8",AM116&gt;0.5),(AM116*2*база!$J$6*Таблица14[[#This Row],[коэф]]),
IF(AND(G116="4/8",AM116&gt;0.5),(AM116*2*база!$J$5*Таблица14[[#This Row],[коэф]]),
IF(OR(AND(G116="3/8",AM116&gt;0.5),AND(G116="2/8",AM116&gt;0.5)),(AM116*2*база!$J$4*Таблица14[[#This Row],[коэф]]),
(AM116*0.5*база!$L$4*Таблица14[[#This Row],[коэф]]))))))))))))),
(IF(AND(G116="5/24",AM116&gt;0.5),(AM116*2*база!$M$6*Таблица14[[#This Row],[коэф]]),
IF(OR(AND(G116="4/24",AM116&gt;0.5),AND(G116="3/24",AM116&gt;0.5)),(AM116*2*база!$M$5*Таблица14[[#This Row],[коэф]]),
IF(AND(G116="5/16",AM116&gt;0.5),(AM116*2*база!$L$6*Таблица14[[#This Row],[коэф]]),
IF(OR(AND(G116="4/16",AM116&gt;0.5),AND(G116="3/16",AM116&gt;0.5)),(AM116*2*база!$L$5*Таблица14[[#This Row],[коэф]]),
IF(OR(AND(G116="4/4",AM116&gt;0.5),AND(G116="3/4",AM116&gt;2)),(AM116*2*база!$I$5*Таблица14[[#This Row],[коэф]]),
IF(AND(G116="5/8",AM116&gt;0.5),(AM116*2*база!$J$6*Таблица14[[#This Row],[коэф]]),
IF(AND(G116="4/8",AM116&gt;0.5),(AM116*2*база!$J$5*Таблица14[[#This Row],[коэф]]),
IF(OR(AND(G116="3/8",AM116&gt;0.5),AND(G116="2/8",AM116&gt;0.5)),(AM116*2*база!$J$4*Таблица14[[#This Row],[коэф]]),
(AM116*2*база!$L$5*Таблица14[[#This Row],[коэф]])))))))))))</f>
        <v>0</v>
      </c>
      <c r="AO116" s="122" t="str">
        <f>IFERROR(INDEX(база!$D$2:$D$120, MATCH(Таблица14[[#This Row],[Ф. И. О.]],база!$B$2:$B$100,0)),"")</f>
        <v/>
      </c>
    </row>
    <row r="117" spans="1:41" s="46" customFormat="1">
      <c r="A117" s="207" t="str">
        <f t="shared" si="4"/>
        <v>январь</v>
      </c>
      <c r="B117" s="204">
        <v>2024</v>
      </c>
      <c r="C117" s="572"/>
      <c r="D117" s="214"/>
      <c r="E117" s="243"/>
      <c r="F117" s="713"/>
      <c r="G117" s="206"/>
      <c r="H117" s="215"/>
      <c r="I117" s="215"/>
      <c r="J117" s="215"/>
      <c r="K117" s="215"/>
      <c r="L117" s="215"/>
      <c r="M117" s="215"/>
      <c r="N117" s="215"/>
      <c r="O117" s="215"/>
      <c r="P117" s="215"/>
      <c r="Q117" s="215"/>
      <c r="R117" s="215"/>
      <c r="S117" s="215"/>
      <c r="T117" s="215"/>
      <c r="U117" s="215"/>
      <c r="V117" s="215"/>
      <c r="W117" s="215"/>
      <c r="X117" s="215"/>
      <c r="Y117" s="215"/>
      <c r="Z117" s="215"/>
      <c r="AA117" s="215"/>
      <c r="AB117" s="215"/>
      <c r="AC117" s="215"/>
      <c r="AD117" s="215"/>
      <c r="AE117" s="215"/>
      <c r="AF117" s="215"/>
      <c r="AG117" s="215"/>
      <c r="AH117" s="215"/>
      <c r="AI117" s="215"/>
      <c r="AJ117" s="215"/>
      <c r="AK117" s="215"/>
      <c r="AL117" s="215"/>
      <c r="AM117" s="121">
        <f t="shared" si="2"/>
        <v>0</v>
      </c>
      <c r="AN117" s="564">
        <f>IF(AO117&lt;=3,(IF(AND(G117="5/24",AM117&gt;0.5),(AM117*2*база!$M$6*Таблица14[[#This Row],[коэф]]),
IF(AND(G117="4/24",AM117&gt;0.5),(AM117*2*база!$M$5*Таблица14[[#This Row],[коэф]]),
IF(AND(G117="3/24",AM117&gt;0.5),(AM117*2*база!$M$4*Таблица14[[#This Row],[коэф]]),
IF(AND(G117="5/16",AM117&gt;0.5),(AM117*2*база!$L$6*Таблица14[[#This Row],[коэф]]),
IF(AND(G117="4/16",AM117&gt;0.5),(AM117*2*база!$L$5*Таблица14[[#This Row],[коэф]]),
IF(AND(G117="3/16",AM117&gt;0.5),(AM117*2*база!$L$4*Таблица14[[#This Row],[коэф]]),
IF(AND(G117="4/4",AM117&gt;0.5),(AM117*2*база!$I$5*Таблица14[[#This Row],[коэф]]),
IF(OR(AND(G117="3/4",AM117&gt;0.5),AND(G117="2/4",AM117&gt;0.5)),(AM117*2*база!$I$4*Таблица14[[#This Row],[коэф]]),
IF(AND(G117="5/8",AM117&gt;0.5),(AM117*2*база!$J$6*Таблица14[[#This Row],[коэф]]),
IF(AND(G117="4/8",AM117&gt;0.5),(AM117*2*база!$J$5*Таблица14[[#This Row],[коэф]]),
IF(OR(AND(G117="3/8",AM117&gt;0.5),AND(G117="2/8",AM117&gt;0.5)),(AM117*2*база!$J$4*Таблица14[[#This Row],[коэф]]),
(AM117*0.5*база!$L$4*Таблица14[[#This Row],[коэф]]))))))))))))),
(IF(AND(G117="5/24",AM117&gt;0.5),(AM117*2*база!$M$6*Таблица14[[#This Row],[коэф]]),
IF(OR(AND(G117="4/24",AM117&gt;0.5),AND(G117="3/24",AM117&gt;0.5)),(AM117*2*база!$M$5*Таблица14[[#This Row],[коэф]]),
IF(AND(G117="5/16",AM117&gt;0.5),(AM117*2*база!$L$6*Таблица14[[#This Row],[коэф]]),
IF(OR(AND(G117="4/16",AM117&gt;0.5),AND(G117="3/16",AM117&gt;0.5)),(AM117*2*база!$L$5*Таблица14[[#This Row],[коэф]]),
IF(OR(AND(G117="4/4",AM117&gt;0.5),AND(G117="3/4",AM117&gt;2)),(AM117*2*база!$I$5*Таблица14[[#This Row],[коэф]]),
IF(AND(G117="5/8",AM117&gt;0.5),(AM117*2*база!$J$6*Таблица14[[#This Row],[коэф]]),
IF(AND(G117="4/8",AM117&gt;0.5),(AM117*2*база!$J$5*Таблица14[[#This Row],[коэф]]),
IF(OR(AND(G117="3/8",AM117&gt;0.5),AND(G117="2/8",AM117&gt;0.5)),(AM117*2*база!$J$4*Таблица14[[#This Row],[коэф]]),
(AM117*2*база!$L$5*Таблица14[[#This Row],[коэф]])))))))))))</f>
        <v>0</v>
      </c>
      <c r="AO117" s="122" t="str">
        <f>IFERROR(INDEX(база!$D$2:$D$120, MATCH(Таблица14[[#This Row],[Ф. И. О.]],база!$B$2:$B$100,0)),"")</f>
        <v/>
      </c>
    </row>
    <row r="118" spans="1:41" s="46" customFormat="1">
      <c r="A118" s="207" t="str">
        <f t="shared" si="4"/>
        <v>январь</v>
      </c>
      <c r="B118" s="240">
        <v>2024</v>
      </c>
      <c r="C118" s="60"/>
      <c r="D118" s="214"/>
      <c r="E118" s="241"/>
      <c r="F118" s="713"/>
      <c r="G118" s="242"/>
      <c r="H118" s="215"/>
      <c r="I118" s="215"/>
      <c r="J118" s="215"/>
      <c r="K118" s="215"/>
      <c r="L118" s="215"/>
      <c r="M118" s="215"/>
      <c r="N118" s="215"/>
      <c r="O118" s="215"/>
      <c r="P118" s="215"/>
      <c r="Q118" s="215"/>
      <c r="R118" s="215"/>
      <c r="S118" s="215"/>
      <c r="T118" s="215"/>
      <c r="U118" s="215"/>
      <c r="V118" s="215"/>
      <c r="W118" s="215"/>
      <c r="X118" s="215"/>
      <c r="Y118" s="215"/>
      <c r="Z118" s="215"/>
      <c r="AA118" s="215"/>
      <c r="AB118" s="215"/>
      <c r="AC118" s="215"/>
      <c r="AD118" s="215"/>
      <c r="AE118" s="215"/>
      <c r="AF118" s="215"/>
      <c r="AG118" s="215"/>
      <c r="AH118" s="215"/>
      <c r="AI118" s="215"/>
      <c r="AJ118" s="215"/>
      <c r="AK118" s="215"/>
      <c r="AL118" s="215"/>
      <c r="AM118" s="121">
        <f t="shared" si="2"/>
        <v>0</v>
      </c>
      <c r="AN118" s="564">
        <f>IF(AO118&lt;=3,(IF(AND(G118="5/24",AM118&gt;0.5),(AM118*2*база!$M$6*Таблица14[[#This Row],[коэф]]),
IF(AND(G118="4/24",AM118&gt;0.5),(AM118*2*база!$M$5*Таблица14[[#This Row],[коэф]]),
IF(AND(G118="3/24",AM118&gt;0.5),(AM118*2*база!$M$4*Таблица14[[#This Row],[коэф]]),
IF(AND(G118="5/16",AM118&gt;0.5),(AM118*2*база!$L$6*Таблица14[[#This Row],[коэф]]),
IF(AND(G118="4/16",AM118&gt;0.5),(AM118*2*база!$L$5*Таблица14[[#This Row],[коэф]]),
IF(AND(G118="3/16",AM118&gt;0.5),(AM118*2*база!$L$4*Таблица14[[#This Row],[коэф]]),
IF(AND(G118="4/4",AM118&gt;0.5),(AM118*2*база!$I$5*Таблица14[[#This Row],[коэф]]),
IF(OR(AND(G118="3/4",AM118&gt;0.5),AND(G118="2/4",AM118&gt;0.5)),(AM118*2*база!$I$4*Таблица14[[#This Row],[коэф]]),
IF(AND(G118="5/8",AM118&gt;0.5),(AM118*2*база!$J$6*Таблица14[[#This Row],[коэф]]),
IF(AND(G118="4/8",AM118&gt;0.5),(AM118*2*база!$J$5*Таблица14[[#This Row],[коэф]]),
IF(OR(AND(G118="3/8",AM118&gt;0.5),AND(G118="2/8",AM118&gt;0.5)),(AM118*2*база!$J$4*Таблица14[[#This Row],[коэф]]),
(AM118*0.5*база!$L$4*Таблица14[[#This Row],[коэф]]))))))))))))),
(IF(AND(G118="5/24",AM118&gt;0.5),(AM118*2*база!$M$6*Таблица14[[#This Row],[коэф]]),
IF(OR(AND(G118="4/24",AM118&gt;0.5),AND(G118="3/24",AM118&gt;0.5)),(AM118*2*база!$M$5*Таблица14[[#This Row],[коэф]]),
IF(AND(G118="5/16",AM118&gt;0.5),(AM118*2*база!$L$6*Таблица14[[#This Row],[коэф]]),
IF(OR(AND(G118="4/16",AM118&gt;0.5),AND(G118="3/16",AM118&gt;0.5)),(AM118*2*база!$L$5*Таблица14[[#This Row],[коэф]]),
IF(OR(AND(G118="4/4",AM118&gt;0.5),AND(G118="3/4",AM118&gt;2)),(AM118*2*база!$I$5*Таблица14[[#This Row],[коэф]]),
IF(AND(G118="5/8",AM118&gt;0.5),(AM118*2*база!$J$6*Таблица14[[#This Row],[коэф]]),
IF(AND(G118="4/8",AM118&gt;0.5),(AM118*2*база!$J$5*Таблица14[[#This Row],[коэф]]),
IF(OR(AND(G118="3/8",AM118&gt;0.5),AND(G118="2/8",AM118&gt;0.5)),(AM118*2*база!$J$4*Таблица14[[#This Row],[коэф]]),
(AM118*2*база!$L$5*Таблица14[[#This Row],[коэф]])))))))))))</f>
        <v>0</v>
      </c>
      <c r="AO118" s="122" t="str">
        <f>IFERROR(INDEX(база!$D$2:$D$120, MATCH(Таблица14[[#This Row],[Ф. И. О.]],база!$B$2:$B$100,0)),"")</f>
        <v/>
      </c>
    </row>
    <row r="119" spans="1:41" s="46" customFormat="1">
      <c r="A119" s="207" t="str">
        <f t="shared" si="4"/>
        <v>январь</v>
      </c>
      <c r="B119" s="204">
        <v>2024</v>
      </c>
      <c r="C119" s="60"/>
      <c r="D119" s="61"/>
      <c r="E119" s="243"/>
      <c r="F119" s="713"/>
      <c r="G119" s="206"/>
      <c r="H119" s="215"/>
      <c r="I119" s="215"/>
      <c r="J119" s="215"/>
      <c r="K119" s="215"/>
      <c r="L119" s="215"/>
      <c r="M119" s="215"/>
      <c r="N119" s="215"/>
      <c r="O119" s="215"/>
      <c r="P119" s="215"/>
      <c r="Q119" s="215"/>
      <c r="R119" s="215"/>
      <c r="S119" s="215"/>
      <c r="T119" s="215"/>
      <c r="U119" s="215"/>
      <c r="V119" s="215"/>
      <c r="W119" s="215"/>
      <c r="X119" s="215"/>
      <c r="Y119" s="215"/>
      <c r="Z119" s="215"/>
      <c r="AA119" s="215"/>
      <c r="AB119" s="215"/>
      <c r="AC119" s="215"/>
      <c r="AD119" s="215"/>
      <c r="AE119" s="215"/>
      <c r="AF119" s="215"/>
      <c r="AG119" s="215"/>
      <c r="AH119" s="215"/>
      <c r="AI119" s="215"/>
      <c r="AJ119" s="215"/>
      <c r="AK119" s="215"/>
      <c r="AL119" s="215"/>
      <c r="AM119" s="121">
        <f t="shared" si="2"/>
        <v>0</v>
      </c>
      <c r="AN119" s="564">
        <f>IF(AO119&lt;=3,(IF(AND(G119="5/24",AM119&gt;0.5),(AM119*2*база!$M$6*Таблица14[[#This Row],[коэф]]),
IF(AND(G119="4/24",AM119&gt;0.5),(AM119*2*база!$M$5*Таблица14[[#This Row],[коэф]]),
IF(AND(G119="3/24",AM119&gt;0.5),(AM119*2*база!$M$4*Таблица14[[#This Row],[коэф]]),
IF(AND(G119="5/16",AM119&gt;0.5),(AM119*2*база!$L$6*Таблица14[[#This Row],[коэф]]),
IF(AND(G119="4/16",AM119&gt;0.5),(AM119*2*база!$L$5*Таблица14[[#This Row],[коэф]]),
IF(AND(G119="3/16",AM119&gt;0.5),(AM119*2*база!$L$4*Таблица14[[#This Row],[коэф]]),
IF(AND(G119="4/4",AM119&gt;0.5),(AM119*2*база!$I$5*Таблица14[[#This Row],[коэф]]),
IF(OR(AND(G119="3/4",AM119&gt;0.5),AND(G119="2/4",AM119&gt;0.5)),(AM119*2*база!$I$4*Таблица14[[#This Row],[коэф]]),
IF(AND(G119="5/8",AM119&gt;0.5),(AM119*2*база!$J$6*Таблица14[[#This Row],[коэф]]),
IF(AND(G119="4/8",AM119&gt;0.5),(AM119*2*база!$J$5*Таблица14[[#This Row],[коэф]]),
IF(OR(AND(G119="3/8",AM119&gt;0.5),AND(G119="2/8",AM119&gt;0.5)),(AM119*2*база!$J$4*Таблица14[[#This Row],[коэф]]),
(AM119*0.5*база!$L$4*Таблица14[[#This Row],[коэф]]))))))))))))),
(IF(AND(G119="5/24",AM119&gt;0.5),(AM119*2*база!$M$6*Таблица14[[#This Row],[коэф]]),
IF(OR(AND(G119="4/24",AM119&gt;0.5),AND(G119="3/24",AM119&gt;0.5)),(AM119*2*база!$M$5*Таблица14[[#This Row],[коэф]]),
IF(AND(G119="5/16",AM119&gt;0.5),(AM119*2*база!$L$6*Таблица14[[#This Row],[коэф]]),
IF(OR(AND(G119="4/16",AM119&gt;0.5),AND(G119="3/16",AM119&gt;0.5)),(AM119*2*база!$L$5*Таблица14[[#This Row],[коэф]]),
IF(OR(AND(G119="4/4",AM119&gt;0.5),AND(G119="3/4",AM119&gt;2)),(AM119*2*база!$I$5*Таблица14[[#This Row],[коэф]]),
IF(AND(G119="5/8",AM119&gt;0.5),(AM119*2*база!$J$6*Таблица14[[#This Row],[коэф]]),
IF(AND(G119="4/8",AM119&gt;0.5),(AM119*2*база!$J$5*Таблица14[[#This Row],[коэф]]),
IF(OR(AND(G119="3/8",AM119&gt;0.5),AND(G119="2/8",AM119&gt;0.5)),(AM119*2*база!$J$4*Таблица14[[#This Row],[коэф]]),
(AM119*2*база!$L$5*Таблица14[[#This Row],[коэф]])))))))))))</f>
        <v>0</v>
      </c>
      <c r="AO119" s="122" t="str">
        <f>IFERROR(INDEX(база!$D$2:$D$120, MATCH(Таблица14[[#This Row],[Ф. И. О.]],база!$B$2:$B$100,0)),"")</f>
        <v/>
      </c>
    </row>
    <row r="120" spans="1:41" s="46" customFormat="1">
      <c r="A120" s="207" t="str">
        <f t="shared" si="4"/>
        <v>январь</v>
      </c>
      <c r="B120" s="240">
        <v>2024</v>
      </c>
      <c r="C120" s="60"/>
      <c r="D120" s="214"/>
      <c r="E120" s="241"/>
      <c r="F120" s="713"/>
      <c r="G120" s="242"/>
      <c r="H120" s="215"/>
      <c r="I120" s="215"/>
      <c r="J120" s="215"/>
      <c r="K120" s="215"/>
      <c r="L120" s="215"/>
      <c r="M120" s="215"/>
      <c r="N120" s="215"/>
      <c r="O120" s="215"/>
      <c r="P120" s="215"/>
      <c r="Q120" s="215"/>
      <c r="R120" s="215"/>
      <c r="S120" s="215"/>
      <c r="T120" s="215"/>
      <c r="U120" s="215"/>
      <c r="V120" s="215"/>
      <c r="W120" s="215"/>
      <c r="X120" s="215"/>
      <c r="Y120" s="215"/>
      <c r="Z120" s="215"/>
      <c r="AA120" s="215"/>
      <c r="AB120" s="215"/>
      <c r="AC120" s="215"/>
      <c r="AD120" s="215"/>
      <c r="AE120" s="215"/>
      <c r="AF120" s="215"/>
      <c r="AG120" s="215"/>
      <c r="AH120" s="215"/>
      <c r="AI120" s="215"/>
      <c r="AJ120" s="215"/>
      <c r="AK120" s="215"/>
      <c r="AL120" s="215"/>
      <c r="AM120" s="121">
        <f t="shared" si="2"/>
        <v>0</v>
      </c>
      <c r="AN120" s="564">
        <f>IF(AO120&lt;=3,(IF(AND(G120="5/24",AM120&gt;0.5),(AM120*2*база!$M$6*Таблица14[[#This Row],[коэф]]),
IF(AND(G120="4/24",AM120&gt;0.5),(AM120*2*база!$M$5*Таблица14[[#This Row],[коэф]]),
IF(AND(G120="3/24",AM120&gt;0.5),(AM120*2*база!$M$4*Таблица14[[#This Row],[коэф]]),
IF(AND(G120="5/16",AM120&gt;0.5),(AM120*2*база!$L$6*Таблица14[[#This Row],[коэф]]),
IF(AND(G120="4/16",AM120&gt;0.5),(AM120*2*база!$L$5*Таблица14[[#This Row],[коэф]]),
IF(AND(G120="3/16",AM120&gt;0.5),(AM120*2*база!$L$4*Таблица14[[#This Row],[коэф]]),
IF(AND(G120="4/4",AM120&gt;0.5),(AM120*2*база!$I$5*Таблица14[[#This Row],[коэф]]),
IF(OR(AND(G120="3/4",AM120&gt;0.5),AND(G120="2/4",AM120&gt;0.5)),(AM120*2*база!$I$4*Таблица14[[#This Row],[коэф]]),
IF(AND(G120="5/8",AM120&gt;0.5),(AM120*2*база!$J$6*Таблица14[[#This Row],[коэф]]),
IF(AND(G120="4/8",AM120&gt;0.5),(AM120*2*база!$J$5*Таблица14[[#This Row],[коэф]]),
IF(OR(AND(G120="3/8",AM120&gt;0.5),AND(G120="2/8",AM120&gt;0.5)),(AM120*2*база!$J$4*Таблица14[[#This Row],[коэф]]),
(AM120*0.5*база!$L$4*Таблица14[[#This Row],[коэф]]))))))))))))),
(IF(AND(G120="5/24",AM120&gt;0.5),(AM120*2*база!$M$6*Таблица14[[#This Row],[коэф]]),
IF(OR(AND(G120="4/24",AM120&gt;0.5),AND(G120="3/24",AM120&gt;0.5)),(AM120*2*база!$M$5*Таблица14[[#This Row],[коэф]]),
IF(AND(G120="5/16",AM120&gt;0.5),(AM120*2*база!$L$6*Таблица14[[#This Row],[коэф]]),
IF(OR(AND(G120="4/16",AM120&gt;0.5),AND(G120="3/16",AM120&gt;0.5)),(AM120*2*база!$L$5*Таблица14[[#This Row],[коэф]]),
IF(OR(AND(G120="4/4",AM120&gt;0.5),AND(G120="3/4",AM120&gt;2)),(AM120*2*база!$I$5*Таблица14[[#This Row],[коэф]]),
IF(AND(G120="5/8",AM120&gt;0.5),(AM120*2*база!$J$6*Таблица14[[#This Row],[коэф]]),
IF(AND(G120="4/8",AM120&gt;0.5),(AM120*2*база!$J$5*Таблица14[[#This Row],[коэф]]),
IF(OR(AND(G120="3/8",AM120&gt;0.5),AND(G120="2/8",AM120&gt;0.5)),(AM120*2*база!$J$4*Таблица14[[#This Row],[коэф]]),
(AM120*2*база!$L$5*Таблица14[[#This Row],[коэф]])))))))))))</f>
        <v>0</v>
      </c>
      <c r="AO120" s="122" t="str">
        <f>IFERROR(INDEX(база!$D$2:$D$120, MATCH(Таблица14[[#This Row],[Ф. И. О.]],база!$B$2:$B$100,0)),"")</f>
        <v/>
      </c>
    </row>
    <row r="121" spans="1:41" s="46" customFormat="1">
      <c r="A121" s="207" t="str">
        <f t="shared" si="4"/>
        <v>январь</v>
      </c>
      <c r="B121" s="204">
        <v>2024</v>
      </c>
      <c r="C121" s="60"/>
      <c r="D121" s="61"/>
      <c r="E121" s="243"/>
      <c r="F121" s="713"/>
      <c r="G121" s="206"/>
      <c r="H121" s="215"/>
      <c r="I121" s="215"/>
      <c r="J121" s="215"/>
      <c r="K121" s="215"/>
      <c r="L121" s="215"/>
      <c r="M121" s="215"/>
      <c r="N121" s="215"/>
      <c r="O121" s="215"/>
      <c r="P121" s="215"/>
      <c r="Q121" s="215"/>
      <c r="R121" s="215"/>
      <c r="S121" s="215"/>
      <c r="T121" s="215"/>
      <c r="U121" s="215"/>
      <c r="V121" s="215"/>
      <c r="W121" s="215"/>
      <c r="X121" s="215"/>
      <c r="Y121" s="215"/>
      <c r="Z121" s="215"/>
      <c r="AA121" s="215"/>
      <c r="AB121" s="215"/>
      <c r="AC121" s="215"/>
      <c r="AD121" s="215"/>
      <c r="AE121" s="215"/>
      <c r="AF121" s="215"/>
      <c r="AG121" s="215"/>
      <c r="AH121" s="215"/>
      <c r="AI121" s="215"/>
      <c r="AJ121" s="215"/>
      <c r="AK121" s="215"/>
      <c r="AL121" s="215"/>
      <c r="AM121" s="121">
        <f t="shared" si="2"/>
        <v>0</v>
      </c>
      <c r="AN121" s="564">
        <f>IF(AO121&lt;=3,(IF(AND(G121="5/24",AM121&gt;0.5),(AM121*2*база!$M$6*Таблица14[[#This Row],[коэф]]),
IF(AND(G121="4/24",AM121&gt;0.5),(AM121*2*база!$M$5*Таблица14[[#This Row],[коэф]]),
IF(AND(G121="3/24",AM121&gt;0.5),(AM121*2*база!$M$4*Таблица14[[#This Row],[коэф]]),
IF(AND(G121="5/16",AM121&gt;0.5),(AM121*2*база!$L$6*Таблица14[[#This Row],[коэф]]),
IF(AND(G121="4/16",AM121&gt;0.5),(AM121*2*база!$L$5*Таблица14[[#This Row],[коэф]]),
IF(AND(G121="3/16",AM121&gt;0.5),(AM121*2*база!$L$4*Таблица14[[#This Row],[коэф]]),
IF(AND(G121="4/4",AM121&gt;0.5),(AM121*2*база!$I$5*Таблица14[[#This Row],[коэф]]),
IF(OR(AND(G121="3/4",AM121&gt;0.5),AND(G121="2/4",AM121&gt;0.5)),(AM121*2*база!$I$4*Таблица14[[#This Row],[коэф]]),
IF(AND(G121="5/8",AM121&gt;0.5),(AM121*2*база!$J$6*Таблица14[[#This Row],[коэф]]),
IF(AND(G121="4/8",AM121&gt;0.5),(AM121*2*база!$J$5*Таблица14[[#This Row],[коэф]]),
IF(OR(AND(G121="3/8",AM121&gt;0.5),AND(G121="2/8",AM121&gt;0.5)),(AM121*2*база!$J$4*Таблица14[[#This Row],[коэф]]),
(AM121*0.5*база!$L$4*Таблица14[[#This Row],[коэф]]))))))))))))),
(IF(AND(G121="5/24",AM121&gt;0.5),(AM121*2*база!$M$6*Таблица14[[#This Row],[коэф]]),
IF(OR(AND(G121="4/24",AM121&gt;0.5),AND(G121="3/24",AM121&gt;0.5)),(AM121*2*база!$M$5*Таблица14[[#This Row],[коэф]]),
IF(AND(G121="5/16",AM121&gt;0.5),(AM121*2*база!$L$6*Таблица14[[#This Row],[коэф]]),
IF(OR(AND(G121="4/16",AM121&gt;0.5),AND(G121="3/16",AM121&gt;0.5)),(AM121*2*база!$L$5*Таблица14[[#This Row],[коэф]]),
IF(OR(AND(G121="4/4",AM121&gt;0.5),AND(G121="3/4",AM121&gt;2)),(AM121*2*база!$I$5*Таблица14[[#This Row],[коэф]]),
IF(AND(G121="5/8",AM121&gt;0.5),(AM121*2*база!$J$6*Таблица14[[#This Row],[коэф]]),
IF(AND(G121="4/8",AM121&gt;0.5),(AM121*2*база!$J$5*Таблица14[[#This Row],[коэф]]),
IF(OR(AND(G121="3/8",AM121&gt;0.5),AND(G121="2/8",AM121&gt;0.5)),(AM121*2*база!$J$4*Таблица14[[#This Row],[коэф]]),
(AM121*2*база!$L$5*Таблица14[[#This Row],[коэф]])))))))))))</f>
        <v>0</v>
      </c>
      <c r="AO121" s="122" t="str">
        <f>IFERROR(INDEX(база!$D$2:$D$120, MATCH(Таблица14[[#This Row],[Ф. И. О.]],база!$B$2:$B$100,0)),"")</f>
        <v/>
      </c>
    </row>
    <row r="122" spans="1:41" s="46" customFormat="1">
      <c r="A122" s="207" t="str">
        <f t="shared" si="4"/>
        <v>январь</v>
      </c>
      <c r="B122" s="240">
        <v>2024</v>
      </c>
      <c r="C122" s="572"/>
      <c r="D122" s="214"/>
      <c r="E122" s="241"/>
      <c r="F122" s="713"/>
      <c r="G122" s="242"/>
      <c r="H122" s="215"/>
      <c r="I122" s="215"/>
      <c r="J122" s="215"/>
      <c r="K122" s="215"/>
      <c r="L122" s="215"/>
      <c r="M122" s="215"/>
      <c r="N122" s="215"/>
      <c r="O122" s="215"/>
      <c r="P122" s="215"/>
      <c r="Q122" s="215"/>
      <c r="R122" s="215"/>
      <c r="S122" s="215"/>
      <c r="T122" s="215"/>
      <c r="U122" s="215"/>
      <c r="V122" s="215"/>
      <c r="W122" s="215"/>
      <c r="X122" s="215"/>
      <c r="Y122" s="215"/>
      <c r="Z122" s="215"/>
      <c r="AA122" s="215"/>
      <c r="AB122" s="215"/>
      <c r="AC122" s="215"/>
      <c r="AD122" s="215"/>
      <c r="AE122" s="215"/>
      <c r="AF122" s="215"/>
      <c r="AG122" s="215"/>
      <c r="AH122" s="215"/>
      <c r="AI122" s="215"/>
      <c r="AJ122" s="215"/>
      <c r="AK122" s="215"/>
      <c r="AL122" s="215"/>
      <c r="AM122" s="121">
        <f t="shared" si="2"/>
        <v>0</v>
      </c>
      <c r="AN122" s="564">
        <f>IF(AO122&lt;=3,(IF(AND(G122="5/24",AM122&gt;0.5),(AM122*2*база!$M$6*Таблица14[[#This Row],[коэф]]),
IF(AND(G122="4/24",AM122&gt;0.5),(AM122*2*база!$M$5*Таблица14[[#This Row],[коэф]]),
IF(AND(G122="3/24",AM122&gt;0.5),(AM122*2*база!$M$4*Таблица14[[#This Row],[коэф]]),
IF(AND(G122="5/16",AM122&gt;0.5),(AM122*2*база!$L$6*Таблица14[[#This Row],[коэф]]),
IF(AND(G122="4/16",AM122&gt;0.5),(AM122*2*база!$L$5*Таблица14[[#This Row],[коэф]]),
IF(AND(G122="3/16",AM122&gt;0.5),(AM122*2*база!$L$4*Таблица14[[#This Row],[коэф]]),
IF(AND(G122="4/4",AM122&gt;0.5),(AM122*2*база!$I$5*Таблица14[[#This Row],[коэф]]),
IF(OR(AND(G122="3/4",AM122&gt;0.5),AND(G122="2/4",AM122&gt;0.5)),(AM122*2*база!$I$4*Таблица14[[#This Row],[коэф]]),
IF(AND(G122="5/8",AM122&gt;0.5),(AM122*2*база!$J$6*Таблица14[[#This Row],[коэф]]),
IF(AND(G122="4/8",AM122&gt;0.5),(AM122*2*база!$J$5*Таблица14[[#This Row],[коэф]]),
IF(OR(AND(G122="3/8",AM122&gt;0.5),AND(G122="2/8",AM122&gt;0.5)),(AM122*2*база!$J$4*Таблица14[[#This Row],[коэф]]),
(AM122*0.5*база!$L$4*Таблица14[[#This Row],[коэф]]))))))))))))),
(IF(AND(G122="5/24",AM122&gt;0.5),(AM122*2*база!$M$6*Таблица14[[#This Row],[коэф]]),
IF(OR(AND(G122="4/24",AM122&gt;0.5),AND(G122="3/24",AM122&gt;0.5)),(AM122*2*база!$M$5*Таблица14[[#This Row],[коэф]]),
IF(AND(G122="5/16",AM122&gt;0.5),(AM122*2*база!$L$6*Таблица14[[#This Row],[коэф]]),
IF(OR(AND(G122="4/16",AM122&gt;0.5),AND(G122="3/16",AM122&gt;0.5)),(AM122*2*база!$L$5*Таблица14[[#This Row],[коэф]]),
IF(OR(AND(G122="4/4",AM122&gt;0.5),AND(G122="3/4",AM122&gt;2)),(AM122*2*база!$I$5*Таблица14[[#This Row],[коэф]]),
IF(AND(G122="5/8",AM122&gt;0.5),(AM122*2*база!$J$6*Таблица14[[#This Row],[коэф]]),
IF(AND(G122="4/8",AM122&gt;0.5),(AM122*2*база!$J$5*Таблица14[[#This Row],[коэф]]),
IF(OR(AND(G122="3/8",AM122&gt;0.5),AND(G122="2/8",AM122&gt;0.5)),(AM122*2*база!$J$4*Таблица14[[#This Row],[коэф]]),
(AM122*2*база!$L$5*Таблица14[[#This Row],[коэф]])))))))))))</f>
        <v>0</v>
      </c>
      <c r="AO122" s="122" t="str">
        <f>IFERROR(INDEX(база!$D$2:$D$120, MATCH(Таблица14[[#This Row],[Ф. И. О.]],база!$B$2:$B$100,0)),"")</f>
        <v/>
      </c>
    </row>
    <row r="123" spans="1:41" s="46" customFormat="1">
      <c r="A123" s="207" t="str">
        <f t="shared" si="4"/>
        <v>январь</v>
      </c>
      <c r="B123" s="204">
        <v>2024</v>
      </c>
      <c r="C123" s="572"/>
      <c r="D123" s="214"/>
      <c r="E123" s="243"/>
      <c r="F123" s="713"/>
      <c r="G123" s="206"/>
      <c r="H123" s="215"/>
      <c r="I123" s="215"/>
      <c r="J123" s="215"/>
      <c r="K123" s="215"/>
      <c r="L123" s="215"/>
      <c r="M123" s="215"/>
      <c r="N123" s="215"/>
      <c r="O123" s="215"/>
      <c r="P123" s="215"/>
      <c r="Q123" s="215"/>
      <c r="R123" s="215"/>
      <c r="S123" s="215"/>
      <c r="T123" s="215"/>
      <c r="U123" s="215"/>
      <c r="V123" s="215"/>
      <c r="W123" s="215"/>
      <c r="X123" s="215"/>
      <c r="Y123" s="215"/>
      <c r="Z123" s="215"/>
      <c r="AA123" s="215"/>
      <c r="AB123" s="215"/>
      <c r="AC123" s="215"/>
      <c r="AD123" s="215"/>
      <c r="AE123" s="215"/>
      <c r="AF123" s="215"/>
      <c r="AG123" s="215"/>
      <c r="AH123" s="215"/>
      <c r="AI123" s="215"/>
      <c r="AJ123" s="215"/>
      <c r="AK123" s="215"/>
      <c r="AL123" s="215"/>
      <c r="AM123" s="121">
        <f t="shared" si="2"/>
        <v>0</v>
      </c>
      <c r="AN123" s="564">
        <f>IF(AO123&lt;=3,(IF(AND(G123="5/24",AM123&gt;0.5),(AM123*2*база!$M$6*Таблица14[[#This Row],[коэф]]),
IF(AND(G123="4/24",AM123&gt;0.5),(AM123*2*база!$M$5*Таблица14[[#This Row],[коэф]]),
IF(AND(G123="3/24",AM123&gt;0.5),(AM123*2*база!$M$4*Таблица14[[#This Row],[коэф]]),
IF(AND(G123="5/16",AM123&gt;0.5),(AM123*2*база!$L$6*Таблица14[[#This Row],[коэф]]),
IF(AND(G123="4/16",AM123&gt;0.5),(AM123*2*база!$L$5*Таблица14[[#This Row],[коэф]]),
IF(AND(G123="3/16",AM123&gt;0.5),(AM123*2*база!$L$4*Таблица14[[#This Row],[коэф]]),
IF(AND(G123="4/4",AM123&gt;0.5),(AM123*2*база!$I$5*Таблица14[[#This Row],[коэф]]),
IF(OR(AND(G123="3/4",AM123&gt;0.5),AND(G123="2/4",AM123&gt;0.5)),(AM123*2*база!$I$4*Таблица14[[#This Row],[коэф]]),
IF(AND(G123="5/8",AM123&gt;0.5),(AM123*2*база!$J$6*Таблица14[[#This Row],[коэф]]),
IF(AND(G123="4/8",AM123&gt;0.5),(AM123*2*база!$J$5*Таблица14[[#This Row],[коэф]]),
IF(OR(AND(G123="3/8",AM123&gt;0.5),AND(G123="2/8",AM123&gt;0.5)),(AM123*2*база!$J$4*Таблица14[[#This Row],[коэф]]),
(AM123*0.5*база!$L$4*Таблица14[[#This Row],[коэф]]))))))))))))),
(IF(AND(G123="5/24",AM123&gt;0.5),(AM123*2*база!$M$6*Таблица14[[#This Row],[коэф]]),
IF(OR(AND(G123="4/24",AM123&gt;0.5),AND(G123="3/24",AM123&gt;0.5)),(AM123*2*база!$M$5*Таблица14[[#This Row],[коэф]]),
IF(AND(G123="5/16",AM123&gt;0.5),(AM123*2*база!$L$6*Таблица14[[#This Row],[коэф]]),
IF(OR(AND(G123="4/16",AM123&gt;0.5),AND(G123="3/16",AM123&gt;0.5)),(AM123*2*база!$L$5*Таблица14[[#This Row],[коэф]]),
IF(OR(AND(G123="4/4",AM123&gt;0.5),AND(G123="3/4",AM123&gt;2)),(AM123*2*база!$I$5*Таблица14[[#This Row],[коэф]]),
IF(AND(G123="5/8",AM123&gt;0.5),(AM123*2*база!$J$6*Таблица14[[#This Row],[коэф]]),
IF(AND(G123="4/8",AM123&gt;0.5),(AM123*2*база!$J$5*Таблица14[[#This Row],[коэф]]),
IF(OR(AND(G123="3/8",AM123&gt;0.5),AND(G123="2/8",AM123&gt;0.5)),(AM123*2*база!$J$4*Таблица14[[#This Row],[коэф]]),
(AM123*2*база!$L$5*Таблица14[[#This Row],[коэф]])))))))))))</f>
        <v>0</v>
      </c>
      <c r="AO123" s="122" t="str">
        <f>IFERROR(INDEX(база!$D$2:$D$120, MATCH(Таблица14[[#This Row],[Ф. И. О.]],база!$B$2:$B$100,0)),"")</f>
        <v/>
      </c>
    </row>
    <row r="124" spans="1:41" s="46" customFormat="1">
      <c r="A124" s="207" t="str">
        <f t="shared" si="4"/>
        <v>январь</v>
      </c>
      <c r="B124" s="240">
        <v>2024</v>
      </c>
      <c r="C124" s="572"/>
      <c r="D124" s="214"/>
      <c r="E124" s="241"/>
      <c r="F124" s="713"/>
      <c r="G124" s="242"/>
      <c r="H124" s="215"/>
      <c r="I124" s="215"/>
      <c r="J124" s="215"/>
      <c r="K124" s="215"/>
      <c r="L124" s="215"/>
      <c r="M124" s="215"/>
      <c r="N124" s="215"/>
      <c r="O124" s="215"/>
      <c r="P124" s="215"/>
      <c r="Q124" s="215"/>
      <c r="R124" s="215"/>
      <c r="S124" s="215"/>
      <c r="T124" s="215"/>
      <c r="U124" s="215"/>
      <c r="V124" s="215"/>
      <c r="W124" s="215"/>
      <c r="X124" s="215"/>
      <c r="Y124" s="215"/>
      <c r="Z124" s="215"/>
      <c r="AA124" s="215"/>
      <c r="AB124" s="215"/>
      <c r="AC124" s="215"/>
      <c r="AD124" s="215"/>
      <c r="AE124" s="215"/>
      <c r="AF124" s="215"/>
      <c r="AG124" s="215"/>
      <c r="AH124" s="215"/>
      <c r="AI124" s="215"/>
      <c r="AJ124" s="215"/>
      <c r="AK124" s="215"/>
      <c r="AL124" s="215"/>
      <c r="AM124" s="121">
        <f t="shared" si="2"/>
        <v>0</v>
      </c>
      <c r="AN124" s="564">
        <f>IF(AO124&lt;=3,(IF(AND(G124="5/24",AM124&gt;0.5),(AM124*2*база!$M$6*Таблица14[[#This Row],[коэф]]),
IF(AND(G124="4/24",AM124&gt;0.5),(AM124*2*база!$M$5*Таблица14[[#This Row],[коэф]]),
IF(AND(G124="3/24",AM124&gt;0.5),(AM124*2*база!$M$4*Таблица14[[#This Row],[коэф]]),
IF(AND(G124="5/16",AM124&gt;0.5),(AM124*2*база!$L$6*Таблица14[[#This Row],[коэф]]),
IF(AND(G124="4/16",AM124&gt;0.5),(AM124*2*база!$L$5*Таблица14[[#This Row],[коэф]]),
IF(AND(G124="3/16",AM124&gt;0.5),(AM124*2*база!$L$4*Таблица14[[#This Row],[коэф]]),
IF(AND(G124="4/4",AM124&gt;0.5),(AM124*2*база!$I$5*Таблица14[[#This Row],[коэф]]),
IF(OR(AND(G124="3/4",AM124&gt;0.5),AND(G124="2/4",AM124&gt;0.5)),(AM124*2*база!$I$4*Таблица14[[#This Row],[коэф]]),
IF(AND(G124="5/8",AM124&gt;0.5),(AM124*2*база!$J$6*Таблица14[[#This Row],[коэф]]),
IF(AND(G124="4/8",AM124&gt;0.5),(AM124*2*база!$J$5*Таблица14[[#This Row],[коэф]]),
IF(OR(AND(G124="3/8",AM124&gt;0.5),AND(G124="2/8",AM124&gt;0.5)),(AM124*2*база!$J$4*Таблица14[[#This Row],[коэф]]),
(AM124*0.5*база!$L$4*Таблица14[[#This Row],[коэф]]))))))))))))),
(IF(AND(G124="5/24",AM124&gt;0.5),(AM124*2*база!$M$6*Таблица14[[#This Row],[коэф]]),
IF(OR(AND(G124="4/24",AM124&gt;0.5),AND(G124="3/24",AM124&gt;0.5)),(AM124*2*база!$M$5*Таблица14[[#This Row],[коэф]]),
IF(AND(G124="5/16",AM124&gt;0.5),(AM124*2*база!$L$6*Таблица14[[#This Row],[коэф]]),
IF(OR(AND(G124="4/16",AM124&gt;0.5),AND(G124="3/16",AM124&gt;0.5)),(AM124*2*база!$L$5*Таблица14[[#This Row],[коэф]]),
IF(OR(AND(G124="4/4",AM124&gt;0.5),AND(G124="3/4",AM124&gt;2)),(AM124*2*база!$I$5*Таблица14[[#This Row],[коэф]]),
IF(AND(G124="5/8",AM124&gt;0.5),(AM124*2*база!$J$6*Таблица14[[#This Row],[коэф]]),
IF(AND(G124="4/8",AM124&gt;0.5),(AM124*2*база!$J$5*Таблица14[[#This Row],[коэф]]),
IF(OR(AND(G124="3/8",AM124&gt;0.5),AND(G124="2/8",AM124&gt;0.5)),(AM124*2*база!$J$4*Таблица14[[#This Row],[коэф]]),
(AM124*2*база!$L$5*Таблица14[[#This Row],[коэф]])))))))))))</f>
        <v>0</v>
      </c>
      <c r="AO124" s="122" t="str">
        <f>IFERROR(INDEX(база!$D$2:$D$120, MATCH(Таблица14[[#This Row],[Ф. И. О.]],база!$B$2:$B$100,0)),"")</f>
        <v/>
      </c>
    </row>
    <row r="125" spans="1:41" s="46" customFormat="1">
      <c r="A125" s="207" t="str">
        <f t="shared" si="4"/>
        <v>январь</v>
      </c>
      <c r="B125" s="204">
        <v>2024</v>
      </c>
      <c r="C125" s="572"/>
      <c r="D125" s="214"/>
      <c r="E125" s="243"/>
      <c r="F125" s="713"/>
      <c r="G125" s="206"/>
      <c r="H125" s="215"/>
      <c r="I125" s="215"/>
      <c r="J125" s="215"/>
      <c r="K125" s="215"/>
      <c r="L125" s="215"/>
      <c r="M125" s="215"/>
      <c r="N125" s="215"/>
      <c r="O125" s="215"/>
      <c r="P125" s="215"/>
      <c r="Q125" s="215"/>
      <c r="R125" s="215"/>
      <c r="S125" s="215"/>
      <c r="T125" s="215"/>
      <c r="U125" s="215"/>
      <c r="V125" s="215"/>
      <c r="W125" s="215"/>
      <c r="X125" s="215"/>
      <c r="Y125" s="215"/>
      <c r="Z125" s="215"/>
      <c r="AA125" s="215"/>
      <c r="AB125" s="215"/>
      <c r="AC125" s="215"/>
      <c r="AD125" s="215"/>
      <c r="AE125" s="215"/>
      <c r="AF125" s="215"/>
      <c r="AG125" s="215"/>
      <c r="AH125" s="215"/>
      <c r="AI125" s="215"/>
      <c r="AJ125" s="215"/>
      <c r="AK125" s="215"/>
      <c r="AL125" s="215"/>
      <c r="AM125" s="121">
        <f t="shared" si="2"/>
        <v>0</v>
      </c>
      <c r="AN125" s="564">
        <f>IF(AO125&lt;=3,(IF(AND(G125="5/24",AM125&gt;0.5),(AM125*2*база!$M$6*Таблица14[[#This Row],[коэф]]),
IF(AND(G125="4/24",AM125&gt;0.5),(AM125*2*база!$M$5*Таблица14[[#This Row],[коэф]]),
IF(AND(G125="3/24",AM125&gt;0.5),(AM125*2*база!$M$4*Таблица14[[#This Row],[коэф]]),
IF(AND(G125="5/16",AM125&gt;0.5),(AM125*2*база!$L$6*Таблица14[[#This Row],[коэф]]),
IF(AND(G125="4/16",AM125&gt;0.5),(AM125*2*база!$L$5*Таблица14[[#This Row],[коэф]]),
IF(AND(G125="3/16",AM125&gt;0.5),(AM125*2*база!$L$4*Таблица14[[#This Row],[коэф]]),
IF(AND(G125="4/4",AM125&gt;0.5),(AM125*2*база!$I$5*Таблица14[[#This Row],[коэф]]),
IF(OR(AND(G125="3/4",AM125&gt;0.5),AND(G125="2/4",AM125&gt;0.5)),(AM125*2*база!$I$4*Таблица14[[#This Row],[коэф]]),
IF(AND(G125="5/8",AM125&gt;0.5),(AM125*2*база!$J$6*Таблица14[[#This Row],[коэф]]),
IF(AND(G125="4/8",AM125&gt;0.5),(AM125*2*база!$J$5*Таблица14[[#This Row],[коэф]]),
IF(OR(AND(G125="3/8",AM125&gt;0.5),AND(G125="2/8",AM125&gt;0.5)),(AM125*2*база!$J$4*Таблица14[[#This Row],[коэф]]),
(AM125*0.5*база!$L$4*Таблица14[[#This Row],[коэф]]))))))))))))),
(IF(AND(G125="5/24",AM125&gt;0.5),(AM125*2*база!$M$6*Таблица14[[#This Row],[коэф]]),
IF(OR(AND(G125="4/24",AM125&gt;0.5),AND(G125="3/24",AM125&gt;0.5)),(AM125*2*база!$M$5*Таблица14[[#This Row],[коэф]]),
IF(AND(G125="5/16",AM125&gt;0.5),(AM125*2*база!$L$6*Таблица14[[#This Row],[коэф]]),
IF(OR(AND(G125="4/16",AM125&gt;0.5),AND(G125="3/16",AM125&gt;0.5)),(AM125*2*база!$L$5*Таблица14[[#This Row],[коэф]]),
IF(OR(AND(G125="4/4",AM125&gt;0.5),AND(G125="3/4",AM125&gt;2)),(AM125*2*база!$I$5*Таблица14[[#This Row],[коэф]]),
IF(AND(G125="5/8",AM125&gt;0.5),(AM125*2*база!$J$6*Таблица14[[#This Row],[коэф]]),
IF(AND(G125="4/8",AM125&gt;0.5),(AM125*2*база!$J$5*Таблица14[[#This Row],[коэф]]),
IF(OR(AND(G125="3/8",AM125&gt;0.5),AND(G125="2/8",AM125&gt;0.5)),(AM125*2*база!$J$4*Таблица14[[#This Row],[коэф]]),
(AM125*2*база!$L$5*Таблица14[[#This Row],[коэф]])))))))))))</f>
        <v>0</v>
      </c>
      <c r="AO125" s="122" t="str">
        <f>IFERROR(INDEX(база!$D$2:$D$120, MATCH(Таблица14[[#This Row],[Ф. И. О.]],база!$B$2:$B$100,0)),"")</f>
        <v/>
      </c>
    </row>
    <row r="126" spans="1:41" s="46" customFormat="1">
      <c r="A126" s="207" t="str">
        <f t="shared" si="4"/>
        <v>январь</v>
      </c>
      <c r="B126" s="240">
        <v>2024</v>
      </c>
      <c r="C126" s="572"/>
      <c r="D126" s="214"/>
      <c r="E126" s="241"/>
      <c r="F126" s="713"/>
      <c r="G126" s="242"/>
      <c r="H126" s="215"/>
      <c r="I126" s="215"/>
      <c r="J126" s="215"/>
      <c r="K126" s="215"/>
      <c r="L126" s="215"/>
      <c r="M126" s="215"/>
      <c r="N126" s="215"/>
      <c r="O126" s="215"/>
      <c r="P126" s="215"/>
      <c r="Q126" s="215"/>
      <c r="R126" s="215"/>
      <c r="S126" s="215"/>
      <c r="T126" s="215"/>
      <c r="U126" s="215"/>
      <c r="V126" s="215"/>
      <c r="W126" s="215"/>
      <c r="X126" s="215"/>
      <c r="Y126" s="215"/>
      <c r="Z126" s="215"/>
      <c r="AA126" s="215"/>
      <c r="AB126" s="215"/>
      <c r="AC126" s="215"/>
      <c r="AD126" s="215"/>
      <c r="AE126" s="215"/>
      <c r="AF126" s="215"/>
      <c r="AG126" s="215"/>
      <c r="AH126" s="215"/>
      <c r="AI126" s="215"/>
      <c r="AJ126" s="215"/>
      <c r="AK126" s="215"/>
      <c r="AL126" s="215"/>
      <c r="AM126" s="121">
        <f t="shared" si="2"/>
        <v>0</v>
      </c>
      <c r="AN126" s="564">
        <f>IF(AO126&lt;=3,(IF(AND(G126="5/24",AM126&gt;0.5),(AM126*2*база!$M$6*Таблица14[[#This Row],[коэф]]),
IF(AND(G126="4/24",AM126&gt;0.5),(AM126*2*база!$M$5*Таблица14[[#This Row],[коэф]]),
IF(AND(G126="3/24",AM126&gt;0.5),(AM126*2*база!$M$4*Таблица14[[#This Row],[коэф]]),
IF(AND(G126="5/16",AM126&gt;0.5),(AM126*2*база!$L$6*Таблица14[[#This Row],[коэф]]),
IF(AND(G126="4/16",AM126&gt;0.5),(AM126*2*база!$L$5*Таблица14[[#This Row],[коэф]]),
IF(AND(G126="3/16",AM126&gt;0.5),(AM126*2*база!$L$4*Таблица14[[#This Row],[коэф]]),
IF(AND(G126="4/4",AM126&gt;0.5),(AM126*2*база!$I$5*Таблица14[[#This Row],[коэф]]),
IF(OR(AND(G126="3/4",AM126&gt;0.5),AND(G126="2/4",AM126&gt;0.5)),(AM126*2*база!$I$4*Таблица14[[#This Row],[коэф]]),
IF(AND(G126="5/8",AM126&gt;0.5),(AM126*2*база!$J$6*Таблица14[[#This Row],[коэф]]),
IF(AND(G126="4/8",AM126&gt;0.5),(AM126*2*база!$J$5*Таблица14[[#This Row],[коэф]]),
IF(OR(AND(G126="3/8",AM126&gt;0.5),AND(G126="2/8",AM126&gt;0.5)),(AM126*2*база!$J$4*Таблица14[[#This Row],[коэф]]),
(AM126*0.5*база!$L$4*Таблица14[[#This Row],[коэф]]))))))))))))),
(IF(AND(G126="5/24",AM126&gt;0.5),(AM126*2*база!$M$6*Таблица14[[#This Row],[коэф]]),
IF(OR(AND(G126="4/24",AM126&gt;0.5),AND(G126="3/24",AM126&gt;0.5)),(AM126*2*база!$M$5*Таблица14[[#This Row],[коэф]]),
IF(AND(G126="5/16",AM126&gt;0.5),(AM126*2*база!$L$6*Таблица14[[#This Row],[коэф]]),
IF(OR(AND(G126="4/16",AM126&gt;0.5),AND(G126="3/16",AM126&gt;0.5)),(AM126*2*база!$L$5*Таблица14[[#This Row],[коэф]]),
IF(OR(AND(G126="4/4",AM126&gt;0.5),AND(G126="3/4",AM126&gt;2)),(AM126*2*база!$I$5*Таблица14[[#This Row],[коэф]]),
IF(AND(G126="5/8",AM126&gt;0.5),(AM126*2*база!$J$6*Таблица14[[#This Row],[коэф]]),
IF(AND(G126="4/8",AM126&gt;0.5),(AM126*2*база!$J$5*Таблица14[[#This Row],[коэф]]),
IF(OR(AND(G126="3/8",AM126&gt;0.5),AND(G126="2/8",AM126&gt;0.5)),(AM126*2*база!$J$4*Таблица14[[#This Row],[коэф]]),
(AM126*2*база!$L$5*Таблица14[[#This Row],[коэф]])))))))))))</f>
        <v>0</v>
      </c>
      <c r="AO126" s="122" t="str">
        <f>IFERROR(INDEX(база!$D$2:$D$120, MATCH(Таблица14[[#This Row],[Ф. И. О.]],база!$B$2:$B$100,0)),"")</f>
        <v/>
      </c>
    </row>
    <row r="127" spans="1:41" s="46" customFormat="1">
      <c r="A127" s="207" t="str">
        <f t="shared" si="4"/>
        <v>январь</v>
      </c>
      <c r="B127" s="204">
        <v>2024</v>
      </c>
      <c r="C127" s="572"/>
      <c r="D127" s="214"/>
      <c r="E127" s="243"/>
      <c r="F127" s="713"/>
      <c r="G127" s="206"/>
      <c r="H127" s="215"/>
      <c r="I127" s="215"/>
      <c r="J127" s="215"/>
      <c r="K127" s="215"/>
      <c r="L127" s="215"/>
      <c r="M127" s="215"/>
      <c r="N127" s="215"/>
      <c r="O127" s="215"/>
      <c r="P127" s="215"/>
      <c r="Q127" s="215"/>
      <c r="R127" s="215"/>
      <c r="S127" s="215"/>
      <c r="T127" s="215"/>
      <c r="U127" s="215"/>
      <c r="V127" s="215"/>
      <c r="W127" s="215"/>
      <c r="X127" s="215"/>
      <c r="Y127" s="215"/>
      <c r="Z127" s="215"/>
      <c r="AA127" s="215"/>
      <c r="AB127" s="215"/>
      <c r="AC127" s="215"/>
      <c r="AD127" s="215"/>
      <c r="AE127" s="215"/>
      <c r="AF127" s="215"/>
      <c r="AG127" s="215"/>
      <c r="AH127" s="215"/>
      <c r="AI127" s="215"/>
      <c r="AJ127" s="215"/>
      <c r="AK127" s="215"/>
      <c r="AL127" s="215"/>
      <c r="AM127" s="121">
        <f t="shared" si="2"/>
        <v>0</v>
      </c>
      <c r="AN127" s="564">
        <f>IF(AO127&lt;=3,(IF(AND(G127="5/24",AM127&gt;0.5),(AM127*2*база!$M$6*Таблица14[[#This Row],[коэф]]),
IF(AND(G127="4/24",AM127&gt;0.5),(AM127*2*база!$M$5*Таблица14[[#This Row],[коэф]]),
IF(AND(G127="3/24",AM127&gt;0.5),(AM127*2*база!$M$4*Таблица14[[#This Row],[коэф]]),
IF(AND(G127="5/16",AM127&gt;0.5),(AM127*2*база!$L$6*Таблица14[[#This Row],[коэф]]),
IF(AND(G127="4/16",AM127&gt;0.5),(AM127*2*база!$L$5*Таблица14[[#This Row],[коэф]]),
IF(AND(G127="3/16",AM127&gt;0.5),(AM127*2*база!$L$4*Таблица14[[#This Row],[коэф]]),
IF(AND(G127="4/4",AM127&gt;0.5),(AM127*2*база!$I$5*Таблица14[[#This Row],[коэф]]),
IF(OR(AND(G127="3/4",AM127&gt;0.5),AND(G127="2/4",AM127&gt;0.5)),(AM127*2*база!$I$4*Таблица14[[#This Row],[коэф]]),
IF(AND(G127="5/8",AM127&gt;0.5),(AM127*2*база!$J$6*Таблица14[[#This Row],[коэф]]),
IF(AND(G127="4/8",AM127&gt;0.5),(AM127*2*база!$J$5*Таблица14[[#This Row],[коэф]]),
IF(OR(AND(G127="3/8",AM127&gt;0.5),AND(G127="2/8",AM127&gt;0.5)),(AM127*2*база!$J$4*Таблица14[[#This Row],[коэф]]),
(AM127*0.5*база!$L$4*Таблица14[[#This Row],[коэф]]))))))))))))),
(IF(AND(G127="5/24",AM127&gt;0.5),(AM127*2*база!$M$6*Таблица14[[#This Row],[коэф]]),
IF(OR(AND(G127="4/24",AM127&gt;0.5),AND(G127="3/24",AM127&gt;0.5)),(AM127*2*база!$M$5*Таблица14[[#This Row],[коэф]]),
IF(AND(G127="5/16",AM127&gt;0.5),(AM127*2*база!$L$6*Таблица14[[#This Row],[коэф]]),
IF(OR(AND(G127="4/16",AM127&gt;0.5),AND(G127="3/16",AM127&gt;0.5)),(AM127*2*база!$L$5*Таблица14[[#This Row],[коэф]]),
IF(OR(AND(G127="4/4",AM127&gt;0.5),AND(G127="3/4",AM127&gt;2)),(AM127*2*база!$I$5*Таблица14[[#This Row],[коэф]]),
IF(AND(G127="5/8",AM127&gt;0.5),(AM127*2*база!$J$6*Таблица14[[#This Row],[коэф]]),
IF(AND(G127="4/8",AM127&gt;0.5),(AM127*2*база!$J$5*Таблица14[[#This Row],[коэф]]),
IF(OR(AND(G127="3/8",AM127&gt;0.5),AND(G127="2/8",AM127&gt;0.5)),(AM127*2*база!$J$4*Таблица14[[#This Row],[коэф]]),
(AM127*2*база!$L$5*Таблица14[[#This Row],[коэф]])))))))))))</f>
        <v>0</v>
      </c>
      <c r="AO127" s="122" t="str">
        <f>IFERROR(INDEX(база!$D$2:$D$120, MATCH(Таблица14[[#This Row],[Ф. И. О.]],база!$B$2:$B$100,0)),"")</f>
        <v/>
      </c>
    </row>
    <row r="128" spans="1:41" s="46" customFormat="1">
      <c r="A128" s="207" t="str">
        <f t="shared" si="4"/>
        <v>январь</v>
      </c>
      <c r="B128" s="240">
        <v>2024</v>
      </c>
      <c r="C128" s="572"/>
      <c r="D128" s="214"/>
      <c r="E128" s="241"/>
      <c r="F128" s="713"/>
      <c r="G128" s="242"/>
      <c r="H128" s="215"/>
      <c r="I128" s="215"/>
      <c r="J128" s="215"/>
      <c r="K128" s="215"/>
      <c r="L128" s="215"/>
      <c r="M128" s="215"/>
      <c r="N128" s="215"/>
      <c r="O128" s="215"/>
      <c r="P128" s="215"/>
      <c r="Q128" s="215"/>
      <c r="R128" s="215"/>
      <c r="S128" s="215"/>
      <c r="T128" s="215"/>
      <c r="U128" s="215"/>
      <c r="V128" s="215"/>
      <c r="W128" s="215"/>
      <c r="X128" s="215"/>
      <c r="Y128" s="215"/>
      <c r="Z128" s="215"/>
      <c r="AA128" s="215"/>
      <c r="AB128" s="215"/>
      <c r="AC128" s="215"/>
      <c r="AD128" s="215"/>
      <c r="AE128" s="215"/>
      <c r="AF128" s="215"/>
      <c r="AG128" s="215"/>
      <c r="AH128" s="215"/>
      <c r="AI128" s="215"/>
      <c r="AJ128" s="215"/>
      <c r="AK128" s="215"/>
      <c r="AL128" s="215"/>
      <c r="AM128" s="121">
        <f t="shared" si="2"/>
        <v>0</v>
      </c>
      <c r="AN128" s="564">
        <f>IF(AO128&lt;=3,(IF(AND(G128="5/24",AM128&gt;0.5),(AM128*2*база!$M$6*Таблица14[[#This Row],[коэф]]),
IF(AND(G128="4/24",AM128&gt;0.5),(AM128*2*база!$M$5*Таблица14[[#This Row],[коэф]]),
IF(AND(G128="3/24",AM128&gt;0.5),(AM128*2*база!$M$4*Таблица14[[#This Row],[коэф]]),
IF(AND(G128="5/16",AM128&gt;0.5),(AM128*2*база!$L$6*Таблица14[[#This Row],[коэф]]),
IF(AND(G128="4/16",AM128&gt;0.5),(AM128*2*база!$L$5*Таблица14[[#This Row],[коэф]]),
IF(AND(G128="3/16",AM128&gt;0.5),(AM128*2*база!$L$4*Таблица14[[#This Row],[коэф]]),
IF(AND(G128="4/4",AM128&gt;0.5),(AM128*2*база!$I$5*Таблица14[[#This Row],[коэф]]),
IF(OR(AND(G128="3/4",AM128&gt;0.5),AND(G128="2/4",AM128&gt;0.5)),(AM128*2*база!$I$4*Таблица14[[#This Row],[коэф]]),
IF(AND(G128="5/8",AM128&gt;0.5),(AM128*2*база!$J$6*Таблица14[[#This Row],[коэф]]),
IF(AND(G128="4/8",AM128&gt;0.5),(AM128*2*база!$J$5*Таблица14[[#This Row],[коэф]]),
IF(OR(AND(G128="3/8",AM128&gt;0.5),AND(G128="2/8",AM128&gt;0.5)),(AM128*2*база!$J$4*Таблица14[[#This Row],[коэф]]),
(AM128*0.5*база!$L$4*Таблица14[[#This Row],[коэф]]))))))))))))),
(IF(AND(G128="5/24",AM128&gt;0.5),(AM128*2*база!$M$6*Таблица14[[#This Row],[коэф]]),
IF(OR(AND(G128="4/24",AM128&gt;0.5),AND(G128="3/24",AM128&gt;0.5)),(AM128*2*база!$M$5*Таблица14[[#This Row],[коэф]]),
IF(AND(G128="5/16",AM128&gt;0.5),(AM128*2*база!$L$6*Таблица14[[#This Row],[коэф]]),
IF(OR(AND(G128="4/16",AM128&gt;0.5),AND(G128="3/16",AM128&gt;0.5)),(AM128*2*база!$L$5*Таблица14[[#This Row],[коэф]]),
IF(OR(AND(G128="4/4",AM128&gt;0.5),AND(G128="3/4",AM128&gt;2)),(AM128*2*база!$I$5*Таблица14[[#This Row],[коэф]]),
IF(AND(G128="5/8",AM128&gt;0.5),(AM128*2*база!$J$6*Таблица14[[#This Row],[коэф]]),
IF(AND(G128="4/8",AM128&gt;0.5),(AM128*2*база!$J$5*Таблица14[[#This Row],[коэф]]),
IF(OR(AND(G128="3/8",AM128&gt;0.5),AND(G128="2/8",AM128&gt;0.5)),(AM128*2*база!$J$4*Таблица14[[#This Row],[коэф]]),
(AM128*2*база!$L$5*Таблица14[[#This Row],[коэф]])))))))))))</f>
        <v>0</v>
      </c>
      <c r="AO128" s="122" t="str">
        <f>IFERROR(INDEX(база!$D$2:$D$120, MATCH(Таблица14[[#This Row],[Ф. И. О.]],база!$B$2:$B$100,0)),"")</f>
        <v/>
      </c>
    </row>
    <row r="129" spans="1:41" s="46" customFormat="1">
      <c r="A129" s="207" t="str">
        <f t="shared" si="4"/>
        <v>январь</v>
      </c>
      <c r="B129" s="204">
        <v>2024</v>
      </c>
      <c r="C129" s="572"/>
      <c r="D129" s="214"/>
      <c r="E129" s="243"/>
      <c r="F129" s="713"/>
      <c r="G129" s="206"/>
      <c r="H129" s="215"/>
      <c r="I129" s="215"/>
      <c r="J129" s="215"/>
      <c r="K129" s="215"/>
      <c r="L129" s="215"/>
      <c r="M129" s="215"/>
      <c r="N129" s="215"/>
      <c r="O129" s="215"/>
      <c r="P129" s="215"/>
      <c r="Q129" s="215"/>
      <c r="R129" s="215"/>
      <c r="S129" s="215"/>
      <c r="T129" s="215"/>
      <c r="U129" s="215"/>
      <c r="V129" s="215"/>
      <c r="W129" s="215"/>
      <c r="X129" s="215"/>
      <c r="Y129" s="215"/>
      <c r="Z129" s="215"/>
      <c r="AA129" s="215"/>
      <c r="AB129" s="215"/>
      <c r="AC129" s="215"/>
      <c r="AD129" s="215"/>
      <c r="AE129" s="215"/>
      <c r="AF129" s="215"/>
      <c r="AG129" s="215"/>
      <c r="AH129" s="215"/>
      <c r="AI129" s="215"/>
      <c r="AJ129" s="215"/>
      <c r="AK129" s="215"/>
      <c r="AL129" s="215"/>
      <c r="AM129" s="121">
        <f t="shared" si="2"/>
        <v>0</v>
      </c>
      <c r="AN129" s="564">
        <f>IF(AO129&lt;=3,(IF(AND(G129="5/24",AM129&gt;0.5),(AM129*2*база!$M$6*Таблица14[[#This Row],[коэф]]),
IF(AND(G129="4/24",AM129&gt;0.5),(AM129*2*база!$M$5*Таблица14[[#This Row],[коэф]]),
IF(AND(G129="3/24",AM129&gt;0.5),(AM129*2*база!$M$4*Таблица14[[#This Row],[коэф]]),
IF(AND(G129="5/16",AM129&gt;0.5),(AM129*2*база!$L$6*Таблица14[[#This Row],[коэф]]),
IF(AND(G129="4/16",AM129&gt;0.5),(AM129*2*база!$L$5*Таблица14[[#This Row],[коэф]]),
IF(AND(G129="3/16",AM129&gt;0.5),(AM129*2*база!$L$4*Таблица14[[#This Row],[коэф]]),
IF(AND(G129="4/4",AM129&gt;0.5),(AM129*2*база!$I$5*Таблица14[[#This Row],[коэф]]),
IF(OR(AND(G129="3/4",AM129&gt;0.5),AND(G129="2/4",AM129&gt;0.5)),(AM129*2*база!$I$4*Таблица14[[#This Row],[коэф]]),
IF(AND(G129="5/8",AM129&gt;0.5),(AM129*2*база!$J$6*Таблица14[[#This Row],[коэф]]),
IF(AND(G129="4/8",AM129&gt;0.5),(AM129*2*база!$J$5*Таблица14[[#This Row],[коэф]]),
IF(OR(AND(G129="3/8",AM129&gt;0.5),AND(G129="2/8",AM129&gt;0.5)),(AM129*2*база!$J$4*Таблица14[[#This Row],[коэф]]),
(AM129*0.5*база!$L$4*Таблица14[[#This Row],[коэф]]))))))))))))),
(IF(AND(G129="5/24",AM129&gt;0.5),(AM129*2*база!$M$6*Таблица14[[#This Row],[коэф]]),
IF(OR(AND(G129="4/24",AM129&gt;0.5),AND(G129="3/24",AM129&gt;0.5)),(AM129*2*база!$M$5*Таблица14[[#This Row],[коэф]]),
IF(AND(G129="5/16",AM129&gt;0.5),(AM129*2*база!$L$6*Таблица14[[#This Row],[коэф]]),
IF(OR(AND(G129="4/16",AM129&gt;0.5),AND(G129="3/16",AM129&gt;0.5)),(AM129*2*база!$L$5*Таблица14[[#This Row],[коэф]]),
IF(OR(AND(G129="4/4",AM129&gt;0.5),AND(G129="3/4",AM129&gt;2)),(AM129*2*база!$I$5*Таблица14[[#This Row],[коэф]]),
IF(AND(G129="5/8",AM129&gt;0.5),(AM129*2*база!$J$6*Таблица14[[#This Row],[коэф]]),
IF(AND(G129="4/8",AM129&gt;0.5),(AM129*2*база!$J$5*Таблица14[[#This Row],[коэф]]),
IF(OR(AND(G129="3/8",AM129&gt;0.5),AND(G129="2/8",AM129&gt;0.5)),(AM129*2*база!$J$4*Таблица14[[#This Row],[коэф]]),
(AM129*2*база!$L$5*Таблица14[[#This Row],[коэф]])))))))))))</f>
        <v>0</v>
      </c>
      <c r="AO129" s="122" t="str">
        <f>IFERROR(INDEX(база!$D$2:$D$120, MATCH(Таблица14[[#This Row],[Ф. И. О.]],база!$B$2:$B$100,0)),"")</f>
        <v/>
      </c>
    </row>
    <row r="130" spans="1:41" s="46" customFormat="1">
      <c r="A130" s="207" t="str">
        <f t="shared" si="4"/>
        <v>январь</v>
      </c>
      <c r="B130" s="240">
        <v>2024</v>
      </c>
      <c r="C130" s="572"/>
      <c r="D130" s="214"/>
      <c r="E130" s="241"/>
      <c r="F130" s="713"/>
      <c r="G130" s="242"/>
      <c r="H130" s="215"/>
      <c r="I130" s="215"/>
      <c r="J130" s="215"/>
      <c r="K130" s="215"/>
      <c r="L130" s="215"/>
      <c r="M130" s="215"/>
      <c r="N130" s="215"/>
      <c r="O130" s="215"/>
      <c r="P130" s="215"/>
      <c r="Q130" s="215"/>
      <c r="R130" s="215"/>
      <c r="S130" s="215"/>
      <c r="T130" s="215"/>
      <c r="U130" s="215"/>
      <c r="V130" s="215"/>
      <c r="W130" s="215"/>
      <c r="X130" s="215"/>
      <c r="Y130" s="215"/>
      <c r="Z130" s="215"/>
      <c r="AA130" s="215"/>
      <c r="AB130" s="215"/>
      <c r="AC130" s="215"/>
      <c r="AD130" s="215"/>
      <c r="AE130" s="215"/>
      <c r="AF130" s="215"/>
      <c r="AG130" s="215"/>
      <c r="AH130" s="215"/>
      <c r="AI130" s="215"/>
      <c r="AJ130" s="215"/>
      <c r="AK130" s="215"/>
      <c r="AL130" s="215"/>
      <c r="AM130" s="121">
        <f t="shared" si="2"/>
        <v>0</v>
      </c>
      <c r="AN130" s="564">
        <f>IF(AO130&lt;=3,(IF(AND(G130="5/24",AM130&gt;0.5),(AM130*2*база!$M$6*Таблица14[[#This Row],[коэф]]),
IF(AND(G130="4/24",AM130&gt;0.5),(AM130*2*база!$M$5*Таблица14[[#This Row],[коэф]]),
IF(AND(G130="3/24",AM130&gt;0.5),(AM130*2*база!$M$4*Таблица14[[#This Row],[коэф]]),
IF(AND(G130="5/16",AM130&gt;0.5),(AM130*2*база!$L$6*Таблица14[[#This Row],[коэф]]),
IF(AND(G130="4/16",AM130&gt;0.5),(AM130*2*база!$L$5*Таблица14[[#This Row],[коэф]]),
IF(AND(G130="3/16",AM130&gt;0.5),(AM130*2*база!$L$4*Таблица14[[#This Row],[коэф]]),
IF(AND(G130="4/4",AM130&gt;0.5),(AM130*2*база!$I$5*Таблица14[[#This Row],[коэф]]),
IF(OR(AND(G130="3/4",AM130&gt;0.5),AND(G130="2/4",AM130&gt;0.5)),(AM130*2*база!$I$4*Таблица14[[#This Row],[коэф]]),
IF(AND(G130="5/8",AM130&gt;0.5),(AM130*2*база!$J$6*Таблица14[[#This Row],[коэф]]),
IF(AND(G130="4/8",AM130&gt;0.5),(AM130*2*база!$J$5*Таблица14[[#This Row],[коэф]]),
IF(OR(AND(G130="3/8",AM130&gt;0.5),AND(G130="2/8",AM130&gt;0.5)),(AM130*2*база!$J$4*Таблица14[[#This Row],[коэф]]),
(AM130*0.5*база!$L$4*Таблица14[[#This Row],[коэф]]))))))))))))),
(IF(AND(G130="5/24",AM130&gt;0.5),(AM130*2*база!$M$6*Таблица14[[#This Row],[коэф]]),
IF(OR(AND(G130="4/24",AM130&gt;0.5),AND(G130="3/24",AM130&gt;0.5)),(AM130*2*база!$M$5*Таблица14[[#This Row],[коэф]]),
IF(AND(G130="5/16",AM130&gt;0.5),(AM130*2*база!$L$6*Таблица14[[#This Row],[коэф]]),
IF(OR(AND(G130="4/16",AM130&gt;0.5),AND(G130="3/16",AM130&gt;0.5)),(AM130*2*база!$L$5*Таблица14[[#This Row],[коэф]]),
IF(OR(AND(G130="4/4",AM130&gt;0.5),AND(G130="3/4",AM130&gt;2)),(AM130*2*база!$I$5*Таблица14[[#This Row],[коэф]]),
IF(AND(G130="5/8",AM130&gt;0.5),(AM130*2*база!$J$6*Таблица14[[#This Row],[коэф]]),
IF(AND(G130="4/8",AM130&gt;0.5),(AM130*2*база!$J$5*Таблица14[[#This Row],[коэф]]),
IF(OR(AND(G130="3/8",AM130&gt;0.5),AND(G130="2/8",AM130&gt;0.5)),(AM130*2*база!$J$4*Таблица14[[#This Row],[коэф]]),
(AM130*2*база!$L$5*Таблица14[[#This Row],[коэф]])))))))))))</f>
        <v>0</v>
      </c>
      <c r="AO130" s="122" t="str">
        <f>IFERROR(INDEX(база!$D$2:$D$120, MATCH(Таблица14[[#This Row],[Ф. И. О.]],база!$B$2:$B$100,0)),"")</f>
        <v/>
      </c>
    </row>
    <row r="131" spans="1:41" s="46" customFormat="1">
      <c r="A131" s="207" t="str">
        <f t="shared" si="4"/>
        <v>январь</v>
      </c>
      <c r="B131" s="204">
        <v>2024</v>
      </c>
      <c r="C131" s="572"/>
      <c r="D131" s="214"/>
      <c r="E131" s="243"/>
      <c r="F131" s="713"/>
      <c r="G131" s="206"/>
      <c r="H131" s="215"/>
      <c r="I131" s="215"/>
      <c r="J131" s="215"/>
      <c r="K131" s="215"/>
      <c r="L131" s="215"/>
      <c r="M131" s="215"/>
      <c r="N131" s="215"/>
      <c r="O131" s="215"/>
      <c r="P131" s="215"/>
      <c r="Q131" s="215"/>
      <c r="R131" s="215"/>
      <c r="S131" s="215"/>
      <c r="T131" s="215"/>
      <c r="U131" s="215"/>
      <c r="V131" s="215"/>
      <c r="W131" s="215"/>
      <c r="X131" s="215"/>
      <c r="Y131" s="215"/>
      <c r="Z131" s="215"/>
      <c r="AA131" s="215"/>
      <c r="AB131" s="215"/>
      <c r="AC131" s="215"/>
      <c r="AD131" s="215"/>
      <c r="AE131" s="215"/>
      <c r="AF131" s="215"/>
      <c r="AG131" s="215"/>
      <c r="AH131" s="215"/>
      <c r="AI131" s="215"/>
      <c r="AJ131" s="215"/>
      <c r="AK131" s="215"/>
      <c r="AL131" s="215"/>
      <c r="AM131" s="121">
        <f t="shared" si="2"/>
        <v>0</v>
      </c>
      <c r="AN131" s="564">
        <f>IF(AO131&lt;=3,(IF(AND(G131="5/24",AM131&gt;0.5),(AM131*2*база!$M$6*Таблица14[[#This Row],[коэф]]),
IF(AND(G131="4/24",AM131&gt;0.5),(AM131*2*база!$M$5*Таблица14[[#This Row],[коэф]]),
IF(AND(G131="3/24",AM131&gt;0.5),(AM131*2*база!$M$4*Таблица14[[#This Row],[коэф]]),
IF(AND(G131="5/16",AM131&gt;0.5),(AM131*2*база!$L$6*Таблица14[[#This Row],[коэф]]),
IF(AND(G131="4/16",AM131&gt;0.5),(AM131*2*база!$L$5*Таблица14[[#This Row],[коэф]]),
IF(AND(G131="3/16",AM131&gt;0.5),(AM131*2*база!$L$4*Таблица14[[#This Row],[коэф]]),
IF(AND(G131="4/4",AM131&gt;0.5),(AM131*2*база!$I$5*Таблица14[[#This Row],[коэф]]),
IF(OR(AND(G131="3/4",AM131&gt;0.5),AND(G131="2/4",AM131&gt;0.5)),(AM131*2*база!$I$4*Таблица14[[#This Row],[коэф]]),
IF(AND(G131="5/8",AM131&gt;0.5),(AM131*2*база!$J$6*Таблица14[[#This Row],[коэф]]),
IF(AND(G131="4/8",AM131&gt;0.5),(AM131*2*база!$J$5*Таблица14[[#This Row],[коэф]]),
IF(OR(AND(G131="3/8",AM131&gt;0.5),AND(G131="2/8",AM131&gt;0.5)),(AM131*2*база!$J$4*Таблица14[[#This Row],[коэф]]),
(AM131*0.5*база!$L$4*Таблица14[[#This Row],[коэф]]))))))))))))),
(IF(AND(G131="5/24",AM131&gt;0.5),(AM131*2*база!$M$6*Таблица14[[#This Row],[коэф]]),
IF(OR(AND(G131="4/24",AM131&gt;0.5),AND(G131="3/24",AM131&gt;0.5)),(AM131*2*база!$M$5*Таблица14[[#This Row],[коэф]]),
IF(AND(G131="5/16",AM131&gt;0.5),(AM131*2*база!$L$6*Таблица14[[#This Row],[коэф]]),
IF(OR(AND(G131="4/16",AM131&gt;0.5),AND(G131="3/16",AM131&gt;0.5)),(AM131*2*база!$L$5*Таблица14[[#This Row],[коэф]]),
IF(OR(AND(G131="4/4",AM131&gt;0.5),AND(G131="3/4",AM131&gt;2)),(AM131*2*база!$I$5*Таблица14[[#This Row],[коэф]]),
IF(AND(G131="5/8",AM131&gt;0.5),(AM131*2*база!$J$6*Таблица14[[#This Row],[коэф]]),
IF(AND(G131="4/8",AM131&gt;0.5),(AM131*2*база!$J$5*Таблица14[[#This Row],[коэф]]),
IF(OR(AND(G131="3/8",AM131&gt;0.5),AND(G131="2/8",AM131&gt;0.5)),(AM131*2*база!$J$4*Таблица14[[#This Row],[коэф]]),
(AM131*2*база!$L$5*Таблица14[[#This Row],[коэф]])))))))))))</f>
        <v>0</v>
      </c>
      <c r="AO131" s="122" t="str">
        <f>IFERROR(INDEX(база!$D$2:$D$120, MATCH(Таблица14[[#This Row],[Ф. И. О.]],база!$B$2:$B$100,0)),"")</f>
        <v/>
      </c>
    </row>
    <row r="132" spans="1:41" s="46" customFormat="1">
      <c r="A132" s="207" t="str">
        <f t="shared" si="4"/>
        <v>январь</v>
      </c>
      <c r="B132" s="240">
        <v>2024</v>
      </c>
      <c r="C132" s="572"/>
      <c r="D132" s="214"/>
      <c r="E132" s="241"/>
      <c r="F132" s="713"/>
      <c r="G132" s="242"/>
      <c r="H132" s="215"/>
      <c r="I132" s="215"/>
      <c r="J132" s="215"/>
      <c r="K132" s="215"/>
      <c r="L132" s="215"/>
      <c r="M132" s="215"/>
      <c r="N132" s="215"/>
      <c r="O132" s="215"/>
      <c r="P132" s="215"/>
      <c r="Q132" s="215"/>
      <c r="R132" s="215"/>
      <c r="S132" s="215"/>
      <c r="T132" s="215"/>
      <c r="U132" s="215"/>
      <c r="V132" s="215"/>
      <c r="W132" s="215"/>
      <c r="X132" s="215"/>
      <c r="Y132" s="215"/>
      <c r="Z132" s="215"/>
      <c r="AA132" s="215"/>
      <c r="AB132" s="215"/>
      <c r="AC132" s="215"/>
      <c r="AD132" s="215"/>
      <c r="AE132" s="215"/>
      <c r="AF132" s="215"/>
      <c r="AG132" s="215"/>
      <c r="AH132" s="215"/>
      <c r="AI132" s="215"/>
      <c r="AJ132" s="215"/>
      <c r="AK132" s="215"/>
      <c r="AL132" s="215"/>
      <c r="AM132" s="121">
        <f t="shared" ref="AM132:AM195" si="5">SUM(H132:AL132)</f>
        <v>0</v>
      </c>
      <c r="AN132" s="564">
        <f>IF(AO132&lt;=3,(IF(AND(G132="5/24",AM132&gt;0.5),(AM132*2*база!$M$6*Таблица14[[#This Row],[коэф]]),
IF(AND(G132="4/24",AM132&gt;0.5),(AM132*2*база!$M$5*Таблица14[[#This Row],[коэф]]),
IF(AND(G132="3/24",AM132&gt;0.5),(AM132*2*база!$M$4*Таблица14[[#This Row],[коэф]]),
IF(AND(G132="5/16",AM132&gt;0.5),(AM132*2*база!$L$6*Таблица14[[#This Row],[коэф]]),
IF(AND(G132="4/16",AM132&gt;0.5),(AM132*2*база!$L$5*Таблица14[[#This Row],[коэф]]),
IF(AND(G132="3/16",AM132&gt;0.5),(AM132*2*база!$L$4*Таблица14[[#This Row],[коэф]]),
IF(AND(G132="4/4",AM132&gt;0.5),(AM132*2*база!$I$5*Таблица14[[#This Row],[коэф]]),
IF(OR(AND(G132="3/4",AM132&gt;0.5),AND(G132="2/4",AM132&gt;0.5)),(AM132*2*база!$I$4*Таблица14[[#This Row],[коэф]]),
IF(AND(G132="5/8",AM132&gt;0.5),(AM132*2*база!$J$6*Таблица14[[#This Row],[коэф]]),
IF(AND(G132="4/8",AM132&gt;0.5),(AM132*2*база!$J$5*Таблица14[[#This Row],[коэф]]),
IF(OR(AND(G132="3/8",AM132&gt;0.5),AND(G132="2/8",AM132&gt;0.5)),(AM132*2*база!$J$4*Таблица14[[#This Row],[коэф]]),
(AM132*0.5*база!$L$4*Таблица14[[#This Row],[коэф]]))))))))))))),
(IF(AND(G132="5/24",AM132&gt;0.5),(AM132*2*база!$M$6*Таблица14[[#This Row],[коэф]]),
IF(OR(AND(G132="4/24",AM132&gt;0.5),AND(G132="3/24",AM132&gt;0.5)),(AM132*2*база!$M$5*Таблица14[[#This Row],[коэф]]),
IF(AND(G132="5/16",AM132&gt;0.5),(AM132*2*база!$L$6*Таблица14[[#This Row],[коэф]]),
IF(OR(AND(G132="4/16",AM132&gt;0.5),AND(G132="3/16",AM132&gt;0.5)),(AM132*2*база!$L$5*Таблица14[[#This Row],[коэф]]),
IF(OR(AND(G132="4/4",AM132&gt;0.5),AND(G132="3/4",AM132&gt;2)),(AM132*2*база!$I$5*Таблица14[[#This Row],[коэф]]),
IF(AND(G132="5/8",AM132&gt;0.5),(AM132*2*база!$J$6*Таблица14[[#This Row],[коэф]]),
IF(AND(G132="4/8",AM132&gt;0.5),(AM132*2*база!$J$5*Таблица14[[#This Row],[коэф]]),
IF(OR(AND(G132="3/8",AM132&gt;0.5),AND(G132="2/8",AM132&gt;0.5)),(AM132*2*база!$J$4*Таблица14[[#This Row],[коэф]]),
(AM132*2*база!$L$5*Таблица14[[#This Row],[коэф]])))))))))))</f>
        <v>0</v>
      </c>
      <c r="AO132" s="122" t="str">
        <f>IFERROR(INDEX(база!$D$2:$D$120, MATCH(Таблица14[[#This Row],[Ф. И. О.]],база!$B$2:$B$100,0)),"")</f>
        <v/>
      </c>
    </row>
    <row r="133" spans="1:41" s="46" customFormat="1">
      <c r="A133" s="207" t="str">
        <f t="shared" si="4"/>
        <v>январь</v>
      </c>
      <c r="B133" s="204">
        <v>2024</v>
      </c>
      <c r="C133" s="572"/>
      <c r="D133" s="214"/>
      <c r="E133" s="243"/>
      <c r="F133" s="713"/>
      <c r="G133" s="206"/>
      <c r="H133" s="215"/>
      <c r="I133" s="215"/>
      <c r="J133" s="215"/>
      <c r="K133" s="215"/>
      <c r="L133" s="215"/>
      <c r="M133" s="215"/>
      <c r="N133" s="215"/>
      <c r="O133" s="215"/>
      <c r="P133" s="215"/>
      <c r="Q133" s="215"/>
      <c r="R133" s="215"/>
      <c r="S133" s="215"/>
      <c r="T133" s="215"/>
      <c r="U133" s="215"/>
      <c r="V133" s="215"/>
      <c r="W133" s="215"/>
      <c r="X133" s="215"/>
      <c r="Y133" s="215"/>
      <c r="Z133" s="215"/>
      <c r="AA133" s="215"/>
      <c r="AB133" s="215"/>
      <c r="AC133" s="215"/>
      <c r="AD133" s="215"/>
      <c r="AE133" s="215"/>
      <c r="AF133" s="215"/>
      <c r="AG133" s="215"/>
      <c r="AH133" s="215"/>
      <c r="AI133" s="215"/>
      <c r="AJ133" s="215"/>
      <c r="AK133" s="215"/>
      <c r="AL133" s="215"/>
      <c r="AM133" s="121">
        <f t="shared" si="5"/>
        <v>0</v>
      </c>
      <c r="AN133" s="564">
        <f>IF(AO133&lt;=3,(IF(AND(G133="5/24",AM133&gt;0.5),(AM133*2*база!$M$6*Таблица14[[#This Row],[коэф]]),
IF(AND(G133="4/24",AM133&gt;0.5),(AM133*2*база!$M$5*Таблица14[[#This Row],[коэф]]),
IF(AND(G133="3/24",AM133&gt;0.5),(AM133*2*база!$M$4*Таблица14[[#This Row],[коэф]]),
IF(AND(G133="5/16",AM133&gt;0.5),(AM133*2*база!$L$6*Таблица14[[#This Row],[коэф]]),
IF(AND(G133="4/16",AM133&gt;0.5),(AM133*2*база!$L$5*Таблица14[[#This Row],[коэф]]),
IF(AND(G133="3/16",AM133&gt;0.5),(AM133*2*база!$L$4*Таблица14[[#This Row],[коэф]]),
IF(AND(G133="4/4",AM133&gt;0.5),(AM133*2*база!$I$5*Таблица14[[#This Row],[коэф]]),
IF(OR(AND(G133="3/4",AM133&gt;0.5),AND(G133="2/4",AM133&gt;0.5)),(AM133*2*база!$I$4*Таблица14[[#This Row],[коэф]]),
IF(AND(G133="5/8",AM133&gt;0.5),(AM133*2*база!$J$6*Таблица14[[#This Row],[коэф]]),
IF(AND(G133="4/8",AM133&gt;0.5),(AM133*2*база!$J$5*Таблица14[[#This Row],[коэф]]),
IF(OR(AND(G133="3/8",AM133&gt;0.5),AND(G133="2/8",AM133&gt;0.5)),(AM133*2*база!$J$4*Таблица14[[#This Row],[коэф]]),
(AM133*0.5*база!$L$4*Таблица14[[#This Row],[коэф]]))))))))))))),
(IF(AND(G133="5/24",AM133&gt;0.5),(AM133*2*база!$M$6*Таблица14[[#This Row],[коэф]]),
IF(OR(AND(G133="4/24",AM133&gt;0.5),AND(G133="3/24",AM133&gt;0.5)),(AM133*2*база!$M$5*Таблица14[[#This Row],[коэф]]),
IF(AND(G133="5/16",AM133&gt;0.5),(AM133*2*база!$L$6*Таблица14[[#This Row],[коэф]]),
IF(OR(AND(G133="4/16",AM133&gt;0.5),AND(G133="3/16",AM133&gt;0.5)),(AM133*2*база!$L$5*Таблица14[[#This Row],[коэф]]),
IF(OR(AND(G133="4/4",AM133&gt;0.5),AND(G133="3/4",AM133&gt;2)),(AM133*2*база!$I$5*Таблица14[[#This Row],[коэф]]),
IF(AND(G133="5/8",AM133&gt;0.5),(AM133*2*база!$J$6*Таблица14[[#This Row],[коэф]]),
IF(AND(G133="4/8",AM133&gt;0.5),(AM133*2*база!$J$5*Таблица14[[#This Row],[коэф]]),
IF(OR(AND(G133="3/8",AM133&gt;0.5),AND(G133="2/8",AM133&gt;0.5)),(AM133*2*база!$J$4*Таблица14[[#This Row],[коэф]]),
(AM133*2*база!$L$5*Таблица14[[#This Row],[коэф]])))))))))))</f>
        <v>0</v>
      </c>
      <c r="AO133" s="122" t="str">
        <f>IFERROR(INDEX(база!$D$2:$D$120, MATCH(Таблица14[[#This Row],[Ф. И. О.]],база!$B$2:$B$100,0)),"")</f>
        <v/>
      </c>
    </row>
    <row r="134" spans="1:41" s="46" customFormat="1">
      <c r="A134" s="207" t="str">
        <f t="shared" si="4"/>
        <v>январь</v>
      </c>
      <c r="B134" s="240">
        <v>2024</v>
      </c>
      <c r="C134" s="572"/>
      <c r="D134" s="214"/>
      <c r="E134" s="241"/>
      <c r="F134" s="713"/>
      <c r="G134" s="242"/>
      <c r="H134" s="215"/>
      <c r="I134" s="215"/>
      <c r="J134" s="215"/>
      <c r="K134" s="215"/>
      <c r="L134" s="215"/>
      <c r="M134" s="215"/>
      <c r="N134" s="215"/>
      <c r="O134" s="215"/>
      <c r="P134" s="215"/>
      <c r="Q134" s="215"/>
      <c r="R134" s="215"/>
      <c r="S134" s="215"/>
      <c r="T134" s="215"/>
      <c r="U134" s="215"/>
      <c r="V134" s="215"/>
      <c r="W134" s="215"/>
      <c r="X134" s="215"/>
      <c r="Y134" s="215"/>
      <c r="Z134" s="215"/>
      <c r="AA134" s="215"/>
      <c r="AB134" s="215"/>
      <c r="AC134" s="215"/>
      <c r="AD134" s="215"/>
      <c r="AE134" s="215"/>
      <c r="AF134" s="215"/>
      <c r="AG134" s="215"/>
      <c r="AH134" s="215"/>
      <c r="AI134" s="215"/>
      <c r="AJ134" s="215"/>
      <c r="AK134" s="215"/>
      <c r="AL134" s="215"/>
      <c r="AM134" s="121">
        <f t="shared" si="5"/>
        <v>0</v>
      </c>
      <c r="AN134" s="564">
        <f>IF(AO134&lt;=3,(IF(AND(G134="5/24",AM134&gt;0.5),(AM134*2*база!$M$6*Таблица14[[#This Row],[коэф]]),
IF(AND(G134="4/24",AM134&gt;0.5),(AM134*2*база!$M$5*Таблица14[[#This Row],[коэф]]),
IF(AND(G134="3/24",AM134&gt;0.5),(AM134*2*база!$M$4*Таблица14[[#This Row],[коэф]]),
IF(AND(G134="5/16",AM134&gt;0.5),(AM134*2*база!$L$6*Таблица14[[#This Row],[коэф]]),
IF(AND(G134="4/16",AM134&gt;0.5),(AM134*2*база!$L$5*Таблица14[[#This Row],[коэф]]),
IF(AND(G134="3/16",AM134&gt;0.5),(AM134*2*база!$L$4*Таблица14[[#This Row],[коэф]]),
IF(AND(G134="4/4",AM134&gt;0.5),(AM134*2*база!$I$5*Таблица14[[#This Row],[коэф]]),
IF(OR(AND(G134="3/4",AM134&gt;0.5),AND(G134="2/4",AM134&gt;0.5)),(AM134*2*база!$I$4*Таблица14[[#This Row],[коэф]]),
IF(AND(G134="5/8",AM134&gt;0.5),(AM134*2*база!$J$6*Таблица14[[#This Row],[коэф]]),
IF(AND(G134="4/8",AM134&gt;0.5),(AM134*2*база!$J$5*Таблица14[[#This Row],[коэф]]),
IF(OR(AND(G134="3/8",AM134&gt;0.5),AND(G134="2/8",AM134&gt;0.5)),(AM134*2*база!$J$4*Таблица14[[#This Row],[коэф]]),
(AM134*0.5*база!$L$4*Таблица14[[#This Row],[коэф]]))))))))))))),
(IF(AND(G134="5/24",AM134&gt;0.5),(AM134*2*база!$M$6*Таблица14[[#This Row],[коэф]]),
IF(OR(AND(G134="4/24",AM134&gt;0.5),AND(G134="3/24",AM134&gt;0.5)),(AM134*2*база!$M$5*Таблица14[[#This Row],[коэф]]),
IF(AND(G134="5/16",AM134&gt;0.5),(AM134*2*база!$L$6*Таблица14[[#This Row],[коэф]]),
IF(OR(AND(G134="4/16",AM134&gt;0.5),AND(G134="3/16",AM134&gt;0.5)),(AM134*2*база!$L$5*Таблица14[[#This Row],[коэф]]),
IF(OR(AND(G134="4/4",AM134&gt;0.5),AND(G134="3/4",AM134&gt;2)),(AM134*2*база!$I$5*Таблица14[[#This Row],[коэф]]),
IF(AND(G134="5/8",AM134&gt;0.5),(AM134*2*база!$J$6*Таблица14[[#This Row],[коэф]]),
IF(AND(G134="4/8",AM134&gt;0.5),(AM134*2*база!$J$5*Таблица14[[#This Row],[коэф]]),
IF(OR(AND(G134="3/8",AM134&gt;0.5),AND(G134="2/8",AM134&gt;0.5)),(AM134*2*база!$J$4*Таблица14[[#This Row],[коэф]]),
(AM134*2*база!$L$5*Таблица14[[#This Row],[коэф]])))))))))))</f>
        <v>0</v>
      </c>
      <c r="AO134" s="122" t="str">
        <f>IFERROR(INDEX(база!$D$2:$D$120, MATCH(Таблица14[[#This Row],[Ф. И. О.]],база!$B$2:$B$100,0)),"")</f>
        <v/>
      </c>
    </row>
    <row r="135" spans="1:41" s="46" customFormat="1">
      <c r="A135" s="207" t="str">
        <f t="shared" si="4"/>
        <v>январь</v>
      </c>
      <c r="B135" s="204">
        <v>2024</v>
      </c>
      <c r="C135" s="572"/>
      <c r="D135" s="214"/>
      <c r="E135" s="243"/>
      <c r="F135" s="713"/>
      <c r="G135" s="206"/>
      <c r="H135" s="215"/>
      <c r="I135" s="215"/>
      <c r="J135" s="215"/>
      <c r="K135" s="215"/>
      <c r="L135" s="215"/>
      <c r="M135" s="215"/>
      <c r="N135" s="215"/>
      <c r="O135" s="215"/>
      <c r="P135" s="215"/>
      <c r="Q135" s="215"/>
      <c r="R135" s="215"/>
      <c r="S135" s="215"/>
      <c r="T135" s="215"/>
      <c r="U135" s="215"/>
      <c r="V135" s="215"/>
      <c r="W135" s="215"/>
      <c r="X135" s="215"/>
      <c r="Y135" s="215"/>
      <c r="Z135" s="215"/>
      <c r="AA135" s="215"/>
      <c r="AB135" s="215"/>
      <c r="AC135" s="215"/>
      <c r="AD135" s="215"/>
      <c r="AE135" s="215"/>
      <c r="AF135" s="215"/>
      <c r="AG135" s="215"/>
      <c r="AH135" s="215"/>
      <c r="AI135" s="215"/>
      <c r="AJ135" s="215"/>
      <c r="AK135" s="215"/>
      <c r="AL135" s="215"/>
      <c r="AM135" s="121">
        <f t="shared" si="5"/>
        <v>0</v>
      </c>
      <c r="AN135" s="564">
        <f>IF(AO135&lt;=3,(IF(AND(G135="5/24",AM135&gt;0.5),(AM135*2*база!$M$6*Таблица14[[#This Row],[коэф]]),
IF(AND(G135="4/24",AM135&gt;0.5),(AM135*2*база!$M$5*Таблица14[[#This Row],[коэф]]),
IF(AND(G135="3/24",AM135&gt;0.5),(AM135*2*база!$M$4*Таблица14[[#This Row],[коэф]]),
IF(AND(G135="5/16",AM135&gt;0.5),(AM135*2*база!$L$6*Таблица14[[#This Row],[коэф]]),
IF(AND(G135="4/16",AM135&gt;0.5),(AM135*2*база!$L$5*Таблица14[[#This Row],[коэф]]),
IF(AND(G135="3/16",AM135&gt;0.5),(AM135*2*база!$L$4*Таблица14[[#This Row],[коэф]]),
IF(AND(G135="4/4",AM135&gt;0.5),(AM135*2*база!$I$5*Таблица14[[#This Row],[коэф]]),
IF(OR(AND(G135="3/4",AM135&gt;0.5),AND(G135="2/4",AM135&gt;0.5)),(AM135*2*база!$I$4*Таблица14[[#This Row],[коэф]]),
IF(AND(G135="5/8",AM135&gt;0.5),(AM135*2*база!$J$6*Таблица14[[#This Row],[коэф]]),
IF(AND(G135="4/8",AM135&gt;0.5),(AM135*2*база!$J$5*Таблица14[[#This Row],[коэф]]),
IF(OR(AND(G135="3/8",AM135&gt;0.5),AND(G135="2/8",AM135&gt;0.5)),(AM135*2*база!$J$4*Таблица14[[#This Row],[коэф]]),
(AM135*0.5*база!$L$4*Таблица14[[#This Row],[коэф]]))))))))))))),
(IF(AND(G135="5/24",AM135&gt;0.5),(AM135*2*база!$M$6*Таблица14[[#This Row],[коэф]]),
IF(OR(AND(G135="4/24",AM135&gt;0.5),AND(G135="3/24",AM135&gt;0.5)),(AM135*2*база!$M$5*Таблица14[[#This Row],[коэф]]),
IF(AND(G135="5/16",AM135&gt;0.5),(AM135*2*база!$L$6*Таблица14[[#This Row],[коэф]]),
IF(OR(AND(G135="4/16",AM135&gt;0.5),AND(G135="3/16",AM135&gt;0.5)),(AM135*2*база!$L$5*Таблица14[[#This Row],[коэф]]),
IF(OR(AND(G135="4/4",AM135&gt;0.5),AND(G135="3/4",AM135&gt;2)),(AM135*2*база!$I$5*Таблица14[[#This Row],[коэф]]),
IF(AND(G135="5/8",AM135&gt;0.5),(AM135*2*база!$J$6*Таблица14[[#This Row],[коэф]]),
IF(AND(G135="4/8",AM135&gt;0.5),(AM135*2*база!$J$5*Таблица14[[#This Row],[коэф]]),
IF(OR(AND(G135="3/8",AM135&gt;0.5),AND(G135="2/8",AM135&gt;0.5)),(AM135*2*база!$J$4*Таблица14[[#This Row],[коэф]]),
(AM135*2*база!$L$5*Таблица14[[#This Row],[коэф]])))))))))))</f>
        <v>0</v>
      </c>
      <c r="AO135" s="122" t="str">
        <f>IFERROR(INDEX(база!$D$2:$D$120, MATCH(Таблица14[[#This Row],[Ф. И. О.]],база!$B$2:$B$100,0)),"")</f>
        <v/>
      </c>
    </row>
    <row r="136" spans="1:41" s="46" customFormat="1">
      <c r="A136" s="207" t="str">
        <f t="shared" si="4"/>
        <v>январь</v>
      </c>
      <c r="B136" s="240">
        <v>2024</v>
      </c>
      <c r="C136" s="572"/>
      <c r="D136" s="214"/>
      <c r="E136" s="241"/>
      <c r="F136" s="713"/>
      <c r="G136" s="242"/>
      <c r="H136" s="215"/>
      <c r="I136" s="215"/>
      <c r="J136" s="215"/>
      <c r="K136" s="215"/>
      <c r="L136" s="215"/>
      <c r="M136" s="215"/>
      <c r="N136" s="215"/>
      <c r="O136" s="215"/>
      <c r="P136" s="215"/>
      <c r="Q136" s="215"/>
      <c r="R136" s="215"/>
      <c r="S136" s="215"/>
      <c r="T136" s="215"/>
      <c r="U136" s="215"/>
      <c r="V136" s="215"/>
      <c r="W136" s="215"/>
      <c r="X136" s="215"/>
      <c r="Y136" s="215"/>
      <c r="Z136" s="215"/>
      <c r="AA136" s="215"/>
      <c r="AB136" s="215"/>
      <c r="AC136" s="215"/>
      <c r="AD136" s="215"/>
      <c r="AE136" s="215"/>
      <c r="AF136" s="215"/>
      <c r="AG136" s="215"/>
      <c r="AH136" s="215"/>
      <c r="AI136" s="215"/>
      <c r="AJ136" s="215"/>
      <c r="AK136" s="215"/>
      <c r="AL136" s="215"/>
      <c r="AM136" s="121">
        <f t="shared" si="5"/>
        <v>0</v>
      </c>
      <c r="AN136" s="564">
        <f>IF(AO136&lt;=3,(IF(AND(G136="5/24",AM136&gt;0.5),(AM136*2*база!$M$6*Таблица14[[#This Row],[коэф]]),
IF(AND(G136="4/24",AM136&gt;0.5),(AM136*2*база!$M$5*Таблица14[[#This Row],[коэф]]),
IF(AND(G136="3/24",AM136&gt;0.5),(AM136*2*база!$M$4*Таблица14[[#This Row],[коэф]]),
IF(AND(G136="5/16",AM136&gt;0.5),(AM136*2*база!$L$6*Таблица14[[#This Row],[коэф]]),
IF(AND(G136="4/16",AM136&gt;0.5),(AM136*2*база!$L$5*Таблица14[[#This Row],[коэф]]),
IF(AND(G136="3/16",AM136&gt;0.5),(AM136*2*база!$L$4*Таблица14[[#This Row],[коэф]]),
IF(AND(G136="4/4",AM136&gt;0.5),(AM136*2*база!$I$5*Таблица14[[#This Row],[коэф]]),
IF(OR(AND(G136="3/4",AM136&gt;0.5),AND(G136="2/4",AM136&gt;0.5)),(AM136*2*база!$I$4*Таблица14[[#This Row],[коэф]]),
IF(AND(G136="5/8",AM136&gt;0.5),(AM136*2*база!$J$6*Таблица14[[#This Row],[коэф]]),
IF(AND(G136="4/8",AM136&gt;0.5),(AM136*2*база!$J$5*Таблица14[[#This Row],[коэф]]),
IF(OR(AND(G136="3/8",AM136&gt;0.5),AND(G136="2/8",AM136&gt;0.5)),(AM136*2*база!$J$4*Таблица14[[#This Row],[коэф]]),
(AM136*0.5*база!$L$4*Таблица14[[#This Row],[коэф]]))))))))))))),
(IF(AND(G136="5/24",AM136&gt;0.5),(AM136*2*база!$M$6*Таблица14[[#This Row],[коэф]]),
IF(OR(AND(G136="4/24",AM136&gt;0.5),AND(G136="3/24",AM136&gt;0.5)),(AM136*2*база!$M$5*Таблица14[[#This Row],[коэф]]),
IF(AND(G136="5/16",AM136&gt;0.5),(AM136*2*база!$L$6*Таблица14[[#This Row],[коэф]]),
IF(OR(AND(G136="4/16",AM136&gt;0.5),AND(G136="3/16",AM136&gt;0.5)),(AM136*2*база!$L$5*Таблица14[[#This Row],[коэф]]),
IF(OR(AND(G136="4/4",AM136&gt;0.5),AND(G136="3/4",AM136&gt;2)),(AM136*2*база!$I$5*Таблица14[[#This Row],[коэф]]),
IF(AND(G136="5/8",AM136&gt;0.5),(AM136*2*база!$J$6*Таблица14[[#This Row],[коэф]]),
IF(AND(G136="4/8",AM136&gt;0.5),(AM136*2*база!$J$5*Таблица14[[#This Row],[коэф]]),
IF(OR(AND(G136="3/8",AM136&gt;0.5),AND(G136="2/8",AM136&gt;0.5)),(AM136*2*база!$J$4*Таблица14[[#This Row],[коэф]]),
(AM136*2*база!$L$5*Таблица14[[#This Row],[коэф]])))))))))))</f>
        <v>0</v>
      </c>
      <c r="AO136" s="122" t="str">
        <f>IFERROR(INDEX(база!$D$2:$D$120, MATCH(Таблица14[[#This Row],[Ф. И. О.]],база!$B$2:$B$100,0)),"")</f>
        <v/>
      </c>
    </row>
    <row r="137" spans="1:41" s="46" customFormat="1">
      <c r="A137" s="207" t="str">
        <f t="shared" si="4"/>
        <v>январь</v>
      </c>
      <c r="B137" s="204">
        <v>2024</v>
      </c>
      <c r="C137" s="572"/>
      <c r="D137" s="214"/>
      <c r="E137" s="243"/>
      <c r="F137" s="713"/>
      <c r="G137" s="206"/>
      <c r="H137" s="215"/>
      <c r="I137" s="215"/>
      <c r="J137" s="215"/>
      <c r="K137" s="215"/>
      <c r="L137" s="215"/>
      <c r="M137" s="215"/>
      <c r="N137" s="215"/>
      <c r="O137" s="215"/>
      <c r="P137" s="215"/>
      <c r="Q137" s="215"/>
      <c r="R137" s="215"/>
      <c r="S137" s="215"/>
      <c r="T137" s="215"/>
      <c r="U137" s="215"/>
      <c r="V137" s="215"/>
      <c r="W137" s="215"/>
      <c r="X137" s="215"/>
      <c r="Y137" s="215"/>
      <c r="Z137" s="215"/>
      <c r="AA137" s="215"/>
      <c r="AB137" s="215"/>
      <c r="AC137" s="215"/>
      <c r="AD137" s="215"/>
      <c r="AE137" s="215"/>
      <c r="AF137" s="215"/>
      <c r="AG137" s="215"/>
      <c r="AH137" s="215"/>
      <c r="AI137" s="215"/>
      <c r="AJ137" s="215"/>
      <c r="AK137" s="215"/>
      <c r="AL137" s="215"/>
      <c r="AM137" s="121">
        <f t="shared" si="5"/>
        <v>0</v>
      </c>
      <c r="AN137" s="564">
        <f>IF(AO137&lt;=3,(IF(AND(G137="5/24",AM137&gt;0.5),(AM137*2*база!$M$6*Таблица14[[#This Row],[коэф]]),
IF(AND(G137="4/24",AM137&gt;0.5),(AM137*2*база!$M$5*Таблица14[[#This Row],[коэф]]),
IF(AND(G137="3/24",AM137&gt;0.5),(AM137*2*база!$M$4*Таблица14[[#This Row],[коэф]]),
IF(AND(G137="5/16",AM137&gt;0.5),(AM137*2*база!$L$6*Таблица14[[#This Row],[коэф]]),
IF(AND(G137="4/16",AM137&gt;0.5),(AM137*2*база!$L$5*Таблица14[[#This Row],[коэф]]),
IF(AND(G137="3/16",AM137&gt;0.5),(AM137*2*база!$L$4*Таблица14[[#This Row],[коэф]]),
IF(AND(G137="4/4",AM137&gt;0.5),(AM137*2*база!$I$5*Таблица14[[#This Row],[коэф]]),
IF(OR(AND(G137="3/4",AM137&gt;0.5),AND(G137="2/4",AM137&gt;0.5)),(AM137*2*база!$I$4*Таблица14[[#This Row],[коэф]]),
IF(AND(G137="5/8",AM137&gt;0.5),(AM137*2*база!$J$6*Таблица14[[#This Row],[коэф]]),
IF(AND(G137="4/8",AM137&gt;0.5),(AM137*2*база!$J$5*Таблица14[[#This Row],[коэф]]),
IF(OR(AND(G137="3/8",AM137&gt;0.5),AND(G137="2/8",AM137&gt;0.5)),(AM137*2*база!$J$4*Таблица14[[#This Row],[коэф]]),
(AM137*0.5*база!$L$4*Таблица14[[#This Row],[коэф]]))))))))))))),
(IF(AND(G137="5/24",AM137&gt;0.5),(AM137*2*база!$M$6*Таблица14[[#This Row],[коэф]]),
IF(OR(AND(G137="4/24",AM137&gt;0.5),AND(G137="3/24",AM137&gt;0.5)),(AM137*2*база!$M$5*Таблица14[[#This Row],[коэф]]),
IF(AND(G137="5/16",AM137&gt;0.5),(AM137*2*база!$L$6*Таблица14[[#This Row],[коэф]]),
IF(OR(AND(G137="4/16",AM137&gt;0.5),AND(G137="3/16",AM137&gt;0.5)),(AM137*2*база!$L$5*Таблица14[[#This Row],[коэф]]),
IF(OR(AND(G137="4/4",AM137&gt;0.5),AND(G137="3/4",AM137&gt;2)),(AM137*2*база!$I$5*Таблица14[[#This Row],[коэф]]),
IF(AND(G137="5/8",AM137&gt;0.5),(AM137*2*база!$J$6*Таблица14[[#This Row],[коэф]]),
IF(AND(G137="4/8",AM137&gt;0.5),(AM137*2*база!$J$5*Таблица14[[#This Row],[коэф]]),
IF(OR(AND(G137="3/8",AM137&gt;0.5),AND(G137="2/8",AM137&gt;0.5)),(AM137*2*база!$J$4*Таблица14[[#This Row],[коэф]]),
(AM137*2*база!$L$5*Таблица14[[#This Row],[коэф]])))))))))))</f>
        <v>0</v>
      </c>
      <c r="AO137" s="122" t="str">
        <f>IFERROR(INDEX(база!$D$2:$D$120, MATCH(Таблица14[[#This Row],[Ф. И. О.]],база!$B$2:$B$100,0)),"")</f>
        <v/>
      </c>
    </row>
    <row r="138" spans="1:41" s="46" customFormat="1">
      <c r="A138" s="207" t="str">
        <f t="shared" si="4"/>
        <v>январь</v>
      </c>
      <c r="B138" s="240">
        <v>2024</v>
      </c>
      <c r="C138" s="572"/>
      <c r="D138" s="214"/>
      <c r="E138" s="241"/>
      <c r="F138" s="713"/>
      <c r="G138" s="242"/>
      <c r="H138" s="215"/>
      <c r="I138" s="215"/>
      <c r="J138" s="215"/>
      <c r="K138" s="215"/>
      <c r="L138" s="215"/>
      <c r="M138" s="215"/>
      <c r="N138" s="215"/>
      <c r="O138" s="215"/>
      <c r="P138" s="215"/>
      <c r="Q138" s="215"/>
      <c r="R138" s="215"/>
      <c r="S138" s="215"/>
      <c r="T138" s="215"/>
      <c r="U138" s="215"/>
      <c r="V138" s="215"/>
      <c r="W138" s="215"/>
      <c r="X138" s="215"/>
      <c r="Y138" s="215"/>
      <c r="Z138" s="215"/>
      <c r="AA138" s="215"/>
      <c r="AB138" s="215"/>
      <c r="AC138" s="215"/>
      <c r="AD138" s="215"/>
      <c r="AE138" s="215"/>
      <c r="AF138" s="215"/>
      <c r="AG138" s="215"/>
      <c r="AH138" s="215"/>
      <c r="AI138" s="215"/>
      <c r="AJ138" s="215"/>
      <c r="AK138" s="215"/>
      <c r="AL138" s="215"/>
      <c r="AM138" s="121">
        <f t="shared" si="5"/>
        <v>0</v>
      </c>
      <c r="AN138" s="564">
        <f>IF(AO138&lt;=3,(IF(AND(G138="5/24",AM138&gt;0.5),(AM138*2*база!$M$6*Таблица14[[#This Row],[коэф]]),
IF(AND(G138="4/24",AM138&gt;0.5),(AM138*2*база!$M$5*Таблица14[[#This Row],[коэф]]),
IF(AND(G138="3/24",AM138&gt;0.5),(AM138*2*база!$M$4*Таблица14[[#This Row],[коэф]]),
IF(AND(G138="5/16",AM138&gt;0.5),(AM138*2*база!$L$6*Таблица14[[#This Row],[коэф]]),
IF(AND(G138="4/16",AM138&gt;0.5),(AM138*2*база!$L$5*Таблица14[[#This Row],[коэф]]),
IF(AND(G138="3/16",AM138&gt;0.5),(AM138*2*база!$L$4*Таблица14[[#This Row],[коэф]]),
IF(AND(G138="4/4",AM138&gt;0.5),(AM138*2*база!$I$5*Таблица14[[#This Row],[коэф]]),
IF(OR(AND(G138="3/4",AM138&gt;0.5),AND(G138="2/4",AM138&gt;0.5)),(AM138*2*база!$I$4*Таблица14[[#This Row],[коэф]]),
IF(AND(G138="5/8",AM138&gt;0.5),(AM138*2*база!$J$6*Таблица14[[#This Row],[коэф]]),
IF(AND(G138="4/8",AM138&gt;0.5),(AM138*2*база!$J$5*Таблица14[[#This Row],[коэф]]),
IF(OR(AND(G138="3/8",AM138&gt;0.5),AND(G138="2/8",AM138&gt;0.5)),(AM138*2*база!$J$4*Таблица14[[#This Row],[коэф]]),
(AM138*0.5*база!$L$4*Таблица14[[#This Row],[коэф]]))))))))))))),
(IF(AND(G138="5/24",AM138&gt;0.5),(AM138*2*база!$M$6*Таблица14[[#This Row],[коэф]]),
IF(OR(AND(G138="4/24",AM138&gt;0.5),AND(G138="3/24",AM138&gt;0.5)),(AM138*2*база!$M$5*Таблица14[[#This Row],[коэф]]),
IF(AND(G138="5/16",AM138&gt;0.5),(AM138*2*база!$L$6*Таблица14[[#This Row],[коэф]]),
IF(OR(AND(G138="4/16",AM138&gt;0.5),AND(G138="3/16",AM138&gt;0.5)),(AM138*2*база!$L$5*Таблица14[[#This Row],[коэф]]),
IF(OR(AND(G138="4/4",AM138&gt;0.5),AND(G138="3/4",AM138&gt;2)),(AM138*2*база!$I$5*Таблица14[[#This Row],[коэф]]),
IF(AND(G138="5/8",AM138&gt;0.5),(AM138*2*база!$J$6*Таблица14[[#This Row],[коэф]]),
IF(AND(G138="4/8",AM138&gt;0.5),(AM138*2*база!$J$5*Таблица14[[#This Row],[коэф]]),
IF(OR(AND(G138="3/8",AM138&gt;0.5),AND(G138="2/8",AM138&gt;0.5)),(AM138*2*база!$J$4*Таблица14[[#This Row],[коэф]]),
(AM138*2*база!$L$5*Таблица14[[#This Row],[коэф]])))))))))))</f>
        <v>0</v>
      </c>
      <c r="AO138" s="122" t="str">
        <f>IFERROR(INDEX(база!$D$2:$D$120, MATCH(Таблица14[[#This Row],[Ф. И. О.]],база!$B$2:$B$100,0)),"")</f>
        <v/>
      </c>
    </row>
    <row r="139" spans="1:41" s="46" customFormat="1">
      <c r="A139" s="207" t="str">
        <f t="shared" si="4"/>
        <v>январь</v>
      </c>
      <c r="B139" s="204">
        <v>2024</v>
      </c>
      <c r="C139" s="572"/>
      <c r="D139" s="214"/>
      <c r="E139" s="243"/>
      <c r="F139" s="713"/>
      <c r="G139" s="206"/>
      <c r="H139" s="215"/>
      <c r="I139" s="215"/>
      <c r="J139" s="215"/>
      <c r="K139" s="215"/>
      <c r="L139" s="215"/>
      <c r="M139" s="215"/>
      <c r="N139" s="215"/>
      <c r="O139" s="215"/>
      <c r="P139" s="215"/>
      <c r="Q139" s="215"/>
      <c r="R139" s="215"/>
      <c r="S139" s="215"/>
      <c r="T139" s="215"/>
      <c r="U139" s="215"/>
      <c r="V139" s="215"/>
      <c r="W139" s="215"/>
      <c r="X139" s="215"/>
      <c r="Y139" s="215"/>
      <c r="Z139" s="215"/>
      <c r="AA139" s="215"/>
      <c r="AB139" s="215"/>
      <c r="AC139" s="215"/>
      <c r="AD139" s="215"/>
      <c r="AE139" s="215"/>
      <c r="AF139" s="215"/>
      <c r="AG139" s="215"/>
      <c r="AH139" s="215"/>
      <c r="AI139" s="215"/>
      <c r="AJ139" s="215"/>
      <c r="AK139" s="215"/>
      <c r="AL139" s="215"/>
      <c r="AM139" s="121">
        <f t="shared" si="5"/>
        <v>0</v>
      </c>
      <c r="AN139" s="564">
        <f>IF(AO139&lt;=3,(IF(AND(G139="5/24",AM139&gt;0.5),(AM139*2*база!$M$6*Таблица14[[#This Row],[коэф]]),
IF(AND(G139="4/24",AM139&gt;0.5),(AM139*2*база!$M$5*Таблица14[[#This Row],[коэф]]),
IF(AND(G139="3/24",AM139&gt;0.5),(AM139*2*база!$M$4*Таблица14[[#This Row],[коэф]]),
IF(AND(G139="5/16",AM139&gt;0.5),(AM139*2*база!$L$6*Таблица14[[#This Row],[коэф]]),
IF(AND(G139="4/16",AM139&gt;0.5),(AM139*2*база!$L$5*Таблица14[[#This Row],[коэф]]),
IF(AND(G139="3/16",AM139&gt;0.5),(AM139*2*база!$L$4*Таблица14[[#This Row],[коэф]]),
IF(AND(G139="4/4",AM139&gt;0.5),(AM139*2*база!$I$5*Таблица14[[#This Row],[коэф]]),
IF(OR(AND(G139="3/4",AM139&gt;0.5),AND(G139="2/4",AM139&gt;0.5)),(AM139*2*база!$I$4*Таблица14[[#This Row],[коэф]]),
IF(AND(G139="5/8",AM139&gt;0.5),(AM139*2*база!$J$6*Таблица14[[#This Row],[коэф]]),
IF(AND(G139="4/8",AM139&gt;0.5),(AM139*2*база!$J$5*Таблица14[[#This Row],[коэф]]),
IF(OR(AND(G139="3/8",AM139&gt;0.5),AND(G139="2/8",AM139&gt;0.5)),(AM139*2*база!$J$4*Таблица14[[#This Row],[коэф]]),
(AM139*0.5*база!$L$4*Таблица14[[#This Row],[коэф]]))))))))))))),
(IF(AND(G139="5/24",AM139&gt;0.5),(AM139*2*база!$M$6*Таблица14[[#This Row],[коэф]]),
IF(OR(AND(G139="4/24",AM139&gt;0.5),AND(G139="3/24",AM139&gt;0.5)),(AM139*2*база!$M$5*Таблица14[[#This Row],[коэф]]),
IF(AND(G139="5/16",AM139&gt;0.5),(AM139*2*база!$L$6*Таблица14[[#This Row],[коэф]]),
IF(OR(AND(G139="4/16",AM139&gt;0.5),AND(G139="3/16",AM139&gt;0.5)),(AM139*2*база!$L$5*Таблица14[[#This Row],[коэф]]),
IF(OR(AND(G139="4/4",AM139&gt;0.5),AND(G139="3/4",AM139&gt;2)),(AM139*2*база!$I$5*Таблица14[[#This Row],[коэф]]),
IF(AND(G139="5/8",AM139&gt;0.5),(AM139*2*база!$J$6*Таблица14[[#This Row],[коэф]]),
IF(AND(G139="4/8",AM139&gt;0.5),(AM139*2*база!$J$5*Таблица14[[#This Row],[коэф]]),
IF(OR(AND(G139="3/8",AM139&gt;0.5),AND(G139="2/8",AM139&gt;0.5)),(AM139*2*база!$J$4*Таблица14[[#This Row],[коэф]]),
(AM139*2*база!$L$5*Таблица14[[#This Row],[коэф]])))))))))))</f>
        <v>0</v>
      </c>
      <c r="AO139" s="122" t="str">
        <f>IFERROR(INDEX(база!$D$2:$D$120, MATCH(Таблица14[[#This Row],[Ф. И. О.]],база!$B$2:$B$100,0)),"")</f>
        <v/>
      </c>
    </row>
    <row r="140" spans="1:41" s="46" customFormat="1">
      <c r="A140" s="207" t="str">
        <f t="shared" si="4"/>
        <v>январь</v>
      </c>
      <c r="B140" s="240">
        <v>2024</v>
      </c>
      <c r="C140" s="572"/>
      <c r="D140" s="214"/>
      <c r="E140" s="241"/>
      <c r="F140" s="713"/>
      <c r="G140" s="242"/>
      <c r="H140" s="215"/>
      <c r="I140" s="215"/>
      <c r="J140" s="215"/>
      <c r="K140" s="215"/>
      <c r="L140" s="215"/>
      <c r="M140" s="215"/>
      <c r="N140" s="215"/>
      <c r="O140" s="215"/>
      <c r="P140" s="215"/>
      <c r="Q140" s="215"/>
      <c r="R140" s="215"/>
      <c r="S140" s="215"/>
      <c r="T140" s="215"/>
      <c r="U140" s="215"/>
      <c r="V140" s="215"/>
      <c r="W140" s="215"/>
      <c r="X140" s="215"/>
      <c r="Y140" s="215"/>
      <c r="Z140" s="215"/>
      <c r="AA140" s="215"/>
      <c r="AB140" s="215"/>
      <c r="AC140" s="215"/>
      <c r="AD140" s="215"/>
      <c r="AE140" s="215"/>
      <c r="AF140" s="215"/>
      <c r="AG140" s="215"/>
      <c r="AH140" s="215"/>
      <c r="AI140" s="215"/>
      <c r="AJ140" s="215"/>
      <c r="AK140" s="215"/>
      <c r="AL140" s="215"/>
      <c r="AM140" s="121">
        <f t="shared" si="5"/>
        <v>0</v>
      </c>
      <c r="AN140" s="564">
        <f>IF(AO140&lt;=3,(IF(AND(G140="5/24",AM140&gt;0.5),(AM140*2*база!$M$6*Таблица14[[#This Row],[коэф]]),
IF(AND(G140="4/24",AM140&gt;0.5),(AM140*2*база!$M$5*Таблица14[[#This Row],[коэф]]),
IF(AND(G140="3/24",AM140&gt;0.5),(AM140*2*база!$M$4*Таблица14[[#This Row],[коэф]]),
IF(AND(G140="5/16",AM140&gt;0.5),(AM140*2*база!$L$6*Таблица14[[#This Row],[коэф]]),
IF(AND(G140="4/16",AM140&gt;0.5),(AM140*2*база!$L$5*Таблица14[[#This Row],[коэф]]),
IF(AND(G140="3/16",AM140&gt;0.5),(AM140*2*база!$L$4*Таблица14[[#This Row],[коэф]]),
IF(AND(G140="4/4",AM140&gt;0.5),(AM140*2*база!$I$5*Таблица14[[#This Row],[коэф]]),
IF(OR(AND(G140="3/4",AM140&gt;0.5),AND(G140="2/4",AM140&gt;0.5)),(AM140*2*база!$I$4*Таблица14[[#This Row],[коэф]]),
IF(AND(G140="5/8",AM140&gt;0.5),(AM140*2*база!$J$6*Таблица14[[#This Row],[коэф]]),
IF(AND(G140="4/8",AM140&gt;0.5),(AM140*2*база!$J$5*Таблица14[[#This Row],[коэф]]),
IF(OR(AND(G140="3/8",AM140&gt;0.5),AND(G140="2/8",AM140&gt;0.5)),(AM140*2*база!$J$4*Таблица14[[#This Row],[коэф]]),
(AM140*0.5*база!$L$4*Таблица14[[#This Row],[коэф]]))))))))))))),
(IF(AND(G140="5/24",AM140&gt;0.5),(AM140*2*база!$M$6*Таблица14[[#This Row],[коэф]]),
IF(OR(AND(G140="4/24",AM140&gt;0.5),AND(G140="3/24",AM140&gt;0.5)),(AM140*2*база!$M$5*Таблица14[[#This Row],[коэф]]),
IF(AND(G140="5/16",AM140&gt;0.5),(AM140*2*база!$L$6*Таблица14[[#This Row],[коэф]]),
IF(OR(AND(G140="4/16",AM140&gt;0.5),AND(G140="3/16",AM140&gt;0.5)),(AM140*2*база!$L$5*Таблица14[[#This Row],[коэф]]),
IF(OR(AND(G140="4/4",AM140&gt;0.5),AND(G140="3/4",AM140&gt;2)),(AM140*2*база!$I$5*Таблица14[[#This Row],[коэф]]),
IF(AND(G140="5/8",AM140&gt;0.5),(AM140*2*база!$J$6*Таблица14[[#This Row],[коэф]]),
IF(AND(G140="4/8",AM140&gt;0.5),(AM140*2*база!$J$5*Таблица14[[#This Row],[коэф]]),
IF(OR(AND(G140="3/8",AM140&gt;0.5),AND(G140="2/8",AM140&gt;0.5)),(AM140*2*база!$J$4*Таблица14[[#This Row],[коэф]]),
(AM140*2*база!$L$5*Таблица14[[#This Row],[коэф]])))))))))))</f>
        <v>0</v>
      </c>
      <c r="AO140" s="122" t="str">
        <f>IFERROR(INDEX(база!$D$2:$D$120, MATCH(Таблица14[[#This Row],[Ф. И. О.]],база!$B$2:$B$100,0)),"")</f>
        <v/>
      </c>
    </row>
    <row r="141" spans="1:41" s="46" customFormat="1">
      <c r="A141" s="207" t="str">
        <f t="shared" si="4"/>
        <v>январь</v>
      </c>
      <c r="B141" s="204">
        <v>2024</v>
      </c>
      <c r="C141" s="572"/>
      <c r="D141" s="214"/>
      <c r="E141" s="243"/>
      <c r="F141" s="713"/>
      <c r="G141" s="206"/>
      <c r="H141" s="215"/>
      <c r="I141" s="215"/>
      <c r="J141" s="215"/>
      <c r="K141" s="215"/>
      <c r="L141" s="215"/>
      <c r="M141" s="215"/>
      <c r="N141" s="215"/>
      <c r="O141" s="215"/>
      <c r="P141" s="215"/>
      <c r="Q141" s="215"/>
      <c r="R141" s="215"/>
      <c r="S141" s="215"/>
      <c r="T141" s="215"/>
      <c r="U141" s="215"/>
      <c r="V141" s="215"/>
      <c r="W141" s="215"/>
      <c r="X141" s="215"/>
      <c r="Y141" s="215"/>
      <c r="Z141" s="215"/>
      <c r="AA141" s="215"/>
      <c r="AB141" s="215"/>
      <c r="AC141" s="215"/>
      <c r="AD141" s="215"/>
      <c r="AE141" s="215"/>
      <c r="AF141" s="215"/>
      <c r="AG141" s="215"/>
      <c r="AH141" s="215"/>
      <c r="AI141" s="215"/>
      <c r="AJ141" s="215"/>
      <c r="AK141" s="215"/>
      <c r="AL141" s="215"/>
      <c r="AM141" s="121">
        <f t="shared" si="5"/>
        <v>0</v>
      </c>
      <c r="AN141" s="564">
        <f>IF(AO141&lt;=3,(IF(AND(G141="5/24",AM141&gt;0.5),(AM141*2*база!$M$6*Таблица14[[#This Row],[коэф]]),
IF(AND(G141="4/24",AM141&gt;0.5),(AM141*2*база!$M$5*Таблица14[[#This Row],[коэф]]),
IF(AND(G141="3/24",AM141&gt;0.5),(AM141*2*база!$M$4*Таблица14[[#This Row],[коэф]]),
IF(AND(G141="5/16",AM141&gt;0.5),(AM141*2*база!$L$6*Таблица14[[#This Row],[коэф]]),
IF(AND(G141="4/16",AM141&gt;0.5),(AM141*2*база!$L$5*Таблица14[[#This Row],[коэф]]),
IF(AND(G141="3/16",AM141&gt;0.5),(AM141*2*база!$L$4*Таблица14[[#This Row],[коэф]]),
IF(AND(G141="4/4",AM141&gt;0.5),(AM141*2*база!$I$5*Таблица14[[#This Row],[коэф]]),
IF(OR(AND(G141="3/4",AM141&gt;0.5),AND(G141="2/4",AM141&gt;0.5)),(AM141*2*база!$I$4*Таблица14[[#This Row],[коэф]]),
IF(AND(G141="5/8",AM141&gt;0.5),(AM141*2*база!$J$6*Таблица14[[#This Row],[коэф]]),
IF(AND(G141="4/8",AM141&gt;0.5),(AM141*2*база!$J$5*Таблица14[[#This Row],[коэф]]),
IF(OR(AND(G141="3/8",AM141&gt;0.5),AND(G141="2/8",AM141&gt;0.5)),(AM141*2*база!$J$4*Таблица14[[#This Row],[коэф]]),
(AM141*0.5*база!$L$4*Таблица14[[#This Row],[коэф]]))))))))))))),
(IF(AND(G141="5/24",AM141&gt;0.5),(AM141*2*база!$M$6*Таблица14[[#This Row],[коэф]]),
IF(OR(AND(G141="4/24",AM141&gt;0.5),AND(G141="3/24",AM141&gt;0.5)),(AM141*2*база!$M$5*Таблица14[[#This Row],[коэф]]),
IF(AND(G141="5/16",AM141&gt;0.5),(AM141*2*база!$L$6*Таблица14[[#This Row],[коэф]]),
IF(OR(AND(G141="4/16",AM141&gt;0.5),AND(G141="3/16",AM141&gt;0.5)),(AM141*2*база!$L$5*Таблица14[[#This Row],[коэф]]),
IF(OR(AND(G141="4/4",AM141&gt;0.5),AND(G141="3/4",AM141&gt;2)),(AM141*2*база!$I$5*Таблица14[[#This Row],[коэф]]),
IF(AND(G141="5/8",AM141&gt;0.5),(AM141*2*база!$J$6*Таблица14[[#This Row],[коэф]]),
IF(AND(G141="4/8",AM141&gt;0.5),(AM141*2*база!$J$5*Таблица14[[#This Row],[коэф]]),
IF(OR(AND(G141="3/8",AM141&gt;0.5),AND(G141="2/8",AM141&gt;0.5)),(AM141*2*база!$J$4*Таблица14[[#This Row],[коэф]]),
(AM141*2*база!$L$5*Таблица14[[#This Row],[коэф]])))))))))))</f>
        <v>0</v>
      </c>
      <c r="AO141" s="122" t="str">
        <f>IFERROR(INDEX(база!$D$2:$D$120, MATCH(Таблица14[[#This Row],[Ф. И. О.]],база!$B$2:$B$100,0)),"")</f>
        <v/>
      </c>
    </row>
    <row r="142" spans="1:41" s="46" customFormat="1">
      <c r="A142" s="207" t="str">
        <f t="shared" si="4"/>
        <v>январь</v>
      </c>
      <c r="B142" s="240">
        <v>2024</v>
      </c>
      <c r="C142" s="572"/>
      <c r="D142" s="214"/>
      <c r="E142" s="241"/>
      <c r="F142" s="713"/>
      <c r="G142" s="242"/>
      <c r="H142" s="215"/>
      <c r="I142" s="215"/>
      <c r="J142" s="215"/>
      <c r="K142" s="215"/>
      <c r="L142" s="215"/>
      <c r="M142" s="215"/>
      <c r="N142" s="215"/>
      <c r="O142" s="215"/>
      <c r="P142" s="215"/>
      <c r="Q142" s="215"/>
      <c r="R142" s="215"/>
      <c r="S142" s="215"/>
      <c r="T142" s="215"/>
      <c r="U142" s="215"/>
      <c r="V142" s="215"/>
      <c r="W142" s="215"/>
      <c r="X142" s="215"/>
      <c r="Y142" s="215"/>
      <c r="Z142" s="215"/>
      <c r="AA142" s="215"/>
      <c r="AB142" s="215"/>
      <c r="AC142" s="215"/>
      <c r="AD142" s="215"/>
      <c r="AE142" s="215"/>
      <c r="AF142" s="215"/>
      <c r="AG142" s="215"/>
      <c r="AH142" s="215"/>
      <c r="AI142" s="215"/>
      <c r="AJ142" s="215"/>
      <c r="AK142" s="215"/>
      <c r="AL142" s="215"/>
      <c r="AM142" s="121">
        <f t="shared" si="5"/>
        <v>0</v>
      </c>
      <c r="AN142" s="564">
        <f>IF(AO142&lt;=3,(IF(AND(G142="5/24",AM142&gt;0.5),(AM142*2*база!$M$6*Таблица14[[#This Row],[коэф]]),
IF(AND(G142="4/24",AM142&gt;0.5),(AM142*2*база!$M$5*Таблица14[[#This Row],[коэф]]),
IF(AND(G142="3/24",AM142&gt;0.5),(AM142*2*база!$M$4*Таблица14[[#This Row],[коэф]]),
IF(AND(G142="5/16",AM142&gt;0.5),(AM142*2*база!$L$6*Таблица14[[#This Row],[коэф]]),
IF(AND(G142="4/16",AM142&gt;0.5),(AM142*2*база!$L$5*Таблица14[[#This Row],[коэф]]),
IF(AND(G142="3/16",AM142&gt;0.5),(AM142*2*база!$L$4*Таблица14[[#This Row],[коэф]]),
IF(AND(G142="4/4",AM142&gt;0.5),(AM142*2*база!$I$5*Таблица14[[#This Row],[коэф]]),
IF(OR(AND(G142="3/4",AM142&gt;0.5),AND(G142="2/4",AM142&gt;0.5)),(AM142*2*база!$I$4*Таблица14[[#This Row],[коэф]]),
IF(AND(G142="5/8",AM142&gt;0.5),(AM142*2*база!$J$6*Таблица14[[#This Row],[коэф]]),
IF(AND(G142="4/8",AM142&gt;0.5),(AM142*2*база!$J$5*Таблица14[[#This Row],[коэф]]),
IF(OR(AND(G142="3/8",AM142&gt;0.5),AND(G142="2/8",AM142&gt;0.5)),(AM142*2*база!$J$4*Таблица14[[#This Row],[коэф]]),
(AM142*0.5*база!$L$4*Таблица14[[#This Row],[коэф]]))))))))))))),
(IF(AND(G142="5/24",AM142&gt;0.5),(AM142*2*база!$M$6*Таблица14[[#This Row],[коэф]]),
IF(OR(AND(G142="4/24",AM142&gt;0.5),AND(G142="3/24",AM142&gt;0.5)),(AM142*2*база!$M$5*Таблица14[[#This Row],[коэф]]),
IF(AND(G142="5/16",AM142&gt;0.5),(AM142*2*база!$L$6*Таблица14[[#This Row],[коэф]]),
IF(OR(AND(G142="4/16",AM142&gt;0.5),AND(G142="3/16",AM142&gt;0.5)),(AM142*2*база!$L$5*Таблица14[[#This Row],[коэф]]),
IF(OR(AND(G142="4/4",AM142&gt;0.5),AND(G142="3/4",AM142&gt;2)),(AM142*2*база!$I$5*Таблица14[[#This Row],[коэф]]),
IF(AND(G142="5/8",AM142&gt;0.5),(AM142*2*база!$J$6*Таблица14[[#This Row],[коэф]]),
IF(AND(G142="4/8",AM142&gt;0.5),(AM142*2*база!$J$5*Таблица14[[#This Row],[коэф]]),
IF(OR(AND(G142="3/8",AM142&gt;0.5),AND(G142="2/8",AM142&gt;0.5)),(AM142*2*база!$J$4*Таблица14[[#This Row],[коэф]]),
(AM142*2*база!$L$5*Таблица14[[#This Row],[коэф]])))))))))))</f>
        <v>0</v>
      </c>
      <c r="AO142" s="122" t="str">
        <f>IFERROR(INDEX(база!$D$2:$D$120, MATCH(Таблица14[[#This Row],[Ф. И. О.]],база!$B$2:$B$100,0)),"")</f>
        <v/>
      </c>
    </row>
    <row r="143" spans="1:41" s="46" customFormat="1">
      <c r="A143" s="207" t="str">
        <f t="shared" si="4"/>
        <v>январь</v>
      </c>
      <c r="B143" s="204">
        <v>2024</v>
      </c>
      <c r="C143" s="572"/>
      <c r="D143" s="214"/>
      <c r="E143" s="243"/>
      <c r="F143" s="713"/>
      <c r="G143" s="206"/>
      <c r="H143" s="215"/>
      <c r="I143" s="215"/>
      <c r="J143" s="215"/>
      <c r="K143" s="215"/>
      <c r="L143" s="215"/>
      <c r="M143" s="215"/>
      <c r="N143" s="215"/>
      <c r="O143" s="215"/>
      <c r="P143" s="215"/>
      <c r="Q143" s="215"/>
      <c r="R143" s="215"/>
      <c r="S143" s="215"/>
      <c r="T143" s="215"/>
      <c r="U143" s="215"/>
      <c r="V143" s="215"/>
      <c r="W143" s="215"/>
      <c r="X143" s="215"/>
      <c r="Y143" s="215"/>
      <c r="Z143" s="215"/>
      <c r="AA143" s="215"/>
      <c r="AB143" s="215"/>
      <c r="AC143" s="215"/>
      <c r="AD143" s="215"/>
      <c r="AE143" s="215"/>
      <c r="AF143" s="215"/>
      <c r="AG143" s="215"/>
      <c r="AH143" s="215"/>
      <c r="AI143" s="215"/>
      <c r="AJ143" s="215"/>
      <c r="AK143" s="215"/>
      <c r="AL143" s="215"/>
      <c r="AM143" s="121">
        <f t="shared" si="5"/>
        <v>0</v>
      </c>
      <c r="AN143" s="564">
        <f>IF(AO143&lt;=3,(IF(AND(G143="5/24",AM143&gt;0.5),(AM143*2*база!$M$6*Таблица14[[#This Row],[коэф]]),
IF(AND(G143="4/24",AM143&gt;0.5),(AM143*2*база!$M$5*Таблица14[[#This Row],[коэф]]),
IF(AND(G143="3/24",AM143&gt;0.5),(AM143*2*база!$M$4*Таблица14[[#This Row],[коэф]]),
IF(AND(G143="5/16",AM143&gt;0.5),(AM143*2*база!$L$6*Таблица14[[#This Row],[коэф]]),
IF(AND(G143="4/16",AM143&gt;0.5),(AM143*2*база!$L$5*Таблица14[[#This Row],[коэф]]),
IF(AND(G143="3/16",AM143&gt;0.5),(AM143*2*база!$L$4*Таблица14[[#This Row],[коэф]]),
IF(AND(G143="4/4",AM143&gt;0.5),(AM143*2*база!$I$5*Таблица14[[#This Row],[коэф]]),
IF(OR(AND(G143="3/4",AM143&gt;0.5),AND(G143="2/4",AM143&gt;0.5)),(AM143*2*база!$I$4*Таблица14[[#This Row],[коэф]]),
IF(AND(G143="5/8",AM143&gt;0.5),(AM143*2*база!$J$6*Таблица14[[#This Row],[коэф]]),
IF(AND(G143="4/8",AM143&gt;0.5),(AM143*2*база!$J$5*Таблица14[[#This Row],[коэф]]),
IF(OR(AND(G143="3/8",AM143&gt;0.5),AND(G143="2/8",AM143&gt;0.5)),(AM143*2*база!$J$4*Таблица14[[#This Row],[коэф]]),
(AM143*0.5*база!$L$4*Таблица14[[#This Row],[коэф]]))))))))))))),
(IF(AND(G143="5/24",AM143&gt;0.5),(AM143*2*база!$M$6*Таблица14[[#This Row],[коэф]]),
IF(OR(AND(G143="4/24",AM143&gt;0.5),AND(G143="3/24",AM143&gt;0.5)),(AM143*2*база!$M$5*Таблица14[[#This Row],[коэф]]),
IF(AND(G143="5/16",AM143&gt;0.5),(AM143*2*база!$L$6*Таблица14[[#This Row],[коэф]]),
IF(OR(AND(G143="4/16",AM143&gt;0.5),AND(G143="3/16",AM143&gt;0.5)),(AM143*2*база!$L$5*Таблица14[[#This Row],[коэф]]),
IF(OR(AND(G143="4/4",AM143&gt;0.5),AND(G143="3/4",AM143&gt;2)),(AM143*2*база!$I$5*Таблица14[[#This Row],[коэф]]),
IF(AND(G143="5/8",AM143&gt;0.5),(AM143*2*база!$J$6*Таблица14[[#This Row],[коэф]]),
IF(AND(G143="4/8",AM143&gt;0.5),(AM143*2*база!$J$5*Таблица14[[#This Row],[коэф]]),
IF(OR(AND(G143="3/8",AM143&gt;0.5),AND(G143="2/8",AM143&gt;0.5)),(AM143*2*база!$J$4*Таблица14[[#This Row],[коэф]]),
(AM143*2*база!$L$5*Таблица14[[#This Row],[коэф]])))))))))))</f>
        <v>0</v>
      </c>
      <c r="AO143" s="122" t="str">
        <f>IFERROR(INDEX(база!$D$2:$D$120, MATCH(Таблица14[[#This Row],[Ф. И. О.]],база!$B$2:$B$100,0)),"")</f>
        <v/>
      </c>
    </row>
    <row r="144" spans="1:41" s="46" customFormat="1">
      <c r="A144" s="207" t="str">
        <f t="shared" si="4"/>
        <v>январь</v>
      </c>
      <c r="B144" s="240">
        <v>2024</v>
      </c>
      <c r="C144" s="572"/>
      <c r="D144" s="214"/>
      <c r="E144" s="241"/>
      <c r="F144" s="713"/>
      <c r="G144" s="242"/>
      <c r="H144" s="215"/>
      <c r="I144" s="215"/>
      <c r="J144" s="215"/>
      <c r="K144" s="215"/>
      <c r="L144" s="215"/>
      <c r="M144" s="215"/>
      <c r="N144" s="215"/>
      <c r="O144" s="215"/>
      <c r="P144" s="215"/>
      <c r="Q144" s="215"/>
      <c r="R144" s="215"/>
      <c r="S144" s="215"/>
      <c r="T144" s="215"/>
      <c r="U144" s="215"/>
      <c r="V144" s="215"/>
      <c r="W144" s="215"/>
      <c r="X144" s="215"/>
      <c r="Y144" s="215"/>
      <c r="Z144" s="215"/>
      <c r="AA144" s="215"/>
      <c r="AB144" s="215"/>
      <c r="AC144" s="215"/>
      <c r="AD144" s="215"/>
      <c r="AE144" s="215"/>
      <c r="AF144" s="215"/>
      <c r="AG144" s="215"/>
      <c r="AH144" s="215"/>
      <c r="AI144" s="215"/>
      <c r="AJ144" s="215"/>
      <c r="AK144" s="215"/>
      <c r="AL144" s="215"/>
      <c r="AM144" s="121">
        <f t="shared" si="5"/>
        <v>0</v>
      </c>
      <c r="AN144" s="564">
        <f>IF(AO144&lt;=3,(IF(AND(G144="5/24",AM144&gt;0.5),(AM144*2*база!$M$6*Таблица14[[#This Row],[коэф]]),
IF(AND(G144="4/24",AM144&gt;0.5),(AM144*2*база!$M$5*Таблица14[[#This Row],[коэф]]),
IF(AND(G144="3/24",AM144&gt;0.5),(AM144*2*база!$M$4*Таблица14[[#This Row],[коэф]]),
IF(AND(G144="5/16",AM144&gt;0.5),(AM144*2*база!$L$6*Таблица14[[#This Row],[коэф]]),
IF(AND(G144="4/16",AM144&gt;0.5),(AM144*2*база!$L$5*Таблица14[[#This Row],[коэф]]),
IF(AND(G144="3/16",AM144&gt;0.5),(AM144*2*база!$L$4*Таблица14[[#This Row],[коэф]]),
IF(AND(G144="4/4",AM144&gt;0.5),(AM144*2*база!$I$5*Таблица14[[#This Row],[коэф]]),
IF(OR(AND(G144="3/4",AM144&gt;0.5),AND(G144="2/4",AM144&gt;0.5)),(AM144*2*база!$I$4*Таблица14[[#This Row],[коэф]]),
IF(AND(G144="5/8",AM144&gt;0.5),(AM144*2*база!$J$6*Таблица14[[#This Row],[коэф]]),
IF(AND(G144="4/8",AM144&gt;0.5),(AM144*2*база!$J$5*Таблица14[[#This Row],[коэф]]),
IF(OR(AND(G144="3/8",AM144&gt;0.5),AND(G144="2/8",AM144&gt;0.5)),(AM144*2*база!$J$4*Таблица14[[#This Row],[коэф]]),
(AM144*0.5*база!$L$4*Таблица14[[#This Row],[коэф]]))))))))))))),
(IF(AND(G144="5/24",AM144&gt;0.5),(AM144*2*база!$M$6*Таблица14[[#This Row],[коэф]]),
IF(OR(AND(G144="4/24",AM144&gt;0.5),AND(G144="3/24",AM144&gt;0.5)),(AM144*2*база!$M$5*Таблица14[[#This Row],[коэф]]),
IF(AND(G144="5/16",AM144&gt;0.5),(AM144*2*база!$L$6*Таблица14[[#This Row],[коэф]]),
IF(OR(AND(G144="4/16",AM144&gt;0.5),AND(G144="3/16",AM144&gt;0.5)),(AM144*2*база!$L$5*Таблица14[[#This Row],[коэф]]),
IF(OR(AND(G144="4/4",AM144&gt;0.5),AND(G144="3/4",AM144&gt;2)),(AM144*2*база!$I$5*Таблица14[[#This Row],[коэф]]),
IF(AND(G144="5/8",AM144&gt;0.5),(AM144*2*база!$J$6*Таблица14[[#This Row],[коэф]]),
IF(AND(G144="4/8",AM144&gt;0.5),(AM144*2*база!$J$5*Таблица14[[#This Row],[коэф]]),
IF(OR(AND(G144="3/8",AM144&gt;0.5),AND(G144="2/8",AM144&gt;0.5)),(AM144*2*база!$J$4*Таблица14[[#This Row],[коэф]]),
(AM144*2*база!$L$5*Таблица14[[#This Row],[коэф]])))))))))))</f>
        <v>0</v>
      </c>
      <c r="AO144" s="122" t="str">
        <f>IFERROR(INDEX(база!$D$2:$D$120, MATCH(Таблица14[[#This Row],[Ф. И. О.]],база!$B$2:$B$100,0)),"")</f>
        <v/>
      </c>
    </row>
    <row r="145" spans="1:41" s="46" customFormat="1">
      <c r="A145" s="207" t="str">
        <f t="shared" si="4"/>
        <v>январь</v>
      </c>
      <c r="B145" s="204">
        <v>2024</v>
      </c>
      <c r="C145" s="572"/>
      <c r="D145" s="214"/>
      <c r="E145" s="243"/>
      <c r="F145" s="713"/>
      <c r="G145" s="206"/>
      <c r="H145" s="215"/>
      <c r="I145" s="215"/>
      <c r="J145" s="215"/>
      <c r="K145" s="215"/>
      <c r="L145" s="215"/>
      <c r="M145" s="215"/>
      <c r="N145" s="215"/>
      <c r="O145" s="215"/>
      <c r="P145" s="215"/>
      <c r="Q145" s="215"/>
      <c r="R145" s="215"/>
      <c r="S145" s="215"/>
      <c r="T145" s="215"/>
      <c r="U145" s="215"/>
      <c r="V145" s="215"/>
      <c r="W145" s="215"/>
      <c r="X145" s="215"/>
      <c r="Y145" s="215"/>
      <c r="Z145" s="215"/>
      <c r="AA145" s="215"/>
      <c r="AB145" s="215"/>
      <c r="AC145" s="215"/>
      <c r="AD145" s="215"/>
      <c r="AE145" s="215"/>
      <c r="AF145" s="215"/>
      <c r="AG145" s="215"/>
      <c r="AH145" s="215"/>
      <c r="AI145" s="215"/>
      <c r="AJ145" s="215"/>
      <c r="AK145" s="215"/>
      <c r="AL145" s="215"/>
      <c r="AM145" s="121">
        <f t="shared" si="5"/>
        <v>0</v>
      </c>
      <c r="AN145" s="564">
        <f>IF(AO145&lt;=3,(IF(AND(G145="5/24",AM145&gt;0.5),(AM145*2*база!$M$6*Таблица14[[#This Row],[коэф]]),
IF(AND(G145="4/24",AM145&gt;0.5),(AM145*2*база!$M$5*Таблица14[[#This Row],[коэф]]),
IF(AND(G145="3/24",AM145&gt;0.5),(AM145*2*база!$M$4*Таблица14[[#This Row],[коэф]]),
IF(AND(G145="5/16",AM145&gt;0.5),(AM145*2*база!$L$6*Таблица14[[#This Row],[коэф]]),
IF(AND(G145="4/16",AM145&gt;0.5),(AM145*2*база!$L$5*Таблица14[[#This Row],[коэф]]),
IF(AND(G145="3/16",AM145&gt;0.5),(AM145*2*база!$L$4*Таблица14[[#This Row],[коэф]]),
IF(AND(G145="4/4",AM145&gt;0.5),(AM145*2*база!$I$5*Таблица14[[#This Row],[коэф]]),
IF(OR(AND(G145="3/4",AM145&gt;0.5),AND(G145="2/4",AM145&gt;0.5)),(AM145*2*база!$I$4*Таблица14[[#This Row],[коэф]]),
IF(AND(G145="5/8",AM145&gt;0.5),(AM145*2*база!$J$6*Таблица14[[#This Row],[коэф]]),
IF(AND(G145="4/8",AM145&gt;0.5),(AM145*2*база!$J$5*Таблица14[[#This Row],[коэф]]),
IF(OR(AND(G145="3/8",AM145&gt;0.5),AND(G145="2/8",AM145&gt;0.5)),(AM145*2*база!$J$4*Таблица14[[#This Row],[коэф]]),
(AM145*0.5*база!$L$4*Таблица14[[#This Row],[коэф]]))))))))))))),
(IF(AND(G145="5/24",AM145&gt;0.5),(AM145*2*база!$M$6*Таблица14[[#This Row],[коэф]]),
IF(OR(AND(G145="4/24",AM145&gt;0.5),AND(G145="3/24",AM145&gt;0.5)),(AM145*2*база!$M$5*Таблица14[[#This Row],[коэф]]),
IF(AND(G145="5/16",AM145&gt;0.5),(AM145*2*база!$L$6*Таблица14[[#This Row],[коэф]]),
IF(OR(AND(G145="4/16",AM145&gt;0.5),AND(G145="3/16",AM145&gt;0.5)),(AM145*2*база!$L$5*Таблица14[[#This Row],[коэф]]),
IF(OR(AND(G145="4/4",AM145&gt;0.5),AND(G145="3/4",AM145&gt;2)),(AM145*2*база!$I$5*Таблица14[[#This Row],[коэф]]),
IF(AND(G145="5/8",AM145&gt;0.5),(AM145*2*база!$J$6*Таблица14[[#This Row],[коэф]]),
IF(AND(G145="4/8",AM145&gt;0.5),(AM145*2*база!$J$5*Таблица14[[#This Row],[коэф]]),
IF(OR(AND(G145="3/8",AM145&gt;0.5),AND(G145="2/8",AM145&gt;0.5)),(AM145*2*база!$J$4*Таблица14[[#This Row],[коэф]]),
(AM145*2*база!$L$5*Таблица14[[#This Row],[коэф]])))))))))))</f>
        <v>0</v>
      </c>
      <c r="AO145" s="122" t="str">
        <f>IFERROR(INDEX(база!$D$2:$D$120, MATCH(Таблица14[[#This Row],[Ф. И. О.]],база!$B$2:$B$100,0)),"")</f>
        <v/>
      </c>
    </row>
    <row r="146" spans="1:41" s="46" customFormat="1">
      <c r="A146" s="207" t="str">
        <f t="shared" si="4"/>
        <v>январь</v>
      </c>
      <c r="B146" s="240">
        <v>2024</v>
      </c>
      <c r="C146" s="572"/>
      <c r="D146" s="214"/>
      <c r="E146" s="241"/>
      <c r="F146" s="713"/>
      <c r="G146" s="242"/>
      <c r="H146" s="215"/>
      <c r="I146" s="215"/>
      <c r="J146" s="215"/>
      <c r="K146" s="215"/>
      <c r="L146" s="215"/>
      <c r="M146" s="215"/>
      <c r="N146" s="215"/>
      <c r="O146" s="215"/>
      <c r="P146" s="215"/>
      <c r="Q146" s="215"/>
      <c r="R146" s="215"/>
      <c r="S146" s="215"/>
      <c r="T146" s="215"/>
      <c r="U146" s="215"/>
      <c r="V146" s="215"/>
      <c r="W146" s="215"/>
      <c r="X146" s="215"/>
      <c r="Y146" s="215"/>
      <c r="Z146" s="215"/>
      <c r="AA146" s="215"/>
      <c r="AB146" s="215"/>
      <c r="AC146" s="215"/>
      <c r="AD146" s="215"/>
      <c r="AE146" s="215"/>
      <c r="AF146" s="215"/>
      <c r="AG146" s="215"/>
      <c r="AH146" s="215"/>
      <c r="AI146" s="215"/>
      <c r="AJ146" s="215"/>
      <c r="AK146" s="215"/>
      <c r="AL146" s="215"/>
      <c r="AM146" s="121">
        <f t="shared" si="5"/>
        <v>0</v>
      </c>
      <c r="AN146" s="564">
        <f>IF(AO146&lt;=3,(IF(AND(G146="5/24",AM146&gt;0.5),(AM146*2*база!$M$6*Таблица14[[#This Row],[коэф]]),
IF(AND(G146="4/24",AM146&gt;0.5),(AM146*2*база!$M$5*Таблица14[[#This Row],[коэф]]),
IF(AND(G146="3/24",AM146&gt;0.5),(AM146*2*база!$M$4*Таблица14[[#This Row],[коэф]]),
IF(AND(G146="5/16",AM146&gt;0.5),(AM146*2*база!$L$6*Таблица14[[#This Row],[коэф]]),
IF(AND(G146="4/16",AM146&gt;0.5),(AM146*2*база!$L$5*Таблица14[[#This Row],[коэф]]),
IF(AND(G146="3/16",AM146&gt;0.5),(AM146*2*база!$L$4*Таблица14[[#This Row],[коэф]]),
IF(AND(G146="4/4",AM146&gt;0.5),(AM146*2*база!$I$5*Таблица14[[#This Row],[коэф]]),
IF(OR(AND(G146="3/4",AM146&gt;0.5),AND(G146="2/4",AM146&gt;0.5)),(AM146*2*база!$I$4*Таблица14[[#This Row],[коэф]]),
IF(AND(G146="5/8",AM146&gt;0.5),(AM146*2*база!$J$6*Таблица14[[#This Row],[коэф]]),
IF(AND(G146="4/8",AM146&gt;0.5),(AM146*2*база!$J$5*Таблица14[[#This Row],[коэф]]),
IF(OR(AND(G146="3/8",AM146&gt;0.5),AND(G146="2/8",AM146&gt;0.5)),(AM146*2*база!$J$4*Таблица14[[#This Row],[коэф]]),
(AM146*0.5*база!$L$4*Таблица14[[#This Row],[коэф]]))))))))))))),
(IF(AND(G146="5/24",AM146&gt;0.5),(AM146*2*база!$M$6*Таблица14[[#This Row],[коэф]]),
IF(OR(AND(G146="4/24",AM146&gt;0.5),AND(G146="3/24",AM146&gt;0.5)),(AM146*2*база!$M$5*Таблица14[[#This Row],[коэф]]),
IF(AND(G146="5/16",AM146&gt;0.5),(AM146*2*база!$L$6*Таблица14[[#This Row],[коэф]]),
IF(OR(AND(G146="4/16",AM146&gt;0.5),AND(G146="3/16",AM146&gt;0.5)),(AM146*2*база!$L$5*Таблица14[[#This Row],[коэф]]),
IF(OR(AND(G146="4/4",AM146&gt;0.5),AND(G146="3/4",AM146&gt;2)),(AM146*2*база!$I$5*Таблица14[[#This Row],[коэф]]),
IF(AND(G146="5/8",AM146&gt;0.5),(AM146*2*база!$J$6*Таблица14[[#This Row],[коэф]]),
IF(AND(G146="4/8",AM146&gt;0.5),(AM146*2*база!$J$5*Таблица14[[#This Row],[коэф]]),
IF(OR(AND(G146="3/8",AM146&gt;0.5),AND(G146="2/8",AM146&gt;0.5)),(AM146*2*база!$J$4*Таблица14[[#This Row],[коэф]]),
(AM146*2*база!$L$5*Таблица14[[#This Row],[коэф]])))))))))))</f>
        <v>0</v>
      </c>
      <c r="AO146" s="122" t="str">
        <f>IFERROR(INDEX(база!$D$2:$D$120, MATCH(Таблица14[[#This Row],[Ф. И. О.]],база!$B$2:$B$100,0)),"")</f>
        <v/>
      </c>
    </row>
    <row r="147" spans="1:41" s="46" customFormat="1">
      <c r="A147" s="207" t="str">
        <f t="shared" si="4"/>
        <v>январь</v>
      </c>
      <c r="B147" s="204">
        <v>2024</v>
      </c>
      <c r="C147" s="572"/>
      <c r="D147" s="214"/>
      <c r="E147" s="243"/>
      <c r="F147" s="713"/>
      <c r="G147" s="206"/>
      <c r="H147" s="215"/>
      <c r="I147" s="215"/>
      <c r="J147" s="215"/>
      <c r="K147" s="215"/>
      <c r="L147" s="215"/>
      <c r="M147" s="215"/>
      <c r="N147" s="215"/>
      <c r="O147" s="215"/>
      <c r="P147" s="215"/>
      <c r="Q147" s="215"/>
      <c r="R147" s="215"/>
      <c r="S147" s="215"/>
      <c r="T147" s="215"/>
      <c r="U147" s="215"/>
      <c r="V147" s="215"/>
      <c r="W147" s="215"/>
      <c r="X147" s="215"/>
      <c r="Y147" s="215"/>
      <c r="Z147" s="215"/>
      <c r="AA147" s="215"/>
      <c r="AB147" s="215"/>
      <c r="AC147" s="215"/>
      <c r="AD147" s="215"/>
      <c r="AE147" s="215"/>
      <c r="AF147" s="215"/>
      <c r="AG147" s="215"/>
      <c r="AH147" s="215"/>
      <c r="AI147" s="215"/>
      <c r="AJ147" s="215"/>
      <c r="AK147" s="215"/>
      <c r="AL147" s="215"/>
      <c r="AM147" s="121">
        <f t="shared" si="5"/>
        <v>0</v>
      </c>
      <c r="AN147" s="564">
        <f>IF(AO147&lt;=3,(IF(AND(G147="5/24",AM147&gt;0.5),(AM147*2*база!$M$6*Таблица14[[#This Row],[коэф]]),
IF(AND(G147="4/24",AM147&gt;0.5),(AM147*2*база!$M$5*Таблица14[[#This Row],[коэф]]),
IF(AND(G147="3/24",AM147&gt;0.5),(AM147*2*база!$M$4*Таблица14[[#This Row],[коэф]]),
IF(AND(G147="5/16",AM147&gt;0.5),(AM147*2*база!$L$6*Таблица14[[#This Row],[коэф]]),
IF(AND(G147="4/16",AM147&gt;0.5),(AM147*2*база!$L$5*Таблица14[[#This Row],[коэф]]),
IF(AND(G147="3/16",AM147&gt;0.5),(AM147*2*база!$L$4*Таблица14[[#This Row],[коэф]]),
IF(AND(G147="4/4",AM147&gt;0.5),(AM147*2*база!$I$5*Таблица14[[#This Row],[коэф]]),
IF(OR(AND(G147="3/4",AM147&gt;0.5),AND(G147="2/4",AM147&gt;0.5)),(AM147*2*база!$I$4*Таблица14[[#This Row],[коэф]]),
IF(AND(G147="5/8",AM147&gt;0.5),(AM147*2*база!$J$6*Таблица14[[#This Row],[коэф]]),
IF(AND(G147="4/8",AM147&gt;0.5),(AM147*2*база!$J$5*Таблица14[[#This Row],[коэф]]),
IF(OR(AND(G147="3/8",AM147&gt;0.5),AND(G147="2/8",AM147&gt;0.5)),(AM147*2*база!$J$4*Таблица14[[#This Row],[коэф]]),
(AM147*0.5*база!$L$4*Таблица14[[#This Row],[коэф]]))))))))))))),
(IF(AND(G147="5/24",AM147&gt;0.5),(AM147*2*база!$M$6*Таблица14[[#This Row],[коэф]]),
IF(OR(AND(G147="4/24",AM147&gt;0.5),AND(G147="3/24",AM147&gt;0.5)),(AM147*2*база!$M$5*Таблица14[[#This Row],[коэф]]),
IF(AND(G147="5/16",AM147&gt;0.5),(AM147*2*база!$L$6*Таблица14[[#This Row],[коэф]]),
IF(OR(AND(G147="4/16",AM147&gt;0.5),AND(G147="3/16",AM147&gt;0.5)),(AM147*2*база!$L$5*Таблица14[[#This Row],[коэф]]),
IF(OR(AND(G147="4/4",AM147&gt;0.5),AND(G147="3/4",AM147&gt;2)),(AM147*2*база!$I$5*Таблица14[[#This Row],[коэф]]),
IF(AND(G147="5/8",AM147&gt;0.5),(AM147*2*база!$J$6*Таблица14[[#This Row],[коэф]]),
IF(AND(G147="4/8",AM147&gt;0.5),(AM147*2*база!$J$5*Таблица14[[#This Row],[коэф]]),
IF(OR(AND(G147="3/8",AM147&gt;0.5),AND(G147="2/8",AM147&gt;0.5)),(AM147*2*база!$J$4*Таблица14[[#This Row],[коэф]]),
(AM147*2*база!$L$5*Таблица14[[#This Row],[коэф]])))))))))))</f>
        <v>0</v>
      </c>
      <c r="AO147" s="122" t="str">
        <f>IFERROR(INDEX(база!$D$2:$D$120, MATCH(Таблица14[[#This Row],[Ф. И. О.]],база!$B$2:$B$100,0)),"")</f>
        <v/>
      </c>
    </row>
    <row r="148" spans="1:41" s="46" customFormat="1">
      <c r="A148" s="207" t="str">
        <f t="shared" si="4"/>
        <v>январь</v>
      </c>
      <c r="B148" s="240">
        <v>2024</v>
      </c>
      <c r="C148" s="572"/>
      <c r="D148" s="214"/>
      <c r="E148" s="241"/>
      <c r="F148" s="713"/>
      <c r="G148" s="242"/>
      <c r="H148" s="215"/>
      <c r="I148" s="215"/>
      <c r="J148" s="215"/>
      <c r="K148" s="215"/>
      <c r="L148" s="215"/>
      <c r="M148" s="215"/>
      <c r="N148" s="215"/>
      <c r="O148" s="215"/>
      <c r="P148" s="215"/>
      <c r="Q148" s="215"/>
      <c r="R148" s="215"/>
      <c r="S148" s="215"/>
      <c r="T148" s="215"/>
      <c r="U148" s="215"/>
      <c r="V148" s="215"/>
      <c r="W148" s="215"/>
      <c r="X148" s="215"/>
      <c r="Y148" s="215"/>
      <c r="Z148" s="215"/>
      <c r="AA148" s="215"/>
      <c r="AB148" s="215"/>
      <c r="AC148" s="215"/>
      <c r="AD148" s="215"/>
      <c r="AE148" s="215"/>
      <c r="AF148" s="215"/>
      <c r="AG148" s="215"/>
      <c r="AH148" s="215"/>
      <c r="AI148" s="215"/>
      <c r="AJ148" s="215"/>
      <c r="AK148" s="215"/>
      <c r="AL148" s="215"/>
      <c r="AM148" s="121">
        <f t="shared" si="5"/>
        <v>0</v>
      </c>
      <c r="AN148" s="564">
        <f>IF(AO148&lt;=3,(IF(AND(G148="5/24",AM148&gt;0.5),(AM148*2*база!$M$6*Таблица14[[#This Row],[коэф]]),
IF(AND(G148="4/24",AM148&gt;0.5),(AM148*2*база!$M$5*Таблица14[[#This Row],[коэф]]),
IF(AND(G148="3/24",AM148&gt;0.5),(AM148*2*база!$M$4*Таблица14[[#This Row],[коэф]]),
IF(AND(G148="5/16",AM148&gt;0.5),(AM148*2*база!$L$6*Таблица14[[#This Row],[коэф]]),
IF(AND(G148="4/16",AM148&gt;0.5),(AM148*2*база!$L$5*Таблица14[[#This Row],[коэф]]),
IF(AND(G148="3/16",AM148&gt;0.5),(AM148*2*база!$L$4*Таблица14[[#This Row],[коэф]]),
IF(AND(G148="4/4",AM148&gt;0.5),(AM148*2*база!$I$5*Таблица14[[#This Row],[коэф]]),
IF(OR(AND(G148="3/4",AM148&gt;0.5),AND(G148="2/4",AM148&gt;0.5)),(AM148*2*база!$I$4*Таблица14[[#This Row],[коэф]]),
IF(AND(G148="5/8",AM148&gt;0.5),(AM148*2*база!$J$6*Таблица14[[#This Row],[коэф]]),
IF(AND(G148="4/8",AM148&gt;0.5),(AM148*2*база!$J$5*Таблица14[[#This Row],[коэф]]),
IF(OR(AND(G148="3/8",AM148&gt;0.5),AND(G148="2/8",AM148&gt;0.5)),(AM148*2*база!$J$4*Таблица14[[#This Row],[коэф]]),
(AM148*0.5*база!$L$4*Таблица14[[#This Row],[коэф]]))))))))))))),
(IF(AND(G148="5/24",AM148&gt;0.5),(AM148*2*база!$M$6*Таблица14[[#This Row],[коэф]]),
IF(OR(AND(G148="4/24",AM148&gt;0.5),AND(G148="3/24",AM148&gt;0.5)),(AM148*2*база!$M$5*Таблица14[[#This Row],[коэф]]),
IF(AND(G148="5/16",AM148&gt;0.5),(AM148*2*база!$L$6*Таблица14[[#This Row],[коэф]]),
IF(OR(AND(G148="4/16",AM148&gt;0.5),AND(G148="3/16",AM148&gt;0.5)),(AM148*2*база!$L$5*Таблица14[[#This Row],[коэф]]),
IF(OR(AND(G148="4/4",AM148&gt;0.5),AND(G148="3/4",AM148&gt;2)),(AM148*2*база!$I$5*Таблица14[[#This Row],[коэф]]),
IF(AND(G148="5/8",AM148&gt;0.5),(AM148*2*база!$J$6*Таблица14[[#This Row],[коэф]]),
IF(AND(G148="4/8",AM148&gt;0.5),(AM148*2*база!$J$5*Таблица14[[#This Row],[коэф]]),
IF(OR(AND(G148="3/8",AM148&gt;0.5),AND(G148="2/8",AM148&gt;0.5)),(AM148*2*база!$J$4*Таблица14[[#This Row],[коэф]]),
(AM148*2*база!$L$5*Таблица14[[#This Row],[коэф]])))))))))))</f>
        <v>0</v>
      </c>
      <c r="AO148" s="122" t="str">
        <f>IFERROR(INDEX(база!$D$2:$D$120, MATCH(Таблица14[[#This Row],[Ф. И. О.]],база!$B$2:$B$100,0)),"")</f>
        <v/>
      </c>
    </row>
    <row r="149" spans="1:41" s="46" customFormat="1">
      <c r="A149" s="207" t="str">
        <f t="shared" si="4"/>
        <v>январь</v>
      </c>
      <c r="B149" s="204">
        <v>2024</v>
      </c>
      <c r="C149" s="572"/>
      <c r="D149" s="214"/>
      <c r="E149" s="243"/>
      <c r="F149" s="713"/>
      <c r="G149" s="206"/>
      <c r="H149" s="215"/>
      <c r="I149" s="215"/>
      <c r="J149" s="215"/>
      <c r="K149" s="215"/>
      <c r="L149" s="215"/>
      <c r="M149" s="215"/>
      <c r="N149" s="215"/>
      <c r="O149" s="215"/>
      <c r="P149" s="215"/>
      <c r="Q149" s="215"/>
      <c r="R149" s="215"/>
      <c r="S149" s="215"/>
      <c r="T149" s="215"/>
      <c r="U149" s="215"/>
      <c r="V149" s="215"/>
      <c r="W149" s="215"/>
      <c r="X149" s="215"/>
      <c r="Y149" s="215"/>
      <c r="Z149" s="215"/>
      <c r="AA149" s="215"/>
      <c r="AB149" s="215"/>
      <c r="AC149" s="215"/>
      <c r="AD149" s="215"/>
      <c r="AE149" s="215"/>
      <c r="AF149" s="215"/>
      <c r="AG149" s="215"/>
      <c r="AH149" s="215"/>
      <c r="AI149" s="215"/>
      <c r="AJ149" s="215"/>
      <c r="AK149" s="215"/>
      <c r="AL149" s="215"/>
      <c r="AM149" s="121">
        <f t="shared" si="5"/>
        <v>0</v>
      </c>
      <c r="AN149" s="564">
        <f>IF(AO149&lt;=3,(IF(AND(G149="5/24",AM149&gt;0.5),(AM149*2*база!$M$6*Таблица14[[#This Row],[коэф]]),
IF(AND(G149="4/24",AM149&gt;0.5),(AM149*2*база!$M$5*Таблица14[[#This Row],[коэф]]),
IF(AND(G149="3/24",AM149&gt;0.5),(AM149*2*база!$M$4*Таблица14[[#This Row],[коэф]]),
IF(AND(G149="5/16",AM149&gt;0.5),(AM149*2*база!$L$6*Таблица14[[#This Row],[коэф]]),
IF(AND(G149="4/16",AM149&gt;0.5),(AM149*2*база!$L$5*Таблица14[[#This Row],[коэф]]),
IF(AND(G149="3/16",AM149&gt;0.5),(AM149*2*база!$L$4*Таблица14[[#This Row],[коэф]]),
IF(AND(G149="4/4",AM149&gt;0.5),(AM149*2*база!$I$5*Таблица14[[#This Row],[коэф]]),
IF(OR(AND(G149="3/4",AM149&gt;0.5),AND(G149="2/4",AM149&gt;0.5)),(AM149*2*база!$I$4*Таблица14[[#This Row],[коэф]]),
IF(AND(G149="5/8",AM149&gt;0.5),(AM149*2*база!$J$6*Таблица14[[#This Row],[коэф]]),
IF(AND(G149="4/8",AM149&gt;0.5),(AM149*2*база!$J$5*Таблица14[[#This Row],[коэф]]),
IF(OR(AND(G149="3/8",AM149&gt;0.5),AND(G149="2/8",AM149&gt;0.5)),(AM149*2*база!$J$4*Таблица14[[#This Row],[коэф]]),
(AM149*0.5*база!$L$4*Таблица14[[#This Row],[коэф]]))))))))))))),
(IF(AND(G149="5/24",AM149&gt;0.5),(AM149*2*база!$M$6*Таблица14[[#This Row],[коэф]]),
IF(OR(AND(G149="4/24",AM149&gt;0.5),AND(G149="3/24",AM149&gt;0.5)),(AM149*2*база!$M$5*Таблица14[[#This Row],[коэф]]),
IF(AND(G149="5/16",AM149&gt;0.5),(AM149*2*база!$L$6*Таблица14[[#This Row],[коэф]]),
IF(OR(AND(G149="4/16",AM149&gt;0.5),AND(G149="3/16",AM149&gt;0.5)),(AM149*2*база!$L$5*Таблица14[[#This Row],[коэф]]),
IF(OR(AND(G149="4/4",AM149&gt;0.5),AND(G149="3/4",AM149&gt;2)),(AM149*2*база!$I$5*Таблица14[[#This Row],[коэф]]),
IF(AND(G149="5/8",AM149&gt;0.5),(AM149*2*база!$J$6*Таблица14[[#This Row],[коэф]]),
IF(AND(G149="4/8",AM149&gt;0.5),(AM149*2*база!$J$5*Таблица14[[#This Row],[коэф]]),
IF(OR(AND(G149="3/8",AM149&gt;0.5),AND(G149="2/8",AM149&gt;0.5)),(AM149*2*база!$J$4*Таблица14[[#This Row],[коэф]]),
(AM149*2*база!$L$5*Таблица14[[#This Row],[коэф]])))))))))))</f>
        <v>0</v>
      </c>
      <c r="AO149" s="122" t="str">
        <f>IFERROR(INDEX(база!$D$2:$D$120, MATCH(Таблица14[[#This Row],[Ф. И. О.]],база!$B$2:$B$100,0)),"")</f>
        <v/>
      </c>
    </row>
    <row r="150" spans="1:41" s="46" customFormat="1">
      <c r="A150" s="207" t="str">
        <f t="shared" si="4"/>
        <v>январь</v>
      </c>
      <c r="B150" s="240">
        <v>2024</v>
      </c>
      <c r="C150" s="572"/>
      <c r="D150" s="214"/>
      <c r="E150" s="241"/>
      <c r="F150" s="713"/>
      <c r="G150" s="242"/>
      <c r="H150" s="215"/>
      <c r="I150" s="215"/>
      <c r="J150" s="215"/>
      <c r="K150" s="215"/>
      <c r="L150" s="215"/>
      <c r="M150" s="215"/>
      <c r="N150" s="215"/>
      <c r="O150" s="215"/>
      <c r="P150" s="215"/>
      <c r="Q150" s="215"/>
      <c r="R150" s="215"/>
      <c r="S150" s="215"/>
      <c r="T150" s="215"/>
      <c r="U150" s="215"/>
      <c r="V150" s="215"/>
      <c r="W150" s="215"/>
      <c r="X150" s="215"/>
      <c r="Y150" s="215"/>
      <c r="Z150" s="215"/>
      <c r="AA150" s="215"/>
      <c r="AB150" s="215"/>
      <c r="AC150" s="215"/>
      <c r="AD150" s="215"/>
      <c r="AE150" s="215"/>
      <c r="AF150" s="215"/>
      <c r="AG150" s="215"/>
      <c r="AH150" s="215"/>
      <c r="AI150" s="215"/>
      <c r="AJ150" s="215"/>
      <c r="AK150" s="215"/>
      <c r="AL150" s="215"/>
      <c r="AM150" s="121">
        <f t="shared" si="5"/>
        <v>0</v>
      </c>
      <c r="AN150" s="564">
        <f>IF(AO150&lt;=3,(IF(AND(G150="5/24",AM150&gt;0.5),(AM150*2*база!$M$6*Таблица14[[#This Row],[коэф]]),
IF(AND(G150="4/24",AM150&gt;0.5),(AM150*2*база!$M$5*Таблица14[[#This Row],[коэф]]),
IF(AND(G150="3/24",AM150&gt;0.5),(AM150*2*база!$M$4*Таблица14[[#This Row],[коэф]]),
IF(AND(G150="5/16",AM150&gt;0.5),(AM150*2*база!$L$6*Таблица14[[#This Row],[коэф]]),
IF(AND(G150="4/16",AM150&gt;0.5),(AM150*2*база!$L$5*Таблица14[[#This Row],[коэф]]),
IF(AND(G150="3/16",AM150&gt;0.5),(AM150*2*база!$L$4*Таблица14[[#This Row],[коэф]]),
IF(AND(G150="4/4",AM150&gt;0.5),(AM150*2*база!$I$5*Таблица14[[#This Row],[коэф]]),
IF(OR(AND(G150="3/4",AM150&gt;0.5),AND(G150="2/4",AM150&gt;0.5)),(AM150*2*база!$I$4*Таблица14[[#This Row],[коэф]]),
IF(AND(G150="5/8",AM150&gt;0.5),(AM150*2*база!$J$6*Таблица14[[#This Row],[коэф]]),
IF(AND(G150="4/8",AM150&gt;0.5),(AM150*2*база!$J$5*Таблица14[[#This Row],[коэф]]),
IF(OR(AND(G150="3/8",AM150&gt;0.5),AND(G150="2/8",AM150&gt;0.5)),(AM150*2*база!$J$4*Таблица14[[#This Row],[коэф]]),
(AM150*0.5*база!$L$4*Таблица14[[#This Row],[коэф]]))))))))))))),
(IF(AND(G150="5/24",AM150&gt;0.5),(AM150*2*база!$M$6*Таблица14[[#This Row],[коэф]]),
IF(OR(AND(G150="4/24",AM150&gt;0.5),AND(G150="3/24",AM150&gt;0.5)),(AM150*2*база!$M$5*Таблица14[[#This Row],[коэф]]),
IF(AND(G150="5/16",AM150&gt;0.5),(AM150*2*база!$L$6*Таблица14[[#This Row],[коэф]]),
IF(OR(AND(G150="4/16",AM150&gt;0.5),AND(G150="3/16",AM150&gt;0.5)),(AM150*2*база!$L$5*Таблица14[[#This Row],[коэф]]),
IF(OR(AND(G150="4/4",AM150&gt;0.5),AND(G150="3/4",AM150&gt;2)),(AM150*2*база!$I$5*Таблица14[[#This Row],[коэф]]),
IF(AND(G150="5/8",AM150&gt;0.5),(AM150*2*база!$J$6*Таблица14[[#This Row],[коэф]]),
IF(AND(G150="4/8",AM150&gt;0.5),(AM150*2*база!$J$5*Таблица14[[#This Row],[коэф]]),
IF(OR(AND(G150="3/8",AM150&gt;0.5),AND(G150="2/8",AM150&gt;0.5)),(AM150*2*база!$J$4*Таблица14[[#This Row],[коэф]]),
(AM150*2*база!$L$5*Таблица14[[#This Row],[коэф]])))))))))))</f>
        <v>0</v>
      </c>
      <c r="AO150" s="122" t="str">
        <f>IFERROR(INDEX(база!$D$2:$D$120, MATCH(Таблица14[[#This Row],[Ф. И. О.]],база!$B$2:$B$100,0)),"")</f>
        <v/>
      </c>
    </row>
    <row r="151" spans="1:41" s="46" customFormat="1">
      <c r="A151" s="207" t="str">
        <f t="shared" si="4"/>
        <v>январь</v>
      </c>
      <c r="B151" s="204">
        <v>2024</v>
      </c>
      <c r="C151" s="572"/>
      <c r="D151" s="214"/>
      <c r="E151" s="243"/>
      <c r="F151" s="713"/>
      <c r="G151" s="206"/>
      <c r="H151" s="215"/>
      <c r="I151" s="215"/>
      <c r="J151" s="215"/>
      <c r="K151" s="215"/>
      <c r="L151" s="215"/>
      <c r="M151" s="215"/>
      <c r="N151" s="215"/>
      <c r="O151" s="215"/>
      <c r="P151" s="215"/>
      <c r="Q151" s="215"/>
      <c r="R151" s="215"/>
      <c r="S151" s="215"/>
      <c r="T151" s="215"/>
      <c r="U151" s="215"/>
      <c r="V151" s="215"/>
      <c r="W151" s="215"/>
      <c r="X151" s="215"/>
      <c r="Y151" s="215"/>
      <c r="Z151" s="215"/>
      <c r="AA151" s="215"/>
      <c r="AB151" s="215"/>
      <c r="AC151" s="215"/>
      <c r="AD151" s="215"/>
      <c r="AE151" s="215"/>
      <c r="AF151" s="215"/>
      <c r="AG151" s="215"/>
      <c r="AH151" s="215"/>
      <c r="AI151" s="215"/>
      <c r="AJ151" s="215"/>
      <c r="AK151" s="215"/>
      <c r="AL151" s="215"/>
      <c r="AM151" s="121">
        <f t="shared" si="5"/>
        <v>0</v>
      </c>
      <c r="AN151" s="564">
        <f>IF(AO151&lt;=3,(IF(AND(G151="5/24",AM151&gt;0.5),(AM151*2*база!$M$6*Таблица14[[#This Row],[коэф]]),
IF(AND(G151="4/24",AM151&gt;0.5),(AM151*2*база!$M$5*Таблица14[[#This Row],[коэф]]),
IF(AND(G151="3/24",AM151&gt;0.5),(AM151*2*база!$M$4*Таблица14[[#This Row],[коэф]]),
IF(AND(G151="5/16",AM151&gt;0.5),(AM151*2*база!$L$6*Таблица14[[#This Row],[коэф]]),
IF(AND(G151="4/16",AM151&gt;0.5),(AM151*2*база!$L$5*Таблица14[[#This Row],[коэф]]),
IF(AND(G151="3/16",AM151&gt;0.5),(AM151*2*база!$L$4*Таблица14[[#This Row],[коэф]]),
IF(AND(G151="4/4",AM151&gt;0.5),(AM151*2*база!$I$5*Таблица14[[#This Row],[коэф]]),
IF(OR(AND(G151="3/4",AM151&gt;0.5),AND(G151="2/4",AM151&gt;0.5)),(AM151*2*база!$I$4*Таблица14[[#This Row],[коэф]]),
IF(AND(G151="5/8",AM151&gt;0.5),(AM151*2*база!$J$6*Таблица14[[#This Row],[коэф]]),
IF(AND(G151="4/8",AM151&gt;0.5),(AM151*2*база!$J$5*Таблица14[[#This Row],[коэф]]),
IF(OR(AND(G151="3/8",AM151&gt;0.5),AND(G151="2/8",AM151&gt;0.5)),(AM151*2*база!$J$4*Таблица14[[#This Row],[коэф]]),
(AM151*0.5*база!$L$4*Таблица14[[#This Row],[коэф]]))))))))))))),
(IF(AND(G151="5/24",AM151&gt;0.5),(AM151*2*база!$M$6*Таблица14[[#This Row],[коэф]]),
IF(OR(AND(G151="4/24",AM151&gt;0.5),AND(G151="3/24",AM151&gt;0.5)),(AM151*2*база!$M$5*Таблица14[[#This Row],[коэф]]),
IF(AND(G151="5/16",AM151&gt;0.5),(AM151*2*база!$L$6*Таблица14[[#This Row],[коэф]]),
IF(OR(AND(G151="4/16",AM151&gt;0.5),AND(G151="3/16",AM151&gt;0.5)),(AM151*2*база!$L$5*Таблица14[[#This Row],[коэф]]),
IF(OR(AND(G151="4/4",AM151&gt;0.5),AND(G151="3/4",AM151&gt;2)),(AM151*2*база!$I$5*Таблица14[[#This Row],[коэф]]),
IF(AND(G151="5/8",AM151&gt;0.5),(AM151*2*база!$J$6*Таблица14[[#This Row],[коэф]]),
IF(AND(G151="4/8",AM151&gt;0.5),(AM151*2*база!$J$5*Таблица14[[#This Row],[коэф]]),
IF(OR(AND(G151="3/8",AM151&gt;0.5),AND(G151="2/8",AM151&gt;0.5)),(AM151*2*база!$J$4*Таблица14[[#This Row],[коэф]]),
(AM151*2*база!$L$5*Таблица14[[#This Row],[коэф]])))))))))))</f>
        <v>0</v>
      </c>
      <c r="AO151" s="122" t="str">
        <f>IFERROR(INDEX(база!$D$2:$D$120, MATCH(Таблица14[[#This Row],[Ф. И. О.]],база!$B$2:$B$100,0)),"")</f>
        <v/>
      </c>
    </row>
    <row r="152" spans="1:41" s="46" customFormat="1">
      <c r="A152" s="207" t="str">
        <f t="shared" si="4"/>
        <v>январь</v>
      </c>
      <c r="B152" s="240">
        <v>2024</v>
      </c>
      <c r="C152" s="572"/>
      <c r="D152" s="214"/>
      <c r="E152" s="241"/>
      <c r="F152" s="713"/>
      <c r="G152" s="242"/>
      <c r="H152" s="215"/>
      <c r="I152" s="215"/>
      <c r="J152" s="215"/>
      <c r="K152" s="215"/>
      <c r="L152" s="215"/>
      <c r="M152" s="215"/>
      <c r="N152" s="215"/>
      <c r="O152" s="215"/>
      <c r="P152" s="215"/>
      <c r="Q152" s="215"/>
      <c r="R152" s="215"/>
      <c r="S152" s="215"/>
      <c r="T152" s="215"/>
      <c r="U152" s="215"/>
      <c r="V152" s="215"/>
      <c r="W152" s="215"/>
      <c r="X152" s="215"/>
      <c r="Y152" s="215"/>
      <c r="Z152" s="215"/>
      <c r="AA152" s="215"/>
      <c r="AB152" s="215"/>
      <c r="AC152" s="215"/>
      <c r="AD152" s="215"/>
      <c r="AE152" s="215"/>
      <c r="AF152" s="215"/>
      <c r="AG152" s="215"/>
      <c r="AH152" s="215"/>
      <c r="AI152" s="215"/>
      <c r="AJ152" s="215"/>
      <c r="AK152" s="215"/>
      <c r="AL152" s="215"/>
      <c r="AM152" s="121">
        <f t="shared" si="5"/>
        <v>0</v>
      </c>
      <c r="AN152" s="564">
        <f>IF(AO152&lt;=3,(IF(AND(G152="5/24",AM152&gt;0.5),(AM152*2*база!$M$6*Таблица14[[#This Row],[коэф]]),
IF(AND(G152="4/24",AM152&gt;0.5),(AM152*2*база!$M$5*Таблица14[[#This Row],[коэф]]),
IF(AND(G152="3/24",AM152&gt;0.5),(AM152*2*база!$M$4*Таблица14[[#This Row],[коэф]]),
IF(AND(G152="5/16",AM152&gt;0.5),(AM152*2*база!$L$6*Таблица14[[#This Row],[коэф]]),
IF(AND(G152="4/16",AM152&gt;0.5),(AM152*2*база!$L$5*Таблица14[[#This Row],[коэф]]),
IF(AND(G152="3/16",AM152&gt;0.5),(AM152*2*база!$L$4*Таблица14[[#This Row],[коэф]]),
IF(AND(G152="4/4",AM152&gt;0.5),(AM152*2*база!$I$5*Таблица14[[#This Row],[коэф]]),
IF(OR(AND(G152="3/4",AM152&gt;0.5),AND(G152="2/4",AM152&gt;0.5)),(AM152*2*база!$I$4*Таблица14[[#This Row],[коэф]]),
IF(AND(G152="5/8",AM152&gt;0.5),(AM152*2*база!$J$6*Таблица14[[#This Row],[коэф]]),
IF(AND(G152="4/8",AM152&gt;0.5),(AM152*2*база!$J$5*Таблица14[[#This Row],[коэф]]),
IF(OR(AND(G152="3/8",AM152&gt;0.5),AND(G152="2/8",AM152&gt;0.5)),(AM152*2*база!$J$4*Таблица14[[#This Row],[коэф]]),
(AM152*0.5*база!$L$4*Таблица14[[#This Row],[коэф]]))))))))))))),
(IF(AND(G152="5/24",AM152&gt;0.5),(AM152*2*база!$M$6*Таблица14[[#This Row],[коэф]]),
IF(OR(AND(G152="4/24",AM152&gt;0.5),AND(G152="3/24",AM152&gt;0.5)),(AM152*2*база!$M$5*Таблица14[[#This Row],[коэф]]),
IF(AND(G152="5/16",AM152&gt;0.5),(AM152*2*база!$L$6*Таблица14[[#This Row],[коэф]]),
IF(OR(AND(G152="4/16",AM152&gt;0.5),AND(G152="3/16",AM152&gt;0.5)),(AM152*2*база!$L$5*Таблица14[[#This Row],[коэф]]),
IF(OR(AND(G152="4/4",AM152&gt;0.5),AND(G152="3/4",AM152&gt;2)),(AM152*2*база!$I$5*Таблица14[[#This Row],[коэф]]),
IF(AND(G152="5/8",AM152&gt;0.5),(AM152*2*база!$J$6*Таблица14[[#This Row],[коэф]]),
IF(AND(G152="4/8",AM152&gt;0.5),(AM152*2*база!$J$5*Таблица14[[#This Row],[коэф]]),
IF(OR(AND(G152="3/8",AM152&gt;0.5),AND(G152="2/8",AM152&gt;0.5)),(AM152*2*база!$J$4*Таблица14[[#This Row],[коэф]]),
(AM152*2*база!$L$5*Таблица14[[#This Row],[коэф]])))))))))))</f>
        <v>0</v>
      </c>
      <c r="AO152" s="122" t="str">
        <f>IFERROR(INDEX(база!$D$2:$D$120, MATCH(Таблица14[[#This Row],[Ф. И. О.]],база!$B$2:$B$100,0)),"")</f>
        <v/>
      </c>
    </row>
    <row r="153" spans="1:41" s="46" customFormat="1">
      <c r="A153" s="207" t="str">
        <f t="shared" si="4"/>
        <v>январь</v>
      </c>
      <c r="B153" s="204">
        <v>2024</v>
      </c>
      <c r="C153" s="572"/>
      <c r="D153" s="214"/>
      <c r="E153" s="243"/>
      <c r="F153" s="713"/>
      <c r="G153" s="206"/>
      <c r="H153" s="215"/>
      <c r="I153" s="215"/>
      <c r="J153" s="215"/>
      <c r="K153" s="215"/>
      <c r="L153" s="215"/>
      <c r="M153" s="215"/>
      <c r="N153" s="215"/>
      <c r="O153" s="215"/>
      <c r="P153" s="215"/>
      <c r="Q153" s="215"/>
      <c r="R153" s="215"/>
      <c r="S153" s="215"/>
      <c r="T153" s="215"/>
      <c r="U153" s="215"/>
      <c r="V153" s="215"/>
      <c r="W153" s="215"/>
      <c r="X153" s="215"/>
      <c r="Y153" s="215"/>
      <c r="Z153" s="215"/>
      <c r="AA153" s="215"/>
      <c r="AB153" s="215"/>
      <c r="AC153" s="215"/>
      <c r="AD153" s="215"/>
      <c r="AE153" s="215"/>
      <c r="AF153" s="215"/>
      <c r="AG153" s="215"/>
      <c r="AH153" s="215"/>
      <c r="AI153" s="215"/>
      <c r="AJ153" s="215"/>
      <c r="AK153" s="215"/>
      <c r="AL153" s="215"/>
      <c r="AM153" s="121">
        <f t="shared" si="5"/>
        <v>0</v>
      </c>
      <c r="AN153" s="564">
        <f>IF(AO153&lt;=3,(IF(AND(G153="5/24",AM153&gt;0.5),(AM153*2*база!$M$6*Таблица14[[#This Row],[коэф]]),
IF(AND(G153="4/24",AM153&gt;0.5),(AM153*2*база!$M$5*Таблица14[[#This Row],[коэф]]),
IF(AND(G153="3/24",AM153&gt;0.5),(AM153*2*база!$M$4*Таблица14[[#This Row],[коэф]]),
IF(AND(G153="5/16",AM153&gt;0.5),(AM153*2*база!$L$6*Таблица14[[#This Row],[коэф]]),
IF(AND(G153="4/16",AM153&gt;0.5),(AM153*2*база!$L$5*Таблица14[[#This Row],[коэф]]),
IF(AND(G153="3/16",AM153&gt;0.5),(AM153*2*база!$L$4*Таблица14[[#This Row],[коэф]]),
IF(AND(G153="4/4",AM153&gt;0.5),(AM153*2*база!$I$5*Таблица14[[#This Row],[коэф]]),
IF(OR(AND(G153="3/4",AM153&gt;0.5),AND(G153="2/4",AM153&gt;0.5)),(AM153*2*база!$I$4*Таблица14[[#This Row],[коэф]]),
IF(AND(G153="5/8",AM153&gt;0.5),(AM153*2*база!$J$6*Таблица14[[#This Row],[коэф]]),
IF(AND(G153="4/8",AM153&gt;0.5),(AM153*2*база!$J$5*Таблица14[[#This Row],[коэф]]),
IF(OR(AND(G153="3/8",AM153&gt;0.5),AND(G153="2/8",AM153&gt;0.5)),(AM153*2*база!$J$4*Таблица14[[#This Row],[коэф]]),
(AM153*0.5*база!$L$4*Таблица14[[#This Row],[коэф]]))))))))))))),
(IF(AND(G153="5/24",AM153&gt;0.5),(AM153*2*база!$M$6*Таблица14[[#This Row],[коэф]]),
IF(OR(AND(G153="4/24",AM153&gt;0.5),AND(G153="3/24",AM153&gt;0.5)),(AM153*2*база!$M$5*Таблица14[[#This Row],[коэф]]),
IF(AND(G153="5/16",AM153&gt;0.5),(AM153*2*база!$L$6*Таблица14[[#This Row],[коэф]]),
IF(OR(AND(G153="4/16",AM153&gt;0.5),AND(G153="3/16",AM153&gt;0.5)),(AM153*2*база!$L$5*Таблица14[[#This Row],[коэф]]),
IF(OR(AND(G153="4/4",AM153&gt;0.5),AND(G153="3/4",AM153&gt;2)),(AM153*2*база!$I$5*Таблица14[[#This Row],[коэф]]),
IF(AND(G153="5/8",AM153&gt;0.5),(AM153*2*база!$J$6*Таблица14[[#This Row],[коэф]]),
IF(AND(G153="4/8",AM153&gt;0.5),(AM153*2*база!$J$5*Таблица14[[#This Row],[коэф]]),
IF(OR(AND(G153="3/8",AM153&gt;0.5),AND(G153="2/8",AM153&gt;0.5)),(AM153*2*база!$J$4*Таблица14[[#This Row],[коэф]]),
(AM153*2*база!$L$5*Таблица14[[#This Row],[коэф]])))))))))))</f>
        <v>0</v>
      </c>
      <c r="AO153" s="122" t="str">
        <f>IFERROR(INDEX(база!$D$2:$D$120, MATCH(Таблица14[[#This Row],[Ф. И. О.]],база!$B$2:$B$100,0)),"")</f>
        <v/>
      </c>
    </row>
    <row r="154" spans="1:41" s="46" customFormat="1">
      <c r="A154" s="207" t="str">
        <f t="shared" si="4"/>
        <v>январь</v>
      </c>
      <c r="B154" s="240">
        <v>2024</v>
      </c>
      <c r="C154" s="572"/>
      <c r="D154" s="214"/>
      <c r="E154" s="241"/>
      <c r="F154" s="713"/>
      <c r="G154" s="242"/>
      <c r="H154" s="215"/>
      <c r="I154" s="215"/>
      <c r="J154" s="215"/>
      <c r="K154" s="215"/>
      <c r="L154" s="215"/>
      <c r="M154" s="215"/>
      <c r="N154" s="215"/>
      <c r="O154" s="215"/>
      <c r="P154" s="215"/>
      <c r="Q154" s="215"/>
      <c r="R154" s="215"/>
      <c r="S154" s="215"/>
      <c r="T154" s="215"/>
      <c r="U154" s="215"/>
      <c r="V154" s="215"/>
      <c r="W154" s="215"/>
      <c r="X154" s="215"/>
      <c r="Y154" s="215"/>
      <c r="Z154" s="215"/>
      <c r="AA154" s="215"/>
      <c r="AB154" s="215"/>
      <c r="AC154" s="215"/>
      <c r="AD154" s="215"/>
      <c r="AE154" s="215"/>
      <c r="AF154" s="215"/>
      <c r="AG154" s="215"/>
      <c r="AH154" s="215"/>
      <c r="AI154" s="215"/>
      <c r="AJ154" s="215"/>
      <c r="AK154" s="215"/>
      <c r="AL154" s="215"/>
      <c r="AM154" s="121">
        <f t="shared" si="5"/>
        <v>0</v>
      </c>
      <c r="AN154" s="564">
        <f>IF(AO154&lt;=3,(IF(AND(G154="5/24",AM154&gt;0.5),(AM154*2*база!$M$6*Таблица14[[#This Row],[коэф]]),
IF(AND(G154="4/24",AM154&gt;0.5),(AM154*2*база!$M$5*Таблица14[[#This Row],[коэф]]),
IF(AND(G154="3/24",AM154&gt;0.5),(AM154*2*база!$M$4*Таблица14[[#This Row],[коэф]]),
IF(AND(G154="5/16",AM154&gt;0.5),(AM154*2*база!$L$6*Таблица14[[#This Row],[коэф]]),
IF(AND(G154="4/16",AM154&gt;0.5),(AM154*2*база!$L$5*Таблица14[[#This Row],[коэф]]),
IF(AND(G154="3/16",AM154&gt;0.5),(AM154*2*база!$L$4*Таблица14[[#This Row],[коэф]]),
IF(AND(G154="4/4",AM154&gt;0.5),(AM154*2*база!$I$5*Таблица14[[#This Row],[коэф]]),
IF(OR(AND(G154="3/4",AM154&gt;0.5),AND(G154="2/4",AM154&gt;0.5)),(AM154*2*база!$I$4*Таблица14[[#This Row],[коэф]]),
IF(AND(G154="5/8",AM154&gt;0.5),(AM154*2*база!$J$6*Таблица14[[#This Row],[коэф]]),
IF(AND(G154="4/8",AM154&gt;0.5),(AM154*2*база!$J$5*Таблица14[[#This Row],[коэф]]),
IF(OR(AND(G154="3/8",AM154&gt;0.5),AND(G154="2/8",AM154&gt;0.5)),(AM154*2*база!$J$4*Таблица14[[#This Row],[коэф]]),
(AM154*0.5*база!$L$4*Таблица14[[#This Row],[коэф]]))))))))))))),
(IF(AND(G154="5/24",AM154&gt;0.5),(AM154*2*база!$M$6*Таблица14[[#This Row],[коэф]]),
IF(OR(AND(G154="4/24",AM154&gt;0.5),AND(G154="3/24",AM154&gt;0.5)),(AM154*2*база!$M$5*Таблица14[[#This Row],[коэф]]),
IF(AND(G154="5/16",AM154&gt;0.5),(AM154*2*база!$L$6*Таблица14[[#This Row],[коэф]]),
IF(OR(AND(G154="4/16",AM154&gt;0.5),AND(G154="3/16",AM154&gt;0.5)),(AM154*2*база!$L$5*Таблица14[[#This Row],[коэф]]),
IF(OR(AND(G154="4/4",AM154&gt;0.5),AND(G154="3/4",AM154&gt;2)),(AM154*2*база!$I$5*Таблица14[[#This Row],[коэф]]),
IF(AND(G154="5/8",AM154&gt;0.5),(AM154*2*база!$J$6*Таблица14[[#This Row],[коэф]]),
IF(AND(G154="4/8",AM154&gt;0.5),(AM154*2*база!$J$5*Таблица14[[#This Row],[коэф]]),
IF(OR(AND(G154="3/8",AM154&gt;0.5),AND(G154="2/8",AM154&gt;0.5)),(AM154*2*база!$J$4*Таблица14[[#This Row],[коэф]]),
(AM154*2*база!$L$5*Таблица14[[#This Row],[коэф]])))))))))))</f>
        <v>0</v>
      </c>
      <c r="AO154" s="122" t="str">
        <f>IFERROR(INDEX(база!$D$2:$D$120, MATCH(Таблица14[[#This Row],[Ф. И. О.]],база!$B$2:$B$100,0)),"")</f>
        <v/>
      </c>
    </row>
    <row r="155" spans="1:41" s="46" customFormat="1">
      <c r="A155" s="207" t="str">
        <f t="shared" si="4"/>
        <v>январь</v>
      </c>
      <c r="B155" s="204">
        <v>2024</v>
      </c>
      <c r="C155" s="572"/>
      <c r="D155" s="214"/>
      <c r="E155" s="243"/>
      <c r="F155" s="713"/>
      <c r="G155" s="206"/>
      <c r="H155" s="215"/>
      <c r="I155" s="215"/>
      <c r="J155" s="215"/>
      <c r="K155" s="215"/>
      <c r="L155" s="215"/>
      <c r="M155" s="215"/>
      <c r="N155" s="215"/>
      <c r="O155" s="215"/>
      <c r="P155" s="215"/>
      <c r="Q155" s="215"/>
      <c r="R155" s="215"/>
      <c r="S155" s="215"/>
      <c r="T155" s="215"/>
      <c r="U155" s="215"/>
      <c r="V155" s="215"/>
      <c r="W155" s="215"/>
      <c r="X155" s="215"/>
      <c r="Y155" s="215"/>
      <c r="Z155" s="215"/>
      <c r="AA155" s="215"/>
      <c r="AB155" s="215"/>
      <c r="AC155" s="215"/>
      <c r="AD155" s="215"/>
      <c r="AE155" s="215"/>
      <c r="AF155" s="215"/>
      <c r="AG155" s="215"/>
      <c r="AH155" s="215"/>
      <c r="AI155" s="215"/>
      <c r="AJ155" s="215"/>
      <c r="AK155" s="215"/>
      <c r="AL155" s="215"/>
      <c r="AM155" s="121">
        <f t="shared" si="5"/>
        <v>0</v>
      </c>
      <c r="AN155" s="564">
        <f>IF(AO155&lt;=3,(IF(AND(G155="5/24",AM155&gt;0.5),(AM155*2*база!$M$6*Таблица14[[#This Row],[коэф]]),
IF(AND(G155="4/24",AM155&gt;0.5),(AM155*2*база!$M$5*Таблица14[[#This Row],[коэф]]),
IF(AND(G155="3/24",AM155&gt;0.5),(AM155*2*база!$M$4*Таблица14[[#This Row],[коэф]]),
IF(AND(G155="5/16",AM155&gt;0.5),(AM155*2*база!$L$6*Таблица14[[#This Row],[коэф]]),
IF(AND(G155="4/16",AM155&gt;0.5),(AM155*2*база!$L$5*Таблица14[[#This Row],[коэф]]),
IF(AND(G155="3/16",AM155&gt;0.5),(AM155*2*база!$L$4*Таблица14[[#This Row],[коэф]]),
IF(AND(G155="4/4",AM155&gt;0.5),(AM155*2*база!$I$5*Таблица14[[#This Row],[коэф]]),
IF(OR(AND(G155="3/4",AM155&gt;0.5),AND(G155="2/4",AM155&gt;0.5)),(AM155*2*база!$I$4*Таблица14[[#This Row],[коэф]]),
IF(AND(G155="5/8",AM155&gt;0.5),(AM155*2*база!$J$6*Таблица14[[#This Row],[коэф]]),
IF(AND(G155="4/8",AM155&gt;0.5),(AM155*2*база!$J$5*Таблица14[[#This Row],[коэф]]),
IF(OR(AND(G155="3/8",AM155&gt;0.5),AND(G155="2/8",AM155&gt;0.5)),(AM155*2*база!$J$4*Таблица14[[#This Row],[коэф]]),
(AM155*0.5*база!$L$4*Таблица14[[#This Row],[коэф]]))))))))))))),
(IF(AND(G155="5/24",AM155&gt;0.5),(AM155*2*база!$M$6*Таблица14[[#This Row],[коэф]]),
IF(OR(AND(G155="4/24",AM155&gt;0.5),AND(G155="3/24",AM155&gt;0.5)),(AM155*2*база!$M$5*Таблица14[[#This Row],[коэф]]),
IF(AND(G155="5/16",AM155&gt;0.5),(AM155*2*база!$L$6*Таблица14[[#This Row],[коэф]]),
IF(OR(AND(G155="4/16",AM155&gt;0.5),AND(G155="3/16",AM155&gt;0.5)),(AM155*2*база!$L$5*Таблица14[[#This Row],[коэф]]),
IF(OR(AND(G155="4/4",AM155&gt;0.5),AND(G155="3/4",AM155&gt;2)),(AM155*2*база!$I$5*Таблица14[[#This Row],[коэф]]),
IF(AND(G155="5/8",AM155&gt;0.5),(AM155*2*база!$J$6*Таблица14[[#This Row],[коэф]]),
IF(AND(G155="4/8",AM155&gt;0.5),(AM155*2*база!$J$5*Таблица14[[#This Row],[коэф]]),
IF(OR(AND(G155="3/8",AM155&gt;0.5),AND(G155="2/8",AM155&gt;0.5)),(AM155*2*база!$J$4*Таблица14[[#This Row],[коэф]]),
(AM155*2*база!$L$5*Таблица14[[#This Row],[коэф]])))))))))))</f>
        <v>0</v>
      </c>
      <c r="AO155" s="122" t="str">
        <f>IFERROR(INDEX(база!$D$2:$D$120, MATCH(Таблица14[[#This Row],[Ф. И. О.]],база!$B$2:$B$100,0)),"")</f>
        <v/>
      </c>
    </row>
    <row r="156" spans="1:41" s="46" customFormat="1">
      <c r="A156" s="207" t="str">
        <f t="shared" si="4"/>
        <v>январь</v>
      </c>
      <c r="B156" s="240">
        <v>2024</v>
      </c>
      <c r="C156" s="572"/>
      <c r="D156" s="214"/>
      <c r="E156" s="241"/>
      <c r="F156" s="713"/>
      <c r="G156" s="242"/>
      <c r="H156" s="215"/>
      <c r="I156" s="215"/>
      <c r="J156" s="215"/>
      <c r="K156" s="215"/>
      <c r="L156" s="215"/>
      <c r="M156" s="215"/>
      <c r="N156" s="215"/>
      <c r="O156" s="215"/>
      <c r="P156" s="215"/>
      <c r="Q156" s="215"/>
      <c r="R156" s="215"/>
      <c r="S156" s="215"/>
      <c r="T156" s="215"/>
      <c r="U156" s="215"/>
      <c r="V156" s="215"/>
      <c r="W156" s="215"/>
      <c r="X156" s="215"/>
      <c r="Y156" s="215"/>
      <c r="Z156" s="215"/>
      <c r="AA156" s="215"/>
      <c r="AB156" s="215"/>
      <c r="AC156" s="215"/>
      <c r="AD156" s="215"/>
      <c r="AE156" s="215"/>
      <c r="AF156" s="215"/>
      <c r="AG156" s="215"/>
      <c r="AH156" s="215"/>
      <c r="AI156" s="215"/>
      <c r="AJ156" s="215"/>
      <c r="AK156" s="215"/>
      <c r="AL156" s="215"/>
      <c r="AM156" s="121">
        <f t="shared" si="5"/>
        <v>0</v>
      </c>
      <c r="AN156" s="564">
        <f>IF(AO156&lt;=3,(IF(AND(G156="5/24",AM156&gt;0.5),(AM156*2*база!$M$6*Таблица14[[#This Row],[коэф]]),
IF(AND(G156="4/24",AM156&gt;0.5),(AM156*2*база!$M$5*Таблица14[[#This Row],[коэф]]),
IF(AND(G156="3/24",AM156&gt;0.5),(AM156*2*база!$M$4*Таблица14[[#This Row],[коэф]]),
IF(AND(G156="5/16",AM156&gt;0.5),(AM156*2*база!$L$6*Таблица14[[#This Row],[коэф]]),
IF(AND(G156="4/16",AM156&gt;0.5),(AM156*2*база!$L$5*Таблица14[[#This Row],[коэф]]),
IF(AND(G156="3/16",AM156&gt;0.5),(AM156*2*база!$L$4*Таблица14[[#This Row],[коэф]]),
IF(AND(G156="4/4",AM156&gt;0.5),(AM156*2*база!$I$5*Таблица14[[#This Row],[коэф]]),
IF(OR(AND(G156="3/4",AM156&gt;0.5),AND(G156="2/4",AM156&gt;0.5)),(AM156*2*база!$I$4*Таблица14[[#This Row],[коэф]]),
IF(AND(G156="5/8",AM156&gt;0.5),(AM156*2*база!$J$6*Таблица14[[#This Row],[коэф]]),
IF(AND(G156="4/8",AM156&gt;0.5),(AM156*2*база!$J$5*Таблица14[[#This Row],[коэф]]),
IF(OR(AND(G156="3/8",AM156&gt;0.5),AND(G156="2/8",AM156&gt;0.5)),(AM156*2*база!$J$4*Таблица14[[#This Row],[коэф]]),
(AM156*0.5*база!$L$4*Таблица14[[#This Row],[коэф]]))))))))))))),
(IF(AND(G156="5/24",AM156&gt;0.5),(AM156*2*база!$M$6*Таблица14[[#This Row],[коэф]]),
IF(OR(AND(G156="4/24",AM156&gt;0.5),AND(G156="3/24",AM156&gt;0.5)),(AM156*2*база!$M$5*Таблица14[[#This Row],[коэф]]),
IF(AND(G156="5/16",AM156&gt;0.5),(AM156*2*база!$L$6*Таблица14[[#This Row],[коэф]]),
IF(OR(AND(G156="4/16",AM156&gt;0.5),AND(G156="3/16",AM156&gt;0.5)),(AM156*2*база!$L$5*Таблица14[[#This Row],[коэф]]),
IF(OR(AND(G156="4/4",AM156&gt;0.5),AND(G156="3/4",AM156&gt;2)),(AM156*2*база!$I$5*Таблица14[[#This Row],[коэф]]),
IF(AND(G156="5/8",AM156&gt;0.5),(AM156*2*база!$J$6*Таблица14[[#This Row],[коэф]]),
IF(AND(G156="4/8",AM156&gt;0.5),(AM156*2*база!$J$5*Таблица14[[#This Row],[коэф]]),
IF(OR(AND(G156="3/8",AM156&gt;0.5),AND(G156="2/8",AM156&gt;0.5)),(AM156*2*база!$J$4*Таблица14[[#This Row],[коэф]]),
(AM156*2*база!$L$5*Таблица14[[#This Row],[коэф]])))))))))))</f>
        <v>0</v>
      </c>
      <c r="AO156" s="122" t="str">
        <f>IFERROR(INDEX(база!$D$2:$D$120, MATCH(Таблица14[[#This Row],[Ф. И. О.]],база!$B$2:$B$100,0)),"")</f>
        <v/>
      </c>
    </row>
    <row r="157" spans="1:41" s="46" customFormat="1">
      <c r="A157" s="207" t="str">
        <f t="shared" si="4"/>
        <v>январь</v>
      </c>
      <c r="B157" s="204">
        <v>2024</v>
      </c>
      <c r="C157" s="572"/>
      <c r="D157" s="214"/>
      <c r="E157" s="243"/>
      <c r="F157" s="713"/>
      <c r="G157" s="206"/>
      <c r="H157" s="215"/>
      <c r="I157" s="215"/>
      <c r="J157" s="215"/>
      <c r="K157" s="215"/>
      <c r="L157" s="215"/>
      <c r="M157" s="215"/>
      <c r="N157" s="215"/>
      <c r="O157" s="215"/>
      <c r="P157" s="215"/>
      <c r="Q157" s="215"/>
      <c r="R157" s="215"/>
      <c r="S157" s="215"/>
      <c r="T157" s="215"/>
      <c r="U157" s="215"/>
      <c r="V157" s="215"/>
      <c r="W157" s="215"/>
      <c r="X157" s="215"/>
      <c r="Y157" s="215"/>
      <c r="Z157" s="215"/>
      <c r="AA157" s="215"/>
      <c r="AB157" s="215"/>
      <c r="AC157" s="215"/>
      <c r="AD157" s="215"/>
      <c r="AE157" s="215"/>
      <c r="AF157" s="215"/>
      <c r="AG157" s="215"/>
      <c r="AH157" s="215"/>
      <c r="AI157" s="215"/>
      <c r="AJ157" s="215"/>
      <c r="AK157" s="215"/>
      <c r="AL157" s="215"/>
      <c r="AM157" s="121">
        <f t="shared" si="5"/>
        <v>0</v>
      </c>
      <c r="AN157" s="564">
        <f>IF(AO157&lt;=3,(IF(AND(G157="5/24",AM157&gt;0.5),(AM157*2*база!$M$6*Таблица14[[#This Row],[коэф]]),
IF(AND(G157="4/24",AM157&gt;0.5),(AM157*2*база!$M$5*Таблица14[[#This Row],[коэф]]),
IF(AND(G157="3/24",AM157&gt;0.5),(AM157*2*база!$M$4*Таблица14[[#This Row],[коэф]]),
IF(AND(G157="5/16",AM157&gt;0.5),(AM157*2*база!$L$6*Таблица14[[#This Row],[коэф]]),
IF(AND(G157="4/16",AM157&gt;0.5),(AM157*2*база!$L$5*Таблица14[[#This Row],[коэф]]),
IF(AND(G157="3/16",AM157&gt;0.5),(AM157*2*база!$L$4*Таблица14[[#This Row],[коэф]]),
IF(AND(G157="4/4",AM157&gt;0.5),(AM157*2*база!$I$5*Таблица14[[#This Row],[коэф]]),
IF(OR(AND(G157="3/4",AM157&gt;0.5),AND(G157="2/4",AM157&gt;0.5)),(AM157*2*база!$I$4*Таблица14[[#This Row],[коэф]]),
IF(AND(G157="5/8",AM157&gt;0.5),(AM157*2*база!$J$6*Таблица14[[#This Row],[коэф]]),
IF(AND(G157="4/8",AM157&gt;0.5),(AM157*2*база!$J$5*Таблица14[[#This Row],[коэф]]),
IF(OR(AND(G157="3/8",AM157&gt;0.5),AND(G157="2/8",AM157&gt;0.5)),(AM157*2*база!$J$4*Таблица14[[#This Row],[коэф]]),
(AM157*0.5*база!$L$4*Таблица14[[#This Row],[коэф]]))))))))))))),
(IF(AND(G157="5/24",AM157&gt;0.5),(AM157*2*база!$M$6*Таблица14[[#This Row],[коэф]]),
IF(OR(AND(G157="4/24",AM157&gt;0.5),AND(G157="3/24",AM157&gt;0.5)),(AM157*2*база!$M$5*Таблица14[[#This Row],[коэф]]),
IF(AND(G157="5/16",AM157&gt;0.5),(AM157*2*база!$L$6*Таблица14[[#This Row],[коэф]]),
IF(OR(AND(G157="4/16",AM157&gt;0.5),AND(G157="3/16",AM157&gt;0.5)),(AM157*2*база!$L$5*Таблица14[[#This Row],[коэф]]),
IF(OR(AND(G157="4/4",AM157&gt;0.5),AND(G157="3/4",AM157&gt;2)),(AM157*2*база!$I$5*Таблица14[[#This Row],[коэф]]),
IF(AND(G157="5/8",AM157&gt;0.5),(AM157*2*база!$J$6*Таблица14[[#This Row],[коэф]]),
IF(AND(G157="4/8",AM157&gt;0.5),(AM157*2*база!$J$5*Таблица14[[#This Row],[коэф]]),
IF(OR(AND(G157="3/8",AM157&gt;0.5),AND(G157="2/8",AM157&gt;0.5)),(AM157*2*база!$J$4*Таблица14[[#This Row],[коэф]]),
(AM157*2*база!$L$5*Таблица14[[#This Row],[коэф]])))))))))))</f>
        <v>0</v>
      </c>
      <c r="AO157" s="122" t="str">
        <f>IFERROR(INDEX(база!$D$2:$D$120, MATCH(Таблица14[[#This Row],[Ф. И. О.]],база!$B$2:$B$100,0)),"")</f>
        <v/>
      </c>
    </row>
    <row r="158" spans="1:41" s="46" customFormat="1">
      <c r="A158" s="207" t="str">
        <f t="shared" si="4"/>
        <v>январь</v>
      </c>
      <c r="B158" s="240">
        <v>2024</v>
      </c>
      <c r="C158" s="572"/>
      <c r="D158" s="214"/>
      <c r="E158" s="241"/>
      <c r="F158" s="713"/>
      <c r="G158" s="242"/>
      <c r="H158" s="215"/>
      <c r="I158" s="215"/>
      <c r="J158" s="215"/>
      <c r="K158" s="215"/>
      <c r="L158" s="215"/>
      <c r="M158" s="215"/>
      <c r="N158" s="215"/>
      <c r="O158" s="215"/>
      <c r="P158" s="215"/>
      <c r="Q158" s="215"/>
      <c r="R158" s="215"/>
      <c r="S158" s="215"/>
      <c r="T158" s="215"/>
      <c r="U158" s="215"/>
      <c r="V158" s="215"/>
      <c r="W158" s="215"/>
      <c r="X158" s="215"/>
      <c r="Y158" s="215"/>
      <c r="Z158" s="215"/>
      <c r="AA158" s="215"/>
      <c r="AB158" s="215"/>
      <c r="AC158" s="215"/>
      <c r="AD158" s="215"/>
      <c r="AE158" s="215"/>
      <c r="AF158" s="215"/>
      <c r="AG158" s="215"/>
      <c r="AH158" s="215"/>
      <c r="AI158" s="215"/>
      <c r="AJ158" s="215"/>
      <c r="AK158" s="215"/>
      <c r="AL158" s="215"/>
      <c r="AM158" s="121">
        <f t="shared" si="5"/>
        <v>0</v>
      </c>
      <c r="AN158" s="564">
        <f>IF(AO158&lt;=3,(IF(AND(G158="5/24",AM158&gt;0.5),(AM158*2*база!$M$6*Таблица14[[#This Row],[коэф]]),
IF(AND(G158="4/24",AM158&gt;0.5),(AM158*2*база!$M$5*Таблица14[[#This Row],[коэф]]),
IF(AND(G158="3/24",AM158&gt;0.5),(AM158*2*база!$M$4*Таблица14[[#This Row],[коэф]]),
IF(AND(G158="5/16",AM158&gt;0.5),(AM158*2*база!$L$6*Таблица14[[#This Row],[коэф]]),
IF(AND(G158="4/16",AM158&gt;0.5),(AM158*2*база!$L$5*Таблица14[[#This Row],[коэф]]),
IF(AND(G158="3/16",AM158&gt;0.5),(AM158*2*база!$L$4*Таблица14[[#This Row],[коэф]]),
IF(AND(G158="4/4",AM158&gt;0.5),(AM158*2*база!$I$5*Таблица14[[#This Row],[коэф]]),
IF(OR(AND(G158="3/4",AM158&gt;0.5),AND(G158="2/4",AM158&gt;0.5)),(AM158*2*база!$I$4*Таблица14[[#This Row],[коэф]]),
IF(AND(G158="5/8",AM158&gt;0.5),(AM158*2*база!$J$6*Таблица14[[#This Row],[коэф]]),
IF(AND(G158="4/8",AM158&gt;0.5),(AM158*2*база!$J$5*Таблица14[[#This Row],[коэф]]),
IF(OR(AND(G158="3/8",AM158&gt;0.5),AND(G158="2/8",AM158&gt;0.5)),(AM158*2*база!$J$4*Таблица14[[#This Row],[коэф]]),
(AM158*0.5*база!$L$4*Таблица14[[#This Row],[коэф]]))))))))))))),
(IF(AND(G158="5/24",AM158&gt;0.5),(AM158*2*база!$M$6*Таблица14[[#This Row],[коэф]]),
IF(OR(AND(G158="4/24",AM158&gt;0.5),AND(G158="3/24",AM158&gt;0.5)),(AM158*2*база!$M$5*Таблица14[[#This Row],[коэф]]),
IF(AND(G158="5/16",AM158&gt;0.5),(AM158*2*база!$L$6*Таблица14[[#This Row],[коэф]]),
IF(OR(AND(G158="4/16",AM158&gt;0.5),AND(G158="3/16",AM158&gt;0.5)),(AM158*2*база!$L$5*Таблица14[[#This Row],[коэф]]),
IF(OR(AND(G158="4/4",AM158&gt;0.5),AND(G158="3/4",AM158&gt;2)),(AM158*2*база!$I$5*Таблица14[[#This Row],[коэф]]),
IF(AND(G158="5/8",AM158&gt;0.5),(AM158*2*база!$J$6*Таблица14[[#This Row],[коэф]]),
IF(AND(G158="4/8",AM158&gt;0.5),(AM158*2*база!$J$5*Таблица14[[#This Row],[коэф]]),
IF(OR(AND(G158="3/8",AM158&gt;0.5),AND(G158="2/8",AM158&gt;0.5)),(AM158*2*база!$J$4*Таблица14[[#This Row],[коэф]]),
(AM158*2*база!$L$5*Таблица14[[#This Row],[коэф]])))))))))))</f>
        <v>0</v>
      </c>
      <c r="AO158" s="122" t="str">
        <f>IFERROR(INDEX(база!$D$2:$D$120, MATCH(Таблица14[[#This Row],[Ф. И. О.]],база!$B$2:$B$100,0)),"")</f>
        <v/>
      </c>
    </row>
    <row r="159" spans="1:41" s="46" customFormat="1">
      <c r="A159" s="207" t="str">
        <f t="shared" si="4"/>
        <v>январь</v>
      </c>
      <c r="B159" s="204">
        <v>2024</v>
      </c>
      <c r="C159" s="572"/>
      <c r="D159" s="214"/>
      <c r="E159" s="243"/>
      <c r="F159" s="713"/>
      <c r="G159" s="206"/>
      <c r="H159" s="215"/>
      <c r="I159" s="215"/>
      <c r="J159" s="215"/>
      <c r="K159" s="215"/>
      <c r="L159" s="215"/>
      <c r="M159" s="215"/>
      <c r="N159" s="215"/>
      <c r="O159" s="215"/>
      <c r="P159" s="215"/>
      <c r="Q159" s="215"/>
      <c r="R159" s="215"/>
      <c r="S159" s="215"/>
      <c r="T159" s="215"/>
      <c r="U159" s="215"/>
      <c r="V159" s="215"/>
      <c r="W159" s="215"/>
      <c r="X159" s="215"/>
      <c r="Y159" s="215"/>
      <c r="Z159" s="215"/>
      <c r="AA159" s="215"/>
      <c r="AB159" s="215"/>
      <c r="AC159" s="215"/>
      <c r="AD159" s="215"/>
      <c r="AE159" s="215"/>
      <c r="AF159" s="215"/>
      <c r="AG159" s="215"/>
      <c r="AH159" s="215"/>
      <c r="AI159" s="215"/>
      <c r="AJ159" s="215"/>
      <c r="AK159" s="215"/>
      <c r="AL159" s="215"/>
      <c r="AM159" s="121">
        <f t="shared" si="5"/>
        <v>0</v>
      </c>
      <c r="AN159" s="564">
        <f>IF(AO159&lt;=3,(IF(AND(G159="5/24",AM159&gt;0.5),(AM159*2*база!$M$6*Таблица14[[#This Row],[коэф]]),
IF(AND(G159="4/24",AM159&gt;0.5),(AM159*2*база!$M$5*Таблица14[[#This Row],[коэф]]),
IF(AND(G159="3/24",AM159&gt;0.5),(AM159*2*база!$M$4*Таблица14[[#This Row],[коэф]]),
IF(AND(G159="5/16",AM159&gt;0.5),(AM159*2*база!$L$6*Таблица14[[#This Row],[коэф]]),
IF(AND(G159="4/16",AM159&gt;0.5),(AM159*2*база!$L$5*Таблица14[[#This Row],[коэф]]),
IF(AND(G159="3/16",AM159&gt;0.5),(AM159*2*база!$L$4*Таблица14[[#This Row],[коэф]]),
IF(AND(G159="4/4",AM159&gt;0.5),(AM159*2*база!$I$5*Таблица14[[#This Row],[коэф]]),
IF(OR(AND(G159="3/4",AM159&gt;0.5),AND(G159="2/4",AM159&gt;0.5)),(AM159*2*база!$I$4*Таблица14[[#This Row],[коэф]]),
IF(AND(G159="5/8",AM159&gt;0.5),(AM159*2*база!$J$6*Таблица14[[#This Row],[коэф]]),
IF(AND(G159="4/8",AM159&gt;0.5),(AM159*2*база!$J$5*Таблица14[[#This Row],[коэф]]),
IF(OR(AND(G159="3/8",AM159&gt;0.5),AND(G159="2/8",AM159&gt;0.5)),(AM159*2*база!$J$4*Таблица14[[#This Row],[коэф]]),
(AM159*0.5*база!$L$4*Таблица14[[#This Row],[коэф]]))))))))))))),
(IF(AND(G159="5/24",AM159&gt;0.5),(AM159*2*база!$M$6*Таблица14[[#This Row],[коэф]]),
IF(OR(AND(G159="4/24",AM159&gt;0.5),AND(G159="3/24",AM159&gt;0.5)),(AM159*2*база!$M$5*Таблица14[[#This Row],[коэф]]),
IF(AND(G159="5/16",AM159&gt;0.5),(AM159*2*база!$L$6*Таблица14[[#This Row],[коэф]]),
IF(OR(AND(G159="4/16",AM159&gt;0.5),AND(G159="3/16",AM159&gt;0.5)),(AM159*2*база!$L$5*Таблица14[[#This Row],[коэф]]),
IF(OR(AND(G159="4/4",AM159&gt;0.5),AND(G159="3/4",AM159&gt;2)),(AM159*2*база!$I$5*Таблица14[[#This Row],[коэф]]),
IF(AND(G159="5/8",AM159&gt;0.5),(AM159*2*база!$J$6*Таблица14[[#This Row],[коэф]]),
IF(AND(G159="4/8",AM159&gt;0.5),(AM159*2*база!$J$5*Таблица14[[#This Row],[коэф]]),
IF(OR(AND(G159="3/8",AM159&gt;0.5),AND(G159="2/8",AM159&gt;0.5)),(AM159*2*база!$J$4*Таблица14[[#This Row],[коэф]]),
(AM159*2*база!$L$5*Таблица14[[#This Row],[коэф]])))))))))))</f>
        <v>0</v>
      </c>
      <c r="AO159" s="122" t="str">
        <f>IFERROR(INDEX(база!$D$2:$D$120, MATCH(Таблица14[[#This Row],[Ф. И. О.]],база!$B$2:$B$100,0)),"")</f>
        <v/>
      </c>
    </row>
    <row r="160" spans="1:41" s="46" customFormat="1">
      <c r="A160" s="207" t="str">
        <f t="shared" si="4"/>
        <v>январь</v>
      </c>
      <c r="B160" s="240">
        <v>2024</v>
      </c>
      <c r="C160" s="572"/>
      <c r="D160" s="214"/>
      <c r="E160" s="241"/>
      <c r="F160" s="713"/>
      <c r="G160" s="242"/>
      <c r="H160" s="215"/>
      <c r="I160" s="215"/>
      <c r="J160" s="215"/>
      <c r="K160" s="215"/>
      <c r="L160" s="215"/>
      <c r="M160" s="215"/>
      <c r="N160" s="215"/>
      <c r="O160" s="215"/>
      <c r="P160" s="215"/>
      <c r="Q160" s="215"/>
      <c r="R160" s="215"/>
      <c r="S160" s="215"/>
      <c r="T160" s="215"/>
      <c r="U160" s="215"/>
      <c r="V160" s="215"/>
      <c r="W160" s="215"/>
      <c r="X160" s="215"/>
      <c r="Y160" s="215"/>
      <c r="Z160" s="215"/>
      <c r="AA160" s="215"/>
      <c r="AB160" s="215"/>
      <c r="AC160" s="215"/>
      <c r="AD160" s="215"/>
      <c r="AE160" s="215"/>
      <c r="AF160" s="215"/>
      <c r="AG160" s="215"/>
      <c r="AH160" s="215"/>
      <c r="AI160" s="215"/>
      <c r="AJ160" s="215"/>
      <c r="AK160" s="215"/>
      <c r="AL160" s="215"/>
      <c r="AM160" s="121">
        <f t="shared" si="5"/>
        <v>0</v>
      </c>
      <c r="AN160" s="564">
        <f>IF(AO160&lt;=3,(IF(AND(G160="5/24",AM160&gt;0.5),(AM160*2*база!$M$6*Таблица14[[#This Row],[коэф]]),
IF(AND(G160="4/24",AM160&gt;0.5),(AM160*2*база!$M$5*Таблица14[[#This Row],[коэф]]),
IF(AND(G160="3/24",AM160&gt;0.5),(AM160*2*база!$M$4*Таблица14[[#This Row],[коэф]]),
IF(AND(G160="5/16",AM160&gt;0.5),(AM160*2*база!$L$6*Таблица14[[#This Row],[коэф]]),
IF(AND(G160="4/16",AM160&gt;0.5),(AM160*2*база!$L$5*Таблица14[[#This Row],[коэф]]),
IF(AND(G160="3/16",AM160&gt;0.5),(AM160*2*база!$L$4*Таблица14[[#This Row],[коэф]]),
IF(AND(G160="4/4",AM160&gt;0.5),(AM160*2*база!$I$5*Таблица14[[#This Row],[коэф]]),
IF(OR(AND(G160="3/4",AM160&gt;0.5),AND(G160="2/4",AM160&gt;0.5)),(AM160*2*база!$I$4*Таблица14[[#This Row],[коэф]]),
IF(AND(G160="5/8",AM160&gt;0.5),(AM160*2*база!$J$6*Таблица14[[#This Row],[коэф]]),
IF(AND(G160="4/8",AM160&gt;0.5),(AM160*2*база!$J$5*Таблица14[[#This Row],[коэф]]),
IF(OR(AND(G160="3/8",AM160&gt;0.5),AND(G160="2/8",AM160&gt;0.5)),(AM160*2*база!$J$4*Таблица14[[#This Row],[коэф]]),
(AM160*0.5*база!$L$4*Таблица14[[#This Row],[коэф]]))))))))))))),
(IF(AND(G160="5/24",AM160&gt;0.5),(AM160*2*база!$M$6*Таблица14[[#This Row],[коэф]]),
IF(OR(AND(G160="4/24",AM160&gt;0.5),AND(G160="3/24",AM160&gt;0.5)),(AM160*2*база!$M$5*Таблица14[[#This Row],[коэф]]),
IF(AND(G160="5/16",AM160&gt;0.5),(AM160*2*база!$L$6*Таблица14[[#This Row],[коэф]]),
IF(OR(AND(G160="4/16",AM160&gt;0.5),AND(G160="3/16",AM160&gt;0.5)),(AM160*2*база!$L$5*Таблица14[[#This Row],[коэф]]),
IF(OR(AND(G160="4/4",AM160&gt;0.5),AND(G160="3/4",AM160&gt;2)),(AM160*2*база!$I$5*Таблица14[[#This Row],[коэф]]),
IF(AND(G160="5/8",AM160&gt;0.5),(AM160*2*база!$J$6*Таблица14[[#This Row],[коэф]]),
IF(AND(G160="4/8",AM160&gt;0.5),(AM160*2*база!$J$5*Таблица14[[#This Row],[коэф]]),
IF(OR(AND(G160="3/8",AM160&gt;0.5),AND(G160="2/8",AM160&gt;0.5)),(AM160*2*база!$J$4*Таблица14[[#This Row],[коэф]]),
(AM160*2*база!$L$5*Таблица14[[#This Row],[коэф]])))))))))))</f>
        <v>0</v>
      </c>
      <c r="AO160" s="122" t="str">
        <f>IFERROR(INDEX(база!$D$2:$D$120, MATCH(Таблица14[[#This Row],[Ф. И. О.]],база!$B$2:$B$100,0)),"")</f>
        <v/>
      </c>
    </row>
    <row r="161" spans="1:41" s="46" customFormat="1">
      <c r="A161" s="207" t="str">
        <f t="shared" si="4"/>
        <v>январь</v>
      </c>
      <c r="B161" s="204">
        <v>2024</v>
      </c>
      <c r="C161" s="572"/>
      <c r="D161" s="214"/>
      <c r="E161" s="243"/>
      <c r="F161" s="713"/>
      <c r="G161" s="206"/>
      <c r="H161" s="215"/>
      <c r="I161" s="215"/>
      <c r="J161" s="215"/>
      <c r="K161" s="215"/>
      <c r="L161" s="215"/>
      <c r="M161" s="215"/>
      <c r="N161" s="215"/>
      <c r="O161" s="215"/>
      <c r="P161" s="215"/>
      <c r="Q161" s="215"/>
      <c r="R161" s="215"/>
      <c r="S161" s="215"/>
      <c r="T161" s="215"/>
      <c r="U161" s="215"/>
      <c r="V161" s="215"/>
      <c r="W161" s="215"/>
      <c r="X161" s="215"/>
      <c r="Y161" s="215"/>
      <c r="Z161" s="215"/>
      <c r="AA161" s="215"/>
      <c r="AB161" s="215"/>
      <c r="AC161" s="215"/>
      <c r="AD161" s="215"/>
      <c r="AE161" s="215"/>
      <c r="AF161" s="215"/>
      <c r="AG161" s="215"/>
      <c r="AH161" s="215"/>
      <c r="AI161" s="215"/>
      <c r="AJ161" s="215"/>
      <c r="AK161" s="215"/>
      <c r="AL161" s="215"/>
      <c r="AM161" s="121">
        <f t="shared" si="5"/>
        <v>0</v>
      </c>
      <c r="AN161" s="564">
        <f>IF(AO161&lt;=3,(IF(AND(G161="5/24",AM161&gt;0.5),(AM161*2*база!$M$6*Таблица14[[#This Row],[коэф]]),
IF(AND(G161="4/24",AM161&gt;0.5),(AM161*2*база!$M$5*Таблица14[[#This Row],[коэф]]),
IF(AND(G161="3/24",AM161&gt;0.5),(AM161*2*база!$M$4*Таблица14[[#This Row],[коэф]]),
IF(AND(G161="5/16",AM161&gt;0.5),(AM161*2*база!$L$6*Таблица14[[#This Row],[коэф]]),
IF(AND(G161="4/16",AM161&gt;0.5),(AM161*2*база!$L$5*Таблица14[[#This Row],[коэф]]),
IF(AND(G161="3/16",AM161&gt;0.5),(AM161*2*база!$L$4*Таблица14[[#This Row],[коэф]]),
IF(AND(G161="4/4",AM161&gt;0.5),(AM161*2*база!$I$5*Таблица14[[#This Row],[коэф]]),
IF(OR(AND(G161="3/4",AM161&gt;0.5),AND(G161="2/4",AM161&gt;0.5)),(AM161*2*база!$I$4*Таблица14[[#This Row],[коэф]]),
IF(AND(G161="5/8",AM161&gt;0.5),(AM161*2*база!$J$6*Таблица14[[#This Row],[коэф]]),
IF(AND(G161="4/8",AM161&gt;0.5),(AM161*2*база!$J$5*Таблица14[[#This Row],[коэф]]),
IF(OR(AND(G161="3/8",AM161&gt;0.5),AND(G161="2/8",AM161&gt;0.5)),(AM161*2*база!$J$4*Таблица14[[#This Row],[коэф]]),
(AM161*0.5*база!$L$4*Таблица14[[#This Row],[коэф]]))))))))))))),
(IF(AND(G161="5/24",AM161&gt;0.5),(AM161*2*база!$M$6*Таблица14[[#This Row],[коэф]]),
IF(OR(AND(G161="4/24",AM161&gt;0.5),AND(G161="3/24",AM161&gt;0.5)),(AM161*2*база!$M$5*Таблица14[[#This Row],[коэф]]),
IF(AND(G161="5/16",AM161&gt;0.5),(AM161*2*база!$L$6*Таблица14[[#This Row],[коэф]]),
IF(OR(AND(G161="4/16",AM161&gt;0.5),AND(G161="3/16",AM161&gt;0.5)),(AM161*2*база!$L$5*Таблица14[[#This Row],[коэф]]),
IF(OR(AND(G161="4/4",AM161&gt;0.5),AND(G161="3/4",AM161&gt;2)),(AM161*2*база!$I$5*Таблица14[[#This Row],[коэф]]),
IF(AND(G161="5/8",AM161&gt;0.5),(AM161*2*база!$J$6*Таблица14[[#This Row],[коэф]]),
IF(AND(G161="4/8",AM161&gt;0.5),(AM161*2*база!$J$5*Таблица14[[#This Row],[коэф]]),
IF(OR(AND(G161="3/8",AM161&gt;0.5),AND(G161="2/8",AM161&gt;0.5)),(AM161*2*база!$J$4*Таблица14[[#This Row],[коэф]]),
(AM161*2*база!$L$5*Таблица14[[#This Row],[коэф]])))))))))))</f>
        <v>0</v>
      </c>
      <c r="AO161" s="122" t="str">
        <f>IFERROR(INDEX(база!$D$2:$D$120, MATCH(Таблица14[[#This Row],[Ф. И. О.]],база!$B$2:$B$100,0)),"")</f>
        <v/>
      </c>
    </row>
    <row r="162" spans="1:41" s="46" customFormat="1">
      <c r="A162" s="207" t="str">
        <f t="shared" si="4"/>
        <v>январь</v>
      </c>
      <c r="B162" s="240">
        <v>2024</v>
      </c>
      <c r="C162" s="572"/>
      <c r="D162" s="214"/>
      <c r="E162" s="241"/>
      <c r="F162" s="713"/>
      <c r="G162" s="242"/>
      <c r="H162" s="215"/>
      <c r="I162" s="215"/>
      <c r="J162" s="215"/>
      <c r="K162" s="215"/>
      <c r="L162" s="215"/>
      <c r="M162" s="215"/>
      <c r="N162" s="215"/>
      <c r="O162" s="215"/>
      <c r="P162" s="215"/>
      <c r="Q162" s="215"/>
      <c r="R162" s="215"/>
      <c r="S162" s="215"/>
      <c r="T162" s="215"/>
      <c r="U162" s="215"/>
      <c r="V162" s="215"/>
      <c r="W162" s="215"/>
      <c r="X162" s="215"/>
      <c r="Y162" s="215"/>
      <c r="Z162" s="215"/>
      <c r="AA162" s="215"/>
      <c r="AB162" s="215"/>
      <c r="AC162" s="215"/>
      <c r="AD162" s="215"/>
      <c r="AE162" s="215"/>
      <c r="AF162" s="215"/>
      <c r="AG162" s="215"/>
      <c r="AH162" s="215"/>
      <c r="AI162" s="215"/>
      <c r="AJ162" s="215"/>
      <c r="AK162" s="215"/>
      <c r="AL162" s="215"/>
      <c r="AM162" s="121">
        <f t="shared" si="5"/>
        <v>0</v>
      </c>
      <c r="AN162" s="564">
        <f>IF(AO162&lt;=3,(IF(AND(G162="5/24",AM162&gt;0.5),(AM162*2*база!$M$6*Таблица14[[#This Row],[коэф]]),
IF(AND(G162="4/24",AM162&gt;0.5),(AM162*2*база!$M$5*Таблица14[[#This Row],[коэф]]),
IF(AND(G162="3/24",AM162&gt;0.5),(AM162*2*база!$M$4*Таблица14[[#This Row],[коэф]]),
IF(AND(G162="5/16",AM162&gt;0.5),(AM162*2*база!$L$6*Таблица14[[#This Row],[коэф]]),
IF(AND(G162="4/16",AM162&gt;0.5),(AM162*2*база!$L$5*Таблица14[[#This Row],[коэф]]),
IF(AND(G162="3/16",AM162&gt;0.5),(AM162*2*база!$L$4*Таблица14[[#This Row],[коэф]]),
IF(AND(G162="4/4",AM162&gt;0.5),(AM162*2*база!$I$5*Таблица14[[#This Row],[коэф]]),
IF(OR(AND(G162="3/4",AM162&gt;0.5),AND(G162="2/4",AM162&gt;0.5)),(AM162*2*база!$I$4*Таблица14[[#This Row],[коэф]]),
IF(AND(G162="5/8",AM162&gt;0.5),(AM162*2*база!$J$6*Таблица14[[#This Row],[коэф]]),
IF(AND(G162="4/8",AM162&gt;0.5),(AM162*2*база!$J$5*Таблица14[[#This Row],[коэф]]),
IF(OR(AND(G162="3/8",AM162&gt;0.5),AND(G162="2/8",AM162&gt;0.5)),(AM162*2*база!$J$4*Таблица14[[#This Row],[коэф]]),
(AM162*0.5*база!$L$4*Таблица14[[#This Row],[коэф]]))))))))))))),
(IF(AND(G162="5/24",AM162&gt;0.5),(AM162*2*база!$M$6*Таблица14[[#This Row],[коэф]]),
IF(OR(AND(G162="4/24",AM162&gt;0.5),AND(G162="3/24",AM162&gt;0.5)),(AM162*2*база!$M$5*Таблица14[[#This Row],[коэф]]),
IF(AND(G162="5/16",AM162&gt;0.5),(AM162*2*база!$L$6*Таблица14[[#This Row],[коэф]]),
IF(OR(AND(G162="4/16",AM162&gt;0.5),AND(G162="3/16",AM162&gt;0.5)),(AM162*2*база!$L$5*Таблица14[[#This Row],[коэф]]),
IF(OR(AND(G162="4/4",AM162&gt;0.5),AND(G162="3/4",AM162&gt;2)),(AM162*2*база!$I$5*Таблица14[[#This Row],[коэф]]),
IF(AND(G162="5/8",AM162&gt;0.5),(AM162*2*база!$J$6*Таблица14[[#This Row],[коэф]]),
IF(AND(G162="4/8",AM162&gt;0.5),(AM162*2*база!$J$5*Таблица14[[#This Row],[коэф]]),
IF(OR(AND(G162="3/8",AM162&gt;0.5),AND(G162="2/8",AM162&gt;0.5)),(AM162*2*база!$J$4*Таблица14[[#This Row],[коэф]]),
(AM162*2*база!$L$5*Таблица14[[#This Row],[коэф]])))))))))))</f>
        <v>0</v>
      </c>
      <c r="AO162" s="122" t="str">
        <f>IFERROR(INDEX(база!$D$2:$D$120, MATCH(Таблица14[[#This Row],[Ф. И. О.]],база!$B$2:$B$100,0)),"")</f>
        <v/>
      </c>
    </row>
    <row r="163" spans="1:41" s="46" customFormat="1">
      <c r="A163" s="207" t="str">
        <f t="shared" si="4"/>
        <v>январь</v>
      </c>
      <c r="B163" s="204">
        <v>2024</v>
      </c>
      <c r="C163" s="572"/>
      <c r="D163" s="214"/>
      <c r="E163" s="243"/>
      <c r="F163" s="713"/>
      <c r="G163" s="206"/>
      <c r="H163" s="215"/>
      <c r="I163" s="215"/>
      <c r="J163" s="215"/>
      <c r="K163" s="215"/>
      <c r="L163" s="215"/>
      <c r="M163" s="215"/>
      <c r="N163" s="215"/>
      <c r="O163" s="215"/>
      <c r="P163" s="215"/>
      <c r="Q163" s="215"/>
      <c r="R163" s="215"/>
      <c r="S163" s="215"/>
      <c r="T163" s="215"/>
      <c r="U163" s="215"/>
      <c r="V163" s="215"/>
      <c r="W163" s="215"/>
      <c r="X163" s="215"/>
      <c r="Y163" s="215"/>
      <c r="Z163" s="215"/>
      <c r="AA163" s="215"/>
      <c r="AB163" s="215"/>
      <c r="AC163" s="215"/>
      <c r="AD163" s="215"/>
      <c r="AE163" s="215"/>
      <c r="AF163" s="215"/>
      <c r="AG163" s="215"/>
      <c r="AH163" s="215"/>
      <c r="AI163" s="215"/>
      <c r="AJ163" s="215"/>
      <c r="AK163" s="215"/>
      <c r="AL163" s="215"/>
      <c r="AM163" s="121">
        <f t="shared" si="5"/>
        <v>0</v>
      </c>
      <c r="AN163" s="564">
        <f>IF(AO163&lt;=3,(IF(AND(G163="5/24",AM163&gt;0.5),(AM163*2*база!$M$6*Таблица14[[#This Row],[коэф]]),
IF(AND(G163="4/24",AM163&gt;0.5),(AM163*2*база!$M$5*Таблица14[[#This Row],[коэф]]),
IF(AND(G163="3/24",AM163&gt;0.5),(AM163*2*база!$M$4*Таблица14[[#This Row],[коэф]]),
IF(AND(G163="5/16",AM163&gt;0.5),(AM163*2*база!$L$6*Таблица14[[#This Row],[коэф]]),
IF(AND(G163="4/16",AM163&gt;0.5),(AM163*2*база!$L$5*Таблица14[[#This Row],[коэф]]),
IF(AND(G163="3/16",AM163&gt;0.5),(AM163*2*база!$L$4*Таблица14[[#This Row],[коэф]]),
IF(AND(G163="4/4",AM163&gt;0.5),(AM163*2*база!$I$5*Таблица14[[#This Row],[коэф]]),
IF(OR(AND(G163="3/4",AM163&gt;0.5),AND(G163="2/4",AM163&gt;0.5)),(AM163*2*база!$I$4*Таблица14[[#This Row],[коэф]]),
IF(AND(G163="5/8",AM163&gt;0.5),(AM163*2*база!$J$6*Таблица14[[#This Row],[коэф]]),
IF(AND(G163="4/8",AM163&gt;0.5),(AM163*2*база!$J$5*Таблица14[[#This Row],[коэф]]),
IF(OR(AND(G163="3/8",AM163&gt;0.5),AND(G163="2/8",AM163&gt;0.5)),(AM163*2*база!$J$4*Таблица14[[#This Row],[коэф]]),
(AM163*0.5*база!$L$4*Таблица14[[#This Row],[коэф]]))))))))))))),
(IF(AND(G163="5/24",AM163&gt;0.5),(AM163*2*база!$M$6*Таблица14[[#This Row],[коэф]]),
IF(OR(AND(G163="4/24",AM163&gt;0.5),AND(G163="3/24",AM163&gt;0.5)),(AM163*2*база!$M$5*Таблица14[[#This Row],[коэф]]),
IF(AND(G163="5/16",AM163&gt;0.5),(AM163*2*база!$L$6*Таблица14[[#This Row],[коэф]]),
IF(OR(AND(G163="4/16",AM163&gt;0.5),AND(G163="3/16",AM163&gt;0.5)),(AM163*2*база!$L$5*Таблица14[[#This Row],[коэф]]),
IF(OR(AND(G163="4/4",AM163&gt;0.5),AND(G163="3/4",AM163&gt;2)),(AM163*2*база!$I$5*Таблица14[[#This Row],[коэф]]),
IF(AND(G163="5/8",AM163&gt;0.5),(AM163*2*база!$J$6*Таблица14[[#This Row],[коэф]]),
IF(AND(G163="4/8",AM163&gt;0.5),(AM163*2*база!$J$5*Таблица14[[#This Row],[коэф]]),
IF(OR(AND(G163="3/8",AM163&gt;0.5),AND(G163="2/8",AM163&gt;0.5)),(AM163*2*база!$J$4*Таблица14[[#This Row],[коэф]]),
(AM163*2*база!$L$5*Таблица14[[#This Row],[коэф]])))))))))))</f>
        <v>0</v>
      </c>
      <c r="AO163" s="122" t="str">
        <f>IFERROR(INDEX(база!$D$2:$D$120, MATCH(Таблица14[[#This Row],[Ф. И. О.]],база!$B$2:$B$100,0)),"")</f>
        <v/>
      </c>
    </row>
    <row r="164" spans="1:41" s="46" customFormat="1">
      <c r="A164" s="207" t="str">
        <f t="shared" si="4"/>
        <v>январь</v>
      </c>
      <c r="B164" s="240">
        <v>2024</v>
      </c>
      <c r="C164" s="572"/>
      <c r="D164" s="214"/>
      <c r="E164" s="241"/>
      <c r="F164" s="679"/>
      <c r="G164" s="242"/>
      <c r="H164" s="215"/>
      <c r="I164" s="215"/>
      <c r="J164" s="215"/>
      <c r="K164" s="215"/>
      <c r="L164" s="215"/>
      <c r="M164" s="215"/>
      <c r="N164" s="215"/>
      <c r="O164" s="215"/>
      <c r="P164" s="215"/>
      <c r="Q164" s="215"/>
      <c r="R164" s="215"/>
      <c r="S164" s="215"/>
      <c r="T164" s="215"/>
      <c r="U164" s="215"/>
      <c r="V164" s="215"/>
      <c r="W164" s="215"/>
      <c r="X164" s="215"/>
      <c r="Y164" s="215"/>
      <c r="Z164" s="215"/>
      <c r="AA164" s="215"/>
      <c r="AB164" s="215"/>
      <c r="AC164" s="215"/>
      <c r="AD164" s="215"/>
      <c r="AE164" s="215"/>
      <c r="AF164" s="215"/>
      <c r="AG164" s="215"/>
      <c r="AH164" s="215"/>
      <c r="AI164" s="215"/>
      <c r="AJ164" s="215"/>
      <c r="AK164" s="215"/>
      <c r="AL164" s="215"/>
      <c r="AM164" s="121">
        <f t="shared" si="5"/>
        <v>0</v>
      </c>
      <c r="AN164" s="564">
        <f>IF(AO164&lt;=3,(IF(AND(G164="5/24",AM164&gt;0.5),(AM164*2*база!$M$6*Таблица14[[#This Row],[коэф]]),
IF(AND(G164="4/24",AM164&gt;0.5),(AM164*2*база!$M$5*Таблица14[[#This Row],[коэф]]),
IF(AND(G164="3/24",AM164&gt;0.5),(AM164*2*база!$M$4*Таблица14[[#This Row],[коэф]]),
IF(AND(G164="5/16",AM164&gt;0.5),(AM164*2*база!$L$6*Таблица14[[#This Row],[коэф]]),
IF(AND(G164="4/16",AM164&gt;0.5),(AM164*2*база!$L$5*Таблица14[[#This Row],[коэф]]),
IF(AND(G164="3/16",AM164&gt;0.5),(AM164*2*база!$L$4*Таблица14[[#This Row],[коэф]]),
IF(AND(G164="4/4",AM164&gt;0.5),(AM164*2*база!$I$5*Таблица14[[#This Row],[коэф]]),
IF(OR(AND(G164="3/4",AM164&gt;0.5),AND(G164="2/4",AM164&gt;0.5)),(AM164*2*база!$I$4*Таблица14[[#This Row],[коэф]]),
IF(AND(G164="5/8",AM164&gt;0.5),(AM164*2*база!$J$6*Таблица14[[#This Row],[коэф]]),
IF(AND(G164="4/8",AM164&gt;0.5),(AM164*2*база!$J$5*Таблица14[[#This Row],[коэф]]),
IF(OR(AND(G164="3/8",AM164&gt;0.5),AND(G164="2/8",AM164&gt;0.5)),(AM164*2*база!$J$4*Таблица14[[#This Row],[коэф]]),
(AM164*0.5*база!$L$4*Таблица14[[#This Row],[коэф]]))))))))))))),
(IF(AND(G164="5/24",AM164&gt;0.5),(AM164*2*база!$M$6*Таблица14[[#This Row],[коэф]]),
IF(OR(AND(G164="4/24",AM164&gt;0.5),AND(G164="3/24",AM164&gt;0.5)),(AM164*2*база!$M$5*Таблица14[[#This Row],[коэф]]),
IF(AND(G164="5/16",AM164&gt;0.5),(AM164*2*база!$L$6*Таблица14[[#This Row],[коэф]]),
IF(OR(AND(G164="4/16",AM164&gt;0.5),AND(G164="3/16",AM164&gt;0.5)),(AM164*2*база!$L$5*Таблица14[[#This Row],[коэф]]),
IF(OR(AND(G164="4/4",AM164&gt;0.5),AND(G164="3/4",AM164&gt;2)),(AM164*2*база!$I$5*Таблица14[[#This Row],[коэф]]),
IF(AND(G164="5/8",AM164&gt;0.5),(AM164*2*база!$J$6*Таблица14[[#This Row],[коэф]]),
IF(AND(G164="4/8",AM164&gt;0.5),(AM164*2*база!$J$5*Таблица14[[#This Row],[коэф]]),
IF(OR(AND(G164="3/8",AM164&gt;0.5),AND(G164="2/8",AM164&gt;0.5)),(AM164*2*база!$J$4*Таблица14[[#This Row],[коэф]]),
(AM164*2*база!$L$5*Таблица14[[#This Row],[коэф]])))))))))))</f>
        <v>0</v>
      </c>
      <c r="AO164" s="122" t="str">
        <f>IFERROR(INDEX(база!$D$2:$D$120, MATCH(Таблица14[[#This Row],[Ф. И. О.]],база!$B$2:$B$100,0)),"")</f>
        <v/>
      </c>
    </row>
    <row r="165" spans="1:41" s="46" customFormat="1">
      <c r="A165" s="207" t="str">
        <f t="shared" si="4"/>
        <v>январь</v>
      </c>
      <c r="B165" s="204">
        <v>2024</v>
      </c>
      <c r="C165" s="572"/>
      <c r="D165" s="214"/>
      <c r="E165" s="243"/>
      <c r="F165" s="679"/>
      <c r="G165" s="206"/>
      <c r="H165" s="215"/>
      <c r="I165" s="215"/>
      <c r="J165" s="215"/>
      <c r="K165" s="215"/>
      <c r="L165" s="215"/>
      <c r="M165" s="215"/>
      <c r="N165" s="215"/>
      <c r="O165" s="215"/>
      <c r="P165" s="215"/>
      <c r="Q165" s="215"/>
      <c r="R165" s="215"/>
      <c r="S165" s="215"/>
      <c r="T165" s="215"/>
      <c r="U165" s="215"/>
      <c r="V165" s="215"/>
      <c r="W165" s="215"/>
      <c r="X165" s="215"/>
      <c r="Y165" s="215"/>
      <c r="Z165" s="215"/>
      <c r="AA165" s="215"/>
      <c r="AB165" s="215"/>
      <c r="AC165" s="215"/>
      <c r="AD165" s="215"/>
      <c r="AE165" s="215"/>
      <c r="AF165" s="215"/>
      <c r="AG165" s="215"/>
      <c r="AH165" s="215"/>
      <c r="AI165" s="215"/>
      <c r="AJ165" s="215"/>
      <c r="AK165" s="215"/>
      <c r="AL165" s="215"/>
      <c r="AM165" s="121">
        <f t="shared" si="5"/>
        <v>0</v>
      </c>
      <c r="AN165" s="564">
        <f>IF(AO165&lt;=3,(IF(AND(G165="5/24",AM165&gt;0.5),(AM165*2*база!$M$6*Таблица14[[#This Row],[коэф]]),
IF(AND(G165="4/24",AM165&gt;0.5),(AM165*2*база!$M$5*Таблица14[[#This Row],[коэф]]),
IF(AND(G165="3/24",AM165&gt;0.5),(AM165*2*база!$M$4*Таблица14[[#This Row],[коэф]]),
IF(AND(G165="5/16",AM165&gt;0.5),(AM165*2*база!$L$6*Таблица14[[#This Row],[коэф]]),
IF(AND(G165="4/16",AM165&gt;0.5),(AM165*2*база!$L$5*Таблица14[[#This Row],[коэф]]),
IF(AND(G165="3/16",AM165&gt;0.5),(AM165*2*база!$L$4*Таблица14[[#This Row],[коэф]]),
IF(AND(G165="4/4",AM165&gt;0.5),(AM165*2*база!$I$5*Таблица14[[#This Row],[коэф]]),
IF(OR(AND(G165="3/4",AM165&gt;0.5),AND(G165="2/4",AM165&gt;0.5)),(AM165*2*база!$I$4*Таблица14[[#This Row],[коэф]]),
IF(AND(G165="5/8",AM165&gt;0.5),(AM165*2*база!$J$6*Таблица14[[#This Row],[коэф]]),
IF(AND(G165="4/8",AM165&gt;0.5),(AM165*2*база!$J$5*Таблица14[[#This Row],[коэф]]),
IF(OR(AND(G165="3/8",AM165&gt;0.5),AND(G165="2/8",AM165&gt;0.5)),(AM165*2*база!$J$4*Таблица14[[#This Row],[коэф]]),
(AM165*0.5*база!$L$4*Таблица14[[#This Row],[коэф]]))))))))))))),
(IF(AND(G165="5/24",AM165&gt;0.5),(AM165*2*база!$M$6*Таблица14[[#This Row],[коэф]]),
IF(OR(AND(G165="4/24",AM165&gt;0.5),AND(G165="3/24",AM165&gt;0.5)),(AM165*2*база!$M$5*Таблица14[[#This Row],[коэф]]),
IF(AND(G165="5/16",AM165&gt;0.5),(AM165*2*база!$L$6*Таблица14[[#This Row],[коэф]]),
IF(OR(AND(G165="4/16",AM165&gt;0.5),AND(G165="3/16",AM165&gt;0.5)),(AM165*2*база!$L$5*Таблица14[[#This Row],[коэф]]),
IF(OR(AND(G165="4/4",AM165&gt;0.5),AND(G165="3/4",AM165&gt;2)),(AM165*2*база!$I$5*Таблица14[[#This Row],[коэф]]),
IF(AND(G165="5/8",AM165&gt;0.5),(AM165*2*база!$J$6*Таблица14[[#This Row],[коэф]]),
IF(AND(G165="4/8",AM165&gt;0.5),(AM165*2*база!$J$5*Таблица14[[#This Row],[коэф]]),
IF(OR(AND(G165="3/8",AM165&gt;0.5),AND(G165="2/8",AM165&gt;0.5)),(AM165*2*база!$J$4*Таблица14[[#This Row],[коэф]]),
(AM165*2*база!$L$5*Таблица14[[#This Row],[коэф]])))))))))))</f>
        <v>0</v>
      </c>
      <c r="AO165" s="122" t="str">
        <f>IFERROR(INDEX(база!$D$2:$D$120, MATCH(Таблица14[[#This Row],[Ф. И. О.]],база!$B$2:$B$100,0)),"")</f>
        <v/>
      </c>
    </row>
    <row r="166" spans="1:41">
      <c r="A166" s="207" t="str">
        <f t="shared" si="4"/>
        <v>январь</v>
      </c>
      <c r="B166" s="240">
        <v>2024</v>
      </c>
      <c r="C166" s="572"/>
      <c r="D166" s="214"/>
      <c r="E166" s="241"/>
      <c r="F166" s="679"/>
      <c r="G166" s="242"/>
      <c r="H166" s="215"/>
      <c r="I166" s="215"/>
      <c r="J166" s="215"/>
      <c r="K166" s="215"/>
      <c r="L166" s="215"/>
      <c r="M166" s="215"/>
      <c r="N166" s="215"/>
      <c r="O166" s="215"/>
      <c r="P166" s="215"/>
      <c r="Q166" s="215"/>
      <c r="R166" s="215"/>
      <c r="S166" s="215"/>
      <c r="T166" s="215"/>
      <c r="U166" s="215"/>
      <c r="V166" s="215"/>
      <c r="W166" s="215"/>
      <c r="X166" s="215"/>
      <c r="Y166" s="215"/>
      <c r="Z166" s="215"/>
      <c r="AA166" s="215"/>
      <c r="AB166" s="215"/>
      <c r="AC166" s="215"/>
      <c r="AD166" s="215"/>
      <c r="AE166" s="215"/>
      <c r="AF166" s="215"/>
      <c r="AG166" s="215"/>
      <c r="AH166" s="215"/>
      <c r="AI166" s="215"/>
      <c r="AJ166" s="215"/>
      <c r="AK166" s="215"/>
      <c r="AL166" s="215"/>
      <c r="AM166" s="121">
        <f t="shared" si="5"/>
        <v>0</v>
      </c>
      <c r="AN166" s="564">
        <f>IF(AO166&lt;=3,(IF(AND(G166="5/24",AM166&gt;0.5),(AM166*2*база!$M$6*Таблица14[[#This Row],[коэф]]),
IF(AND(G166="4/24",AM166&gt;0.5),(AM166*2*база!$M$5*Таблица14[[#This Row],[коэф]]),
IF(AND(G166="3/24",AM166&gt;0.5),(AM166*2*база!$M$4*Таблица14[[#This Row],[коэф]]),
IF(AND(G166="5/16",AM166&gt;0.5),(AM166*2*база!$L$6*Таблица14[[#This Row],[коэф]]),
IF(AND(G166="4/16",AM166&gt;0.5),(AM166*2*база!$L$5*Таблица14[[#This Row],[коэф]]),
IF(AND(G166="3/16",AM166&gt;0.5),(AM166*2*база!$L$4*Таблица14[[#This Row],[коэф]]),
IF(AND(G166="4/4",AM166&gt;0.5),(AM166*2*база!$I$5*Таблица14[[#This Row],[коэф]]),
IF(OR(AND(G166="3/4",AM166&gt;0.5),AND(G166="2/4",AM166&gt;0.5)),(AM166*2*база!$I$4*Таблица14[[#This Row],[коэф]]),
IF(AND(G166="5/8",AM166&gt;0.5),(AM166*2*база!$J$6*Таблица14[[#This Row],[коэф]]),
IF(AND(G166="4/8",AM166&gt;0.5),(AM166*2*база!$J$5*Таблица14[[#This Row],[коэф]]),
IF(OR(AND(G166="3/8",AM166&gt;0.5),AND(G166="2/8",AM166&gt;0.5)),(AM166*2*база!$J$4*Таблица14[[#This Row],[коэф]]),
(AM166*0.5*база!$L$4*Таблица14[[#This Row],[коэф]]))))))))))))),
(IF(AND(G166="5/24",AM166&gt;0.5),(AM166*2*база!$M$6*Таблица14[[#This Row],[коэф]]),
IF(OR(AND(G166="4/24",AM166&gt;0.5),AND(G166="3/24",AM166&gt;0.5)),(AM166*2*база!$M$5*Таблица14[[#This Row],[коэф]]),
IF(AND(G166="5/16",AM166&gt;0.5),(AM166*2*база!$L$6*Таблица14[[#This Row],[коэф]]),
IF(OR(AND(G166="4/16",AM166&gt;0.5),AND(G166="3/16",AM166&gt;0.5)),(AM166*2*база!$L$5*Таблица14[[#This Row],[коэф]]),
IF(OR(AND(G166="4/4",AM166&gt;0.5),AND(G166="3/4",AM166&gt;2)),(AM166*2*база!$I$5*Таблица14[[#This Row],[коэф]]),
IF(AND(G166="5/8",AM166&gt;0.5),(AM166*2*база!$J$6*Таблица14[[#This Row],[коэф]]),
IF(AND(G166="4/8",AM166&gt;0.5),(AM166*2*база!$J$5*Таблица14[[#This Row],[коэф]]),
IF(OR(AND(G166="3/8",AM166&gt;0.5),AND(G166="2/8",AM166&gt;0.5)),(AM166*2*база!$J$4*Таблица14[[#This Row],[коэф]]),
(AM166*2*база!$L$5*Таблица14[[#This Row],[коэф]])))))))))))</f>
        <v>0</v>
      </c>
      <c r="AO166" s="122" t="str">
        <f>IFERROR(INDEX(база!$D$2:$D$120, MATCH(Таблица14[[#This Row],[Ф. И. О.]],база!$B$2:$B$100,0)),"")</f>
        <v/>
      </c>
    </row>
    <row r="167" spans="1:41">
      <c r="A167" s="207" t="str">
        <f t="shared" si="4"/>
        <v>январь</v>
      </c>
      <c r="B167" s="204">
        <v>2024</v>
      </c>
      <c r="C167" s="572"/>
      <c r="D167" s="214"/>
      <c r="E167" s="243"/>
      <c r="F167" s="679"/>
      <c r="G167" s="206"/>
      <c r="H167" s="215"/>
      <c r="I167" s="215"/>
      <c r="J167" s="215"/>
      <c r="K167" s="215"/>
      <c r="L167" s="215"/>
      <c r="M167" s="215"/>
      <c r="N167" s="215"/>
      <c r="O167" s="215"/>
      <c r="P167" s="215"/>
      <c r="Q167" s="215"/>
      <c r="R167" s="215"/>
      <c r="S167" s="215"/>
      <c r="T167" s="215"/>
      <c r="U167" s="215"/>
      <c r="V167" s="215"/>
      <c r="W167" s="215"/>
      <c r="X167" s="215"/>
      <c r="Y167" s="215"/>
      <c r="Z167" s="215"/>
      <c r="AA167" s="215"/>
      <c r="AB167" s="215"/>
      <c r="AC167" s="215"/>
      <c r="AD167" s="215"/>
      <c r="AE167" s="215"/>
      <c r="AF167" s="215"/>
      <c r="AG167" s="215"/>
      <c r="AH167" s="215"/>
      <c r="AI167" s="215"/>
      <c r="AJ167" s="215"/>
      <c r="AK167" s="215"/>
      <c r="AL167" s="215"/>
      <c r="AM167" s="121">
        <f t="shared" si="5"/>
        <v>0</v>
      </c>
      <c r="AN167" s="564">
        <f>IF(AO167&lt;=3,(IF(AND(G167="5/24",AM167&gt;0.5),(AM167*2*база!$M$6*Таблица14[[#This Row],[коэф]]),
IF(AND(G167="4/24",AM167&gt;0.5),(AM167*2*база!$M$5*Таблица14[[#This Row],[коэф]]),
IF(AND(G167="3/24",AM167&gt;0.5),(AM167*2*база!$M$4*Таблица14[[#This Row],[коэф]]),
IF(AND(G167="5/16",AM167&gt;0.5),(AM167*2*база!$L$6*Таблица14[[#This Row],[коэф]]),
IF(AND(G167="4/16",AM167&gt;0.5),(AM167*2*база!$L$5*Таблица14[[#This Row],[коэф]]),
IF(AND(G167="3/16",AM167&gt;0.5),(AM167*2*база!$L$4*Таблица14[[#This Row],[коэф]]),
IF(AND(G167="4/4",AM167&gt;0.5),(AM167*2*база!$I$5*Таблица14[[#This Row],[коэф]]),
IF(OR(AND(G167="3/4",AM167&gt;0.5),AND(G167="2/4",AM167&gt;0.5)),(AM167*2*база!$I$4*Таблица14[[#This Row],[коэф]]),
IF(AND(G167="5/8",AM167&gt;0.5),(AM167*2*база!$J$6*Таблица14[[#This Row],[коэф]]),
IF(AND(G167="4/8",AM167&gt;0.5),(AM167*2*база!$J$5*Таблица14[[#This Row],[коэф]]),
IF(OR(AND(G167="3/8",AM167&gt;0.5),AND(G167="2/8",AM167&gt;0.5)),(AM167*2*база!$J$4*Таблица14[[#This Row],[коэф]]),
(AM167*0.5*база!$L$4*Таблица14[[#This Row],[коэф]]))))))))))))),
(IF(AND(G167="5/24",AM167&gt;0.5),(AM167*2*база!$M$6*Таблица14[[#This Row],[коэф]]),
IF(OR(AND(G167="4/24",AM167&gt;0.5),AND(G167="3/24",AM167&gt;0.5)),(AM167*2*база!$M$5*Таблица14[[#This Row],[коэф]]),
IF(AND(G167="5/16",AM167&gt;0.5),(AM167*2*база!$L$6*Таблица14[[#This Row],[коэф]]),
IF(OR(AND(G167="4/16",AM167&gt;0.5),AND(G167="3/16",AM167&gt;0.5)),(AM167*2*база!$L$5*Таблица14[[#This Row],[коэф]]),
IF(OR(AND(G167="4/4",AM167&gt;0.5),AND(G167="3/4",AM167&gt;2)),(AM167*2*база!$I$5*Таблица14[[#This Row],[коэф]]),
IF(AND(G167="5/8",AM167&gt;0.5),(AM167*2*база!$J$6*Таблица14[[#This Row],[коэф]]),
IF(AND(G167="4/8",AM167&gt;0.5),(AM167*2*база!$J$5*Таблица14[[#This Row],[коэф]]),
IF(OR(AND(G167="3/8",AM167&gt;0.5),AND(G167="2/8",AM167&gt;0.5)),(AM167*2*база!$J$4*Таблица14[[#This Row],[коэф]]),
(AM167*2*база!$L$5*Таблица14[[#This Row],[коэф]])))))))))))</f>
        <v>0</v>
      </c>
      <c r="AO167" s="122" t="str">
        <f>IFERROR(INDEX(база!$D$2:$D$120, MATCH(Таблица14[[#This Row],[Ф. И. О.]],база!$B$2:$B$100,0)),"")</f>
        <v/>
      </c>
    </row>
    <row r="168" spans="1:41" s="46" customFormat="1">
      <c r="A168" s="207" t="str">
        <f t="shared" si="4"/>
        <v>январь</v>
      </c>
      <c r="B168" s="240">
        <v>2024</v>
      </c>
      <c r="C168" s="572"/>
      <c r="D168" s="214"/>
      <c r="E168" s="241"/>
      <c r="F168" s="679"/>
      <c r="G168" s="242"/>
      <c r="H168" s="215"/>
      <c r="I168" s="215"/>
      <c r="J168" s="215"/>
      <c r="K168" s="215"/>
      <c r="L168" s="215"/>
      <c r="M168" s="215"/>
      <c r="N168" s="215"/>
      <c r="O168" s="215"/>
      <c r="P168" s="215"/>
      <c r="Q168" s="215"/>
      <c r="R168" s="215"/>
      <c r="S168" s="215"/>
      <c r="T168" s="215"/>
      <c r="U168" s="215"/>
      <c r="V168" s="215"/>
      <c r="W168" s="215"/>
      <c r="X168" s="215"/>
      <c r="Y168" s="215"/>
      <c r="Z168" s="215"/>
      <c r="AA168" s="215"/>
      <c r="AB168" s="215"/>
      <c r="AC168" s="215"/>
      <c r="AD168" s="215"/>
      <c r="AE168" s="215"/>
      <c r="AF168" s="215"/>
      <c r="AG168" s="215"/>
      <c r="AH168" s="215"/>
      <c r="AI168" s="215"/>
      <c r="AJ168" s="215"/>
      <c r="AK168" s="215"/>
      <c r="AL168" s="215"/>
      <c r="AM168" s="121">
        <f t="shared" si="5"/>
        <v>0</v>
      </c>
      <c r="AN168" s="564">
        <f>IF(AO168&lt;=3,(IF(AND(G168="5/24",AM168&gt;0.5),(AM168*2*база!$M$6*Таблица14[[#This Row],[коэф]]),
IF(AND(G168="4/24",AM168&gt;0.5),(AM168*2*база!$M$5*Таблица14[[#This Row],[коэф]]),
IF(AND(G168="3/24",AM168&gt;0.5),(AM168*2*база!$M$4*Таблица14[[#This Row],[коэф]]),
IF(AND(G168="5/16",AM168&gt;0.5),(AM168*2*база!$L$6*Таблица14[[#This Row],[коэф]]),
IF(AND(G168="4/16",AM168&gt;0.5),(AM168*2*база!$L$5*Таблица14[[#This Row],[коэф]]),
IF(AND(G168="3/16",AM168&gt;0.5),(AM168*2*база!$L$4*Таблица14[[#This Row],[коэф]]),
IF(AND(G168="4/4",AM168&gt;0.5),(AM168*2*база!$I$5*Таблица14[[#This Row],[коэф]]),
IF(OR(AND(G168="3/4",AM168&gt;0.5),AND(G168="2/4",AM168&gt;0.5)),(AM168*2*база!$I$4*Таблица14[[#This Row],[коэф]]),
IF(AND(G168="5/8",AM168&gt;0.5),(AM168*2*база!$J$6*Таблица14[[#This Row],[коэф]]),
IF(AND(G168="4/8",AM168&gt;0.5),(AM168*2*база!$J$5*Таблица14[[#This Row],[коэф]]),
IF(OR(AND(G168="3/8",AM168&gt;0.5),AND(G168="2/8",AM168&gt;0.5)),(AM168*2*база!$J$4*Таблица14[[#This Row],[коэф]]),
(AM168*0.5*база!$L$4*Таблица14[[#This Row],[коэф]]))))))))))))),
(IF(AND(G168="5/24",AM168&gt;0.5),(AM168*2*база!$M$6*Таблица14[[#This Row],[коэф]]),
IF(OR(AND(G168="4/24",AM168&gt;0.5),AND(G168="3/24",AM168&gt;0.5)),(AM168*2*база!$M$5*Таблица14[[#This Row],[коэф]]),
IF(AND(G168="5/16",AM168&gt;0.5),(AM168*2*база!$L$6*Таблица14[[#This Row],[коэф]]),
IF(OR(AND(G168="4/16",AM168&gt;0.5),AND(G168="3/16",AM168&gt;0.5)),(AM168*2*база!$L$5*Таблица14[[#This Row],[коэф]]),
IF(OR(AND(G168="4/4",AM168&gt;0.5),AND(G168="3/4",AM168&gt;2)),(AM168*2*база!$I$5*Таблица14[[#This Row],[коэф]]),
IF(AND(G168="5/8",AM168&gt;0.5),(AM168*2*база!$J$6*Таблица14[[#This Row],[коэф]]),
IF(AND(G168="4/8",AM168&gt;0.5),(AM168*2*база!$J$5*Таблица14[[#This Row],[коэф]]),
IF(OR(AND(G168="3/8",AM168&gt;0.5),AND(G168="2/8",AM168&gt;0.5)),(AM168*2*база!$J$4*Таблица14[[#This Row],[коэф]]),
(AM168*2*база!$L$5*Таблица14[[#This Row],[коэф]])))))))))))</f>
        <v>0</v>
      </c>
      <c r="AO168" s="122" t="str">
        <f>IFERROR(INDEX(база!$D$2:$D$120, MATCH(Таблица14[[#This Row],[Ф. И. О.]],база!$B$2:$B$100,0)),"")</f>
        <v/>
      </c>
    </row>
    <row r="169" spans="1:41" s="46" customFormat="1">
      <c r="A169" s="207" t="str">
        <f t="shared" si="4"/>
        <v>январь</v>
      </c>
      <c r="B169" s="204">
        <v>2024</v>
      </c>
      <c r="C169" s="572"/>
      <c r="D169" s="214"/>
      <c r="E169" s="243"/>
      <c r="F169" s="679"/>
      <c r="G169" s="206"/>
      <c r="H169" s="215"/>
      <c r="I169" s="215"/>
      <c r="J169" s="215"/>
      <c r="K169" s="215"/>
      <c r="L169" s="215"/>
      <c r="M169" s="215"/>
      <c r="N169" s="215"/>
      <c r="O169" s="215"/>
      <c r="P169" s="215"/>
      <c r="Q169" s="215"/>
      <c r="R169" s="215"/>
      <c r="S169" s="215"/>
      <c r="T169" s="215"/>
      <c r="U169" s="215"/>
      <c r="V169" s="215"/>
      <c r="W169" s="215"/>
      <c r="X169" s="215"/>
      <c r="Y169" s="215"/>
      <c r="Z169" s="215"/>
      <c r="AA169" s="215"/>
      <c r="AB169" s="215"/>
      <c r="AC169" s="215"/>
      <c r="AD169" s="215"/>
      <c r="AE169" s="215"/>
      <c r="AF169" s="215"/>
      <c r="AG169" s="215"/>
      <c r="AH169" s="215"/>
      <c r="AI169" s="215"/>
      <c r="AJ169" s="215"/>
      <c r="AK169" s="215"/>
      <c r="AL169" s="215"/>
      <c r="AM169" s="121">
        <f t="shared" si="5"/>
        <v>0</v>
      </c>
      <c r="AN169" s="564">
        <f>IF(AO169&lt;=3,(IF(AND(G169="5/24",AM169&gt;0.5),(AM169*2*база!$M$6*Таблица14[[#This Row],[коэф]]),
IF(AND(G169="4/24",AM169&gt;0.5),(AM169*2*база!$M$5*Таблица14[[#This Row],[коэф]]),
IF(AND(G169="3/24",AM169&gt;0.5),(AM169*2*база!$M$4*Таблица14[[#This Row],[коэф]]),
IF(AND(G169="5/16",AM169&gt;0.5),(AM169*2*база!$L$6*Таблица14[[#This Row],[коэф]]),
IF(AND(G169="4/16",AM169&gt;0.5),(AM169*2*база!$L$5*Таблица14[[#This Row],[коэф]]),
IF(AND(G169="3/16",AM169&gt;0.5),(AM169*2*база!$L$4*Таблица14[[#This Row],[коэф]]),
IF(AND(G169="4/4",AM169&gt;0.5),(AM169*2*база!$I$5*Таблица14[[#This Row],[коэф]]),
IF(OR(AND(G169="3/4",AM169&gt;0.5),AND(G169="2/4",AM169&gt;0.5)),(AM169*2*база!$I$4*Таблица14[[#This Row],[коэф]]),
IF(AND(G169="5/8",AM169&gt;0.5),(AM169*2*база!$J$6*Таблица14[[#This Row],[коэф]]),
IF(AND(G169="4/8",AM169&gt;0.5),(AM169*2*база!$J$5*Таблица14[[#This Row],[коэф]]),
IF(OR(AND(G169="3/8",AM169&gt;0.5),AND(G169="2/8",AM169&gt;0.5)),(AM169*2*база!$J$4*Таблица14[[#This Row],[коэф]]),
(AM169*0.5*база!$L$4*Таблица14[[#This Row],[коэф]]))))))))))))),
(IF(AND(G169="5/24",AM169&gt;0.5),(AM169*2*база!$M$6*Таблица14[[#This Row],[коэф]]),
IF(OR(AND(G169="4/24",AM169&gt;0.5),AND(G169="3/24",AM169&gt;0.5)),(AM169*2*база!$M$5*Таблица14[[#This Row],[коэф]]),
IF(AND(G169="5/16",AM169&gt;0.5),(AM169*2*база!$L$6*Таблица14[[#This Row],[коэф]]),
IF(OR(AND(G169="4/16",AM169&gt;0.5),AND(G169="3/16",AM169&gt;0.5)),(AM169*2*база!$L$5*Таблица14[[#This Row],[коэф]]),
IF(OR(AND(G169="4/4",AM169&gt;0.5),AND(G169="3/4",AM169&gt;2)),(AM169*2*база!$I$5*Таблица14[[#This Row],[коэф]]),
IF(AND(G169="5/8",AM169&gt;0.5),(AM169*2*база!$J$6*Таблица14[[#This Row],[коэф]]),
IF(AND(G169="4/8",AM169&gt;0.5),(AM169*2*база!$J$5*Таблица14[[#This Row],[коэф]]),
IF(OR(AND(G169="3/8",AM169&gt;0.5),AND(G169="2/8",AM169&gt;0.5)),(AM169*2*база!$J$4*Таблица14[[#This Row],[коэф]]),
(AM169*2*база!$L$5*Таблица14[[#This Row],[коэф]])))))))))))</f>
        <v>0</v>
      </c>
      <c r="AO169" s="122" t="str">
        <f>IFERROR(INDEX(база!$D$2:$D$120, MATCH(Таблица14[[#This Row],[Ф. И. О.]],база!$B$2:$B$100,0)),"")</f>
        <v/>
      </c>
    </row>
    <row r="170" spans="1:41" s="46" customFormat="1">
      <c r="A170" s="207" t="str">
        <f t="shared" si="4"/>
        <v>январь</v>
      </c>
      <c r="B170" s="240">
        <v>2024</v>
      </c>
      <c r="C170" s="572"/>
      <c r="D170" s="214"/>
      <c r="E170" s="241"/>
      <c r="F170" s="679"/>
      <c r="G170" s="242"/>
      <c r="H170" s="215"/>
      <c r="I170" s="215"/>
      <c r="J170" s="215"/>
      <c r="K170" s="215"/>
      <c r="L170" s="215"/>
      <c r="M170" s="215"/>
      <c r="N170" s="215"/>
      <c r="O170" s="215"/>
      <c r="P170" s="215"/>
      <c r="Q170" s="215"/>
      <c r="R170" s="215"/>
      <c r="S170" s="215"/>
      <c r="T170" s="215"/>
      <c r="U170" s="215"/>
      <c r="V170" s="215"/>
      <c r="W170" s="215"/>
      <c r="X170" s="215"/>
      <c r="Y170" s="215"/>
      <c r="Z170" s="215"/>
      <c r="AA170" s="215"/>
      <c r="AB170" s="215"/>
      <c r="AC170" s="215"/>
      <c r="AD170" s="215"/>
      <c r="AE170" s="215"/>
      <c r="AF170" s="215"/>
      <c r="AG170" s="215"/>
      <c r="AH170" s="215"/>
      <c r="AI170" s="215"/>
      <c r="AJ170" s="215"/>
      <c r="AK170" s="215"/>
      <c r="AL170" s="215"/>
      <c r="AM170" s="121">
        <f t="shared" si="5"/>
        <v>0</v>
      </c>
      <c r="AN170" s="564">
        <f>IF(AO170&lt;=3,(IF(AND(G170="5/24",AM170&gt;0.5),(AM170*2*база!$M$6*Таблица14[[#This Row],[коэф]]),
IF(AND(G170="4/24",AM170&gt;0.5),(AM170*2*база!$M$5*Таблица14[[#This Row],[коэф]]),
IF(AND(G170="3/24",AM170&gt;0.5),(AM170*2*база!$M$4*Таблица14[[#This Row],[коэф]]),
IF(AND(G170="5/16",AM170&gt;0.5),(AM170*2*база!$L$6*Таблица14[[#This Row],[коэф]]),
IF(AND(G170="4/16",AM170&gt;0.5),(AM170*2*база!$L$5*Таблица14[[#This Row],[коэф]]),
IF(AND(G170="3/16",AM170&gt;0.5),(AM170*2*база!$L$4*Таблица14[[#This Row],[коэф]]),
IF(AND(G170="4/4",AM170&gt;0.5),(AM170*2*база!$I$5*Таблица14[[#This Row],[коэф]]),
IF(OR(AND(G170="3/4",AM170&gt;0.5),AND(G170="2/4",AM170&gt;0.5)),(AM170*2*база!$I$4*Таблица14[[#This Row],[коэф]]),
IF(AND(G170="5/8",AM170&gt;0.5),(AM170*2*база!$J$6*Таблица14[[#This Row],[коэф]]),
IF(AND(G170="4/8",AM170&gt;0.5),(AM170*2*база!$J$5*Таблица14[[#This Row],[коэф]]),
IF(OR(AND(G170="3/8",AM170&gt;0.5),AND(G170="2/8",AM170&gt;0.5)),(AM170*2*база!$J$4*Таблица14[[#This Row],[коэф]]),
(AM170*0.5*база!$L$4*Таблица14[[#This Row],[коэф]]))))))))))))),
(IF(AND(G170="5/24",AM170&gt;0.5),(AM170*2*база!$M$6*Таблица14[[#This Row],[коэф]]),
IF(OR(AND(G170="4/24",AM170&gt;0.5),AND(G170="3/24",AM170&gt;0.5)),(AM170*2*база!$M$5*Таблица14[[#This Row],[коэф]]),
IF(AND(G170="5/16",AM170&gt;0.5),(AM170*2*база!$L$6*Таблица14[[#This Row],[коэф]]),
IF(OR(AND(G170="4/16",AM170&gt;0.5),AND(G170="3/16",AM170&gt;0.5)),(AM170*2*база!$L$5*Таблица14[[#This Row],[коэф]]),
IF(OR(AND(G170="4/4",AM170&gt;0.5),AND(G170="3/4",AM170&gt;2)),(AM170*2*база!$I$5*Таблица14[[#This Row],[коэф]]),
IF(AND(G170="5/8",AM170&gt;0.5),(AM170*2*база!$J$6*Таблица14[[#This Row],[коэф]]),
IF(AND(G170="4/8",AM170&gt;0.5),(AM170*2*база!$J$5*Таблица14[[#This Row],[коэф]]),
IF(OR(AND(G170="3/8",AM170&gt;0.5),AND(G170="2/8",AM170&gt;0.5)),(AM170*2*база!$J$4*Таблица14[[#This Row],[коэф]]),
(AM170*2*база!$L$5*Таблица14[[#This Row],[коэф]])))))))))))</f>
        <v>0</v>
      </c>
      <c r="AO170" s="122" t="str">
        <f>IFERROR(INDEX(база!$D$2:$D$120, MATCH(Таблица14[[#This Row],[Ф. И. О.]],база!$B$2:$B$100,0)),"")</f>
        <v/>
      </c>
    </row>
    <row r="171" spans="1:41" s="46" customFormat="1">
      <c r="A171" s="207" t="str">
        <f t="shared" si="4"/>
        <v>январь</v>
      </c>
      <c r="B171" s="204">
        <v>2024</v>
      </c>
      <c r="C171" s="572"/>
      <c r="D171" s="214"/>
      <c r="E171" s="243"/>
      <c r="F171" s="679"/>
      <c r="G171" s="206"/>
      <c r="H171" s="215"/>
      <c r="I171" s="215"/>
      <c r="J171" s="215"/>
      <c r="K171" s="215"/>
      <c r="L171" s="215"/>
      <c r="M171" s="215"/>
      <c r="N171" s="215"/>
      <c r="O171" s="215"/>
      <c r="P171" s="215"/>
      <c r="Q171" s="215"/>
      <c r="R171" s="215"/>
      <c r="S171" s="215"/>
      <c r="T171" s="215"/>
      <c r="U171" s="215"/>
      <c r="V171" s="215"/>
      <c r="W171" s="215"/>
      <c r="X171" s="215"/>
      <c r="Y171" s="215"/>
      <c r="Z171" s="215"/>
      <c r="AA171" s="215"/>
      <c r="AB171" s="215"/>
      <c r="AC171" s="215"/>
      <c r="AD171" s="215"/>
      <c r="AE171" s="215"/>
      <c r="AF171" s="215"/>
      <c r="AG171" s="215"/>
      <c r="AH171" s="215"/>
      <c r="AI171" s="215"/>
      <c r="AJ171" s="215"/>
      <c r="AK171" s="215"/>
      <c r="AL171" s="215"/>
      <c r="AM171" s="121">
        <f t="shared" si="5"/>
        <v>0</v>
      </c>
      <c r="AN171" s="564">
        <f>IF(AO171&lt;=3,(IF(AND(G171="5/24",AM171&gt;0.5),(AM171*2*база!$M$6*Таблица14[[#This Row],[коэф]]),
IF(AND(G171="4/24",AM171&gt;0.5),(AM171*2*база!$M$5*Таблица14[[#This Row],[коэф]]),
IF(AND(G171="3/24",AM171&gt;0.5),(AM171*2*база!$M$4*Таблица14[[#This Row],[коэф]]),
IF(AND(G171="5/16",AM171&gt;0.5),(AM171*2*база!$L$6*Таблица14[[#This Row],[коэф]]),
IF(AND(G171="4/16",AM171&gt;0.5),(AM171*2*база!$L$5*Таблица14[[#This Row],[коэф]]),
IF(AND(G171="3/16",AM171&gt;0.5),(AM171*2*база!$L$4*Таблица14[[#This Row],[коэф]]),
IF(AND(G171="4/4",AM171&gt;0.5),(AM171*2*база!$I$5*Таблица14[[#This Row],[коэф]]),
IF(OR(AND(G171="3/4",AM171&gt;0.5),AND(G171="2/4",AM171&gt;0.5)),(AM171*2*база!$I$4*Таблица14[[#This Row],[коэф]]),
IF(AND(G171="5/8",AM171&gt;0.5),(AM171*2*база!$J$6*Таблица14[[#This Row],[коэф]]),
IF(AND(G171="4/8",AM171&gt;0.5),(AM171*2*база!$J$5*Таблица14[[#This Row],[коэф]]),
IF(OR(AND(G171="3/8",AM171&gt;0.5),AND(G171="2/8",AM171&gt;0.5)),(AM171*2*база!$J$4*Таблица14[[#This Row],[коэф]]),
(AM171*0.5*база!$L$4*Таблица14[[#This Row],[коэф]]))))))))))))),
(IF(AND(G171="5/24",AM171&gt;0.5),(AM171*2*база!$M$6*Таблица14[[#This Row],[коэф]]),
IF(OR(AND(G171="4/24",AM171&gt;0.5),AND(G171="3/24",AM171&gt;0.5)),(AM171*2*база!$M$5*Таблица14[[#This Row],[коэф]]),
IF(AND(G171="5/16",AM171&gt;0.5),(AM171*2*база!$L$6*Таблица14[[#This Row],[коэф]]),
IF(OR(AND(G171="4/16",AM171&gt;0.5),AND(G171="3/16",AM171&gt;0.5)),(AM171*2*база!$L$5*Таблица14[[#This Row],[коэф]]),
IF(OR(AND(G171="4/4",AM171&gt;0.5),AND(G171="3/4",AM171&gt;2)),(AM171*2*база!$I$5*Таблица14[[#This Row],[коэф]]),
IF(AND(G171="5/8",AM171&gt;0.5),(AM171*2*база!$J$6*Таблица14[[#This Row],[коэф]]),
IF(AND(G171="4/8",AM171&gt;0.5),(AM171*2*база!$J$5*Таблица14[[#This Row],[коэф]]),
IF(OR(AND(G171="3/8",AM171&gt;0.5),AND(G171="2/8",AM171&gt;0.5)),(AM171*2*база!$J$4*Таблица14[[#This Row],[коэф]]),
(AM171*2*база!$L$5*Таблица14[[#This Row],[коэф]])))))))))))</f>
        <v>0</v>
      </c>
      <c r="AO171" s="122" t="str">
        <f>IFERROR(INDEX(база!$D$2:$D$120, MATCH(Таблица14[[#This Row],[Ф. И. О.]],база!$B$2:$B$100,0)),"")</f>
        <v/>
      </c>
    </row>
    <row r="172" spans="1:41" s="46" customFormat="1">
      <c r="A172" s="207" t="str">
        <f t="shared" si="4"/>
        <v>январь</v>
      </c>
      <c r="B172" s="240">
        <v>2024</v>
      </c>
      <c r="C172" s="572"/>
      <c r="D172" s="214"/>
      <c r="E172" s="241"/>
      <c r="F172" s="679"/>
      <c r="G172" s="242"/>
      <c r="H172" s="215"/>
      <c r="I172" s="215"/>
      <c r="J172" s="215"/>
      <c r="K172" s="215"/>
      <c r="L172" s="215"/>
      <c r="M172" s="215"/>
      <c r="N172" s="215"/>
      <c r="O172" s="215"/>
      <c r="P172" s="215"/>
      <c r="Q172" s="215"/>
      <c r="R172" s="215"/>
      <c r="S172" s="215"/>
      <c r="T172" s="215"/>
      <c r="U172" s="215"/>
      <c r="V172" s="215"/>
      <c r="W172" s="215"/>
      <c r="X172" s="215"/>
      <c r="Y172" s="215"/>
      <c r="Z172" s="215"/>
      <c r="AA172" s="215"/>
      <c r="AB172" s="215"/>
      <c r="AC172" s="215"/>
      <c r="AD172" s="215"/>
      <c r="AE172" s="215"/>
      <c r="AF172" s="215"/>
      <c r="AG172" s="215"/>
      <c r="AH172" s="215"/>
      <c r="AI172" s="215"/>
      <c r="AJ172" s="215"/>
      <c r="AK172" s="215"/>
      <c r="AL172" s="215"/>
      <c r="AM172" s="121">
        <f t="shared" si="5"/>
        <v>0</v>
      </c>
      <c r="AN172" s="564">
        <f>IF(AO172&lt;=3,(IF(AND(G172="5/24",AM172&gt;0.5),(AM172*2*база!$M$6*Таблица14[[#This Row],[коэф]]),
IF(AND(G172="4/24",AM172&gt;0.5),(AM172*2*база!$M$5*Таблица14[[#This Row],[коэф]]),
IF(AND(G172="3/24",AM172&gt;0.5),(AM172*2*база!$M$4*Таблица14[[#This Row],[коэф]]),
IF(AND(G172="5/16",AM172&gt;0.5),(AM172*2*база!$L$6*Таблица14[[#This Row],[коэф]]),
IF(AND(G172="4/16",AM172&gt;0.5),(AM172*2*база!$L$5*Таблица14[[#This Row],[коэф]]),
IF(AND(G172="3/16",AM172&gt;0.5),(AM172*2*база!$L$4*Таблица14[[#This Row],[коэф]]),
IF(AND(G172="4/4",AM172&gt;0.5),(AM172*2*база!$I$5*Таблица14[[#This Row],[коэф]]),
IF(OR(AND(G172="3/4",AM172&gt;0.5),AND(G172="2/4",AM172&gt;0.5)),(AM172*2*база!$I$4*Таблица14[[#This Row],[коэф]]),
IF(AND(G172="5/8",AM172&gt;0.5),(AM172*2*база!$J$6*Таблица14[[#This Row],[коэф]]),
IF(AND(G172="4/8",AM172&gt;0.5),(AM172*2*база!$J$5*Таблица14[[#This Row],[коэф]]),
IF(OR(AND(G172="3/8",AM172&gt;0.5),AND(G172="2/8",AM172&gt;0.5)),(AM172*2*база!$J$4*Таблица14[[#This Row],[коэф]]),
(AM172*0.5*база!$L$4*Таблица14[[#This Row],[коэф]]))))))))))))),
(IF(AND(G172="5/24",AM172&gt;0.5),(AM172*2*база!$M$6*Таблица14[[#This Row],[коэф]]),
IF(OR(AND(G172="4/24",AM172&gt;0.5),AND(G172="3/24",AM172&gt;0.5)),(AM172*2*база!$M$5*Таблица14[[#This Row],[коэф]]),
IF(AND(G172="5/16",AM172&gt;0.5),(AM172*2*база!$L$6*Таблица14[[#This Row],[коэф]]),
IF(OR(AND(G172="4/16",AM172&gt;0.5),AND(G172="3/16",AM172&gt;0.5)),(AM172*2*база!$L$5*Таблица14[[#This Row],[коэф]]),
IF(OR(AND(G172="4/4",AM172&gt;0.5),AND(G172="3/4",AM172&gt;2)),(AM172*2*база!$I$5*Таблица14[[#This Row],[коэф]]),
IF(AND(G172="5/8",AM172&gt;0.5),(AM172*2*база!$J$6*Таблица14[[#This Row],[коэф]]),
IF(AND(G172="4/8",AM172&gt;0.5),(AM172*2*база!$J$5*Таблица14[[#This Row],[коэф]]),
IF(OR(AND(G172="3/8",AM172&gt;0.5),AND(G172="2/8",AM172&gt;0.5)),(AM172*2*база!$J$4*Таблица14[[#This Row],[коэф]]),
(AM172*2*база!$L$5*Таблица14[[#This Row],[коэф]])))))))))))</f>
        <v>0</v>
      </c>
      <c r="AO172" s="122" t="str">
        <f>IFERROR(INDEX(база!$D$2:$D$120, MATCH(Таблица14[[#This Row],[Ф. И. О.]],база!$B$2:$B$100,0)),"")</f>
        <v/>
      </c>
    </row>
    <row r="173" spans="1:41" s="46" customFormat="1">
      <c r="A173" s="207" t="str">
        <f t="shared" si="4"/>
        <v>январь</v>
      </c>
      <c r="B173" s="204">
        <v>2024</v>
      </c>
      <c r="C173" s="572"/>
      <c r="D173" s="214"/>
      <c r="E173" s="243"/>
      <c r="F173" s="679"/>
      <c r="G173" s="206"/>
      <c r="H173" s="215"/>
      <c r="I173" s="215"/>
      <c r="J173" s="215"/>
      <c r="K173" s="215"/>
      <c r="L173" s="215"/>
      <c r="M173" s="215"/>
      <c r="N173" s="215"/>
      <c r="O173" s="215"/>
      <c r="P173" s="215"/>
      <c r="Q173" s="215"/>
      <c r="R173" s="215"/>
      <c r="S173" s="215"/>
      <c r="T173" s="215"/>
      <c r="U173" s="215"/>
      <c r="V173" s="215"/>
      <c r="W173" s="215"/>
      <c r="X173" s="215"/>
      <c r="Y173" s="215"/>
      <c r="Z173" s="215"/>
      <c r="AA173" s="215"/>
      <c r="AB173" s="215"/>
      <c r="AC173" s="215"/>
      <c r="AD173" s="215"/>
      <c r="AE173" s="215"/>
      <c r="AF173" s="215"/>
      <c r="AG173" s="215"/>
      <c r="AH173" s="215"/>
      <c r="AI173" s="215"/>
      <c r="AJ173" s="215"/>
      <c r="AK173" s="215"/>
      <c r="AL173" s="215"/>
      <c r="AM173" s="121">
        <f t="shared" si="5"/>
        <v>0</v>
      </c>
      <c r="AN173" s="564">
        <f>IF(AO173&lt;=3,(IF(AND(G173="5/24",AM173&gt;0.5),(AM173*2*база!$M$6*Таблица14[[#This Row],[коэф]]),
IF(AND(G173="4/24",AM173&gt;0.5),(AM173*2*база!$M$5*Таблица14[[#This Row],[коэф]]),
IF(AND(G173="3/24",AM173&gt;0.5),(AM173*2*база!$M$4*Таблица14[[#This Row],[коэф]]),
IF(AND(G173="5/16",AM173&gt;0.5),(AM173*2*база!$L$6*Таблица14[[#This Row],[коэф]]),
IF(AND(G173="4/16",AM173&gt;0.5),(AM173*2*база!$L$5*Таблица14[[#This Row],[коэф]]),
IF(AND(G173="3/16",AM173&gt;0.5),(AM173*2*база!$L$4*Таблица14[[#This Row],[коэф]]),
IF(AND(G173="4/4",AM173&gt;0.5),(AM173*2*база!$I$5*Таблица14[[#This Row],[коэф]]),
IF(OR(AND(G173="3/4",AM173&gt;0.5),AND(G173="2/4",AM173&gt;0.5)),(AM173*2*база!$I$4*Таблица14[[#This Row],[коэф]]),
IF(AND(G173="5/8",AM173&gt;0.5),(AM173*2*база!$J$6*Таблица14[[#This Row],[коэф]]),
IF(AND(G173="4/8",AM173&gt;0.5),(AM173*2*база!$J$5*Таблица14[[#This Row],[коэф]]),
IF(OR(AND(G173="3/8",AM173&gt;0.5),AND(G173="2/8",AM173&gt;0.5)),(AM173*2*база!$J$4*Таблица14[[#This Row],[коэф]]),
(AM173*0.5*база!$L$4*Таблица14[[#This Row],[коэф]]))))))))))))),
(IF(AND(G173="5/24",AM173&gt;0.5),(AM173*2*база!$M$6*Таблица14[[#This Row],[коэф]]),
IF(OR(AND(G173="4/24",AM173&gt;0.5),AND(G173="3/24",AM173&gt;0.5)),(AM173*2*база!$M$5*Таблица14[[#This Row],[коэф]]),
IF(AND(G173="5/16",AM173&gt;0.5),(AM173*2*база!$L$6*Таблица14[[#This Row],[коэф]]),
IF(OR(AND(G173="4/16",AM173&gt;0.5),AND(G173="3/16",AM173&gt;0.5)),(AM173*2*база!$L$5*Таблица14[[#This Row],[коэф]]),
IF(OR(AND(G173="4/4",AM173&gt;0.5),AND(G173="3/4",AM173&gt;2)),(AM173*2*база!$I$5*Таблица14[[#This Row],[коэф]]),
IF(AND(G173="5/8",AM173&gt;0.5),(AM173*2*база!$J$6*Таблица14[[#This Row],[коэф]]),
IF(AND(G173="4/8",AM173&gt;0.5),(AM173*2*база!$J$5*Таблица14[[#This Row],[коэф]]),
IF(OR(AND(G173="3/8",AM173&gt;0.5),AND(G173="2/8",AM173&gt;0.5)),(AM173*2*база!$J$4*Таблица14[[#This Row],[коэф]]),
(AM173*2*база!$L$5*Таблица14[[#This Row],[коэф]])))))))))))</f>
        <v>0</v>
      </c>
      <c r="AO173" s="122" t="str">
        <f>IFERROR(INDEX(база!$D$2:$D$120, MATCH(Таблица14[[#This Row],[Ф. И. О.]],база!$B$2:$B$100,0)),"")</f>
        <v/>
      </c>
    </row>
    <row r="174" spans="1:41" s="46" customFormat="1">
      <c r="A174" s="207" t="str">
        <f t="shared" si="4"/>
        <v>январь</v>
      </c>
      <c r="B174" s="240">
        <v>2024</v>
      </c>
      <c r="C174" s="572"/>
      <c r="D174" s="214"/>
      <c r="E174" s="241"/>
      <c r="F174" s="679"/>
      <c r="G174" s="242"/>
      <c r="H174" s="215"/>
      <c r="I174" s="215"/>
      <c r="J174" s="215"/>
      <c r="K174" s="215"/>
      <c r="L174" s="215"/>
      <c r="M174" s="215"/>
      <c r="N174" s="215"/>
      <c r="O174" s="215"/>
      <c r="P174" s="215"/>
      <c r="Q174" s="215"/>
      <c r="R174" s="215"/>
      <c r="S174" s="215"/>
      <c r="T174" s="215"/>
      <c r="U174" s="215"/>
      <c r="V174" s="215"/>
      <c r="W174" s="215"/>
      <c r="X174" s="215"/>
      <c r="Y174" s="215"/>
      <c r="Z174" s="215"/>
      <c r="AA174" s="215"/>
      <c r="AB174" s="215"/>
      <c r="AC174" s="215"/>
      <c r="AD174" s="215"/>
      <c r="AE174" s="215"/>
      <c r="AF174" s="215"/>
      <c r="AG174" s="215"/>
      <c r="AH174" s="215"/>
      <c r="AI174" s="215"/>
      <c r="AJ174" s="215"/>
      <c r="AK174" s="215"/>
      <c r="AL174" s="215"/>
      <c r="AM174" s="121">
        <f t="shared" si="5"/>
        <v>0</v>
      </c>
      <c r="AN174" s="564">
        <f>IF(AO174&lt;=3,(IF(AND(G174="5/24",AM174&gt;0.5),(AM174*2*база!$M$6*Таблица14[[#This Row],[коэф]]),
IF(AND(G174="4/24",AM174&gt;0.5),(AM174*2*база!$M$5*Таблица14[[#This Row],[коэф]]),
IF(AND(G174="3/24",AM174&gt;0.5),(AM174*2*база!$M$4*Таблица14[[#This Row],[коэф]]),
IF(AND(G174="5/16",AM174&gt;0.5),(AM174*2*база!$L$6*Таблица14[[#This Row],[коэф]]),
IF(AND(G174="4/16",AM174&gt;0.5),(AM174*2*база!$L$5*Таблица14[[#This Row],[коэф]]),
IF(AND(G174="3/16",AM174&gt;0.5),(AM174*2*база!$L$4*Таблица14[[#This Row],[коэф]]),
IF(AND(G174="4/4",AM174&gt;0.5),(AM174*2*база!$I$5*Таблица14[[#This Row],[коэф]]),
IF(OR(AND(G174="3/4",AM174&gt;0.5),AND(G174="2/4",AM174&gt;0.5)),(AM174*2*база!$I$4*Таблица14[[#This Row],[коэф]]),
IF(AND(G174="5/8",AM174&gt;0.5),(AM174*2*база!$J$6*Таблица14[[#This Row],[коэф]]),
IF(AND(G174="4/8",AM174&gt;0.5),(AM174*2*база!$J$5*Таблица14[[#This Row],[коэф]]),
IF(OR(AND(G174="3/8",AM174&gt;0.5),AND(G174="2/8",AM174&gt;0.5)),(AM174*2*база!$J$4*Таблица14[[#This Row],[коэф]]),
(AM174*0.5*база!$L$4*Таблица14[[#This Row],[коэф]]))))))))))))),
(IF(AND(G174="5/24",AM174&gt;0.5),(AM174*2*база!$M$6*Таблица14[[#This Row],[коэф]]),
IF(OR(AND(G174="4/24",AM174&gt;0.5),AND(G174="3/24",AM174&gt;0.5)),(AM174*2*база!$M$5*Таблица14[[#This Row],[коэф]]),
IF(AND(G174="5/16",AM174&gt;0.5),(AM174*2*база!$L$6*Таблица14[[#This Row],[коэф]]),
IF(OR(AND(G174="4/16",AM174&gt;0.5),AND(G174="3/16",AM174&gt;0.5)),(AM174*2*база!$L$5*Таблица14[[#This Row],[коэф]]),
IF(OR(AND(G174="4/4",AM174&gt;0.5),AND(G174="3/4",AM174&gt;2)),(AM174*2*база!$I$5*Таблица14[[#This Row],[коэф]]),
IF(AND(G174="5/8",AM174&gt;0.5),(AM174*2*база!$J$6*Таблица14[[#This Row],[коэф]]),
IF(AND(G174="4/8",AM174&gt;0.5),(AM174*2*база!$J$5*Таблица14[[#This Row],[коэф]]),
IF(OR(AND(G174="3/8",AM174&gt;0.5),AND(G174="2/8",AM174&gt;0.5)),(AM174*2*база!$J$4*Таблица14[[#This Row],[коэф]]),
(AM174*2*база!$L$5*Таблица14[[#This Row],[коэф]])))))))))))</f>
        <v>0</v>
      </c>
      <c r="AO174" s="122" t="str">
        <f>IFERROR(INDEX(база!$D$2:$D$120, MATCH(Таблица14[[#This Row],[Ф. И. О.]],база!$B$2:$B$100,0)),"")</f>
        <v/>
      </c>
    </row>
    <row r="175" spans="1:41" s="46" customFormat="1">
      <c r="A175" s="207" t="str">
        <f t="shared" si="4"/>
        <v>январь</v>
      </c>
      <c r="B175" s="204">
        <v>2024</v>
      </c>
      <c r="C175" s="572"/>
      <c r="D175" s="214"/>
      <c r="E175" s="243"/>
      <c r="F175" s="679"/>
      <c r="G175" s="206"/>
      <c r="H175" s="215"/>
      <c r="I175" s="215"/>
      <c r="J175" s="215"/>
      <c r="K175" s="215"/>
      <c r="L175" s="215"/>
      <c r="M175" s="215"/>
      <c r="N175" s="215"/>
      <c r="O175" s="215"/>
      <c r="P175" s="215"/>
      <c r="Q175" s="215"/>
      <c r="R175" s="215"/>
      <c r="S175" s="215"/>
      <c r="T175" s="215"/>
      <c r="U175" s="215"/>
      <c r="V175" s="215"/>
      <c r="W175" s="215"/>
      <c r="X175" s="215"/>
      <c r="Y175" s="215"/>
      <c r="Z175" s="215"/>
      <c r="AA175" s="215"/>
      <c r="AB175" s="215"/>
      <c r="AC175" s="215"/>
      <c r="AD175" s="215"/>
      <c r="AE175" s="215"/>
      <c r="AF175" s="215"/>
      <c r="AG175" s="215"/>
      <c r="AH175" s="215"/>
      <c r="AI175" s="215"/>
      <c r="AJ175" s="215"/>
      <c r="AK175" s="215"/>
      <c r="AL175" s="215"/>
      <c r="AM175" s="121">
        <f t="shared" si="5"/>
        <v>0</v>
      </c>
      <c r="AN175" s="564">
        <f>IF(AO175&lt;=3,(IF(AND(G175="5/24",AM175&gt;0.5),(AM175*2*база!$M$6*Таблица14[[#This Row],[коэф]]),
IF(AND(G175="4/24",AM175&gt;0.5),(AM175*2*база!$M$5*Таблица14[[#This Row],[коэф]]),
IF(AND(G175="3/24",AM175&gt;0.5),(AM175*2*база!$M$4*Таблица14[[#This Row],[коэф]]),
IF(AND(G175="5/16",AM175&gt;0.5),(AM175*2*база!$L$6*Таблица14[[#This Row],[коэф]]),
IF(AND(G175="4/16",AM175&gt;0.5),(AM175*2*база!$L$5*Таблица14[[#This Row],[коэф]]),
IF(AND(G175="3/16",AM175&gt;0.5),(AM175*2*база!$L$4*Таблица14[[#This Row],[коэф]]),
IF(AND(G175="4/4",AM175&gt;0.5),(AM175*2*база!$I$5*Таблица14[[#This Row],[коэф]]),
IF(OR(AND(G175="3/4",AM175&gt;0.5),AND(G175="2/4",AM175&gt;0.5)),(AM175*2*база!$I$4*Таблица14[[#This Row],[коэф]]),
IF(AND(G175="5/8",AM175&gt;0.5),(AM175*2*база!$J$6*Таблица14[[#This Row],[коэф]]),
IF(AND(G175="4/8",AM175&gt;0.5),(AM175*2*база!$J$5*Таблица14[[#This Row],[коэф]]),
IF(OR(AND(G175="3/8",AM175&gt;0.5),AND(G175="2/8",AM175&gt;0.5)),(AM175*2*база!$J$4*Таблица14[[#This Row],[коэф]]),
(AM175*0.5*база!$L$4*Таблица14[[#This Row],[коэф]]))))))))))))),
(IF(AND(G175="5/24",AM175&gt;0.5),(AM175*2*база!$M$6*Таблица14[[#This Row],[коэф]]),
IF(OR(AND(G175="4/24",AM175&gt;0.5),AND(G175="3/24",AM175&gt;0.5)),(AM175*2*база!$M$5*Таблица14[[#This Row],[коэф]]),
IF(AND(G175="5/16",AM175&gt;0.5),(AM175*2*база!$L$6*Таблица14[[#This Row],[коэф]]),
IF(OR(AND(G175="4/16",AM175&gt;0.5),AND(G175="3/16",AM175&gt;0.5)),(AM175*2*база!$L$5*Таблица14[[#This Row],[коэф]]),
IF(OR(AND(G175="4/4",AM175&gt;0.5),AND(G175="3/4",AM175&gt;2)),(AM175*2*база!$I$5*Таблица14[[#This Row],[коэф]]),
IF(AND(G175="5/8",AM175&gt;0.5),(AM175*2*база!$J$6*Таблица14[[#This Row],[коэф]]),
IF(AND(G175="4/8",AM175&gt;0.5),(AM175*2*база!$J$5*Таблица14[[#This Row],[коэф]]),
IF(OR(AND(G175="3/8",AM175&gt;0.5),AND(G175="2/8",AM175&gt;0.5)),(AM175*2*база!$J$4*Таблица14[[#This Row],[коэф]]),
(AM175*2*база!$L$5*Таблица14[[#This Row],[коэф]])))))))))))</f>
        <v>0</v>
      </c>
      <c r="AO175" s="122" t="str">
        <f>IFERROR(INDEX(база!$D$2:$D$120, MATCH(Таблица14[[#This Row],[Ф. И. О.]],база!$B$2:$B$100,0)),"")</f>
        <v/>
      </c>
    </row>
    <row r="176" spans="1:41" s="46" customFormat="1">
      <c r="A176" s="207" t="str">
        <f t="shared" si="4"/>
        <v>январь</v>
      </c>
      <c r="B176" s="240">
        <v>2024</v>
      </c>
      <c r="C176" s="572"/>
      <c r="D176" s="214"/>
      <c r="E176" s="241"/>
      <c r="F176" s="679"/>
      <c r="G176" s="242"/>
      <c r="H176" s="215"/>
      <c r="I176" s="215"/>
      <c r="J176" s="215"/>
      <c r="K176" s="215"/>
      <c r="L176" s="215"/>
      <c r="M176" s="215"/>
      <c r="N176" s="215"/>
      <c r="O176" s="215"/>
      <c r="P176" s="215"/>
      <c r="Q176" s="215"/>
      <c r="R176" s="215"/>
      <c r="S176" s="215"/>
      <c r="T176" s="215"/>
      <c r="U176" s="215"/>
      <c r="V176" s="215"/>
      <c r="W176" s="215"/>
      <c r="X176" s="215"/>
      <c r="Y176" s="215"/>
      <c r="Z176" s="215"/>
      <c r="AA176" s="215"/>
      <c r="AB176" s="215"/>
      <c r="AC176" s="215"/>
      <c r="AD176" s="215"/>
      <c r="AE176" s="215"/>
      <c r="AF176" s="215"/>
      <c r="AG176" s="215"/>
      <c r="AH176" s="215"/>
      <c r="AI176" s="215"/>
      <c r="AJ176" s="215"/>
      <c r="AK176" s="215"/>
      <c r="AL176" s="215"/>
      <c r="AM176" s="121">
        <f t="shared" si="5"/>
        <v>0</v>
      </c>
      <c r="AN176" s="564">
        <f>IF(AO176&lt;=3,(IF(AND(G176="5/24",AM176&gt;0.5),(AM176*2*база!$M$6*Таблица14[[#This Row],[коэф]]),
IF(AND(G176="4/24",AM176&gt;0.5),(AM176*2*база!$M$5*Таблица14[[#This Row],[коэф]]),
IF(AND(G176="3/24",AM176&gt;0.5),(AM176*2*база!$M$4*Таблица14[[#This Row],[коэф]]),
IF(AND(G176="5/16",AM176&gt;0.5),(AM176*2*база!$L$6*Таблица14[[#This Row],[коэф]]),
IF(AND(G176="4/16",AM176&gt;0.5),(AM176*2*база!$L$5*Таблица14[[#This Row],[коэф]]),
IF(AND(G176="3/16",AM176&gt;0.5),(AM176*2*база!$L$4*Таблица14[[#This Row],[коэф]]),
IF(AND(G176="4/4",AM176&gt;0.5),(AM176*2*база!$I$5*Таблица14[[#This Row],[коэф]]),
IF(OR(AND(G176="3/4",AM176&gt;0.5),AND(G176="2/4",AM176&gt;0.5)),(AM176*2*база!$I$4*Таблица14[[#This Row],[коэф]]),
IF(AND(G176="5/8",AM176&gt;0.5),(AM176*2*база!$J$6*Таблица14[[#This Row],[коэф]]),
IF(AND(G176="4/8",AM176&gt;0.5),(AM176*2*база!$J$5*Таблица14[[#This Row],[коэф]]),
IF(OR(AND(G176="3/8",AM176&gt;0.5),AND(G176="2/8",AM176&gt;0.5)),(AM176*2*база!$J$4*Таблица14[[#This Row],[коэф]]),
(AM176*0.5*база!$L$4*Таблица14[[#This Row],[коэф]]))))))))))))),
(IF(AND(G176="5/24",AM176&gt;0.5),(AM176*2*база!$M$6*Таблица14[[#This Row],[коэф]]),
IF(OR(AND(G176="4/24",AM176&gt;0.5),AND(G176="3/24",AM176&gt;0.5)),(AM176*2*база!$M$5*Таблица14[[#This Row],[коэф]]),
IF(AND(G176="5/16",AM176&gt;0.5),(AM176*2*база!$L$6*Таблица14[[#This Row],[коэф]]),
IF(OR(AND(G176="4/16",AM176&gt;0.5),AND(G176="3/16",AM176&gt;0.5)),(AM176*2*база!$L$5*Таблица14[[#This Row],[коэф]]),
IF(OR(AND(G176="4/4",AM176&gt;0.5),AND(G176="3/4",AM176&gt;2)),(AM176*2*база!$I$5*Таблица14[[#This Row],[коэф]]),
IF(AND(G176="5/8",AM176&gt;0.5),(AM176*2*база!$J$6*Таблица14[[#This Row],[коэф]]),
IF(AND(G176="4/8",AM176&gt;0.5),(AM176*2*база!$J$5*Таблица14[[#This Row],[коэф]]),
IF(OR(AND(G176="3/8",AM176&gt;0.5),AND(G176="2/8",AM176&gt;0.5)),(AM176*2*база!$J$4*Таблица14[[#This Row],[коэф]]),
(AM176*2*база!$L$5*Таблица14[[#This Row],[коэф]])))))))))))</f>
        <v>0</v>
      </c>
      <c r="AO176" s="122" t="str">
        <f>IFERROR(INDEX(база!$D$2:$D$120, MATCH(Таблица14[[#This Row],[Ф. И. О.]],база!$B$2:$B$100,0)),"")</f>
        <v/>
      </c>
    </row>
    <row r="177" spans="1:41" s="46" customFormat="1">
      <c r="A177" s="207" t="str">
        <f t="shared" si="4"/>
        <v>январь</v>
      </c>
      <c r="B177" s="204">
        <v>2024</v>
      </c>
      <c r="C177" s="572"/>
      <c r="D177" s="214"/>
      <c r="E177" s="243"/>
      <c r="F177" s="679"/>
      <c r="G177" s="206"/>
      <c r="H177" s="215"/>
      <c r="I177" s="215"/>
      <c r="J177" s="215"/>
      <c r="K177" s="215"/>
      <c r="L177" s="215"/>
      <c r="M177" s="215"/>
      <c r="N177" s="215"/>
      <c r="O177" s="215"/>
      <c r="P177" s="215"/>
      <c r="Q177" s="215"/>
      <c r="R177" s="215"/>
      <c r="S177" s="215"/>
      <c r="T177" s="215"/>
      <c r="U177" s="215"/>
      <c r="V177" s="215"/>
      <c r="W177" s="215"/>
      <c r="X177" s="215"/>
      <c r="Y177" s="215"/>
      <c r="Z177" s="215"/>
      <c r="AA177" s="215"/>
      <c r="AB177" s="215"/>
      <c r="AC177" s="215"/>
      <c r="AD177" s="215"/>
      <c r="AE177" s="215"/>
      <c r="AF177" s="215"/>
      <c r="AG177" s="215"/>
      <c r="AH177" s="215"/>
      <c r="AI177" s="215"/>
      <c r="AJ177" s="215"/>
      <c r="AK177" s="215"/>
      <c r="AL177" s="215"/>
      <c r="AM177" s="121">
        <f t="shared" si="5"/>
        <v>0</v>
      </c>
      <c r="AN177" s="564">
        <f>IF(AO177&lt;=3,(IF(AND(G177="5/24",AM177&gt;0.5),(AM177*2*база!$M$6*Таблица14[[#This Row],[коэф]]),
IF(AND(G177="4/24",AM177&gt;0.5),(AM177*2*база!$M$5*Таблица14[[#This Row],[коэф]]),
IF(AND(G177="3/24",AM177&gt;0.5),(AM177*2*база!$M$4*Таблица14[[#This Row],[коэф]]),
IF(AND(G177="5/16",AM177&gt;0.5),(AM177*2*база!$L$6*Таблица14[[#This Row],[коэф]]),
IF(AND(G177="4/16",AM177&gt;0.5),(AM177*2*база!$L$5*Таблица14[[#This Row],[коэф]]),
IF(AND(G177="3/16",AM177&gt;0.5),(AM177*2*база!$L$4*Таблица14[[#This Row],[коэф]]),
IF(AND(G177="4/4",AM177&gt;0.5),(AM177*2*база!$I$5*Таблица14[[#This Row],[коэф]]),
IF(OR(AND(G177="3/4",AM177&gt;0.5),AND(G177="2/4",AM177&gt;0.5)),(AM177*2*база!$I$4*Таблица14[[#This Row],[коэф]]),
IF(AND(G177="5/8",AM177&gt;0.5),(AM177*2*база!$J$6*Таблица14[[#This Row],[коэф]]),
IF(AND(G177="4/8",AM177&gt;0.5),(AM177*2*база!$J$5*Таблица14[[#This Row],[коэф]]),
IF(OR(AND(G177="3/8",AM177&gt;0.5),AND(G177="2/8",AM177&gt;0.5)),(AM177*2*база!$J$4*Таблица14[[#This Row],[коэф]]),
(AM177*0.5*база!$L$4*Таблица14[[#This Row],[коэф]]))))))))))))),
(IF(AND(G177="5/24",AM177&gt;0.5),(AM177*2*база!$M$6*Таблица14[[#This Row],[коэф]]),
IF(OR(AND(G177="4/24",AM177&gt;0.5),AND(G177="3/24",AM177&gt;0.5)),(AM177*2*база!$M$5*Таблица14[[#This Row],[коэф]]),
IF(AND(G177="5/16",AM177&gt;0.5),(AM177*2*база!$L$6*Таблица14[[#This Row],[коэф]]),
IF(OR(AND(G177="4/16",AM177&gt;0.5),AND(G177="3/16",AM177&gt;0.5)),(AM177*2*база!$L$5*Таблица14[[#This Row],[коэф]]),
IF(OR(AND(G177="4/4",AM177&gt;0.5),AND(G177="3/4",AM177&gt;2)),(AM177*2*база!$I$5*Таблица14[[#This Row],[коэф]]),
IF(AND(G177="5/8",AM177&gt;0.5),(AM177*2*база!$J$6*Таблица14[[#This Row],[коэф]]),
IF(AND(G177="4/8",AM177&gt;0.5),(AM177*2*база!$J$5*Таблица14[[#This Row],[коэф]]),
IF(OR(AND(G177="3/8",AM177&gt;0.5),AND(G177="2/8",AM177&gt;0.5)),(AM177*2*база!$J$4*Таблица14[[#This Row],[коэф]]),
(AM177*2*база!$L$5*Таблица14[[#This Row],[коэф]])))))))))))</f>
        <v>0</v>
      </c>
      <c r="AO177" s="122" t="str">
        <f>IFERROR(INDEX(база!$D$2:$D$120, MATCH(Таблица14[[#This Row],[Ф. И. О.]],база!$B$2:$B$100,0)),"")</f>
        <v/>
      </c>
    </row>
    <row r="178" spans="1:41" s="46" customFormat="1">
      <c r="A178" s="207" t="str">
        <f t="shared" si="4"/>
        <v>январь</v>
      </c>
      <c r="B178" s="240">
        <v>2024</v>
      </c>
      <c r="C178" s="572"/>
      <c r="D178" s="214"/>
      <c r="E178" s="241"/>
      <c r="F178" s="679"/>
      <c r="G178" s="242"/>
      <c r="H178" s="215"/>
      <c r="I178" s="215"/>
      <c r="J178" s="215"/>
      <c r="K178" s="215"/>
      <c r="L178" s="215"/>
      <c r="M178" s="215"/>
      <c r="N178" s="215"/>
      <c r="O178" s="215"/>
      <c r="P178" s="215"/>
      <c r="Q178" s="215"/>
      <c r="R178" s="215"/>
      <c r="S178" s="215"/>
      <c r="T178" s="215"/>
      <c r="U178" s="215"/>
      <c r="V178" s="215"/>
      <c r="W178" s="215"/>
      <c r="X178" s="215"/>
      <c r="Y178" s="215"/>
      <c r="Z178" s="215"/>
      <c r="AA178" s="215"/>
      <c r="AB178" s="215"/>
      <c r="AC178" s="215"/>
      <c r="AD178" s="215"/>
      <c r="AE178" s="215"/>
      <c r="AF178" s="215"/>
      <c r="AG178" s="215"/>
      <c r="AH178" s="215"/>
      <c r="AI178" s="215"/>
      <c r="AJ178" s="215"/>
      <c r="AK178" s="215"/>
      <c r="AL178" s="215"/>
      <c r="AM178" s="121">
        <f t="shared" si="5"/>
        <v>0</v>
      </c>
      <c r="AN178" s="564">
        <f>IF(AO178&lt;=3,(IF(AND(G178="5/24",AM178&gt;0.5),(AM178*2*база!$M$6*Таблица14[[#This Row],[коэф]]),
IF(AND(G178="4/24",AM178&gt;0.5),(AM178*2*база!$M$5*Таблица14[[#This Row],[коэф]]),
IF(AND(G178="3/24",AM178&gt;0.5),(AM178*2*база!$M$4*Таблица14[[#This Row],[коэф]]),
IF(AND(G178="5/16",AM178&gt;0.5),(AM178*2*база!$L$6*Таблица14[[#This Row],[коэф]]),
IF(AND(G178="4/16",AM178&gt;0.5),(AM178*2*база!$L$5*Таблица14[[#This Row],[коэф]]),
IF(AND(G178="3/16",AM178&gt;0.5),(AM178*2*база!$L$4*Таблица14[[#This Row],[коэф]]),
IF(AND(G178="4/4",AM178&gt;0.5),(AM178*2*база!$I$5*Таблица14[[#This Row],[коэф]]),
IF(OR(AND(G178="3/4",AM178&gt;0.5),AND(G178="2/4",AM178&gt;0.5)),(AM178*2*база!$I$4*Таблица14[[#This Row],[коэф]]),
IF(AND(G178="5/8",AM178&gt;0.5),(AM178*2*база!$J$6*Таблица14[[#This Row],[коэф]]),
IF(AND(G178="4/8",AM178&gt;0.5),(AM178*2*база!$J$5*Таблица14[[#This Row],[коэф]]),
IF(OR(AND(G178="3/8",AM178&gt;0.5),AND(G178="2/8",AM178&gt;0.5)),(AM178*2*база!$J$4*Таблица14[[#This Row],[коэф]]),
(AM178*0.5*база!$L$4*Таблица14[[#This Row],[коэф]]))))))))))))),
(IF(AND(G178="5/24",AM178&gt;0.5),(AM178*2*база!$M$6*Таблица14[[#This Row],[коэф]]),
IF(OR(AND(G178="4/24",AM178&gt;0.5),AND(G178="3/24",AM178&gt;0.5)),(AM178*2*база!$M$5*Таблица14[[#This Row],[коэф]]),
IF(AND(G178="5/16",AM178&gt;0.5),(AM178*2*база!$L$6*Таблица14[[#This Row],[коэф]]),
IF(OR(AND(G178="4/16",AM178&gt;0.5),AND(G178="3/16",AM178&gt;0.5)),(AM178*2*база!$L$5*Таблица14[[#This Row],[коэф]]),
IF(OR(AND(G178="4/4",AM178&gt;0.5),AND(G178="3/4",AM178&gt;2)),(AM178*2*база!$I$5*Таблица14[[#This Row],[коэф]]),
IF(AND(G178="5/8",AM178&gt;0.5),(AM178*2*база!$J$6*Таблица14[[#This Row],[коэф]]),
IF(AND(G178="4/8",AM178&gt;0.5),(AM178*2*база!$J$5*Таблица14[[#This Row],[коэф]]),
IF(OR(AND(G178="3/8",AM178&gt;0.5),AND(G178="2/8",AM178&gt;0.5)),(AM178*2*база!$J$4*Таблица14[[#This Row],[коэф]]),
(AM178*2*база!$L$5*Таблица14[[#This Row],[коэф]])))))))))))</f>
        <v>0</v>
      </c>
      <c r="AO178" s="122" t="str">
        <f>IFERROR(INDEX(база!$D$2:$D$120, MATCH(Таблица14[[#This Row],[Ф. И. О.]],база!$B$2:$B$100,0)),"")</f>
        <v/>
      </c>
    </row>
    <row r="179" spans="1:41" s="46" customFormat="1">
      <c r="A179" s="207" t="str">
        <f t="shared" si="4"/>
        <v>январь</v>
      </c>
      <c r="B179" s="204">
        <v>2024</v>
      </c>
      <c r="C179" s="572"/>
      <c r="D179" s="214"/>
      <c r="E179" s="243"/>
      <c r="F179" s="679"/>
      <c r="G179" s="206"/>
      <c r="H179" s="215"/>
      <c r="I179" s="215"/>
      <c r="J179" s="215"/>
      <c r="K179" s="215"/>
      <c r="L179" s="215"/>
      <c r="M179" s="215"/>
      <c r="N179" s="215"/>
      <c r="O179" s="215"/>
      <c r="P179" s="215"/>
      <c r="Q179" s="215"/>
      <c r="R179" s="215"/>
      <c r="S179" s="215"/>
      <c r="T179" s="215"/>
      <c r="U179" s="215"/>
      <c r="V179" s="215"/>
      <c r="W179" s="215"/>
      <c r="X179" s="215"/>
      <c r="Y179" s="215"/>
      <c r="Z179" s="215"/>
      <c r="AA179" s="215"/>
      <c r="AB179" s="215"/>
      <c r="AC179" s="215"/>
      <c r="AD179" s="215"/>
      <c r="AE179" s="215"/>
      <c r="AF179" s="215"/>
      <c r="AG179" s="215"/>
      <c r="AH179" s="215"/>
      <c r="AI179" s="215"/>
      <c r="AJ179" s="215"/>
      <c r="AK179" s="215"/>
      <c r="AL179" s="215"/>
      <c r="AM179" s="121">
        <f t="shared" si="5"/>
        <v>0</v>
      </c>
      <c r="AN179" s="564">
        <f>IF(AO179&lt;=3,(IF(AND(G179="5/24",AM179&gt;0.5),(AM179*2*база!$M$6*Таблица14[[#This Row],[коэф]]),
IF(AND(G179="4/24",AM179&gt;0.5),(AM179*2*база!$M$5*Таблица14[[#This Row],[коэф]]),
IF(AND(G179="3/24",AM179&gt;0.5),(AM179*2*база!$M$4*Таблица14[[#This Row],[коэф]]),
IF(AND(G179="5/16",AM179&gt;0.5),(AM179*2*база!$L$6*Таблица14[[#This Row],[коэф]]),
IF(AND(G179="4/16",AM179&gt;0.5),(AM179*2*база!$L$5*Таблица14[[#This Row],[коэф]]),
IF(AND(G179="3/16",AM179&gt;0.5),(AM179*2*база!$L$4*Таблица14[[#This Row],[коэф]]),
IF(AND(G179="4/4",AM179&gt;0.5),(AM179*2*база!$I$5*Таблица14[[#This Row],[коэф]]),
IF(OR(AND(G179="3/4",AM179&gt;0.5),AND(G179="2/4",AM179&gt;0.5)),(AM179*2*база!$I$4*Таблица14[[#This Row],[коэф]]),
IF(AND(G179="5/8",AM179&gt;0.5),(AM179*2*база!$J$6*Таблица14[[#This Row],[коэф]]),
IF(AND(G179="4/8",AM179&gt;0.5),(AM179*2*база!$J$5*Таблица14[[#This Row],[коэф]]),
IF(OR(AND(G179="3/8",AM179&gt;0.5),AND(G179="2/8",AM179&gt;0.5)),(AM179*2*база!$J$4*Таблица14[[#This Row],[коэф]]),
(AM179*0.5*база!$L$4*Таблица14[[#This Row],[коэф]]))))))))))))),
(IF(AND(G179="5/24",AM179&gt;0.5),(AM179*2*база!$M$6*Таблица14[[#This Row],[коэф]]),
IF(OR(AND(G179="4/24",AM179&gt;0.5),AND(G179="3/24",AM179&gt;0.5)),(AM179*2*база!$M$5*Таблица14[[#This Row],[коэф]]),
IF(AND(G179="5/16",AM179&gt;0.5),(AM179*2*база!$L$6*Таблица14[[#This Row],[коэф]]),
IF(OR(AND(G179="4/16",AM179&gt;0.5),AND(G179="3/16",AM179&gt;0.5)),(AM179*2*база!$L$5*Таблица14[[#This Row],[коэф]]),
IF(OR(AND(G179="4/4",AM179&gt;0.5),AND(G179="3/4",AM179&gt;2)),(AM179*2*база!$I$5*Таблица14[[#This Row],[коэф]]),
IF(AND(G179="5/8",AM179&gt;0.5),(AM179*2*база!$J$6*Таблица14[[#This Row],[коэф]]),
IF(AND(G179="4/8",AM179&gt;0.5),(AM179*2*база!$J$5*Таблица14[[#This Row],[коэф]]),
IF(OR(AND(G179="3/8",AM179&gt;0.5),AND(G179="2/8",AM179&gt;0.5)),(AM179*2*база!$J$4*Таблица14[[#This Row],[коэф]]),
(AM179*2*база!$L$5*Таблица14[[#This Row],[коэф]])))))))))))</f>
        <v>0</v>
      </c>
      <c r="AO179" s="122" t="str">
        <f>IFERROR(INDEX(база!$D$2:$D$120, MATCH(Таблица14[[#This Row],[Ф. И. О.]],база!$B$2:$B$100,0)),"")</f>
        <v/>
      </c>
    </row>
    <row r="180" spans="1:41" s="46" customFormat="1">
      <c r="A180" s="207" t="str">
        <f t="shared" si="4"/>
        <v>январь</v>
      </c>
      <c r="B180" s="240">
        <v>2024</v>
      </c>
      <c r="C180" s="572"/>
      <c r="D180" s="214"/>
      <c r="E180" s="241"/>
      <c r="F180" s="679"/>
      <c r="G180" s="242"/>
      <c r="H180" s="215"/>
      <c r="I180" s="215"/>
      <c r="J180" s="215"/>
      <c r="K180" s="215"/>
      <c r="L180" s="215"/>
      <c r="M180" s="215"/>
      <c r="N180" s="215"/>
      <c r="O180" s="215"/>
      <c r="P180" s="215"/>
      <c r="Q180" s="215"/>
      <c r="R180" s="215"/>
      <c r="S180" s="215"/>
      <c r="T180" s="215"/>
      <c r="U180" s="215"/>
      <c r="V180" s="215"/>
      <c r="W180" s="215"/>
      <c r="X180" s="215"/>
      <c r="Y180" s="215"/>
      <c r="Z180" s="215"/>
      <c r="AA180" s="215"/>
      <c r="AB180" s="215"/>
      <c r="AC180" s="215"/>
      <c r="AD180" s="215"/>
      <c r="AE180" s="215"/>
      <c r="AF180" s="215"/>
      <c r="AG180" s="215"/>
      <c r="AH180" s="215"/>
      <c r="AI180" s="215"/>
      <c r="AJ180" s="215"/>
      <c r="AK180" s="215"/>
      <c r="AL180" s="215"/>
      <c r="AM180" s="121">
        <f t="shared" si="5"/>
        <v>0</v>
      </c>
      <c r="AN180" s="564">
        <f>IF(AO180&lt;=3,(IF(AND(G180="5/24",AM180&gt;0.5),(AM180*2*база!$M$6*Таблица14[[#This Row],[коэф]]),
IF(AND(G180="4/24",AM180&gt;0.5),(AM180*2*база!$M$5*Таблица14[[#This Row],[коэф]]),
IF(AND(G180="3/24",AM180&gt;0.5),(AM180*2*база!$M$4*Таблица14[[#This Row],[коэф]]),
IF(AND(G180="5/16",AM180&gt;0.5),(AM180*2*база!$L$6*Таблица14[[#This Row],[коэф]]),
IF(AND(G180="4/16",AM180&gt;0.5),(AM180*2*база!$L$5*Таблица14[[#This Row],[коэф]]),
IF(AND(G180="3/16",AM180&gt;0.5),(AM180*2*база!$L$4*Таблица14[[#This Row],[коэф]]),
IF(AND(G180="4/4",AM180&gt;0.5),(AM180*2*база!$I$5*Таблица14[[#This Row],[коэф]]),
IF(OR(AND(G180="3/4",AM180&gt;0.5),AND(G180="2/4",AM180&gt;0.5)),(AM180*2*база!$I$4*Таблица14[[#This Row],[коэф]]),
IF(AND(G180="5/8",AM180&gt;0.5),(AM180*2*база!$J$6*Таблица14[[#This Row],[коэф]]),
IF(AND(G180="4/8",AM180&gt;0.5),(AM180*2*база!$J$5*Таблица14[[#This Row],[коэф]]),
IF(OR(AND(G180="3/8",AM180&gt;0.5),AND(G180="2/8",AM180&gt;0.5)),(AM180*2*база!$J$4*Таблица14[[#This Row],[коэф]]),
(AM180*0.5*база!$L$4*Таблица14[[#This Row],[коэф]]))))))))))))),
(IF(AND(G180="5/24",AM180&gt;0.5),(AM180*2*база!$M$6*Таблица14[[#This Row],[коэф]]),
IF(OR(AND(G180="4/24",AM180&gt;0.5),AND(G180="3/24",AM180&gt;0.5)),(AM180*2*база!$M$5*Таблица14[[#This Row],[коэф]]),
IF(AND(G180="5/16",AM180&gt;0.5),(AM180*2*база!$L$6*Таблица14[[#This Row],[коэф]]),
IF(OR(AND(G180="4/16",AM180&gt;0.5),AND(G180="3/16",AM180&gt;0.5)),(AM180*2*база!$L$5*Таблица14[[#This Row],[коэф]]),
IF(OR(AND(G180="4/4",AM180&gt;0.5),AND(G180="3/4",AM180&gt;2)),(AM180*2*база!$I$5*Таблица14[[#This Row],[коэф]]),
IF(AND(G180="5/8",AM180&gt;0.5),(AM180*2*база!$J$6*Таблица14[[#This Row],[коэф]]),
IF(AND(G180="4/8",AM180&gt;0.5),(AM180*2*база!$J$5*Таблица14[[#This Row],[коэф]]),
IF(OR(AND(G180="3/8",AM180&gt;0.5),AND(G180="2/8",AM180&gt;0.5)),(AM180*2*база!$J$4*Таблица14[[#This Row],[коэф]]),
(AM180*2*база!$L$5*Таблица14[[#This Row],[коэф]])))))))))))</f>
        <v>0</v>
      </c>
      <c r="AO180" s="122" t="str">
        <f>IFERROR(INDEX(база!$D$2:$D$120, MATCH(Таблица14[[#This Row],[Ф. И. О.]],база!$B$2:$B$100,0)),"")</f>
        <v/>
      </c>
    </row>
    <row r="181" spans="1:41">
      <c r="A181" s="207" t="str">
        <f>A167</f>
        <v>январь</v>
      </c>
      <c r="B181" s="204">
        <v>2024</v>
      </c>
      <c r="C181" s="572"/>
      <c r="D181" s="214"/>
      <c r="E181" s="243"/>
      <c r="F181" s="679"/>
      <c r="G181" s="206"/>
      <c r="H181" s="215"/>
      <c r="I181" s="215"/>
      <c r="J181" s="215"/>
      <c r="K181" s="215"/>
      <c r="L181" s="215"/>
      <c r="M181" s="215"/>
      <c r="N181" s="215"/>
      <c r="O181" s="215"/>
      <c r="P181" s="215"/>
      <c r="Q181" s="215"/>
      <c r="R181" s="215"/>
      <c r="S181" s="215"/>
      <c r="T181" s="215"/>
      <c r="U181" s="215"/>
      <c r="V181" s="215"/>
      <c r="W181" s="215"/>
      <c r="X181" s="215"/>
      <c r="Y181" s="215"/>
      <c r="Z181" s="215"/>
      <c r="AA181" s="215"/>
      <c r="AB181" s="215"/>
      <c r="AC181" s="215"/>
      <c r="AD181" s="215"/>
      <c r="AE181" s="215"/>
      <c r="AF181" s="215"/>
      <c r="AG181" s="215"/>
      <c r="AH181" s="215"/>
      <c r="AI181" s="215"/>
      <c r="AJ181" s="215"/>
      <c r="AK181" s="215"/>
      <c r="AL181" s="215"/>
      <c r="AM181" s="121">
        <f t="shared" si="5"/>
        <v>0</v>
      </c>
      <c r="AN181" s="564">
        <f>IF(AO181&lt;=3,(IF(AND(G181="5/24",AM181&gt;0.5),(AM181*2*база!$M$6*Таблица14[[#This Row],[коэф]]),
IF(AND(G181="4/24",AM181&gt;0.5),(AM181*2*база!$M$5*Таблица14[[#This Row],[коэф]]),
IF(AND(G181="3/24",AM181&gt;0.5),(AM181*2*база!$M$4*Таблица14[[#This Row],[коэф]]),
IF(AND(G181="5/16",AM181&gt;0.5),(AM181*2*база!$L$6*Таблица14[[#This Row],[коэф]]),
IF(AND(G181="4/16",AM181&gt;0.5),(AM181*2*база!$L$5*Таблица14[[#This Row],[коэф]]),
IF(AND(G181="3/16",AM181&gt;0.5),(AM181*2*база!$L$4*Таблица14[[#This Row],[коэф]]),
IF(AND(G181="4/4",AM181&gt;0.5),(AM181*2*база!$I$5*Таблица14[[#This Row],[коэф]]),
IF(OR(AND(G181="3/4",AM181&gt;0.5),AND(G181="2/4",AM181&gt;0.5)),(AM181*2*база!$I$4*Таблица14[[#This Row],[коэф]]),
IF(AND(G181="5/8",AM181&gt;0.5),(AM181*2*база!$J$6*Таблица14[[#This Row],[коэф]]),
IF(AND(G181="4/8",AM181&gt;0.5),(AM181*2*база!$J$5*Таблица14[[#This Row],[коэф]]),
IF(OR(AND(G181="3/8",AM181&gt;0.5),AND(G181="2/8",AM181&gt;0.5)),(AM181*2*база!$J$4*Таблица14[[#This Row],[коэф]]),
(AM181*0.5*база!$L$4*Таблица14[[#This Row],[коэф]]))))))))))))),
(IF(AND(G181="5/24",AM181&gt;0.5),(AM181*2*база!$M$6*Таблица14[[#This Row],[коэф]]),
IF(OR(AND(G181="4/24",AM181&gt;0.5),AND(G181="3/24",AM181&gt;0.5)),(AM181*2*база!$M$5*Таблица14[[#This Row],[коэф]]),
IF(AND(G181="5/16",AM181&gt;0.5),(AM181*2*база!$L$6*Таблица14[[#This Row],[коэф]]),
IF(OR(AND(G181="4/16",AM181&gt;0.5),AND(G181="3/16",AM181&gt;0.5)),(AM181*2*база!$L$5*Таблица14[[#This Row],[коэф]]),
IF(OR(AND(G181="4/4",AM181&gt;0.5),AND(G181="3/4",AM181&gt;2)),(AM181*2*база!$I$5*Таблица14[[#This Row],[коэф]]),
IF(AND(G181="5/8",AM181&gt;0.5),(AM181*2*база!$J$6*Таблица14[[#This Row],[коэф]]),
IF(AND(G181="4/8",AM181&gt;0.5),(AM181*2*база!$J$5*Таблица14[[#This Row],[коэф]]),
IF(OR(AND(G181="3/8",AM181&gt;0.5),AND(G181="2/8",AM181&gt;0.5)),(AM181*2*база!$J$4*Таблица14[[#This Row],[коэф]]),
(AM181*2*база!$L$5*Таблица14[[#This Row],[коэф]])))))))))))</f>
        <v>0</v>
      </c>
      <c r="AO181" s="122" t="str">
        <f>IFERROR(INDEX(база!$D$2:$D$120, MATCH(Таблица14[[#This Row],[Ф. И. О.]],база!$B$2:$B$100,0)),"")</f>
        <v/>
      </c>
    </row>
    <row r="182" spans="1:41">
      <c r="A182" s="207" t="str">
        <f t="shared" si="4"/>
        <v>январь</v>
      </c>
      <c r="B182" s="240">
        <v>2024</v>
      </c>
      <c r="C182" s="572"/>
      <c r="D182" s="214"/>
      <c r="E182" s="241"/>
      <c r="F182" s="679"/>
      <c r="G182" s="242"/>
      <c r="H182" s="215"/>
      <c r="I182" s="215"/>
      <c r="J182" s="215"/>
      <c r="K182" s="215"/>
      <c r="L182" s="215"/>
      <c r="M182" s="215"/>
      <c r="N182" s="215"/>
      <c r="O182" s="215"/>
      <c r="P182" s="215"/>
      <c r="Q182" s="215"/>
      <c r="R182" s="215"/>
      <c r="S182" s="215"/>
      <c r="T182" s="215"/>
      <c r="U182" s="215"/>
      <c r="V182" s="215"/>
      <c r="W182" s="215"/>
      <c r="X182" s="215"/>
      <c r="Y182" s="215"/>
      <c r="Z182" s="215"/>
      <c r="AA182" s="215"/>
      <c r="AB182" s="215"/>
      <c r="AC182" s="215"/>
      <c r="AD182" s="215"/>
      <c r="AE182" s="215"/>
      <c r="AF182" s="215"/>
      <c r="AG182" s="215"/>
      <c r="AH182" s="215"/>
      <c r="AI182" s="215"/>
      <c r="AJ182" s="215"/>
      <c r="AK182" s="215"/>
      <c r="AL182" s="215"/>
      <c r="AM182" s="121">
        <f t="shared" si="5"/>
        <v>0</v>
      </c>
      <c r="AN182" s="564">
        <f>IF(AO182&lt;=3,(IF(AND(G182="5/24",AM182&gt;0.5),(AM182*2*база!$M$6*Таблица14[[#This Row],[коэф]]),
IF(AND(G182="4/24",AM182&gt;0.5),(AM182*2*база!$M$5*Таблица14[[#This Row],[коэф]]),
IF(AND(G182="3/24",AM182&gt;0.5),(AM182*2*база!$M$4*Таблица14[[#This Row],[коэф]]),
IF(AND(G182="5/16",AM182&gt;0.5),(AM182*2*база!$L$6*Таблица14[[#This Row],[коэф]]),
IF(AND(G182="4/16",AM182&gt;0.5),(AM182*2*база!$L$5*Таблица14[[#This Row],[коэф]]),
IF(AND(G182="3/16",AM182&gt;0.5),(AM182*2*база!$L$4*Таблица14[[#This Row],[коэф]]),
IF(AND(G182="4/4",AM182&gt;0.5),(AM182*2*база!$I$5*Таблица14[[#This Row],[коэф]]),
IF(OR(AND(G182="3/4",AM182&gt;0.5),AND(G182="2/4",AM182&gt;0.5)),(AM182*2*база!$I$4*Таблица14[[#This Row],[коэф]]),
IF(AND(G182="5/8",AM182&gt;0.5),(AM182*2*база!$J$6*Таблица14[[#This Row],[коэф]]),
IF(AND(G182="4/8",AM182&gt;0.5),(AM182*2*база!$J$5*Таблица14[[#This Row],[коэф]]),
IF(OR(AND(G182="3/8",AM182&gt;0.5),AND(G182="2/8",AM182&gt;0.5)),(AM182*2*база!$J$4*Таблица14[[#This Row],[коэф]]),
(AM182*0.5*база!$L$4*Таблица14[[#This Row],[коэф]]))))))))))))),
(IF(AND(G182="5/24",AM182&gt;0.5),(AM182*2*база!$M$6*Таблица14[[#This Row],[коэф]]),
IF(OR(AND(G182="4/24",AM182&gt;0.5),AND(G182="3/24",AM182&gt;0.5)),(AM182*2*база!$M$5*Таблица14[[#This Row],[коэф]]),
IF(AND(G182="5/16",AM182&gt;0.5),(AM182*2*база!$L$6*Таблица14[[#This Row],[коэф]]),
IF(OR(AND(G182="4/16",AM182&gt;0.5),AND(G182="3/16",AM182&gt;0.5)),(AM182*2*база!$L$5*Таблица14[[#This Row],[коэф]]),
IF(OR(AND(G182="4/4",AM182&gt;0.5),AND(G182="3/4",AM182&gt;2)),(AM182*2*база!$I$5*Таблица14[[#This Row],[коэф]]),
IF(AND(G182="5/8",AM182&gt;0.5),(AM182*2*база!$J$6*Таблица14[[#This Row],[коэф]]),
IF(AND(G182="4/8",AM182&gt;0.5),(AM182*2*база!$J$5*Таблица14[[#This Row],[коэф]]),
IF(OR(AND(G182="3/8",AM182&gt;0.5),AND(G182="2/8",AM182&gt;0.5)),(AM182*2*база!$J$4*Таблица14[[#This Row],[коэф]]),
(AM182*2*база!$L$5*Таблица14[[#This Row],[коэф]])))))))))))</f>
        <v>0</v>
      </c>
      <c r="AO182" s="122" t="str">
        <f>IFERROR(INDEX(база!$D$2:$D$120, MATCH(Таблица14[[#This Row],[Ф. И. О.]],база!$B$2:$B$100,0)),"")</f>
        <v/>
      </c>
    </row>
    <row r="183" spans="1:41">
      <c r="A183" s="207" t="str">
        <f t="shared" ref="A183:A297" si="6">A182</f>
        <v>январь</v>
      </c>
      <c r="B183" s="204">
        <v>2024</v>
      </c>
      <c r="C183" s="572"/>
      <c r="D183" s="214"/>
      <c r="E183" s="243"/>
      <c r="F183" s="681"/>
      <c r="G183" s="206"/>
      <c r="H183" s="215"/>
      <c r="I183" s="215"/>
      <c r="J183" s="215"/>
      <c r="K183" s="215"/>
      <c r="L183" s="215"/>
      <c r="M183" s="215"/>
      <c r="N183" s="215"/>
      <c r="O183" s="215"/>
      <c r="P183" s="215"/>
      <c r="Q183" s="215"/>
      <c r="R183" s="215"/>
      <c r="S183" s="215"/>
      <c r="T183" s="215"/>
      <c r="U183" s="215"/>
      <c r="V183" s="215"/>
      <c r="W183" s="215"/>
      <c r="X183" s="215"/>
      <c r="Y183" s="215"/>
      <c r="Z183" s="215"/>
      <c r="AA183" s="215"/>
      <c r="AB183" s="215"/>
      <c r="AC183" s="215"/>
      <c r="AD183" s="215"/>
      <c r="AE183" s="215"/>
      <c r="AF183" s="215"/>
      <c r="AG183" s="215"/>
      <c r="AH183" s="215"/>
      <c r="AI183" s="215"/>
      <c r="AJ183" s="215"/>
      <c r="AK183" s="215"/>
      <c r="AL183" s="215"/>
      <c r="AM183" s="121">
        <f t="shared" si="5"/>
        <v>0</v>
      </c>
      <c r="AN183" s="564">
        <f>IF(AO183&lt;=3,(IF(AND(G183="5/24",AM183&gt;0.5),(AM183*2*база!$M$6*Таблица14[[#This Row],[коэф]]),
IF(AND(G183="4/24",AM183&gt;0.5),(AM183*2*база!$M$5*Таблица14[[#This Row],[коэф]]),
IF(AND(G183="3/24",AM183&gt;0.5),(AM183*2*база!$M$4*Таблица14[[#This Row],[коэф]]),
IF(AND(G183="5/16",AM183&gt;0.5),(AM183*2*база!$L$6*Таблица14[[#This Row],[коэф]]),
IF(AND(G183="4/16",AM183&gt;0.5),(AM183*2*база!$L$5*Таблица14[[#This Row],[коэф]]),
IF(AND(G183="3/16",AM183&gt;0.5),(AM183*2*база!$L$4*Таблица14[[#This Row],[коэф]]),
IF(AND(G183="4/4",AM183&gt;0.5),(AM183*2*база!$I$5*Таблица14[[#This Row],[коэф]]),
IF(OR(AND(G183="3/4",AM183&gt;0.5),AND(G183="2/4",AM183&gt;0.5)),(AM183*2*база!$I$4*Таблица14[[#This Row],[коэф]]),
IF(AND(G183="5/8",AM183&gt;0.5),(AM183*2*база!$J$6*Таблица14[[#This Row],[коэф]]),
IF(AND(G183="4/8",AM183&gt;0.5),(AM183*2*база!$J$5*Таблица14[[#This Row],[коэф]]),
IF(OR(AND(G183="3/8",AM183&gt;0.5),AND(G183="2/8",AM183&gt;0.5)),(AM183*2*база!$J$4*Таблица14[[#This Row],[коэф]]),
(AM183*0.5*база!$L$4*Таблица14[[#This Row],[коэф]]))))))))))))),
(IF(AND(G183="5/24",AM183&gt;0.5),(AM183*2*база!$M$6*Таблица14[[#This Row],[коэф]]),
IF(OR(AND(G183="4/24",AM183&gt;0.5),AND(G183="3/24",AM183&gt;0.5)),(AM183*2*база!$M$5*Таблица14[[#This Row],[коэф]]),
IF(AND(G183="5/16",AM183&gt;0.5),(AM183*2*база!$L$6*Таблица14[[#This Row],[коэф]]),
IF(OR(AND(G183="4/16",AM183&gt;0.5),AND(G183="3/16",AM183&gt;0.5)),(AM183*2*база!$L$5*Таблица14[[#This Row],[коэф]]),
IF(OR(AND(G183="4/4",AM183&gt;0.5),AND(G183="3/4",AM183&gt;2)),(AM183*2*база!$I$5*Таблица14[[#This Row],[коэф]]),
IF(AND(G183="5/8",AM183&gt;0.5),(AM183*2*база!$J$6*Таблица14[[#This Row],[коэф]]),
IF(AND(G183="4/8",AM183&gt;0.5),(AM183*2*база!$J$5*Таблица14[[#This Row],[коэф]]),
IF(OR(AND(G183="3/8",AM183&gt;0.5),AND(G183="2/8",AM183&gt;0.5)),(AM183*2*база!$J$4*Таблица14[[#This Row],[коэф]]),
(AM183*2*база!$L$5*Таблица14[[#This Row],[коэф]])))))))))))</f>
        <v>0</v>
      </c>
      <c r="AO183" s="122" t="str">
        <f>IFERROR(INDEX(база!$D$2:$D$120, MATCH(Таблица14[[#This Row],[Ф. И. О.]],база!$B$2:$B$100,0)),"")</f>
        <v/>
      </c>
    </row>
    <row r="184" spans="1:41">
      <c r="A184" s="207" t="str">
        <f t="shared" si="6"/>
        <v>январь</v>
      </c>
      <c r="B184" s="240">
        <v>2024</v>
      </c>
      <c r="C184" s="572"/>
      <c r="D184" s="214"/>
      <c r="E184" s="241"/>
      <c r="F184" s="681"/>
      <c r="G184" s="242"/>
      <c r="H184" s="215"/>
      <c r="I184" s="215"/>
      <c r="J184" s="215"/>
      <c r="K184" s="215"/>
      <c r="L184" s="215"/>
      <c r="M184" s="215"/>
      <c r="N184" s="215"/>
      <c r="O184" s="215"/>
      <c r="P184" s="215"/>
      <c r="Q184" s="215"/>
      <c r="R184" s="215"/>
      <c r="S184" s="215"/>
      <c r="T184" s="215"/>
      <c r="U184" s="215"/>
      <c r="V184" s="215"/>
      <c r="W184" s="215"/>
      <c r="X184" s="215"/>
      <c r="Y184" s="215"/>
      <c r="Z184" s="215"/>
      <c r="AA184" s="215"/>
      <c r="AB184" s="215"/>
      <c r="AC184" s="215"/>
      <c r="AD184" s="215"/>
      <c r="AE184" s="215"/>
      <c r="AF184" s="215"/>
      <c r="AG184" s="215"/>
      <c r="AH184" s="215"/>
      <c r="AI184" s="215"/>
      <c r="AJ184" s="215"/>
      <c r="AK184" s="215"/>
      <c r="AL184" s="215"/>
      <c r="AM184" s="121">
        <f t="shared" si="5"/>
        <v>0</v>
      </c>
      <c r="AN184" s="564">
        <f>IF(AO184&lt;=3,(IF(AND(G184="5/24",AM184&gt;0.5),(AM184*2*база!$M$6*Таблица14[[#This Row],[коэф]]),
IF(AND(G184="4/24",AM184&gt;0.5),(AM184*2*база!$M$5*Таблица14[[#This Row],[коэф]]),
IF(AND(G184="3/24",AM184&gt;0.5),(AM184*2*база!$M$4*Таблица14[[#This Row],[коэф]]),
IF(AND(G184="5/16",AM184&gt;0.5),(AM184*2*база!$L$6*Таблица14[[#This Row],[коэф]]),
IF(AND(G184="4/16",AM184&gt;0.5),(AM184*2*база!$L$5*Таблица14[[#This Row],[коэф]]),
IF(AND(G184="3/16",AM184&gt;0.5),(AM184*2*база!$L$4*Таблица14[[#This Row],[коэф]]),
IF(AND(G184="4/4",AM184&gt;0.5),(AM184*2*база!$I$5*Таблица14[[#This Row],[коэф]]),
IF(OR(AND(G184="3/4",AM184&gt;0.5),AND(G184="2/4",AM184&gt;0.5)),(AM184*2*база!$I$4*Таблица14[[#This Row],[коэф]]),
IF(AND(G184="5/8",AM184&gt;0.5),(AM184*2*база!$J$6*Таблица14[[#This Row],[коэф]]),
IF(AND(G184="4/8",AM184&gt;0.5),(AM184*2*база!$J$5*Таблица14[[#This Row],[коэф]]),
IF(OR(AND(G184="3/8",AM184&gt;0.5),AND(G184="2/8",AM184&gt;0.5)),(AM184*2*база!$J$4*Таблица14[[#This Row],[коэф]]),
(AM184*0.5*база!$L$4*Таблица14[[#This Row],[коэф]]))))))))))))),
(IF(AND(G184="5/24",AM184&gt;0.5),(AM184*2*база!$M$6*Таблица14[[#This Row],[коэф]]),
IF(OR(AND(G184="4/24",AM184&gt;0.5),AND(G184="3/24",AM184&gt;0.5)),(AM184*2*база!$M$5*Таблица14[[#This Row],[коэф]]),
IF(AND(G184="5/16",AM184&gt;0.5),(AM184*2*база!$L$6*Таблица14[[#This Row],[коэф]]),
IF(OR(AND(G184="4/16",AM184&gt;0.5),AND(G184="3/16",AM184&gt;0.5)),(AM184*2*база!$L$5*Таблица14[[#This Row],[коэф]]),
IF(OR(AND(G184="4/4",AM184&gt;0.5),AND(G184="3/4",AM184&gt;2)),(AM184*2*база!$I$5*Таблица14[[#This Row],[коэф]]),
IF(AND(G184="5/8",AM184&gt;0.5),(AM184*2*база!$J$6*Таблица14[[#This Row],[коэф]]),
IF(AND(G184="4/8",AM184&gt;0.5),(AM184*2*база!$J$5*Таблица14[[#This Row],[коэф]]),
IF(OR(AND(G184="3/8",AM184&gt;0.5),AND(G184="2/8",AM184&gt;0.5)),(AM184*2*база!$J$4*Таблица14[[#This Row],[коэф]]),
(AM184*2*база!$L$5*Таблица14[[#This Row],[коэф]])))))))))))</f>
        <v>0</v>
      </c>
      <c r="AO184" s="122" t="str">
        <f>IFERROR(INDEX(база!$D$2:$D$120, MATCH(Таблица14[[#This Row],[Ф. И. О.]],база!$B$2:$B$100,0)),"")</f>
        <v/>
      </c>
    </row>
    <row r="185" spans="1:41">
      <c r="A185" s="207" t="str">
        <f t="shared" si="6"/>
        <v>январь</v>
      </c>
      <c r="B185" s="204">
        <v>2024</v>
      </c>
      <c r="C185" s="572"/>
      <c r="D185" s="214"/>
      <c r="E185" s="243"/>
      <c r="F185" s="672"/>
      <c r="G185" s="206"/>
      <c r="H185" s="215"/>
      <c r="I185" s="215"/>
      <c r="J185" s="215"/>
      <c r="K185" s="215"/>
      <c r="L185" s="215"/>
      <c r="M185" s="215"/>
      <c r="N185" s="215"/>
      <c r="O185" s="215"/>
      <c r="P185" s="215"/>
      <c r="Q185" s="215"/>
      <c r="R185" s="215"/>
      <c r="S185" s="215"/>
      <c r="T185" s="215"/>
      <c r="U185" s="215"/>
      <c r="V185" s="215"/>
      <c r="W185" s="215"/>
      <c r="X185" s="215"/>
      <c r="Y185" s="215"/>
      <c r="Z185" s="215"/>
      <c r="AA185" s="215"/>
      <c r="AB185" s="215"/>
      <c r="AC185" s="215"/>
      <c r="AD185" s="215"/>
      <c r="AE185" s="215"/>
      <c r="AF185" s="215"/>
      <c r="AG185" s="215"/>
      <c r="AH185" s="215"/>
      <c r="AI185" s="215"/>
      <c r="AJ185" s="215"/>
      <c r="AK185" s="215"/>
      <c r="AL185" s="215"/>
      <c r="AM185" s="121">
        <f t="shared" si="5"/>
        <v>0</v>
      </c>
      <c r="AN185" s="564">
        <f>IF(AO185&lt;=3,(IF(AND(G185="5/24",AM185&gt;0.5),(AM185*2*база!$M$6*Таблица14[[#This Row],[коэф]]),
IF(AND(G185="4/24",AM185&gt;0.5),(AM185*2*база!$M$5*Таблица14[[#This Row],[коэф]]),
IF(AND(G185="3/24",AM185&gt;0.5),(AM185*2*база!$M$4*Таблица14[[#This Row],[коэф]]),
IF(AND(G185="5/16",AM185&gt;0.5),(AM185*2*база!$L$6*Таблица14[[#This Row],[коэф]]),
IF(AND(G185="4/16",AM185&gt;0.5),(AM185*2*база!$L$5*Таблица14[[#This Row],[коэф]]),
IF(AND(G185="3/16",AM185&gt;0.5),(AM185*2*база!$L$4*Таблица14[[#This Row],[коэф]]),
IF(AND(G185="4/4",AM185&gt;0.5),(AM185*2*база!$I$5*Таблица14[[#This Row],[коэф]]),
IF(OR(AND(G185="3/4",AM185&gt;0.5),AND(G185="2/4",AM185&gt;0.5)),(AM185*2*база!$I$4*Таблица14[[#This Row],[коэф]]),
IF(AND(G185="5/8",AM185&gt;0.5),(AM185*2*база!$J$6*Таблица14[[#This Row],[коэф]]),
IF(AND(G185="4/8",AM185&gt;0.5),(AM185*2*база!$J$5*Таблица14[[#This Row],[коэф]]),
IF(OR(AND(G185="3/8",AM185&gt;0.5),AND(G185="2/8",AM185&gt;0.5)),(AM185*2*база!$J$4*Таблица14[[#This Row],[коэф]]),
(AM185*0.5*база!$L$4*Таблица14[[#This Row],[коэф]]))))))))))))),
(IF(AND(G185="5/24",AM185&gt;0.5),(AM185*2*база!$M$6*Таблица14[[#This Row],[коэф]]),
IF(OR(AND(G185="4/24",AM185&gt;0.5),AND(G185="3/24",AM185&gt;0.5)),(AM185*2*база!$M$5*Таблица14[[#This Row],[коэф]]),
IF(AND(G185="5/16",AM185&gt;0.5),(AM185*2*база!$L$6*Таблица14[[#This Row],[коэф]]),
IF(OR(AND(G185="4/16",AM185&gt;0.5),AND(G185="3/16",AM185&gt;0.5)),(AM185*2*база!$L$5*Таблица14[[#This Row],[коэф]]),
IF(OR(AND(G185="4/4",AM185&gt;0.5),AND(G185="3/4",AM185&gt;2)),(AM185*2*база!$I$5*Таблица14[[#This Row],[коэф]]),
IF(AND(G185="5/8",AM185&gt;0.5),(AM185*2*база!$J$6*Таблица14[[#This Row],[коэф]]),
IF(AND(G185="4/8",AM185&gt;0.5),(AM185*2*база!$J$5*Таблица14[[#This Row],[коэф]]),
IF(OR(AND(G185="3/8",AM185&gt;0.5),AND(G185="2/8",AM185&gt;0.5)),(AM185*2*база!$J$4*Таблица14[[#This Row],[коэф]]),
(AM185*2*база!$L$5*Таблица14[[#This Row],[коэф]])))))))))))</f>
        <v>0</v>
      </c>
      <c r="AO185" s="122" t="str">
        <f>IFERROR(INDEX(база!$D$2:$D$120, MATCH(Таблица14[[#This Row],[Ф. И. О.]],база!$B$2:$B$100,0)),"")</f>
        <v/>
      </c>
    </row>
    <row r="186" spans="1:41">
      <c r="A186" s="207" t="str">
        <f t="shared" si="6"/>
        <v>январь</v>
      </c>
      <c r="B186" s="240">
        <v>2024</v>
      </c>
      <c r="C186" s="572"/>
      <c r="D186" s="214"/>
      <c r="E186" s="241"/>
      <c r="F186" s="672"/>
      <c r="G186" s="242"/>
      <c r="H186" s="215"/>
      <c r="I186" s="215"/>
      <c r="J186" s="215"/>
      <c r="K186" s="215"/>
      <c r="L186" s="215"/>
      <c r="M186" s="215"/>
      <c r="N186" s="215"/>
      <c r="O186" s="215"/>
      <c r="P186" s="215"/>
      <c r="Q186" s="215"/>
      <c r="R186" s="215"/>
      <c r="S186" s="215"/>
      <c r="T186" s="215"/>
      <c r="U186" s="215"/>
      <c r="V186" s="215"/>
      <c r="W186" s="215"/>
      <c r="X186" s="215"/>
      <c r="Y186" s="215"/>
      <c r="Z186" s="215"/>
      <c r="AA186" s="215"/>
      <c r="AB186" s="215"/>
      <c r="AC186" s="215"/>
      <c r="AD186" s="215"/>
      <c r="AE186" s="215"/>
      <c r="AF186" s="215"/>
      <c r="AG186" s="215"/>
      <c r="AH186" s="215"/>
      <c r="AI186" s="215"/>
      <c r="AJ186" s="215"/>
      <c r="AK186" s="215"/>
      <c r="AL186" s="215"/>
      <c r="AM186" s="121">
        <f t="shared" si="5"/>
        <v>0</v>
      </c>
      <c r="AN186" s="564">
        <f>IF(AO186&lt;=3,(IF(AND(G186="5/24",AM186&gt;0.5),(AM186*2*база!$M$6*Таблица14[[#This Row],[коэф]]),
IF(AND(G186="4/24",AM186&gt;0.5),(AM186*2*база!$M$5*Таблица14[[#This Row],[коэф]]),
IF(AND(G186="3/24",AM186&gt;0.5),(AM186*2*база!$M$4*Таблица14[[#This Row],[коэф]]),
IF(AND(G186="5/16",AM186&gt;0.5),(AM186*2*база!$L$6*Таблица14[[#This Row],[коэф]]),
IF(AND(G186="4/16",AM186&gt;0.5),(AM186*2*база!$L$5*Таблица14[[#This Row],[коэф]]),
IF(AND(G186="3/16",AM186&gt;0.5),(AM186*2*база!$L$4*Таблица14[[#This Row],[коэф]]),
IF(AND(G186="4/4",AM186&gt;0.5),(AM186*2*база!$I$5*Таблица14[[#This Row],[коэф]]),
IF(OR(AND(G186="3/4",AM186&gt;0.5),AND(G186="2/4",AM186&gt;0.5)),(AM186*2*база!$I$4*Таблица14[[#This Row],[коэф]]),
IF(AND(G186="5/8",AM186&gt;0.5),(AM186*2*база!$J$6*Таблица14[[#This Row],[коэф]]),
IF(AND(G186="4/8",AM186&gt;0.5),(AM186*2*база!$J$5*Таблица14[[#This Row],[коэф]]),
IF(OR(AND(G186="3/8",AM186&gt;0.5),AND(G186="2/8",AM186&gt;0.5)),(AM186*2*база!$J$4*Таблица14[[#This Row],[коэф]]),
(AM186*0.5*база!$L$4*Таблица14[[#This Row],[коэф]]))))))))))))),
(IF(AND(G186="5/24",AM186&gt;0.5),(AM186*2*база!$M$6*Таблица14[[#This Row],[коэф]]),
IF(OR(AND(G186="4/24",AM186&gt;0.5),AND(G186="3/24",AM186&gt;0.5)),(AM186*2*база!$M$5*Таблица14[[#This Row],[коэф]]),
IF(AND(G186="5/16",AM186&gt;0.5),(AM186*2*база!$L$6*Таблица14[[#This Row],[коэф]]),
IF(OR(AND(G186="4/16",AM186&gt;0.5),AND(G186="3/16",AM186&gt;0.5)),(AM186*2*база!$L$5*Таблица14[[#This Row],[коэф]]),
IF(OR(AND(G186="4/4",AM186&gt;0.5),AND(G186="3/4",AM186&gt;2)),(AM186*2*база!$I$5*Таблица14[[#This Row],[коэф]]),
IF(AND(G186="5/8",AM186&gt;0.5),(AM186*2*база!$J$6*Таблица14[[#This Row],[коэф]]),
IF(AND(G186="4/8",AM186&gt;0.5),(AM186*2*база!$J$5*Таблица14[[#This Row],[коэф]]),
IF(OR(AND(G186="3/8",AM186&gt;0.5),AND(G186="2/8",AM186&gt;0.5)),(AM186*2*база!$J$4*Таблица14[[#This Row],[коэф]]),
(AM186*2*база!$L$5*Таблица14[[#This Row],[коэф]])))))))))))</f>
        <v>0</v>
      </c>
      <c r="AO186" s="122" t="str">
        <f>IFERROR(INDEX(база!$D$2:$D$120, MATCH(Таблица14[[#This Row],[Ф. И. О.]],база!$B$2:$B$100,0)),"")</f>
        <v/>
      </c>
    </row>
    <row r="187" spans="1:41">
      <c r="A187" s="207" t="str">
        <f t="shared" si="6"/>
        <v>январь</v>
      </c>
      <c r="B187" s="204">
        <v>2024</v>
      </c>
      <c r="C187" s="572"/>
      <c r="D187" s="214"/>
      <c r="E187" s="243"/>
      <c r="F187" s="672"/>
      <c r="G187" s="206"/>
      <c r="H187" s="215"/>
      <c r="I187" s="215"/>
      <c r="J187" s="215"/>
      <c r="K187" s="215"/>
      <c r="L187" s="215"/>
      <c r="M187" s="215"/>
      <c r="N187" s="215"/>
      <c r="O187" s="215"/>
      <c r="P187" s="215"/>
      <c r="Q187" s="215"/>
      <c r="R187" s="215"/>
      <c r="S187" s="215"/>
      <c r="T187" s="215"/>
      <c r="U187" s="215"/>
      <c r="V187" s="215"/>
      <c r="W187" s="215"/>
      <c r="X187" s="215"/>
      <c r="Y187" s="215"/>
      <c r="Z187" s="215"/>
      <c r="AA187" s="215"/>
      <c r="AB187" s="215"/>
      <c r="AC187" s="215"/>
      <c r="AD187" s="215"/>
      <c r="AE187" s="215"/>
      <c r="AF187" s="215"/>
      <c r="AG187" s="215"/>
      <c r="AH187" s="215"/>
      <c r="AI187" s="215"/>
      <c r="AJ187" s="215"/>
      <c r="AK187" s="215"/>
      <c r="AL187" s="215"/>
      <c r="AM187" s="121">
        <f t="shared" si="5"/>
        <v>0</v>
      </c>
      <c r="AN187" s="564">
        <f>IF(AO187&lt;=3,(IF(AND(G187="5/24",AM187&gt;0.5),(AM187*2*база!$M$6*Таблица14[[#This Row],[коэф]]),
IF(AND(G187="4/24",AM187&gt;0.5),(AM187*2*база!$M$5*Таблица14[[#This Row],[коэф]]),
IF(AND(G187="3/24",AM187&gt;0.5),(AM187*2*база!$M$4*Таблица14[[#This Row],[коэф]]),
IF(AND(G187="5/16",AM187&gt;0.5),(AM187*2*база!$L$6*Таблица14[[#This Row],[коэф]]),
IF(AND(G187="4/16",AM187&gt;0.5),(AM187*2*база!$L$5*Таблица14[[#This Row],[коэф]]),
IF(AND(G187="3/16",AM187&gt;0.5),(AM187*2*база!$L$4*Таблица14[[#This Row],[коэф]]),
IF(AND(G187="4/4",AM187&gt;0.5),(AM187*2*база!$I$5*Таблица14[[#This Row],[коэф]]),
IF(OR(AND(G187="3/4",AM187&gt;0.5),AND(G187="2/4",AM187&gt;0.5)),(AM187*2*база!$I$4*Таблица14[[#This Row],[коэф]]),
IF(AND(G187="5/8",AM187&gt;0.5),(AM187*2*база!$J$6*Таблица14[[#This Row],[коэф]]),
IF(AND(G187="4/8",AM187&gt;0.5),(AM187*2*база!$J$5*Таблица14[[#This Row],[коэф]]),
IF(OR(AND(G187="3/8",AM187&gt;0.5),AND(G187="2/8",AM187&gt;0.5)),(AM187*2*база!$J$4*Таблица14[[#This Row],[коэф]]),
(AM187*0.5*база!$L$4*Таблица14[[#This Row],[коэф]]))))))))))))),
(IF(AND(G187="5/24",AM187&gt;0.5),(AM187*2*база!$M$6*Таблица14[[#This Row],[коэф]]),
IF(OR(AND(G187="4/24",AM187&gt;0.5),AND(G187="3/24",AM187&gt;0.5)),(AM187*2*база!$M$5*Таблица14[[#This Row],[коэф]]),
IF(AND(G187="5/16",AM187&gt;0.5),(AM187*2*база!$L$6*Таблица14[[#This Row],[коэф]]),
IF(OR(AND(G187="4/16",AM187&gt;0.5),AND(G187="3/16",AM187&gt;0.5)),(AM187*2*база!$L$5*Таблица14[[#This Row],[коэф]]),
IF(OR(AND(G187="4/4",AM187&gt;0.5),AND(G187="3/4",AM187&gt;2)),(AM187*2*база!$I$5*Таблица14[[#This Row],[коэф]]),
IF(AND(G187="5/8",AM187&gt;0.5),(AM187*2*база!$J$6*Таблица14[[#This Row],[коэф]]),
IF(AND(G187="4/8",AM187&gt;0.5),(AM187*2*база!$J$5*Таблица14[[#This Row],[коэф]]),
IF(OR(AND(G187="3/8",AM187&gt;0.5),AND(G187="2/8",AM187&gt;0.5)),(AM187*2*база!$J$4*Таблица14[[#This Row],[коэф]]),
(AM187*2*база!$L$5*Таблица14[[#This Row],[коэф]])))))))))))</f>
        <v>0</v>
      </c>
      <c r="AO187" s="122" t="str">
        <f>IFERROR(INDEX(база!$D$2:$D$120, MATCH(Таблица14[[#This Row],[Ф. И. О.]],база!$B$2:$B$100,0)),"")</f>
        <v/>
      </c>
    </row>
    <row r="188" spans="1:41">
      <c r="A188" s="207" t="str">
        <f t="shared" si="6"/>
        <v>январь</v>
      </c>
      <c r="B188" s="240">
        <v>2024</v>
      </c>
      <c r="C188" s="572"/>
      <c r="D188" s="214"/>
      <c r="E188" s="241"/>
      <c r="F188" s="672"/>
      <c r="G188" s="242"/>
      <c r="H188" s="215"/>
      <c r="I188" s="215"/>
      <c r="J188" s="215"/>
      <c r="K188" s="215"/>
      <c r="L188" s="215"/>
      <c r="M188" s="215"/>
      <c r="N188" s="215"/>
      <c r="O188" s="215"/>
      <c r="P188" s="215"/>
      <c r="Q188" s="215"/>
      <c r="R188" s="215"/>
      <c r="S188" s="215"/>
      <c r="T188" s="215"/>
      <c r="U188" s="215"/>
      <c r="V188" s="215"/>
      <c r="W188" s="215"/>
      <c r="X188" s="215"/>
      <c r="Y188" s="215"/>
      <c r="Z188" s="215"/>
      <c r="AA188" s="215"/>
      <c r="AB188" s="215"/>
      <c r="AC188" s="215"/>
      <c r="AD188" s="215"/>
      <c r="AE188" s="215"/>
      <c r="AF188" s="215"/>
      <c r="AG188" s="215"/>
      <c r="AH188" s="215"/>
      <c r="AI188" s="215"/>
      <c r="AJ188" s="215"/>
      <c r="AK188" s="215"/>
      <c r="AL188" s="215"/>
      <c r="AM188" s="121">
        <f t="shared" si="5"/>
        <v>0</v>
      </c>
      <c r="AN188" s="564">
        <f>IF(AO188&lt;=3,(IF(AND(G188="5/24",AM188&gt;0.5),(AM188*2*база!$M$6*Таблица14[[#This Row],[коэф]]),
IF(AND(G188="4/24",AM188&gt;0.5),(AM188*2*база!$M$5*Таблица14[[#This Row],[коэф]]),
IF(AND(G188="3/24",AM188&gt;0.5),(AM188*2*база!$M$4*Таблица14[[#This Row],[коэф]]),
IF(AND(G188="5/16",AM188&gt;0.5),(AM188*2*база!$L$6*Таблица14[[#This Row],[коэф]]),
IF(AND(G188="4/16",AM188&gt;0.5),(AM188*2*база!$L$5*Таблица14[[#This Row],[коэф]]),
IF(AND(G188="3/16",AM188&gt;0.5),(AM188*2*база!$L$4*Таблица14[[#This Row],[коэф]]),
IF(AND(G188="4/4",AM188&gt;0.5),(AM188*2*база!$I$5*Таблица14[[#This Row],[коэф]]),
IF(OR(AND(G188="3/4",AM188&gt;0.5),AND(G188="2/4",AM188&gt;0.5)),(AM188*2*база!$I$4*Таблица14[[#This Row],[коэф]]),
IF(AND(G188="5/8",AM188&gt;0.5),(AM188*2*база!$J$6*Таблица14[[#This Row],[коэф]]),
IF(AND(G188="4/8",AM188&gt;0.5),(AM188*2*база!$J$5*Таблица14[[#This Row],[коэф]]),
IF(OR(AND(G188="3/8",AM188&gt;0.5),AND(G188="2/8",AM188&gt;0.5)),(AM188*2*база!$J$4*Таблица14[[#This Row],[коэф]]),
(AM188*0.5*база!$L$4*Таблица14[[#This Row],[коэф]]))))))))))))),
(IF(AND(G188="5/24",AM188&gt;0.5),(AM188*2*база!$M$6*Таблица14[[#This Row],[коэф]]),
IF(OR(AND(G188="4/24",AM188&gt;0.5),AND(G188="3/24",AM188&gt;0.5)),(AM188*2*база!$M$5*Таблица14[[#This Row],[коэф]]),
IF(AND(G188="5/16",AM188&gt;0.5),(AM188*2*база!$L$6*Таблица14[[#This Row],[коэф]]),
IF(OR(AND(G188="4/16",AM188&gt;0.5),AND(G188="3/16",AM188&gt;0.5)),(AM188*2*база!$L$5*Таблица14[[#This Row],[коэф]]),
IF(OR(AND(G188="4/4",AM188&gt;0.5),AND(G188="3/4",AM188&gt;2)),(AM188*2*база!$I$5*Таблица14[[#This Row],[коэф]]),
IF(AND(G188="5/8",AM188&gt;0.5),(AM188*2*база!$J$6*Таблица14[[#This Row],[коэф]]),
IF(AND(G188="4/8",AM188&gt;0.5),(AM188*2*база!$J$5*Таблица14[[#This Row],[коэф]]),
IF(OR(AND(G188="3/8",AM188&gt;0.5),AND(G188="2/8",AM188&gt;0.5)),(AM188*2*база!$J$4*Таблица14[[#This Row],[коэф]]),
(AM188*2*база!$L$5*Таблица14[[#This Row],[коэф]])))))))))))</f>
        <v>0</v>
      </c>
      <c r="AO188" s="122" t="str">
        <f>IFERROR(INDEX(база!$D$2:$D$120, MATCH(Таблица14[[#This Row],[Ф. И. О.]],база!$B$2:$B$100,0)),"")</f>
        <v/>
      </c>
    </row>
    <row r="189" spans="1:41">
      <c r="A189" s="207" t="str">
        <f t="shared" si="6"/>
        <v>январь</v>
      </c>
      <c r="B189" s="204">
        <v>2024</v>
      </c>
      <c r="C189" s="572"/>
      <c r="D189" s="214"/>
      <c r="E189" s="243"/>
      <c r="F189" s="672"/>
      <c r="G189" s="206"/>
      <c r="H189" s="215"/>
      <c r="I189" s="215"/>
      <c r="J189" s="215"/>
      <c r="K189" s="215"/>
      <c r="L189" s="215"/>
      <c r="M189" s="215"/>
      <c r="N189" s="215"/>
      <c r="O189" s="215"/>
      <c r="P189" s="215"/>
      <c r="Q189" s="215"/>
      <c r="R189" s="215"/>
      <c r="S189" s="215"/>
      <c r="T189" s="215"/>
      <c r="U189" s="215"/>
      <c r="V189" s="215"/>
      <c r="W189" s="215"/>
      <c r="X189" s="215"/>
      <c r="Y189" s="215"/>
      <c r="Z189" s="215"/>
      <c r="AA189" s="215"/>
      <c r="AB189" s="215"/>
      <c r="AC189" s="215"/>
      <c r="AD189" s="215"/>
      <c r="AE189" s="215"/>
      <c r="AF189" s="215"/>
      <c r="AG189" s="215"/>
      <c r="AH189" s="215"/>
      <c r="AI189" s="215"/>
      <c r="AJ189" s="215"/>
      <c r="AK189" s="215"/>
      <c r="AL189" s="215"/>
      <c r="AM189" s="121">
        <f t="shared" si="5"/>
        <v>0</v>
      </c>
      <c r="AN189" s="564">
        <f>IF(AO189&lt;=3,(IF(AND(G189="5/24",AM189&gt;0.5),(AM189*2*база!$M$6*Таблица14[[#This Row],[коэф]]),
IF(AND(G189="4/24",AM189&gt;0.5),(AM189*2*база!$M$5*Таблица14[[#This Row],[коэф]]),
IF(AND(G189="3/24",AM189&gt;0.5),(AM189*2*база!$M$4*Таблица14[[#This Row],[коэф]]),
IF(AND(G189="5/16",AM189&gt;0.5),(AM189*2*база!$L$6*Таблица14[[#This Row],[коэф]]),
IF(AND(G189="4/16",AM189&gt;0.5),(AM189*2*база!$L$5*Таблица14[[#This Row],[коэф]]),
IF(AND(G189="3/16",AM189&gt;0.5),(AM189*2*база!$L$4*Таблица14[[#This Row],[коэф]]),
IF(AND(G189="4/4",AM189&gt;0.5),(AM189*2*база!$I$5*Таблица14[[#This Row],[коэф]]),
IF(OR(AND(G189="3/4",AM189&gt;0.5),AND(G189="2/4",AM189&gt;0.5)),(AM189*2*база!$I$4*Таблица14[[#This Row],[коэф]]),
IF(AND(G189="5/8",AM189&gt;0.5),(AM189*2*база!$J$6*Таблица14[[#This Row],[коэф]]),
IF(AND(G189="4/8",AM189&gt;0.5),(AM189*2*база!$J$5*Таблица14[[#This Row],[коэф]]),
IF(OR(AND(G189="3/8",AM189&gt;0.5),AND(G189="2/8",AM189&gt;0.5)),(AM189*2*база!$J$4*Таблица14[[#This Row],[коэф]]),
(AM189*0.5*база!$L$4*Таблица14[[#This Row],[коэф]]))))))))))))),
(IF(AND(G189="5/24",AM189&gt;0.5),(AM189*2*база!$M$6*Таблица14[[#This Row],[коэф]]),
IF(OR(AND(G189="4/24",AM189&gt;0.5),AND(G189="3/24",AM189&gt;0.5)),(AM189*2*база!$M$5*Таблица14[[#This Row],[коэф]]),
IF(AND(G189="5/16",AM189&gt;0.5),(AM189*2*база!$L$6*Таблица14[[#This Row],[коэф]]),
IF(OR(AND(G189="4/16",AM189&gt;0.5),AND(G189="3/16",AM189&gt;0.5)),(AM189*2*база!$L$5*Таблица14[[#This Row],[коэф]]),
IF(OR(AND(G189="4/4",AM189&gt;0.5),AND(G189="3/4",AM189&gt;2)),(AM189*2*база!$I$5*Таблица14[[#This Row],[коэф]]),
IF(AND(G189="5/8",AM189&gt;0.5),(AM189*2*база!$J$6*Таблица14[[#This Row],[коэф]]),
IF(AND(G189="4/8",AM189&gt;0.5),(AM189*2*база!$J$5*Таблица14[[#This Row],[коэф]]),
IF(OR(AND(G189="3/8",AM189&gt;0.5),AND(G189="2/8",AM189&gt;0.5)),(AM189*2*база!$J$4*Таблица14[[#This Row],[коэф]]),
(AM189*2*база!$L$5*Таблица14[[#This Row],[коэф]])))))))))))</f>
        <v>0</v>
      </c>
      <c r="AO189" s="122" t="str">
        <f>IFERROR(INDEX(база!$D$2:$D$120, MATCH(Таблица14[[#This Row],[Ф. И. О.]],база!$B$2:$B$100,0)),"")</f>
        <v/>
      </c>
    </row>
    <row r="190" spans="1:41">
      <c r="A190" s="207" t="str">
        <f t="shared" si="6"/>
        <v>январь</v>
      </c>
      <c r="B190" s="240">
        <v>2024</v>
      </c>
      <c r="C190" s="572"/>
      <c r="D190" s="214"/>
      <c r="E190" s="241"/>
      <c r="F190" s="672"/>
      <c r="G190" s="242"/>
      <c r="H190" s="215"/>
      <c r="I190" s="215"/>
      <c r="J190" s="215"/>
      <c r="K190" s="215"/>
      <c r="L190" s="215"/>
      <c r="M190" s="215"/>
      <c r="N190" s="215"/>
      <c r="O190" s="215"/>
      <c r="P190" s="215"/>
      <c r="Q190" s="215"/>
      <c r="R190" s="215"/>
      <c r="S190" s="215"/>
      <c r="T190" s="215"/>
      <c r="U190" s="215"/>
      <c r="V190" s="215"/>
      <c r="W190" s="215"/>
      <c r="X190" s="215"/>
      <c r="Y190" s="215"/>
      <c r="Z190" s="215"/>
      <c r="AA190" s="215"/>
      <c r="AB190" s="215"/>
      <c r="AC190" s="215"/>
      <c r="AD190" s="215"/>
      <c r="AE190" s="215"/>
      <c r="AF190" s="215"/>
      <c r="AG190" s="215"/>
      <c r="AH190" s="215"/>
      <c r="AI190" s="215"/>
      <c r="AJ190" s="215"/>
      <c r="AK190" s="215"/>
      <c r="AL190" s="215"/>
      <c r="AM190" s="121">
        <f t="shared" si="5"/>
        <v>0</v>
      </c>
      <c r="AN190" s="564">
        <f>IF(AO190&lt;=3,(IF(AND(G190="5/24",AM190&gt;0.5),(AM190*2*база!$M$6*Таблица14[[#This Row],[коэф]]),
IF(AND(G190="4/24",AM190&gt;0.5),(AM190*2*база!$M$5*Таблица14[[#This Row],[коэф]]),
IF(AND(G190="3/24",AM190&gt;0.5),(AM190*2*база!$M$4*Таблица14[[#This Row],[коэф]]),
IF(AND(G190="5/16",AM190&gt;0.5),(AM190*2*база!$L$6*Таблица14[[#This Row],[коэф]]),
IF(AND(G190="4/16",AM190&gt;0.5),(AM190*2*база!$L$5*Таблица14[[#This Row],[коэф]]),
IF(AND(G190="3/16",AM190&gt;0.5),(AM190*2*база!$L$4*Таблица14[[#This Row],[коэф]]),
IF(AND(G190="4/4",AM190&gt;0.5),(AM190*2*база!$I$5*Таблица14[[#This Row],[коэф]]),
IF(OR(AND(G190="3/4",AM190&gt;0.5),AND(G190="2/4",AM190&gt;0.5)),(AM190*2*база!$I$4*Таблица14[[#This Row],[коэф]]),
IF(AND(G190="5/8",AM190&gt;0.5),(AM190*2*база!$J$6*Таблица14[[#This Row],[коэф]]),
IF(AND(G190="4/8",AM190&gt;0.5),(AM190*2*база!$J$5*Таблица14[[#This Row],[коэф]]),
IF(OR(AND(G190="3/8",AM190&gt;0.5),AND(G190="2/8",AM190&gt;0.5)),(AM190*2*база!$J$4*Таблица14[[#This Row],[коэф]]),
(AM190*0.5*база!$L$4*Таблица14[[#This Row],[коэф]]))))))))))))),
(IF(AND(G190="5/24",AM190&gt;0.5),(AM190*2*база!$M$6*Таблица14[[#This Row],[коэф]]),
IF(OR(AND(G190="4/24",AM190&gt;0.5),AND(G190="3/24",AM190&gt;0.5)),(AM190*2*база!$M$5*Таблица14[[#This Row],[коэф]]),
IF(AND(G190="5/16",AM190&gt;0.5),(AM190*2*база!$L$6*Таблица14[[#This Row],[коэф]]),
IF(OR(AND(G190="4/16",AM190&gt;0.5),AND(G190="3/16",AM190&gt;0.5)),(AM190*2*база!$L$5*Таблица14[[#This Row],[коэф]]),
IF(OR(AND(G190="4/4",AM190&gt;0.5),AND(G190="3/4",AM190&gt;2)),(AM190*2*база!$I$5*Таблица14[[#This Row],[коэф]]),
IF(AND(G190="5/8",AM190&gt;0.5),(AM190*2*база!$J$6*Таблица14[[#This Row],[коэф]]),
IF(AND(G190="4/8",AM190&gt;0.5),(AM190*2*база!$J$5*Таблица14[[#This Row],[коэф]]),
IF(OR(AND(G190="3/8",AM190&gt;0.5),AND(G190="2/8",AM190&gt;0.5)),(AM190*2*база!$J$4*Таблица14[[#This Row],[коэф]]),
(AM190*2*база!$L$5*Таблица14[[#This Row],[коэф]])))))))))))</f>
        <v>0</v>
      </c>
      <c r="AO190" s="122" t="str">
        <f>IFERROR(INDEX(база!$D$2:$D$120, MATCH(Таблица14[[#This Row],[Ф. И. О.]],база!$B$2:$B$100,0)),"")</f>
        <v/>
      </c>
    </row>
    <row r="191" spans="1:41">
      <c r="A191" s="207" t="str">
        <f t="shared" si="6"/>
        <v>январь</v>
      </c>
      <c r="B191" s="204">
        <v>2024</v>
      </c>
      <c r="C191" s="572"/>
      <c r="D191" s="214"/>
      <c r="E191" s="243"/>
      <c r="F191" s="672"/>
      <c r="G191" s="206"/>
      <c r="H191" s="215"/>
      <c r="I191" s="215"/>
      <c r="J191" s="215"/>
      <c r="K191" s="215"/>
      <c r="L191" s="215"/>
      <c r="M191" s="215"/>
      <c r="N191" s="215"/>
      <c r="O191" s="215"/>
      <c r="P191" s="215"/>
      <c r="Q191" s="215"/>
      <c r="R191" s="215"/>
      <c r="S191" s="215"/>
      <c r="T191" s="215"/>
      <c r="U191" s="215"/>
      <c r="V191" s="215"/>
      <c r="W191" s="215"/>
      <c r="X191" s="215"/>
      <c r="Y191" s="215"/>
      <c r="Z191" s="215"/>
      <c r="AA191" s="215"/>
      <c r="AB191" s="215"/>
      <c r="AC191" s="215"/>
      <c r="AD191" s="215"/>
      <c r="AE191" s="215"/>
      <c r="AF191" s="215"/>
      <c r="AG191" s="215"/>
      <c r="AH191" s="215"/>
      <c r="AI191" s="215"/>
      <c r="AJ191" s="215"/>
      <c r="AK191" s="215"/>
      <c r="AL191" s="215"/>
      <c r="AM191" s="121">
        <f t="shared" si="5"/>
        <v>0</v>
      </c>
      <c r="AN191" s="564">
        <f>IF(AO191&lt;=3,(IF(AND(G191="5/24",AM191&gt;0.5),(AM191*2*база!$M$6*Таблица14[[#This Row],[коэф]]),
IF(AND(G191="4/24",AM191&gt;0.5),(AM191*2*база!$M$5*Таблица14[[#This Row],[коэф]]),
IF(AND(G191="3/24",AM191&gt;0.5),(AM191*2*база!$M$4*Таблица14[[#This Row],[коэф]]),
IF(AND(G191="5/16",AM191&gt;0.5),(AM191*2*база!$L$6*Таблица14[[#This Row],[коэф]]),
IF(AND(G191="4/16",AM191&gt;0.5),(AM191*2*база!$L$5*Таблица14[[#This Row],[коэф]]),
IF(AND(G191="3/16",AM191&gt;0.5),(AM191*2*база!$L$4*Таблица14[[#This Row],[коэф]]),
IF(AND(G191="4/4",AM191&gt;0.5),(AM191*2*база!$I$5*Таблица14[[#This Row],[коэф]]),
IF(OR(AND(G191="3/4",AM191&gt;0.5),AND(G191="2/4",AM191&gt;0.5)),(AM191*2*база!$I$4*Таблица14[[#This Row],[коэф]]),
IF(AND(G191="5/8",AM191&gt;0.5),(AM191*2*база!$J$6*Таблица14[[#This Row],[коэф]]),
IF(AND(G191="4/8",AM191&gt;0.5),(AM191*2*база!$J$5*Таблица14[[#This Row],[коэф]]),
IF(OR(AND(G191="3/8",AM191&gt;0.5),AND(G191="2/8",AM191&gt;0.5)),(AM191*2*база!$J$4*Таблица14[[#This Row],[коэф]]),
(AM191*0.5*база!$L$4*Таблица14[[#This Row],[коэф]]))))))))))))),
(IF(AND(G191="5/24",AM191&gt;0.5),(AM191*2*база!$M$6*Таблица14[[#This Row],[коэф]]),
IF(OR(AND(G191="4/24",AM191&gt;0.5),AND(G191="3/24",AM191&gt;0.5)),(AM191*2*база!$M$5*Таблица14[[#This Row],[коэф]]),
IF(AND(G191="5/16",AM191&gt;0.5),(AM191*2*база!$L$6*Таблица14[[#This Row],[коэф]]),
IF(OR(AND(G191="4/16",AM191&gt;0.5),AND(G191="3/16",AM191&gt;0.5)),(AM191*2*база!$L$5*Таблица14[[#This Row],[коэф]]),
IF(OR(AND(G191="4/4",AM191&gt;0.5),AND(G191="3/4",AM191&gt;2)),(AM191*2*база!$I$5*Таблица14[[#This Row],[коэф]]),
IF(AND(G191="5/8",AM191&gt;0.5),(AM191*2*база!$J$6*Таблица14[[#This Row],[коэф]]),
IF(AND(G191="4/8",AM191&gt;0.5),(AM191*2*база!$J$5*Таблица14[[#This Row],[коэф]]),
IF(OR(AND(G191="3/8",AM191&gt;0.5),AND(G191="2/8",AM191&gt;0.5)),(AM191*2*база!$J$4*Таблица14[[#This Row],[коэф]]),
(AM191*2*база!$L$5*Таблица14[[#This Row],[коэф]])))))))))))</f>
        <v>0</v>
      </c>
      <c r="AO191" s="122" t="str">
        <f>IFERROR(INDEX(база!$D$2:$D$120, MATCH(Таблица14[[#This Row],[Ф. И. О.]],база!$B$2:$B$100,0)),"")</f>
        <v/>
      </c>
    </row>
    <row r="192" spans="1:41">
      <c r="A192" s="207" t="str">
        <f t="shared" si="6"/>
        <v>январь</v>
      </c>
      <c r="B192" s="240">
        <v>2024</v>
      </c>
      <c r="C192" s="572"/>
      <c r="D192" s="214"/>
      <c r="E192" s="241"/>
      <c r="F192" s="672"/>
      <c r="G192" s="242"/>
      <c r="H192" s="215"/>
      <c r="I192" s="215"/>
      <c r="J192" s="215"/>
      <c r="K192" s="215"/>
      <c r="L192" s="215"/>
      <c r="M192" s="215"/>
      <c r="N192" s="215"/>
      <c r="O192" s="215"/>
      <c r="P192" s="215"/>
      <c r="Q192" s="215"/>
      <c r="R192" s="215"/>
      <c r="S192" s="215"/>
      <c r="T192" s="215"/>
      <c r="U192" s="215"/>
      <c r="V192" s="215"/>
      <c r="W192" s="215"/>
      <c r="X192" s="215"/>
      <c r="Y192" s="215"/>
      <c r="Z192" s="215"/>
      <c r="AA192" s="215"/>
      <c r="AB192" s="215"/>
      <c r="AC192" s="215"/>
      <c r="AD192" s="215"/>
      <c r="AE192" s="215"/>
      <c r="AF192" s="215"/>
      <c r="AG192" s="215"/>
      <c r="AH192" s="215"/>
      <c r="AI192" s="215"/>
      <c r="AJ192" s="215"/>
      <c r="AK192" s="215"/>
      <c r="AL192" s="215"/>
      <c r="AM192" s="121">
        <f t="shared" si="5"/>
        <v>0</v>
      </c>
      <c r="AN192" s="564">
        <f>IF(AO192&lt;=3,(IF(AND(G192="5/24",AM192&gt;0.5),(AM192*2*база!$M$6*Таблица14[[#This Row],[коэф]]),
IF(AND(G192="4/24",AM192&gt;0.5),(AM192*2*база!$M$5*Таблица14[[#This Row],[коэф]]),
IF(AND(G192="3/24",AM192&gt;0.5),(AM192*2*база!$M$4*Таблица14[[#This Row],[коэф]]),
IF(AND(G192="5/16",AM192&gt;0.5),(AM192*2*база!$L$6*Таблица14[[#This Row],[коэф]]),
IF(AND(G192="4/16",AM192&gt;0.5),(AM192*2*база!$L$5*Таблица14[[#This Row],[коэф]]),
IF(AND(G192="3/16",AM192&gt;0.5),(AM192*2*база!$L$4*Таблица14[[#This Row],[коэф]]),
IF(AND(G192="4/4",AM192&gt;0.5),(AM192*2*база!$I$5*Таблица14[[#This Row],[коэф]]),
IF(OR(AND(G192="3/4",AM192&gt;0.5),AND(G192="2/4",AM192&gt;0.5)),(AM192*2*база!$I$4*Таблица14[[#This Row],[коэф]]),
IF(AND(G192="5/8",AM192&gt;0.5),(AM192*2*база!$J$6*Таблица14[[#This Row],[коэф]]),
IF(AND(G192="4/8",AM192&gt;0.5),(AM192*2*база!$J$5*Таблица14[[#This Row],[коэф]]),
IF(OR(AND(G192="3/8",AM192&gt;0.5),AND(G192="2/8",AM192&gt;0.5)),(AM192*2*база!$J$4*Таблица14[[#This Row],[коэф]]),
(AM192*0.5*база!$L$4*Таблица14[[#This Row],[коэф]]))))))))))))),
(IF(AND(G192="5/24",AM192&gt;0.5),(AM192*2*база!$M$6*Таблица14[[#This Row],[коэф]]),
IF(OR(AND(G192="4/24",AM192&gt;0.5),AND(G192="3/24",AM192&gt;0.5)),(AM192*2*база!$M$5*Таблица14[[#This Row],[коэф]]),
IF(AND(G192="5/16",AM192&gt;0.5),(AM192*2*база!$L$6*Таблица14[[#This Row],[коэф]]),
IF(OR(AND(G192="4/16",AM192&gt;0.5),AND(G192="3/16",AM192&gt;0.5)),(AM192*2*база!$L$5*Таблица14[[#This Row],[коэф]]),
IF(OR(AND(G192="4/4",AM192&gt;0.5),AND(G192="3/4",AM192&gt;2)),(AM192*2*база!$I$5*Таблица14[[#This Row],[коэф]]),
IF(AND(G192="5/8",AM192&gt;0.5),(AM192*2*база!$J$6*Таблица14[[#This Row],[коэф]]),
IF(AND(G192="4/8",AM192&gt;0.5),(AM192*2*база!$J$5*Таблица14[[#This Row],[коэф]]),
IF(OR(AND(G192="3/8",AM192&gt;0.5),AND(G192="2/8",AM192&gt;0.5)),(AM192*2*база!$J$4*Таблица14[[#This Row],[коэф]]),
(AM192*2*база!$L$5*Таблица14[[#This Row],[коэф]])))))))))))</f>
        <v>0</v>
      </c>
      <c r="AO192" s="122" t="str">
        <f>IFERROR(INDEX(база!$D$2:$D$120, MATCH(Таблица14[[#This Row],[Ф. И. О.]],база!$B$2:$B$100,0)),"")</f>
        <v/>
      </c>
    </row>
    <row r="193" spans="1:41">
      <c r="A193" s="207" t="str">
        <f t="shared" si="6"/>
        <v>январь</v>
      </c>
      <c r="B193" s="204">
        <v>2024</v>
      </c>
      <c r="C193" s="572"/>
      <c r="D193" s="214"/>
      <c r="E193" s="243"/>
      <c r="F193" s="672"/>
      <c r="G193" s="206"/>
      <c r="H193" s="215"/>
      <c r="I193" s="215"/>
      <c r="J193" s="215"/>
      <c r="K193" s="215"/>
      <c r="L193" s="215"/>
      <c r="M193" s="215"/>
      <c r="N193" s="215"/>
      <c r="O193" s="215"/>
      <c r="P193" s="215"/>
      <c r="Q193" s="215"/>
      <c r="R193" s="215"/>
      <c r="S193" s="215"/>
      <c r="T193" s="215"/>
      <c r="U193" s="215"/>
      <c r="V193" s="215"/>
      <c r="W193" s="215"/>
      <c r="X193" s="215"/>
      <c r="Y193" s="215"/>
      <c r="Z193" s="215"/>
      <c r="AA193" s="215"/>
      <c r="AB193" s="215"/>
      <c r="AC193" s="215"/>
      <c r="AD193" s="215"/>
      <c r="AE193" s="215"/>
      <c r="AF193" s="215"/>
      <c r="AG193" s="215"/>
      <c r="AH193" s="215"/>
      <c r="AI193" s="215"/>
      <c r="AJ193" s="215"/>
      <c r="AK193" s="215"/>
      <c r="AL193" s="215"/>
      <c r="AM193" s="121">
        <f t="shared" si="5"/>
        <v>0</v>
      </c>
      <c r="AN193" s="564">
        <f>IF(AO193&lt;=3,(IF(AND(G193="5/24",AM193&gt;0.5),(AM193*2*база!$M$6*Таблица14[[#This Row],[коэф]]),
IF(AND(G193="4/24",AM193&gt;0.5),(AM193*2*база!$M$5*Таблица14[[#This Row],[коэф]]),
IF(AND(G193="3/24",AM193&gt;0.5),(AM193*2*база!$M$4*Таблица14[[#This Row],[коэф]]),
IF(AND(G193="5/16",AM193&gt;0.5),(AM193*2*база!$L$6*Таблица14[[#This Row],[коэф]]),
IF(AND(G193="4/16",AM193&gt;0.5),(AM193*2*база!$L$5*Таблица14[[#This Row],[коэф]]),
IF(AND(G193="3/16",AM193&gt;0.5),(AM193*2*база!$L$4*Таблица14[[#This Row],[коэф]]),
IF(AND(G193="4/4",AM193&gt;0.5),(AM193*2*база!$I$5*Таблица14[[#This Row],[коэф]]),
IF(OR(AND(G193="3/4",AM193&gt;0.5),AND(G193="2/4",AM193&gt;0.5)),(AM193*2*база!$I$4*Таблица14[[#This Row],[коэф]]),
IF(AND(G193="5/8",AM193&gt;0.5),(AM193*2*база!$J$6*Таблица14[[#This Row],[коэф]]),
IF(AND(G193="4/8",AM193&gt;0.5),(AM193*2*база!$J$5*Таблица14[[#This Row],[коэф]]),
IF(OR(AND(G193="3/8",AM193&gt;0.5),AND(G193="2/8",AM193&gt;0.5)),(AM193*2*база!$J$4*Таблица14[[#This Row],[коэф]]),
(AM193*0.5*база!$L$4*Таблица14[[#This Row],[коэф]]))))))))))))),
(IF(AND(G193="5/24",AM193&gt;0.5),(AM193*2*база!$M$6*Таблица14[[#This Row],[коэф]]),
IF(OR(AND(G193="4/24",AM193&gt;0.5),AND(G193="3/24",AM193&gt;0.5)),(AM193*2*база!$M$5*Таблица14[[#This Row],[коэф]]),
IF(AND(G193="5/16",AM193&gt;0.5),(AM193*2*база!$L$6*Таблица14[[#This Row],[коэф]]),
IF(OR(AND(G193="4/16",AM193&gt;0.5),AND(G193="3/16",AM193&gt;0.5)),(AM193*2*база!$L$5*Таблица14[[#This Row],[коэф]]),
IF(OR(AND(G193="4/4",AM193&gt;0.5),AND(G193="3/4",AM193&gt;2)),(AM193*2*база!$I$5*Таблица14[[#This Row],[коэф]]),
IF(AND(G193="5/8",AM193&gt;0.5),(AM193*2*база!$J$6*Таблица14[[#This Row],[коэф]]),
IF(AND(G193="4/8",AM193&gt;0.5),(AM193*2*база!$J$5*Таблица14[[#This Row],[коэф]]),
IF(OR(AND(G193="3/8",AM193&gt;0.5),AND(G193="2/8",AM193&gt;0.5)),(AM193*2*база!$J$4*Таблица14[[#This Row],[коэф]]),
(AM193*2*база!$L$5*Таблица14[[#This Row],[коэф]])))))))))))</f>
        <v>0</v>
      </c>
      <c r="AO193" s="122" t="str">
        <f>IFERROR(INDEX(база!$D$2:$D$120, MATCH(Таблица14[[#This Row],[Ф. И. О.]],база!$B$2:$B$100,0)),"")</f>
        <v/>
      </c>
    </row>
    <row r="194" spans="1:41">
      <c r="A194" s="207" t="str">
        <f t="shared" si="6"/>
        <v>январь</v>
      </c>
      <c r="B194" s="240">
        <v>2024</v>
      </c>
      <c r="C194" s="572"/>
      <c r="D194" s="214"/>
      <c r="E194" s="241"/>
      <c r="F194" s="713"/>
      <c r="G194" s="242"/>
      <c r="H194" s="215"/>
      <c r="I194" s="215"/>
      <c r="J194" s="215"/>
      <c r="K194" s="215"/>
      <c r="L194" s="215"/>
      <c r="M194" s="215"/>
      <c r="N194" s="215"/>
      <c r="O194" s="215"/>
      <c r="P194" s="215"/>
      <c r="Q194" s="215"/>
      <c r="R194" s="215"/>
      <c r="S194" s="215"/>
      <c r="T194" s="215"/>
      <c r="U194" s="215"/>
      <c r="V194" s="215"/>
      <c r="W194" s="215"/>
      <c r="X194" s="215"/>
      <c r="Y194" s="215"/>
      <c r="Z194" s="215"/>
      <c r="AA194" s="215"/>
      <c r="AB194" s="215"/>
      <c r="AC194" s="215"/>
      <c r="AD194" s="215"/>
      <c r="AE194" s="215"/>
      <c r="AF194" s="215"/>
      <c r="AG194" s="215"/>
      <c r="AH194" s="215"/>
      <c r="AI194" s="215"/>
      <c r="AJ194" s="215"/>
      <c r="AK194" s="215"/>
      <c r="AL194" s="215"/>
      <c r="AM194" s="121">
        <f t="shared" si="5"/>
        <v>0</v>
      </c>
      <c r="AN194" s="564">
        <f>IF(AO194&lt;=3,(IF(AND(G194="5/24",AM194&gt;0.5),(AM194*2*база!$M$6*Таблица14[[#This Row],[коэф]]),
IF(AND(G194="4/24",AM194&gt;0.5),(AM194*2*база!$M$5*Таблица14[[#This Row],[коэф]]),
IF(AND(G194="3/24",AM194&gt;0.5),(AM194*2*база!$M$4*Таблица14[[#This Row],[коэф]]),
IF(AND(G194="5/16",AM194&gt;0.5),(AM194*2*база!$L$6*Таблица14[[#This Row],[коэф]]),
IF(AND(G194="4/16",AM194&gt;0.5),(AM194*2*база!$L$5*Таблица14[[#This Row],[коэф]]),
IF(AND(G194="3/16",AM194&gt;0.5),(AM194*2*база!$L$4*Таблица14[[#This Row],[коэф]]),
IF(AND(G194="4/4",AM194&gt;0.5),(AM194*2*база!$I$5*Таблица14[[#This Row],[коэф]]),
IF(OR(AND(G194="3/4",AM194&gt;0.5),AND(G194="2/4",AM194&gt;0.5)),(AM194*2*база!$I$4*Таблица14[[#This Row],[коэф]]),
IF(AND(G194="5/8",AM194&gt;0.5),(AM194*2*база!$J$6*Таблица14[[#This Row],[коэф]]),
IF(AND(G194="4/8",AM194&gt;0.5),(AM194*2*база!$J$5*Таблица14[[#This Row],[коэф]]),
IF(OR(AND(G194="3/8",AM194&gt;0.5),AND(G194="2/8",AM194&gt;0.5)),(AM194*2*база!$J$4*Таблица14[[#This Row],[коэф]]),
(AM194*0.5*база!$L$4*Таблица14[[#This Row],[коэф]]))))))))))))),
(IF(AND(G194="5/24",AM194&gt;0.5),(AM194*2*база!$M$6*Таблица14[[#This Row],[коэф]]),
IF(OR(AND(G194="4/24",AM194&gt;0.5),AND(G194="3/24",AM194&gt;0.5)),(AM194*2*база!$M$5*Таблица14[[#This Row],[коэф]]),
IF(AND(G194="5/16",AM194&gt;0.5),(AM194*2*база!$L$6*Таблица14[[#This Row],[коэф]]),
IF(OR(AND(G194="4/16",AM194&gt;0.5),AND(G194="3/16",AM194&gt;0.5)),(AM194*2*база!$L$5*Таблица14[[#This Row],[коэф]]),
IF(OR(AND(G194="4/4",AM194&gt;0.5),AND(G194="3/4",AM194&gt;2)),(AM194*2*база!$I$5*Таблица14[[#This Row],[коэф]]),
IF(AND(G194="5/8",AM194&gt;0.5),(AM194*2*база!$J$6*Таблица14[[#This Row],[коэф]]),
IF(AND(G194="4/8",AM194&gt;0.5),(AM194*2*база!$J$5*Таблица14[[#This Row],[коэф]]),
IF(OR(AND(G194="3/8",AM194&gt;0.5),AND(G194="2/8",AM194&gt;0.5)),(AM194*2*база!$J$4*Таблица14[[#This Row],[коэф]]),
(AM194*2*база!$L$5*Таблица14[[#This Row],[коэф]])))))))))))</f>
        <v>0</v>
      </c>
      <c r="AO194" s="122" t="str">
        <f>IFERROR(INDEX(база!$D$2:$D$120, MATCH(Таблица14[[#This Row],[Ф. И. О.]],база!$B$2:$B$100,0)),"")</f>
        <v/>
      </c>
    </row>
    <row r="195" spans="1:41">
      <c r="A195" s="207" t="str">
        <f t="shared" si="6"/>
        <v>январь</v>
      </c>
      <c r="B195" s="204">
        <v>2024</v>
      </c>
      <c r="C195" s="572"/>
      <c r="D195" s="214"/>
      <c r="E195" s="243"/>
      <c r="F195" s="713"/>
      <c r="G195" s="206"/>
      <c r="H195" s="215"/>
      <c r="I195" s="215"/>
      <c r="J195" s="215"/>
      <c r="K195" s="215"/>
      <c r="L195" s="215"/>
      <c r="M195" s="215"/>
      <c r="N195" s="215"/>
      <c r="O195" s="215"/>
      <c r="P195" s="215"/>
      <c r="Q195" s="215"/>
      <c r="R195" s="215"/>
      <c r="S195" s="215"/>
      <c r="T195" s="215"/>
      <c r="U195" s="215"/>
      <c r="V195" s="215"/>
      <c r="W195" s="215"/>
      <c r="X195" s="215"/>
      <c r="Y195" s="215"/>
      <c r="Z195" s="215"/>
      <c r="AA195" s="215"/>
      <c r="AB195" s="215"/>
      <c r="AC195" s="215"/>
      <c r="AD195" s="215"/>
      <c r="AE195" s="215"/>
      <c r="AF195" s="215"/>
      <c r="AG195" s="215"/>
      <c r="AH195" s="215"/>
      <c r="AI195" s="215"/>
      <c r="AJ195" s="215"/>
      <c r="AK195" s="215"/>
      <c r="AL195" s="215"/>
      <c r="AM195" s="121">
        <f t="shared" si="5"/>
        <v>0</v>
      </c>
      <c r="AN195" s="564">
        <f>IF(AO195&lt;=3,(IF(AND(G195="5/24",AM195&gt;0.5),(AM195*2*база!$M$6*Таблица14[[#This Row],[коэф]]),
IF(AND(G195="4/24",AM195&gt;0.5),(AM195*2*база!$M$5*Таблица14[[#This Row],[коэф]]),
IF(AND(G195="3/24",AM195&gt;0.5),(AM195*2*база!$M$4*Таблица14[[#This Row],[коэф]]),
IF(AND(G195="5/16",AM195&gt;0.5),(AM195*2*база!$L$6*Таблица14[[#This Row],[коэф]]),
IF(AND(G195="4/16",AM195&gt;0.5),(AM195*2*база!$L$5*Таблица14[[#This Row],[коэф]]),
IF(AND(G195="3/16",AM195&gt;0.5),(AM195*2*база!$L$4*Таблица14[[#This Row],[коэф]]),
IF(AND(G195="4/4",AM195&gt;0.5),(AM195*2*база!$I$5*Таблица14[[#This Row],[коэф]]),
IF(OR(AND(G195="3/4",AM195&gt;0.5),AND(G195="2/4",AM195&gt;0.5)),(AM195*2*база!$I$4*Таблица14[[#This Row],[коэф]]),
IF(AND(G195="5/8",AM195&gt;0.5),(AM195*2*база!$J$6*Таблица14[[#This Row],[коэф]]),
IF(AND(G195="4/8",AM195&gt;0.5),(AM195*2*база!$J$5*Таблица14[[#This Row],[коэф]]),
IF(OR(AND(G195="3/8",AM195&gt;0.5),AND(G195="2/8",AM195&gt;0.5)),(AM195*2*база!$J$4*Таблица14[[#This Row],[коэф]]),
(AM195*0.5*база!$L$4*Таблица14[[#This Row],[коэф]]))))))))))))),
(IF(AND(G195="5/24",AM195&gt;0.5),(AM195*2*база!$M$6*Таблица14[[#This Row],[коэф]]),
IF(OR(AND(G195="4/24",AM195&gt;0.5),AND(G195="3/24",AM195&gt;0.5)),(AM195*2*база!$M$5*Таблица14[[#This Row],[коэф]]),
IF(AND(G195="5/16",AM195&gt;0.5),(AM195*2*база!$L$6*Таблица14[[#This Row],[коэф]]),
IF(OR(AND(G195="4/16",AM195&gt;0.5),AND(G195="3/16",AM195&gt;0.5)),(AM195*2*база!$L$5*Таблица14[[#This Row],[коэф]]),
IF(OR(AND(G195="4/4",AM195&gt;0.5),AND(G195="3/4",AM195&gt;2)),(AM195*2*база!$I$5*Таблица14[[#This Row],[коэф]]),
IF(AND(G195="5/8",AM195&gt;0.5),(AM195*2*база!$J$6*Таблица14[[#This Row],[коэф]]),
IF(AND(G195="4/8",AM195&gt;0.5),(AM195*2*база!$J$5*Таблица14[[#This Row],[коэф]]),
IF(OR(AND(G195="3/8",AM195&gt;0.5),AND(G195="2/8",AM195&gt;0.5)),(AM195*2*база!$J$4*Таблица14[[#This Row],[коэф]]),
(AM195*2*база!$L$5*Таблица14[[#This Row],[коэф]])))))))))))</f>
        <v>0</v>
      </c>
      <c r="AO195" s="122" t="str">
        <f>IFERROR(INDEX(база!$D$2:$D$120, MATCH(Таблица14[[#This Row],[Ф. И. О.]],база!$B$2:$B$100,0)),"")</f>
        <v/>
      </c>
    </row>
    <row r="196" spans="1:41">
      <c r="A196" s="207" t="str">
        <f t="shared" si="6"/>
        <v>январь</v>
      </c>
      <c r="B196" s="240">
        <v>2024</v>
      </c>
      <c r="C196" s="572"/>
      <c r="D196" s="214"/>
      <c r="E196" s="241"/>
      <c r="F196" s="713"/>
      <c r="G196" s="242"/>
      <c r="H196" s="215"/>
      <c r="I196" s="215"/>
      <c r="J196" s="215"/>
      <c r="K196" s="215"/>
      <c r="L196" s="215"/>
      <c r="M196" s="215"/>
      <c r="N196" s="215"/>
      <c r="O196" s="215"/>
      <c r="P196" s="215"/>
      <c r="Q196" s="215"/>
      <c r="R196" s="215"/>
      <c r="S196" s="215"/>
      <c r="T196" s="215"/>
      <c r="U196" s="215"/>
      <c r="V196" s="215"/>
      <c r="W196" s="215"/>
      <c r="X196" s="215"/>
      <c r="Y196" s="215"/>
      <c r="Z196" s="215"/>
      <c r="AA196" s="215"/>
      <c r="AB196" s="215"/>
      <c r="AC196" s="215"/>
      <c r="AD196" s="215"/>
      <c r="AE196" s="215"/>
      <c r="AF196" s="215"/>
      <c r="AG196" s="215"/>
      <c r="AH196" s="215"/>
      <c r="AI196" s="215"/>
      <c r="AJ196" s="215"/>
      <c r="AK196" s="215"/>
      <c r="AL196" s="215"/>
      <c r="AM196" s="121">
        <f t="shared" ref="AM196:AM259" si="7">SUM(H196:AL196)</f>
        <v>0</v>
      </c>
      <c r="AN196" s="564">
        <f>IF(AO196&lt;=3,(IF(AND(G196="5/24",AM196&gt;0.5),(AM196*2*база!$M$6*Таблица14[[#This Row],[коэф]]),
IF(AND(G196="4/24",AM196&gt;0.5),(AM196*2*база!$M$5*Таблица14[[#This Row],[коэф]]),
IF(AND(G196="3/24",AM196&gt;0.5),(AM196*2*база!$M$4*Таблица14[[#This Row],[коэф]]),
IF(AND(G196="5/16",AM196&gt;0.5),(AM196*2*база!$L$6*Таблица14[[#This Row],[коэф]]),
IF(AND(G196="4/16",AM196&gt;0.5),(AM196*2*база!$L$5*Таблица14[[#This Row],[коэф]]),
IF(AND(G196="3/16",AM196&gt;0.5),(AM196*2*база!$L$4*Таблица14[[#This Row],[коэф]]),
IF(AND(G196="4/4",AM196&gt;0.5),(AM196*2*база!$I$5*Таблица14[[#This Row],[коэф]]),
IF(OR(AND(G196="3/4",AM196&gt;0.5),AND(G196="2/4",AM196&gt;0.5)),(AM196*2*база!$I$4*Таблица14[[#This Row],[коэф]]),
IF(AND(G196="5/8",AM196&gt;0.5),(AM196*2*база!$J$6*Таблица14[[#This Row],[коэф]]),
IF(AND(G196="4/8",AM196&gt;0.5),(AM196*2*база!$J$5*Таблица14[[#This Row],[коэф]]),
IF(OR(AND(G196="3/8",AM196&gt;0.5),AND(G196="2/8",AM196&gt;0.5)),(AM196*2*база!$J$4*Таблица14[[#This Row],[коэф]]),
(AM196*0.5*база!$L$4*Таблица14[[#This Row],[коэф]]))))))))))))),
(IF(AND(G196="5/24",AM196&gt;0.5),(AM196*2*база!$M$6*Таблица14[[#This Row],[коэф]]),
IF(OR(AND(G196="4/24",AM196&gt;0.5),AND(G196="3/24",AM196&gt;0.5)),(AM196*2*база!$M$5*Таблица14[[#This Row],[коэф]]),
IF(AND(G196="5/16",AM196&gt;0.5),(AM196*2*база!$L$6*Таблица14[[#This Row],[коэф]]),
IF(OR(AND(G196="4/16",AM196&gt;0.5),AND(G196="3/16",AM196&gt;0.5)),(AM196*2*база!$L$5*Таблица14[[#This Row],[коэф]]),
IF(OR(AND(G196="4/4",AM196&gt;0.5),AND(G196="3/4",AM196&gt;2)),(AM196*2*база!$I$5*Таблица14[[#This Row],[коэф]]),
IF(AND(G196="5/8",AM196&gt;0.5),(AM196*2*база!$J$6*Таблица14[[#This Row],[коэф]]),
IF(AND(G196="4/8",AM196&gt;0.5),(AM196*2*база!$J$5*Таблица14[[#This Row],[коэф]]),
IF(OR(AND(G196="3/8",AM196&gt;0.5),AND(G196="2/8",AM196&gt;0.5)),(AM196*2*база!$J$4*Таблица14[[#This Row],[коэф]]),
(AM196*2*база!$L$5*Таблица14[[#This Row],[коэф]])))))))))))</f>
        <v>0</v>
      </c>
      <c r="AO196" s="122" t="str">
        <f>IFERROR(INDEX(база!$D$2:$D$120, MATCH(Таблица14[[#This Row],[Ф. И. О.]],база!$B$2:$B$100,0)),"")</f>
        <v/>
      </c>
    </row>
    <row r="197" spans="1:41">
      <c r="A197" s="207" t="str">
        <f t="shared" si="6"/>
        <v>январь</v>
      </c>
      <c r="B197" s="204">
        <v>2024</v>
      </c>
      <c r="C197" s="572"/>
      <c r="D197" s="214"/>
      <c r="E197" s="243"/>
      <c r="F197" s="713"/>
      <c r="G197" s="206"/>
      <c r="H197" s="215"/>
      <c r="I197" s="215"/>
      <c r="J197" s="215"/>
      <c r="K197" s="215"/>
      <c r="L197" s="215"/>
      <c r="M197" s="215"/>
      <c r="N197" s="215"/>
      <c r="O197" s="215"/>
      <c r="P197" s="215"/>
      <c r="Q197" s="215"/>
      <c r="R197" s="215"/>
      <c r="S197" s="215"/>
      <c r="T197" s="215"/>
      <c r="U197" s="215"/>
      <c r="V197" s="215"/>
      <c r="W197" s="215"/>
      <c r="X197" s="215"/>
      <c r="Y197" s="215"/>
      <c r="Z197" s="215"/>
      <c r="AA197" s="215"/>
      <c r="AB197" s="215"/>
      <c r="AC197" s="215"/>
      <c r="AD197" s="215"/>
      <c r="AE197" s="215"/>
      <c r="AF197" s="215"/>
      <c r="AG197" s="215"/>
      <c r="AH197" s="215"/>
      <c r="AI197" s="215"/>
      <c r="AJ197" s="215"/>
      <c r="AK197" s="215"/>
      <c r="AL197" s="215"/>
      <c r="AM197" s="121">
        <f t="shared" si="7"/>
        <v>0</v>
      </c>
      <c r="AN197" s="564">
        <f>IF(AO197&lt;=3,(IF(AND(G197="5/24",AM197&gt;0.5),(AM197*2*база!$M$6*Таблица14[[#This Row],[коэф]]),
IF(AND(G197="4/24",AM197&gt;0.5),(AM197*2*база!$M$5*Таблица14[[#This Row],[коэф]]),
IF(AND(G197="3/24",AM197&gt;0.5),(AM197*2*база!$M$4*Таблица14[[#This Row],[коэф]]),
IF(AND(G197="5/16",AM197&gt;0.5),(AM197*2*база!$L$6*Таблица14[[#This Row],[коэф]]),
IF(AND(G197="4/16",AM197&gt;0.5),(AM197*2*база!$L$5*Таблица14[[#This Row],[коэф]]),
IF(AND(G197="3/16",AM197&gt;0.5),(AM197*2*база!$L$4*Таблица14[[#This Row],[коэф]]),
IF(AND(G197="4/4",AM197&gt;0.5),(AM197*2*база!$I$5*Таблица14[[#This Row],[коэф]]),
IF(OR(AND(G197="3/4",AM197&gt;0.5),AND(G197="2/4",AM197&gt;0.5)),(AM197*2*база!$I$4*Таблица14[[#This Row],[коэф]]),
IF(AND(G197="5/8",AM197&gt;0.5),(AM197*2*база!$J$6*Таблица14[[#This Row],[коэф]]),
IF(AND(G197="4/8",AM197&gt;0.5),(AM197*2*база!$J$5*Таблица14[[#This Row],[коэф]]),
IF(OR(AND(G197="3/8",AM197&gt;0.5),AND(G197="2/8",AM197&gt;0.5)),(AM197*2*база!$J$4*Таблица14[[#This Row],[коэф]]),
(AM197*0.5*база!$L$4*Таблица14[[#This Row],[коэф]]))))))))))))),
(IF(AND(G197="5/24",AM197&gt;0.5),(AM197*2*база!$M$6*Таблица14[[#This Row],[коэф]]),
IF(OR(AND(G197="4/24",AM197&gt;0.5),AND(G197="3/24",AM197&gt;0.5)),(AM197*2*база!$M$5*Таблица14[[#This Row],[коэф]]),
IF(AND(G197="5/16",AM197&gt;0.5),(AM197*2*база!$L$6*Таблица14[[#This Row],[коэф]]),
IF(OR(AND(G197="4/16",AM197&gt;0.5),AND(G197="3/16",AM197&gt;0.5)),(AM197*2*база!$L$5*Таблица14[[#This Row],[коэф]]),
IF(OR(AND(G197="4/4",AM197&gt;0.5),AND(G197="3/4",AM197&gt;2)),(AM197*2*база!$I$5*Таблица14[[#This Row],[коэф]]),
IF(AND(G197="5/8",AM197&gt;0.5),(AM197*2*база!$J$6*Таблица14[[#This Row],[коэф]]),
IF(AND(G197="4/8",AM197&gt;0.5),(AM197*2*база!$J$5*Таблица14[[#This Row],[коэф]]),
IF(OR(AND(G197="3/8",AM197&gt;0.5),AND(G197="2/8",AM197&gt;0.5)),(AM197*2*база!$J$4*Таблица14[[#This Row],[коэф]]),
(AM197*2*база!$L$5*Таблица14[[#This Row],[коэф]])))))))))))</f>
        <v>0</v>
      </c>
      <c r="AO197" s="122" t="str">
        <f>IFERROR(INDEX(база!$D$2:$D$120, MATCH(Таблица14[[#This Row],[Ф. И. О.]],база!$B$2:$B$100,0)),"")</f>
        <v/>
      </c>
    </row>
    <row r="198" spans="1:41">
      <c r="A198" s="207" t="str">
        <f t="shared" si="6"/>
        <v>январь</v>
      </c>
      <c r="B198" s="240">
        <v>2024</v>
      </c>
      <c r="C198" s="572"/>
      <c r="D198" s="214"/>
      <c r="E198" s="241"/>
      <c r="F198" s="713"/>
      <c r="G198" s="242"/>
      <c r="H198" s="215"/>
      <c r="I198" s="215"/>
      <c r="J198" s="215"/>
      <c r="K198" s="215"/>
      <c r="L198" s="215"/>
      <c r="M198" s="215"/>
      <c r="N198" s="215"/>
      <c r="O198" s="215"/>
      <c r="P198" s="215"/>
      <c r="Q198" s="215"/>
      <c r="R198" s="215"/>
      <c r="S198" s="215"/>
      <c r="T198" s="215"/>
      <c r="U198" s="215"/>
      <c r="V198" s="215"/>
      <c r="W198" s="215"/>
      <c r="X198" s="215"/>
      <c r="Y198" s="215"/>
      <c r="Z198" s="215"/>
      <c r="AA198" s="215"/>
      <c r="AB198" s="215"/>
      <c r="AC198" s="215"/>
      <c r="AD198" s="215"/>
      <c r="AE198" s="215"/>
      <c r="AF198" s="215"/>
      <c r="AG198" s="215"/>
      <c r="AH198" s="215"/>
      <c r="AI198" s="215"/>
      <c r="AJ198" s="215"/>
      <c r="AK198" s="215"/>
      <c r="AL198" s="215"/>
      <c r="AM198" s="121">
        <f t="shared" si="7"/>
        <v>0</v>
      </c>
      <c r="AN198" s="564">
        <f>IF(AO198&lt;=3,(IF(AND(G198="5/24",AM198&gt;0.5),(AM198*2*база!$M$6*Таблица14[[#This Row],[коэф]]),
IF(AND(G198="4/24",AM198&gt;0.5),(AM198*2*база!$M$5*Таблица14[[#This Row],[коэф]]),
IF(AND(G198="3/24",AM198&gt;0.5),(AM198*2*база!$M$4*Таблица14[[#This Row],[коэф]]),
IF(AND(G198="5/16",AM198&gt;0.5),(AM198*2*база!$L$6*Таблица14[[#This Row],[коэф]]),
IF(AND(G198="4/16",AM198&gt;0.5),(AM198*2*база!$L$5*Таблица14[[#This Row],[коэф]]),
IF(AND(G198="3/16",AM198&gt;0.5),(AM198*2*база!$L$4*Таблица14[[#This Row],[коэф]]),
IF(AND(G198="4/4",AM198&gt;0.5),(AM198*2*база!$I$5*Таблица14[[#This Row],[коэф]]),
IF(OR(AND(G198="3/4",AM198&gt;0.5),AND(G198="2/4",AM198&gt;0.5)),(AM198*2*база!$I$4*Таблица14[[#This Row],[коэф]]),
IF(AND(G198="5/8",AM198&gt;0.5),(AM198*2*база!$J$6*Таблица14[[#This Row],[коэф]]),
IF(AND(G198="4/8",AM198&gt;0.5),(AM198*2*база!$J$5*Таблица14[[#This Row],[коэф]]),
IF(OR(AND(G198="3/8",AM198&gt;0.5),AND(G198="2/8",AM198&gt;0.5)),(AM198*2*база!$J$4*Таблица14[[#This Row],[коэф]]),
(AM198*0.5*база!$L$4*Таблица14[[#This Row],[коэф]]))))))))))))),
(IF(AND(G198="5/24",AM198&gt;0.5),(AM198*2*база!$M$6*Таблица14[[#This Row],[коэф]]),
IF(OR(AND(G198="4/24",AM198&gt;0.5),AND(G198="3/24",AM198&gt;0.5)),(AM198*2*база!$M$5*Таблица14[[#This Row],[коэф]]),
IF(AND(G198="5/16",AM198&gt;0.5),(AM198*2*база!$L$6*Таблица14[[#This Row],[коэф]]),
IF(OR(AND(G198="4/16",AM198&gt;0.5),AND(G198="3/16",AM198&gt;0.5)),(AM198*2*база!$L$5*Таблица14[[#This Row],[коэф]]),
IF(OR(AND(G198="4/4",AM198&gt;0.5),AND(G198="3/4",AM198&gt;2)),(AM198*2*база!$I$5*Таблица14[[#This Row],[коэф]]),
IF(AND(G198="5/8",AM198&gt;0.5),(AM198*2*база!$J$6*Таблица14[[#This Row],[коэф]]),
IF(AND(G198="4/8",AM198&gt;0.5),(AM198*2*база!$J$5*Таблица14[[#This Row],[коэф]]),
IF(OR(AND(G198="3/8",AM198&gt;0.5),AND(G198="2/8",AM198&gt;0.5)),(AM198*2*база!$J$4*Таблица14[[#This Row],[коэф]]),
(AM198*2*база!$L$5*Таблица14[[#This Row],[коэф]])))))))))))</f>
        <v>0</v>
      </c>
      <c r="AO198" s="122" t="str">
        <f>IFERROR(INDEX(база!$D$2:$D$120, MATCH(Таблица14[[#This Row],[Ф. И. О.]],база!$B$2:$B$100,0)),"")</f>
        <v/>
      </c>
    </row>
    <row r="199" spans="1:41" s="46" customFormat="1">
      <c r="A199" s="207" t="str">
        <f t="shared" si="6"/>
        <v>январь</v>
      </c>
      <c r="B199" s="204">
        <v>2024</v>
      </c>
      <c r="C199" s="572"/>
      <c r="D199" s="214"/>
      <c r="E199" s="243"/>
      <c r="F199" s="713"/>
      <c r="G199" s="206"/>
      <c r="H199" s="215"/>
      <c r="I199" s="215"/>
      <c r="J199" s="215"/>
      <c r="K199" s="215"/>
      <c r="L199" s="215"/>
      <c r="M199" s="215"/>
      <c r="N199" s="215"/>
      <c r="O199" s="215"/>
      <c r="P199" s="215"/>
      <c r="Q199" s="215"/>
      <c r="R199" s="215"/>
      <c r="S199" s="215"/>
      <c r="T199" s="215"/>
      <c r="U199" s="215"/>
      <c r="V199" s="215"/>
      <c r="W199" s="215"/>
      <c r="X199" s="215"/>
      <c r="Y199" s="215"/>
      <c r="Z199" s="215"/>
      <c r="AA199" s="215"/>
      <c r="AB199" s="215"/>
      <c r="AC199" s="215"/>
      <c r="AD199" s="215"/>
      <c r="AE199" s="215"/>
      <c r="AF199" s="215"/>
      <c r="AG199" s="215"/>
      <c r="AH199" s="215"/>
      <c r="AI199" s="215"/>
      <c r="AJ199" s="215"/>
      <c r="AK199" s="215"/>
      <c r="AL199" s="215"/>
      <c r="AM199" s="121">
        <f t="shared" si="7"/>
        <v>0</v>
      </c>
      <c r="AN199" s="564">
        <f>IF(AO199&lt;=3,(IF(AND(G199="5/24",AM199&gt;0.5),(AM199*2*база!$M$6*Таблица14[[#This Row],[коэф]]),
IF(AND(G199="4/24",AM199&gt;0.5),(AM199*2*база!$M$5*Таблица14[[#This Row],[коэф]]),
IF(AND(G199="3/24",AM199&gt;0.5),(AM199*2*база!$M$4*Таблица14[[#This Row],[коэф]]),
IF(AND(G199="5/16",AM199&gt;0.5),(AM199*2*база!$L$6*Таблица14[[#This Row],[коэф]]),
IF(AND(G199="4/16",AM199&gt;0.5),(AM199*2*база!$L$5*Таблица14[[#This Row],[коэф]]),
IF(AND(G199="3/16",AM199&gt;0.5),(AM199*2*база!$L$4*Таблица14[[#This Row],[коэф]]),
IF(AND(G199="4/4",AM199&gt;0.5),(AM199*2*база!$I$5*Таблица14[[#This Row],[коэф]]),
IF(OR(AND(G199="3/4",AM199&gt;0.5),AND(G199="2/4",AM199&gt;0.5)),(AM199*2*база!$I$4*Таблица14[[#This Row],[коэф]]),
IF(AND(G199="5/8",AM199&gt;0.5),(AM199*2*база!$J$6*Таблица14[[#This Row],[коэф]]),
IF(AND(G199="4/8",AM199&gt;0.5),(AM199*2*база!$J$5*Таблица14[[#This Row],[коэф]]),
IF(OR(AND(G199="3/8",AM199&gt;0.5),AND(G199="2/8",AM199&gt;0.5)),(AM199*2*база!$J$4*Таблица14[[#This Row],[коэф]]),
(AM199*0.5*база!$L$4*Таблица14[[#This Row],[коэф]]))))))))))))),
(IF(AND(G199="5/24",AM199&gt;0.5),(AM199*2*база!$M$6*Таблица14[[#This Row],[коэф]]),
IF(OR(AND(G199="4/24",AM199&gt;0.5),AND(G199="3/24",AM199&gt;0.5)),(AM199*2*база!$M$5*Таблица14[[#This Row],[коэф]]),
IF(AND(G199="5/16",AM199&gt;0.5),(AM199*2*база!$L$6*Таблица14[[#This Row],[коэф]]),
IF(OR(AND(G199="4/16",AM199&gt;0.5),AND(G199="3/16",AM199&gt;0.5)),(AM199*2*база!$L$5*Таблица14[[#This Row],[коэф]]),
IF(OR(AND(G199="4/4",AM199&gt;0.5),AND(G199="3/4",AM199&gt;2)),(AM199*2*база!$I$5*Таблица14[[#This Row],[коэф]]),
IF(AND(G199="5/8",AM199&gt;0.5),(AM199*2*база!$J$6*Таблица14[[#This Row],[коэф]]),
IF(AND(G199="4/8",AM199&gt;0.5),(AM199*2*база!$J$5*Таблица14[[#This Row],[коэф]]),
IF(OR(AND(G199="3/8",AM199&gt;0.5),AND(G199="2/8",AM199&gt;0.5)),(AM199*2*база!$J$4*Таблица14[[#This Row],[коэф]]),
(AM199*2*база!$L$5*Таблица14[[#This Row],[коэф]])))))))))))</f>
        <v>0</v>
      </c>
      <c r="AO199" s="122" t="str">
        <f>IFERROR(INDEX(база!$D$2:$D$120, MATCH(Таблица14[[#This Row],[Ф. И. О.]],база!$B$2:$B$100,0)),"")</f>
        <v/>
      </c>
    </row>
    <row r="200" spans="1:41" s="46" customFormat="1">
      <c r="A200" s="207" t="str">
        <f t="shared" si="6"/>
        <v>январь</v>
      </c>
      <c r="B200" s="240">
        <v>2024</v>
      </c>
      <c r="C200" s="572"/>
      <c r="D200" s="214"/>
      <c r="E200" s="241"/>
      <c r="F200" s="713"/>
      <c r="G200" s="242"/>
      <c r="H200" s="215"/>
      <c r="I200" s="215"/>
      <c r="J200" s="215"/>
      <c r="K200" s="215"/>
      <c r="L200" s="215"/>
      <c r="M200" s="215"/>
      <c r="N200" s="215"/>
      <c r="O200" s="215"/>
      <c r="P200" s="215"/>
      <c r="Q200" s="215"/>
      <c r="R200" s="215"/>
      <c r="S200" s="215"/>
      <c r="T200" s="215"/>
      <c r="U200" s="215"/>
      <c r="V200" s="215"/>
      <c r="W200" s="215"/>
      <c r="X200" s="215"/>
      <c r="Y200" s="215"/>
      <c r="Z200" s="215"/>
      <c r="AA200" s="215"/>
      <c r="AB200" s="215"/>
      <c r="AC200" s="215"/>
      <c r="AD200" s="215"/>
      <c r="AE200" s="215"/>
      <c r="AF200" s="215"/>
      <c r="AG200" s="215"/>
      <c r="AH200" s="215"/>
      <c r="AI200" s="215"/>
      <c r="AJ200" s="215"/>
      <c r="AK200" s="215"/>
      <c r="AL200" s="215"/>
      <c r="AM200" s="121">
        <f t="shared" si="7"/>
        <v>0</v>
      </c>
      <c r="AN200" s="564">
        <f>IF(AO200&lt;=3,(IF(AND(G200="5/24",AM200&gt;0.5),(AM200*2*база!$M$6*Таблица14[[#This Row],[коэф]]),
IF(AND(G200="4/24",AM200&gt;0.5),(AM200*2*база!$M$5*Таблица14[[#This Row],[коэф]]),
IF(AND(G200="3/24",AM200&gt;0.5),(AM200*2*база!$M$4*Таблица14[[#This Row],[коэф]]),
IF(AND(G200="5/16",AM200&gt;0.5),(AM200*2*база!$L$6*Таблица14[[#This Row],[коэф]]),
IF(AND(G200="4/16",AM200&gt;0.5),(AM200*2*база!$L$5*Таблица14[[#This Row],[коэф]]),
IF(AND(G200="3/16",AM200&gt;0.5),(AM200*2*база!$L$4*Таблица14[[#This Row],[коэф]]),
IF(AND(G200="4/4",AM200&gt;0.5),(AM200*2*база!$I$5*Таблица14[[#This Row],[коэф]]),
IF(OR(AND(G200="3/4",AM200&gt;0.5),AND(G200="2/4",AM200&gt;0.5)),(AM200*2*база!$I$4*Таблица14[[#This Row],[коэф]]),
IF(AND(G200="5/8",AM200&gt;0.5),(AM200*2*база!$J$6*Таблица14[[#This Row],[коэф]]),
IF(AND(G200="4/8",AM200&gt;0.5),(AM200*2*база!$J$5*Таблица14[[#This Row],[коэф]]),
IF(OR(AND(G200="3/8",AM200&gt;0.5),AND(G200="2/8",AM200&gt;0.5)),(AM200*2*база!$J$4*Таблица14[[#This Row],[коэф]]),
(AM200*0.5*база!$L$4*Таблица14[[#This Row],[коэф]]))))))))))))),
(IF(AND(G200="5/24",AM200&gt;0.5),(AM200*2*база!$M$6*Таблица14[[#This Row],[коэф]]),
IF(OR(AND(G200="4/24",AM200&gt;0.5),AND(G200="3/24",AM200&gt;0.5)),(AM200*2*база!$M$5*Таблица14[[#This Row],[коэф]]),
IF(AND(G200="5/16",AM200&gt;0.5),(AM200*2*база!$L$6*Таблица14[[#This Row],[коэф]]),
IF(OR(AND(G200="4/16",AM200&gt;0.5),AND(G200="3/16",AM200&gt;0.5)),(AM200*2*база!$L$5*Таблица14[[#This Row],[коэф]]),
IF(OR(AND(G200="4/4",AM200&gt;0.5),AND(G200="3/4",AM200&gt;2)),(AM200*2*база!$I$5*Таблица14[[#This Row],[коэф]]),
IF(AND(G200="5/8",AM200&gt;0.5),(AM200*2*база!$J$6*Таблица14[[#This Row],[коэф]]),
IF(AND(G200="4/8",AM200&gt;0.5),(AM200*2*база!$J$5*Таблица14[[#This Row],[коэф]]),
IF(OR(AND(G200="3/8",AM200&gt;0.5),AND(G200="2/8",AM200&gt;0.5)),(AM200*2*база!$J$4*Таблица14[[#This Row],[коэф]]),
(AM200*2*база!$L$5*Таблица14[[#This Row],[коэф]])))))))))))</f>
        <v>0</v>
      </c>
      <c r="AO200" s="122" t="str">
        <f>IFERROR(INDEX(база!$D$2:$D$120, MATCH(Таблица14[[#This Row],[Ф. И. О.]],база!$B$2:$B$100,0)),"")</f>
        <v/>
      </c>
    </row>
    <row r="201" spans="1:41" s="46" customFormat="1">
      <c r="A201" s="207" t="str">
        <f t="shared" si="6"/>
        <v>январь</v>
      </c>
      <c r="B201" s="204">
        <v>2024</v>
      </c>
      <c r="C201" s="572"/>
      <c r="D201" s="214"/>
      <c r="E201" s="243"/>
      <c r="F201" s="713"/>
      <c r="G201" s="206"/>
      <c r="H201" s="215"/>
      <c r="I201" s="215"/>
      <c r="J201" s="215"/>
      <c r="K201" s="215"/>
      <c r="L201" s="215"/>
      <c r="M201" s="215"/>
      <c r="N201" s="215"/>
      <c r="O201" s="215"/>
      <c r="P201" s="215"/>
      <c r="Q201" s="215"/>
      <c r="R201" s="215"/>
      <c r="S201" s="215"/>
      <c r="T201" s="215"/>
      <c r="U201" s="215"/>
      <c r="V201" s="215"/>
      <c r="W201" s="215"/>
      <c r="X201" s="215"/>
      <c r="Y201" s="215"/>
      <c r="Z201" s="215"/>
      <c r="AA201" s="215"/>
      <c r="AB201" s="215"/>
      <c r="AC201" s="215"/>
      <c r="AD201" s="215"/>
      <c r="AE201" s="215"/>
      <c r="AF201" s="215"/>
      <c r="AG201" s="215"/>
      <c r="AH201" s="215"/>
      <c r="AI201" s="215"/>
      <c r="AJ201" s="215"/>
      <c r="AK201" s="215"/>
      <c r="AL201" s="215"/>
      <c r="AM201" s="121">
        <f t="shared" si="7"/>
        <v>0</v>
      </c>
      <c r="AN201" s="564">
        <f>IF(AO201&lt;=3,(IF(AND(G201="5/24",AM201&gt;0.5),(AM201*2*база!$M$6*Таблица14[[#This Row],[коэф]]),
IF(AND(G201="4/24",AM201&gt;0.5),(AM201*2*база!$M$5*Таблица14[[#This Row],[коэф]]),
IF(AND(G201="3/24",AM201&gt;0.5),(AM201*2*база!$M$4*Таблица14[[#This Row],[коэф]]),
IF(AND(G201="5/16",AM201&gt;0.5),(AM201*2*база!$L$6*Таблица14[[#This Row],[коэф]]),
IF(AND(G201="4/16",AM201&gt;0.5),(AM201*2*база!$L$5*Таблица14[[#This Row],[коэф]]),
IF(AND(G201="3/16",AM201&gt;0.5),(AM201*2*база!$L$4*Таблица14[[#This Row],[коэф]]),
IF(AND(G201="4/4",AM201&gt;0.5),(AM201*2*база!$I$5*Таблица14[[#This Row],[коэф]]),
IF(OR(AND(G201="3/4",AM201&gt;0.5),AND(G201="2/4",AM201&gt;0.5)),(AM201*2*база!$I$4*Таблица14[[#This Row],[коэф]]),
IF(AND(G201="5/8",AM201&gt;0.5),(AM201*2*база!$J$6*Таблица14[[#This Row],[коэф]]),
IF(AND(G201="4/8",AM201&gt;0.5),(AM201*2*база!$J$5*Таблица14[[#This Row],[коэф]]),
IF(OR(AND(G201="3/8",AM201&gt;0.5),AND(G201="2/8",AM201&gt;0.5)),(AM201*2*база!$J$4*Таблица14[[#This Row],[коэф]]),
(AM201*0.5*база!$L$4*Таблица14[[#This Row],[коэф]]))))))))))))),
(IF(AND(G201="5/24",AM201&gt;0.5),(AM201*2*база!$M$6*Таблица14[[#This Row],[коэф]]),
IF(OR(AND(G201="4/24",AM201&gt;0.5),AND(G201="3/24",AM201&gt;0.5)),(AM201*2*база!$M$5*Таблица14[[#This Row],[коэф]]),
IF(AND(G201="5/16",AM201&gt;0.5),(AM201*2*база!$L$6*Таблица14[[#This Row],[коэф]]),
IF(OR(AND(G201="4/16",AM201&gt;0.5),AND(G201="3/16",AM201&gt;0.5)),(AM201*2*база!$L$5*Таблица14[[#This Row],[коэф]]),
IF(OR(AND(G201="4/4",AM201&gt;0.5),AND(G201="3/4",AM201&gt;2)),(AM201*2*база!$I$5*Таблица14[[#This Row],[коэф]]),
IF(AND(G201="5/8",AM201&gt;0.5),(AM201*2*база!$J$6*Таблица14[[#This Row],[коэф]]),
IF(AND(G201="4/8",AM201&gt;0.5),(AM201*2*база!$J$5*Таблица14[[#This Row],[коэф]]),
IF(OR(AND(G201="3/8",AM201&gt;0.5),AND(G201="2/8",AM201&gt;0.5)),(AM201*2*база!$J$4*Таблица14[[#This Row],[коэф]]),
(AM201*2*база!$L$5*Таблица14[[#This Row],[коэф]])))))))))))</f>
        <v>0</v>
      </c>
      <c r="AO201" s="122" t="str">
        <f>IFERROR(INDEX(база!$D$2:$D$120, MATCH(Таблица14[[#This Row],[Ф. И. О.]],база!$B$2:$B$100,0)),"")</f>
        <v/>
      </c>
    </row>
    <row r="202" spans="1:41" s="46" customFormat="1">
      <c r="A202" s="207" t="str">
        <f t="shared" si="6"/>
        <v>январь</v>
      </c>
      <c r="B202" s="240">
        <v>2024</v>
      </c>
      <c r="C202" s="572"/>
      <c r="D202" s="214"/>
      <c r="E202" s="241"/>
      <c r="F202" s="713"/>
      <c r="G202" s="242"/>
      <c r="H202" s="215"/>
      <c r="I202" s="215"/>
      <c r="J202" s="215"/>
      <c r="K202" s="215"/>
      <c r="L202" s="215"/>
      <c r="M202" s="215"/>
      <c r="N202" s="215"/>
      <c r="O202" s="215"/>
      <c r="P202" s="215"/>
      <c r="Q202" s="215"/>
      <c r="R202" s="215"/>
      <c r="S202" s="215"/>
      <c r="T202" s="215"/>
      <c r="U202" s="215"/>
      <c r="V202" s="215"/>
      <c r="W202" s="215"/>
      <c r="X202" s="215"/>
      <c r="Y202" s="215"/>
      <c r="Z202" s="215"/>
      <c r="AA202" s="215"/>
      <c r="AB202" s="215"/>
      <c r="AC202" s="215"/>
      <c r="AD202" s="215"/>
      <c r="AE202" s="215"/>
      <c r="AF202" s="215"/>
      <c r="AG202" s="215"/>
      <c r="AH202" s="215"/>
      <c r="AI202" s="215"/>
      <c r="AJ202" s="215"/>
      <c r="AK202" s="215"/>
      <c r="AL202" s="215"/>
      <c r="AM202" s="121">
        <f t="shared" si="7"/>
        <v>0</v>
      </c>
      <c r="AN202" s="564">
        <f>IF(AO202&lt;=3,(IF(AND(G202="5/24",AM202&gt;0.5),(AM202*2*база!$M$6*Таблица14[[#This Row],[коэф]]),
IF(AND(G202="4/24",AM202&gt;0.5),(AM202*2*база!$M$5*Таблица14[[#This Row],[коэф]]),
IF(AND(G202="3/24",AM202&gt;0.5),(AM202*2*база!$M$4*Таблица14[[#This Row],[коэф]]),
IF(AND(G202="5/16",AM202&gt;0.5),(AM202*2*база!$L$6*Таблица14[[#This Row],[коэф]]),
IF(AND(G202="4/16",AM202&gt;0.5),(AM202*2*база!$L$5*Таблица14[[#This Row],[коэф]]),
IF(AND(G202="3/16",AM202&gt;0.5),(AM202*2*база!$L$4*Таблица14[[#This Row],[коэф]]),
IF(AND(G202="4/4",AM202&gt;0.5),(AM202*2*база!$I$5*Таблица14[[#This Row],[коэф]]),
IF(OR(AND(G202="3/4",AM202&gt;0.5),AND(G202="2/4",AM202&gt;0.5)),(AM202*2*база!$I$4*Таблица14[[#This Row],[коэф]]),
IF(AND(G202="5/8",AM202&gt;0.5),(AM202*2*база!$J$6*Таблица14[[#This Row],[коэф]]),
IF(AND(G202="4/8",AM202&gt;0.5),(AM202*2*база!$J$5*Таблица14[[#This Row],[коэф]]),
IF(OR(AND(G202="3/8",AM202&gt;0.5),AND(G202="2/8",AM202&gt;0.5)),(AM202*2*база!$J$4*Таблица14[[#This Row],[коэф]]),
(AM202*0.5*база!$L$4*Таблица14[[#This Row],[коэф]]))))))))))))),
(IF(AND(G202="5/24",AM202&gt;0.5),(AM202*2*база!$M$6*Таблица14[[#This Row],[коэф]]),
IF(OR(AND(G202="4/24",AM202&gt;0.5),AND(G202="3/24",AM202&gt;0.5)),(AM202*2*база!$M$5*Таблица14[[#This Row],[коэф]]),
IF(AND(G202="5/16",AM202&gt;0.5),(AM202*2*база!$L$6*Таблица14[[#This Row],[коэф]]),
IF(OR(AND(G202="4/16",AM202&gt;0.5),AND(G202="3/16",AM202&gt;0.5)),(AM202*2*база!$L$5*Таблица14[[#This Row],[коэф]]),
IF(OR(AND(G202="4/4",AM202&gt;0.5),AND(G202="3/4",AM202&gt;2)),(AM202*2*база!$I$5*Таблица14[[#This Row],[коэф]]),
IF(AND(G202="5/8",AM202&gt;0.5),(AM202*2*база!$J$6*Таблица14[[#This Row],[коэф]]),
IF(AND(G202="4/8",AM202&gt;0.5),(AM202*2*база!$J$5*Таблица14[[#This Row],[коэф]]),
IF(OR(AND(G202="3/8",AM202&gt;0.5),AND(G202="2/8",AM202&gt;0.5)),(AM202*2*база!$J$4*Таблица14[[#This Row],[коэф]]),
(AM202*2*база!$L$5*Таблица14[[#This Row],[коэф]])))))))))))</f>
        <v>0</v>
      </c>
      <c r="AO202" s="122" t="str">
        <f>IFERROR(INDEX(база!$D$2:$D$120, MATCH(Таблица14[[#This Row],[Ф. И. О.]],база!$B$2:$B$100,0)),"")</f>
        <v/>
      </c>
    </row>
    <row r="203" spans="1:41" s="46" customFormat="1">
      <c r="A203" s="207" t="str">
        <f t="shared" si="6"/>
        <v>январь</v>
      </c>
      <c r="B203" s="204">
        <v>2024</v>
      </c>
      <c r="C203" s="572"/>
      <c r="D203" s="214"/>
      <c r="E203" s="243"/>
      <c r="F203" s="713"/>
      <c r="G203" s="206"/>
      <c r="H203" s="215"/>
      <c r="I203" s="215"/>
      <c r="J203" s="215"/>
      <c r="K203" s="215"/>
      <c r="L203" s="215"/>
      <c r="M203" s="215"/>
      <c r="N203" s="215"/>
      <c r="O203" s="215"/>
      <c r="P203" s="215"/>
      <c r="Q203" s="215"/>
      <c r="R203" s="215"/>
      <c r="S203" s="215"/>
      <c r="T203" s="215"/>
      <c r="U203" s="215"/>
      <c r="V203" s="215"/>
      <c r="W203" s="215"/>
      <c r="X203" s="215"/>
      <c r="Y203" s="215"/>
      <c r="Z203" s="215"/>
      <c r="AA203" s="215"/>
      <c r="AB203" s="215"/>
      <c r="AC203" s="215"/>
      <c r="AD203" s="215"/>
      <c r="AE203" s="215"/>
      <c r="AF203" s="215"/>
      <c r="AG203" s="215"/>
      <c r="AH203" s="215"/>
      <c r="AI203" s="215"/>
      <c r="AJ203" s="215"/>
      <c r="AK203" s="215"/>
      <c r="AL203" s="215"/>
      <c r="AM203" s="121">
        <f t="shared" si="7"/>
        <v>0</v>
      </c>
      <c r="AN203" s="564">
        <f>IF(AO203&lt;=3,(IF(AND(G203="5/24",AM203&gt;0.5),(AM203*2*база!$M$6*Таблица14[[#This Row],[коэф]]),
IF(AND(G203="4/24",AM203&gt;0.5),(AM203*2*база!$M$5*Таблица14[[#This Row],[коэф]]),
IF(AND(G203="3/24",AM203&gt;0.5),(AM203*2*база!$M$4*Таблица14[[#This Row],[коэф]]),
IF(AND(G203="5/16",AM203&gt;0.5),(AM203*2*база!$L$6*Таблица14[[#This Row],[коэф]]),
IF(AND(G203="4/16",AM203&gt;0.5),(AM203*2*база!$L$5*Таблица14[[#This Row],[коэф]]),
IF(AND(G203="3/16",AM203&gt;0.5),(AM203*2*база!$L$4*Таблица14[[#This Row],[коэф]]),
IF(AND(G203="4/4",AM203&gt;0.5),(AM203*2*база!$I$5*Таблица14[[#This Row],[коэф]]),
IF(OR(AND(G203="3/4",AM203&gt;0.5),AND(G203="2/4",AM203&gt;0.5)),(AM203*2*база!$I$4*Таблица14[[#This Row],[коэф]]),
IF(AND(G203="5/8",AM203&gt;0.5),(AM203*2*база!$J$6*Таблица14[[#This Row],[коэф]]),
IF(AND(G203="4/8",AM203&gt;0.5),(AM203*2*база!$J$5*Таблица14[[#This Row],[коэф]]),
IF(OR(AND(G203="3/8",AM203&gt;0.5),AND(G203="2/8",AM203&gt;0.5)),(AM203*2*база!$J$4*Таблица14[[#This Row],[коэф]]),
(AM203*0.5*база!$L$4*Таблица14[[#This Row],[коэф]]))))))))))))),
(IF(AND(G203="5/24",AM203&gt;0.5),(AM203*2*база!$M$6*Таблица14[[#This Row],[коэф]]),
IF(OR(AND(G203="4/24",AM203&gt;0.5),AND(G203="3/24",AM203&gt;0.5)),(AM203*2*база!$M$5*Таблица14[[#This Row],[коэф]]),
IF(AND(G203="5/16",AM203&gt;0.5),(AM203*2*база!$L$6*Таблица14[[#This Row],[коэф]]),
IF(OR(AND(G203="4/16",AM203&gt;0.5),AND(G203="3/16",AM203&gt;0.5)),(AM203*2*база!$L$5*Таблица14[[#This Row],[коэф]]),
IF(OR(AND(G203="4/4",AM203&gt;0.5),AND(G203="3/4",AM203&gt;2)),(AM203*2*база!$I$5*Таблица14[[#This Row],[коэф]]),
IF(AND(G203="5/8",AM203&gt;0.5),(AM203*2*база!$J$6*Таблица14[[#This Row],[коэф]]),
IF(AND(G203="4/8",AM203&gt;0.5),(AM203*2*база!$J$5*Таблица14[[#This Row],[коэф]]),
IF(OR(AND(G203="3/8",AM203&gt;0.5),AND(G203="2/8",AM203&gt;0.5)),(AM203*2*база!$J$4*Таблица14[[#This Row],[коэф]]),
(AM203*2*база!$L$5*Таблица14[[#This Row],[коэф]])))))))))))</f>
        <v>0</v>
      </c>
      <c r="AO203" s="122" t="str">
        <f>IFERROR(INDEX(база!$D$2:$D$120, MATCH(Таблица14[[#This Row],[Ф. И. О.]],база!$B$2:$B$100,0)),"")</f>
        <v/>
      </c>
    </row>
    <row r="204" spans="1:41" s="46" customFormat="1">
      <c r="A204" s="207" t="str">
        <f t="shared" si="6"/>
        <v>январь</v>
      </c>
      <c r="B204" s="240">
        <v>2024</v>
      </c>
      <c r="C204" s="572"/>
      <c r="D204" s="214"/>
      <c r="E204" s="241"/>
      <c r="F204" s="713"/>
      <c r="G204" s="242"/>
      <c r="H204" s="215"/>
      <c r="I204" s="215"/>
      <c r="J204" s="215"/>
      <c r="K204" s="215"/>
      <c r="L204" s="215"/>
      <c r="M204" s="215"/>
      <c r="N204" s="215"/>
      <c r="O204" s="215"/>
      <c r="P204" s="215"/>
      <c r="Q204" s="215"/>
      <c r="R204" s="215"/>
      <c r="S204" s="215"/>
      <c r="T204" s="215"/>
      <c r="U204" s="215"/>
      <c r="V204" s="215"/>
      <c r="W204" s="215"/>
      <c r="X204" s="215"/>
      <c r="Y204" s="215"/>
      <c r="Z204" s="215"/>
      <c r="AA204" s="215"/>
      <c r="AB204" s="215"/>
      <c r="AC204" s="215"/>
      <c r="AD204" s="215"/>
      <c r="AE204" s="215"/>
      <c r="AF204" s="215"/>
      <c r="AG204" s="215"/>
      <c r="AH204" s="215"/>
      <c r="AI204" s="215"/>
      <c r="AJ204" s="215"/>
      <c r="AK204" s="215"/>
      <c r="AL204" s="215"/>
      <c r="AM204" s="121">
        <f t="shared" si="7"/>
        <v>0</v>
      </c>
      <c r="AN204" s="564">
        <f>IF(AO204&lt;=3,(IF(AND(G204="5/24",AM204&gt;0.5),(AM204*2*база!$M$6*Таблица14[[#This Row],[коэф]]),
IF(AND(G204="4/24",AM204&gt;0.5),(AM204*2*база!$M$5*Таблица14[[#This Row],[коэф]]),
IF(AND(G204="3/24",AM204&gt;0.5),(AM204*2*база!$M$4*Таблица14[[#This Row],[коэф]]),
IF(AND(G204="5/16",AM204&gt;0.5),(AM204*2*база!$L$6*Таблица14[[#This Row],[коэф]]),
IF(AND(G204="4/16",AM204&gt;0.5),(AM204*2*база!$L$5*Таблица14[[#This Row],[коэф]]),
IF(AND(G204="3/16",AM204&gt;0.5),(AM204*2*база!$L$4*Таблица14[[#This Row],[коэф]]),
IF(AND(G204="4/4",AM204&gt;0.5),(AM204*2*база!$I$5*Таблица14[[#This Row],[коэф]]),
IF(OR(AND(G204="3/4",AM204&gt;0.5),AND(G204="2/4",AM204&gt;0.5)),(AM204*2*база!$I$4*Таблица14[[#This Row],[коэф]]),
IF(AND(G204="5/8",AM204&gt;0.5),(AM204*2*база!$J$6*Таблица14[[#This Row],[коэф]]),
IF(AND(G204="4/8",AM204&gt;0.5),(AM204*2*база!$J$5*Таблица14[[#This Row],[коэф]]),
IF(OR(AND(G204="3/8",AM204&gt;0.5),AND(G204="2/8",AM204&gt;0.5)),(AM204*2*база!$J$4*Таблица14[[#This Row],[коэф]]),
(AM204*0.5*база!$L$4*Таблица14[[#This Row],[коэф]]))))))))))))),
(IF(AND(G204="5/24",AM204&gt;0.5),(AM204*2*база!$M$6*Таблица14[[#This Row],[коэф]]),
IF(OR(AND(G204="4/24",AM204&gt;0.5),AND(G204="3/24",AM204&gt;0.5)),(AM204*2*база!$M$5*Таблица14[[#This Row],[коэф]]),
IF(AND(G204="5/16",AM204&gt;0.5),(AM204*2*база!$L$6*Таблица14[[#This Row],[коэф]]),
IF(OR(AND(G204="4/16",AM204&gt;0.5),AND(G204="3/16",AM204&gt;0.5)),(AM204*2*база!$L$5*Таблица14[[#This Row],[коэф]]),
IF(OR(AND(G204="4/4",AM204&gt;0.5),AND(G204="3/4",AM204&gt;2)),(AM204*2*база!$I$5*Таблица14[[#This Row],[коэф]]),
IF(AND(G204="5/8",AM204&gt;0.5),(AM204*2*база!$J$6*Таблица14[[#This Row],[коэф]]),
IF(AND(G204="4/8",AM204&gt;0.5),(AM204*2*база!$J$5*Таблица14[[#This Row],[коэф]]),
IF(OR(AND(G204="3/8",AM204&gt;0.5),AND(G204="2/8",AM204&gt;0.5)),(AM204*2*база!$J$4*Таблица14[[#This Row],[коэф]]),
(AM204*2*база!$L$5*Таблица14[[#This Row],[коэф]])))))))))))</f>
        <v>0</v>
      </c>
      <c r="AO204" s="122" t="str">
        <f>IFERROR(INDEX(база!$D$2:$D$120, MATCH(Таблица14[[#This Row],[Ф. И. О.]],база!$B$2:$B$100,0)),"")</f>
        <v/>
      </c>
    </row>
    <row r="205" spans="1:41" s="46" customFormat="1">
      <c r="A205" s="207" t="str">
        <f t="shared" si="6"/>
        <v>январь</v>
      </c>
      <c r="B205" s="204">
        <v>2024</v>
      </c>
      <c r="C205" s="572"/>
      <c r="D205" s="214"/>
      <c r="E205" s="243"/>
      <c r="F205" s="713"/>
      <c r="G205" s="206"/>
      <c r="H205" s="215"/>
      <c r="I205" s="215"/>
      <c r="J205" s="215"/>
      <c r="K205" s="215"/>
      <c r="L205" s="215"/>
      <c r="M205" s="215"/>
      <c r="N205" s="215"/>
      <c r="O205" s="215"/>
      <c r="P205" s="215"/>
      <c r="Q205" s="215"/>
      <c r="R205" s="215"/>
      <c r="S205" s="215"/>
      <c r="T205" s="215"/>
      <c r="U205" s="215"/>
      <c r="V205" s="215"/>
      <c r="W205" s="215"/>
      <c r="X205" s="215"/>
      <c r="Y205" s="215"/>
      <c r="Z205" s="215"/>
      <c r="AA205" s="215"/>
      <c r="AB205" s="215"/>
      <c r="AC205" s="215"/>
      <c r="AD205" s="215"/>
      <c r="AE205" s="215"/>
      <c r="AF205" s="215"/>
      <c r="AG205" s="215"/>
      <c r="AH205" s="215"/>
      <c r="AI205" s="215"/>
      <c r="AJ205" s="215"/>
      <c r="AK205" s="215"/>
      <c r="AL205" s="215"/>
      <c r="AM205" s="121">
        <f t="shared" si="7"/>
        <v>0</v>
      </c>
      <c r="AN205" s="564">
        <f>IF(AO205&lt;=3,(IF(AND(G205="5/24",AM205&gt;0.5),(AM205*2*база!$M$6*Таблица14[[#This Row],[коэф]]),
IF(AND(G205="4/24",AM205&gt;0.5),(AM205*2*база!$M$5*Таблица14[[#This Row],[коэф]]),
IF(AND(G205="3/24",AM205&gt;0.5),(AM205*2*база!$M$4*Таблица14[[#This Row],[коэф]]),
IF(AND(G205="5/16",AM205&gt;0.5),(AM205*2*база!$L$6*Таблица14[[#This Row],[коэф]]),
IF(AND(G205="4/16",AM205&gt;0.5),(AM205*2*база!$L$5*Таблица14[[#This Row],[коэф]]),
IF(AND(G205="3/16",AM205&gt;0.5),(AM205*2*база!$L$4*Таблица14[[#This Row],[коэф]]),
IF(AND(G205="4/4",AM205&gt;0.5),(AM205*2*база!$I$5*Таблица14[[#This Row],[коэф]]),
IF(OR(AND(G205="3/4",AM205&gt;0.5),AND(G205="2/4",AM205&gt;0.5)),(AM205*2*база!$I$4*Таблица14[[#This Row],[коэф]]),
IF(AND(G205="5/8",AM205&gt;0.5),(AM205*2*база!$J$6*Таблица14[[#This Row],[коэф]]),
IF(AND(G205="4/8",AM205&gt;0.5),(AM205*2*база!$J$5*Таблица14[[#This Row],[коэф]]),
IF(OR(AND(G205="3/8",AM205&gt;0.5),AND(G205="2/8",AM205&gt;0.5)),(AM205*2*база!$J$4*Таблица14[[#This Row],[коэф]]),
(AM205*0.5*база!$L$4*Таблица14[[#This Row],[коэф]]))))))))))))),
(IF(AND(G205="5/24",AM205&gt;0.5),(AM205*2*база!$M$6*Таблица14[[#This Row],[коэф]]),
IF(OR(AND(G205="4/24",AM205&gt;0.5),AND(G205="3/24",AM205&gt;0.5)),(AM205*2*база!$M$5*Таблица14[[#This Row],[коэф]]),
IF(AND(G205="5/16",AM205&gt;0.5),(AM205*2*база!$L$6*Таблица14[[#This Row],[коэф]]),
IF(OR(AND(G205="4/16",AM205&gt;0.5),AND(G205="3/16",AM205&gt;0.5)),(AM205*2*база!$L$5*Таблица14[[#This Row],[коэф]]),
IF(OR(AND(G205="4/4",AM205&gt;0.5),AND(G205="3/4",AM205&gt;2)),(AM205*2*база!$I$5*Таблица14[[#This Row],[коэф]]),
IF(AND(G205="5/8",AM205&gt;0.5),(AM205*2*база!$J$6*Таблица14[[#This Row],[коэф]]),
IF(AND(G205="4/8",AM205&gt;0.5),(AM205*2*база!$J$5*Таблица14[[#This Row],[коэф]]),
IF(OR(AND(G205="3/8",AM205&gt;0.5),AND(G205="2/8",AM205&gt;0.5)),(AM205*2*база!$J$4*Таблица14[[#This Row],[коэф]]),
(AM205*2*база!$L$5*Таблица14[[#This Row],[коэф]])))))))))))</f>
        <v>0</v>
      </c>
      <c r="AO205" s="122" t="str">
        <f>IFERROR(INDEX(база!$D$2:$D$120, MATCH(Таблица14[[#This Row],[Ф. И. О.]],база!$B$2:$B$100,0)),"")</f>
        <v/>
      </c>
    </row>
    <row r="206" spans="1:41" s="46" customFormat="1">
      <c r="A206" s="207" t="str">
        <f t="shared" si="6"/>
        <v>январь</v>
      </c>
      <c r="B206" s="240">
        <v>2024</v>
      </c>
      <c r="C206" s="572"/>
      <c r="D206" s="214"/>
      <c r="E206" s="241"/>
      <c r="F206" s="713"/>
      <c r="G206" s="242"/>
      <c r="H206" s="215"/>
      <c r="I206" s="215"/>
      <c r="J206" s="215"/>
      <c r="K206" s="215"/>
      <c r="L206" s="215"/>
      <c r="M206" s="215"/>
      <c r="N206" s="215"/>
      <c r="O206" s="215"/>
      <c r="P206" s="215"/>
      <c r="Q206" s="215"/>
      <c r="R206" s="215"/>
      <c r="S206" s="215"/>
      <c r="T206" s="215"/>
      <c r="U206" s="215"/>
      <c r="V206" s="215"/>
      <c r="W206" s="215"/>
      <c r="X206" s="215"/>
      <c r="Y206" s="215"/>
      <c r="Z206" s="215"/>
      <c r="AA206" s="215"/>
      <c r="AB206" s="215"/>
      <c r="AC206" s="215"/>
      <c r="AD206" s="215"/>
      <c r="AE206" s="215"/>
      <c r="AF206" s="215"/>
      <c r="AG206" s="215"/>
      <c r="AH206" s="215"/>
      <c r="AI206" s="215"/>
      <c r="AJ206" s="215"/>
      <c r="AK206" s="215"/>
      <c r="AL206" s="215"/>
      <c r="AM206" s="121">
        <f t="shared" si="7"/>
        <v>0</v>
      </c>
      <c r="AN206" s="564">
        <f>IF(AO206&lt;=3,(IF(AND(G206="5/24",AM206&gt;0.5),(AM206*2*база!$M$6*Таблица14[[#This Row],[коэф]]),
IF(AND(G206="4/24",AM206&gt;0.5),(AM206*2*база!$M$5*Таблица14[[#This Row],[коэф]]),
IF(AND(G206="3/24",AM206&gt;0.5),(AM206*2*база!$M$4*Таблица14[[#This Row],[коэф]]),
IF(AND(G206="5/16",AM206&gt;0.5),(AM206*2*база!$L$6*Таблица14[[#This Row],[коэф]]),
IF(AND(G206="4/16",AM206&gt;0.5),(AM206*2*база!$L$5*Таблица14[[#This Row],[коэф]]),
IF(AND(G206="3/16",AM206&gt;0.5),(AM206*2*база!$L$4*Таблица14[[#This Row],[коэф]]),
IF(AND(G206="4/4",AM206&gt;0.5),(AM206*2*база!$I$5*Таблица14[[#This Row],[коэф]]),
IF(OR(AND(G206="3/4",AM206&gt;0.5),AND(G206="2/4",AM206&gt;0.5)),(AM206*2*база!$I$4*Таблица14[[#This Row],[коэф]]),
IF(AND(G206="5/8",AM206&gt;0.5),(AM206*2*база!$J$6*Таблица14[[#This Row],[коэф]]),
IF(AND(G206="4/8",AM206&gt;0.5),(AM206*2*база!$J$5*Таблица14[[#This Row],[коэф]]),
IF(OR(AND(G206="3/8",AM206&gt;0.5),AND(G206="2/8",AM206&gt;0.5)),(AM206*2*база!$J$4*Таблица14[[#This Row],[коэф]]),
(AM206*0.5*база!$L$4*Таблица14[[#This Row],[коэф]]))))))))))))),
(IF(AND(G206="5/24",AM206&gt;0.5),(AM206*2*база!$M$6*Таблица14[[#This Row],[коэф]]),
IF(OR(AND(G206="4/24",AM206&gt;0.5),AND(G206="3/24",AM206&gt;0.5)),(AM206*2*база!$M$5*Таблица14[[#This Row],[коэф]]),
IF(AND(G206="5/16",AM206&gt;0.5),(AM206*2*база!$L$6*Таблица14[[#This Row],[коэф]]),
IF(OR(AND(G206="4/16",AM206&gt;0.5),AND(G206="3/16",AM206&gt;0.5)),(AM206*2*база!$L$5*Таблица14[[#This Row],[коэф]]),
IF(OR(AND(G206="4/4",AM206&gt;0.5),AND(G206="3/4",AM206&gt;2)),(AM206*2*база!$I$5*Таблица14[[#This Row],[коэф]]),
IF(AND(G206="5/8",AM206&gt;0.5),(AM206*2*база!$J$6*Таблица14[[#This Row],[коэф]]),
IF(AND(G206="4/8",AM206&gt;0.5),(AM206*2*база!$J$5*Таблица14[[#This Row],[коэф]]),
IF(OR(AND(G206="3/8",AM206&gt;0.5),AND(G206="2/8",AM206&gt;0.5)),(AM206*2*база!$J$4*Таблица14[[#This Row],[коэф]]),
(AM206*2*база!$L$5*Таблица14[[#This Row],[коэф]])))))))))))</f>
        <v>0</v>
      </c>
      <c r="AO206" s="122" t="str">
        <f>IFERROR(INDEX(база!$D$2:$D$120, MATCH(Таблица14[[#This Row],[Ф. И. О.]],база!$B$2:$B$100,0)),"")</f>
        <v/>
      </c>
    </row>
    <row r="207" spans="1:41" s="46" customFormat="1">
      <c r="A207" s="207" t="str">
        <f t="shared" si="6"/>
        <v>январь</v>
      </c>
      <c r="B207" s="204">
        <v>2024</v>
      </c>
      <c r="C207" s="572"/>
      <c r="D207" s="214"/>
      <c r="E207" s="243"/>
      <c r="F207" s="713"/>
      <c r="G207" s="206"/>
      <c r="H207" s="215"/>
      <c r="I207" s="215"/>
      <c r="J207" s="215"/>
      <c r="K207" s="215"/>
      <c r="L207" s="215"/>
      <c r="M207" s="215"/>
      <c r="N207" s="215"/>
      <c r="O207" s="215"/>
      <c r="P207" s="215"/>
      <c r="Q207" s="215"/>
      <c r="R207" s="215"/>
      <c r="S207" s="215"/>
      <c r="T207" s="215"/>
      <c r="U207" s="215"/>
      <c r="V207" s="215"/>
      <c r="W207" s="215"/>
      <c r="X207" s="215"/>
      <c r="Y207" s="215"/>
      <c r="Z207" s="215"/>
      <c r="AA207" s="215"/>
      <c r="AB207" s="215"/>
      <c r="AC207" s="215"/>
      <c r="AD207" s="215"/>
      <c r="AE207" s="215"/>
      <c r="AF207" s="215"/>
      <c r="AG207" s="215"/>
      <c r="AH207" s="215"/>
      <c r="AI207" s="215"/>
      <c r="AJ207" s="215"/>
      <c r="AK207" s="215"/>
      <c r="AL207" s="215"/>
      <c r="AM207" s="121">
        <f t="shared" si="7"/>
        <v>0</v>
      </c>
      <c r="AN207" s="564">
        <f>IF(AO207&lt;=3,(IF(AND(G207="5/24",AM207&gt;0.5),(AM207*2*база!$M$6*Таблица14[[#This Row],[коэф]]),
IF(AND(G207="4/24",AM207&gt;0.5),(AM207*2*база!$M$5*Таблица14[[#This Row],[коэф]]),
IF(AND(G207="3/24",AM207&gt;0.5),(AM207*2*база!$M$4*Таблица14[[#This Row],[коэф]]),
IF(AND(G207="5/16",AM207&gt;0.5),(AM207*2*база!$L$6*Таблица14[[#This Row],[коэф]]),
IF(AND(G207="4/16",AM207&gt;0.5),(AM207*2*база!$L$5*Таблица14[[#This Row],[коэф]]),
IF(AND(G207="3/16",AM207&gt;0.5),(AM207*2*база!$L$4*Таблица14[[#This Row],[коэф]]),
IF(AND(G207="4/4",AM207&gt;0.5),(AM207*2*база!$I$5*Таблица14[[#This Row],[коэф]]),
IF(OR(AND(G207="3/4",AM207&gt;0.5),AND(G207="2/4",AM207&gt;0.5)),(AM207*2*база!$I$4*Таблица14[[#This Row],[коэф]]),
IF(AND(G207="5/8",AM207&gt;0.5),(AM207*2*база!$J$6*Таблица14[[#This Row],[коэф]]),
IF(AND(G207="4/8",AM207&gt;0.5),(AM207*2*база!$J$5*Таблица14[[#This Row],[коэф]]),
IF(OR(AND(G207="3/8",AM207&gt;0.5),AND(G207="2/8",AM207&gt;0.5)),(AM207*2*база!$J$4*Таблица14[[#This Row],[коэф]]),
(AM207*0.5*база!$L$4*Таблица14[[#This Row],[коэф]]))))))))))))),
(IF(AND(G207="5/24",AM207&gt;0.5),(AM207*2*база!$M$6*Таблица14[[#This Row],[коэф]]),
IF(OR(AND(G207="4/24",AM207&gt;0.5),AND(G207="3/24",AM207&gt;0.5)),(AM207*2*база!$M$5*Таблица14[[#This Row],[коэф]]),
IF(AND(G207="5/16",AM207&gt;0.5),(AM207*2*база!$L$6*Таблица14[[#This Row],[коэф]]),
IF(OR(AND(G207="4/16",AM207&gt;0.5),AND(G207="3/16",AM207&gt;0.5)),(AM207*2*база!$L$5*Таблица14[[#This Row],[коэф]]),
IF(OR(AND(G207="4/4",AM207&gt;0.5),AND(G207="3/4",AM207&gt;2)),(AM207*2*база!$I$5*Таблица14[[#This Row],[коэф]]),
IF(AND(G207="5/8",AM207&gt;0.5),(AM207*2*база!$J$6*Таблица14[[#This Row],[коэф]]),
IF(AND(G207="4/8",AM207&gt;0.5),(AM207*2*база!$J$5*Таблица14[[#This Row],[коэф]]),
IF(OR(AND(G207="3/8",AM207&gt;0.5),AND(G207="2/8",AM207&gt;0.5)),(AM207*2*база!$J$4*Таблица14[[#This Row],[коэф]]),
(AM207*2*база!$L$5*Таблица14[[#This Row],[коэф]])))))))))))</f>
        <v>0</v>
      </c>
      <c r="AO207" s="122" t="str">
        <f>IFERROR(INDEX(база!$D$2:$D$120, MATCH(Таблица14[[#This Row],[Ф. И. О.]],база!$B$2:$B$100,0)),"")</f>
        <v/>
      </c>
    </row>
    <row r="208" spans="1:41" s="46" customFormat="1">
      <c r="A208" s="207" t="str">
        <f t="shared" si="6"/>
        <v>январь</v>
      </c>
      <c r="B208" s="240">
        <v>2024</v>
      </c>
      <c r="C208" s="572"/>
      <c r="D208" s="214"/>
      <c r="E208" s="241"/>
      <c r="F208" s="713"/>
      <c r="G208" s="242"/>
      <c r="H208" s="215"/>
      <c r="I208" s="215"/>
      <c r="J208" s="215"/>
      <c r="K208" s="215"/>
      <c r="L208" s="215"/>
      <c r="M208" s="215"/>
      <c r="N208" s="215"/>
      <c r="O208" s="215"/>
      <c r="P208" s="215"/>
      <c r="Q208" s="215"/>
      <c r="R208" s="215"/>
      <c r="S208" s="215"/>
      <c r="T208" s="215"/>
      <c r="U208" s="215"/>
      <c r="V208" s="215"/>
      <c r="W208" s="215"/>
      <c r="X208" s="215"/>
      <c r="Y208" s="215"/>
      <c r="Z208" s="215"/>
      <c r="AA208" s="215"/>
      <c r="AB208" s="215"/>
      <c r="AC208" s="215"/>
      <c r="AD208" s="215"/>
      <c r="AE208" s="215"/>
      <c r="AF208" s="215"/>
      <c r="AG208" s="215"/>
      <c r="AH208" s="215"/>
      <c r="AI208" s="215"/>
      <c r="AJ208" s="215"/>
      <c r="AK208" s="215"/>
      <c r="AL208" s="215"/>
      <c r="AM208" s="121">
        <f t="shared" si="7"/>
        <v>0</v>
      </c>
      <c r="AN208" s="564">
        <f>IF(AO208&lt;=3,(IF(AND(G208="5/24",AM208&gt;0.5),(AM208*2*база!$M$6*Таблица14[[#This Row],[коэф]]),
IF(AND(G208="4/24",AM208&gt;0.5),(AM208*2*база!$M$5*Таблица14[[#This Row],[коэф]]),
IF(AND(G208="3/24",AM208&gt;0.5),(AM208*2*база!$M$4*Таблица14[[#This Row],[коэф]]),
IF(AND(G208="5/16",AM208&gt;0.5),(AM208*2*база!$L$6*Таблица14[[#This Row],[коэф]]),
IF(AND(G208="4/16",AM208&gt;0.5),(AM208*2*база!$L$5*Таблица14[[#This Row],[коэф]]),
IF(AND(G208="3/16",AM208&gt;0.5),(AM208*2*база!$L$4*Таблица14[[#This Row],[коэф]]),
IF(AND(G208="4/4",AM208&gt;0.5),(AM208*2*база!$I$5*Таблица14[[#This Row],[коэф]]),
IF(OR(AND(G208="3/4",AM208&gt;0.5),AND(G208="2/4",AM208&gt;0.5)),(AM208*2*база!$I$4*Таблица14[[#This Row],[коэф]]),
IF(AND(G208="5/8",AM208&gt;0.5),(AM208*2*база!$J$6*Таблица14[[#This Row],[коэф]]),
IF(AND(G208="4/8",AM208&gt;0.5),(AM208*2*база!$J$5*Таблица14[[#This Row],[коэф]]),
IF(OR(AND(G208="3/8",AM208&gt;0.5),AND(G208="2/8",AM208&gt;0.5)),(AM208*2*база!$J$4*Таблица14[[#This Row],[коэф]]),
(AM208*0.5*база!$L$4*Таблица14[[#This Row],[коэф]]))))))))))))),
(IF(AND(G208="5/24",AM208&gt;0.5),(AM208*2*база!$M$6*Таблица14[[#This Row],[коэф]]),
IF(OR(AND(G208="4/24",AM208&gt;0.5),AND(G208="3/24",AM208&gt;0.5)),(AM208*2*база!$M$5*Таблица14[[#This Row],[коэф]]),
IF(AND(G208="5/16",AM208&gt;0.5),(AM208*2*база!$L$6*Таблица14[[#This Row],[коэф]]),
IF(OR(AND(G208="4/16",AM208&gt;0.5),AND(G208="3/16",AM208&gt;0.5)),(AM208*2*база!$L$5*Таблица14[[#This Row],[коэф]]),
IF(OR(AND(G208="4/4",AM208&gt;0.5),AND(G208="3/4",AM208&gt;2)),(AM208*2*база!$I$5*Таблица14[[#This Row],[коэф]]),
IF(AND(G208="5/8",AM208&gt;0.5),(AM208*2*база!$J$6*Таблица14[[#This Row],[коэф]]),
IF(AND(G208="4/8",AM208&gt;0.5),(AM208*2*база!$J$5*Таблица14[[#This Row],[коэф]]),
IF(OR(AND(G208="3/8",AM208&gt;0.5),AND(G208="2/8",AM208&gt;0.5)),(AM208*2*база!$J$4*Таблица14[[#This Row],[коэф]]),
(AM208*2*база!$L$5*Таблица14[[#This Row],[коэф]])))))))))))</f>
        <v>0</v>
      </c>
      <c r="AO208" s="122" t="str">
        <f>IFERROR(INDEX(база!$D$2:$D$120, MATCH(Таблица14[[#This Row],[Ф. И. О.]],база!$B$2:$B$100,0)),"")</f>
        <v/>
      </c>
    </row>
    <row r="209" spans="1:41" s="46" customFormat="1">
      <c r="A209" s="207" t="str">
        <f t="shared" si="6"/>
        <v>январь</v>
      </c>
      <c r="B209" s="204">
        <v>2024</v>
      </c>
      <c r="C209" s="572"/>
      <c r="D209" s="214"/>
      <c r="E209" s="243"/>
      <c r="F209" s="713"/>
      <c r="G209" s="206"/>
      <c r="H209" s="215"/>
      <c r="I209" s="215"/>
      <c r="J209" s="215"/>
      <c r="K209" s="215"/>
      <c r="L209" s="215"/>
      <c r="M209" s="215"/>
      <c r="N209" s="215"/>
      <c r="O209" s="215"/>
      <c r="P209" s="215"/>
      <c r="Q209" s="215"/>
      <c r="R209" s="215"/>
      <c r="S209" s="215"/>
      <c r="T209" s="215"/>
      <c r="U209" s="215"/>
      <c r="V209" s="215"/>
      <c r="W209" s="215"/>
      <c r="X209" s="215"/>
      <c r="Y209" s="215"/>
      <c r="Z209" s="215"/>
      <c r="AA209" s="215"/>
      <c r="AB209" s="215"/>
      <c r="AC209" s="215"/>
      <c r="AD209" s="215"/>
      <c r="AE209" s="215"/>
      <c r="AF209" s="215"/>
      <c r="AG209" s="215"/>
      <c r="AH209" s="215"/>
      <c r="AI209" s="215"/>
      <c r="AJ209" s="215"/>
      <c r="AK209" s="215"/>
      <c r="AL209" s="215"/>
      <c r="AM209" s="121">
        <f t="shared" si="7"/>
        <v>0</v>
      </c>
      <c r="AN209" s="564">
        <f>IF(AO209&lt;=3,(IF(AND(G209="5/24",AM209&gt;0.5),(AM209*2*база!$M$6*Таблица14[[#This Row],[коэф]]),
IF(AND(G209="4/24",AM209&gt;0.5),(AM209*2*база!$M$5*Таблица14[[#This Row],[коэф]]),
IF(AND(G209="3/24",AM209&gt;0.5),(AM209*2*база!$M$4*Таблица14[[#This Row],[коэф]]),
IF(AND(G209="5/16",AM209&gt;0.5),(AM209*2*база!$L$6*Таблица14[[#This Row],[коэф]]),
IF(AND(G209="4/16",AM209&gt;0.5),(AM209*2*база!$L$5*Таблица14[[#This Row],[коэф]]),
IF(AND(G209="3/16",AM209&gt;0.5),(AM209*2*база!$L$4*Таблица14[[#This Row],[коэф]]),
IF(AND(G209="4/4",AM209&gt;0.5),(AM209*2*база!$I$5*Таблица14[[#This Row],[коэф]]),
IF(OR(AND(G209="3/4",AM209&gt;0.5),AND(G209="2/4",AM209&gt;0.5)),(AM209*2*база!$I$4*Таблица14[[#This Row],[коэф]]),
IF(AND(G209="5/8",AM209&gt;0.5),(AM209*2*база!$J$6*Таблица14[[#This Row],[коэф]]),
IF(AND(G209="4/8",AM209&gt;0.5),(AM209*2*база!$J$5*Таблица14[[#This Row],[коэф]]),
IF(OR(AND(G209="3/8",AM209&gt;0.5),AND(G209="2/8",AM209&gt;0.5)),(AM209*2*база!$J$4*Таблица14[[#This Row],[коэф]]),
(AM209*0.5*база!$L$4*Таблица14[[#This Row],[коэф]]))))))))))))),
(IF(AND(G209="5/24",AM209&gt;0.5),(AM209*2*база!$M$6*Таблица14[[#This Row],[коэф]]),
IF(OR(AND(G209="4/24",AM209&gt;0.5),AND(G209="3/24",AM209&gt;0.5)),(AM209*2*база!$M$5*Таблица14[[#This Row],[коэф]]),
IF(AND(G209="5/16",AM209&gt;0.5),(AM209*2*база!$L$6*Таблица14[[#This Row],[коэф]]),
IF(OR(AND(G209="4/16",AM209&gt;0.5),AND(G209="3/16",AM209&gt;0.5)),(AM209*2*база!$L$5*Таблица14[[#This Row],[коэф]]),
IF(OR(AND(G209="4/4",AM209&gt;0.5),AND(G209="3/4",AM209&gt;2)),(AM209*2*база!$I$5*Таблица14[[#This Row],[коэф]]),
IF(AND(G209="5/8",AM209&gt;0.5),(AM209*2*база!$J$6*Таблица14[[#This Row],[коэф]]),
IF(AND(G209="4/8",AM209&gt;0.5),(AM209*2*база!$J$5*Таблица14[[#This Row],[коэф]]),
IF(OR(AND(G209="3/8",AM209&gt;0.5),AND(G209="2/8",AM209&gt;0.5)),(AM209*2*база!$J$4*Таблица14[[#This Row],[коэф]]),
(AM209*2*база!$L$5*Таблица14[[#This Row],[коэф]])))))))))))</f>
        <v>0</v>
      </c>
      <c r="AO209" s="122" t="str">
        <f>IFERROR(INDEX(база!$D$2:$D$120, MATCH(Таблица14[[#This Row],[Ф. И. О.]],база!$B$2:$B$100,0)),"")</f>
        <v/>
      </c>
    </row>
    <row r="210" spans="1:41" s="46" customFormat="1">
      <c r="A210" s="207" t="str">
        <f t="shared" si="6"/>
        <v>январь</v>
      </c>
      <c r="B210" s="240">
        <v>2024</v>
      </c>
      <c r="C210" s="572"/>
      <c r="D210" s="214"/>
      <c r="E210" s="241"/>
      <c r="F210" s="713"/>
      <c r="G210" s="242"/>
      <c r="H210" s="215"/>
      <c r="I210" s="215"/>
      <c r="J210" s="215"/>
      <c r="K210" s="215"/>
      <c r="L210" s="215"/>
      <c r="M210" s="215"/>
      <c r="N210" s="215"/>
      <c r="O210" s="215"/>
      <c r="P210" s="215"/>
      <c r="Q210" s="215"/>
      <c r="R210" s="215"/>
      <c r="S210" s="215"/>
      <c r="T210" s="215"/>
      <c r="U210" s="215"/>
      <c r="V210" s="215"/>
      <c r="W210" s="215"/>
      <c r="X210" s="215"/>
      <c r="Y210" s="215"/>
      <c r="Z210" s="215"/>
      <c r="AA210" s="215"/>
      <c r="AB210" s="215"/>
      <c r="AC210" s="215"/>
      <c r="AD210" s="215"/>
      <c r="AE210" s="215"/>
      <c r="AF210" s="215"/>
      <c r="AG210" s="215"/>
      <c r="AH210" s="215"/>
      <c r="AI210" s="215"/>
      <c r="AJ210" s="215"/>
      <c r="AK210" s="215"/>
      <c r="AL210" s="215"/>
      <c r="AM210" s="121">
        <f t="shared" si="7"/>
        <v>0</v>
      </c>
      <c r="AN210" s="564">
        <f>IF(AO210&lt;=3,(IF(AND(G210="5/24",AM210&gt;0.5),(AM210*2*база!$M$6*Таблица14[[#This Row],[коэф]]),
IF(AND(G210="4/24",AM210&gt;0.5),(AM210*2*база!$M$5*Таблица14[[#This Row],[коэф]]),
IF(AND(G210="3/24",AM210&gt;0.5),(AM210*2*база!$M$4*Таблица14[[#This Row],[коэф]]),
IF(AND(G210="5/16",AM210&gt;0.5),(AM210*2*база!$L$6*Таблица14[[#This Row],[коэф]]),
IF(AND(G210="4/16",AM210&gt;0.5),(AM210*2*база!$L$5*Таблица14[[#This Row],[коэф]]),
IF(AND(G210="3/16",AM210&gt;0.5),(AM210*2*база!$L$4*Таблица14[[#This Row],[коэф]]),
IF(AND(G210="4/4",AM210&gt;0.5),(AM210*2*база!$I$5*Таблица14[[#This Row],[коэф]]),
IF(OR(AND(G210="3/4",AM210&gt;0.5),AND(G210="2/4",AM210&gt;0.5)),(AM210*2*база!$I$4*Таблица14[[#This Row],[коэф]]),
IF(AND(G210="5/8",AM210&gt;0.5),(AM210*2*база!$J$6*Таблица14[[#This Row],[коэф]]),
IF(AND(G210="4/8",AM210&gt;0.5),(AM210*2*база!$J$5*Таблица14[[#This Row],[коэф]]),
IF(OR(AND(G210="3/8",AM210&gt;0.5),AND(G210="2/8",AM210&gt;0.5)),(AM210*2*база!$J$4*Таблица14[[#This Row],[коэф]]),
(AM210*0.5*база!$L$4*Таблица14[[#This Row],[коэф]]))))))))))))),
(IF(AND(G210="5/24",AM210&gt;0.5),(AM210*2*база!$M$6*Таблица14[[#This Row],[коэф]]),
IF(OR(AND(G210="4/24",AM210&gt;0.5),AND(G210="3/24",AM210&gt;0.5)),(AM210*2*база!$M$5*Таблица14[[#This Row],[коэф]]),
IF(AND(G210="5/16",AM210&gt;0.5),(AM210*2*база!$L$6*Таблица14[[#This Row],[коэф]]),
IF(OR(AND(G210="4/16",AM210&gt;0.5),AND(G210="3/16",AM210&gt;0.5)),(AM210*2*база!$L$5*Таблица14[[#This Row],[коэф]]),
IF(OR(AND(G210="4/4",AM210&gt;0.5),AND(G210="3/4",AM210&gt;2)),(AM210*2*база!$I$5*Таблица14[[#This Row],[коэф]]),
IF(AND(G210="5/8",AM210&gt;0.5),(AM210*2*база!$J$6*Таблица14[[#This Row],[коэф]]),
IF(AND(G210="4/8",AM210&gt;0.5),(AM210*2*база!$J$5*Таблица14[[#This Row],[коэф]]),
IF(OR(AND(G210="3/8",AM210&gt;0.5),AND(G210="2/8",AM210&gt;0.5)),(AM210*2*база!$J$4*Таблица14[[#This Row],[коэф]]),
(AM210*2*база!$L$5*Таблица14[[#This Row],[коэф]])))))))))))</f>
        <v>0</v>
      </c>
      <c r="AO210" s="122" t="str">
        <f>IFERROR(INDEX(база!$D$2:$D$120, MATCH(Таблица14[[#This Row],[Ф. И. О.]],база!$B$2:$B$100,0)),"")</f>
        <v/>
      </c>
    </row>
    <row r="211" spans="1:41" s="46" customFormat="1">
      <c r="A211" s="207" t="str">
        <f t="shared" si="6"/>
        <v>январь</v>
      </c>
      <c r="B211" s="204">
        <v>2024</v>
      </c>
      <c r="C211" s="572"/>
      <c r="D211" s="214"/>
      <c r="E211" s="243"/>
      <c r="F211" s="713"/>
      <c r="G211" s="206"/>
      <c r="H211" s="215"/>
      <c r="I211" s="215"/>
      <c r="J211" s="215"/>
      <c r="K211" s="215"/>
      <c r="L211" s="215"/>
      <c r="M211" s="215"/>
      <c r="N211" s="215"/>
      <c r="O211" s="215"/>
      <c r="P211" s="215"/>
      <c r="Q211" s="215"/>
      <c r="R211" s="215"/>
      <c r="S211" s="215"/>
      <c r="T211" s="215"/>
      <c r="U211" s="215"/>
      <c r="V211" s="215"/>
      <c r="W211" s="215"/>
      <c r="X211" s="215"/>
      <c r="Y211" s="215"/>
      <c r="Z211" s="215"/>
      <c r="AA211" s="215"/>
      <c r="AB211" s="215"/>
      <c r="AC211" s="215"/>
      <c r="AD211" s="215"/>
      <c r="AE211" s="215"/>
      <c r="AF211" s="215"/>
      <c r="AG211" s="215"/>
      <c r="AH211" s="215"/>
      <c r="AI211" s="215"/>
      <c r="AJ211" s="215"/>
      <c r="AK211" s="215"/>
      <c r="AL211" s="215"/>
      <c r="AM211" s="121">
        <f t="shared" si="7"/>
        <v>0</v>
      </c>
      <c r="AN211" s="564">
        <f>IF(AO211&lt;=3,(IF(AND(G211="5/24",AM211&gt;0.5),(AM211*2*база!$M$6*Таблица14[[#This Row],[коэф]]),
IF(AND(G211="4/24",AM211&gt;0.5),(AM211*2*база!$M$5*Таблица14[[#This Row],[коэф]]),
IF(AND(G211="3/24",AM211&gt;0.5),(AM211*2*база!$M$4*Таблица14[[#This Row],[коэф]]),
IF(AND(G211="5/16",AM211&gt;0.5),(AM211*2*база!$L$6*Таблица14[[#This Row],[коэф]]),
IF(AND(G211="4/16",AM211&gt;0.5),(AM211*2*база!$L$5*Таблица14[[#This Row],[коэф]]),
IF(AND(G211="3/16",AM211&gt;0.5),(AM211*2*база!$L$4*Таблица14[[#This Row],[коэф]]),
IF(AND(G211="4/4",AM211&gt;0.5),(AM211*2*база!$I$5*Таблица14[[#This Row],[коэф]]),
IF(OR(AND(G211="3/4",AM211&gt;0.5),AND(G211="2/4",AM211&gt;0.5)),(AM211*2*база!$I$4*Таблица14[[#This Row],[коэф]]),
IF(AND(G211="5/8",AM211&gt;0.5),(AM211*2*база!$J$6*Таблица14[[#This Row],[коэф]]),
IF(AND(G211="4/8",AM211&gt;0.5),(AM211*2*база!$J$5*Таблица14[[#This Row],[коэф]]),
IF(OR(AND(G211="3/8",AM211&gt;0.5),AND(G211="2/8",AM211&gt;0.5)),(AM211*2*база!$J$4*Таблица14[[#This Row],[коэф]]),
(AM211*0.5*база!$L$4*Таблица14[[#This Row],[коэф]]))))))))))))),
(IF(AND(G211="5/24",AM211&gt;0.5),(AM211*2*база!$M$6*Таблица14[[#This Row],[коэф]]),
IF(OR(AND(G211="4/24",AM211&gt;0.5),AND(G211="3/24",AM211&gt;0.5)),(AM211*2*база!$M$5*Таблица14[[#This Row],[коэф]]),
IF(AND(G211="5/16",AM211&gt;0.5),(AM211*2*база!$L$6*Таблица14[[#This Row],[коэф]]),
IF(OR(AND(G211="4/16",AM211&gt;0.5),AND(G211="3/16",AM211&gt;0.5)),(AM211*2*база!$L$5*Таблица14[[#This Row],[коэф]]),
IF(OR(AND(G211="4/4",AM211&gt;0.5),AND(G211="3/4",AM211&gt;2)),(AM211*2*база!$I$5*Таблица14[[#This Row],[коэф]]),
IF(AND(G211="5/8",AM211&gt;0.5),(AM211*2*база!$J$6*Таблица14[[#This Row],[коэф]]),
IF(AND(G211="4/8",AM211&gt;0.5),(AM211*2*база!$J$5*Таблица14[[#This Row],[коэф]]),
IF(OR(AND(G211="3/8",AM211&gt;0.5),AND(G211="2/8",AM211&gt;0.5)),(AM211*2*база!$J$4*Таблица14[[#This Row],[коэф]]),
(AM211*2*база!$L$5*Таблица14[[#This Row],[коэф]])))))))))))</f>
        <v>0</v>
      </c>
      <c r="AO211" s="122" t="str">
        <f>IFERROR(INDEX(база!$D$2:$D$120, MATCH(Таблица14[[#This Row],[Ф. И. О.]],база!$B$2:$B$100,0)),"")</f>
        <v/>
      </c>
    </row>
    <row r="212" spans="1:41" s="46" customFormat="1">
      <c r="A212" s="207" t="str">
        <f t="shared" si="6"/>
        <v>январь</v>
      </c>
      <c r="B212" s="240">
        <v>2024</v>
      </c>
      <c r="C212" s="572"/>
      <c r="D212" s="214"/>
      <c r="E212" s="241"/>
      <c r="F212" s="713"/>
      <c r="G212" s="242"/>
      <c r="H212" s="215"/>
      <c r="I212" s="215"/>
      <c r="J212" s="215"/>
      <c r="K212" s="215"/>
      <c r="L212" s="215"/>
      <c r="M212" s="215"/>
      <c r="N212" s="215"/>
      <c r="O212" s="215"/>
      <c r="P212" s="215"/>
      <c r="Q212" s="215"/>
      <c r="R212" s="215"/>
      <c r="S212" s="215"/>
      <c r="T212" s="215"/>
      <c r="U212" s="215"/>
      <c r="V212" s="215"/>
      <c r="W212" s="215"/>
      <c r="X212" s="215"/>
      <c r="Y212" s="215"/>
      <c r="Z212" s="215"/>
      <c r="AA212" s="215"/>
      <c r="AB212" s="215"/>
      <c r="AC212" s="215"/>
      <c r="AD212" s="215"/>
      <c r="AE212" s="215"/>
      <c r="AF212" s="215"/>
      <c r="AG212" s="215"/>
      <c r="AH212" s="215"/>
      <c r="AI212" s="215"/>
      <c r="AJ212" s="215"/>
      <c r="AK212" s="215"/>
      <c r="AL212" s="215"/>
      <c r="AM212" s="121">
        <f t="shared" si="7"/>
        <v>0</v>
      </c>
      <c r="AN212" s="564">
        <f>IF(AO212&lt;=3,(IF(AND(G212="5/24",AM212&gt;0.5),(AM212*2*база!$M$6*Таблица14[[#This Row],[коэф]]),
IF(AND(G212="4/24",AM212&gt;0.5),(AM212*2*база!$M$5*Таблица14[[#This Row],[коэф]]),
IF(AND(G212="3/24",AM212&gt;0.5),(AM212*2*база!$M$4*Таблица14[[#This Row],[коэф]]),
IF(AND(G212="5/16",AM212&gt;0.5),(AM212*2*база!$L$6*Таблица14[[#This Row],[коэф]]),
IF(AND(G212="4/16",AM212&gt;0.5),(AM212*2*база!$L$5*Таблица14[[#This Row],[коэф]]),
IF(AND(G212="3/16",AM212&gt;0.5),(AM212*2*база!$L$4*Таблица14[[#This Row],[коэф]]),
IF(AND(G212="4/4",AM212&gt;0.5),(AM212*2*база!$I$5*Таблица14[[#This Row],[коэф]]),
IF(OR(AND(G212="3/4",AM212&gt;0.5),AND(G212="2/4",AM212&gt;0.5)),(AM212*2*база!$I$4*Таблица14[[#This Row],[коэф]]),
IF(AND(G212="5/8",AM212&gt;0.5),(AM212*2*база!$J$6*Таблица14[[#This Row],[коэф]]),
IF(AND(G212="4/8",AM212&gt;0.5),(AM212*2*база!$J$5*Таблица14[[#This Row],[коэф]]),
IF(OR(AND(G212="3/8",AM212&gt;0.5),AND(G212="2/8",AM212&gt;0.5)),(AM212*2*база!$J$4*Таблица14[[#This Row],[коэф]]),
(AM212*0.5*база!$L$4*Таблица14[[#This Row],[коэф]]))))))))))))),
(IF(AND(G212="5/24",AM212&gt;0.5),(AM212*2*база!$M$6*Таблица14[[#This Row],[коэф]]),
IF(OR(AND(G212="4/24",AM212&gt;0.5),AND(G212="3/24",AM212&gt;0.5)),(AM212*2*база!$M$5*Таблица14[[#This Row],[коэф]]),
IF(AND(G212="5/16",AM212&gt;0.5),(AM212*2*база!$L$6*Таблица14[[#This Row],[коэф]]),
IF(OR(AND(G212="4/16",AM212&gt;0.5),AND(G212="3/16",AM212&gt;0.5)),(AM212*2*база!$L$5*Таблица14[[#This Row],[коэф]]),
IF(OR(AND(G212="4/4",AM212&gt;0.5),AND(G212="3/4",AM212&gt;2)),(AM212*2*база!$I$5*Таблица14[[#This Row],[коэф]]),
IF(AND(G212="5/8",AM212&gt;0.5),(AM212*2*база!$J$6*Таблица14[[#This Row],[коэф]]),
IF(AND(G212="4/8",AM212&gt;0.5),(AM212*2*база!$J$5*Таблица14[[#This Row],[коэф]]),
IF(OR(AND(G212="3/8",AM212&gt;0.5),AND(G212="2/8",AM212&gt;0.5)),(AM212*2*база!$J$4*Таблица14[[#This Row],[коэф]]),
(AM212*2*база!$L$5*Таблица14[[#This Row],[коэф]])))))))))))</f>
        <v>0</v>
      </c>
      <c r="AO212" s="122" t="str">
        <f>IFERROR(INDEX(база!$D$2:$D$120, MATCH(Таблица14[[#This Row],[Ф. И. О.]],база!$B$2:$B$100,0)),"")</f>
        <v/>
      </c>
    </row>
    <row r="213" spans="1:41" s="46" customFormat="1">
      <c r="A213" s="207" t="str">
        <f t="shared" si="6"/>
        <v>январь</v>
      </c>
      <c r="B213" s="204">
        <v>2024</v>
      </c>
      <c r="C213" s="572"/>
      <c r="D213" s="214"/>
      <c r="E213" s="243"/>
      <c r="F213" s="713"/>
      <c r="G213" s="206"/>
      <c r="H213" s="215"/>
      <c r="I213" s="215"/>
      <c r="J213" s="215"/>
      <c r="K213" s="215"/>
      <c r="L213" s="215"/>
      <c r="M213" s="215"/>
      <c r="N213" s="215"/>
      <c r="O213" s="215"/>
      <c r="P213" s="215"/>
      <c r="Q213" s="215"/>
      <c r="R213" s="215"/>
      <c r="S213" s="215"/>
      <c r="T213" s="215"/>
      <c r="U213" s="215"/>
      <c r="V213" s="215"/>
      <c r="W213" s="215"/>
      <c r="X213" s="215"/>
      <c r="Y213" s="215"/>
      <c r="Z213" s="215"/>
      <c r="AA213" s="215"/>
      <c r="AB213" s="215"/>
      <c r="AC213" s="215"/>
      <c r="AD213" s="215"/>
      <c r="AE213" s="215"/>
      <c r="AF213" s="215"/>
      <c r="AG213" s="215"/>
      <c r="AH213" s="215"/>
      <c r="AI213" s="215"/>
      <c r="AJ213" s="215"/>
      <c r="AK213" s="215"/>
      <c r="AL213" s="215"/>
      <c r="AM213" s="121">
        <f t="shared" si="7"/>
        <v>0</v>
      </c>
      <c r="AN213" s="564">
        <f>IF(AO213&lt;=3,(IF(AND(G213="5/24",AM213&gt;0.5),(AM213*2*база!$M$6*Таблица14[[#This Row],[коэф]]),
IF(AND(G213="4/24",AM213&gt;0.5),(AM213*2*база!$M$5*Таблица14[[#This Row],[коэф]]),
IF(AND(G213="3/24",AM213&gt;0.5),(AM213*2*база!$M$4*Таблица14[[#This Row],[коэф]]),
IF(AND(G213="5/16",AM213&gt;0.5),(AM213*2*база!$L$6*Таблица14[[#This Row],[коэф]]),
IF(AND(G213="4/16",AM213&gt;0.5),(AM213*2*база!$L$5*Таблица14[[#This Row],[коэф]]),
IF(AND(G213="3/16",AM213&gt;0.5),(AM213*2*база!$L$4*Таблица14[[#This Row],[коэф]]),
IF(AND(G213="4/4",AM213&gt;0.5),(AM213*2*база!$I$5*Таблица14[[#This Row],[коэф]]),
IF(OR(AND(G213="3/4",AM213&gt;0.5),AND(G213="2/4",AM213&gt;0.5)),(AM213*2*база!$I$4*Таблица14[[#This Row],[коэф]]),
IF(AND(G213="5/8",AM213&gt;0.5),(AM213*2*база!$J$6*Таблица14[[#This Row],[коэф]]),
IF(AND(G213="4/8",AM213&gt;0.5),(AM213*2*база!$J$5*Таблица14[[#This Row],[коэф]]),
IF(OR(AND(G213="3/8",AM213&gt;0.5),AND(G213="2/8",AM213&gt;0.5)),(AM213*2*база!$J$4*Таблица14[[#This Row],[коэф]]),
(AM213*0.5*база!$L$4*Таблица14[[#This Row],[коэф]]))))))))))))),
(IF(AND(G213="5/24",AM213&gt;0.5),(AM213*2*база!$M$6*Таблица14[[#This Row],[коэф]]),
IF(OR(AND(G213="4/24",AM213&gt;0.5),AND(G213="3/24",AM213&gt;0.5)),(AM213*2*база!$M$5*Таблица14[[#This Row],[коэф]]),
IF(AND(G213="5/16",AM213&gt;0.5),(AM213*2*база!$L$6*Таблица14[[#This Row],[коэф]]),
IF(OR(AND(G213="4/16",AM213&gt;0.5),AND(G213="3/16",AM213&gt;0.5)),(AM213*2*база!$L$5*Таблица14[[#This Row],[коэф]]),
IF(OR(AND(G213="4/4",AM213&gt;0.5),AND(G213="3/4",AM213&gt;2)),(AM213*2*база!$I$5*Таблица14[[#This Row],[коэф]]),
IF(AND(G213="5/8",AM213&gt;0.5),(AM213*2*база!$J$6*Таблица14[[#This Row],[коэф]]),
IF(AND(G213="4/8",AM213&gt;0.5),(AM213*2*база!$J$5*Таблица14[[#This Row],[коэф]]),
IF(OR(AND(G213="3/8",AM213&gt;0.5),AND(G213="2/8",AM213&gt;0.5)),(AM213*2*база!$J$4*Таблица14[[#This Row],[коэф]]),
(AM213*2*база!$L$5*Таблица14[[#This Row],[коэф]])))))))))))</f>
        <v>0</v>
      </c>
      <c r="AO213" s="122" t="str">
        <f>IFERROR(INDEX(база!$D$2:$D$120, MATCH(Таблица14[[#This Row],[Ф. И. О.]],база!$B$2:$B$100,0)),"")</f>
        <v/>
      </c>
    </row>
    <row r="214" spans="1:41" s="46" customFormat="1">
      <c r="A214" s="207" t="str">
        <f t="shared" si="6"/>
        <v>январь</v>
      </c>
      <c r="B214" s="240">
        <v>2024</v>
      </c>
      <c r="C214" s="572"/>
      <c r="D214" s="214"/>
      <c r="E214" s="241"/>
      <c r="F214" s="713"/>
      <c r="G214" s="242"/>
      <c r="H214" s="215"/>
      <c r="I214" s="215"/>
      <c r="J214" s="215"/>
      <c r="K214" s="215"/>
      <c r="L214" s="215"/>
      <c r="M214" s="215"/>
      <c r="N214" s="215"/>
      <c r="O214" s="215"/>
      <c r="P214" s="215"/>
      <c r="Q214" s="215"/>
      <c r="R214" s="215"/>
      <c r="S214" s="215"/>
      <c r="T214" s="215"/>
      <c r="U214" s="215"/>
      <c r="V214" s="215"/>
      <c r="W214" s="215"/>
      <c r="X214" s="215"/>
      <c r="Y214" s="215"/>
      <c r="Z214" s="215"/>
      <c r="AA214" s="215"/>
      <c r="AB214" s="215"/>
      <c r="AC214" s="215"/>
      <c r="AD214" s="215"/>
      <c r="AE214" s="215"/>
      <c r="AF214" s="215"/>
      <c r="AG214" s="215"/>
      <c r="AH214" s="215"/>
      <c r="AI214" s="215"/>
      <c r="AJ214" s="215"/>
      <c r="AK214" s="215"/>
      <c r="AL214" s="215"/>
      <c r="AM214" s="121">
        <f t="shared" si="7"/>
        <v>0</v>
      </c>
      <c r="AN214" s="564">
        <f>IF(AO214&lt;=3,(IF(AND(G214="5/24",AM214&gt;0.5),(AM214*2*база!$M$6*Таблица14[[#This Row],[коэф]]),
IF(AND(G214="4/24",AM214&gt;0.5),(AM214*2*база!$M$5*Таблица14[[#This Row],[коэф]]),
IF(AND(G214="3/24",AM214&gt;0.5),(AM214*2*база!$M$4*Таблица14[[#This Row],[коэф]]),
IF(AND(G214="5/16",AM214&gt;0.5),(AM214*2*база!$L$6*Таблица14[[#This Row],[коэф]]),
IF(AND(G214="4/16",AM214&gt;0.5),(AM214*2*база!$L$5*Таблица14[[#This Row],[коэф]]),
IF(AND(G214="3/16",AM214&gt;0.5),(AM214*2*база!$L$4*Таблица14[[#This Row],[коэф]]),
IF(AND(G214="4/4",AM214&gt;0.5),(AM214*2*база!$I$5*Таблица14[[#This Row],[коэф]]),
IF(OR(AND(G214="3/4",AM214&gt;0.5),AND(G214="2/4",AM214&gt;0.5)),(AM214*2*база!$I$4*Таблица14[[#This Row],[коэф]]),
IF(AND(G214="5/8",AM214&gt;0.5),(AM214*2*база!$J$6*Таблица14[[#This Row],[коэф]]),
IF(AND(G214="4/8",AM214&gt;0.5),(AM214*2*база!$J$5*Таблица14[[#This Row],[коэф]]),
IF(OR(AND(G214="3/8",AM214&gt;0.5),AND(G214="2/8",AM214&gt;0.5)),(AM214*2*база!$J$4*Таблица14[[#This Row],[коэф]]),
(AM214*0.5*база!$L$4*Таблица14[[#This Row],[коэф]]))))))))))))),
(IF(AND(G214="5/24",AM214&gt;0.5),(AM214*2*база!$M$6*Таблица14[[#This Row],[коэф]]),
IF(OR(AND(G214="4/24",AM214&gt;0.5),AND(G214="3/24",AM214&gt;0.5)),(AM214*2*база!$M$5*Таблица14[[#This Row],[коэф]]),
IF(AND(G214="5/16",AM214&gt;0.5),(AM214*2*база!$L$6*Таблица14[[#This Row],[коэф]]),
IF(OR(AND(G214="4/16",AM214&gt;0.5),AND(G214="3/16",AM214&gt;0.5)),(AM214*2*база!$L$5*Таблица14[[#This Row],[коэф]]),
IF(OR(AND(G214="4/4",AM214&gt;0.5),AND(G214="3/4",AM214&gt;2)),(AM214*2*база!$I$5*Таблица14[[#This Row],[коэф]]),
IF(AND(G214="5/8",AM214&gt;0.5),(AM214*2*база!$J$6*Таблица14[[#This Row],[коэф]]),
IF(AND(G214="4/8",AM214&gt;0.5),(AM214*2*база!$J$5*Таблица14[[#This Row],[коэф]]),
IF(OR(AND(G214="3/8",AM214&gt;0.5),AND(G214="2/8",AM214&gt;0.5)),(AM214*2*база!$J$4*Таблица14[[#This Row],[коэф]]),
(AM214*2*база!$L$5*Таблица14[[#This Row],[коэф]])))))))))))</f>
        <v>0</v>
      </c>
      <c r="AO214" s="122" t="str">
        <f>IFERROR(INDEX(база!$D$2:$D$120, MATCH(Таблица14[[#This Row],[Ф. И. О.]],база!$B$2:$B$100,0)),"")</f>
        <v/>
      </c>
    </row>
    <row r="215" spans="1:41" s="46" customFormat="1">
      <c r="A215" s="207" t="str">
        <f t="shared" si="6"/>
        <v>январь</v>
      </c>
      <c r="B215" s="204">
        <v>2024</v>
      </c>
      <c r="C215" s="572"/>
      <c r="D215" s="214"/>
      <c r="E215" s="243"/>
      <c r="F215" s="713"/>
      <c r="G215" s="206"/>
      <c r="H215" s="215"/>
      <c r="I215" s="215"/>
      <c r="J215" s="215"/>
      <c r="K215" s="215"/>
      <c r="L215" s="215"/>
      <c r="M215" s="215"/>
      <c r="N215" s="215"/>
      <c r="O215" s="215"/>
      <c r="P215" s="215"/>
      <c r="Q215" s="215"/>
      <c r="R215" s="215"/>
      <c r="S215" s="215"/>
      <c r="T215" s="215"/>
      <c r="U215" s="215"/>
      <c r="V215" s="215"/>
      <c r="W215" s="215"/>
      <c r="X215" s="215"/>
      <c r="Y215" s="215"/>
      <c r="Z215" s="215"/>
      <c r="AA215" s="215"/>
      <c r="AB215" s="215"/>
      <c r="AC215" s="215"/>
      <c r="AD215" s="215"/>
      <c r="AE215" s="215"/>
      <c r="AF215" s="215"/>
      <c r="AG215" s="215"/>
      <c r="AH215" s="215"/>
      <c r="AI215" s="215"/>
      <c r="AJ215" s="215"/>
      <c r="AK215" s="215"/>
      <c r="AL215" s="215"/>
      <c r="AM215" s="121">
        <f t="shared" si="7"/>
        <v>0</v>
      </c>
      <c r="AN215" s="564">
        <f>IF(AO215&lt;=3,(IF(AND(G215="5/24",AM215&gt;0.5),(AM215*2*база!$M$6*Таблица14[[#This Row],[коэф]]),
IF(AND(G215="4/24",AM215&gt;0.5),(AM215*2*база!$M$5*Таблица14[[#This Row],[коэф]]),
IF(AND(G215="3/24",AM215&gt;0.5),(AM215*2*база!$M$4*Таблица14[[#This Row],[коэф]]),
IF(AND(G215="5/16",AM215&gt;0.5),(AM215*2*база!$L$6*Таблица14[[#This Row],[коэф]]),
IF(AND(G215="4/16",AM215&gt;0.5),(AM215*2*база!$L$5*Таблица14[[#This Row],[коэф]]),
IF(AND(G215="3/16",AM215&gt;0.5),(AM215*2*база!$L$4*Таблица14[[#This Row],[коэф]]),
IF(AND(G215="4/4",AM215&gt;0.5),(AM215*2*база!$I$5*Таблица14[[#This Row],[коэф]]),
IF(OR(AND(G215="3/4",AM215&gt;0.5),AND(G215="2/4",AM215&gt;0.5)),(AM215*2*база!$I$4*Таблица14[[#This Row],[коэф]]),
IF(AND(G215="5/8",AM215&gt;0.5),(AM215*2*база!$J$6*Таблица14[[#This Row],[коэф]]),
IF(AND(G215="4/8",AM215&gt;0.5),(AM215*2*база!$J$5*Таблица14[[#This Row],[коэф]]),
IF(OR(AND(G215="3/8",AM215&gt;0.5),AND(G215="2/8",AM215&gt;0.5)),(AM215*2*база!$J$4*Таблица14[[#This Row],[коэф]]),
(AM215*0.5*база!$L$4*Таблица14[[#This Row],[коэф]]))))))))))))),
(IF(AND(G215="5/24",AM215&gt;0.5),(AM215*2*база!$M$6*Таблица14[[#This Row],[коэф]]),
IF(OR(AND(G215="4/24",AM215&gt;0.5),AND(G215="3/24",AM215&gt;0.5)),(AM215*2*база!$M$5*Таблица14[[#This Row],[коэф]]),
IF(AND(G215="5/16",AM215&gt;0.5),(AM215*2*база!$L$6*Таблица14[[#This Row],[коэф]]),
IF(OR(AND(G215="4/16",AM215&gt;0.5),AND(G215="3/16",AM215&gt;0.5)),(AM215*2*база!$L$5*Таблица14[[#This Row],[коэф]]),
IF(OR(AND(G215="4/4",AM215&gt;0.5),AND(G215="3/4",AM215&gt;2)),(AM215*2*база!$I$5*Таблица14[[#This Row],[коэф]]),
IF(AND(G215="5/8",AM215&gt;0.5),(AM215*2*база!$J$6*Таблица14[[#This Row],[коэф]]),
IF(AND(G215="4/8",AM215&gt;0.5),(AM215*2*база!$J$5*Таблица14[[#This Row],[коэф]]),
IF(OR(AND(G215="3/8",AM215&gt;0.5),AND(G215="2/8",AM215&gt;0.5)),(AM215*2*база!$J$4*Таблица14[[#This Row],[коэф]]),
(AM215*2*база!$L$5*Таблица14[[#This Row],[коэф]])))))))))))</f>
        <v>0</v>
      </c>
      <c r="AO215" s="122" t="str">
        <f>IFERROR(INDEX(база!$D$2:$D$120, MATCH(Таблица14[[#This Row],[Ф. И. О.]],база!$B$2:$B$100,0)),"")</f>
        <v/>
      </c>
    </row>
    <row r="216" spans="1:41" s="46" customFormat="1">
      <c r="A216" s="207" t="str">
        <f t="shared" si="6"/>
        <v>январь</v>
      </c>
      <c r="B216" s="240">
        <v>2024</v>
      </c>
      <c r="C216" s="572"/>
      <c r="D216" s="214"/>
      <c r="E216" s="241"/>
      <c r="F216" s="713"/>
      <c r="G216" s="242"/>
      <c r="H216" s="215"/>
      <c r="I216" s="215"/>
      <c r="J216" s="215"/>
      <c r="K216" s="215"/>
      <c r="L216" s="215"/>
      <c r="M216" s="215"/>
      <c r="N216" s="215"/>
      <c r="O216" s="215"/>
      <c r="P216" s="215"/>
      <c r="Q216" s="215"/>
      <c r="R216" s="215"/>
      <c r="S216" s="215"/>
      <c r="T216" s="215"/>
      <c r="U216" s="215"/>
      <c r="V216" s="215"/>
      <c r="W216" s="215"/>
      <c r="X216" s="215"/>
      <c r="Y216" s="215"/>
      <c r="Z216" s="215"/>
      <c r="AA216" s="215"/>
      <c r="AB216" s="215"/>
      <c r="AC216" s="215"/>
      <c r="AD216" s="215"/>
      <c r="AE216" s="215"/>
      <c r="AF216" s="215"/>
      <c r="AG216" s="215"/>
      <c r="AH216" s="215"/>
      <c r="AI216" s="215"/>
      <c r="AJ216" s="215"/>
      <c r="AK216" s="215"/>
      <c r="AL216" s="215"/>
      <c r="AM216" s="121">
        <f t="shared" si="7"/>
        <v>0</v>
      </c>
      <c r="AN216" s="564">
        <f>IF(AO216&lt;=3,(IF(AND(G216="5/24",AM216&gt;0.5),(AM216*2*база!$M$6*Таблица14[[#This Row],[коэф]]),
IF(AND(G216="4/24",AM216&gt;0.5),(AM216*2*база!$M$5*Таблица14[[#This Row],[коэф]]),
IF(AND(G216="3/24",AM216&gt;0.5),(AM216*2*база!$M$4*Таблица14[[#This Row],[коэф]]),
IF(AND(G216="5/16",AM216&gt;0.5),(AM216*2*база!$L$6*Таблица14[[#This Row],[коэф]]),
IF(AND(G216="4/16",AM216&gt;0.5),(AM216*2*база!$L$5*Таблица14[[#This Row],[коэф]]),
IF(AND(G216="3/16",AM216&gt;0.5),(AM216*2*база!$L$4*Таблица14[[#This Row],[коэф]]),
IF(AND(G216="4/4",AM216&gt;0.5),(AM216*2*база!$I$5*Таблица14[[#This Row],[коэф]]),
IF(OR(AND(G216="3/4",AM216&gt;0.5),AND(G216="2/4",AM216&gt;0.5)),(AM216*2*база!$I$4*Таблица14[[#This Row],[коэф]]),
IF(AND(G216="5/8",AM216&gt;0.5),(AM216*2*база!$J$6*Таблица14[[#This Row],[коэф]]),
IF(AND(G216="4/8",AM216&gt;0.5),(AM216*2*база!$J$5*Таблица14[[#This Row],[коэф]]),
IF(OR(AND(G216="3/8",AM216&gt;0.5),AND(G216="2/8",AM216&gt;0.5)),(AM216*2*база!$J$4*Таблица14[[#This Row],[коэф]]),
(AM216*0.5*база!$L$4*Таблица14[[#This Row],[коэф]]))))))))))))),
(IF(AND(G216="5/24",AM216&gt;0.5),(AM216*2*база!$M$6*Таблица14[[#This Row],[коэф]]),
IF(OR(AND(G216="4/24",AM216&gt;0.5),AND(G216="3/24",AM216&gt;0.5)),(AM216*2*база!$M$5*Таблица14[[#This Row],[коэф]]),
IF(AND(G216="5/16",AM216&gt;0.5),(AM216*2*база!$L$6*Таблица14[[#This Row],[коэф]]),
IF(OR(AND(G216="4/16",AM216&gt;0.5),AND(G216="3/16",AM216&gt;0.5)),(AM216*2*база!$L$5*Таблица14[[#This Row],[коэф]]),
IF(OR(AND(G216="4/4",AM216&gt;0.5),AND(G216="3/4",AM216&gt;2)),(AM216*2*база!$I$5*Таблица14[[#This Row],[коэф]]),
IF(AND(G216="5/8",AM216&gt;0.5),(AM216*2*база!$J$6*Таблица14[[#This Row],[коэф]]),
IF(AND(G216="4/8",AM216&gt;0.5),(AM216*2*база!$J$5*Таблица14[[#This Row],[коэф]]),
IF(OR(AND(G216="3/8",AM216&gt;0.5),AND(G216="2/8",AM216&gt;0.5)),(AM216*2*база!$J$4*Таблица14[[#This Row],[коэф]]),
(AM216*2*база!$L$5*Таблица14[[#This Row],[коэф]])))))))))))</f>
        <v>0</v>
      </c>
      <c r="AO216" s="122" t="str">
        <f>IFERROR(INDEX(база!$D$2:$D$120, MATCH(Таблица14[[#This Row],[Ф. И. О.]],база!$B$2:$B$100,0)),"")</f>
        <v/>
      </c>
    </row>
    <row r="217" spans="1:41" s="46" customFormat="1">
      <c r="A217" s="207" t="str">
        <f t="shared" si="6"/>
        <v>январь</v>
      </c>
      <c r="B217" s="204">
        <v>2024</v>
      </c>
      <c r="C217" s="572"/>
      <c r="D217" s="214"/>
      <c r="E217" s="243"/>
      <c r="F217" s="713"/>
      <c r="G217" s="206"/>
      <c r="H217" s="215"/>
      <c r="I217" s="215"/>
      <c r="J217" s="215"/>
      <c r="K217" s="215"/>
      <c r="L217" s="215"/>
      <c r="M217" s="215"/>
      <c r="N217" s="215"/>
      <c r="O217" s="215"/>
      <c r="P217" s="215"/>
      <c r="Q217" s="215"/>
      <c r="R217" s="215"/>
      <c r="S217" s="215"/>
      <c r="T217" s="215"/>
      <c r="U217" s="215"/>
      <c r="V217" s="215"/>
      <c r="W217" s="215"/>
      <c r="X217" s="215"/>
      <c r="Y217" s="215"/>
      <c r="Z217" s="215"/>
      <c r="AA217" s="215"/>
      <c r="AB217" s="215"/>
      <c r="AC217" s="215"/>
      <c r="AD217" s="215"/>
      <c r="AE217" s="215"/>
      <c r="AF217" s="215"/>
      <c r="AG217" s="215"/>
      <c r="AH217" s="215"/>
      <c r="AI217" s="215"/>
      <c r="AJ217" s="215"/>
      <c r="AK217" s="215"/>
      <c r="AL217" s="215"/>
      <c r="AM217" s="121">
        <f t="shared" si="7"/>
        <v>0</v>
      </c>
      <c r="AN217" s="564">
        <f>IF(AO217&lt;=3,(IF(AND(G217="5/24",AM217&gt;0.5),(AM217*2*база!$M$6*Таблица14[[#This Row],[коэф]]),
IF(AND(G217="4/24",AM217&gt;0.5),(AM217*2*база!$M$5*Таблица14[[#This Row],[коэф]]),
IF(AND(G217="3/24",AM217&gt;0.5),(AM217*2*база!$M$4*Таблица14[[#This Row],[коэф]]),
IF(AND(G217="5/16",AM217&gt;0.5),(AM217*2*база!$L$6*Таблица14[[#This Row],[коэф]]),
IF(AND(G217="4/16",AM217&gt;0.5),(AM217*2*база!$L$5*Таблица14[[#This Row],[коэф]]),
IF(AND(G217="3/16",AM217&gt;0.5),(AM217*2*база!$L$4*Таблица14[[#This Row],[коэф]]),
IF(AND(G217="4/4",AM217&gt;0.5),(AM217*2*база!$I$5*Таблица14[[#This Row],[коэф]]),
IF(OR(AND(G217="3/4",AM217&gt;0.5),AND(G217="2/4",AM217&gt;0.5)),(AM217*2*база!$I$4*Таблица14[[#This Row],[коэф]]),
IF(AND(G217="5/8",AM217&gt;0.5),(AM217*2*база!$J$6*Таблица14[[#This Row],[коэф]]),
IF(AND(G217="4/8",AM217&gt;0.5),(AM217*2*база!$J$5*Таблица14[[#This Row],[коэф]]),
IF(OR(AND(G217="3/8",AM217&gt;0.5),AND(G217="2/8",AM217&gt;0.5)),(AM217*2*база!$J$4*Таблица14[[#This Row],[коэф]]),
(AM217*0.5*база!$L$4*Таблица14[[#This Row],[коэф]]))))))))))))),
(IF(AND(G217="5/24",AM217&gt;0.5),(AM217*2*база!$M$6*Таблица14[[#This Row],[коэф]]),
IF(OR(AND(G217="4/24",AM217&gt;0.5),AND(G217="3/24",AM217&gt;0.5)),(AM217*2*база!$M$5*Таблица14[[#This Row],[коэф]]),
IF(AND(G217="5/16",AM217&gt;0.5),(AM217*2*база!$L$6*Таблица14[[#This Row],[коэф]]),
IF(OR(AND(G217="4/16",AM217&gt;0.5),AND(G217="3/16",AM217&gt;0.5)),(AM217*2*база!$L$5*Таблица14[[#This Row],[коэф]]),
IF(OR(AND(G217="4/4",AM217&gt;0.5),AND(G217="3/4",AM217&gt;2)),(AM217*2*база!$I$5*Таблица14[[#This Row],[коэф]]),
IF(AND(G217="5/8",AM217&gt;0.5),(AM217*2*база!$J$6*Таблица14[[#This Row],[коэф]]),
IF(AND(G217="4/8",AM217&gt;0.5),(AM217*2*база!$J$5*Таблица14[[#This Row],[коэф]]),
IF(OR(AND(G217="3/8",AM217&gt;0.5),AND(G217="2/8",AM217&gt;0.5)),(AM217*2*база!$J$4*Таблица14[[#This Row],[коэф]]),
(AM217*2*база!$L$5*Таблица14[[#This Row],[коэф]])))))))))))</f>
        <v>0</v>
      </c>
      <c r="AO217" s="122" t="str">
        <f>IFERROR(INDEX(база!$D$2:$D$120, MATCH(Таблица14[[#This Row],[Ф. И. О.]],база!$B$2:$B$100,0)),"")</f>
        <v/>
      </c>
    </row>
    <row r="218" spans="1:41" s="46" customFormat="1">
      <c r="A218" s="207" t="str">
        <f t="shared" si="6"/>
        <v>январь</v>
      </c>
      <c r="B218" s="240">
        <v>2024</v>
      </c>
      <c r="C218" s="572"/>
      <c r="D218" s="214"/>
      <c r="E218" s="241"/>
      <c r="F218" s="713"/>
      <c r="G218" s="242"/>
      <c r="H218" s="215"/>
      <c r="I218" s="215"/>
      <c r="J218" s="215"/>
      <c r="K218" s="215"/>
      <c r="L218" s="215"/>
      <c r="M218" s="215"/>
      <c r="N218" s="215"/>
      <c r="O218" s="215"/>
      <c r="P218" s="215"/>
      <c r="Q218" s="215"/>
      <c r="R218" s="215"/>
      <c r="S218" s="215"/>
      <c r="T218" s="215"/>
      <c r="U218" s="215"/>
      <c r="V218" s="215"/>
      <c r="W218" s="215"/>
      <c r="X218" s="215"/>
      <c r="Y218" s="215"/>
      <c r="Z218" s="215"/>
      <c r="AA218" s="215"/>
      <c r="AB218" s="215"/>
      <c r="AC218" s="215"/>
      <c r="AD218" s="215"/>
      <c r="AE218" s="215"/>
      <c r="AF218" s="215"/>
      <c r="AG218" s="215"/>
      <c r="AH218" s="215"/>
      <c r="AI218" s="215"/>
      <c r="AJ218" s="215"/>
      <c r="AK218" s="215"/>
      <c r="AL218" s="215"/>
      <c r="AM218" s="121">
        <f t="shared" si="7"/>
        <v>0</v>
      </c>
      <c r="AN218" s="564">
        <f>IF(AO218&lt;=3,(IF(AND(G218="5/24",AM218&gt;0.5),(AM218*2*база!$M$6*Таблица14[[#This Row],[коэф]]),
IF(AND(G218="4/24",AM218&gt;0.5),(AM218*2*база!$M$5*Таблица14[[#This Row],[коэф]]),
IF(AND(G218="3/24",AM218&gt;0.5),(AM218*2*база!$M$4*Таблица14[[#This Row],[коэф]]),
IF(AND(G218="5/16",AM218&gt;0.5),(AM218*2*база!$L$6*Таблица14[[#This Row],[коэф]]),
IF(AND(G218="4/16",AM218&gt;0.5),(AM218*2*база!$L$5*Таблица14[[#This Row],[коэф]]),
IF(AND(G218="3/16",AM218&gt;0.5),(AM218*2*база!$L$4*Таблица14[[#This Row],[коэф]]),
IF(AND(G218="4/4",AM218&gt;0.5),(AM218*2*база!$I$5*Таблица14[[#This Row],[коэф]]),
IF(OR(AND(G218="3/4",AM218&gt;0.5),AND(G218="2/4",AM218&gt;0.5)),(AM218*2*база!$I$4*Таблица14[[#This Row],[коэф]]),
IF(AND(G218="5/8",AM218&gt;0.5),(AM218*2*база!$J$6*Таблица14[[#This Row],[коэф]]),
IF(AND(G218="4/8",AM218&gt;0.5),(AM218*2*база!$J$5*Таблица14[[#This Row],[коэф]]),
IF(OR(AND(G218="3/8",AM218&gt;0.5),AND(G218="2/8",AM218&gt;0.5)),(AM218*2*база!$J$4*Таблица14[[#This Row],[коэф]]),
(AM218*0.5*база!$L$4*Таблица14[[#This Row],[коэф]]))))))))))))),
(IF(AND(G218="5/24",AM218&gt;0.5),(AM218*2*база!$M$6*Таблица14[[#This Row],[коэф]]),
IF(OR(AND(G218="4/24",AM218&gt;0.5),AND(G218="3/24",AM218&gt;0.5)),(AM218*2*база!$M$5*Таблица14[[#This Row],[коэф]]),
IF(AND(G218="5/16",AM218&gt;0.5),(AM218*2*база!$L$6*Таблица14[[#This Row],[коэф]]),
IF(OR(AND(G218="4/16",AM218&gt;0.5),AND(G218="3/16",AM218&gt;0.5)),(AM218*2*база!$L$5*Таблица14[[#This Row],[коэф]]),
IF(OR(AND(G218="4/4",AM218&gt;0.5),AND(G218="3/4",AM218&gt;2)),(AM218*2*база!$I$5*Таблица14[[#This Row],[коэф]]),
IF(AND(G218="5/8",AM218&gt;0.5),(AM218*2*база!$J$6*Таблица14[[#This Row],[коэф]]),
IF(AND(G218="4/8",AM218&gt;0.5),(AM218*2*база!$J$5*Таблица14[[#This Row],[коэф]]),
IF(OR(AND(G218="3/8",AM218&gt;0.5),AND(G218="2/8",AM218&gt;0.5)),(AM218*2*база!$J$4*Таблица14[[#This Row],[коэф]]),
(AM218*2*база!$L$5*Таблица14[[#This Row],[коэф]])))))))))))</f>
        <v>0</v>
      </c>
      <c r="AO218" s="122" t="str">
        <f>IFERROR(INDEX(база!$D$2:$D$120, MATCH(Таблица14[[#This Row],[Ф. И. О.]],база!$B$2:$B$100,0)),"")</f>
        <v/>
      </c>
    </row>
    <row r="219" spans="1:41" s="46" customFormat="1">
      <c r="A219" s="207" t="str">
        <f t="shared" si="6"/>
        <v>январь</v>
      </c>
      <c r="B219" s="204">
        <v>2024</v>
      </c>
      <c r="C219" s="572"/>
      <c r="D219" s="214"/>
      <c r="E219" s="243"/>
      <c r="F219" s="713"/>
      <c r="G219" s="206"/>
      <c r="H219" s="215"/>
      <c r="I219" s="215"/>
      <c r="J219" s="215"/>
      <c r="K219" s="215"/>
      <c r="L219" s="215"/>
      <c r="M219" s="215"/>
      <c r="N219" s="215"/>
      <c r="O219" s="215"/>
      <c r="P219" s="215"/>
      <c r="Q219" s="215"/>
      <c r="R219" s="215"/>
      <c r="S219" s="215"/>
      <c r="T219" s="215"/>
      <c r="U219" s="215"/>
      <c r="V219" s="215"/>
      <c r="W219" s="215"/>
      <c r="X219" s="215"/>
      <c r="Y219" s="215"/>
      <c r="Z219" s="215"/>
      <c r="AA219" s="215"/>
      <c r="AB219" s="215"/>
      <c r="AC219" s="215"/>
      <c r="AD219" s="215"/>
      <c r="AE219" s="215"/>
      <c r="AF219" s="215"/>
      <c r="AG219" s="215"/>
      <c r="AH219" s="215"/>
      <c r="AI219" s="215"/>
      <c r="AJ219" s="215"/>
      <c r="AK219" s="215"/>
      <c r="AL219" s="215"/>
      <c r="AM219" s="121">
        <f t="shared" si="7"/>
        <v>0</v>
      </c>
      <c r="AN219" s="564">
        <f>IF(AO219&lt;=3,(IF(AND(G219="5/24",AM219&gt;0.5),(AM219*2*база!$M$6*Таблица14[[#This Row],[коэф]]),
IF(AND(G219="4/24",AM219&gt;0.5),(AM219*2*база!$M$5*Таблица14[[#This Row],[коэф]]),
IF(AND(G219="3/24",AM219&gt;0.5),(AM219*2*база!$M$4*Таблица14[[#This Row],[коэф]]),
IF(AND(G219="5/16",AM219&gt;0.5),(AM219*2*база!$L$6*Таблица14[[#This Row],[коэф]]),
IF(AND(G219="4/16",AM219&gt;0.5),(AM219*2*база!$L$5*Таблица14[[#This Row],[коэф]]),
IF(AND(G219="3/16",AM219&gt;0.5),(AM219*2*база!$L$4*Таблица14[[#This Row],[коэф]]),
IF(AND(G219="4/4",AM219&gt;0.5),(AM219*2*база!$I$5*Таблица14[[#This Row],[коэф]]),
IF(OR(AND(G219="3/4",AM219&gt;0.5),AND(G219="2/4",AM219&gt;0.5)),(AM219*2*база!$I$4*Таблица14[[#This Row],[коэф]]),
IF(AND(G219="5/8",AM219&gt;0.5),(AM219*2*база!$J$6*Таблица14[[#This Row],[коэф]]),
IF(AND(G219="4/8",AM219&gt;0.5),(AM219*2*база!$J$5*Таблица14[[#This Row],[коэф]]),
IF(OR(AND(G219="3/8",AM219&gt;0.5),AND(G219="2/8",AM219&gt;0.5)),(AM219*2*база!$J$4*Таблица14[[#This Row],[коэф]]),
(AM219*0.5*база!$L$4*Таблица14[[#This Row],[коэф]]))))))))))))),
(IF(AND(G219="5/24",AM219&gt;0.5),(AM219*2*база!$M$6*Таблица14[[#This Row],[коэф]]),
IF(OR(AND(G219="4/24",AM219&gt;0.5),AND(G219="3/24",AM219&gt;0.5)),(AM219*2*база!$M$5*Таблица14[[#This Row],[коэф]]),
IF(AND(G219="5/16",AM219&gt;0.5),(AM219*2*база!$L$6*Таблица14[[#This Row],[коэф]]),
IF(OR(AND(G219="4/16",AM219&gt;0.5),AND(G219="3/16",AM219&gt;0.5)),(AM219*2*база!$L$5*Таблица14[[#This Row],[коэф]]),
IF(OR(AND(G219="4/4",AM219&gt;0.5),AND(G219="3/4",AM219&gt;2)),(AM219*2*база!$I$5*Таблица14[[#This Row],[коэф]]),
IF(AND(G219="5/8",AM219&gt;0.5),(AM219*2*база!$J$6*Таблица14[[#This Row],[коэф]]),
IF(AND(G219="4/8",AM219&gt;0.5),(AM219*2*база!$J$5*Таблица14[[#This Row],[коэф]]),
IF(OR(AND(G219="3/8",AM219&gt;0.5),AND(G219="2/8",AM219&gt;0.5)),(AM219*2*база!$J$4*Таблица14[[#This Row],[коэф]]),
(AM219*2*база!$L$5*Таблица14[[#This Row],[коэф]])))))))))))</f>
        <v>0</v>
      </c>
      <c r="AO219" s="122" t="str">
        <f>IFERROR(INDEX(база!$D$2:$D$120, MATCH(Таблица14[[#This Row],[Ф. И. О.]],база!$B$2:$B$100,0)),"")</f>
        <v/>
      </c>
    </row>
    <row r="220" spans="1:41" s="46" customFormat="1">
      <c r="A220" s="207" t="str">
        <f t="shared" si="6"/>
        <v>январь</v>
      </c>
      <c r="B220" s="240">
        <v>2024</v>
      </c>
      <c r="C220" s="572"/>
      <c r="D220" s="214"/>
      <c r="E220" s="241"/>
      <c r="F220" s="713"/>
      <c r="G220" s="242"/>
      <c r="H220" s="215"/>
      <c r="I220" s="215"/>
      <c r="J220" s="215"/>
      <c r="K220" s="215"/>
      <c r="L220" s="215"/>
      <c r="M220" s="215"/>
      <c r="N220" s="215"/>
      <c r="O220" s="215"/>
      <c r="P220" s="215"/>
      <c r="Q220" s="215"/>
      <c r="R220" s="215"/>
      <c r="S220" s="215"/>
      <c r="T220" s="215"/>
      <c r="U220" s="215"/>
      <c r="V220" s="215"/>
      <c r="W220" s="215"/>
      <c r="X220" s="215"/>
      <c r="Y220" s="215"/>
      <c r="Z220" s="215"/>
      <c r="AA220" s="215"/>
      <c r="AB220" s="215"/>
      <c r="AC220" s="215"/>
      <c r="AD220" s="215"/>
      <c r="AE220" s="215"/>
      <c r="AF220" s="215"/>
      <c r="AG220" s="215"/>
      <c r="AH220" s="215"/>
      <c r="AI220" s="215"/>
      <c r="AJ220" s="215"/>
      <c r="AK220" s="215"/>
      <c r="AL220" s="215"/>
      <c r="AM220" s="121">
        <f t="shared" si="7"/>
        <v>0</v>
      </c>
      <c r="AN220" s="564">
        <f>IF(AO220&lt;=3,(IF(AND(G220="5/24",AM220&gt;0.5),(AM220*2*база!$M$6*Таблица14[[#This Row],[коэф]]),
IF(AND(G220="4/24",AM220&gt;0.5),(AM220*2*база!$M$5*Таблица14[[#This Row],[коэф]]),
IF(AND(G220="3/24",AM220&gt;0.5),(AM220*2*база!$M$4*Таблица14[[#This Row],[коэф]]),
IF(AND(G220="5/16",AM220&gt;0.5),(AM220*2*база!$L$6*Таблица14[[#This Row],[коэф]]),
IF(AND(G220="4/16",AM220&gt;0.5),(AM220*2*база!$L$5*Таблица14[[#This Row],[коэф]]),
IF(AND(G220="3/16",AM220&gt;0.5),(AM220*2*база!$L$4*Таблица14[[#This Row],[коэф]]),
IF(AND(G220="4/4",AM220&gt;0.5),(AM220*2*база!$I$5*Таблица14[[#This Row],[коэф]]),
IF(OR(AND(G220="3/4",AM220&gt;0.5),AND(G220="2/4",AM220&gt;0.5)),(AM220*2*база!$I$4*Таблица14[[#This Row],[коэф]]),
IF(AND(G220="5/8",AM220&gt;0.5),(AM220*2*база!$J$6*Таблица14[[#This Row],[коэф]]),
IF(AND(G220="4/8",AM220&gt;0.5),(AM220*2*база!$J$5*Таблица14[[#This Row],[коэф]]),
IF(OR(AND(G220="3/8",AM220&gt;0.5),AND(G220="2/8",AM220&gt;0.5)),(AM220*2*база!$J$4*Таблица14[[#This Row],[коэф]]),
(AM220*0.5*база!$L$4*Таблица14[[#This Row],[коэф]]))))))))))))),
(IF(AND(G220="5/24",AM220&gt;0.5),(AM220*2*база!$M$6*Таблица14[[#This Row],[коэф]]),
IF(OR(AND(G220="4/24",AM220&gt;0.5),AND(G220="3/24",AM220&gt;0.5)),(AM220*2*база!$M$5*Таблица14[[#This Row],[коэф]]),
IF(AND(G220="5/16",AM220&gt;0.5),(AM220*2*база!$L$6*Таблица14[[#This Row],[коэф]]),
IF(OR(AND(G220="4/16",AM220&gt;0.5),AND(G220="3/16",AM220&gt;0.5)),(AM220*2*база!$L$5*Таблица14[[#This Row],[коэф]]),
IF(OR(AND(G220="4/4",AM220&gt;0.5),AND(G220="3/4",AM220&gt;2)),(AM220*2*база!$I$5*Таблица14[[#This Row],[коэф]]),
IF(AND(G220="5/8",AM220&gt;0.5),(AM220*2*база!$J$6*Таблица14[[#This Row],[коэф]]),
IF(AND(G220="4/8",AM220&gt;0.5),(AM220*2*база!$J$5*Таблица14[[#This Row],[коэф]]),
IF(OR(AND(G220="3/8",AM220&gt;0.5),AND(G220="2/8",AM220&gt;0.5)),(AM220*2*база!$J$4*Таблица14[[#This Row],[коэф]]),
(AM220*2*база!$L$5*Таблица14[[#This Row],[коэф]])))))))))))</f>
        <v>0</v>
      </c>
      <c r="AO220" s="122" t="str">
        <f>IFERROR(INDEX(база!$D$2:$D$120, MATCH(Таблица14[[#This Row],[Ф. И. О.]],база!$B$2:$B$100,0)),"")</f>
        <v/>
      </c>
    </row>
    <row r="221" spans="1:41" s="46" customFormat="1">
      <c r="A221" s="207" t="str">
        <f t="shared" si="6"/>
        <v>январь</v>
      </c>
      <c r="B221" s="204">
        <v>2024</v>
      </c>
      <c r="C221" s="572"/>
      <c r="D221" s="214"/>
      <c r="E221" s="243"/>
      <c r="F221" s="713"/>
      <c r="G221" s="206"/>
      <c r="H221" s="215"/>
      <c r="I221" s="215"/>
      <c r="J221" s="215"/>
      <c r="K221" s="215"/>
      <c r="L221" s="215"/>
      <c r="M221" s="215"/>
      <c r="N221" s="215"/>
      <c r="O221" s="215"/>
      <c r="P221" s="215"/>
      <c r="Q221" s="215"/>
      <c r="R221" s="215"/>
      <c r="S221" s="215"/>
      <c r="T221" s="215"/>
      <c r="U221" s="215"/>
      <c r="V221" s="215"/>
      <c r="W221" s="215"/>
      <c r="X221" s="215"/>
      <c r="Y221" s="215"/>
      <c r="Z221" s="215"/>
      <c r="AA221" s="215"/>
      <c r="AB221" s="215"/>
      <c r="AC221" s="215"/>
      <c r="AD221" s="215"/>
      <c r="AE221" s="215"/>
      <c r="AF221" s="215"/>
      <c r="AG221" s="215"/>
      <c r="AH221" s="215"/>
      <c r="AI221" s="215"/>
      <c r="AJ221" s="215"/>
      <c r="AK221" s="215"/>
      <c r="AL221" s="215"/>
      <c r="AM221" s="121">
        <f t="shared" si="7"/>
        <v>0</v>
      </c>
      <c r="AN221" s="564">
        <f>IF(AO221&lt;=3,(IF(AND(G221="5/24",AM221&gt;0.5),(AM221*2*база!$M$6*Таблица14[[#This Row],[коэф]]),
IF(AND(G221="4/24",AM221&gt;0.5),(AM221*2*база!$M$5*Таблица14[[#This Row],[коэф]]),
IF(AND(G221="3/24",AM221&gt;0.5),(AM221*2*база!$M$4*Таблица14[[#This Row],[коэф]]),
IF(AND(G221="5/16",AM221&gt;0.5),(AM221*2*база!$L$6*Таблица14[[#This Row],[коэф]]),
IF(AND(G221="4/16",AM221&gt;0.5),(AM221*2*база!$L$5*Таблица14[[#This Row],[коэф]]),
IF(AND(G221="3/16",AM221&gt;0.5),(AM221*2*база!$L$4*Таблица14[[#This Row],[коэф]]),
IF(AND(G221="4/4",AM221&gt;0.5),(AM221*2*база!$I$5*Таблица14[[#This Row],[коэф]]),
IF(OR(AND(G221="3/4",AM221&gt;0.5),AND(G221="2/4",AM221&gt;0.5)),(AM221*2*база!$I$4*Таблица14[[#This Row],[коэф]]),
IF(AND(G221="5/8",AM221&gt;0.5),(AM221*2*база!$J$6*Таблица14[[#This Row],[коэф]]),
IF(AND(G221="4/8",AM221&gt;0.5),(AM221*2*база!$J$5*Таблица14[[#This Row],[коэф]]),
IF(OR(AND(G221="3/8",AM221&gt;0.5),AND(G221="2/8",AM221&gt;0.5)),(AM221*2*база!$J$4*Таблица14[[#This Row],[коэф]]),
(AM221*0.5*база!$L$4*Таблица14[[#This Row],[коэф]]))))))))))))),
(IF(AND(G221="5/24",AM221&gt;0.5),(AM221*2*база!$M$6*Таблица14[[#This Row],[коэф]]),
IF(OR(AND(G221="4/24",AM221&gt;0.5),AND(G221="3/24",AM221&gt;0.5)),(AM221*2*база!$M$5*Таблица14[[#This Row],[коэф]]),
IF(AND(G221="5/16",AM221&gt;0.5),(AM221*2*база!$L$6*Таблица14[[#This Row],[коэф]]),
IF(OR(AND(G221="4/16",AM221&gt;0.5),AND(G221="3/16",AM221&gt;0.5)),(AM221*2*база!$L$5*Таблица14[[#This Row],[коэф]]),
IF(OR(AND(G221="4/4",AM221&gt;0.5),AND(G221="3/4",AM221&gt;2)),(AM221*2*база!$I$5*Таблица14[[#This Row],[коэф]]),
IF(AND(G221="5/8",AM221&gt;0.5),(AM221*2*база!$J$6*Таблица14[[#This Row],[коэф]]),
IF(AND(G221="4/8",AM221&gt;0.5),(AM221*2*база!$J$5*Таблица14[[#This Row],[коэф]]),
IF(OR(AND(G221="3/8",AM221&gt;0.5),AND(G221="2/8",AM221&gt;0.5)),(AM221*2*база!$J$4*Таблица14[[#This Row],[коэф]]),
(AM221*2*база!$L$5*Таблица14[[#This Row],[коэф]])))))))))))</f>
        <v>0</v>
      </c>
      <c r="AO221" s="122" t="str">
        <f>IFERROR(INDEX(база!$D$2:$D$120, MATCH(Таблица14[[#This Row],[Ф. И. О.]],база!$B$2:$B$100,0)),"")</f>
        <v/>
      </c>
    </row>
    <row r="222" spans="1:41" s="46" customFormat="1">
      <c r="A222" s="207" t="str">
        <f t="shared" si="6"/>
        <v>январь</v>
      </c>
      <c r="B222" s="240">
        <v>2024</v>
      </c>
      <c r="C222" s="572"/>
      <c r="D222" s="214"/>
      <c r="E222" s="241"/>
      <c r="F222" s="713"/>
      <c r="G222" s="242"/>
      <c r="H222" s="215"/>
      <c r="I222" s="215"/>
      <c r="J222" s="215"/>
      <c r="K222" s="215"/>
      <c r="L222" s="215"/>
      <c r="M222" s="215"/>
      <c r="N222" s="215"/>
      <c r="O222" s="215"/>
      <c r="P222" s="215"/>
      <c r="Q222" s="215"/>
      <c r="R222" s="215"/>
      <c r="S222" s="215"/>
      <c r="T222" s="215"/>
      <c r="U222" s="215"/>
      <c r="V222" s="215"/>
      <c r="W222" s="215"/>
      <c r="X222" s="215"/>
      <c r="Y222" s="215"/>
      <c r="Z222" s="215"/>
      <c r="AA222" s="215"/>
      <c r="AB222" s="215"/>
      <c r="AC222" s="215"/>
      <c r="AD222" s="215"/>
      <c r="AE222" s="215"/>
      <c r="AF222" s="215"/>
      <c r="AG222" s="215"/>
      <c r="AH222" s="215"/>
      <c r="AI222" s="215"/>
      <c r="AJ222" s="215"/>
      <c r="AK222" s="215"/>
      <c r="AL222" s="215"/>
      <c r="AM222" s="121">
        <f t="shared" si="7"/>
        <v>0</v>
      </c>
      <c r="AN222" s="564">
        <f>IF(AO222&lt;=3,(IF(AND(G222="5/24",AM222&gt;0.5),(AM222*2*база!$M$6*Таблица14[[#This Row],[коэф]]),
IF(AND(G222="4/24",AM222&gt;0.5),(AM222*2*база!$M$5*Таблица14[[#This Row],[коэф]]),
IF(AND(G222="3/24",AM222&gt;0.5),(AM222*2*база!$M$4*Таблица14[[#This Row],[коэф]]),
IF(AND(G222="5/16",AM222&gt;0.5),(AM222*2*база!$L$6*Таблица14[[#This Row],[коэф]]),
IF(AND(G222="4/16",AM222&gt;0.5),(AM222*2*база!$L$5*Таблица14[[#This Row],[коэф]]),
IF(AND(G222="3/16",AM222&gt;0.5),(AM222*2*база!$L$4*Таблица14[[#This Row],[коэф]]),
IF(AND(G222="4/4",AM222&gt;0.5),(AM222*2*база!$I$5*Таблица14[[#This Row],[коэф]]),
IF(OR(AND(G222="3/4",AM222&gt;0.5),AND(G222="2/4",AM222&gt;0.5)),(AM222*2*база!$I$4*Таблица14[[#This Row],[коэф]]),
IF(AND(G222="5/8",AM222&gt;0.5),(AM222*2*база!$J$6*Таблица14[[#This Row],[коэф]]),
IF(AND(G222="4/8",AM222&gt;0.5),(AM222*2*база!$J$5*Таблица14[[#This Row],[коэф]]),
IF(OR(AND(G222="3/8",AM222&gt;0.5),AND(G222="2/8",AM222&gt;0.5)),(AM222*2*база!$J$4*Таблица14[[#This Row],[коэф]]),
(AM222*0.5*база!$L$4*Таблица14[[#This Row],[коэф]]))))))))))))),
(IF(AND(G222="5/24",AM222&gt;0.5),(AM222*2*база!$M$6*Таблица14[[#This Row],[коэф]]),
IF(OR(AND(G222="4/24",AM222&gt;0.5),AND(G222="3/24",AM222&gt;0.5)),(AM222*2*база!$M$5*Таблица14[[#This Row],[коэф]]),
IF(AND(G222="5/16",AM222&gt;0.5),(AM222*2*база!$L$6*Таблица14[[#This Row],[коэф]]),
IF(OR(AND(G222="4/16",AM222&gt;0.5),AND(G222="3/16",AM222&gt;0.5)),(AM222*2*база!$L$5*Таблица14[[#This Row],[коэф]]),
IF(OR(AND(G222="4/4",AM222&gt;0.5),AND(G222="3/4",AM222&gt;2)),(AM222*2*база!$I$5*Таблица14[[#This Row],[коэф]]),
IF(AND(G222="5/8",AM222&gt;0.5),(AM222*2*база!$J$6*Таблица14[[#This Row],[коэф]]),
IF(AND(G222="4/8",AM222&gt;0.5),(AM222*2*база!$J$5*Таблица14[[#This Row],[коэф]]),
IF(OR(AND(G222="3/8",AM222&gt;0.5),AND(G222="2/8",AM222&gt;0.5)),(AM222*2*база!$J$4*Таблица14[[#This Row],[коэф]]),
(AM222*2*база!$L$5*Таблица14[[#This Row],[коэф]])))))))))))</f>
        <v>0</v>
      </c>
      <c r="AO222" s="122" t="str">
        <f>IFERROR(INDEX(база!$D$2:$D$120, MATCH(Таблица14[[#This Row],[Ф. И. О.]],база!$B$2:$B$100,0)),"")</f>
        <v/>
      </c>
    </row>
    <row r="223" spans="1:41" s="46" customFormat="1">
      <c r="A223" s="207" t="str">
        <f t="shared" si="6"/>
        <v>январь</v>
      </c>
      <c r="B223" s="204">
        <v>2024</v>
      </c>
      <c r="C223" s="572"/>
      <c r="D223" s="214"/>
      <c r="E223" s="243"/>
      <c r="F223" s="713"/>
      <c r="G223" s="206"/>
      <c r="H223" s="215"/>
      <c r="I223" s="215"/>
      <c r="J223" s="215"/>
      <c r="K223" s="215"/>
      <c r="L223" s="215"/>
      <c r="M223" s="215"/>
      <c r="N223" s="215"/>
      <c r="O223" s="215"/>
      <c r="P223" s="215"/>
      <c r="Q223" s="215"/>
      <c r="R223" s="215"/>
      <c r="S223" s="215"/>
      <c r="T223" s="215"/>
      <c r="U223" s="215"/>
      <c r="V223" s="215"/>
      <c r="W223" s="215"/>
      <c r="X223" s="215"/>
      <c r="Y223" s="215"/>
      <c r="Z223" s="215"/>
      <c r="AA223" s="215"/>
      <c r="AB223" s="215"/>
      <c r="AC223" s="215"/>
      <c r="AD223" s="215"/>
      <c r="AE223" s="215"/>
      <c r="AF223" s="215"/>
      <c r="AG223" s="215"/>
      <c r="AH223" s="215"/>
      <c r="AI223" s="215"/>
      <c r="AJ223" s="215"/>
      <c r="AK223" s="215"/>
      <c r="AL223" s="215"/>
      <c r="AM223" s="121">
        <f t="shared" si="7"/>
        <v>0</v>
      </c>
      <c r="AN223" s="564">
        <f>IF(AO223&lt;=3,(IF(AND(G223="5/24",AM223&gt;0.5),(AM223*2*база!$M$6*Таблица14[[#This Row],[коэф]]),
IF(AND(G223="4/24",AM223&gt;0.5),(AM223*2*база!$M$5*Таблица14[[#This Row],[коэф]]),
IF(AND(G223="3/24",AM223&gt;0.5),(AM223*2*база!$M$4*Таблица14[[#This Row],[коэф]]),
IF(AND(G223="5/16",AM223&gt;0.5),(AM223*2*база!$L$6*Таблица14[[#This Row],[коэф]]),
IF(AND(G223="4/16",AM223&gt;0.5),(AM223*2*база!$L$5*Таблица14[[#This Row],[коэф]]),
IF(AND(G223="3/16",AM223&gt;0.5),(AM223*2*база!$L$4*Таблица14[[#This Row],[коэф]]),
IF(AND(G223="4/4",AM223&gt;0.5),(AM223*2*база!$I$5*Таблица14[[#This Row],[коэф]]),
IF(OR(AND(G223="3/4",AM223&gt;0.5),AND(G223="2/4",AM223&gt;0.5)),(AM223*2*база!$I$4*Таблица14[[#This Row],[коэф]]),
IF(AND(G223="5/8",AM223&gt;0.5),(AM223*2*база!$J$6*Таблица14[[#This Row],[коэф]]),
IF(AND(G223="4/8",AM223&gt;0.5),(AM223*2*база!$J$5*Таблица14[[#This Row],[коэф]]),
IF(OR(AND(G223="3/8",AM223&gt;0.5),AND(G223="2/8",AM223&gt;0.5)),(AM223*2*база!$J$4*Таблица14[[#This Row],[коэф]]),
(AM223*0.5*база!$L$4*Таблица14[[#This Row],[коэф]]))))))))))))),
(IF(AND(G223="5/24",AM223&gt;0.5),(AM223*2*база!$M$6*Таблица14[[#This Row],[коэф]]),
IF(OR(AND(G223="4/24",AM223&gt;0.5),AND(G223="3/24",AM223&gt;0.5)),(AM223*2*база!$M$5*Таблица14[[#This Row],[коэф]]),
IF(AND(G223="5/16",AM223&gt;0.5),(AM223*2*база!$L$6*Таблица14[[#This Row],[коэф]]),
IF(OR(AND(G223="4/16",AM223&gt;0.5),AND(G223="3/16",AM223&gt;0.5)),(AM223*2*база!$L$5*Таблица14[[#This Row],[коэф]]),
IF(OR(AND(G223="4/4",AM223&gt;0.5),AND(G223="3/4",AM223&gt;2)),(AM223*2*база!$I$5*Таблица14[[#This Row],[коэф]]),
IF(AND(G223="5/8",AM223&gt;0.5),(AM223*2*база!$J$6*Таблица14[[#This Row],[коэф]]),
IF(AND(G223="4/8",AM223&gt;0.5),(AM223*2*база!$J$5*Таблица14[[#This Row],[коэф]]),
IF(OR(AND(G223="3/8",AM223&gt;0.5),AND(G223="2/8",AM223&gt;0.5)),(AM223*2*база!$J$4*Таблица14[[#This Row],[коэф]]),
(AM223*2*база!$L$5*Таблица14[[#This Row],[коэф]])))))))))))</f>
        <v>0</v>
      </c>
      <c r="AO223" s="122" t="str">
        <f>IFERROR(INDEX(база!$D$2:$D$120, MATCH(Таблица14[[#This Row],[Ф. И. О.]],база!$B$2:$B$100,0)),"")</f>
        <v/>
      </c>
    </row>
    <row r="224" spans="1:41" s="46" customFormat="1">
      <c r="A224" s="207" t="str">
        <f t="shared" si="6"/>
        <v>январь</v>
      </c>
      <c r="B224" s="240">
        <v>2024</v>
      </c>
      <c r="C224" s="572"/>
      <c r="D224" s="214"/>
      <c r="E224" s="241"/>
      <c r="F224" s="713"/>
      <c r="G224" s="242"/>
      <c r="H224" s="215"/>
      <c r="I224" s="215"/>
      <c r="J224" s="215"/>
      <c r="K224" s="215"/>
      <c r="L224" s="215"/>
      <c r="M224" s="215"/>
      <c r="N224" s="215"/>
      <c r="O224" s="215"/>
      <c r="P224" s="215"/>
      <c r="Q224" s="215"/>
      <c r="R224" s="215"/>
      <c r="S224" s="215"/>
      <c r="T224" s="215"/>
      <c r="U224" s="215"/>
      <c r="V224" s="215"/>
      <c r="W224" s="215"/>
      <c r="X224" s="215"/>
      <c r="Y224" s="215"/>
      <c r="Z224" s="215"/>
      <c r="AA224" s="215"/>
      <c r="AB224" s="215"/>
      <c r="AC224" s="215"/>
      <c r="AD224" s="215"/>
      <c r="AE224" s="215"/>
      <c r="AF224" s="215"/>
      <c r="AG224" s="215"/>
      <c r="AH224" s="215"/>
      <c r="AI224" s="215"/>
      <c r="AJ224" s="215"/>
      <c r="AK224" s="215"/>
      <c r="AL224" s="215"/>
      <c r="AM224" s="121">
        <f t="shared" si="7"/>
        <v>0</v>
      </c>
      <c r="AN224" s="564">
        <f>IF(AO224&lt;=3,(IF(AND(G224="5/24",AM224&gt;0.5),(AM224*2*база!$M$6*Таблица14[[#This Row],[коэф]]),
IF(AND(G224="4/24",AM224&gt;0.5),(AM224*2*база!$M$5*Таблица14[[#This Row],[коэф]]),
IF(AND(G224="3/24",AM224&gt;0.5),(AM224*2*база!$M$4*Таблица14[[#This Row],[коэф]]),
IF(AND(G224="5/16",AM224&gt;0.5),(AM224*2*база!$L$6*Таблица14[[#This Row],[коэф]]),
IF(AND(G224="4/16",AM224&gt;0.5),(AM224*2*база!$L$5*Таблица14[[#This Row],[коэф]]),
IF(AND(G224="3/16",AM224&gt;0.5),(AM224*2*база!$L$4*Таблица14[[#This Row],[коэф]]),
IF(AND(G224="4/4",AM224&gt;0.5),(AM224*2*база!$I$5*Таблица14[[#This Row],[коэф]]),
IF(OR(AND(G224="3/4",AM224&gt;0.5),AND(G224="2/4",AM224&gt;0.5)),(AM224*2*база!$I$4*Таблица14[[#This Row],[коэф]]),
IF(AND(G224="5/8",AM224&gt;0.5),(AM224*2*база!$J$6*Таблица14[[#This Row],[коэф]]),
IF(AND(G224="4/8",AM224&gt;0.5),(AM224*2*база!$J$5*Таблица14[[#This Row],[коэф]]),
IF(OR(AND(G224="3/8",AM224&gt;0.5),AND(G224="2/8",AM224&gt;0.5)),(AM224*2*база!$J$4*Таблица14[[#This Row],[коэф]]),
(AM224*0.5*база!$L$4*Таблица14[[#This Row],[коэф]]))))))))))))),
(IF(AND(G224="5/24",AM224&gt;0.5),(AM224*2*база!$M$6*Таблица14[[#This Row],[коэф]]),
IF(OR(AND(G224="4/24",AM224&gt;0.5),AND(G224="3/24",AM224&gt;0.5)),(AM224*2*база!$M$5*Таблица14[[#This Row],[коэф]]),
IF(AND(G224="5/16",AM224&gt;0.5),(AM224*2*база!$L$6*Таблица14[[#This Row],[коэф]]),
IF(OR(AND(G224="4/16",AM224&gt;0.5),AND(G224="3/16",AM224&gt;0.5)),(AM224*2*база!$L$5*Таблица14[[#This Row],[коэф]]),
IF(OR(AND(G224="4/4",AM224&gt;0.5),AND(G224="3/4",AM224&gt;2)),(AM224*2*база!$I$5*Таблица14[[#This Row],[коэф]]),
IF(AND(G224="5/8",AM224&gt;0.5),(AM224*2*база!$J$6*Таблица14[[#This Row],[коэф]]),
IF(AND(G224="4/8",AM224&gt;0.5),(AM224*2*база!$J$5*Таблица14[[#This Row],[коэф]]),
IF(OR(AND(G224="3/8",AM224&gt;0.5),AND(G224="2/8",AM224&gt;0.5)),(AM224*2*база!$J$4*Таблица14[[#This Row],[коэф]]),
(AM224*2*база!$L$5*Таблица14[[#This Row],[коэф]])))))))))))</f>
        <v>0</v>
      </c>
      <c r="AO224" s="122" t="str">
        <f>IFERROR(INDEX(база!$D$2:$D$120, MATCH(Таблица14[[#This Row],[Ф. И. О.]],база!$B$2:$B$100,0)),"")</f>
        <v/>
      </c>
    </row>
    <row r="225" spans="1:41" s="46" customFormat="1">
      <c r="A225" s="207" t="str">
        <f t="shared" si="6"/>
        <v>январь</v>
      </c>
      <c r="B225" s="204">
        <v>2024</v>
      </c>
      <c r="C225" s="572"/>
      <c r="D225" s="214"/>
      <c r="E225" s="243"/>
      <c r="F225" s="713"/>
      <c r="G225" s="206"/>
      <c r="H225" s="215"/>
      <c r="I225" s="215"/>
      <c r="J225" s="215"/>
      <c r="K225" s="215"/>
      <c r="L225" s="215"/>
      <c r="M225" s="215"/>
      <c r="N225" s="215"/>
      <c r="O225" s="215"/>
      <c r="P225" s="215"/>
      <c r="Q225" s="215"/>
      <c r="R225" s="215"/>
      <c r="S225" s="215"/>
      <c r="T225" s="215"/>
      <c r="U225" s="215"/>
      <c r="V225" s="215"/>
      <c r="W225" s="215"/>
      <c r="X225" s="215"/>
      <c r="Y225" s="215"/>
      <c r="Z225" s="215"/>
      <c r="AA225" s="215"/>
      <c r="AB225" s="215"/>
      <c r="AC225" s="215"/>
      <c r="AD225" s="215"/>
      <c r="AE225" s="215"/>
      <c r="AF225" s="215"/>
      <c r="AG225" s="215"/>
      <c r="AH225" s="215"/>
      <c r="AI225" s="215"/>
      <c r="AJ225" s="215"/>
      <c r="AK225" s="215"/>
      <c r="AL225" s="215"/>
      <c r="AM225" s="121">
        <f t="shared" si="7"/>
        <v>0</v>
      </c>
      <c r="AN225" s="564">
        <f>IF(AO225&lt;=3,(IF(AND(G225="5/24",AM225&gt;0.5),(AM225*2*база!$M$6*Таблица14[[#This Row],[коэф]]),
IF(AND(G225="4/24",AM225&gt;0.5),(AM225*2*база!$M$5*Таблица14[[#This Row],[коэф]]),
IF(AND(G225="3/24",AM225&gt;0.5),(AM225*2*база!$M$4*Таблица14[[#This Row],[коэф]]),
IF(AND(G225="5/16",AM225&gt;0.5),(AM225*2*база!$L$6*Таблица14[[#This Row],[коэф]]),
IF(AND(G225="4/16",AM225&gt;0.5),(AM225*2*база!$L$5*Таблица14[[#This Row],[коэф]]),
IF(AND(G225="3/16",AM225&gt;0.5),(AM225*2*база!$L$4*Таблица14[[#This Row],[коэф]]),
IF(AND(G225="4/4",AM225&gt;0.5),(AM225*2*база!$I$5*Таблица14[[#This Row],[коэф]]),
IF(OR(AND(G225="3/4",AM225&gt;0.5),AND(G225="2/4",AM225&gt;0.5)),(AM225*2*база!$I$4*Таблица14[[#This Row],[коэф]]),
IF(AND(G225="5/8",AM225&gt;0.5),(AM225*2*база!$J$6*Таблица14[[#This Row],[коэф]]),
IF(AND(G225="4/8",AM225&gt;0.5),(AM225*2*база!$J$5*Таблица14[[#This Row],[коэф]]),
IF(OR(AND(G225="3/8",AM225&gt;0.5),AND(G225="2/8",AM225&gt;0.5)),(AM225*2*база!$J$4*Таблица14[[#This Row],[коэф]]),
(AM225*0.5*база!$L$4*Таблица14[[#This Row],[коэф]]))))))))))))),
(IF(AND(G225="5/24",AM225&gt;0.5),(AM225*2*база!$M$6*Таблица14[[#This Row],[коэф]]),
IF(OR(AND(G225="4/24",AM225&gt;0.5),AND(G225="3/24",AM225&gt;0.5)),(AM225*2*база!$M$5*Таблица14[[#This Row],[коэф]]),
IF(AND(G225="5/16",AM225&gt;0.5),(AM225*2*база!$L$6*Таблица14[[#This Row],[коэф]]),
IF(OR(AND(G225="4/16",AM225&gt;0.5),AND(G225="3/16",AM225&gt;0.5)),(AM225*2*база!$L$5*Таблица14[[#This Row],[коэф]]),
IF(OR(AND(G225="4/4",AM225&gt;0.5),AND(G225="3/4",AM225&gt;2)),(AM225*2*база!$I$5*Таблица14[[#This Row],[коэф]]),
IF(AND(G225="5/8",AM225&gt;0.5),(AM225*2*база!$J$6*Таблица14[[#This Row],[коэф]]),
IF(AND(G225="4/8",AM225&gt;0.5),(AM225*2*база!$J$5*Таблица14[[#This Row],[коэф]]),
IF(OR(AND(G225="3/8",AM225&gt;0.5),AND(G225="2/8",AM225&gt;0.5)),(AM225*2*база!$J$4*Таблица14[[#This Row],[коэф]]),
(AM225*2*база!$L$5*Таблица14[[#This Row],[коэф]])))))))))))</f>
        <v>0</v>
      </c>
      <c r="AO225" s="122" t="str">
        <f>IFERROR(INDEX(база!$D$2:$D$120, MATCH(Таблица14[[#This Row],[Ф. И. О.]],база!$B$2:$B$100,0)),"")</f>
        <v/>
      </c>
    </row>
    <row r="226" spans="1:41" s="46" customFormat="1">
      <c r="A226" s="207" t="str">
        <f t="shared" si="6"/>
        <v>январь</v>
      </c>
      <c r="B226" s="240">
        <v>2024</v>
      </c>
      <c r="C226" s="572"/>
      <c r="D226" s="214"/>
      <c r="E226" s="241"/>
      <c r="F226" s="713"/>
      <c r="G226" s="242"/>
      <c r="H226" s="215"/>
      <c r="I226" s="215"/>
      <c r="J226" s="215"/>
      <c r="K226" s="215"/>
      <c r="L226" s="215"/>
      <c r="M226" s="215"/>
      <c r="N226" s="215"/>
      <c r="O226" s="215"/>
      <c r="P226" s="215"/>
      <c r="Q226" s="215"/>
      <c r="R226" s="215"/>
      <c r="S226" s="215"/>
      <c r="T226" s="215"/>
      <c r="U226" s="215"/>
      <c r="V226" s="215"/>
      <c r="W226" s="215"/>
      <c r="X226" s="215"/>
      <c r="Y226" s="215"/>
      <c r="Z226" s="215"/>
      <c r="AA226" s="215"/>
      <c r="AB226" s="215"/>
      <c r="AC226" s="215"/>
      <c r="AD226" s="215"/>
      <c r="AE226" s="215"/>
      <c r="AF226" s="215"/>
      <c r="AG226" s="215"/>
      <c r="AH226" s="215"/>
      <c r="AI226" s="215"/>
      <c r="AJ226" s="215"/>
      <c r="AK226" s="215"/>
      <c r="AL226" s="215"/>
      <c r="AM226" s="121">
        <f t="shared" si="7"/>
        <v>0</v>
      </c>
      <c r="AN226" s="564">
        <f>IF(AO226&lt;=3,(IF(AND(G226="5/24",AM226&gt;0.5),(AM226*2*база!$M$6*Таблица14[[#This Row],[коэф]]),
IF(AND(G226="4/24",AM226&gt;0.5),(AM226*2*база!$M$5*Таблица14[[#This Row],[коэф]]),
IF(AND(G226="3/24",AM226&gt;0.5),(AM226*2*база!$M$4*Таблица14[[#This Row],[коэф]]),
IF(AND(G226="5/16",AM226&gt;0.5),(AM226*2*база!$L$6*Таблица14[[#This Row],[коэф]]),
IF(AND(G226="4/16",AM226&gt;0.5),(AM226*2*база!$L$5*Таблица14[[#This Row],[коэф]]),
IF(AND(G226="3/16",AM226&gt;0.5),(AM226*2*база!$L$4*Таблица14[[#This Row],[коэф]]),
IF(AND(G226="4/4",AM226&gt;0.5),(AM226*2*база!$I$5*Таблица14[[#This Row],[коэф]]),
IF(OR(AND(G226="3/4",AM226&gt;0.5),AND(G226="2/4",AM226&gt;0.5)),(AM226*2*база!$I$4*Таблица14[[#This Row],[коэф]]),
IF(AND(G226="5/8",AM226&gt;0.5),(AM226*2*база!$J$6*Таблица14[[#This Row],[коэф]]),
IF(AND(G226="4/8",AM226&gt;0.5),(AM226*2*база!$J$5*Таблица14[[#This Row],[коэф]]),
IF(OR(AND(G226="3/8",AM226&gt;0.5),AND(G226="2/8",AM226&gt;0.5)),(AM226*2*база!$J$4*Таблица14[[#This Row],[коэф]]),
(AM226*0.5*база!$L$4*Таблица14[[#This Row],[коэф]]))))))))))))),
(IF(AND(G226="5/24",AM226&gt;0.5),(AM226*2*база!$M$6*Таблица14[[#This Row],[коэф]]),
IF(OR(AND(G226="4/24",AM226&gt;0.5),AND(G226="3/24",AM226&gt;0.5)),(AM226*2*база!$M$5*Таблица14[[#This Row],[коэф]]),
IF(AND(G226="5/16",AM226&gt;0.5),(AM226*2*база!$L$6*Таблица14[[#This Row],[коэф]]),
IF(OR(AND(G226="4/16",AM226&gt;0.5),AND(G226="3/16",AM226&gt;0.5)),(AM226*2*база!$L$5*Таблица14[[#This Row],[коэф]]),
IF(OR(AND(G226="4/4",AM226&gt;0.5),AND(G226="3/4",AM226&gt;2)),(AM226*2*база!$I$5*Таблица14[[#This Row],[коэф]]),
IF(AND(G226="5/8",AM226&gt;0.5),(AM226*2*база!$J$6*Таблица14[[#This Row],[коэф]]),
IF(AND(G226="4/8",AM226&gt;0.5),(AM226*2*база!$J$5*Таблица14[[#This Row],[коэф]]),
IF(OR(AND(G226="3/8",AM226&gt;0.5),AND(G226="2/8",AM226&gt;0.5)),(AM226*2*база!$J$4*Таблица14[[#This Row],[коэф]]),
(AM226*2*база!$L$5*Таблица14[[#This Row],[коэф]])))))))))))</f>
        <v>0</v>
      </c>
      <c r="AO226" s="122" t="str">
        <f>IFERROR(INDEX(база!$D$2:$D$120, MATCH(Таблица14[[#This Row],[Ф. И. О.]],база!$B$2:$B$100,0)),"")</f>
        <v/>
      </c>
    </row>
    <row r="227" spans="1:41" s="46" customFormat="1">
      <c r="A227" s="207" t="str">
        <f t="shared" si="6"/>
        <v>январь</v>
      </c>
      <c r="B227" s="204">
        <v>2024</v>
      </c>
      <c r="C227" s="572"/>
      <c r="D227" s="214"/>
      <c r="E227" s="243"/>
      <c r="F227" s="713"/>
      <c r="G227" s="206"/>
      <c r="H227" s="215"/>
      <c r="I227" s="215"/>
      <c r="J227" s="215"/>
      <c r="K227" s="215"/>
      <c r="L227" s="215"/>
      <c r="M227" s="215"/>
      <c r="N227" s="215"/>
      <c r="O227" s="215"/>
      <c r="P227" s="215"/>
      <c r="Q227" s="215"/>
      <c r="R227" s="215"/>
      <c r="S227" s="215"/>
      <c r="T227" s="215"/>
      <c r="U227" s="215"/>
      <c r="V227" s="215"/>
      <c r="W227" s="215"/>
      <c r="X227" s="215"/>
      <c r="Y227" s="215"/>
      <c r="Z227" s="215"/>
      <c r="AA227" s="215"/>
      <c r="AB227" s="215"/>
      <c r="AC227" s="215"/>
      <c r="AD227" s="215"/>
      <c r="AE227" s="215"/>
      <c r="AF227" s="215"/>
      <c r="AG227" s="215"/>
      <c r="AH227" s="215"/>
      <c r="AI227" s="215"/>
      <c r="AJ227" s="215"/>
      <c r="AK227" s="215"/>
      <c r="AL227" s="215"/>
      <c r="AM227" s="121">
        <f t="shared" si="7"/>
        <v>0</v>
      </c>
      <c r="AN227" s="564">
        <f>IF(AO227&lt;=3,(IF(AND(G227="5/24",AM227&gt;0.5),(AM227*2*база!$M$6*Таблица14[[#This Row],[коэф]]),
IF(AND(G227="4/24",AM227&gt;0.5),(AM227*2*база!$M$5*Таблица14[[#This Row],[коэф]]),
IF(AND(G227="3/24",AM227&gt;0.5),(AM227*2*база!$M$4*Таблица14[[#This Row],[коэф]]),
IF(AND(G227="5/16",AM227&gt;0.5),(AM227*2*база!$L$6*Таблица14[[#This Row],[коэф]]),
IF(AND(G227="4/16",AM227&gt;0.5),(AM227*2*база!$L$5*Таблица14[[#This Row],[коэф]]),
IF(AND(G227="3/16",AM227&gt;0.5),(AM227*2*база!$L$4*Таблица14[[#This Row],[коэф]]),
IF(AND(G227="4/4",AM227&gt;0.5),(AM227*2*база!$I$5*Таблица14[[#This Row],[коэф]]),
IF(OR(AND(G227="3/4",AM227&gt;0.5),AND(G227="2/4",AM227&gt;0.5)),(AM227*2*база!$I$4*Таблица14[[#This Row],[коэф]]),
IF(AND(G227="5/8",AM227&gt;0.5),(AM227*2*база!$J$6*Таблица14[[#This Row],[коэф]]),
IF(AND(G227="4/8",AM227&gt;0.5),(AM227*2*база!$J$5*Таблица14[[#This Row],[коэф]]),
IF(OR(AND(G227="3/8",AM227&gt;0.5),AND(G227="2/8",AM227&gt;0.5)),(AM227*2*база!$J$4*Таблица14[[#This Row],[коэф]]),
(AM227*0.5*база!$L$4*Таблица14[[#This Row],[коэф]]))))))))))))),
(IF(AND(G227="5/24",AM227&gt;0.5),(AM227*2*база!$M$6*Таблица14[[#This Row],[коэф]]),
IF(OR(AND(G227="4/24",AM227&gt;0.5),AND(G227="3/24",AM227&gt;0.5)),(AM227*2*база!$M$5*Таблица14[[#This Row],[коэф]]),
IF(AND(G227="5/16",AM227&gt;0.5),(AM227*2*база!$L$6*Таблица14[[#This Row],[коэф]]),
IF(OR(AND(G227="4/16",AM227&gt;0.5),AND(G227="3/16",AM227&gt;0.5)),(AM227*2*база!$L$5*Таблица14[[#This Row],[коэф]]),
IF(OR(AND(G227="4/4",AM227&gt;0.5),AND(G227="3/4",AM227&gt;2)),(AM227*2*база!$I$5*Таблица14[[#This Row],[коэф]]),
IF(AND(G227="5/8",AM227&gt;0.5),(AM227*2*база!$J$6*Таблица14[[#This Row],[коэф]]),
IF(AND(G227="4/8",AM227&gt;0.5),(AM227*2*база!$J$5*Таблица14[[#This Row],[коэф]]),
IF(OR(AND(G227="3/8",AM227&gt;0.5),AND(G227="2/8",AM227&gt;0.5)),(AM227*2*база!$J$4*Таблица14[[#This Row],[коэф]]),
(AM227*2*база!$L$5*Таблица14[[#This Row],[коэф]])))))))))))</f>
        <v>0</v>
      </c>
      <c r="AO227" s="122" t="str">
        <f>IFERROR(INDEX(база!$D$2:$D$120, MATCH(Таблица14[[#This Row],[Ф. И. О.]],база!$B$2:$B$100,0)),"")</f>
        <v/>
      </c>
    </row>
    <row r="228" spans="1:41" s="46" customFormat="1">
      <c r="A228" s="207" t="str">
        <f t="shared" si="6"/>
        <v>январь</v>
      </c>
      <c r="B228" s="240">
        <v>2024</v>
      </c>
      <c r="C228" s="572"/>
      <c r="D228" s="214"/>
      <c r="E228" s="241"/>
      <c r="F228" s="713"/>
      <c r="G228" s="242"/>
      <c r="H228" s="215"/>
      <c r="I228" s="215"/>
      <c r="J228" s="215"/>
      <c r="K228" s="215"/>
      <c r="L228" s="215"/>
      <c r="M228" s="215"/>
      <c r="N228" s="215"/>
      <c r="O228" s="215"/>
      <c r="P228" s="215"/>
      <c r="Q228" s="215"/>
      <c r="R228" s="215"/>
      <c r="S228" s="215"/>
      <c r="T228" s="215"/>
      <c r="U228" s="215"/>
      <c r="V228" s="215"/>
      <c r="W228" s="215"/>
      <c r="X228" s="215"/>
      <c r="Y228" s="215"/>
      <c r="Z228" s="215"/>
      <c r="AA228" s="215"/>
      <c r="AB228" s="215"/>
      <c r="AC228" s="215"/>
      <c r="AD228" s="215"/>
      <c r="AE228" s="215"/>
      <c r="AF228" s="215"/>
      <c r="AG228" s="215"/>
      <c r="AH228" s="215"/>
      <c r="AI228" s="215"/>
      <c r="AJ228" s="215"/>
      <c r="AK228" s="215"/>
      <c r="AL228" s="215"/>
      <c r="AM228" s="121">
        <f t="shared" si="7"/>
        <v>0</v>
      </c>
      <c r="AN228" s="564">
        <f>IF(AO228&lt;=3,(IF(AND(G228="5/24",AM228&gt;0.5),(AM228*2*база!$M$6*Таблица14[[#This Row],[коэф]]),
IF(AND(G228="4/24",AM228&gt;0.5),(AM228*2*база!$M$5*Таблица14[[#This Row],[коэф]]),
IF(AND(G228="3/24",AM228&gt;0.5),(AM228*2*база!$M$4*Таблица14[[#This Row],[коэф]]),
IF(AND(G228="5/16",AM228&gt;0.5),(AM228*2*база!$L$6*Таблица14[[#This Row],[коэф]]),
IF(AND(G228="4/16",AM228&gt;0.5),(AM228*2*база!$L$5*Таблица14[[#This Row],[коэф]]),
IF(AND(G228="3/16",AM228&gt;0.5),(AM228*2*база!$L$4*Таблица14[[#This Row],[коэф]]),
IF(AND(G228="4/4",AM228&gt;0.5),(AM228*2*база!$I$5*Таблица14[[#This Row],[коэф]]),
IF(OR(AND(G228="3/4",AM228&gt;0.5),AND(G228="2/4",AM228&gt;0.5)),(AM228*2*база!$I$4*Таблица14[[#This Row],[коэф]]),
IF(AND(G228="5/8",AM228&gt;0.5),(AM228*2*база!$J$6*Таблица14[[#This Row],[коэф]]),
IF(AND(G228="4/8",AM228&gt;0.5),(AM228*2*база!$J$5*Таблица14[[#This Row],[коэф]]),
IF(OR(AND(G228="3/8",AM228&gt;0.5),AND(G228="2/8",AM228&gt;0.5)),(AM228*2*база!$J$4*Таблица14[[#This Row],[коэф]]),
(AM228*0.5*база!$L$4*Таблица14[[#This Row],[коэф]]))))))))))))),
(IF(AND(G228="5/24",AM228&gt;0.5),(AM228*2*база!$M$6*Таблица14[[#This Row],[коэф]]),
IF(OR(AND(G228="4/24",AM228&gt;0.5),AND(G228="3/24",AM228&gt;0.5)),(AM228*2*база!$M$5*Таблица14[[#This Row],[коэф]]),
IF(AND(G228="5/16",AM228&gt;0.5),(AM228*2*база!$L$6*Таблица14[[#This Row],[коэф]]),
IF(OR(AND(G228="4/16",AM228&gt;0.5),AND(G228="3/16",AM228&gt;0.5)),(AM228*2*база!$L$5*Таблица14[[#This Row],[коэф]]),
IF(OR(AND(G228="4/4",AM228&gt;0.5),AND(G228="3/4",AM228&gt;2)),(AM228*2*база!$I$5*Таблица14[[#This Row],[коэф]]),
IF(AND(G228="5/8",AM228&gt;0.5),(AM228*2*база!$J$6*Таблица14[[#This Row],[коэф]]),
IF(AND(G228="4/8",AM228&gt;0.5),(AM228*2*база!$J$5*Таблица14[[#This Row],[коэф]]),
IF(OR(AND(G228="3/8",AM228&gt;0.5),AND(G228="2/8",AM228&gt;0.5)),(AM228*2*база!$J$4*Таблица14[[#This Row],[коэф]]),
(AM228*2*база!$L$5*Таблица14[[#This Row],[коэф]])))))))))))</f>
        <v>0</v>
      </c>
      <c r="AO228" s="122" t="str">
        <f>IFERROR(INDEX(база!$D$2:$D$120, MATCH(Таблица14[[#This Row],[Ф. И. О.]],база!$B$2:$B$100,0)),"")</f>
        <v/>
      </c>
    </row>
    <row r="229" spans="1:41" s="46" customFormat="1">
      <c r="A229" s="207" t="str">
        <f t="shared" si="6"/>
        <v>январь</v>
      </c>
      <c r="B229" s="204">
        <v>2024</v>
      </c>
      <c r="C229" s="572"/>
      <c r="D229" s="214"/>
      <c r="E229" s="243"/>
      <c r="F229" s="713"/>
      <c r="G229" s="206"/>
      <c r="H229" s="215"/>
      <c r="I229" s="215"/>
      <c r="J229" s="215"/>
      <c r="K229" s="215"/>
      <c r="L229" s="215"/>
      <c r="M229" s="215"/>
      <c r="N229" s="215"/>
      <c r="O229" s="215"/>
      <c r="P229" s="215"/>
      <c r="Q229" s="215"/>
      <c r="R229" s="215"/>
      <c r="S229" s="215"/>
      <c r="T229" s="215"/>
      <c r="U229" s="215"/>
      <c r="V229" s="215"/>
      <c r="W229" s="215"/>
      <c r="X229" s="215"/>
      <c r="Y229" s="215"/>
      <c r="Z229" s="215"/>
      <c r="AA229" s="215"/>
      <c r="AB229" s="215"/>
      <c r="AC229" s="215"/>
      <c r="AD229" s="215"/>
      <c r="AE229" s="215"/>
      <c r="AF229" s="215"/>
      <c r="AG229" s="215"/>
      <c r="AH229" s="215"/>
      <c r="AI229" s="215"/>
      <c r="AJ229" s="215"/>
      <c r="AK229" s="215"/>
      <c r="AL229" s="215"/>
      <c r="AM229" s="121">
        <f t="shared" si="7"/>
        <v>0</v>
      </c>
      <c r="AN229" s="564">
        <f>IF(AO229&lt;=3,(IF(AND(G229="5/24",AM229&gt;0.5),(AM229*2*база!$M$6*Таблица14[[#This Row],[коэф]]),
IF(AND(G229="4/24",AM229&gt;0.5),(AM229*2*база!$M$5*Таблица14[[#This Row],[коэф]]),
IF(AND(G229="3/24",AM229&gt;0.5),(AM229*2*база!$M$4*Таблица14[[#This Row],[коэф]]),
IF(AND(G229="5/16",AM229&gt;0.5),(AM229*2*база!$L$6*Таблица14[[#This Row],[коэф]]),
IF(AND(G229="4/16",AM229&gt;0.5),(AM229*2*база!$L$5*Таблица14[[#This Row],[коэф]]),
IF(AND(G229="3/16",AM229&gt;0.5),(AM229*2*база!$L$4*Таблица14[[#This Row],[коэф]]),
IF(AND(G229="4/4",AM229&gt;0.5),(AM229*2*база!$I$5*Таблица14[[#This Row],[коэф]]),
IF(OR(AND(G229="3/4",AM229&gt;0.5),AND(G229="2/4",AM229&gt;0.5)),(AM229*2*база!$I$4*Таблица14[[#This Row],[коэф]]),
IF(AND(G229="5/8",AM229&gt;0.5),(AM229*2*база!$J$6*Таблица14[[#This Row],[коэф]]),
IF(AND(G229="4/8",AM229&gt;0.5),(AM229*2*база!$J$5*Таблица14[[#This Row],[коэф]]),
IF(OR(AND(G229="3/8",AM229&gt;0.5),AND(G229="2/8",AM229&gt;0.5)),(AM229*2*база!$J$4*Таблица14[[#This Row],[коэф]]),
(AM229*0.5*база!$L$4*Таблица14[[#This Row],[коэф]]))))))))))))),
(IF(AND(G229="5/24",AM229&gt;0.5),(AM229*2*база!$M$6*Таблица14[[#This Row],[коэф]]),
IF(OR(AND(G229="4/24",AM229&gt;0.5),AND(G229="3/24",AM229&gt;0.5)),(AM229*2*база!$M$5*Таблица14[[#This Row],[коэф]]),
IF(AND(G229="5/16",AM229&gt;0.5),(AM229*2*база!$L$6*Таблица14[[#This Row],[коэф]]),
IF(OR(AND(G229="4/16",AM229&gt;0.5),AND(G229="3/16",AM229&gt;0.5)),(AM229*2*база!$L$5*Таблица14[[#This Row],[коэф]]),
IF(OR(AND(G229="4/4",AM229&gt;0.5),AND(G229="3/4",AM229&gt;2)),(AM229*2*база!$I$5*Таблица14[[#This Row],[коэф]]),
IF(AND(G229="5/8",AM229&gt;0.5),(AM229*2*база!$J$6*Таблица14[[#This Row],[коэф]]),
IF(AND(G229="4/8",AM229&gt;0.5),(AM229*2*база!$J$5*Таблица14[[#This Row],[коэф]]),
IF(OR(AND(G229="3/8",AM229&gt;0.5),AND(G229="2/8",AM229&gt;0.5)),(AM229*2*база!$J$4*Таблица14[[#This Row],[коэф]]),
(AM229*2*база!$L$5*Таблица14[[#This Row],[коэф]])))))))))))</f>
        <v>0</v>
      </c>
      <c r="AO229" s="122" t="str">
        <f>IFERROR(INDEX(база!$D$2:$D$120, MATCH(Таблица14[[#This Row],[Ф. И. О.]],база!$B$2:$B$100,0)),"")</f>
        <v/>
      </c>
    </row>
    <row r="230" spans="1:41" s="46" customFormat="1">
      <c r="A230" s="207" t="str">
        <f t="shared" si="6"/>
        <v>январь</v>
      </c>
      <c r="B230" s="240">
        <v>2024</v>
      </c>
      <c r="C230" s="572"/>
      <c r="D230" s="214"/>
      <c r="E230" s="241"/>
      <c r="F230" s="713"/>
      <c r="G230" s="242"/>
      <c r="H230" s="215"/>
      <c r="I230" s="215"/>
      <c r="J230" s="215"/>
      <c r="K230" s="215"/>
      <c r="L230" s="215"/>
      <c r="M230" s="215"/>
      <c r="N230" s="215"/>
      <c r="O230" s="215"/>
      <c r="P230" s="215"/>
      <c r="Q230" s="215"/>
      <c r="R230" s="215"/>
      <c r="S230" s="215"/>
      <c r="T230" s="215"/>
      <c r="U230" s="215"/>
      <c r="V230" s="215"/>
      <c r="W230" s="215"/>
      <c r="X230" s="215"/>
      <c r="Y230" s="215"/>
      <c r="Z230" s="215"/>
      <c r="AA230" s="215"/>
      <c r="AB230" s="215"/>
      <c r="AC230" s="215"/>
      <c r="AD230" s="215"/>
      <c r="AE230" s="215"/>
      <c r="AF230" s="215"/>
      <c r="AG230" s="215"/>
      <c r="AH230" s="215"/>
      <c r="AI230" s="215"/>
      <c r="AJ230" s="215"/>
      <c r="AK230" s="215"/>
      <c r="AL230" s="215"/>
      <c r="AM230" s="121">
        <f t="shared" si="7"/>
        <v>0</v>
      </c>
      <c r="AN230" s="564">
        <f>IF(AO230&lt;=3,(IF(AND(G230="5/24",AM230&gt;0.5),(AM230*2*база!$M$6*Таблица14[[#This Row],[коэф]]),
IF(AND(G230="4/24",AM230&gt;0.5),(AM230*2*база!$M$5*Таблица14[[#This Row],[коэф]]),
IF(AND(G230="3/24",AM230&gt;0.5),(AM230*2*база!$M$4*Таблица14[[#This Row],[коэф]]),
IF(AND(G230="5/16",AM230&gt;0.5),(AM230*2*база!$L$6*Таблица14[[#This Row],[коэф]]),
IF(AND(G230="4/16",AM230&gt;0.5),(AM230*2*база!$L$5*Таблица14[[#This Row],[коэф]]),
IF(AND(G230="3/16",AM230&gt;0.5),(AM230*2*база!$L$4*Таблица14[[#This Row],[коэф]]),
IF(AND(G230="4/4",AM230&gt;0.5),(AM230*2*база!$I$5*Таблица14[[#This Row],[коэф]]),
IF(OR(AND(G230="3/4",AM230&gt;0.5),AND(G230="2/4",AM230&gt;0.5)),(AM230*2*база!$I$4*Таблица14[[#This Row],[коэф]]),
IF(AND(G230="5/8",AM230&gt;0.5),(AM230*2*база!$J$6*Таблица14[[#This Row],[коэф]]),
IF(AND(G230="4/8",AM230&gt;0.5),(AM230*2*база!$J$5*Таблица14[[#This Row],[коэф]]),
IF(OR(AND(G230="3/8",AM230&gt;0.5),AND(G230="2/8",AM230&gt;0.5)),(AM230*2*база!$J$4*Таблица14[[#This Row],[коэф]]),
(AM230*0.5*база!$L$4*Таблица14[[#This Row],[коэф]]))))))))))))),
(IF(AND(G230="5/24",AM230&gt;0.5),(AM230*2*база!$M$6*Таблица14[[#This Row],[коэф]]),
IF(OR(AND(G230="4/24",AM230&gt;0.5),AND(G230="3/24",AM230&gt;0.5)),(AM230*2*база!$M$5*Таблица14[[#This Row],[коэф]]),
IF(AND(G230="5/16",AM230&gt;0.5),(AM230*2*база!$L$6*Таблица14[[#This Row],[коэф]]),
IF(OR(AND(G230="4/16",AM230&gt;0.5),AND(G230="3/16",AM230&gt;0.5)),(AM230*2*база!$L$5*Таблица14[[#This Row],[коэф]]),
IF(OR(AND(G230="4/4",AM230&gt;0.5),AND(G230="3/4",AM230&gt;2)),(AM230*2*база!$I$5*Таблица14[[#This Row],[коэф]]),
IF(AND(G230="5/8",AM230&gt;0.5),(AM230*2*база!$J$6*Таблица14[[#This Row],[коэф]]),
IF(AND(G230="4/8",AM230&gt;0.5),(AM230*2*база!$J$5*Таблица14[[#This Row],[коэф]]),
IF(OR(AND(G230="3/8",AM230&gt;0.5),AND(G230="2/8",AM230&gt;0.5)),(AM230*2*база!$J$4*Таблица14[[#This Row],[коэф]]),
(AM230*2*база!$L$5*Таблица14[[#This Row],[коэф]])))))))))))</f>
        <v>0</v>
      </c>
      <c r="AO230" s="122" t="str">
        <f>IFERROR(INDEX(база!$D$2:$D$120, MATCH(Таблица14[[#This Row],[Ф. И. О.]],база!$B$2:$B$100,0)),"")</f>
        <v/>
      </c>
    </row>
    <row r="231" spans="1:41" s="46" customFormat="1">
      <c r="A231" s="207" t="str">
        <f t="shared" si="6"/>
        <v>январь</v>
      </c>
      <c r="B231" s="204">
        <v>2024</v>
      </c>
      <c r="C231" s="572"/>
      <c r="D231" s="214"/>
      <c r="E231" s="243"/>
      <c r="F231" s="713"/>
      <c r="G231" s="206"/>
      <c r="H231" s="215"/>
      <c r="I231" s="215"/>
      <c r="J231" s="215"/>
      <c r="K231" s="215"/>
      <c r="L231" s="215"/>
      <c r="M231" s="215"/>
      <c r="N231" s="215"/>
      <c r="O231" s="215"/>
      <c r="P231" s="215"/>
      <c r="Q231" s="215"/>
      <c r="R231" s="215"/>
      <c r="S231" s="215"/>
      <c r="T231" s="215"/>
      <c r="U231" s="215"/>
      <c r="V231" s="215"/>
      <c r="W231" s="215"/>
      <c r="X231" s="215"/>
      <c r="Y231" s="215"/>
      <c r="Z231" s="215"/>
      <c r="AA231" s="215"/>
      <c r="AB231" s="215"/>
      <c r="AC231" s="215"/>
      <c r="AD231" s="215"/>
      <c r="AE231" s="215"/>
      <c r="AF231" s="215"/>
      <c r="AG231" s="215"/>
      <c r="AH231" s="215"/>
      <c r="AI231" s="215"/>
      <c r="AJ231" s="215"/>
      <c r="AK231" s="215"/>
      <c r="AL231" s="215"/>
      <c r="AM231" s="121">
        <f t="shared" si="7"/>
        <v>0</v>
      </c>
      <c r="AN231" s="564">
        <f>IF(AO231&lt;=3,(IF(AND(G231="5/24",AM231&gt;0.5),(AM231*2*база!$M$6*Таблица14[[#This Row],[коэф]]),
IF(AND(G231="4/24",AM231&gt;0.5),(AM231*2*база!$M$5*Таблица14[[#This Row],[коэф]]),
IF(AND(G231="3/24",AM231&gt;0.5),(AM231*2*база!$M$4*Таблица14[[#This Row],[коэф]]),
IF(AND(G231="5/16",AM231&gt;0.5),(AM231*2*база!$L$6*Таблица14[[#This Row],[коэф]]),
IF(AND(G231="4/16",AM231&gt;0.5),(AM231*2*база!$L$5*Таблица14[[#This Row],[коэф]]),
IF(AND(G231="3/16",AM231&gt;0.5),(AM231*2*база!$L$4*Таблица14[[#This Row],[коэф]]),
IF(AND(G231="4/4",AM231&gt;0.5),(AM231*2*база!$I$5*Таблица14[[#This Row],[коэф]]),
IF(OR(AND(G231="3/4",AM231&gt;0.5),AND(G231="2/4",AM231&gt;0.5)),(AM231*2*база!$I$4*Таблица14[[#This Row],[коэф]]),
IF(AND(G231="5/8",AM231&gt;0.5),(AM231*2*база!$J$6*Таблица14[[#This Row],[коэф]]),
IF(AND(G231="4/8",AM231&gt;0.5),(AM231*2*база!$J$5*Таблица14[[#This Row],[коэф]]),
IF(OR(AND(G231="3/8",AM231&gt;0.5),AND(G231="2/8",AM231&gt;0.5)),(AM231*2*база!$J$4*Таблица14[[#This Row],[коэф]]),
(AM231*0.5*база!$L$4*Таблица14[[#This Row],[коэф]]))))))))))))),
(IF(AND(G231="5/24",AM231&gt;0.5),(AM231*2*база!$M$6*Таблица14[[#This Row],[коэф]]),
IF(OR(AND(G231="4/24",AM231&gt;0.5),AND(G231="3/24",AM231&gt;0.5)),(AM231*2*база!$M$5*Таблица14[[#This Row],[коэф]]),
IF(AND(G231="5/16",AM231&gt;0.5),(AM231*2*база!$L$6*Таблица14[[#This Row],[коэф]]),
IF(OR(AND(G231="4/16",AM231&gt;0.5),AND(G231="3/16",AM231&gt;0.5)),(AM231*2*база!$L$5*Таблица14[[#This Row],[коэф]]),
IF(OR(AND(G231="4/4",AM231&gt;0.5),AND(G231="3/4",AM231&gt;2)),(AM231*2*база!$I$5*Таблица14[[#This Row],[коэф]]),
IF(AND(G231="5/8",AM231&gt;0.5),(AM231*2*база!$J$6*Таблица14[[#This Row],[коэф]]),
IF(AND(G231="4/8",AM231&gt;0.5),(AM231*2*база!$J$5*Таблица14[[#This Row],[коэф]]),
IF(OR(AND(G231="3/8",AM231&gt;0.5),AND(G231="2/8",AM231&gt;0.5)),(AM231*2*база!$J$4*Таблица14[[#This Row],[коэф]]),
(AM231*2*база!$L$5*Таблица14[[#This Row],[коэф]])))))))))))</f>
        <v>0</v>
      </c>
      <c r="AO231" s="122" t="str">
        <f>IFERROR(INDEX(база!$D$2:$D$120, MATCH(Таблица14[[#This Row],[Ф. И. О.]],база!$B$2:$B$100,0)),"")</f>
        <v/>
      </c>
    </row>
    <row r="232" spans="1:41" s="46" customFormat="1">
      <c r="A232" s="207" t="str">
        <f t="shared" si="6"/>
        <v>январь</v>
      </c>
      <c r="B232" s="240">
        <v>2024</v>
      </c>
      <c r="C232" s="572"/>
      <c r="D232" s="214"/>
      <c r="E232" s="241"/>
      <c r="F232" s="713"/>
      <c r="G232" s="242"/>
      <c r="H232" s="215"/>
      <c r="I232" s="215"/>
      <c r="J232" s="215"/>
      <c r="K232" s="215"/>
      <c r="L232" s="215"/>
      <c r="M232" s="215"/>
      <c r="N232" s="215"/>
      <c r="O232" s="215"/>
      <c r="P232" s="215"/>
      <c r="Q232" s="215"/>
      <c r="R232" s="215"/>
      <c r="S232" s="215"/>
      <c r="T232" s="215"/>
      <c r="U232" s="215"/>
      <c r="V232" s="215"/>
      <c r="W232" s="215"/>
      <c r="X232" s="215"/>
      <c r="Y232" s="215"/>
      <c r="Z232" s="215"/>
      <c r="AA232" s="215"/>
      <c r="AB232" s="215"/>
      <c r="AC232" s="215"/>
      <c r="AD232" s="215"/>
      <c r="AE232" s="215"/>
      <c r="AF232" s="215"/>
      <c r="AG232" s="215"/>
      <c r="AH232" s="215"/>
      <c r="AI232" s="215"/>
      <c r="AJ232" s="215"/>
      <c r="AK232" s="215"/>
      <c r="AL232" s="215"/>
      <c r="AM232" s="121">
        <f t="shared" si="7"/>
        <v>0</v>
      </c>
      <c r="AN232" s="564">
        <f>IF(AO232&lt;=3,(IF(AND(G232="5/24",AM232&gt;0.5),(AM232*2*база!$M$6*Таблица14[[#This Row],[коэф]]),
IF(AND(G232="4/24",AM232&gt;0.5),(AM232*2*база!$M$5*Таблица14[[#This Row],[коэф]]),
IF(AND(G232="3/24",AM232&gt;0.5),(AM232*2*база!$M$4*Таблица14[[#This Row],[коэф]]),
IF(AND(G232="5/16",AM232&gt;0.5),(AM232*2*база!$L$6*Таблица14[[#This Row],[коэф]]),
IF(AND(G232="4/16",AM232&gt;0.5),(AM232*2*база!$L$5*Таблица14[[#This Row],[коэф]]),
IF(AND(G232="3/16",AM232&gt;0.5),(AM232*2*база!$L$4*Таблица14[[#This Row],[коэф]]),
IF(AND(G232="4/4",AM232&gt;0.5),(AM232*2*база!$I$5*Таблица14[[#This Row],[коэф]]),
IF(OR(AND(G232="3/4",AM232&gt;0.5),AND(G232="2/4",AM232&gt;0.5)),(AM232*2*база!$I$4*Таблица14[[#This Row],[коэф]]),
IF(AND(G232="5/8",AM232&gt;0.5),(AM232*2*база!$J$6*Таблица14[[#This Row],[коэф]]),
IF(AND(G232="4/8",AM232&gt;0.5),(AM232*2*база!$J$5*Таблица14[[#This Row],[коэф]]),
IF(OR(AND(G232="3/8",AM232&gt;0.5),AND(G232="2/8",AM232&gt;0.5)),(AM232*2*база!$J$4*Таблица14[[#This Row],[коэф]]),
(AM232*0.5*база!$L$4*Таблица14[[#This Row],[коэф]]))))))))))))),
(IF(AND(G232="5/24",AM232&gt;0.5),(AM232*2*база!$M$6*Таблица14[[#This Row],[коэф]]),
IF(OR(AND(G232="4/24",AM232&gt;0.5),AND(G232="3/24",AM232&gt;0.5)),(AM232*2*база!$M$5*Таблица14[[#This Row],[коэф]]),
IF(AND(G232="5/16",AM232&gt;0.5),(AM232*2*база!$L$6*Таблица14[[#This Row],[коэф]]),
IF(OR(AND(G232="4/16",AM232&gt;0.5),AND(G232="3/16",AM232&gt;0.5)),(AM232*2*база!$L$5*Таблица14[[#This Row],[коэф]]),
IF(OR(AND(G232="4/4",AM232&gt;0.5),AND(G232="3/4",AM232&gt;2)),(AM232*2*база!$I$5*Таблица14[[#This Row],[коэф]]),
IF(AND(G232="5/8",AM232&gt;0.5),(AM232*2*база!$J$6*Таблица14[[#This Row],[коэф]]),
IF(AND(G232="4/8",AM232&gt;0.5),(AM232*2*база!$J$5*Таблица14[[#This Row],[коэф]]),
IF(OR(AND(G232="3/8",AM232&gt;0.5),AND(G232="2/8",AM232&gt;0.5)),(AM232*2*база!$J$4*Таблица14[[#This Row],[коэф]]),
(AM232*2*база!$L$5*Таблица14[[#This Row],[коэф]])))))))))))</f>
        <v>0</v>
      </c>
      <c r="AO232" s="122" t="str">
        <f>IFERROR(INDEX(база!$D$2:$D$120, MATCH(Таблица14[[#This Row],[Ф. И. О.]],база!$B$2:$B$100,0)),"")</f>
        <v/>
      </c>
    </row>
    <row r="233" spans="1:41" s="46" customFormat="1">
      <c r="A233" s="207" t="str">
        <f t="shared" si="6"/>
        <v>январь</v>
      </c>
      <c r="B233" s="204">
        <v>2024</v>
      </c>
      <c r="C233" s="572"/>
      <c r="D233" s="214"/>
      <c r="E233" s="243"/>
      <c r="F233" s="713"/>
      <c r="G233" s="206"/>
      <c r="H233" s="215"/>
      <c r="I233" s="215"/>
      <c r="J233" s="215"/>
      <c r="K233" s="215"/>
      <c r="L233" s="215"/>
      <c r="M233" s="215"/>
      <c r="N233" s="215"/>
      <c r="O233" s="215"/>
      <c r="P233" s="215"/>
      <c r="Q233" s="215"/>
      <c r="R233" s="215"/>
      <c r="S233" s="215"/>
      <c r="T233" s="215"/>
      <c r="U233" s="215"/>
      <c r="V233" s="215"/>
      <c r="W233" s="215"/>
      <c r="X233" s="215"/>
      <c r="Y233" s="215"/>
      <c r="Z233" s="215"/>
      <c r="AA233" s="215"/>
      <c r="AB233" s="215"/>
      <c r="AC233" s="215"/>
      <c r="AD233" s="215"/>
      <c r="AE233" s="215"/>
      <c r="AF233" s="215"/>
      <c r="AG233" s="215"/>
      <c r="AH233" s="215"/>
      <c r="AI233" s="215"/>
      <c r="AJ233" s="215"/>
      <c r="AK233" s="215"/>
      <c r="AL233" s="215"/>
      <c r="AM233" s="121">
        <f t="shared" si="7"/>
        <v>0</v>
      </c>
      <c r="AN233" s="564">
        <f>IF(AO233&lt;=3,(IF(AND(G233="5/24",AM233&gt;0.5),(AM233*2*база!$M$6*Таблица14[[#This Row],[коэф]]),
IF(AND(G233="4/24",AM233&gt;0.5),(AM233*2*база!$M$5*Таблица14[[#This Row],[коэф]]),
IF(AND(G233="3/24",AM233&gt;0.5),(AM233*2*база!$M$4*Таблица14[[#This Row],[коэф]]),
IF(AND(G233="5/16",AM233&gt;0.5),(AM233*2*база!$L$6*Таблица14[[#This Row],[коэф]]),
IF(AND(G233="4/16",AM233&gt;0.5),(AM233*2*база!$L$5*Таблица14[[#This Row],[коэф]]),
IF(AND(G233="3/16",AM233&gt;0.5),(AM233*2*база!$L$4*Таблица14[[#This Row],[коэф]]),
IF(AND(G233="4/4",AM233&gt;0.5),(AM233*2*база!$I$5*Таблица14[[#This Row],[коэф]]),
IF(OR(AND(G233="3/4",AM233&gt;0.5),AND(G233="2/4",AM233&gt;0.5)),(AM233*2*база!$I$4*Таблица14[[#This Row],[коэф]]),
IF(AND(G233="5/8",AM233&gt;0.5),(AM233*2*база!$J$6*Таблица14[[#This Row],[коэф]]),
IF(AND(G233="4/8",AM233&gt;0.5),(AM233*2*база!$J$5*Таблица14[[#This Row],[коэф]]),
IF(OR(AND(G233="3/8",AM233&gt;0.5),AND(G233="2/8",AM233&gt;0.5)),(AM233*2*база!$J$4*Таблица14[[#This Row],[коэф]]),
(AM233*0.5*база!$L$4*Таблица14[[#This Row],[коэф]]))))))))))))),
(IF(AND(G233="5/24",AM233&gt;0.5),(AM233*2*база!$M$6*Таблица14[[#This Row],[коэф]]),
IF(OR(AND(G233="4/24",AM233&gt;0.5),AND(G233="3/24",AM233&gt;0.5)),(AM233*2*база!$M$5*Таблица14[[#This Row],[коэф]]),
IF(AND(G233="5/16",AM233&gt;0.5),(AM233*2*база!$L$6*Таблица14[[#This Row],[коэф]]),
IF(OR(AND(G233="4/16",AM233&gt;0.5),AND(G233="3/16",AM233&gt;0.5)),(AM233*2*база!$L$5*Таблица14[[#This Row],[коэф]]),
IF(OR(AND(G233="4/4",AM233&gt;0.5),AND(G233="3/4",AM233&gt;2)),(AM233*2*база!$I$5*Таблица14[[#This Row],[коэф]]),
IF(AND(G233="5/8",AM233&gt;0.5),(AM233*2*база!$J$6*Таблица14[[#This Row],[коэф]]),
IF(AND(G233="4/8",AM233&gt;0.5),(AM233*2*база!$J$5*Таблица14[[#This Row],[коэф]]),
IF(OR(AND(G233="3/8",AM233&gt;0.5),AND(G233="2/8",AM233&gt;0.5)),(AM233*2*база!$J$4*Таблица14[[#This Row],[коэф]]),
(AM233*2*база!$L$5*Таблица14[[#This Row],[коэф]])))))))))))</f>
        <v>0</v>
      </c>
      <c r="AO233" s="122" t="str">
        <f>IFERROR(INDEX(база!$D$2:$D$120, MATCH(Таблица14[[#This Row],[Ф. И. О.]],база!$B$2:$B$100,0)),"")</f>
        <v/>
      </c>
    </row>
    <row r="234" spans="1:41" s="46" customFormat="1">
      <c r="A234" s="207" t="str">
        <f t="shared" si="6"/>
        <v>январь</v>
      </c>
      <c r="B234" s="240">
        <v>2024</v>
      </c>
      <c r="C234" s="572"/>
      <c r="D234" s="214"/>
      <c r="E234" s="241"/>
      <c r="F234" s="713"/>
      <c r="G234" s="242"/>
      <c r="H234" s="215"/>
      <c r="I234" s="215"/>
      <c r="J234" s="215"/>
      <c r="K234" s="215"/>
      <c r="L234" s="215"/>
      <c r="M234" s="215"/>
      <c r="N234" s="215"/>
      <c r="O234" s="215"/>
      <c r="P234" s="215"/>
      <c r="Q234" s="215"/>
      <c r="R234" s="215"/>
      <c r="S234" s="215"/>
      <c r="T234" s="215"/>
      <c r="U234" s="215"/>
      <c r="V234" s="215"/>
      <c r="W234" s="215"/>
      <c r="X234" s="215"/>
      <c r="Y234" s="215"/>
      <c r="Z234" s="215"/>
      <c r="AA234" s="215"/>
      <c r="AB234" s="215"/>
      <c r="AC234" s="215"/>
      <c r="AD234" s="215"/>
      <c r="AE234" s="215"/>
      <c r="AF234" s="215"/>
      <c r="AG234" s="215"/>
      <c r="AH234" s="215"/>
      <c r="AI234" s="215"/>
      <c r="AJ234" s="215"/>
      <c r="AK234" s="215"/>
      <c r="AL234" s="215"/>
      <c r="AM234" s="121">
        <f t="shared" si="7"/>
        <v>0</v>
      </c>
      <c r="AN234" s="564">
        <f>IF(AO234&lt;=3,(IF(AND(G234="5/24",AM234&gt;0.5),(AM234*2*база!$M$6*Таблица14[[#This Row],[коэф]]),
IF(AND(G234="4/24",AM234&gt;0.5),(AM234*2*база!$M$5*Таблица14[[#This Row],[коэф]]),
IF(AND(G234="3/24",AM234&gt;0.5),(AM234*2*база!$M$4*Таблица14[[#This Row],[коэф]]),
IF(AND(G234="5/16",AM234&gt;0.5),(AM234*2*база!$L$6*Таблица14[[#This Row],[коэф]]),
IF(AND(G234="4/16",AM234&gt;0.5),(AM234*2*база!$L$5*Таблица14[[#This Row],[коэф]]),
IF(AND(G234="3/16",AM234&gt;0.5),(AM234*2*база!$L$4*Таблица14[[#This Row],[коэф]]),
IF(AND(G234="4/4",AM234&gt;0.5),(AM234*2*база!$I$5*Таблица14[[#This Row],[коэф]]),
IF(OR(AND(G234="3/4",AM234&gt;0.5),AND(G234="2/4",AM234&gt;0.5)),(AM234*2*база!$I$4*Таблица14[[#This Row],[коэф]]),
IF(AND(G234="5/8",AM234&gt;0.5),(AM234*2*база!$J$6*Таблица14[[#This Row],[коэф]]),
IF(AND(G234="4/8",AM234&gt;0.5),(AM234*2*база!$J$5*Таблица14[[#This Row],[коэф]]),
IF(OR(AND(G234="3/8",AM234&gt;0.5),AND(G234="2/8",AM234&gt;0.5)),(AM234*2*база!$J$4*Таблица14[[#This Row],[коэф]]),
(AM234*0.5*база!$L$4*Таблица14[[#This Row],[коэф]]))))))))))))),
(IF(AND(G234="5/24",AM234&gt;0.5),(AM234*2*база!$M$6*Таблица14[[#This Row],[коэф]]),
IF(OR(AND(G234="4/24",AM234&gt;0.5),AND(G234="3/24",AM234&gt;0.5)),(AM234*2*база!$M$5*Таблица14[[#This Row],[коэф]]),
IF(AND(G234="5/16",AM234&gt;0.5),(AM234*2*база!$L$6*Таблица14[[#This Row],[коэф]]),
IF(OR(AND(G234="4/16",AM234&gt;0.5),AND(G234="3/16",AM234&gt;0.5)),(AM234*2*база!$L$5*Таблица14[[#This Row],[коэф]]),
IF(OR(AND(G234="4/4",AM234&gt;0.5),AND(G234="3/4",AM234&gt;2)),(AM234*2*база!$I$5*Таблица14[[#This Row],[коэф]]),
IF(AND(G234="5/8",AM234&gt;0.5),(AM234*2*база!$J$6*Таблица14[[#This Row],[коэф]]),
IF(AND(G234="4/8",AM234&gt;0.5),(AM234*2*база!$J$5*Таблица14[[#This Row],[коэф]]),
IF(OR(AND(G234="3/8",AM234&gt;0.5),AND(G234="2/8",AM234&gt;0.5)),(AM234*2*база!$J$4*Таблица14[[#This Row],[коэф]]),
(AM234*2*база!$L$5*Таблица14[[#This Row],[коэф]])))))))))))</f>
        <v>0</v>
      </c>
      <c r="AO234" s="122" t="str">
        <f>IFERROR(INDEX(база!$D$2:$D$120, MATCH(Таблица14[[#This Row],[Ф. И. О.]],база!$B$2:$B$100,0)),"")</f>
        <v/>
      </c>
    </row>
    <row r="235" spans="1:41" s="46" customFormat="1">
      <c r="A235" s="207" t="str">
        <f t="shared" si="6"/>
        <v>январь</v>
      </c>
      <c r="B235" s="204">
        <v>2024</v>
      </c>
      <c r="C235" s="572"/>
      <c r="D235" s="214"/>
      <c r="E235" s="243"/>
      <c r="F235" s="713"/>
      <c r="G235" s="206"/>
      <c r="H235" s="215"/>
      <c r="I235" s="215"/>
      <c r="J235" s="215"/>
      <c r="K235" s="215"/>
      <c r="L235" s="215"/>
      <c r="M235" s="215"/>
      <c r="N235" s="215"/>
      <c r="O235" s="215"/>
      <c r="P235" s="215"/>
      <c r="Q235" s="215"/>
      <c r="R235" s="215"/>
      <c r="S235" s="215"/>
      <c r="T235" s="215"/>
      <c r="U235" s="215"/>
      <c r="V235" s="215"/>
      <c r="W235" s="215"/>
      <c r="X235" s="215"/>
      <c r="Y235" s="215"/>
      <c r="Z235" s="215"/>
      <c r="AA235" s="215"/>
      <c r="AB235" s="215"/>
      <c r="AC235" s="215"/>
      <c r="AD235" s="215"/>
      <c r="AE235" s="215"/>
      <c r="AF235" s="215"/>
      <c r="AG235" s="215"/>
      <c r="AH235" s="215"/>
      <c r="AI235" s="215"/>
      <c r="AJ235" s="215"/>
      <c r="AK235" s="215"/>
      <c r="AL235" s="215"/>
      <c r="AM235" s="121">
        <f t="shared" si="7"/>
        <v>0</v>
      </c>
      <c r="AN235" s="564">
        <f>IF(AO235&lt;=3,(IF(AND(G235="5/24",AM235&gt;0.5),(AM235*2*база!$M$6*Таблица14[[#This Row],[коэф]]),
IF(AND(G235="4/24",AM235&gt;0.5),(AM235*2*база!$M$5*Таблица14[[#This Row],[коэф]]),
IF(AND(G235="3/24",AM235&gt;0.5),(AM235*2*база!$M$4*Таблица14[[#This Row],[коэф]]),
IF(AND(G235="5/16",AM235&gt;0.5),(AM235*2*база!$L$6*Таблица14[[#This Row],[коэф]]),
IF(AND(G235="4/16",AM235&gt;0.5),(AM235*2*база!$L$5*Таблица14[[#This Row],[коэф]]),
IF(AND(G235="3/16",AM235&gt;0.5),(AM235*2*база!$L$4*Таблица14[[#This Row],[коэф]]),
IF(AND(G235="4/4",AM235&gt;0.5),(AM235*2*база!$I$5*Таблица14[[#This Row],[коэф]]),
IF(OR(AND(G235="3/4",AM235&gt;0.5),AND(G235="2/4",AM235&gt;0.5)),(AM235*2*база!$I$4*Таблица14[[#This Row],[коэф]]),
IF(AND(G235="5/8",AM235&gt;0.5),(AM235*2*база!$J$6*Таблица14[[#This Row],[коэф]]),
IF(AND(G235="4/8",AM235&gt;0.5),(AM235*2*база!$J$5*Таблица14[[#This Row],[коэф]]),
IF(OR(AND(G235="3/8",AM235&gt;0.5),AND(G235="2/8",AM235&gt;0.5)),(AM235*2*база!$J$4*Таблица14[[#This Row],[коэф]]),
(AM235*0.5*база!$L$4*Таблица14[[#This Row],[коэф]]))))))))))))),
(IF(AND(G235="5/24",AM235&gt;0.5),(AM235*2*база!$M$6*Таблица14[[#This Row],[коэф]]),
IF(OR(AND(G235="4/24",AM235&gt;0.5),AND(G235="3/24",AM235&gt;0.5)),(AM235*2*база!$M$5*Таблица14[[#This Row],[коэф]]),
IF(AND(G235="5/16",AM235&gt;0.5),(AM235*2*база!$L$6*Таблица14[[#This Row],[коэф]]),
IF(OR(AND(G235="4/16",AM235&gt;0.5),AND(G235="3/16",AM235&gt;0.5)),(AM235*2*база!$L$5*Таблица14[[#This Row],[коэф]]),
IF(OR(AND(G235="4/4",AM235&gt;0.5),AND(G235="3/4",AM235&gt;2)),(AM235*2*база!$I$5*Таблица14[[#This Row],[коэф]]),
IF(AND(G235="5/8",AM235&gt;0.5),(AM235*2*база!$J$6*Таблица14[[#This Row],[коэф]]),
IF(AND(G235="4/8",AM235&gt;0.5),(AM235*2*база!$J$5*Таблица14[[#This Row],[коэф]]),
IF(OR(AND(G235="3/8",AM235&gt;0.5),AND(G235="2/8",AM235&gt;0.5)),(AM235*2*база!$J$4*Таблица14[[#This Row],[коэф]]),
(AM235*2*база!$L$5*Таблица14[[#This Row],[коэф]])))))))))))</f>
        <v>0</v>
      </c>
      <c r="AO235" s="122" t="str">
        <f>IFERROR(INDEX(база!$D$2:$D$120, MATCH(Таблица14[[#This Row],[Ф. И. О.]],база!$B$2:$B$100,0)),"")</f>
        <v/>
      </c>
    </row>
    <row r="236" spans="1:41" s="46" customFormat="1">
      <c r="A236" s="207" t="str">
        <f t="shared" si="6"/>
        <v>январь</v>
      </c>
      <c r="B236" s="240">
        <v>2024</v>
      </c>
      <c r="C236" s="572"/>
      <c r="D236" s="214"/>
      <c r="E236" s="241"/>
      <c r="F236" s="713"/>
      <c r="G236" s="242"/>
      <c r="H236" s="215"/>
      <c r="I236" s="215"/>
      <c r="J236" s="215"/>
      <c r="K236" s="215"/>
      <c r="L236" s="215"/>
      <c r="M236" s="215"/>
      <c r="N236" s="215"/>
      <c r="O236" s="215"/>
      <c r="P236" s="215"/>
      <c r="Q236" s="215"/>
      <c r="R236" s="215"/>
      <c r="S236" s="215"/>
      <c r="T236" s="215"/>
      <c r="U236" s="215"/>
      <c r="V236" s="215"/>
      <c r="W236" s="215"/>
      <c r="X236" s="215"/>
      <c r="Y236" s="215"/>
      <c r="Z236" s="215"/>
      <c r="AA236" s="215"/>
      <c r="AB236" s="215"/>
      <c r="AC236" s="215"/>
      <c r="AD236" s="215"/>
      <c r="AE236" s="215"/>
      <c r="AF236" s="215"/>
      <c r="AG236" s="215"/>
      <c r="AH236" s="215"/>
      <c r="AI236" s="215"/>
      <c r="AJ236" s="215"/>
      <c r="AK236" s="215"/>
      <c r="AL236" s="215"/>
      <c r="AM236" s="121">
        <f t="shared" si="7"/>
        <v>0</v>
      </c>
      <c r="AN236" s="564">
        <f>IF(AO236&lt;=3,(IF(AND(G236="5/24",AM236&gt;0.5),(AM236*2*база!$M$6*Таблица14[[#This Row],[коэф]]),
IF(AND(G236="4/24",AM236&gt;0.5),(AM236*2*база!$M$5*Таблица14[[#This Row],[коэф]]),
IF(AND(G236="3/24",AM236&gt;0.5),(AM236*2*база!$M$4*Таблица14[[#This Row],[коэф]]),
IF(AND(G236="5/16",AM236&gt;0.5),(AM236*2*база!$L$6*Таблица14[[#This Row],[коэф]]),
IF(AND(G236="4/16",AM236&gt;0.5),(AM236*2*база!$L$5*Таблица14[[#This Row],[коэф]]),
IF(AND(G236="3/16",AM236&gt;0.5),(AM236*2*база!$L$4*Таблица14[[#This Row],[коэф]]),
IF(AND(G236="4/4",AM236&gt;0.5),(AM236*2*база!$I$5*Таблица14[[#This Row],[коэф]]),
IF(OR(AND(G236="3/4",AM236&gt;0.5),AND(G236="2/4",AM236&gt;0.5)),(AM236*2*база!$I$4*Таблица14[[#This Row],[коэф]]),
IF(AND(G236="5/8",AM236&gt;0.5),(AM236*2*база!$J$6*Таблица14[[#This Row],[коэф]]),
IF(AND(G236="4/8",AM236&gt;0.5),(AM236*2*база!$J$5*Таблица14[[#This Row],[коэф]]),
IF(OR(AND(G236="3/8",AM236&gt;0.5),AND(G236="2/8",AM236&gt;0.5)),(AM236*2*база!$J$4*Таблица14[[#This Row],[коэф]]),
(AM236*0.5*база!$L$4*Таблица14[[#This Row],[коэф]]))))))))))))),
(IF(AND(G236="5/24",AM236&gt;0.5),(AM236*2*база!$M$6*Таблица14[[#This Row],[коэф]]),
IF(OR(AND(G236="4/24",AM236&gt;0.5),AND(G236="3/24",AM236&gt;0.5)),(AM236*2*база!$M$5*Таблица14[[#This Row],[коэф]]),
IF(AND(G236="5/16",AM236&gt;0.5),(AM236*2*база!$L$6*Таблица14[[#This Row],[коэф]]),
IF(OR(AND(G236="4/16",AM236&gt;0.5),AND(G236="3/16",AM236&gt;0.5)),(AM236*2*база!$L$5*Таблица14[[#This Row],[коэф]]),
IF(OR(AND(G236="4/4",AM236&gt;0.5),AND(G236="3/4",AM236&gt;2)),(AM236*2*база!$I$5*Таблица14[[#This Row],[коэф]]),
IF(AND(G236="5/8",AM236&gt;0.5),(AM236*2*база!$J$6*Таблица14[[#This Row],[коэф]]),
IF(AND(G236="4/8",AM236&gt;0.5),(AM236*2*база!$J$5*Таблица14[[#This Row],[коэф]]),
IF(OR(AND(G236="3/8",AM236&gt;0.5),AND(G236="2/8",AM236&gt;0.5)),(AM236*2*база!$J$4*Таблица14[[#This Row],[коэф]]),
(AM236*2*база!$L$5*Таблица14[[#This Row],[коэф]])))))))))))</f>
        <v>0</v>
      </c>
      <c r="AO236" s="122" t="str">
        <f>IFERROR(INDEX(база!$D$2:$D$120, MATCH(Таблица14[[#This Row],[Ф. И. О.]],база!$B$2:$B$100,0)),"")</f>
        <v/>
      </c>
    </row>
    <row r="237" spans="1:41" s="46" customFormat="1">
      <c r="A237" s="207" t="str">
        <f t="shared" si="6"/>
        <v>январь</v>
      </c>
      <c r="B237" s="204">
        <v>2024</v>
      </c>
      <c r="C237" s="572"/>
      <c r="D237" s="214"/>
      <c r="E237" s="243"/>
      <c r="F237" s="713"/>
      <c r="G237" s="206"/>
      <c r="H237" s="215"/>
      <c r="I237" s="215"/>
      <c r="J237" s="215"/>
      <c r="K237" s="215"/>
      <c r="L237" s="215"/>
      <c r="M237" s="215"/>
      <c r="N237" s="215"/>
      <c r="O237" s="215"/>
      <c r="P237" s="215"/>
      <c r="Q237" s="215"/>
      <c r="R237" s="215"/>
      <c r="S237" s="215"/>
      <c r="T237" s="215"/>
      <c r="U237" s="215"/>
      <c r="V237" s="215"/>
      <c r="W237" s="215"/>
      <c r="X237" s="215"/>
      <c r="Y237" s="215"/>
      <c r="Z237" s="215"/>
      <c r="AA237" s="215"/>
      <c r="AB237" s="215"/>
      <c r="AC237" s="215"/>
      <c r="AD237" s="215"/>
      <c r="AE237" s="215"/>
      <c r="AF237" s="215"/>
      <c r="AG237" s="215"/>
      <c r="AH237" s="215"/>
      <c r="AI237" s="215"/>
      <c r="AJ237" s="215"/>
      <c r="AK237" s="215"/>
      <c r="AL237" s="215"/>
      <c r="AM237" s="121">
        <f t="shared" si="7"/>
        <v>0</v>
      </c>
      <c r="AN237" s="564">
        <f>IF(AO237&lt;=3,(IF(AND(G237="5/24",AM237&gt;0.5),(AM237*2*база!$M$6*Таблица14[[#This Row],[коэф]]),
IF(AND(G237="4/24",AM237&gt;0.5),(AM237*2*база!$M$5*Таблица14[[#This Row],[коэф]]),
IF(AND(G237="3/24",AM237&gt;0.5),(AM237*2*база!$M$4*Таблица14[[#This Row],[коэф]]),
IF(AND(G237="5/16",AM237&gt;0.5),(AM237*2*база!$L$6*Таблица14[[#This Row],[коэф]]),
IF(AND(G237="4/16",AM237&gt;0.5),(AM237*2*база!$L$5*Таблица14[[#This Row],[коэф]]),
IF(AND(G237="3/16",AM237&gt;0.5),(AM237*2*база!$L$4*Таблица14[[#This Row],[коэф]]),
IF(AND(G237="4/4",AM237&gt;0.5),(AM237*2*база!$I$5*Таблица14[[#This Row],[коэф]]),
IF(OR(AND(G237="3/4",AM237&gt;0.5),AND(G237="2/4",AM237&gt;0.5)),(AM237*2*база!$I$4*Таблица14[[#This Row],[коэф]]),
IF(AND(G237="5/8",AM237&gt;0.5),(AM237*2*база!$J$6*Таблица14[[#This Row],[коэф]]),
IF(AND(G237="4/8",AM237&gt;0.5),(AM237*2*база!$J$5*Таблица14[[#This Row],[коэф]]),
IF(OR(AND(G237="3/8",AM237&gt;0.5),AND(G237="2/8",AM237&gt;0.5)),(AM237*2*база!$J$4*Таблица14[[#This Row],[коэф]]),
(AM237*0.5*база!$L$4*Таблица14[[#This Row],[коэф]]))))))))))))),
(IF(AND(G237="5/24",AM237&gt;0.5),(AM237*2*база!$M$6*Таблица14[[#This Row],[коэф]]),
IF(OR(AND(G237="4/24",AM237&gt;0.5),AND(G237="3/24",AM237&gt;0.5)),(AM237*2*база!$M$5*Таблица14[[#This Row],[коэф]]),
IF(AND(G237="5/16",AM237&gt;0.5),(AM237*2*база!$L$6*Таблица14[[#This Row],[коэф]]),
IF(OR(AND(G237="4/16",AM237&gt;0.5),AND(G237="3/16",AM237&gt;0.5)),(AM237*2*база!$L$5*Таблица14[[#This Row],[коэф]]),
IF(OR(AND(G237="4/4",AM237&gt;0.5),AND(G237="3/4",AM237&gt;2)),(AM237*2*база!$I$5*Таблица14[[#This Row],[коэф]]),
IF(AND(G237="5/8",AM237&gt;0.5),(AM237*2*база!$J$6*Таблица14[[#This Row],[коэф]]),
IF(AND(G237="4/8",AM237&gt;0.5),(AM237*2*база!$J$5*Таблица14[[#This Row],[коэф]]),
IF(OR(AND(G237="3/8",AM237&gt;0.5),AND(G237="2/8",AM237&gt;0.5)),(AM237*2*база!$J$4*Таблица14[[#This Row],[коэф]]),
(AM237*2*база!$L$5*Таблица14[[#This Row],[коэф]])))))))))))</f>
        <v>0</v>
      </c>
      <c r="AO237" s="122" t="str">
        <f>IFERROR(INDEX(база!$D$2:$D$120, MATCH(Таблица14[[#This Row],[Ф. И. О.]],база!$B$2:$B$100,0)),"")</f>
        <v/>
      </c>
    </row>
    <row r="238" spans="1:41" s="46" customFormat="1">
      <c r="A238" s="207" t="str">
        <f t="shared" si="6"/>
        <v>январь</v>
      </c>
      <c r="B238" s="240">
        <v>2024</v>
      </c>
      <c r="C238" s="572"/>
      <c r="D238" s="214"/>
      <c r="E238" s="241"/>
      <c r="F238" s="713"/>
      <c r="G238" s="242"/>
      <c r="H238" s="215"/>
      <c r="I238" s="215"/>
      <c r="J238" s="215"/>
      <c r="K238" s="215"/>
      <c r="L238" s="215"/>
      <c r="M238" s="215"/>
      <c r="N238" s="215"/>
      <c r="O238" s="215"/>
      <c r="P238" s="215"/>
      <c r="Q238" s="215"/>
      <c r="R238" s="215"/>
      <c r="S238" s="215"/>
      <c r="T238" s="215"/>
      <c r="U238" s="215"/>
      <c r="V238" s="215"/>
      <c r="W238" s="215"/>
      <c r="X238" s="215"/>
      <c r="Y238" s="215"/>
      <c r="Z238" s="215"/>
      <c r="AA238" s="215"/>
      <c r="AB238" s="215"/>
      <c r="AC238" s="215"/>
      <c r="AD238" s="215"/>
      <c r="AE238" s="215"/>
      <c r="AF238" s="215"/>
      <c r="AG238" s="215"/>
      <c r="AH238" s="215"/>
      <c r="AI238" s="215"/>
      <c r="AJ238" s="215"/>
      <c r="AK238" s="215"/>
      <c r="AL238" s="215"/>
      <c r="AM238" s="121">
        <f t="shared" si="7"/>
        <v>0</v>
      </c>
      <c r="AN238" s="564">
        <f>IF(AO238&lt;=3,(IF(AND(G238="5/24",AM238&gt;0.5),(AM238*2*база!$M$6*Таблица14[[#This Row],[коэф]]),
IF(AND(G238="4/24",AM238&gt;0.5),(AM238*2*база!$M$5*Таблица14[[#This Row],[коэф]]),
IF(AND(G238="3/24",AM238&gt;0.5),(AM238*2*база!$M$4*Таблица14[[#This Row],[коэф]]),
IF(AND(G238="5/16",AM238&gt;0.5),(AM238*2*база!$L$6*Таблица14[[#This Row],[коэф]]),
IF(AND(G238="4/16",AM238&gt;0.5),(AM238*2*база!$L$5*Таблица14[[#This Row],[коэф]]),
IF(AND(G238="3/16",AM238&gt;0.5),(AM238*2*база!$L$4*Таблица14[[#This Row],[коэф]]),
IF(AND(G238="4/4",AM238&gt;0.5),(AM238*2*база!$I$5*Таблица14[[#This Row],[коэф]]),
IF(OR(AND(G238="3/4",AM238&gt;0.5),AND(G238="2/4",AM238&gt;0.5)),(AM238*2*база!$I$4*Таблица14[[#This Row],[коэф]]),
IF(AND(G238="5/8",AM238&gt;0.5),(AM238*2*база!$J$6*Таблица14[[#This Row],[коэф]]),
IF(AND(G238="4/8",AM238&gt;0.5),(AM238*2*база!$J$5*Таблица14[[#This Row],[коэф]]),
IF(OR(AND(G238="3/8",AM238&gt;0.5),AND(G238="2/8",AM238&gt;0.5)),(AM238*2*база!$J$4*Таблица14[[#This Row],[коэф]]),
(AM238*0.5*база!$L$4*Таблица14[[#This Row],[коэф]]))))))))))))),
(IF(AND(G238="5/24",AM238&gt;0.5),(AM238*2*база!$M$6*Таблица14[[#This Row],[коэф]]),
IF(OR(AND(G238="4/24",AM238&gt;0.5),AND(G238="3/24",AM238&gt;0.5)),(AM238*2*база!$M$5*Таблица14[[#This Row],[коэф]]),
IF(AND(G238="5/16",AM238&gt;0.5),(AM238*2*база!$L$6*Таблица14[[#This Row],[коэф]]),
IF(OR(AND(G238="4/16",AM238&gt;0.5),AND(G238="3/16",AM238&gt;0.5)),(AM238*2*база!$L$5*Таблица14[[#This Row],[коэф]]),
IF(OR(AND(G238="4/4",AM238&gt;0.5),AND(G238="3/4",AM238&gt;2)),(AM238*2*база!$I$5*Таблица14[[#This Row],[коэф]]),
IF(AND(G238="5/8",AM238&gt;0.5),(AM238*2*база!$J$6*Таблица14[[#This Row],[коэф]]),
IF(AND(G238="4/8",AM238&gt;0.5),(AM238*2*база!$J$5*Таблица14[[#This Row],[коэф]]),
IF(OR(AND(G238="3/8",AM238&gt;0.5),AND(G238="2/8",AM238&gt;0.5)),(AM238*2*база!$J$4*Таблица14[[#This Row],[коэф]]),
(AM238*2*база!$L$5*Таблица14[[#This Row],[коэф]])))))))))))</f>
        <v>0</v>
      </c>
      <c r="AO238" s="122" t="str">
        <f>IFERROR(INDEX(база!$D$2:$D$120, MATCH(Таблица14[[#This Row],[Ф. И. О.]],база!$B$2:$B$100,0)),"")</f>
        <v/>
      </c>
    </row>
    <row r="239" spans="1:41" s="46" customFormat="1">
      <c r="A239" s="207" t="str">
        <f t="shared" si="6"/>
        <v>январь</v>
      </c>
      <c r="B239" s="204">
        <v>2024</v>
      </c>
      <c r="C239" s="572"/>
      <c r="D239" s="214"/>
      <c r="E239" s="243"/>
      <c r="F239" s="713"/>
      <c r="G239" s="206"/>
      <c r="H239" s="215"/>
      <c r="I239" s="215"/>
      <c r="J239" s="215"/>
      <c r="K239" s="215"/>
      <c r="L239" s="215"/>
      <c r="M239" s="215"/>
      <c r="N239" s="215"/>
      <c r="O239" s="215"/>
      <c r="P239" s="215"/>
      <c r="Q239" s="215"/>
      <c r="R239" s="215"/>
      <c r="S239" s="215"/>
      <c r="T239" s="215"/>
      <c r="U239" s="215"/>
      <c r="V239" s="215"/>
      <c r="W239" s="215"/>
      <c r="X239" s="215"/>
      <c r="Y239" s="215"/>
      <c r="Z239" s="215"/>
      <c r="AA239" s="215"/>
      <c r="AB239" s="215"/>
      <c r="AC239" s="215"/>
      <c r="AD239" s="215"/>
      <c r="AE239" s="215"/>
      <c r="AF239" s="215"/>
      <c r="AG239" s="215"/>
      <c r="AH239" s="215"/>
      <c r="AI239" s="215"/>
      <c r="AJ239" s="215"/>
      <c r="AK239" s="215"/>
      <c r="AL239" s="215"/>
      <c r="AM239" s="121">
        <f t="shared" si="7"/>
        <v>0</v>
      </c>
      <c r="AN239" s="564">
        <f>IF(AO239&lt;=3,(IF(AND(G239="5/24",AM239&gt;0.5),(AM239*2*база!$M$6*Таблица14[[#This Row],[коэф]]),
IF(AND(G239="4/24",AM239&gt;0.5),(AM239*2*база!$M$5*Таблица14[[#This Row],[коэф]]),
IF(AND(G239="3/24",AM239&gt;0.5),(AM239*2*база!$M$4*Таблица14[[#This Row],[коэф]]),
IF(AND(G239="5/16",AM239&gt;0.5),(AM239*2*база!$L$6*Таблица14[[#This Row],[коэф]]),
IF(AND(G239="4/16",AM239&gt;0.5),(AM239*2*база!$L$5*Таблица14[[#This Row],[коэф]]),
IF(AND(G239="3/16",AM239&gt;0.5),(AM239*2*база!$L$4*Таблица14[[#This Row],[коэф]]),
IF(AND(G239="4/4",AM239&gt;0.5),(AM239*2*база!$I$5*Таблица14[[#This Row],[коэф]]),
IF(OR(AND(G239="3/4",AM239&gt;0.5),AND(G239="2/4",AM239&gt;0.5)),(AM239*2*база!$I$4*Таблица14[[#This Row],[коэф]]),
IF(AND(G239="5/8",AM239&gt;0.5),(AM239*2*база!$J$6*Таблица14[[#This Row],[коэф]]),
IF(AND(G239="4/8",AM239&gt;0.5),(AM239*2*база!$J$5*Таблица14[[#This Row],[коэф]]),
IF(OR(AND(G239="3/8",AM239&gt;0.5),AND(G239="2/8",AM239&gt;0.5)),(AM239*2*база!$J$4*Таблица14[[#This Row],[коэф]]),
(AM239*0.5*база!$L$4*Таблица14[[#This Row],[коэф]]))))))))))))),
(IF(AND(G239="5/24",AM239&gt;0.5),(AM239*2*база!$M$6*Таблица14[[#This Row],[коэф]]),
IF(OR(AND(G239="4/24",AM239&gt;0.5),AND(G239="3/24",AM239&gt;0.5)),(AM239*2*база!$M$5*Таблица14[[#This Row],[коэф]]),
IF(AND(G239="5/16",AM239&gt;0.5),(AM239*2*база!$L$6*Таблица14[[#This Row],[коэф]]),
IF(OR(AND(G239="4/16",AM239&gt;0.5),AND(G239="3/16",AM239&gt;0.5)),(AM239*2*база!$L$5*Таблица14[[#This Row],[коэф]]),
IF(OR(AND(G239="4/4",AM239&gt;0.5),AND(G239="3/4",AM239&gt;2)),(AM239*2*база!$I$5*Таблица14[[#This Row],[коэф]]),
IF(AND(G239="5/8",AM239&gt;0.5),(AM239*2*база!$J$6*Таблица14[[#This Row],[коэф]]),
IF(AND(G239="4/8",AM239&gt;0.5),(AM239*2*база!$J$5*Таблица14[[#This Row],[коэф]]),
IF(OR(AND(G239="3/8",AM239&gt;0.5),AND(G239="2/8",AM239&gt;0.5)),(AM239*2*база!$J$4*Таблица14[[#This Row],[коэф]]),
(AM239*2*база!$L$5*Таблица14[[#This Row],[коэф]])))))))))))</f>
        <v>0</v>
      </c>
      <c r="AO239" s="122" t="str">
        <f>IFERROR(INDEX(база!$D$2:$D$120, MATCH(Таблица14[[#This Row],[Ф. И. О.]],база!$B$2:$B$100,0)),"")</f>
        <v/>
      </c>
    </row>
    <row r="240" spans="1:41" s="46" customFormat="1">
      <c r="A240" s="207" t="str">
        <f t="shared" si="6"/>
        <v>январь</v>
      </c>
      <c r="B240" s="240">
        <v>2024</v>
      </c>
      <c r="C240" s="572"/>
      <c r="D240" s="214"/>
      <c r="E240" s="241"/>
      <c r="F240" s="713"/>
      <c r="G240" s="242"/>
      <c r="H240" s="215"/>
      <c r="I240" s="215"/>
      <c r="J240" s="215"/>
      <c r="K240" s="215"/>
      <c r="L240" s="215"/>
      <c r="M240" s="215"/>
      <c r="N240" s="215"/>
      <c r="O240" s="215"/>
      <c r="P240" s="215"/>
      <c r="Q240" s="215"/>
      <c r="R240" s="215"/>
      <c r="S240" s="215"/>
      <c r="T240" s="215"/>
      <c r="U240" s="215"/>
      <c r="V240" s="215"/>
      <c r="W240" s="215"/>
      <c r="X240" s="215"/>
      <c r="Y240" s="215"/>
      <c r="Z240" s="215"/>
      <c r="AA240" s="215"/>
      <c r="AB240" s="215"/>
      <c r="AC240" s="215"/>
      <c r="AD240" s="215"/>
      <c r="AE240" s="215"/>
      <c r="AF240" s="215"/>
      <c r="AG240" s="215"/>
      <c r="AH240" s="215"/>
      <c r="AI240" s="215"/>
      <c r="AJ240" s="215"/>
      <c r="AK240" s="215"/>
      <c r="AL240" s="215"/>
      <c r="AM240" s="121">
        <f t="shared" si="7"/>
        <v>0</v>
      </c>
      <c r="AN240" s="564">
        <f>IF(AO240&lt;=3,(IF(AND(G240="5/24",AM240&gt;0.5),(AM240*2*база!$M$6*Таблица14[[#This Row],[коэф]]),
IF(AND(G240="4/24",AM240&gt;0.5),(AM240*2*база!$M$5*Таблица14[[#This Row],[коэф]]),
IF(AND(G240="3/24",AM240&gt;0.5),(AM240*2*база!$M$4*Таблица14[[#This Row],[коэф]]),
IF(AND(G240="5/16",AM240&gt;0.5),(AM240*2*база!$L$6*Таблица14[[#This Row],[коэф]]),
IF(AND(G240="4/16",AM240&gt;0.5),(AM240*2*база!$L$5*Таблица14[[#This Row],[коэф]]),
IF(AND(G240="3/16",AM240&gt;0.5),(AM240*2*база!$L$4*Таблица14[[#This Row],[коэф]]),
IF(AND(G240="4/4",AM240&gt;0.5),(AM240*2*база!$I$5*Таблица14[[#This Row],[коэф]]),
IF(OR(AND(G240="3/4",AM240&gt;0.5),AND(G240="2/4",AM240&gt;0.5)),(AM240*2*база!$I$4*Таблица14[[#This Row],[коэф]]),
IF(AND(G240="5/8",AM240&gt;0.5),(AM240*2*база!$J$6*Таблица14[[#This Row],[коэф]]),
IF(AND(G240="4/8",AM240&gt;0.5),(AM240*2*база!$J$5*Таблица14[[#This Row],[коэф]]),
IF(OR(AND(G240="3/8",AM240&gt;0.5),AND(G240="2/8",AM240&gt;0.5)),(AM240*2*база!$J$4*Таблица14[[#This Row],[коэф]]),
(AM240*0.5*база!$L$4*Таблица14[[#This Row],[коэф]]))))))))))))),
(IF(AND(G240="5/24",AM240&gt;0.5),(AM240*2*база!$M$6*Таблица14[[#This Row],[коэф]]),
IF(OR(AND(G240="4/24",AM240&gt;0.5),AND(G240="3/24",AM240&gt;0.5)),(AM240*2*база!$M$5*Таблица14[[#This Row],[коэф]]),
IF(AND(G240="5/16",AM240&gt;0.5),(AM240*2*база!$L$6*Таблица14[[#This Row],[коэф]]),
IF(OR(AND(G240="4/16",AM240&gt;0.5),AND(G240="3/16",AM240&gt;0.5)),(AM240*2*база!$L$5*Таблица14[[#This Row],[коэф]]),
IF(OR(AND(G240="4/4",AM240&gt;0.5),AND(G240="3/4",AM240&gt;2)),(AM240*2*база!$I$5*Таблица14[[#This Row],[коэф]]),
IF(AND(G240="5/8",AM240&gt;0.5),(AM240*2*база!$J$6*Таблица14[[#This Row],[коэф]]),
IF(AND(G240="4/8",AM240&gt;0.5),(AM240*2*база!$J$5*Таблица14[[#This Row],[коэф]]),
IF(OR(AND(G240="3/8",AM240&gt;0.5),AND(G240="2/8",AM240&gt;0.5)),(AM240*2*база!$J$4*Таблица14[[#This Row],[коэф]]),
(AM240*2*база!$L$5*Таблица14[[#This Row],[коэф]])))))))))))</f>
        <v>0</v>
      </c>
      <c r="AO240" s="122" t="str">
        <f>IFERROR(INDEX(база!$D$2:$D$120, MATCH(Таблица14[[#This Row],[Ф. И. О.]],база!$B$2:$B$100,0)),"")</f>
        <v/>
      </c>
    </row>
    <row r="241" spans="1:42" s="46" customFormat="1">
      <c r="A241" s="207" t="str">
        <f t="shared" si="6"/>
        <v>январь</v>
      </c>
      <c r="B241" s="204">
        <v>2024</v>
      </c>
      <c r="C241" s="572"/>
      <c r="D241" s="214"/>
      <c r="E241" s="243"/>
      <c r="F241" s="713"/>
      <c r="G241" s="206"/>
      <c r="H241" s="215"/>
      <c r="I241" s="215"/>
      <c r="J241" s="215"/>
      <c r="K241" s="215"/>
      <c r="L241" s="215"/>
      <c r="M241" s="215"/>
      <c r="N241" s="215"/>
      <c r="O241" s="215"/>
      <c r="P241" s="215"/>
      <c r="Q241" s="215"/>
      <c r="R241" s="215"/>
      <c r="S241" s="215"/>
      <c r="T241" s="215"/>
      <c r="U241" s="215"/>
      <c r="V241" s="215"/>
      <c r="W241" s="215"/>
      <c r="X241" s="215"/>
      <c r="Y241" s="215"/>
      <c r="Z241" s="215"/>
      <c r="AA241" s="215"/>
      <c r="AB241" s="215"/>
      <c r="AC241" s="215"/>
      <c r="AD241" s="215"/>
      <c r="AE241" s="215"/>
      <c r="AF241" s="215"/>
      <c r="AG241" s="215"/>
      <c r="AH241" s="215"/>
      <c r="AI241" s="215"/>
      <c r="AJ241" s="215"/>
      <c r="AK241" s="215"/>
      <c r="AL241" s="215"/>
      <c r="AM241" s="121">
        <f t="shared" si="7"/>
        <v>0</v>
      </c>
      <c r="AN241" s="564">
        <f>IF(AO241&lt;=3,(IF(AND(G241="5/24",AM241&gt;0.5),(AM241*2*база!$M$6*Таблица14[[#This Row],[коэф]]),
IF(AND(G241="4/24",AM241&gt;0.5),(AM241*2*база!$M$5*Таблица14[[#This Row],[коэф]]),
IF(AND(G241="3/24",AM241&gt;0.5),(AM241*2*база!$M$4*Таблица14[[#This Row],[коэф]]),
IF(AND(G241="5/16",AM241&gt;0.5),(AM241*2*база!$L$6*Таблица14[[#This Row],[коэф]]),
IF(AND(G241="4/16",AM241&gt;0.5),(AM241*2*база!$L$5*Таблица14[[#This Row],[коэф]]),
IF(AND(G241="3/16",AM241&gt;0.5),(AM241*2*база!$L$4*Таблица14[[#This Row],[коэф]]),
IF(AND(G241="4/4",AM241&gt;0.5),(AM241*2*база!$I$5*Таблица14[[#This Row],[коэф]]),
IF(OR(AND(G241="3/4",AM241&gt;0.5),AND(G241="2/4",AM241&gt;0.5)),(AM241*2*база!$I$4*Таблица14[[#This Row],[коэф]]),
IF(AND(G241="5/8",AM241&gt;0.5),(AM241*2*база!$J$6*Таблица14[[#This Row],[коэф]]),
IF(AND(G241="4/8",AM241&gt;0.5),(AM241*2*база!$J$5*Таблица14[[#This Row],[коэф]]),
IF(OR(AND(G241="3/8",AM241&gt;0.5),AND(G241="2/8",AM241&gt;0.5)),(AM241*2*база!$J$4*Таблица14[[#This Row],[коэф]]),
(AM241*0.5*база!$L$4*Таблица14[[#This Row],[коэф]]))))))))))))),
(IF(AND(G241="5/24",AM241&gt;0.5),(AM241*2*база!$M$6*Таблица14[[#This Row],[коэф]]),
IF(OR(AND(G241="4/24",AM241&gt;0.5),AND(G241="3/24",AM241&gt;0.5)),(AM241*2*база!$M$5*Таблица14[[#This Row],[коэф]]),
IF(AND(G241="5/16",AM241&gt;0.5),(AM241*2*база!$L$6*Таблица14[[#This Row],[коэф]]),
IF(OR(AND(G241="4/16",AM241&gt;0.5),AND(G241="3/16",AM241&gt;0.5)),(AM241*2*база!$L$5*Таблица14[[#This Row],[коэф]]),
IF(OR(AND(G241="4/4",AM241&gt;0.5),AND(G241="3/4",AM241&gt;2)),(AM241*2*база!$I$5*Таблица14[[#This Row],[коэф]]),
IF(AND(G241="5/8",AM241&gt;0.5),(AM241*2*база!$J$6*Таблица14[[#This Row],[коэф]]),
IF(AND(G241="4/8",AM241&gt;0.5),(AM241*2*база!$J$5*Таблица14[[#This Row],[коэф]]),
IF(OR(AND(G241="3/8",AM241&gt;0.5),AND(G241="2/8",AM241&gt;0.5)),(AM241*2*база!$J$4*Таблица14[[#This Row],[коэф]]),
(AM241*2*база!$L$5*Таблица14[[#This Row],[коэф]])))))))))))</f>
        <v>0</v>
      </c>
      <c r="AO241" s="122" t="str">
        <f>IFERROR(INDEX(база!$D$2:$D$120, MATCH(Таблица14[[#This Row],[Ф. И. О.]],база!$B$2:$B$100,0)),"")</f>
        <v/>
      </c>
    </row>
    <row r="242" spans="1:42" s="46" customFormat="1">
      <c r="A242" s="207" t="str">
        <f t="shared" si="6"/>
        <v>январь</v>
      </c>
      <c r="B242" s="240">
        <v>2024</v>
      </c>
      <c r="C242" s="572"/>
      <c r="D242" s="214"/>
      <c r="E242" s="241"/>
      <c r="F242" s="713"/>
      <c r="G242" s="242"/>
      <c r="H242" s="215"/>
      <c r="I242" s="215"/>
      <c r="J242" s="215"/>
      <c r="K242" s="215"/>
      <c r="L242" s="215"/>
      <c r="M242" s="215"/>
      <c r="N242" s="215"/>
      <c r="O242" s="215"/>
      <c r="P242" s="215"/>
      <c r="Q242" s="215"/>
      <c r="R242" s="215"/>
      <c r="S242" s="215"/>
      <c r="T242" s="215"/>
      <c r="U242" s="215"/>
      <c r="V242" s="215"/>
      <c r="W242" s="215"/>
      <c r="X242" s="215"/>
      <c r="Y242" s="215"/>
      <c r="Z242" s="215"/>
      <c r="AA242" s="215"/>
      <c r="AB242" s="215"/>
      <c r="AC242" s="215"/>
      <c r="AD242" s="215"/>
      <c r="AE242" s="215"/>
      <c r="AF242" s="215"/>
      <c r="AG242" s="215"/>
      <c r="AH242" s="215"/>
      <c r="AI242" s="215"/>
      <c r="AJ242" s="215"/>
      <c r="AK242" s="215"/>
      <c r="AL242" s="215"/>
      <c r="AM242" s="121">
        <f t="shared" si="7"/>
        <v>0</v>
      </c>
      <c r="AN242" s="564">
        <f>IF(AO242&lt;=3,(IF(AND(G242="5/24",AM242&gt;0.5),(AM242*2*база!$M$6*Таблица14[[#This Row],[коэф]]),
IF(AND(G242="4/24",AM242&gt;0.5),(AM242*2*база!$M$5*Таблица14[[#This Row],[коэф]]),
IF(AND(G242="3/24",AM242&gt;0.5),(AM242*2*база!$M$4*Таблица14[[#This Row],[коэф]]),
IF(AND(G242="5/16",AM242&gt;0.5),(AM242*2*база!$L$6*Таблица14[[#This Row],[коэф]]),
IF(AND(G242="4/16",AM242&gt;0.5),(AM242*2*база!$L$5*Таблица14[[#This Row],[коэф]]),
IF(AND(G242="3/16",AM242&gt;0.5),(AM242*2*база!$L$4*Таблица14[[#This Row],[коэф]]),
IF(AND(G242="4/4",AM242&gt;0.5),(AM242*2*база!$I$5*Таблица14[[#This Row],[коэф]]),
IF(OR(AND(G242="3/4",AM242&gt;0.5),AND(G242="2/4",AM242&gt;0.5)),(AM242*2*база!$I$4*Таблица14[[#This Row],[коэф]]),
IF(AND(G242="5/8",AM242&gt;0.5),(AM242*2*база!$J$6*Таблица14[[#This Row],[коэф]]),
IF(AND(G242="4/8",AM242&gt;0.5),(AM242*2*база!$J$5*Таблица14[[#This Row],[коэф]]),
IF(OR(AND(G242="3/8",AM242&gt;0.5),AND(G242="2/8",AM242&gt;0.5)),(AM242*2*база!$J$4*Таблица14[[#This Row],[коэф]]),
(AM242*0.5*база!$L$4*Таблица14[[#This Row],[коэф]]))))))))))))),
(IF(AND(G242="5/24",AM242&gt;0.5),(AM242*2*база!$M$6*Таблица14[[#This Row],[коэф]]),
IF(OR(AND(G242="4/24",AM242&gt;0.5),AND(G242="3/24",AM242&gt;0.5)),(AM242*2*база!$M$5*Таблица14[[#This Row],[коэф]]),
IF(AND(G242="5/16",AM242&gt;0.5),(AM242*2*база!$L$6*Таблица14[[#This Row],[коэф]]),
IF(OR(AND(G242="4/16",AM242&gt;0.5),AND(G242="3/16",AM242&gt;0.5)),(AM242*2*база!$L$5*Таблица14[[#This Row],[коэф]]),
IF(OR(AND(G242="4/4",AM242&gt;0.5),AND(G242="3/4",AM242&gt;2)),(AM242*2*база!$I$5*Таблица14[[#This Row],[коэф]]),
IF(AND(G242="5/8",AM242&gt;0.5),(AM242*2*база!$J$6*Таблица14[[#This Row],[коэф]]),
IF(AND(G242="4/8",AM242&gt;0.5),(AM242*2*база!$J$5*Таблица14[[#This Row],[коэф]]),
IF(OR(AND(G242="3/8",AM242&gt;0.5),AND(G242="2/8",AM242&gt;0.5)),(AM242*2*база!$J$4*Таблица14[[#This Row],[коэф]]),
(AM242*2*база!$L$5*Таблица14[[#This Row],[коэф]])))))))))))</f>
        <v>0</v>
      </c>
      <c r="AO242" s="122" t="str">
        <f>IFERROR(INDEX(база!$D$2:$D$120, MATCH(Таблица14[[#This Row],[Ф. И. О.]],база!$B$2:$B$100,0)),"")</f>
        <v/>
      </c>
    </row>
    <row r="243" spans="1:42" s="46" customFormat="1">
      <c r="A243" s="207" t="str">
        <f t="shared" si="6"/>
        <v>январь</v>
      </c>
      <c r="B243" s="204">
        <v>2024</v>
      </c>
      <c r="C243" s="572"/>
      <c r="D243" s="214"/>
      <c r="E243" s="243"/>
      <c r="F243" s="713"/>
      <c r="G243" s="206"/>
      <c r="H243" s="215"/>
      <c r="I243" s="215"/>
      <c r="J243" s="215"/>
      <c r="K243" s="215"/>
      <c r="L243" s="215"/>
      <c r="M243" s="215"/>
      <c r="N243" s="215"/>
      <c r="O243" s="215"/>
      <c r="P243" s="215"/>
      <c r="Q243" s="215"/>
      <c r="R243" s="215"/>
      <c r="S243" s="215"/>
      <c r="T243" s="215"/>
      <c r="U243" s="215"/>
      <c r="V243" s="215"/>
      <c r="W243" s="215"/>
      <c r="X243" s="215"/>
      <c r="Y243" s="215"/>
      <c r="Z243" s="215"/>
      <c r="AA243" s="215"/>
      <c r="AB243" s="215"/>
      <c r="AC243" s="215"/>
      <c r="AD243" s="215"/>
      <c r="AE243" s="215"/>
      <c r="AF243" s="215"/>
      <c r="AG243" s="215"/>
      <c r="AH243" s="215"/>
      <c r="AI243" s="215"/>
      <c r="AJ243" s="215"/>
      <c r="AK243" s="215"/>
      <c r="AL243" s="215"/>
      <c r="AM243" s="121">
        <f t="shared" si="7"/>
        <v>0</v>
      </c>
      <c r="AN243" s="564">
        <f>IF(AO243&lt;=3,(IF(AND(G243="5/24",AM243&gt;0.5),(AM243*2*база!$M$6*Таблица14[[#This Row],[коэф]]),
IF(AND(G243="4/24",AM243&gt;0.5),(AM243*2*база!$M$5*Таблица14[[#This Row],[коэф]]),
IF(AND(G243="3/24",AM243&gt;0.5),(AM243*2*база!$M$4*Таблица14[[#This Row],[коэф]]),
IF(AND(G243="5/16",AM243&gt;0.5),(AM243*2*база!$L$6*Таблица14[[#This Row],[коэф]]),
IF(AND(G243="4/16",AM243&gt;0.5),(AM243*2*база!$L$5*Таблица14[[#This Row],[коэф]]),
IF(AND(G243="3/16",AM243&gt;0.5),(AM243*2*база!$L$4*Таблица14[[#This Row],[коэф]]),
IF(AND(G243="4/4",AM243&gt;0.5),(AM243*2*база!$I$5*Таблица14[[#This Row],[коэф]]),
IF(OR(AND(G243="3/4",AM243&gt;0.5),AND(G243="2/4",AM243&gt;0.5)),(AM243*2*база!$I$4*Таблица14[[#This Row],[коэф]]),
IF(AND(G243="5/8",AM243&gt;0.5),(AM243*2*база!$J$6*Таблица14[[#This Row],[коэф]]),
IF(AND(G243="4/8",AM243&gt;0.5),(AM243*2*база!$J$5*Таблица14[[#This Row],[коэф]]),
IF(OR(AND(G243="3/8",AM243&gt;0.5),AND(G243="2/8",AM243&gt;0.5)),(AM243*2*база!$J$4*Таблица14[[#This Row],[коэф]]),
(AM243*0.5*база!$L$4*Таблица14[[#This Row],[коэф]]))))))))))))),
(IF(AND(G243="5/24",AM243&gt;0.5),(AM243*2*база!$M$6*Таблица14[[#This Row],[коэф]]),
IF(OR(AND(G243="4/24",AM243&gt;0.5),AND(G243="3/24",AM243&gt;0.5)),(AM243*2*база!$M$5*Таблица14[[#This Row],[коэф]]),
IF(AND(G243="5/16",AM243&gt;0.5),(AM243*2*база!$L$6*Таблица14[[#This Row],[коэф]]),
IF(OR(AND(G243="4/16",AM243&gt;0.5),AND(G243="3/16",AM243&gt;0.5)),(AM243*2*база!$L$5*Таблица14[[#This Row],[коэф]]),
IF(OR(AND(G243="4/4",AM243&gt;0.5),AND(G243="3/4",AM243&gt;2)),(AM243*2*база!$I$5*Таблица14[[#This Row],[коэф]]),
IF(AND(G243="5/8",AM243&gt;0.5),(AM243*2*база!$J$6*Таблица14[[#This Row],[коэф]]),
IF(AND(G243="4/8",AM243&gt;0.5),(AM243*2*база!$J$5*Таблица14[[#This Row],[коэф]]),
IF(OR(AND(G243="3/8",AM243&gt;0.5),AND(G243="2/8",AM243&gt;0.5)),(AM243*2*база!$J$4*Таблица14[[#This Row],[коэф]]),
(AM243*2*база!$L$5*Таблица14[[#This Row],[коэф]])))))))))))</f>
        <v>0</v>
      </c>
      <c r="AO243" s="122" t="str">
        <f>IFERROR(INDEX(база!$D$2:$D$120, MATCH(Таблица14[[#This Row],[Ф. И. О.]],база!$B$2:$B$100,0)),"")</f>
        <v/>
      </c>
    </row>
    <row r="244" spans="1:42" s="46" customFormat="1">
      <c r="A244" s="207" t="str">
        <f t="shared" si="6"/>
        <v>январь</v>
      </c>
      <c r="B244" s="240">
        <v>2024</v>
      </c>
      <c r="C244" s="572"/>
      <c r="D244" s="214"/>
      <c r="E244" s="241"/>
      <c r="F244" s="713"/>
      <c r="G244" s="242"/>
      <c r="H244" s="215"/>
      <c r="I244" s="215"/>
      <c r="J244" s="215"/>
      <c r="K244" s="215"/>
      <c r="L244" s="215"/>
      <c r="M244" s="215"/>
      <c r="N244" s="215"/>
      <c r="O244" s="215"/>
      <c r="P244" s="215"/>
      <c r="Q244" s="215"/>
      <c r="R244" s="215"/>
      <c r="S244" s="215"/>
      <c r="T244" s="215"/>
      <c r="U244" s="215"/>
      <c r="V244" s="215"/>
      <c r="W244" s="215"/>
      <c r="X244" s="215"/>
      <c r="Y244" s="215"/>
      <c r="Z244" s="215"/>
      <c r="AA244" s="215"/>
      <c r="AB244" s="215"/>
      <c r="AC244" s="215"/>
      <c r="AD244" s="215"/>
      <c r="AE244" s="215"/>
      <c r="AF244" s="215"/>
      <c r="AG244" s="215"/>
      <c r="AH244" s="215"/>
      <c r="AI244" s="215"/>
      <c r="AJ244" s="215"/>
      <c r="AK244" s="215"/>
      <c r="AL244" s="215"/>
      <c r="AM244" s="121">
        <f t="shared" si="7"/>
        <v>0</v>
      </c>
      <c r="AN244" s="564">
        <f>IF(AO244&lt;=3,(IF(AND(G244="5/24",AM244&gt;0.5),(AM244*2*база!$M$6*Таблица14[[#This Row],[коэф]]),
IF(AND(G244="4/24",AM244&gt;0.5),(AM244*2*база!$M$5*Таблица14[[#This Row],[коэф]]),
IF(AND(G244="3/24",AM244&gt;0.5),(AM244*2*база!$M$4*Таблица14[[#This Row],[коэф]]),
IF(AND(G244="5/16",AM244&gt;0.5),(AM244*2*база!$L$6*Таблица14[[#This Row],[коэф]]),
IF(AND(G244="4/16",AM244&gt;0.5),(AM244*2*база!$L$5*Таблица14[[#This Row],[коэф]]),
IF(AND(G244="3/16",AM244&gt;0.5),(AM244*2*база!$L$4*Таблица14[[#This Row],[коэф]]),
IF(AND(G244="4/4",AM244&gt;0.5),(AM244*2*база!$I$5*Таблица14[[#This Row],[коэф]]),
IF(OR(AND(G244="3/4",AM244&gt;0.5),AND(G244="2/4",AM244&gt;0.5)),(AM244*2*база!$I$4*Таблица14[[#This Row],[коэф]]),
IF(AND(G244="5/8",AM244&gt;0.5),(AM244*2*база!$J$6*Таблица14[[#This Row],[коэф]]),
IF(AND(G244="4/8",AM244&gt;0.5),(AM244*2*база!$J$5*Таблица14[[#This Row],[коэф]]),
IF(OR(AND(G244="3/8",AM244&gt;0.5),AND(G244="2/8",AM244&gt;0.5)),(AM244*2*база!$J$4*Таблица14[[#This Row],[коэф]]),
(AM244*0.5*база!$L$4*Таблица14[[#This Row],[коэф]]))))))))))))),
(IF(AND(G244="5/24",AM244&gt;0.5),(AM244*2*база!$M$6*Таблица14[[#This Row],[коэф]]),
IF(OR(AND(G244="4/24",AM244&gt;0.5),AND(G244="3/24",AM244&gt;0.5)),(AM244*2*база!$M$5*Таблица14[[#This Row],[коэф]]),
IF(AND(G244="5/16",AM244&gt;0.5),(AM244*2*база!$L$6*Таблица14[[#This Row],[коэф]]),
IF(OR(AND(G244="4/16",AM244&gt;0.5),AND(G244="3/16",AM244&gt;0.5)),(AM244*2*база!$L$5*Таблица14[[#This Row],[коэф]]),
IF(OR(AND(G244="4/4",AM244&gt;0.5),AND(G244="3/4",AM244&gt;2)),(AM244*2*база!$I$5*Таблица14[[#This Row],[коэф]]),
IF(AND(G244="5/8",AM244&gt;0.5),(AM244*2*база!$J$6*Таблица14[[#This Row],[коэф]]),
IF(AND(G244="4/8",AM244&gt;0.5),(AM244*2*база!$J$5*Таблица14[[#This Row],[коэф]]),
IF(OR(AND(G244="3/8",AM244&gt;0.5),AND(G244="2/8",AM244&gt;0.5)),(AM244*2*база!$J$4*Таблица14[[#This Row],[коэф]]),
(AM244*2*база!$L$5*Таблица14[[#This Row],[коэф]])))))))))))</f>
        <v>0</v>
      </c>
      <c r="AO244" s="122" t="str">
        <f>IFERROR(INDEX(база!$D$2:$D$120, MATCH(Таблица14[[#This Row],[Ф. И. О.]],база!$B$2:$B$100,0)),"")</f>
        <v/>
      </c>
    </row>
    <row r="245" spans="1:42" s="46" customFormat="1">
      <c r="A245" s="207" t="str">
        <f t="shared" si="6"/>
        <v>январь</v>
      </c>
      <c r="B245" s="204">
        <v>2024</v>
      </c>
      <c r="C245" s="572"/>
      <c r="D245" s="214"/>
      <c r="E245" s="243"/>
      <c r="F245" s="713"/>
      <c r="G245" s="206"/>
      <c r="H245" s="215"/>
      <c r="I245" s="215"/>
      <c r="J245" s="215"/>
      <c r="K245" s="215"/>
      <c r="L245" s="215"/>
      <c r="M245" s="215"/>
      <c r="N245" s="215"/>
      <c r="O245" s="215"/>
      <c r="P245" s="215"/>
      <c r="Q245" s="215"/>
      <c r="R245" s="215"/>
      <c r="S245" s="215"/>
      <c r="T245" s="215"/>
      <c r="U245" s="215"/>
      <c r="V245" s="215"/>
      <c r="W245" s="215"/>
      <c r="X245" s="215"/>
      <c r="Y245" s="215"/>
      <c r="Z245" s="215"/>
      <c r="AA245" s="215"/>
      <c r="AB245" s="215"/>
      <c r="AC245" s="215"/>
      <c r="AD245" s="215"/>
      <c r="AE245" s="215"/>
      <c r="AF245" s="215"/>
      <c r="AG245" s="215"/>
      <c r="AH245" s="215"/>
      <c r="AI245" s="215"/>
      <c r="AJ245" s="215"/>
      <c r="AK245" s="215"/>
      <c r="AL245" s="215"/>
      <c r="AM245" s="121">
        <f t="shared" si="7"/>
        <v>0</v>
      </c>
      <c r="AN245" s="564">
        <f>IF(AO245&lt;=3,(IF(AND(G245="5/24",AM245&gt;0.5),(AM245*2*база!$M$6*Таблица14[[#This Row],[коэф]]),
IF(AND(G245="4/24",AM245&gt;0.5),(AM245*2*база!$M$5*Таблица14[[#This Row],[коэф]]),
IF(AND(G245="3/24",AM245&gt;0.5),(AM245*2*база!$M$4*Таблица14[[#This Row],[коэф]]),
IF(AND(G245="5/16",AM245&gt;0.5),(AM245*2*база!$L$6*Таблица14[[#This Row],[коэф]]),
IF(AND(G245="4/16",AM245&gt;0.5),(AM245*2*база!$L$5*Таблица14[[#This Row],[коэф]]),
IF(AND(G245="3/16",AM245&gt;0.5),(AM245*2*база!$L$4*Таблица14[[#This Row],[коэф]]),
IF(AND(G245="4/4",AM245&gt;0.5),(AM245*2*база!$I$5*Таблица14[[#This Row],[коэф]]),
IF(OR(AND(G245="3/4",AM245&gt;0.5),AND(G245="2/4",AM245&gt;0.5)),(AM245*2*база!$I$4*Таблица14[[#This Row],[коэф]]),
IF(AND(G245="5/8",AM245&gt;0.5),(AM245*2*база!$J$6*Таблица14[[#This Row],[коэф]]),
IF(AND(G245="4/8",AM245&gt;0.5),(AM245*2*база!$J$5*Таблица14[[#This Row],[коэф]]),
IF(OR(AND(G245="3/8",AM245&gt;0.5),AND(G245="2/8",AM245&gt;0.5)),(AM245*2*база!$J$4*Таблица14[[#This Row],[коэф]]),
(AM245*0.5*база!$L$4*Таблица14[[#This Row],[коэф]]))))))))))))),
(IF(AND(G245="5/24",AM245&gt;0.5),(AM245*2*база!$M$6*Таблица14[[#This Row],[коэф]]),
IF(OR(AND(G245="4/24",AM245&gt;0.5),AND(G245="3/24",AM245&gt;0.5)),(AM245*2*база!$M$5*Таблица14[[#This Row],[коэф]]),
IF(AND(G245="5/16",AM245&gt;0.5),(AM245*2*база!$L$6*Таблица14[[#This Row],[коэф]]),
IF(OR(AND(G245="4/16",AM245&gt;0.5),AND(G245="3/16",AM245&gt;0.5)),(AM245*2*база!$L$5*Таблица14[[#This Row],[коэф]]),
IF(OR(AND(G245="4/4",AM245&gt;0.5),AND(G245="3/4",AM245&gt;2)),(AM245*2*база!$I$5*Таблица14[[#This Row],[коэф]]),
IF(AND(G245="5/8",AM245&gt;0.5),(AM245*2*база!$J$6*Таблица14[[#This Row],[коэф]]),
IF(AND(G245="4/8",AM245&gt;0.5),(AM245*2*база!$J$5*Таблица14[[#This Row],[коэф]]),
IF(OR(AND(G245="3/8",AM245&gt;0.5),AND(G245="2/8",AM245&gt;0.5)),(AM245*2*база!$J$4*Таблица14[[#This Row],[коэф]]),
(AM245*2*база!$L$5*Таблица14[[#This Row],[коэф]])))))))))))</f>
        <v>0</v>
      </c>
      <c r="AO245" s="122" t="str">
        <f>IFERROR(INDEX(база!$D$2:$D$120, MATCH(Таблица14[[#This Row],[Ф. И. О.]],база!$B$2:$B$100,0)),"")</f>
        <v/>
      </c>
    </row>
    <row r="246" spans="1:42" s="46" customFormat="1">
      <c r="A246" s="207" t="str">
        <f t="shared" si="6"/>
        <v>январь</v>
      </c>
      <c r="B246" s="240">
        <v>2024</v>
      </c>
      <c r="C246" s="572"/>
      <c r="D246" s="214"/>
      <c r="E246" s="241"/>
      <c r="F246" s="713"/>
      <c r="G246" s="242"/>
      <c r="H246" s="215"/>
      <c r="I246" s="215"/>
      <c r="J246" s="215"/>
      <c r="K246" s="215"/>
      <c r="L246" s="215"/>
      <c r="M246" s="215"/>
      <c r="N246" s="215"/>
      <c r="O246" s="215"/>
      <c r="P246" s="215"/>
      <c r="Q246" s="215"/>
      <c r="R246" s="215"/>
      <c r="S246" s="215"/>
      <c r="T246" s="215"/>
      <c r="U246" s="215"/>
      <c r="V246" s="215"/>
      <c r="W246" s="215"/>
      <c r="X246" s="215"/>
      <c r="Y246" s="215"/>
      <c r="Z246" s="215"/>
      <c r="AA246" s="215"/>
      <c r="AB246" s="215"/>
      <c r="AC246" s="215"/>
      <c r="AD246" s="215"/>
      <c r="AE246" s="215"/>
      <c r="AF246" s="215"/>
      <c r="AG246" s="215"/>
      <c r="AH246" s="215"/>
      <c r="AI246" s="215"/>
      <c r="AJ246" s="215"/>
      <c r="AK246" s="215"/>
      <c r="AL246" s="215"/>
      <c r="AM246" s="121">
        <f t="shared" si="7"/>
        <v>0</v>
      </c>
      <c r="AN246" s="564">
        <f>IF(AO246&lt;=3,(IF(AND(G246="5/24",AM246&gt;0.5),(AM246*2*база!$M$6*Таблица14[[#This Row],[коэф]]),
IF(AND(G246="4/24",AM246&gt;0.5),(AM246*2*база!$M$5*Таблица14[[#This Row],[коэф]]),
IF(AND(G246="3/24",AM246&gt;0.5),(AM246*2*база!$M$4*Таблица14[[#This Row],[коэф]]),
IF(AND(G246="5/16",AM246&gt;0.5),(AM246*2*база!$L$6*Таблица14[[#This Row],[коэф]]),
IF(AND(G246="4/16",AM246&gt;0.5),(AM246*2*база!$L$5*Таблица14[[#This Row],[коэф]]),
IF(AND(G246="3/16",AM246&gt;0.5),(AM246*2*база!$L$4*Таблица14[[#This Row],[коэф]]),
IF(AND(G246="4/4",AM246&gt;0.5),(AM246*2*база!$I$5*Таблица14[[#This Row],[коэф]]),
IF(OR(AND(G246="3/4",AM246&gt;0.5),AND(G246="2/4",AM246&gt;0.5)),(AM246*2*база!$I$4*Таблица14[[#This Row],[коэф]]),
IF(AND(G246="5/8",AM246&gt;0.5),(AM246*2*база!$J$6*Таблица14[[#This Row],[коэф]]),
IF(AND(G246="4/8",AM246&gt;0.5),(AM246*2*база!$J$5*Таблица14[[#This Row],[коэф]]),
IF(OR(AND(G246="3/8",AM246&gt;0.5),AND(G246="2/8",AM246&gt;0.5)),(AM246*2*база!$J$4*Таблица14[[#This Row],[коэф]]),
(AM246*0.5*база!$L$4*Таблица14[[#This Row],[коэф]]))))))))))))),
(IF(AND(G246="5/24",AM246&gt;0.5),(AM246*2*база!$M$6*Таблица14[[#This Row],[коэф]]),
IF(OR(AND(G246="4/24",AM246&gt;0.5),AND(G246="3/24",AM246&gt;0.5)),(AM246*2*база!$M$5*Таблица14[[#This Row],[коэф]]),
IF(AND(G246="5/16",AM246&gt;0.5),(AM246*2*база!$L$6*Таблица14[[#This Row],[коэф]]),
IF(OR(AND(G246="4/16",AM246&gt;0.5),AND(G246="3/16",AM246&gt;0.5)),(AM246*2*база!$L$5*Таблица14[[#This Row],[коэф]]),
IF(OR(AND(G246="4/4",AM246&gt;0.5),AND(G246="3/4",AM246&gt;2)),(AM246*2*база!$I$5*Таблица14[[#This Row],[коэф]]),
IF(AND(G246="5/8",AM246&gt;0.5),(AM246*2*база!$J$6*Таблица14[[#This Row],[коэф]]),
IF(AND(G246="4/8",AM246&gt;0.5),(AM246*2*база!$J$5*Таблица14[[#This Row],[коэф]]),
IF(OR(AND(G246="3/8",AM246&gt;0.5),AND(G246="2/8",AM246&gt;0.5)),(AM246*2*база!$J$4*Таблица14[[#This Row],[коэф]]),
(AM246*2*база!$L$5*Таблица14[[#This Row],[коэф]])))))))))))</f>
        <v>0</v>
      </c>
      <c r="AO246" s="122" t="str">
        <f>IFERROR(INDEX(база!$D$2:$D$120, MATCH(Таблица14[[#This Row],[Ф. И. О.]],база!$B$2:$B$100,0)),"")</f>
        <v/>
      </c>
    </row>
    <row r="247" spans="1:42" s="46" customFormat="1">
      <c r="A247" s="207" t="str">
        <f t="shared" si="6"/>
        <v>январь</v>
      </c>
      <c r="B247" s="204">
        <v>2024</v>
      </c>
      <c r="C247" s="572"/>
      <c r="D247" s="214"/>
      <c r="E247" s="243"/>
      <c r="F247" s="713"/>
      <c r="G247" s="206"/>
      <c r="H247" s="215"/>
      <c r="I247" s="215"/>
      <c r="J247" s="215"/>
      <c r="K247" s="215"/>
      <c r="L247" s="215"/>
      <c r="M247" s="215"/>
      <c r="N247" s="215"/>
      <c r="O247" s="215"/>
      <c r="P247" s="215"/>
      <c r="Q247" s="215"/>
      <c r="R247" s="215"/>
      <c r="S247" s="215"/>
      <c r="T247" s="215"/>
      <c r="U247" s="215"/>
      <c r="V247" s="215"/>
      <c r="W247" s="215"/>
      <c r="X247" s="215"/>
      <c r="Y247" s="215"/>
      <c r="Z247" s="215"/>
      <c r="AA247" s="215"/>
      <c r="AB247" s="215"/>
      <c r="AC247" s="215"/>
      <c r="AD247" s="215"/>
      <c r="AE247" s="215"/>
      <c r="AF247" s="215"/>
      <c r="AG247" s="215"/>
      <c r="AH247" s="215"/>
      <c r="AI247" s="215"/>
      <c r="AJ247" s="215"/>
      <c r="AK247" s="215"/>
      <c r="AL247" s="215"/>
      <c r="AM247" s="121">
        <f t="shared" si="7"/>
        <v>0</v>
      </c>
      <c r="AN247" s="564">
        <f>IF(AO247&lt;=3,(IF(AND(G247="5/24",AM247&gt;0.5),(AM247*2*база!$M$6*Таблица14[[#This Row],[коэф]]),
IF(AND(G247="4/24",AM247&gt;0.5),(AM247*2*база!$M$5*Таблица14[[#This Row],[коэф]]),
IF(AND(G247="3/24",AM247&gt;0.5),(AM247*2*база!$M$4*Таблица14[[#This Row],[коэф]]),
IF(AND(G247="5/16",AM247&gt;0.5),(AM247*2*база!$L$6*Таблица14[[#This Row],[коэф]]),
IF(AND(G247="4/16",AM247&gt;0.5),(AM247*2*база!$L$5*Таблица14[[#This Row],[коэф]]),
IF(AND(G247="3/16",AM247&gt;0.5),(AM247*2*база!$L$4*Таблица14[[#This Row],[коэф]]),
IF(AND(G247="4/4",AM247&gt;0.5),(AM247*2*база!$I$5*Таблица14[[#This Row],[коэф]]),
IF(OR(AND(G247="3/4",AM247&gt;0.5),AND(G247="2/4",AM247&gt;0.5)),(AM247*2*база!$I$4*Таблица14[[#This Row],[коэф]]),
IF(AND(G247="5/8",AM247&gt;0.5),(AM247*2*база!$J$6*Таблица14[[#This Row],[коэф]]),
IF(AND(G247="4/8",AM247&gt;0.5),(AM247*2*база!$J$5*Таблица14[[#This Row],[коэф]]),
IF(OR(AND(G247="3/8",AM247&gt;0.5),AND(G247="2/8",AM247&gt;0.5)),(AM247*2*база!$J$4*Таблица14[[#This Row],[коэф]]),
(AM247*0.5*база!$L$4*Таблица14[[#This Row],[коэф]]))))))))))))),
(IF(AND(G247="5/24",AM247&gt;0.5),(AM247*2*база!$M$6*Таблица14[[#This Row],[коэф]]),
IF(OR(AND(G247="4/24",AM247&gt;0.5),AND(G247="3/24",AM247&gt;0.5)),(AM247*2*база!$M$5*Таблица14[[#This Row],[коэф]]),
IF(AND(G247="5/16",AM247&gt;0.5),(AM247*2*база!$L$6*Таблица14[[#This Row],[коэф]]),
IF(OR(AND(G247="4/16",AM247&gt;0.5),AND(G247="3/16",AM247&gt;0.5)),(AM247*2*база!$L$5*Таблица14[[#This Row],[коэф]]),
IF(OR(AND(G247="4/4",AM247&gt;0.5),AND(G247="3/4",AM247&gt;2)),(AM247*2*база!$I$5*Таблица14[[#This Row],[коэф]]),
IF(AND(G247="5/8",AM247&gt;0.5),(AM247*2*база!$J$6*Таблица14[[#This Row],[коэф]]),
IF(AND(G247="4/8",AM247&gt;0.5),(AM247*2*база!$J$5*Таблица14[[#This Row],[коэф]]),
IF(OR(AND(G247="3/8",AM247&gt;0.5),AND(G247="2/8",AM247&gt;0.5)),(AM247*2*база!$J$4*Таблица14[[#This Row],[коэф]]),
(AM247*2*база!$L$5*Таблица14[[#This Row],[коэф]])))))))))))</f>
        <v>0</v>
      </c>
      <c r="AO247" s="122" t="str">
        <f>IFERROR(INDEX(база!$D$2:$D$120, MATCH(Таблица14[[#This Row],[Ф. И. О.]],база!$B$2:$B$100,0)),"")</f>
        <v/>
      </c>
    </row>
    <row r="248" spans="1:42" s="46" customFormat="1">
      <c r="A248" s="207" t="str">
        <f t="shared" si="6"/>
        <v>январь</v>
      </c>
      <c r="B248" s="240">
        <v>2024</v>
      </c>
      <c r="C248" s="572"/>
      <c r="D248" s="214"/>
      <c r="E248" s="241"/>
      <c r="F248" s="713"/>
      <c r="G248" s="242"/>
      <c r="H248" s="215"/>
      <c r="I248" s="215"/>
      <c r="J248" s="215"/>
      <c r="K248" s="215"/>
      <c r="L248" s="215"/>
      <c r="M248" s="215"/>
      <c r="N248" s="215"/>
      <c r="O248" s="215"/>
      <c r="P248" s="215"/>
      <c r="Q248" s="215"/>
      <c r="R248" s="215"/>
      <c r="S248" s="215"/>
      <c r="T248" s="215"/>
      <c r="U248" s="215"/>
      <c r="V248" s="215"/>
      <c r="W248" s="215"/>
      <c r="X248" s="215"/>
      <c r="Y248" s="215"/>
      <c r="Z248" s="215"/>
      <c r="AA248" s="215"/>
      <c r="AB248" s="215"/>
      <c r="AC248" s="215"/>
      <c r="AD248" s="215"/>
      <c r="AE248" s="215"/>
      <c r="AF248" s="215"/>
      <c r="AG248" s="215"/>
      <c r="AH248" s="215"/>
      <c r="AI248" s="215"/>
      <c r="AJ248" s="215"/>
      <c r="AK248" s="215"/>
      <c r="AL248" s="215"/>
      <c r="AM248" s="121">
        <f t="shared" si="7"/>
        <v>0</v>
      </c>
      <c r="AN248" s="564">
        <f>IF(AO248&lt;=3,(IF(AND(G248="5/24",AM248&gt;0.5),(AM248*2*база!$M$6*Таблица14[[#This Row],[коэф]]),
IF(AND(G248="4/24",AM248&gt;0.5),(AM248*2*база!$M$5*Таблица14[[#This Row],[коэф]]),
IF(AND(G248="3/24",AM248&gt;0.5),(AM248*2*база!$M$4*Таблица14[[#This Row],[коэф]]),
IF(AND(G248="5/16",AM248&gt;0.5),(AM248*2*база!$L$6*Таблица14[[#This Row],[коэф]]),
IF(AND(G248="4/16",AM248&gt;0.5),(AM248*2*база!$L$5*Таблица14[[#This Row],[коэф]]),
IF(AND(G248="3/16",AM248&gt;0.5),(AM248*2*база!$L$4*Таблица14[[#This Row],[коэф]]),
IF(AND(G248="4/4",AM248&gt;0.5),(AM248*2*база!$I$5*Таблица14[[#This Row],[коэф]]),
IF(OR(AND(G248="3/4",AM248&gt;0.5),AND(G248="2/4",AM248&gt;0.5)),(AM248*2*база!$I$4*Таблица14[[#This Row],[коэф]]),
IF(AND(G248="5/8",AM248&gt;0.5),(AM248*2*база!$J$6*Таблица14[[#This Row],[коэф]]),
IF(AND(G248="4/8",AM248&gt;0.5),(AM248*2*база!$J$5*Таблица14[[#This Row],[коэф]]),
IF(OR(AND(G248="3/8",AM248&gt;0.5),AND(G248="2/8",AM248&gt;0.5)),(AM248*2*база!$J$4*Таблица14[[#This Row],[коэф]]),
(AM248*0.5*база!$L$4*Таблица14[[#This Row],[коэф]]))))))))))))),
(IF(AND(G248="5/24",AM248&gt;0.5),(AM248*2*база!$M$6*Таблица14[[#This Row],[коэф]]),
IF(OR(AND(G248="4/24",AM248&gt;0.5),AND(G248="3/24",AM248&gt;0.5)),(AM248*2*база!$M$5*Таблица14[[#This Row],[коэф]]),
IF(AND(G248="5/16",AM248&gt;0.5),(AM248*2*база!$L$6*Таблица14[[#This Row],[коэф]]),
IF(OR(AND(G248="4/16",AM248&gt;0.5),AND(G248="3/16",AM248&gt;0.5)),(AM248*2*база!$L$5*Таблица14[[#This Row],[коэф]]),
IF(OR(AND(G248="4/4",AM248&gt;0.5),AND(G248="3/4",AM248&gt;2)),(AM248*2*база!$I$5*Таблица14[[#This Row],[коэф]]),
IF(AND(G248="5/8",AM248&gt;0.5),(AM248*2*база!$J$6*Таблица14[[#This Row],[коэф]]),
IF(AND(G248="4/8",AM248&gt;0.5),(AM248*2*база!$J$5*Таблица14[[#This Row],[коэф]]),
IF(OR(AND(G248="3/8",AM248&gt;0.5),AND(G248="2/8",AM248&gt;0.5)),(AM248*2*база!$J$4*Таблица14[[#This Row],[коэф]]),
(AM248*2*база!$L$5*Таблица14[[#This Row],[коэф]])))))))))))</f>
        <v>0</v>
      </c>
      <c r="AO248" s="122" t="str">
        <f>IFERROR(INDEX(база!$D$2:$D$120, MATCH(Таблица14[[#This Row],[Ф. И. О.]],база!$B$2:$B$100,0)),"")</f>
        <v/>
      </c>
    </row>
    <row r="249" spans="1:42" s="46" customFormat="1">
      <c r="A249" s="207" t="str">
        <f t="shared" si="6"/>
        <v>январь</v>
      </c>
      <c r="B249" s="204">
        <v>2024</v>
      </c>
      <c r="C249" s="572"/>
      <c r="D249" s="214"/>
      <c r="E249" s="243"/>
      <c r="F249" s="713"/>
      <c r="G249" s="206"/>
      <c r="H249" s="215"/>
      <c r="I249" s="215"/>
      <c r="J249" s="215"/>
      <c r="K249" s="215"/>
      <c r="L249" s="215"/>
      <c r="M249" s="215"/>
      <c r="N249" s="215"/>
      <c r="O249" s="215"/>
      <c r="P249" s="215"/>
      <c r="Q249" s="215"/>
      <c r="R249" s="215"/>
      <c r="S249" s="215"/>
      <c r="T249" s="215"/>
      <c r="U249" s="215"/>
      <c r="V249" s="215"/>
      <c r="W249" s="215"/>
      <c r="X249" s="215"/>
      <c r="Y249" s="215"/>
      <c r="Z249" s="215"/>
      <c r="AA249" s="215"/>
      <c r="AB249" s="215"/>
      <c r="AC249" s="215"/>
      <c r="AD249" s="215"/>
      <c r="AE249" s="215"/>
      <c r="AF249" s="215"/>
      <c r="AG249" s="215"/>
      <c r="AH249" s="215"/>
      <c r="AI249" s="215"/>
      <c r="AJ249" s="215"/>
      <c r="AK249" s="215"/>
      <c r="AL249" s="215"/>
      <c r="AM249" s="121">
        <f t="shared" si="7"/>
        <v>0</v>
      </c>
      <c r="AN249" s="564">
        <f>IF(AO249&lt;=3,(IF(AND(G249="5/24",AM249&gt;0.5),(AM249*2*база!$M$6*Таблица14[[#This Row],[коэф]]),
IF(AND(G249="4/24",AM249&gt;0.5),(AM249*2*база!$M$5*Таблица14[[#This Row],[коэф]]),
IF(AND(G249="3/24",AM249&gt;0.5),(AM249*2*база!$M$4*Таблица14[[#This Row],[коэф]]),
IF(AND(G249="5/16",AM249&gt;0.5),(AM249*2*база!$L$6*Таблица14[[#This Row],[коэф]]),
IF(AND(G249="4/16",AM249&gt;0.5),(AM249*2*база!$L$5*Таблица14[[#This Row],[коэф]]),
IF(AND(G249="3/16",AM249&gt;0.5),(AM249*2*база!$L$4*Таблица14[[#This Row],[коэф]]),
IF(AND(G249="4/4",AM249&gt;0.5),(AM249*2*база!$I$5*Таблица14[[#This Row],[коэф]]),
IF(OR(AND(G249="3/4",AM249&gt;0.5),AND(G249="2/4",AM249&gt;0.5)),(AM249*2*база!$I$4*Таблица14[[#This Row],[коэф]]),
IF(AND(G249="5/8",AM249&gt;0.5),(AM249*2*база!$J$6*Таблица14[[#This Row],[коэф]]),
IF(AND(G249="4/8",AM249&gt;0.5),(AM249*2*база!$J$5*Таблица14[[#This Row],[коэф]]),
IF(OR(AND(G249="3/8",AM249&gt;0.5),AND(G249="2/8",AM249&gt;0.5)),(AM249*2*база!$J$4*Таблица14[[#This Row],[коэф]]),
(AM249*0.5*база!$L$4*Таблица14[[#This Row],[коэф]]))))))))))))),
(IF(AND(G249="5/24",AM249&gt;0.5),(AM249*2*база!$M$6*Таблица14[[#This Row],[коэф]]),
IF(OR(AND(G249="4/24",AM249&gt;0.5),AND(G249="3/24",AM249&gt;0.5)),(AM249*2*база!$M$5*Таблица14[[#This Row],[коэф]]),
IF(AND(G249="5/16",AM249&gt;0.5),(AM249*2*база!$L$6*Таблица14[[#This Row],[коэф]]),
IF(OR(AND(G249="4/16",AM249&gt;0.5),AND(G249="3/16",AM249&gt;0.5)),(AM249*2*база!$L$5*Таблица14[[#This Row],[коэф]]),
IF(OR(AND(G249="4/4",AM249&gt;0.5),AND(G249="3/4",AM249&gt;2)),(AM249*2*база!$I$5*Таблица14[[#This Row],[коэф]]),
IF(AND(G249="5/8",AM249&gt;0.5),(AM249*2*база!$J$6*Таблица14[[#This Row],[коэф]]),
IF(AND(G249="4/8",AM249&gt;0.5),(AM249*2*база!$J$5*Таблица14[[#This Row],[коэф]]),
IF(OR(AND(G249="3/8",AM249&gt;0.5),AND(G249="2/8",AM249&gt;0.5)),(AM249*2*база!$J$4*Таблица14[[#This Row],[коэф]]),
(AM249*2*база!$L$5*Таблица14[[#This Row],[коэф]])))))))))))</f>
        <v>0</v>
      </c>
      <c r="AO249" s="122" t="str">
        <f>IFERROR(INDEX(база!$D$2:$D$120, MATCH(Таблица14[[#This Row],[Ф. И. О.]],база!$B$2:$B$100,0)),"")</f>
        <v/>
      </c>
    </row>
    <row r="250" spans="1:42">
      <c r="A250" s="207" t="str">
        <f t="shared" si="6"/>
        <v>январь</v>
      </c>
      <c r="B250" s="240">
        <v>2024</v>
      </c>
      <c r="C250" s="572"/>
      <c r="D250" s="214"/>
      <c r="E250" s="241"/>
      <c r="F250" s="713"/>
      <c r="G250" s="242"/>
      <c r="H250" s="215"/>
      <c r="I250" s="215"/>
      <c r="J250" s="215"/>
      <c r="K250" s="215"/>
      <c r="L250" s="215"/>
      <c r="M250" s="215"/>
      <c r="N250" s="215"/>
      <c r="O250" s="215"/>
      <c r="P250" s="215"/>
      <c r="Q250" s="215"/>
      <c r="R250" s="215"/>
      <c r="S250" s="215"/>
      <c r="T250" s="215"/>
      <c r="U250" s="215"/>
      <c r="V250" s="215"/>
      <c r="W250" s="215"/>
      <c r="X250" s="215"/>
      <c r="Y250" s="215"/>
      <c r="Z250" s="215"/>
      <c r="AA250" s="215"/>
      <c r="AB250" s="215"/>
      <c r="AC250" s="215"/>
      <c r="AD250" s="215"/>
      <c r="AE250" s="215"/>
      <c r="AF250" s="215"/>
      <c r="AG250" s="215"/>
      <c r="AH250" s="215"/>
      <c r="AI250" s="215"/>
      <c r="AJ250" s="215"/>
      <c r="AK250" s="215"/>
      <c r="AL250" s="215"/>
      <c r="AM250" s="121">
        <f t="shared" si="7"/>
        <v>0</v>
      </c>
      <c r="AN250" s="564">
        <f>IF(AO250&lt;=3,(IF(AND(G250="5/24",AM250&gt;0.5),(AM250*2*база!$M$6*Таблица14[[#This Row],[коэф]]),
IF(AND(G250="4/24",AM250&gt;0.5),(AM250*2*база!$M$5*Таблица14[[#This Row],[коэф]]),
IF(AND(G250="3/24",AM250&gt;0.5),(AM250*2*база!$M$4*Таблица14[[#This Row],[коэф]]),
IF(AND(G250="5/16",AM250&gt;0.5),(AM250*2*база!$L$6*Таблица14[[#This Row],[коэф]]),
IF(AND(G250="4/16",AM250&gt;0.5),(AM250*2*база!$L$5*Таблица14[[#This Row],[коэф]]),
IF(AND(G250="3/16",AM250&gt;0.5),(AM250*2*база!$L$4*Таблица14[[#This Row],[коэф]]),
IF(AND(G250="4/4",AM250&gt;0.5),(AM250*2*база!$I$5*Таблица14[[#This Row],[коэф]]),
IF(OR(AND(G250="3/4",AM250&gt;0.5),AND(G250="2/4",AM250&gt;0.5)),(AM250*2*база!$I$4*Таблица14[[#This Row],[коэф]]),
IF(AND(G250="5/8",AM250&gt;0.5),(AM250*2*база!$J$6*Таблица14[[#This Row],[коэф]]),
IF(AND(G250="4/8",AM250&gt;0.5),(AM250*2*база!$J$5*Таблица14[[#This Row],[коэф]]),
IF(OR(AND(G250="3/8",AM250&gt;0.5),AND(G250="2/8",AM250&gt;0.5)),(AM250*2*база!$J$4*Таблица14[[#This Row],[коэф]]),
(AM250*0.5*база!$L$4*Таблица14[[#This Row],[коэф]]))))))))))))),
(IF(AND(G250="5/24",AM250&gt;0.5),(AM250*2*база!$M$6*Таблица14[[#This Row],[коэф]]),
IF(OR(AND(G250="4/24",AM250&gt;0.5),AND(G250="3/24",AM250&gt;0.5)),(AM250*2*база!$M$5*Таблица14[[#This Row],[коэф]]),
IF(AND(G250="5/16",AM250&gt;0.5),(AM250*2*база!$L$6*Таблица14[[#This Row],[коэф]]),
IF(OR(AND(G250="4/16",AM250&gt;0.5),AND(G250="3/16",AM250&gt;0.5)),(AM250*2*база!$L$5*Таблица14[[#This Row],[коэф]]),
IF(OR(AND(G250="4/4",AM250&gt;0.5),AND(G250="3/4",AM250&gt;2)),(AM250*2*база!$I$5*Таблица14[[#This Row],[коэф]]),
IF(AND(G250="5/8",AM250&gt;0.5),(AM250*2*база!$J$6*Таблица14[[#This Row],[коэф]]),
IF(AND(G250="4/8",AM250&gt;0.5),(AM250*2*база!$J$5*Таблица14[[#This Row],[коэф]]),
IF(OR(AND(G250="3/8",AM250&gt;0.5),AND(G250="2/8",AM250&gt;0.5)),(AM250*2*база!$J$4*Таблица14[[#This Row],[коэф]]),
(AM250*2*база!$L$5*Таблица14[[#This Row],[коэф]])))))))))))</f>
        <v>0</v>
      </c>
      <c r="AO250" s="122" t="str">
        <f>IFERROR(INDEX(база!$D$2:$D$120, MATCH(Таблица14[[#This Row],[Ф. И. О.]],база!$B$2:$B$100,0)),"")</f>
        <v/>
      </c>
      <c r="AP250" s="46"/>
    </row>
    <row r="251" spans="1:42" s="46" customFormat="1">
      <c r="A251" s="207" t="str">
        <f t="shared" si="6"/>
        <v>январь</v>
      </c>
      <c r="B251" s="204">
        <v>2024</v>
      </c>
      <c r="C251" s="572"/>
      <c r="D251" s="214"/>
      <c r="E251" s="243"/>
      <c r="F251" s="713"/>
      <c r="G251" s="206"/>
      <c r="H251" s="215"/>
      <c r="I251" s="215"/>
      <c r="J251" s="215"/>
      <c r="K251" s="215"/>
      <c r="L251" s="215"/>
      <c r="M251" s="215"/>
      <c r="N251" s="215"/>
      <c r="O251" s="215"/>
      <c r="P251" s="215"/>
      <c r="Q251" s="215"/>
      <c r="R251" s="215"/>
      <c r="S251" s="215"/>
      <c r="T251" s="215"/>
      <c r="U251" s="215"/>
      <c r="V251" s="215"/>
      <c r="W251" s="215"/>
      <c r="X251" s="215"/>
      <c r="Y251" s="215"/>
      <c r="Z251" s="215"/>
      <c r="AA251" s="215"/>
      <c r="AB251" s="215"/>
      <c r="AC251" s="215"/>
      <c r="AD251" s="215"/>
      <c r="AE251" s="215"/>
      <c r="AF251" s="215"/>
      <c r="AG251" s="215"/>
      <c r="AH251" s="215"/>
      <c r="AI251" s="215"/>
      <c r="AJ251" s="215"/>
      <c r="AK251" s="215"/>
      <c r="AL251" s="215"/>
      <c r="AM251" s="121">
        <f t="shared" si="7"/>
        <v>0</v>
      </c>
      <c r="AN251" s="564">
        <f>IF(AO251&lt;=3,(IF(AND(G251="5/24",AM251&gt;0.5),(AM251*2*база!$M$6*Таблица14[[#This Row],[коэф]]),
IF(AND(G251="4/24",AM251&gt;0.5),(AM251*2*база!$M$5*Таблица14[[#This Row],[коэф]]),
IF(AND(G251="3/24",AM251&gt;0.5),(AM251*2*база!$M$4*Таблица14[[#This Row],[коэф]]),
IF(AND(G251="5/16",AM251&gt;0.5),(AM251*2*база!$L$6*Таблица14[[#This Row],[коэф]]),
IF(AND(G251="4/16",AM251&gt;0.5),(AM251*2*база!$L$5*Таблица14[[#This Row],[коэф]]),
IF(AND(G251="3/16",AM251&gt;0.5),(AM251*2*база!$L$4*Таблица14[[#This Row],[коэф]]),
IF(AND(G251="4/4",AM251&gt;0.5),(AM251*2*база!$I$5*Таблица14[[#This Row],[коэф]]),
IF(OR(AND(G251="3/4",AM251&gt;0.5),AND(G251="2/4",AM251&gt;0.5)),(AM251*2*база!$I$4*Таблица14[[#This Row],[коэф]]),
IF(AND(G251="5/8",AM251&gt;0.5),(AM251*2*база!$J$6*Таблица14[[#This Row],[коэф]]),
IF(AND(G251="4/8",AM251&gt;0.5),(AM251*2*база!$J$5*Таблица14[[#This Row],[коэф]]),
IF(OR(AND(G251="3/8",AM251&gt;0.5),AND(G251="2/8",AM251&gt;0.5)),(AM251*2*база!$J$4*Таблица14[[#This Row],[коэф]]),
(AM251*0.5*база!$L$4*Таблица14[[#This Row],[коэф]]))))))))))))),
(IF(AND(G251="5/24",AM251&gt;0.5),(AM251*2*база!$M$6*Таблица14[[#This Row],[коэф]]),
IF(OR(AND(G251="4/24",AM251&gt;0.5),AND(G251="3/24",AM251&gt;0.5)),(AM251*2*база!$M$5*Таблица14[[#This Row],[коэф]]),
IF(AND(G251="5/16",AM251&gt;0.5),(AM251*2*база!$L$6*Таблица14[[#This Row],[коэф]]),
IF(OR(AND(G251="4/16",AM251&gt;0.5),AND(G251="3/16",AM251&gt;0.5)),(AM251*2*база!$L$5*Таблица14[[#This Row],[коэф]]),
IF(OR(AND(G251="4/4",AM251&gt;0.5),AND(G251="3/4",AM251&gt;2)),(AM251*2*база!$I$5*Таблица14[[#This Row],[коэф]]),
IF(AND(G251="5/8",AM251&gt;0.5),(AM251*2*база!$J$6*Таблица14[[#This Row],[коэф]]),
IF(AND(G251="4/8",AM251&gt;0.5),(AM251*2*база!$J$5*Таблица14[[#This Row],[коэф]]),
IF(OR(AND(G251="3/8",AM251&gt;0.5),AND(G251="2/8",AM251&gt;0.5)),(AM251*2*база!$J$4*Таблица14[[#This Row],[коэф]]),
(AM251*2*база!$L$5*Таблица14[[#This Row],[коэф]])))))))))))</f>
        <v>0</v>
      </c>
      <c r="AO251" s="122" t="str">
        <f>IFERROR(INDEX(база!$D$2:$D$120, MATCH(Таблица14[[#This Row],[Ф. И. О.]],база!$B$2:$B$100,0)),"")</f>
        <v/>
      </c>
    </row>
    <row r="252" spans="1:42">
      <c r="A252" s="207" t="str">
        <f t="shared" si="6"/>
        <v>январь</v>
      </c>
      <c r="B252" s="240">
        <v>2024</v>
      </c>
      <c r="C252" s="572"/>
      <c r="D252" s="214"/>
      <c r="E252" s="241"/>
      <c r="F252" s="713"/>
      <c r="G252" s="242"/>
      <c r="H252" s="215"/>
      <c r="I252" s="215"/>
      <c r="J252" s="215"/>
      <c r="K252" s="215"/>
      <c r="L252" s="215"/>
      <c r="M252" s="215"/>
      <c r="N252" s="215"/>
      <c r="O252" s="215"/>
      <c r="P252" s="215"/>
      <c r="Q252" s="215"/>
      <c r="R252" s="215"/>
      <c r="S252" s="215"/>
      <c r="T252" s="215"/>
      <c r="U252" s="215"/>
      <c r="V252" s="215"/>
      <c r="W252" s="215"/>
      <c r="X252" s="215"/>
      <c r="Y252" s="215"/>
      <c r="Z252" s="215"/>
      <c r="AA252" s="215"/>
      <c r="AB252" s="215"/>
      <c r="AC252" s="215"/>
      <c r="AD252" s="215"/>
      <c r="AE252" s="215"/>
      <c r="AF252" s="215"/>
      <c r="AG252" s="215"/>
      <c r="AH252" s="215"/>
      <c r="AI252" s="215"/>
      <c r="AJ252" s="215"/>
      <c r="AK252" s="215"/>
      <c r="AL252" s="215"/>
      <c r="AM252" s="121">
        <f t="shared" si="7"/>
        <v>0</v>
      </c>
      <c r="AN252" s="564">
        <f>IF(AO252&lt;=3,(IF(AND(G252="5/24",AM252&gt;0.5),(AM252*2*база!$M$6*Таблица14[[#This Row],[коэф]]),
IF(AND(G252="4/24",AM252&gt;0.5),(AM252*2*база!$M$5*Таблица14[[#This Row],[коэф]]),
IF(AND(G252="3/24",AM252&gt;0.5),(AM252*2*база!$M$4*Таблица14[[#This Row],[коэф]]),
IF(AND(G252="5/16",AM252&gt;0.5),(AM252*2*база!$L$6*Таблица14[[#This Row],[коэф]]),
IF(AND(G252="4/16",AM252&gt;0.5),(AM252*2*база!$L$5*Таблица14[[#This Row],[коэф]]),
IF(AND(G252="3/16",AM252&gt;0.5),(AM252*2*база!$L$4*Таблица14[[#This Row],[коэф]]),
IF(AND(G252="4/4",AM252&gt;0.5),(AM252*2*база!$I$5*Таблица14[[#This Row],[коэф]]),
IF(OR(AND(G252="3/4",AM252&gt;0.5),AND(G252="2/4",AM252&gt;0.5)),(AM252*2*база!$I$4*Таблица14[[#This Row],[коэф]]),
IF(AND(G252="5/8",AM252&gt;0.5),(AM252*2*база!$J$6*Таблица14[[#This Row],[коэф]]),
IF(AND(G252="4/8",AM252&gt;0.5),(AM252*2*база!$J$5*Таблица14[[#This Row],[коэф]]),
IF(OR(AND(G252="3/8",AM252&gt;0.5),AND(G252="2/8",AM252&gt;0.5)),(AM252*2*база!$J$4*Таблица14[[#This Row],[коэф]]),
(AM252*0.5*база!$L$4*Таблица14[[#This Row],[коэф]]))))))))))))),
(IF(AND(G252="5/24",AM252&gt;0.5),(AM252*2*база!$M$6*Таблица14[[#This Row],[коэф]]),
IF(OR(AND(G252="4/24",AM252&gt;0.5),AND(G252="3/24",AM252&gt;0.5)),(AM252*2*база!$M$5*Таблица14[[#This Row],[коэф]]),
IF(AND(G252="5/16",AM252&gt;0.5),(AM252*2*база!$L$6*Таблица14[[#This Row],[коэф]]),
IF(OR(AND(G252="4/16",AM252&gt;0.5),AND(G252="3/16",AM252&gt;0.5)),(AM252*2*база!$L$5*Таблица14[[#This Row],[коэф]]),
IF(OR(AND(G252="4/4",AM252&gt;0.5),AND(G252="3/4",AM252&gt;2)),(AM252*2*база!$I$5*Таблица14[[#This Row],[коэф]]),
IF(AND(G252="5/8",AM252&gt;0.5),(AM252*2*база!$J$6*Таблица14[[#This Row],[коэф]]),
IF(AND(G252="4/8",AM252&gt;0.5),(AM252*2*база!$J$5*Таблица14[[#This Row],[коэф]]),
IF(OR(AND(G252="3/8",AM252&gt;0.5),AND(G252="2/8",AM252&gt;0.5)),(AM252*2*база!$J$4*Таблица14[[#This Row],[коэф]]),
(AM252*2*база!$L$5*Таблица14[[#This Row],[коэф]])))))))))))</f>
        <v>0</v>
      </c>
      <c r="AO252" s="122" t="str">
        <f>IFERROR(INDEX(база!$D$2:$D$120, MATCH(Таблица14[[#This Row],[Ф. И. О.]],база!$B$2:$B$100,0)),"")</f>
        <v/>
      </c>
      <c r="AP252" s="46"/>
    </row>
    <row r="253" spans="1:42" s="46" customFormat="1">
      <c r="A253" s="207" t="str">
        <f t="shared" si="6"/>
        <v>январь</v>
      </c>
      <c r="B253" s="204">
        <v>2024</v>
      </c>
      <c r="C253" s="572"/>
      <c r="D253" s="214"/>
      <c r="E253" s="243"/>
      <c r="F253" s="713"/>
      <c r="G253" s="206"/>
      <c r="H253" s="215"/>
      <c r="I253" s="215"/>
      <c r="J253" s="215"/>
      <c r="K253" s="215"/>
      <c r="L253" s="215"/>
      <c r="M253" s="215"/>
      <c r="N253" s="215"/>
      <c r="O253" s="215"/>
      <c r="P253" s="215"/>
      <c r="Q253" s="215"/>
      <c r="R253" s="215"/>
      <c r="S253" s="215"/>
      <c r="T253" s="215"/>
      <c r="U253" s="215"/>
      <c r="V253" s="215"/>
      <c r="W253" s="215"/>
      <c r="X253" s="215"/>
      <c r="Y253" s="215"/>
      <c r="Z253" s="215"/>
      <c r="AA253" s="215"/>
      <c r="AB253" s="215"/>
      <c r="AC253" s="215"/>
      <c r="AD253" s="215"/>
      <c r="AE253" s="215"/>
      <c r="AF253" s="215"/>
      <c r="AG253" s="215"/>
      <c r="AH253" s="215"/>
      <c r="AI253" s="215"/>
      <c r="AJ253" s="215"/>
      <c r="AK253" s="215"/>
      <c r="AL253" s="215"/>
      <c r="AM253" s="121">
        <f t="shared" si="7"/>
        <v>0</v>
      </c>
      <c r="AN253" s="564">
        <f>IF(AO253&lt;=3,(IF(AND(G253="5/24",AM253&gt;0.5),(AM253*2*база!$M$6*Таблица14[[#This Row],[коэф]]),
IF(AND(G253="4/24",AM253&gt;0.5),(AM253*2*база!$M$5*Таблица14[[#This Row],[коэф]]),
IF(AND(G253="3/24",AM253&gt;0.5),(AM253*2*база!$M$4*Таблица14[[#This Row],[коэф]]),
IF(AND(G253="5/16",AM253&gt;0.5),(AM253*2*база!$L$6*Таблица14[[#This Row],[коэф]]),
IF(AND(G253="4/16",AM253&gt;0.5),(AM253*2*база!$L$5*Таблица14[[#This Row],[коэф]]),
IF(AND(G253="3/16",AM253&gt;0.5),(AM253*2*база!$L$4*Таблица14[[#This Row],[коэф]]),
IF(AND(G253="4/4",AM253&gt;0.5),(AM253*2*база!$I$5*Таблица14[[#This Row],[коэф]]),
IF(OR(AND(G253="3/4",AM253&gt;0.5),AND(G253="2/4",AM253&gt;0.5)),(AM253*2*база!$I$4*Таблица14[[#This Row],[коэф]]),
IF(AND(G253="5/8",AM253&gt;0.5),(AM253*2*база!$J$6*Таблица14[[#This Row],[коэф]]),
IF(AND(G253="4/8",AM253&gt;0.5),(AM253*2*база!$J$5*Таблица14[[#This Row],[коэф]]),
IF(OR(AND(G253="3/8",AM253&gt;0.5),AND(G253="2/8",AM253&gt;0.5)),(AM253*2*база!$J$4*Таблица14[[#This Row],[коэф]]),
(AM253*0.5*база!$L$4*Таблица14[[#This Row],[коэф]]))))))))))))),
(IF(AND(G253="5/24",AM253&gt;0.5),(AM253*2*база!$M$6*Таблица14[[#This Row],[коэф]]),
IF(OR(AND(G253="4/24",AM253&gt;0.5),AND(G253="3/24",AM253&gt;0.5)),(AM253*2*база!$M$5*Таблица14[[#This Row],[коэф]]),
IF(AND(G253="5/16",AM253&gt;0.5),(AM253*2*база!$L$6*Таблица14[[#This Row],[коэф]]),
IF(OR(AND(G253="4/16",AM253&gt;0.5),AND(G253="3/16",AM253&gt;0.5)),(AM253*2*база!$L$5*Таблица14[[#This Row],[коэф]]),
IF(OR(AND(G253="4/4",AM253&gt;0.5),AND(G253="3/4",AM253&gt;2)),(AM253*2*база!$I$5*Таблица14[[#This Row],[коэф]]),
IF(AND(G253="5/8",AM253&gt;0.5),(AM253*2*база!$J$6*Таблица14[[#This Row],[коэф]]),
IF(AND(G253="4/8",AM253&gt;0.5),(AM253*2*база!$J$5*Таблица14[[#This Row],[коэф]]),
IF(OR(AND(G253="3/8",AM253&gt;0.5),AND(G253="2/8",AM253&gt;0.5)),(AM253*2*база!$J$4*Таблица14[[#This Row],[коэф]]),
(AM253*2*база!$L$5*Таблица14[[#This Row],[коэф]])))))))))))</f>
        <v>0</v>
      </c>
      <c r="AO253" s="122" t="str">
        <f>IFERROR(INDEX(база!$D$2:$D$120, MATCH(Таблица14[[#This Row],[Ф. И. О.]],база!$B$2:$B$100,0)),"")</f>
        <v/>
      </c>
    </row>
    <row r="254" spans="1:42" s="46" customFormat="1">
      <c r="A254" s="207" t="str">
        <f t="shared" si="6"/>
        <v>январь</v>
      </c>
      <c r="B254" s="240">
        <v>2024</v>
      </c>
      <c r="C254" s="572"/>
      <c r="D254" s="214"/>
      <c r="E254" s="241"/>
      <c r="F254" s="713"/>
      <c r="G254" s="242"/>
      <c r="H254" s="215"/>
      <c r="I254" s="215"/>
      <c r="J254" s="215"/>
      <c r="K254" s="215"/>
      <c r="L254" s="215"/>
      <c r="M254" s="215"/>
      <c r="N254" s="215"/>
      <c r="O254" s="215"/>
      <c r="P254" s="215"/>
      <c r="Q254" s="215"/>
      <c r="R254" s="215"/>
      <c r="S254" s="215"/>
      <c r="T254" s="215"/>
      <c r="U254" s="215"/>
      <c r="V254" s="215"/>
      <c r="W254" s="215"/>
      <c r="X254" s="215"/>
      <c r="Y254" s="215"/>
      <c r="Z254" s="215"/>
      <c r="AA254" s="215"/>
      <c r="AB254" s="215"/>
      <c r="AC254" s="215"/>
      <c r="AD254" s="215"/>
      <c r="AE254" s="215"/>
      <c r="AF254" s="215"/>
      <c r="AG254" s="215"/>
      <c r="AH254" s="215"/>
      <c r="AI254" s="215"/>
      <c r="AJ254" s="215"/>
      <c r="AK254" s="215"/>
      <c r="AL254" s="215"/>
      <c r="AM254" s="121">
        <f t="shared" si="7"/>
        <v>0</v>
      </c>
      <c r="AN254" s="564">
        <f>IF(AO254&lt;=3,(IF(AND(G254="5/24",AM254&gt;0.5),(AM254*2*база!$M$6*Таблица14[[#This Row],[коэф]]),
IF(AND(G254="4/24",AM254&gt;0.5),(AM254*2*база!$M$5*Таблица14[[#This Row],[коэф]]),
IF(AND(G254="3/24",AM254&gt;0.5),(AM254*2*база!$M$4*Таблица14[[#This Row],[коэф]]),
IF(AND(G254="5/16",AM254&gt;0.5),(AM254*2*база!$L$6*Таблица14[[#This Row],[коэф]]),
IF(AND(G254="4/16",AM254&gt;0.5),(AM254*2*база!$L$5*Таблица14[[#This Row],[коэф]]),
IF(AND(G254="3/16",AM254&gt;0.5),(AM254*2*база!$L$4*Таблица14[[#This Row],[коэф]]),
IF(AND(G254="4/4",AM254&gt;0.5),(AM254*2*база!$I$5*Таблица14[[#This Row],[коэф]]),
IF(OR(AND(G254="3/4",AM254&gt;0.5),AND(G254="2/4",AM254&gt;0.5)),(AM254*2*база!$I$4*Таблица14[[#This Row],[коэф]]),
IF(AND(G254="5/8",AM254&gt;0.5),(AM254*2*база!$J$6*Таблица14[[#This Row],[коэф]]),
IF(AND(G254="4/8",AM254&gt;0.5),(AM254*2*база!$J$5*Таблица14[[#This Row],[коэф]]),
IF(OR(AND(G254="3/8",AM254&gt;0.5),AND(G254="2/8",AM254&gt;0.5)),(AM254*2*база!$J$4*Таблица14[[#This Row],[коэф]]),
(AM254*0.5*база!$L$4*Таблица14[[#This Row],[коэф]]))))))))))))),
(IF(AND(G254="5/24",AM254&gt;0.5),(AM254*2*база!$M$6*Таблица14[[#This Row],[коэф]]),
IF(OR(AND(G254="4/24",AM254&gt;0.5),AND(G254="3/24",AM254&gt;0.5)),(AM254*2*база!$M$5*Таблица14[[#This Row],[коэф]]),
IF(AND(G254="5/16",AM254&gt;0.5),(AM254*2*база!$L$6*Таблица14[[#This Row],[коэф]]),
IF(OR(AND(G254="4/16",AM254&gt;0.5),AND(G254="3/16",AM254&gt;0.5)),(AM254*2*база!$L$5*Таблица14[[#This Row],[коэф]]),
IF(OR(AND(G254="4/4",AM254&gt;0.5),AND(G254="3/4",AM254&gt;2)),(AM254*2*база!$I$5*Таблица14[[#This Row],[коэф]]),
IF(AND(G254="5/8",AM254&gt;0.5),(AM254*2*база!$J$6*Таблица14[[#This Row],[коэф]]),
IF(AND(G254="4/8",AM254&gt;0.5),(AM254*2*база!$J$5*Таблица14[[#This Row],[коэф]]),
IF(OR(AND(G254="3/8",AM254&gt;0.5),AND(G254="2/8",AM254&gt;0.5)),(AM254*2*база!$J$4*Таблица14[[#This Row],[коэф]]),
(AM254*2*база!$L$5*Таблица14[[#This Row],[коэф]])))))))))))</f>
        <v>0</v>
      </c>
      <c r="AO254" s="122" t="str">
        <f>IFERROR(INDEX(база!$D$2:$D$120, MATCH(Таблица14[[#This Row],[Ф. И. О.]],база!$B$2:$B$100,0)),"")</f>
        <v/>
      </c>
    </row>
    <row r="255" spans="1:42" s="46" customFormat="1">
      <c r="A255" s="207" t="str">
        <f t="shared" si="6"/>
        <v>январь</v>
      </c>
      <c r="B255" s="204">
        <v>2024</v>
      </c>
      <c r="C255" s="572"/>
      <c r="D255" s="214"/>
      <c r="E255" s="243"/>
      <c r="F255" s="713"/>
      <c r="G255" s="206"/>
      <c r="H255" s="215"/>
      <c r="I255" s="215"/>
      <c r="J255" s="215"/>
      <c r="K255" s="215"/>
      <c r="L255" s="215"/>
      <c r="M255" s="215"/>
      <c r="N255" s="215"/>
      <c r="O255" s="215"/>
      <c r="P255" s="215"/>
      <c r="Q255" s="215"/>
      <c r="R255" s="215"/>
      <c r="S255" s="215"/>
      <c r="T255" s="215"/>
      <c r="U255" s="215"/>
      <c r="V255" s="215"/>
      <c r="W255" s="215"/>
      <c r="X255" s="215"/>
      <c r="Y255" s="215"/>
      <c r="Z255" s="215"/>
      <c r="AA255" s="215"/>
      <c r="AB255" s="215"/>
      <c r="AC255" s="215"/>
      <c r="AD255" s="215"/>
      <c r="AE255" s="215"/>
      <c r="AF255" s="215"/>
      <c r="AG255" s="215"/>
      <c r="AH255" s="215"/>
      <c r="AI255" s="215"/>
      <c r="AJ255" s="215"/>
      <c r="AK255" s="215"/>
      <c r="AL255" s="215"/>
      <c r="AM255" s="121">
        <f t="shared" si="7"/>
        <v>0</v>
      </c>
      <c r="AN255" s="564">
        <f>IF(AO255&lt;=3,(IF(AND(G255="5/24",AM255&gt;0.5),(AM255*2*база!$M$6*Таблица14[[#This Row],[коэф]]),
IF(AND(G255="4/24",AM255&gt;0.5),(AM255*2*база!$M$5*Таблица14[[#This Row],[коэф]]),
IF(AND(G255="3/24",AM255&gt;0.5),(AM255*2*база!$M$4*Таблица14[[#This Row],[коэф]]),
IF(AND(G255="5/16",AM255&gt;0.5),(AM255*2*база!$L$6*Таблица14[[#This Row],[коэф]]),
IF(AND(G255="4/16",AM255&gt;0.5),(AM255*2*база!$L$5*Таблица14[[#This Row],[коэф]]),
IF(AND(G255="3/16",AM255&gt;0.5),(AM255*2*база!$L$4*Таблица14[[#This Row],[коэф]]),
IF(AND(G255="4/4",AM255&gt;0.5),(AM255*2*база!$I$5*Таблица14[[#This Row],[коэф]]),
IF(OR(AND(G255="3/4",AM255&gt;0.5),AND(G255="2/4",AM255&gt;0.5)),(AM255*2*база!$I$4*Таблица14[[#This Row],[коэф]]),
IF(AND(G255="5/8",AM255&gt;0.5),(AM255*2*база!$J$6*Таблица14[[#This Row],[коэф]]),
IF(AND(G255="4/8",AM255&gt;0.5),(AM255*2*база!$J$5*Таблица14[[#This Row],[коэф]]),
IF(OR(AND(G255="3/8",AM255&gt;0.5),AND(G255="2/8",AM255&gt;0.5)),(AM255*2*база!$J$4*Таблица14[[#This Row],[коэф]]),
(AM255*0.5*база!$L$4*Таблица14[[#This Row],[коэф]]))))))))))))),
(IF(AND(G255="5/24",AM255&gt;0.5),(AM255*2*база!$M$6*Таблица14[[#This Row],[коэф]]),
IF(OR(AND(G255="4/24",AM255&gt;0.5),AND(G255="3/24",AM255&gt;0.5)),(AM255*2*база!$M$5*Таблица14[[#This Row],[коэф]]),
IF(AND(G255="5/16",AM255&gt;0.5),(AM255*2*база!$L$6*Таблица14[[#This Row],[коэф]]),
IF(OR(AND(G255="4/16",AM255&gt;0.5),AND(G255="3/16",AM255&gt;0.5)),(AM255*2*база!$L$5*Таблица14[[#This Row],[коэф]]),
IF(OR(AND(G255="4/4",AM255&gt;0.5),AND(G255="3/4",AM255&gt;2)),(AM255*2*база!$I$5*Таблица14[[#This Row],[коэф]]),
IF(AND(G255="5/8",AM255&gt;0.5),(AM255*2*база!$J$6*Таблица14[[#This Row],[коэф]]),
IF(AND(G255="4/8",AM255&gt;0.5),(AM255*2*база!$J$5*Таблица14[[#This Row],[коэф]]),
IF(OR(AND(G255="3/8",AM255&gt;0.5),AND(G255="2/8",AM255&gt;0.5)),(AM255*2*база!$J$4*Таблица14[[#This Row],[коэф]]),
(AM255*2*база!$L$5*Таблица14[[#This Row],[коэф]])))))))))))</f>
        <v>0</v>
      </c>
      <c r="AO255" s="122" t="str">
        <f>IFERROR(INDEX(база!$D$2:$D$120, MATCH(Таблица14[[#This Row],[Ф. И. О.]],база!$B$2:$B$100,0)),"")</f>
        <v/>
      </c>
    </row>
    <row r="256" spans="1:42" s="46" customFormat="1">
      <c r="A256" s="207" t="str">
        <f t="shared" si="6"/>
        <v>январь</v>
      </c>
      <c r="B256" s="240">
        <v>2024</v>
      </c>
      <c r="C256" s="572"/>
      <c r="D256" s="214"/>
      <c r="E256" s="241"/>
      <c r="F256" s="713"/>
      <c r="G256" s="242"/>
      <c r="H256" s="215"/>
      <c r="I256" s="215"/>
      <c r="J256" s="215"/>
      <c r="K256" s="215"/>
      <c r="L256" s="215"/>
      <c r="M256" s="215"/>
      <c r="N256" s="215"/>
      <c r="O256" s="215"/>
      <c r="P256" s="215"/>
      <c r="Q256" s="215"/>
      <c r="R256" s="215"/>
      <c r="S256" s="215"/>
      <c r="T256" s="215"/>
      <c r="U256" s="215"/>
      <c r="V256" s="215"/>
      <c r="W256" s="215"/>
      <c r="X256" s="215"/>
      <c r="Y256" s="215"/>
      <c r="Z256" s="215"/>
      <c r="AA256" s="215"/>
      <c r="AB256" s="215"/>
      <c r="AC256" s="215"/>
      <c r="AD256" s="215"/>
      <c r="AE256" s="215"/>
      <c r="AF256" s="215"/>
      <c r="AG256" s="215"/>
      <c r="AH256" s="215"/>
      <c r="AI256" s="215"/>
      <c r="AJ256" s="215"/>
      <c r="AK256" s="215"/>
      <c r="AL256" s="215"/>
      <c r="AM256" s="121">
        <f t="shared" si="7"/>
        <v>0</v>
      </c>
      <c r="AN256" s="564">
        <f>IF(AO256&lt;=3,(IF(AND(G256="5/24",AM256&gt;0.5),(AM256*2*база!$M$6*Таблица14[[#This Row],[коэф]]),
IF(AND(G256="4/24",AM256&gt;0.5),(AM256*2*база!$M$5*Таблица14[[#This Row],[коэф]]),
IF(AND(G256="3/24",AM256&gt;0.5),(AM256*2*база!$M$4*Таблица14[[#This Row],[коэф]]),
IF(AND(G256="5/16",AM256&gt;0.5),(AM256*2*база!$L$6*Таблица14[[#This Row],[коэф]]),
IF(AND(G256="4/16",AM256&gt;0.5),(AM256*2*база!$L$5*Таблица14[[#This Row],[коэф]]),
IF(AND(G256="3/16",AM256&gt;0.5),(AM256*2*база!$L$4*Таблица14[[#This Row],[коэф]]),
IF(AND(G256="4/4",AM256&gt;0.5),(AM256*2*база!$I$5*Таблица14[[#This Row],[коэф]]),
IF(OR(AND(G256="3/4",AM256&gt;0.5),AND(G256="2/4",AM256&gt;0.5)),(AM256*2*база!$I$4*Таблица14[[#This Row],[коэф]]),
IF(AND(G256="5/8",AM256&gt;0.5),(AM256*2*база!$J$6*Таблица14[[#This Row],[коэф]]),
IF(AND(G256="4/8",AM256&gt;0.5),(AM256*2*база!$J$5*Таблица14[[#This Row],[коэф]]),
IF(OR(AND(G256="3/8",AM256&gt;0.5),AND(G256="2/8",AM256&gt;0.5)),(AM256*2*база!$J$4*Таблица14[[#This Row],[коэф]]),
(AM256*0.5*база!$L$4*Таблица14[[#This Row],[коэф]]))))))))))))),
(IF(AND(G256="5/24",AM256&gt;0.5),(AM256*2*база!$M$6*Таблица14[[#This Row],[коэф]]),
IF(OR(AND(G256="4/24",AM256&gt;0.5),AND(G256="3/24",AM256&gt;0.5)),(AM256*2*база!$M$5*Таблица14[[#This Row],[коэф]]),
IF(AND(G256="5/16",AM256&gt;0.5),(AM256*2*база!$L$6*Таблица14[[#This Row],[коэф]]),
IF(OR(AND(G256="4/16",AM256&gt;0.5),AND(G256="3/16",AM256&gt;0.5)),(AM256*2*база!$L$5*Таблица14[[#This Row],[коэф]]),
IF(OR(AND(G256="4/4",AM256&gt;0.5),AND(G256="3/4",AM256&gt;2)),(AM256*2*база!$I$5*Таблица14[[#This Row],[коэф]]),
IF(AND(G256="5/8",AM256&gt;0.5),(AM256*2*база!$J$6*Таблица14[[#This Row],[коэф]]),
IF(AND(G256="4/8",AM256&gt;0.5),(AM256*2*база!$J$5*Таблица14[[#This Row],[коэф]]),
IF(OR(AND(G256="3/8",AM256&gt;0.5),AND(G256="2/8",AM256&gt;0.5)),(AM256*2*база!$J$4*Таблица14[[#This Row],[коэф]]),
(AM256*2*база!$L$5*Таблица14[[#This Row],[коэф]])))))))))))</f>
        <v>0</v>
      </c>
      <c r="AO256" s="122" t="str">
        <f>IFERROR(INDEX(база!$D$2:$D$120, MATCH(Таблица14[[#This Row],[Ф. И. О.]],база!$B$2:$B$100,0)),"")</f>
        <v/>
      </c>
    </row>
    <row r="257" spans="1:41" s="46" customFormat="1">
      <c r="A257" s="207" t="str">
        <f t="shared" si="6"/>
        <v>январь</v>
      </c>
      <c r="B257" s="204">
        <v>2024</v>
      </c>
      <c r="C257" s="572"/>
      <c r="D257" s="214"/>
      <c r="E257" s="243"/>
      <c r="F257" s="713"/>
      <c r="G257" s="206"/>
      <c r="H257" s="215"/>
      <c r="I257" s="215"/>
      <c r="J257" s="215"/>
      <c r="K257" s="215"/>
      <c r="L257" s="215"/>
      <c r="M257" s="215"/>
      <c r="N257" s="215"/>
      <c r="O257" s="215"/>
      <c r="P257" s="215"/>
      <c r="Q257" s="215"/>
      <c r="R257" s="215"/>
      <c r="S257" s="215"/>
      <c r="T257" s="215"/>
      <c r="U257" s="215"/>
      <c r="V257" s="215"/>
      <c r="W257" s="215"/>
      <c r="X257" s="215"/>
      <c r="Y257" s="215"/>
      <c r="Z257" s="215"/>
      <c r="AA257" s="215"/>
      <c r="AB257" s="215"/>
      <c r="AC257" s="215"/>
      <c r="AD257" s="215"/>
      <c r="AE257" s="215"/>
      <c r="AF257" s="215"/>
      <c r="AG257" s="215"/>
      <c r="AH257" s="215"/>
      <c r="AI257" s="215"/>
      <c r="AJ257" s="215"/>
      <c r="AK257" s="215"/>
      <c r="AL257" s="215"/>
      <c r="AM257" s="121">
        <f t="shared" si="7"/>
        <v>0</v>
      </c>
      <c r="AN257" s="564">
        <f>IF(AO257&lt;=3,(IF(AND(G257="5/24",AM257&gt;0.5),(AM257*2*база!$M$6*Таблица14[[#This Row],[коэф]]),
IF(AND(G257="4/24",AM257&gt;0.5),(AM257*2*база!$M$5*Таблица14[[#This Row],[коэф]]),
IF(AND(G257="3/24",AM257&gt;0.5),(AM257*2*база!$M$4*Таблица14[[#This Row],[коэф]]),
IF(AND(G257="5/16",AM257&gt;0.5),(AM257*2*база!$L$6*Таблица14[[#This Row],[коэф]]),
IF(AND(G257="4/16",AM257&gt;0.5),(AM257*2*база!$L$5*Таблица14[[#This Row],[коэф]]),
IF(AND(G257="3/16",AM257&gt;0.5),(AM257*2*база!$L$4*Таблица14[[#This Row],[коэф]]),
IF(AND(G257="4/4",AM257&gt;0.5),(AM257*2*база!$I$5*Таблица14[[#This Row],[коэф]]),
IF(OR(AND(G257="3/4",AM257&gt;0.5),AND(G257="2/4",AM257&gt;0.5)),(AM257*2*база!$I$4*Таблица14[[#This Row],[коэф]]),
IF(AND(G257="5/8",AM257&gt;0.5),(AM257*2*база!$J$6*Таблица14[[#This Row],[коэф]]),
IF(AND(G257="4/8",AM257&gt;0.5),(AM257*2*база!$J$5*Таблица14[[#This Row],[коэф]]),
IF(OR(AND(G257="3/8",AM257&gt;0.5),AND(G257="2/8",AM257&gt;0.5)),(AM257*2*база!$J$4*Таблица14[[#This Row],[коэф]]),
(AM257*0.5*база!$L$4*Таблица14[[#This Row],[коэф]]))))))))))))),
(IF(AND(G257="5/24",AM257&gt;0.5),(AM257*2*база!$M$6*Таблица14[[#This Row],[коэф]]),
IF(OR(AND(G257="4/24",AM257&gt;0.5),AND(G257="3/24",AM257&gt;0.5)),(AM257*2*база!$M$5*Таблица14[[#This Row],[коэф]]),
IF(AND(G257="5/16",AM257&gt;0.5),(AM257*2*база!$L$6*Таблица14[[#This Row],[коэф]]),
IF(OR(AND(G257="4/16",AM257&gt;0.5),AND(G257="3/16",AM257&gt;0.5)),(AM257*2*база!$L$5*Таблица14[[#This Row],[коэф]]),
IF(OR(AND(G257="4/4",AM257&gt;0.5),AND(G257="3/4",AM257&gt;2)),(AM257*2*база!$I$5*Таблица14[[#This Row],[коэф]]),
IF(AND(G257="5/8",AM257&gt;0.5),(AM257*2*база!$J$6*Таблица14[[#This Row],[коэф]]),
IF(AND(G257="4/8",AM257&gt;0.5),(AM257*2*база!$J$5*Таблица14[[#This Row],[коэф]]),
IF(OR(AND(G257="3/8",AM257&gt;0.5),AND(G257="2/8",AM257&gt;0.5)),(AM257*2*база!$J$4*Таблица14[[#This Row],[коэф]]),
(AM257*2*база!$L$5*Таблица14[[#This Row],[коэф]])))))))))))</f>
        <v>0</v>
      </c>
      <c r="AO257" s="122" t="str">
        <f>IFERROR(INDEX(база!$D$2:$D$120, MATCH(Таблица14[[#This Row],[Ф. И. О.]],база!$B$2:$B$100,0)),"")</f>
        <v/>
      </c>
    </row>
    <row r="258" spans="1:41" s="46" customFormat="1">
      <c r="A258" s="207" t="str">
        <f t="shared" si="6"/>
        <v>январь</v>
      </c>
      <c r="B258" s="240">
        <v>2024</v>
      </c>
      <c r="C258" s="572"/>
      <c r="D258" s="214"/>
      <c r="E258" s="241"/>
      <c r="F258" s="713"/>
      <c r="G258" s="242"/>
      <c r="H258" s="215"/>
      <c r="I258" s="215"/>
      <c r="J258" s="215"/>
      <c r="K258" s="215"/>
      <c r="L258" s="215"/>
      <c r="M258" s="215"/>
      <c r="N258" s="215"/>
      <c r="O258" s="215"/>
      <c r="P258" s="215"/>
      <c r="Q258" s="215"/>
      <c r="R258" s="215"/>
      <c r="S258" s="215"/>
      <c r="T258" s="215"/>
      <c r="U258" s="215"/>
      <c r="V258" s="215"/>
      <c r="W258" s="215"/>
      <c r="X258" s="215"/>
      <c r="Y258" s="215"/>
      <c r="Z258" s="215"/>
      <c r="AA258" s="215"/>
      <c r="AB258" s="215"/>
      <c r="AC258" s="215"/>
      <c r="AD258" s="215"/>
      <c r="AE258" s="215"/>
      <c r="AF258" s="215"/>
      <c r="AG258" s="215"/>
      <c r="AH258" s="215"/>
      <c r="AI258" s="215"/>
      <c r="AJ258" s="215"/>
      <c r="AK258" s="215"/>
      <c r="AL258" s="215"/>
      <c r="AM258" s="121">
        <f t="shared" si="7"/>
        <v>0</v>
      </c>
      <c r="AN258" s="564">
        <f>IF(AO258&lt;=3,(IF(AND(G258="5/24",AM258&gt;0.5),(AM258*2*база!$M$6*Таблица14[[#This Row],[коэф]]),
IF(AND(G258="4/24",AM258&gt;0.5),(AM258*2*база!$M$5*Таблица14[[#This Row],[коэф]]),
IF(AND(G258="3/24",AM258&gt;0.5),(AM258*2*база!$M$4*Таблица14[[#This Row],[коэф]]),
IF(AND(G258="5/16",AM258&gt;0.5),(AM258*2*база!$L$6*Таблица14[[#This Row],[коэф]]),
IF(AND(G258="4/16",AM258&gt;0.5),(AM258*2*база!$L$5*Таблица14[[#This Row],[коэф]]),
IF(AND(G258="3/16",AM258&gt;0.5),(AM258*2*база!$L$4*Таблица14[[#This Row],[коэф]]),
IF(AND(G258="4/4",AM258&gt;0.5),(AM258*2*база!$I$5*Таблица14[[#This Row],[коэф]]),
IF(OR(AND(G258="3/4",AM258&gt;0.5),AND(G258="2/4",AM258&gt;0.5)),(AM258*2*база!$I$4*Таблица14[[#This Row],[коэф]]),
IF(AND(G258="5/8",AM258&gt;0.5),(AM258*2*база!$J$6*Таблица14[[#This Row],[коэф]]),
IF(AND(G258="4/8",AM258&gt;0.5),(AM258*2*база!$J$5*Таблица14[[#This Row],[коэф]]),
IF(OR(AND(G258="3/8",AM258&gt;0.5),AND(G258="2/8",AM258&gt;0.5)),(AM258*2*база!$J$4*Таблица14[[#This Row],[коэф]]),
(AM258*0.5*база!$L$4*Таблица14[[#This Row],[коэф]]))))))))))))),
(IF(AND(G258="5/24",AM258&gt;0.5),(AM258*2*база!$M$6*Таблица14[[#This Row],[коэф]]),
IF(OR(AND(G258="4/24",AM258&gt;0.5),AND(G258="3/24",AM258&gt;0.5)),(AM258*2*база!$M$5*Таблица14[[#This Row],[коэф]]),
IF(AND(G258="5/16",AM258&gt;0.5),(AM258*2*база!$L$6*Таблица14[[#This Row],[коэф]]),
IF(OR(AND(G258="4/16",AM258&gt;0.5),AND(G258="3/16",AM258&gt;0.5)),(AM258*2*база!$L$5*Таблица14[[#This Row],[коэф]]),
IF(OR(AND(G258="4/4",AM258&gt;0.5),AND(G258="3/4",AM258&gt;2)),(AM258*2*база!$I$5*Таблица14[[#This Row],[коэф]]),
IF(AND(G258="5/8",AM258&gt;0.5),(AM258*2*база!$J$6*Таблица14[[#This Row],[коэф]]),
IF(AND(G258="4/8",AM258&gt;0.5),(AM258*2*база!$J$5*Таблица14[[#This Row],[коэф]]),
IF(OR(AND(G258="3/8",AM258&gt;0.5),AND(G258="2/8",AM258&gt;0.5)),(AM258*2*база!$J$4*Таблица14[[#This Row],[коэф]]),
(AM258*2*база!$L$5*Таблица14[[#This Row],[коэф]])))))))))))</f>
        <v>0</v>
      </c>
      <c r="AO258" s="122" t="str">
        <f>IFERROR(INDEX(база!$D$2:$D$120, MATCH(Таблица14[[#This Row],[Ф. И. О.]],база!$B$2:$B$100,0)),"")</f>
        <v/>
      </c>
    </row>
    <row r="259" spans="1:41" s="46" customFormat="1">
      <c r="A259" s="207" t="str">
        <f t="shared" si="6"/>
        <v>январь</v>
      </c>
      <c r="B259" s="204">
        <v>2024</v>
      </c>
      <c r="C259" s="572"/>
      <c r="D259" s="214"/>
      <c r="E259" s="243"/>
      <c r="F259" s="713"/>
      <c r="G259" s="206"/>
      <c r="H259" s="215"/>
      <c r="I259" s="215"/>
      <c r="J259" s="215"/>
      <c r="K259" s="215"/>
      <c r="L259" s="215"/>
      <c r="M259" s="215"/>
      <c r="N259" s="215"/>
      <c r="O259" s="215"/>
      <c r="P259" s="215"/>
      <c r="Q259" s="215"/>
      <c r="R259" s="215"/>
      <c r="S259" s="215"/>
      <c r="T259" s="215"/>
      <c r="U259" s="215"/>
      <c r="V259" s="215"/>
      <c r="W259" s="215"/>
      <c r="X259" s="215"/>
      <c r="Y259" s="215"/>
      <c r="Z259" s="215"/>
      <c r="AA259" s="215"/>
      <c r="AB259" s="215"/>
      <c r="AC259" s="215"/>
      <c r="AD259" s="215"/>
      <c r="AE259" s="215"/>
      <c r="AF259" s="215"/>
      <c r="AG259" s="215"/>
      <c r="AH259" s="215"/>
      <c r="AI259" s="215"/>
      <c r="AJ259" s="215"/>
      <c r="AK259" s="215"/>
      <c r="AL259" s="215"/>
      <c r="AM259" s="121">
        <f t="shared" si="7"/>
        <v>0</v>
      </c>
      <c r="AN259" s="564">
        <f>IF(AO259&lt;=3,(IF(AND(G259="5/24",AM259&gt;0.5),(AM259*2*база!$M$6*Таблица14[[#This Row],[коэф]]),
IF(AND(G259="4/24",AM259&gt;0.5),(AM259*2*база!$M$5*Таблица14[[#This Row],[коэф]]),
IF(AND(G259="3/24",AM259&gt;0.5),(AM259*2*база!$M$4*Таблица14[[#This Row],[коэф]]),
IF(AND(G259="5/16",AM259&gt;0.5),(AM259*2*база!$L$6*Таблица14[[#This Row],[коэф]]),
IF(AND(G259="4/16",AM259&gt;0.5),(AM259*2*база!$L$5*Таблица14[[#This Row],[коэф]]),
IF(AND(G259="3/16",AM259&gt;0.5),(AM259*2*база!$L$4*Таблица14[[#This Row],[коэф]]),
IF(AND(G259="4/4",AM259&gt;0.5),(AM259*2*база!$I$5*Таблица14[[#This Row],[коэф]]),
IF(OR(AND(G259="3/4",AM259&gt;0.5),AND(G259="2/4",AM259&gt;0.5)),(AM259*2*база!$I$4*Таблица14[[#This Row],[коэф]]),
IF(AND(G259="5/8",AM259&gt;0.5),(AM259*2*база!$J$6*Таблица14[[#This Row],[коэф]]),
IF(AND(G259="4/8",AM259&gt;0.5),(AM259*2*база!$J$5*Таблица14[[#This Row],[коэф]]),
IF(OR(AND(G259="3/8",AM259&gt;0.5),AND(G259="2/8",AM259&gt;0.5)),(AM259*2*база!$J$4*Таблица14[[#This Row],[коэф]]),
(AM259*0.5*база!$L$4*Таблица14[[#This Row],[коэф]]))))))))))))),
(IF(AND(G259="5/24",AM259&gt;0.5),(AM259*2*база!$M$6*Таблица14[[#This Row],[коэф]]),
IF(OR(AND(G259="4/24",AM259&gt;0.5),AND(G259="3/24",AM259&gt;0.5)),(AM259*2*база!$M$5*Таблица14[[#This Row],[коэф]]),
IF(AND(G259="5/16",AM259&gt;0.5),(AM259*2*база!$L$6*Таблица14[[#This Row],[коэф]]),
IF(OR(AND(G259="4/16",AM259&gt;0.5),AND(G259="3/16",AM259&gt;0.5)),(AM259*2*база!$L$5*Таблица14[[#This Row],[коэф]]),
IF(OR(AND(G259="4/4",AM259&gt;0.5),AND(G259="3/4",AM259&gt;2)),(AM259*2*база!$I$5*Таблица14[[#This Row],[коэф]]),
IF(AND(G259="5/8",AM259&gt;0.5),(AM259*2*база!$J$6*Таблица14[[#This Row],[коэф]]),
IF(AND(G259="4/8",AM259&gt;0.5),(AM259*2*база!$J$5*Таблица14[[#This Row],[коэф]]),
IF(OR(AND(G259="3/8",AM259&gt;0.5),AND(G259="2/8",AM259&gt;0.5)),(AM259*2*база!$J$4*Таблица14[[#This Row],[коэф]]),
(AM259*2*база!$L$5*Таблица14[[#This Row],[коэф]])))))))))))</f>
        <v>0</v>
      </c>
      <c r="AO259" s="122" t="str">
        <f>IFERROR(INDEX(база!$D$2:$D$120, MATCH(Таблица14[[#This Row],[Ф. И. О.]],база!$B$2:$B$100,0)),"")</f>
        <v/>
      </c>
    </row>
    <row r="260" spans="1:41" s="46" customFormat="1">
      <c r="A260" s="207" t="str">
        <f t="shared" si="6"/>
        <v>январь</v>
      </c>
      <c r="B260" s="240">
        <v>2024</v>
      </c>
      <c r="C260" s="572"/>
      <c r="D260" s="214"/>
      <c r="E260" s="241"/>
      <c r="F260" s="713"/>
      <c r="G260" s="242"/>
      <c r="H260" s="215"/>
      <c r="I260" s="215"/>
      <c r="J260" s="215"/>
      <c r="K260" s="215"/>
      <c r="L260" s="215"/>
      <c r="M260" s="215"/>
      <c r="N260" s="215"/>
      <c r="O260" s="215"/>
      <c r="P260" s="215"/>
      <c r="Q260" s="215"/>
      <c r="R260" s="215"/>
      <c r="S260" s="215"/>
      <c r="T260" s="215"/>
      <c r="U260" s="215"/>
      <c r="V260" s="215"/>
      <c r="W260" s="215"/>
      <c r="X260" s="215"/>
      <c r="Y260" s="215"/>
      <c r="Z260" s="215"/>
      <c r="AA260" s="215"/>
      <c r="AB260" s="215"/>
      <c r="AC260" s="215"/>
      <c r="AD260" s="215"/>
      <c r="AE260" s="215"/>
      <c r="AF260" s="215"/>
      <c r="AG260" s="215"/>
      <c r="AH260" s="215"/>
      <c r="AI260" s="215"/>
      <c r="AJ260" s="215"/>
      <c r="AK260" s="215"/>
      <c r="AL260" s="215"/>
      <c r="AM260" s="121">
        <f t="shared" ref="AM260:AM323" si="8">SUM(H260:AL260)</f>
        <v>0</v>
      </c>
      <c r="AN260" s="564">
        <f>IF(AO260&lt;=3,(IF(AND(G260="5/24",AM260&gt;0.5),(AM260*2*база!$M$6*Таблица14[[#This Row],[коэф]]),
IF(AND(G260="4/24",AM260&gt;0.5),(AM260*2*база!$M$5*Таблица14[[#This Row],[коэф]]),
IF(AND(G260="3/24",AM260&gt;0.5),(AM260*2*база!$M$4*Таблица14[[#This Row],[коэф]]),
IF(AND(G260="5/16",AM260&gt;0.5),(AM260*2*база!$L$6*Таблица14[[#This Row],[коэф]]),
IF(AND(G260="4/16",AM260&gt;0.5),(AM260*2*база!$L$5*Таблица14[[#This Row],[коэф]]),
IF(AND(G260="3/16",AM260&gt;0.5),(AM260*2*база!$L$4*Таблица14[[#This Row],[коэф]]),
IF(AND(G260="4/4",AM260&gt;0.5),(AM260*2*база!$I$5*Таблица14[[#This Row],[коэф]]),
IF(OR(AND(G260="3/4",AM260&gt;0.5),AND(G260="2/4",AM260&gt;0.5)),(AM260*2*база!$I$4*Таблица14[[#This Row],[коэф]]),
IF(AND(G260="5/8",AM260&gt;0.5),(AM260*2*база!$J$6*Таблица14[[#This Row],[коэф]]),
IF(AND(G260="4/8",AM260&gt;0.5),(AM260*2*база!$J$5*Таблица14[[#This Row],[коэф]]),
IF(OR(AND(G260="3/8",AM260&gt;0.5),AND(G260="2/8",AM260&gt;0.5)),(AM260*2*база!$J$4*Таблица14[[#This Row],[коэф]]),
(AM260*0.5*база!$L$4*Таблица14[[#This Row],[коэф]]))))))))))))),
(IF(AND(G260="5/24",AM260&gt;0.5),(AM260*2*база!$M$6*Таблица14[[#This Row],[коэф]]),
IF(OR(AND(G260="4/24",AM260&gt;0.5),AND(G260="3/24",AM260&gt;0.5)),(AM260*2*база!$M$5*Таблица14[[#This Row],[коэф]]),
IF(AND(G260="5/16",AM260&gt;0.5),(AM260*2*база!$L$6*Таблица14[[#This Row],[коэф]]),
IF(OR(AND(G260="4/16",AM260&gt;0.5),AND(G260="3/16",AM260&gt;0.5)),(AM260*2*база!$L$5*Таблица14[[#This Row],[коэф]]),
IF(OR(AND(G260="4/4",AM260&gt;0.5),AND(G260="3/4",AM260&gt;2)),(AM260*2*база!$I$5*Таблица14[[#This Row],[коэф]]),
IF(AND(G260="5/8",AM260&gt;0.5),(AM260*2*база!$J$6*Таблица14[[#This Row],[коэф]]),
IF(AND(G260="4/8",AM260&gt;0.5),(AM260*2*база!$J$5*Таблица14[[#This Row],[коэф]]),
IF(OR(AND(G260="3/8",AM260&gt;0.5),AND(G260="2/8",AM260&gt;0.5)),(AM260*2*база!$J$4*Таблица14[[#This Row],[коэф]]),
(AM260*2*база!$L$5*Таблица14[[#This Row],[коэф]])))))))))))</f>
        <v>0</v>
      </c>
      <c r="AO260" s="122" t="str">
        <f>IFERROR(INDEX(база!$D$2:$D$120, MATCH(Таблица14[[#This Row],[Ф. И. О.]],база!$B$2:$B$100,0)),"")</f>
        <v/>
      </c>
    </row>
    <row r="261" spans="1:41" s="46" customFormat="1">
      <c r="A261" s="207" t="str">
        <f t="shared" si="6"/>
        <v>январь</v>
      </c>
      <c r="B261" s="204">
        <v>2024</v>
      </c>
      <c r="C261" s="572"/>
      <c r="D261" s="214"/>
      <c r="E261" s="243"/>
      <c r="F261" s="713"/>
      <c r="G261" s="206"/>
      <c r="H261" s="215"/>
      <c r="I261" s="215"/>
      <c r="J261" s="215"/>
      <c r="K261" s="215"/>
      <c r="L261" s="215"/>
      <c r="M261" s="215"/>
      <c r="N261" s="215"/>
      <c r="O261" s="215"/>
      <c r="P261" s="215"/>
      <c r="Q261" s="215"/>
      <c r="R261" s="215"/>
      <c r="S261" s="215"/>
      <c r="T261" s="215"/>
      <c r="U261" s="215"/>
      <c r="V261" s="215"/>
      <c r="W261" s="215"/>
      <c r="X261" s="215"/>
      <c r="Y261" s="215"/>
      <c r="Z261" s="215"/>
      <c r="AA261" s="215"/>
      <c r="AB261" s="215"/>
      <c r="AC261" s="215"/>
      <c r="AD261" s="215"/>
      <c r="AE261" s="215"/>
      <c r="AF261" s="215"/>
      <c r="AG261" s="215"/>
      <c r="AH261" s="215"/>
      <c r="AI261" s="215"/>
      <c r="AJ261" s="215"/>
      <c r="AK261" s="215"/>
      <c r="AL261" s="215"/>
      <c r="AM261" s="121">
        <f t="shared" si="8"/>
        <v>0</v>
      </c>
      <c r="AN261" s="564">
        <f>IF(AO261&lt;=3,(IF(AND(G261="5/24",AM261&gt;0.5),(AM261*2*база!$M$6*Таблица14[[#This Row],[коэф]]),
IF(AND(G261="4/24",AM261&gt;0.5),(AM261*2*база!$M$5*Таблица14[[#This Row],[коэф]]),
IF(AND(G261="3/24",AM261&gt;0.5),(AM261*2*база!$M$4*Таблица14[[#This Row],[коэф]]),
IF(AND(G261="5/16",AM261&gt;0.5),(AM261*2*база!$L$6*Таблица14[[#This Row],[коэф]]),
IF(AND(G261="4/16",AM261&gt;0.5),(AM261*2*база!$L$5*Таблица14[[#This Row],[коэф]]),
IF(AND(G261="3/16",AM261&gt;0.5),(AM261*2*база!$L$4*Таблица14[[#This Row],[коэф]]),
IF(AND(G261="4/4",AM261&gt;0.5),(AM261*2*база!$I$5*Таблица14[[#This Row],[коэф]]),
IF(OR(AND(G261="3/4",AM261&gt;0.5),AND(G261="2/4",AM261&gt;0.5)),(AM261*2*база!$I$4*Таблица14[[#This Row],[коэф]]),
IF(AND(G261="5/8",AM261&gt;0.5),(AM261*2*база!$J$6*Таблица14[[#This Row],[коэф]]),
IF(AND(G261="4/8",AM261&gt;0.5),(AM261*2*база!$J$5*Таблица14[[#This Row],[коэф]]),
IF(OR(AND(G261="3/8",AM261&gt;0.5),AND(G261="2/8",AM261&gt;0.5)),(AM261*2*база!$J$4*Таблица14[[#This Row],[коэф]]),
(AM261*0.5*база!$L$4*Таблица14[[#This Row],[коэф]]))))))))))))),
(IF(AND(G261="5/24",AM261&gt;0.5),(AM261*2*база!$M$6*Таблица14[[#This Row],[коэф]]),
IF(OR(AND(G261="4/24",AM261&gt;0.5),AND(G261="3/24",AM261&gt;0.5)),(AM261*2*база!$M$5*Таблица14[[#This Row],[коэф]]),
IF(AND(G261="5/16",AM261&gt;0.5),(AM261*2*база!$L$6*Таблица14[[#This Row],[коэф]]),
IF(OR(AND(G261="4/16",AM261&gt;0.5),AND(G261="3/16",AM261&gt;0.5)),(AM261*2*база!$L$5*Таблица14[[#This Row],[коэф]]),
IF(OR(AND(G261="4/4",AM261&gt;0.5),AND(G261="3/4",AM261&gt;2)),(AM261*2*база!$I$5*Таблица14[[#This Row],[коэф]]),
IF(AND(G261="5/8",AM261&gt;0.5),(AM261*2*база!$J$6*Таблица14[[#This Row],[коэф]]),
IF(AND(G261="4/8",AM261&gt;0.5),(AM261*2*база!$J$5*Таблица14[[#This Row],[коэф]]),
IF(OR(AND(G261="3/8",AM261&gt;0.5),AND(G261="2/8",AM261&gt;0.5)),(AM261*2*база!$J$4*Таблица14[[#This Row],[коэф]]),
(AM261*2*база!$L$5*Таблица14[[#This Row],[коэф]])))))))))))</f>
        <v>0</v>
      </c>
      <c r="AO261" s="122" t="str">
        <f>IFERROR(INDEX(база!$D$2:$D$120, MATCH(Таблица14[[#This Row],[Ф. И. О.]],база!$B$2:$B$100,0)),"")</f>
        <v/>
      </c>
    </row>
    <row r="262" spans="1:41" s="46" customFormat="1">
      <c r="A262" s="207" t="str">
        <f t="shared" si="6"/>
        <v>январь</v>
      </c>
      <c r="B262" s="240">
        <v>2024</v>
      </c>
      <c r="C262" s="572"/>
      <c r="D262" s="214"/>
      <c r="E262" s="241"/>
      <c r="F262" s="713"/>
      <c r="G262" s="242"/>
      <c r="H262" s="215"/>
      <c r="I262" s="215"/>
      <c r="J262" s="215"/>
      <c r="K262" s="215"/>
      <c r="L262" s="215"/>
      <c r="M262" s="215"/>
      <c r="N262" s="215"/>
      <c r="O262" s="215"/>
      <c r="P262" s="215"/>
      <c r="Q262" s="215"/>
      <c r="R262" s="215"/>
      <c r="S262" s="215"/>
      <c r="T262" s="215"/>
      <c r="U262" s="215"/>
      <c r="V262" s="215"/>
      <c r="W262" s="215"/>
      <c r="X262" s="215"/>
      <c r="Y262" s="215"/>
      <c r="Z262" s="215"/>
      <c r="AA262" s="215"/>
      <c r="AB262" s="215"/>
      <c r="AC262" s="215"/>
      <c r="AD262" s="215"/>
      <c r="AE262" s="215"/>
      <c r="AF262" s="215"/>
      <c r="AG262" s="215"/>
      <c r="AH262" s="215"/>
      <c r="AI262" s="215"/>
      <c r="AJ262" s="215"/>
      <c r="AK262" s="215"/>
      <c r="AL262" s="215"/>
      <c r="AM262" s="121">
        <f t="shared" si="8"/>
        <v>0</v>
      </c>
      <c r="AN262" s="564">
        <f>IF(AO262&lt;=3,(IF(AND(G262="5/24",AM262&gt;0.5),(AM262*2*база!$M$6*Таблица14[[#This Row],[коэф]]),
IF(AND(G262="4/24",AM262&gt;0.5),(AM262*2*база!$M$5*Таблица14[[#This Row],[коэф]]),
IF(AND(G262="3/24",AM262&gt;0.5),(AM262*2*база!$M$4*Таблица14[[#This Row],[коэф]]),
IF(AND(G262="5/16",AM262&gt;0.5),(AM262*2*база!$L$6*Таблица14[[#This Row],[коэф]]),
IF(AND(G262="4/16",AM262&gt;0.5),(AM262*2*база!$L$5*Таблица14[[#This Row],[коэф]]),
IF(AND(G262="3/16",AM262&gt;0.5),(AM262*2*база!$L$4*Таблица14[[#This Row],[коэф]]),
IF(AND(G262="4/4",AM262&gt;0.5),(AM262*2*база!$I$5*Таблица14[[#This Row],[коэф]]),
IF(OR(AND(G262="3/4",AM262&gt;0.5),AND(G262="2/4",AM262&gt;0.5)),(AM262*2*база!$I$4*Таблица14[[#This Row],[коэф]]),
IF(AND(G262="5/8",AM262&gt;0.5),(AM262*2*база!$J$6*Таблица14[[#This Row],[коэф]]),
IF(AND(G262="4/8",AM262&gt;0.5),(AM262*2*база!$J$5*Таблица14[[#This Row],[коэф]]),
IF(OR(AND(G262="3/8",AM262&gt;0.5),AND(G262="2/8",AM262&gt;0.5)),(AM262*2*база!$J$4*Таблица14[[#This Row],[коэф]]),
(AM262*0.5*база!$L$4*Таблица14[[#This Row],[коэф]]))))))))))))),
(IF(AND(G262="5/24",AM262&gt;0.5),(AM262*2*база!$M$6*Таблица14[[#This Row],[коэф]]),
IF(OR(AND(G262="4/24",AM262&gt;0.5),AND(G262="3/24",AM262&gt;0.5)),(AM262*2*база!$M$5*Таблица14[[#This Row],[коэф]]),
IF(AND(G262="5/16",AM262&gt;0.5),(AM262*2*база!$L$6*Таблица14[[#This Row],[коэф]]),
IF(OR(AND(G262="4/16",AM262&gt;0.5),AND(G262="3/16",AM262&gt;0.5)),(AM262*2*база!$L$5*Таблица14[[#This Row],[коэф]]),
IF(OR(AND(G262="4/4",AM262&gt;0.5),AND(G262="3/4",AM262&gt;2)),(AM262*2*база!$I$5*Таблица14[[#This Row],[коэф]]),
IF(AND(G262="5/8",AM262&gt;0.5),(AM262*2*база!$J$6*Таблица14[[#This Row],[коэф]]),
IF(AND(G262="4/8",AM262&gt;0.5),(AM262*2*база!$J$5*Таблица14[[#This Row],[коэф]]),
IF(OR(AND(G262="3/8",AM262&gt;0.5),AND(G262="2/8",AM262&gt;0.5)),(AM262*2*база!$J$4*Таблица14[[#This Row],[коэф]]),
(AM262*2*база!$L$5*Таблица14[[#This Row],[коэф]])))))))))))</f>
        <v>0</v>
      </c>
      <c r="AO262" s="122" t="str">
        <f>IFERROR(INDEX(база!$D$2:$D$120, MATCH(Таблица14[[#This Row],[Ф. И. О.]],база!$B$2:$B$100,0)),"")</f>
        <v/>
      </c>
    </row>
    <row r="263" spans="1:41" s="46" customFormat="1">
      <c r="A263" s="207" t="str">
        <f t="shared" si="6"/>
        <v>январь</v>
      </c>
      <c r="B263" s="204">
        <v>2024</v>
      </c>
      <c r="C263" s="572"/>
      <c r="D263" s="214"/>
      <c r="E263" s="243"/>
      <c r="F263" s="713"/>
      <c r="G263" s="206"/>
      <c r="H263" s="215"/>
      <c r="I263" s="215"/>
      <c r="J263" s="215"/>
      <c r="K263" s="215"/>
      <c r="L263" s="215"/>
      <c r="M263" s="215"/>
      <c r="N263" s="215"/>
      <c r="O263" s="215"/>
      <c r="P263" s="215"/>
      <c r="Q263" s="215"/>
      <c r="R263" s="215"/>
      <c r="S263" s="215"/>
      <c r="T263" s="215"/>
      <c r="U263" s="215"/>
      <c r="V263" s="215"/>
      <c r="W263" s="215"/>
      <c r="X263" s="215"/>
      <c r="Y263" s="215"/>
      <c r="Z263" s="215"/>
      <c r="AA263" s="215"/>
      <c r="AB263" s="215"/>
      <c r="AC263" s="215"/>
      <c r="AD263" s="215"/>
      <c r="AE263" s="215"/>
      <c r="AF263" s="215"/>
      <c r="AG263" s="215"/>
      <c r="AH263" s="215"/>
      <c r="AI263" s="215"/>
      <c r="AJ263" s="215"/>
      <c r="AK263" s="215"/>
      <c r="AL263" s="215"/>
      <c r="AM263" s="121">
        <f t="shared" si="8"/>
        <v>0</v>
      </c>
      <c r="AN263" s="564">
        <f>IF(AO263&lt;=3,(IF(AND(G263="5/24",AM263&gt;0.5),(AM263*2*база!$M$6*Таблица14[[#This Row],[коэф]]),
IF(AND(G263="4/24",AM263&gt;0.5),(AM263*2*база!$M$5*Таблица14[[#This Row],[коэф]]),
IF(AND(G263="3/24",AM263&gt;0.5),(AM263*2*база!$M$4*Таблица14[[#This Row],[коэф]]),
IF(AND(G263="5/16",AM263&gt;0.5),(AM263*2*база!$L$6*Таблица14[[#This Row],[коэф]]),
IF(AND(G263="4/16",AM263&gt;0.5),(AM263*2*база!$L$5*Таблица14[[#This Row],[коэф]]),
IF(AND(G263="3/16",AM263&gt;0.5),(AM263*2*база!$L$4*Таблица14[[#This Row],[коэф]]),
IF(AND(G263="4/4",AM263&gt;0.5),(AM263*2*база!$I$5*Таблица14[[#This Row],[коэф]]),
IF(OR(AND(G263="3/4",AM263&gt;0.5),AND(G263="2/4",AM263&gt;0.5)),(AM263*2*база!$I$4*Таблица14[[#This Row],[коэф]]),
IF(AND(G263="5/8",AM263&gt;0.5),(AM263*2*база!$J$6*Таблица14[[#This Row],[коэф]]),
IF(AND(G263="4/8",AM263&gt;0.5),(AM263*2*база!$J$5*Таблица14[[#This Row],[коэф]]),
IF(OR(AND(G263="3/8",AM263&gt;0.5),AND(G263="2/8",AM263&gt;0.5)),(AM263*2*база!$J$4*Таблица14[[#This Row],[коэф]]),
(AM263*0.5*база!$L$4*Таблица14[[#This Row],[коэф]]))))))))))))),
(IF(AND(G263="5/24",AM263&gt;0.5),(AM263*2*база!$M$6*Таблица14[[#This Row],[коэф]]),
IF(OR(AND(G263="4/24",AM263&gt;0.5),AND(G263="3/24",AM263&gt;0.5)),(AM263*2*база!$M$5*Таблица14[[#This Row],[коэф]]),
IF(AND(G263="5/16",AM263&gt;0.5),(AM263*2*база!$L$6*Таблица14[[#This Row],[коэф]]),
IF(OR(AND(G263="4/16",AM263&gt;0.5),AND(G263="3/16",AM263&gt;0.5)),(AM263*2*база!$L$5*Таблица14[[#This Row],[коэф]]),
IF(OR(AND(G263="4/4",AM263&gt;0.5),AND(G263="3/4",AM263&gt;2)),(AM263*2*база!$I$5*Таблица14[[#This Row],[коэф]]),
IF(AND(G263="5/8",AM263&gt;0.5),(AM263*2*база!$J$6*Таблица14[[#This Row],[коэф]]),
IF(AND(G263="4/8",AM263&gt;0.5),(AM263*2*база!$J$5*Таблица14[[#This Row],[коэф]]),
IF(OR(AND(G263="3/8",AM263&gt;0.5),AND(G263="2/8",AM263&gt;0.5)),(AM263*2*база!$J$4*Таблица14[[#This Row],[коэф]]),
(AM263*2*база!$L$5*Таблица14[[#This Row],[коэф]])))))))))))</f>
        <v>0</v>
      </c>
      <c r="AO263" s="122" t="str">
        <f>IFERROR(INDEX(база!$D$2:$D$120, MATCH(Таблица14[[#This Row],[Ф. И. О.]],база!$B$2:$B$100,0)),"")</f>
        <v/>
      </c>
    </row>
    <row r="264" spans="1:41" s="46" customFormat="1">
      <c r="A264" s="207" t="str">
        <f t="shared" si="6"/>
        <v>январь</v>
      </c>
      <c r="B264" s="240">
        <v>2024</v>
      </c>
      <c r="C264" s="572"/>
      <c r="D264" s="214"/>
      <c r="E264" s="241"/>
      <c r="F264" s="713"/>
      <c r="G264" s="242"/>
      <c r="H264" s="215"/>
      <c r="I264" s="215"/>
      <c r="J264" s="215"/>
      <c r="K264" s="215"/>
      <c r="L264" s="215"/>
      <c r="M264" s="215"/>
      <c r="N264" s="215"/>
      <c r="O264" s="215"/>
      <c r="P264" s="215"/>
      <c r="Q264" s="215"/>
      <c r="R264" s="215"/>
      <c r="S264" s="215"/>
      <c r="T264" s="215"/>
      <c r="U264" s="215"/>
      <c r="V264" s="215"/>
      <c r="W264" s="215"/>
      <c r="X264" s="215"/>
      <c r="Y264" s="215"/>
      <c r="Z264" s="215"/>
      <c r="AA264" s="215"/>
      <c r="AB264" s="215"/>
      <c r="AC264" s="215"/>
      <c r="AD264" s="215"/>
      <c r="AE264" s="215"/>
      <c r="AF264" s="215"/>
      <c r="AG264" s="215"/>
      <c r="AH264" s="215"/>
      <c r="AI264" s="215"/>
      <c r="AJ264" s="215"/>
      <c r="AK264" s="215"/>
      <c r="AL264" s="215"/>
      <c r="AM264" s="121">
        <f t="shared" si="8"/>
        <v>0</v>
      </c>
      <c r="AN264" s="564">
        <f>IF(AO264&lt;=3,(IF(AND(G264="5/24",AM264&gt;0.5),(AM264*2*база!$M$6*Таблица14[[#This Row],[коэф]]),
IF(AND(G264="4/24",AM264&gt;0.5),(AM264*2*база!$M$5*Таблица14[[#This Row],[коэф]]),
IF(AND(G264="3/24",AM264&gt;0.5),(AM264*2*база!$M$4*Таблица14[[#This Row],[коэф]]),
IF(AND(G264="5/16",AM264&gt;0.5),(AM264*2*база!$L$6*Таблица14[[#This Row],[коэф]]),
IF(AND(G264="4/16",AM264&gt;0.5),(AM264*2*база!$L$5*Таблица14[[#This Row],[коэф]]),
IF(AND(G264="3/16",AM264&gt;0.5),(AM264*2*база!$L$4*Таблица14[[#This Row],[коэф]]),
IF(AND(G264="4/4",AM264&gt;0.5),(AM264*2*база!$I$5*Таблица14[[#This Row],[коэф]]),
IF(OR(AND(G264="3/4",AM264&gt;0.5),AND(G264="2/4",AM264&gt;0.5)),(AM264*2*база!$I$4*Таблица14[[#This Row],[коэф]]),
IF(AND(G264="5/8",AM264&gt;0.5),(AM264*2*база!$J$6*Таблица14[[#This Row],[коэф]]),
IF(AND(G264="4/8",AM264&gt;0.5),(AM264*2*база!$J$5*Таблица14[[#This Row],[коэф]]),
IF(OR(AND(G264="3/8",AM264&gt;0.5),AND(G264="2/8",AM264&gt;0.5)),(AM264*2*база!$J$4*Таблица14[[#This Row],[коэф]]),
(AM264*0.5*база!$L$4*Таблица14[[#This Row],[коэф]]))))))))))))),
(IF(AND(G264="5/24",AM264&gt;0.5),(AM264*2*база!$M$6*Таблица14[[#This Row],[коэф]]),
IF(OR(AND(G264="4/24",AM264&gt;0.5),AND(G264="3/24",AM264&gt;0.5)),(AM264*2*база!$M$5*Таблица14[[#This Row],[коэф]]),
IF(AND(G264="5/16",AM264&gt;0.5),(AM264*2*база!$L$6*Таблица14[[#This Row],[коэф]]),
IF(OR(AND(G264="4/16",AM264&gt;0.5),AND(G264="3/16",AM264&gt;0.5)),(AM264*2*база!$L$5*Таблица14[[#This Row],[коэф]]),
IF(OR(AND(G264="4/4",AM264&gt;0.5),AND(G264="3/4",AM264&gt;2)),(AM264*2*база!$I$5*Таблица14[[#This Row],[коэф]]),
IF(AND(G264="5/8",AM264&gt;0.5),(AM264*2*база!$J$6*Таблица14[[#This Row],[коэф]]),
IF(AND(G264="4/8",AM264&gt;0.5),(AM264*2*база!$J$5*Таблица14[[#This Row],[коэф]]),
IF(OR(AND(G264="3/8",AM264&gt;0.5),AND(G264="2/8",AM264&gt;0.5)),(AM264*2*база!$J$4*Таблица14[[#This Row],[коэф]]),
(AM264*2*база!$L$5*Таблица14[[#This Row],[коэф]])))))))))))</f>
        <v>0</v>
      </c>
      <c r="AO264" s="122" t="str">
        <f>IFERROR(INDEX(база!$D$2:$D$120, MATCH(Таблица14[[#This Row],[Ф. И. О.]],база!$B$2:$B$100,0)),"")</f>
        <v/>
      </c>
    </row>
    <row r="265" spans="1:41" s="46" customFormat="1">
      <c r="A265" s="207" t="str">
        <f t="shared" si="6"/>
        <v>январь</v>
      </c>
      <c r="B265" s="204">
        <v>2024</v>
      </c>
      <c r="C265" s="572"/>
      <c r="D265" s="214"/>
      <c r="E265" s="243"/>
      <c r="F265" s="713"/>
      <c r="G265" s="206"/>
      <c r="H265" s="215"/>
      <c r="I265" s="215"/>
      <c r="J265" s="215"/>
      <c r="K265" s="215"/>
      <c r="L265" s="215"/>
      <c r="M265" s="215"/>
      <c r="N265" s="215"/>
      <c r="O265" s="215"/>
      <c r="P265" s="215"/>
      <c r="Q265" s="215"/>
      <c r="R265" s="215"/>
      <c r="S265" s="215"/>
      <c r="T265" s="215"/>
      <c r="U265" s="215"/>
      <c r="V265" s="215"/>
      <c r="W265" s="215"/>
      <c r="X265" s="215"/>
      <c r="Y265" s="215"/>
      <c r="Z265" s="215"/>
      <c r="AA265" s="215"/>
      <c r="AB265" s="215"/>
      <c r="AC265" s="215"/>
      <c r="AD265" s="215"/>
      <c r="AE265" s="215"/>
      <c r="AF265" s="215"/>
      <c r="AG265" s="215"/>
      <c r="AH265" s="215"/>
      <c r="AI265" s="215"/>
      <c r="AJ265" s="215"/>
      <c r="AK265" s="215"/>
      <c r="AL265" s="215"/>
      <c r="AM265" s="121">
        <f t="shared" si="8"/>
        <v>0</v>
      </c>
      <c r="AN265" s="564">
        <f>IF(AO265&lt;=3,(IF(AND(G265="5/24",AM265&gt;0.5),(AM265*2*база!$M$6*Таблица14[[#This Row],[коэф]]),
IF(AND(G265="4/24",AM265&gt;0.5),(AM265*2*база!$M$5*Таблица14[[#This Row],[коэф]]),
IF(AND(G265="3/24",AM265&gt;0.5),(AM265*2*база!$M$4*Таблица14[[#This Row],[коэф]]),
IF(AND(G265="5/16",AM265&gt;0.5),(AM265*2*база!$L$6*Таблица14[[#This Row],[коэф]]),
IF(AND(G265="4/16",AM265&gt;0.5),(AM265*2*база!$L$5*Таблица14[[#This Row],[коэф]]),
IF(AND(G265="3/16",AM265&gt;0.5),(AM265*2*база!$L$4*Таблица14[[#This Row],[коэф]]),
IF(AND(G265="4/4",AM265&gt;0.5),(AM265*2*база!$I$5*Таблица14[[#This Row],[коэф]]),
IF(OR(AND(G265="3/4",AM265&gt;0.5),AND(G265="2/4",AM265&gt;0.5)),(AM265*2*база!$I$4*Таблица14[[#This Row],[коэф]]),
IF(AND(G265="5/8",AM265&gt;0.5),(AM265*2*база!$J$6*Таблица14[[#This Row],[коэф]]),
IF(AND(G265="4/8",AM265&gt;0.5),(AM265*2*база!$J$5*Таблица14[[#This Row],[коэф]]),
IF(OR(AND(G265="3/8",AM265&gt;0.5),AND(G265="2/8",AM265&gt;0.5)),(AM265*2*база!$J$4*Таблица14[[#This Row],[коэф]]),
(AM265*0.5*база!$L$4*Таблица14[[#This Row],[коэф]]))))))))))))),
(IF(AND(G265="5/24",AM265&gt;0.5),(AM265*2*база!$M$6*Таблица14[[#This Row],[коэф]]),
IF(OR(AND(G265="4/24",AM265&gt;0.5),AND(G265="3/24",AM265&gt;0.5)),(AM265*2*база!$M$5*Таблица14[[#This Row],[коэф]]),
IF(AND(G265="5/16",AM265&gt;0.5),(AM265*2*база!$L$6*Таблица14[[#This Row],[коэф]]),
IF(OR(AND(G265="4/16",AM265&gt;0.5),AND(G265="3/16",AM265&gt;0.5)),(AM265*2*база!$L$5*Таблица14[[#This Row],[коэф]]),
IF(OR(AND(G265="4/4",AM265&gt;0.5),AND(G265="3/4",AM265&gt;2)),(AM265*2*база!$I$5*Таблица14[[#This Row],[коэф]]),
IF(AND(G265="5/8",AM265&gt;0.5),(AM265*2*база!$J$6*Таблица14[[#This Row],[коэф]]),
IF(AND(G265="4/8",AM265&gt;0.5),(AM265*2*база!$J$5*Таблица14[[#This Row],[коэф]]),
IF(OR(AND(G265="3/8",AM265&gt;0.5),AND(G265="2/8",AM265&gt;0.5)),(AM265*2*база!$J$4*Таблица14[[#This Row],[коэф]]),
(AM265*2*база!$L$5*Таблица14[[#This Row],[коэф]])))))))))))</f>
        <v>0</v>
      </c>
      <c r="AO265" s="122" t="str">
        <f>IFERROR(INDEX(база!$D$2:$D$120, MATCH(Таблица14[[#This Row],[Ф. И. О.]],база!$B$2:$B$100,0)),"")</f>
        <v/>
      </c>
    </row>
    <row r="266" spans="1:41" s="46" customFormat="1">
      <c r="A266" s="207" t="str">
        <f t="shared" si="6"/>
        <v>январь</v>
      </c>
      <c r="B266" s="240">
        <v>2024</v>
      </c>
      <c r="C266" s="572"/>
      <c r="D266" s="214"/>
      <c r="E266" s="241"/>
      <c r="F266" s="713"/>
      <c r="G266" s="242"/>
      <c r="H266" s="215"/>
      <c r="I266" s="215"/>
      <c r="J266" s="215"/>
      <c r="K266" s="215"/>
      <c r="L266" s="215"/>
      <c r="M266" s="215"/>
      <c r="N266" s="215"/>
      <c r="O266" s="215"/>
      <c r="P266" s="215"/>
      <c r="Q266" s="215"/>
      <c r="R266" s="215"/>
      <c r="S266" s="215"/>
      <c r="T266" s="215"/>
      <c r="U266" s="215"/>
      <c r="V266" s="215"/>
      <c r="W266" s="215"/>
      <c r="X266" s="215"/>
      <c r="Y266" s="215"/>
      <c r="Z266" s="215"/>
      <c r="AA266" s="215"/>
      <c r="AB266" s="215"/>
      <c r="AC266" s="215"/>
      <c r="AD266" s="215"/>
      <c r="AE266" s="215"/>
      <c r="AF266" s="215"/>
      <c r="AG266" s="215"/>
      <c r="AH266" s="215"/>
      <c r="AI266" s="215"/>
      <c r="AJ266" s="215"/>
      <c r="AK266" s="215"/>
      <c r="AL266" s="215"/>
      <c r="AM266" s="121">
        <f t="shared" si="8"/>
        <v>0</v>
      </c>
      <c r="AN266" s="564">
        <f>IF(AO266&lt;=3,(IF(AND(G266="5/24",AM266&gt;0.5),(AM266*2*база!$M$6*Таблица14[[#This Row],[коэф]]),
IF(AND(G266="4/24",AM266&gt;0.5),(AM266*2*база!$M$5*Таблица14[[#This Row],[коэф]]),
IF(AND(G266="3/24",AM266&gt;0.5),(AM266*2*база!$M$4*Таблица14[[#This Row],[коэф]]),
IF(AND(G266="5/16",AM266&gt;0.5),(AM266*2*база!$L$6*Таблица14[[#This Row],[коэф]]),
IF(AND(G266="4/16",AM266&gt;0.5),(AM266*2*база!$L$5*Таблица14[[#This Row],[коэф]]),
IF(AND(G266="3/16",AM266&gt;0.5),(AM266*2*база!$L$4*Таблица14[[#This Row],[коэф]]),
IF(AND(G266="4/4",AM266&gt;0.5),(AM266*2*база!$I$5*Таблица14[[#This Row],[коэф]]),
IF(OR(AND(G266="3/4",AM266&gt;0.5),AND(G266="2/4",AM266&gt;0.5)),(AM266*2*база!$I$4*Таблица14[[#This Row],[коэф]]),
IF(AND(G266="5/8",AM266&gt;0.5),(AM266*2*база!$J$6*Таблица14[[#This Row],[коэф]]),
IF(AND(G266="4/8",AM266&gt;0.5),(AM266*2*база!$J$5*Таблица14[[#This Row],[коэф]]),
IF(OR(AND(G266="3/8",AM266&gt;0.5),AND(G266="2/8",AM266&gt;0.5)),(AM266*2*база!$J$4*Таблица14[[#This Row],[коэф]]),
(AM266*0.5*база!$L$4*Таблица14[[#This Row],[коэф]]))))))))))))),
(IF(AND(G266="5/24",AM266&gt;0.5),(AM266*2*база!$M$6*Таблица14[[#This Row],[коэф]]),
IF(OR(AND(G266="4/24",AM266&gt;0.5),AND(G266="3/24",AM266&gt;0.5)),(AM266*2*база!$M$5*Таблица14[[#This Row],[коэф]]),
IF(AND(G266="5/16",AM266&gt;0.5),(AM266*2*база!$L$6*Таблица14[[#This Row],[коэф]]),
IF(OR(AND(G266="4/16",AM266&gt;0.5),AND(G266="3/16",AM266&gt;0.5)),(AM266*2*база!$L$5*Таблица14[[#This Row],[коэф]]),
IF(OR(AND(G266="4/4",AM266&gt;0.5),AND(G266="3/4",AM266&gt;2)),(AM266*2*база!$I$5*Таблица14[[#This Row],[коэф]]),
IF(AND(G266="5/8",AM266&gt;0.5),(AM266*2*база!$J$6*Таблица14[[#This Row],[коэф]]),
IF(AND(G266="4/8",AM266&gt;0.5),(AM266*2*база!$J$5*Таблица14[[#This Row],[коэф]]),
IF(OR(AND(G266="3/8",AM266&gt;0.5),AND(G266="2/8",AM266&gt;0.5)),(AM266*2*база!$J$4*Таблица14[[#This Row],[коэф]]),
(AM266*2*база!$L$5*Таблица14[[#This Row],[коэф]])))))))))))</f>
        <v>0</v>
      </c>
      <c r="AO266" s="122" t="str">
        <f>IFERROR(INDEX(база!$D$2:$D$120, MATCH(Таблица14[[#This Row],[Ф. И. О.]],база!$B$2:$B$100,0)),"")</f>
        <v/>
      </c>
    </row>
    <row r="267" spans="1:41" s="46" customFormat="1">
      <c r="A267" s="207" t="str">
        <f t="shared" si="6"/>
        <v>январь</v>
      </c>
      <c r="B267" s="204">
        <v>2024</v>
      </c>
      <c r="C267" s="572"/>
      <c r="D267" s="214"/>
      <c r="E267" s="243"/>
      <c r="F267" s="713"/>
      <c r="G267" s="206"/>
      <c r="H267" s="215"/>
      <c r="I267" s="215"/>
      <c r="J267" s="215"/>
      <c r="K267" s="215"/>
      <c r="L267" s="215"/>
      <c r="M267" s="215"/>
      <c r="N267" s="215"/>
      <c r="O267" s="215"/>
      <c r="P267" s="215"/>
      <c r="Q267" s="215"/>
      <c r="R267" s="215"/>
      <c r="S267" s="215"/>
      <c r="T267" s="215"/>
      <c r="U267" s="215"/>
      <c r="V267" s="215"/>
      <c r="W267" s="215"/>
      <c r="X267" s="215"/>
      <c r="Y267" s="215"/>
      <c r="Z267" s="215"/>
      <c r="AA267" s="215"/>
      <c r="AB267" s="215"/>
      <c r="AC267" s="215"/>
      <c r="AD267" s="215"/>
      <c r="AE267" s="215"/>
      <c r="AF267" s="215"/>
      <c r="AG267" s="215"/>
      <c r="AH267" s="215"/>
      <c r="AI267" s="215"/>
      <c r="AJ267" s="215"/>
      <c r="AK267" s="215"/>
      <c r="AL267" s="215"/>
      <c r="AM267" s="121">
        <f t="shared" si="8"/>
        <v>0</v>
      </c>
      <c r="AN267" s="564">
        <f>IF(AO267&lt;=3,(IF(AND(G267="5/24",AM267&gt;0.5),(AM267*2*база!$M$6*Таблица14[[#This Row],[коэф]]),
IF(AND(G267="4/24",AM267&gt;0.5),(AM267*2*база!$M$5*Таблица14[[#This Row],[коэф]]),
IF(AND(G267="3/24",AM267&gt;0.5),(AM267*2*база!$M$4*Таблица14[[#This Row],[коэф]]),
IF(AND(G267="5/16",AM267&gt;0.5),(AM267*2*база!$L$6*Таблица14[[#This Row],[коэф]]),
IF(AND(G267="4/16",AM267&gt;0.5),(AM267*2*база!$L$5*Таблица14[[#This Row],[коэф]]),
IF(AND(G267="3/16",AM267&gt;0.5),(AM267*2*база!$L$4*Таблица14[[#This Row],[коэф]]),
IF(AND(G267="4/4",AM267&gt;0.5),(AM267*2*база!$I$5*Таблица14[[#This Row],[коэф]]),
IF(OR(AND(G267="3/4",AM267&gt;0.5),AND(G267="2/4",AM267&gt;0.5)),(AM267*2*база!$I$4*Таблица14[[#This Row],[коэф]]),
IF(AND(G267="5/8",AM267&gt;0.5),(AM267*2*база!$J$6*Таблица14[[#This Row],[коэф]]),
IF(AND(G267="4/8",AM267&gt;0.5),(AM267*2*база!$J$5*Таблица14[[#This Row],[коэф]]),
IF(OR(AND(G267="3/8",AM267&gt;0.5),AND(G267="2/8",AM267&gt;0.5)),(AM267*2*база!$J$4*Таблица14[[#This Row],[коэф]]),
(AM267*0.5*база!$L$4*Таблица14[[#This Row],[коэф]]))))))))))))),
(IF(AND(G267="5/24",AM267&gt;0.5),(AM267*2*база!$M$6*Таблица14[[#This Row],[коэф]]),
IF(OR(AND(G267="4/24",AM267&gt;0.5),AND(G267="3/24",AM267&gt;0.5)),(AM267*2*база!$M$5*Таблица14[[#This Row],[коэф]]),
IF(AND(G267="5/16",AM267&gt;0.5),(AM267*2*база!$L$6*Таблица14[[#This Row],[коэф]]),
IF(OR(AND(G267="4/16",AM267&gt;0.5),AND(G267="3/16",AM267&gt;0.5)),(AM267*2*база!$L$5*Таблица14[[#This Row],[коэф]]),
IF(OR(AND(G267="4/4",AM267&gt;0.5),AND(G267="3/4",AM267&gt;2)),(AM267*2*база!$I$5*Таблица14[[#This Row],[коэф]]),
IF(AND(G267="5/8",AM267&gt;0.5),(AM267*2*база!$J$6*Таблица14[[#This Row],[коэф]]),
IF(AND(G267="4/8",AM267&gt;0.5),(AM267*2*база!$J$5*Таблица14[[#This Row],[коэф]]),
IF(OR(AND(G267="3/8",AM267&gt;0.5),AND(G267="2/8",AM267&gt;0.5)),(AM267*2*база!$J$4*Таблица14[[#This Row],[коэф]]),
(AM267*2*база!$L$5*Таблица14[[#This Row],[коэф]])))))))))))</f>
        <v>0</v>
      </c>
      <c r="AO267" s="122" t="str">
        <f>IFERROR(INDEX(база!$D$2:$D$120, MATCH(Таблица14[[#This Row],[Ф. И. О.]],база!$B$2:$B$100,0)),"")</f>
        <v/>
      </c>
    </row>
    <row r="268" spans="1:41" s="46" customFormat="1">
      <c r="A268" s="207" t="str">
        <f t="shared" si="6"/>
        <v>январь</v>
      </c>
      <c r="B268" s="240">
        <v>2024</v>
      </c>
      <c r="C268" s="572"/>
      <c r="D268" s="214"/>
      <c r="E268" s="241"/>
      <c r="F268" s="713"/>
      <c r="G268" s="242"/>
      <c r="H268" s="215"/>
      <c r="I268" s="215"/>
      <c r="J268" s="215"/>
      <c r="K268" s="215"/>
      <c r="L268" s="215"/>
      <c r="M268" s="215"/>
      <c r="N268" s="215"/>
      <c r="O268" s="215"/>
      <c r="P268" s="215"/>
      <c r="Q268" s="215"/>
      <c r="R268" s="215"/>
      <c r="S268" s="215"/>
      <c r="T268" s="215"/>
      <c r="U268" s="215"/>
      <c r="V268" s="215"/>
      <c r="W268" s="215"/>
      <c r="X268" s="215"/>
      <c r="Y268" s="215"/>
      <c r="Z268" s="215"/>
      <c r="AA268" s="215"/>
      <c r="AB268" s="215"/>
      <c r="AC268" s="215"/>
      <c r="AD268" s="215"/>
      <c r="AE268" s="215"/>
      <c r="AF268" s="215"/>
      <c r="AG268" s="215"/>
      <c r="AH268" s="215"/>
      <c r="AI268" s="215"/>
      <c r="AJ268" s="215"/>
      <c r="AK268" s="215"/>
      <c r="AL268" s="215"/>
      <c r="AM268" s="121">
        <f t="shared" si="8"/>
        <v>0</v>
      </c>
      <c r="AN268" s="564">
        <f>IF(AO268&lt;=3,(IF(AND(G268="5/24",AM268&gt;0.5),(AM268*2*база!$M$6*Таблица14[[#This Row],[коэф]]),
IF(AND(G268="4/24",AM268&gt;0.5),(AM268*2*база!$M$5*Таблица14[[#This Row],[коэф]]),
IF(AND(G268="3/24",AM268&gt;0.5),(AM268*2*база!$M$4*Таблица14[[#This Row],[коэф]]),
IF(AND(G268="5/16",AM268&gt;0.5),(AM268*2*база!$L$6*Таблица14[[#This Row],[коэф]]),
IF(AND(G268="4/16",AM268&gt;0.5),(AM268*2*база!$L$5*Таблица14[[#This Row],[коэф]]),
IF(AND(G268="3/16",AM268&gt;0.5),(AM268*2*база!$L$4*Таблица14[[#This Row],[коэф]]),
IF(AND(G268="4/4",AM268&gt;0.5),(AM268*2*база!$I$5*Таблица14[[#This Row],[коэф]]),
IF(OR(AND(G268="3/4",AM268&gt;0.5),AND(G268="2/4",AM268&gt;0.5)),(AM268*2*база!$I$4*Таблица14[[#This Row],[коэф]]),
IF(AND(G268="5/8",AM268&gt;0.5),(AM268*2*база!$J$6*Таблица14[[#This Row],[коэф]]),
IF(AND(G268="4/8",AM268&gt;0.5),(AM268*2*база!$J$5*Таблица14[[#This Row],[коэф]]),
IF(OR(AND(G268="3/8",AM268&gt;0.5),AND(G268="2/8",AM268&gt;0.5)),(AM268*2*база!$J$4*Таблица14[[#This Row],[коэф]]),
(AM268*0.5*база!$L$4*Таблица14[[#This Row],[коэф]]))))))))))))),
(IF(AND(G268="5/24",AM268&gt;0.5),(AM268*2*база!$M$6*Таблица14[[#This Row],[коэф]]),
IF(OR(AND(G268="4/24",AM268&gt;0.5),AND(G268="3/24",AM268&gt;0.5)),(AM268*2*база!$M$5*Таблица14[[#This Row],[коэф]]),
IF(AND(G268="5/16",AM268&gt;0.5),(AM268*2*база!$L$6*Таблица14[[#This Row],[коэф]]),
IF(OR(AND(G268="4/16",AM268&gt;0.5),AND(G268="3/16",AM268&gt;0.5)),(AM268*2*база!$L$5*Таблица14[[#This Row],[коэф]]),
IF(OR(AND(G268="4/4",AM268&gt;0.5),AND(G268="3/4",AM268&gt;2)),(AM268*2*база!$I$5*Таблица14[[#This Row],[коэф]]),
IF(AND(G268="5/8",AM268&gt;0.5),(AM268*2*база!$J$6*Таблица14[[#This Row],[коэф]]),
IF(AND(G268="4/8",AM268&gt;0.5),(AM268*2*база!$J$5*Таблица14[[#This Row],[коэф]]),
IF(OR(AND(G268="3/8",AM268&gt;0.5),AND(G268="2/8",AM268&gt;0.5)),(AM268*2*база!$J$4*Таблица14[[#This Row],[коэф]]),
(AM268*2*база!$L$5*Таблица14[[#This Row],[коэф]])))))))))))</f>
        <v>0</v>
      </c>
      <c r="AO268" s="122" t="str">
        <f>IFERROR(INDEX(база!$D$2:$D$120, MATCH(Таблица14[[#This Row],[Ф. И. О.]],база!$B$2:$B$100,0)),"")</f>
        <v/>
      </c>
    </row>
    <row r="269" spans="1:41" s="46" customFormat="1">
      <c r="A269" s="207" t="str">
        <f t="shared" si="6"/>
        <v>январь</v>
      </c>
      <c r="B269" s="204">
        <v>2024</v>
      </c>
      <c r="C269" s="572"/>
      <c r="D269" s="214"/>
      <c r="E269" s="243"/>
      <c r="F269" s="713"/>
      <c r="G269" s="206"/>
      <c r="H269" s="215"/>
      <c r="I269" s="215"/>
      <c r="J269" s="215"/>
      <c r="K269" s="215"/>
      <c r="L269" s="215"/>
      <c r="M269" s="215"/>
      <c r="N269" s="215"/>
      <c r="O269" s="215"/>
      <c r="P269" s="215"/>
      <c r="Q269" s="215"/>
      <c r="R269" s="215"/>
      <c r="S269" s="215"/>
      <c r="T269" s="215"/>
      <c r="U269" s="215"/>
      <c r="V269" s="215"/>
      <c r="W269" s="215"/>
      <c r="X269" s="215"/>
      <c r="Y269" s="215"/>
      <c r="Z269" s="215"/>
      <c r="AA269" s="215"/>
      <c r="AB269" s="215"/>
      <c r="AC269" s="215"/>
      <c r="AD269" s="215"/>
      <c r="AE269" s="215"/>
      <c r="AF269" s="215"/>
      <c r="AG269" s="215"/>
      <c r="AH269" s="215"/>
      <c r="AI269" s="215"/>
      <c r="AJ269" s="215"/>
      <c r="AK269" s="215"/>
      <c r="AL269" s="215"/>
      <c r="AM269" s="121">
        <f t="shared" si="8"/>
        <v>0</v>
      </c>
      <c r="AN269" s="564">
        <f>IF(AO269&lt;=3,(IF(AND(G269="5/24",AM269&gt;0.5),(AM269*2*база!$M$6*Таблица14[[#This Row],[коэф]]),
IF(AND(G269="4/24",AM269&gt;0.5),(AM269*2*база!$M$5*Таблица14[[#This Row],[коэф]]),
IF(AND(G269="3/24",AM269&gt;0.5),(AM269*2*база!$M$4*Таблица14[[#This Row],[коэф]]),
IF(AND(G269="5/16",AM269&gt;0.5),(AM269*2*база!$L$6*Таблица14[[#This Row],[коэф]]),
IF(AND(G269="4/16",AM269&gt;0.5),(AM269*2*база!$L$5*Таблица14[[#This Row],[коэф]]),
IF(AND(G269="3/16",AM269&gt;0.5),(AM269*2*база!$L$4*Таблица14[[#This Row],[коэф]]),
IF(AND(G269="4/4",AM269&gt;0.5),(AM269*2*база!$I$5*Таблица14[[#This Row],[коэф]]),
IF(OR(AND(G269="3/4",AM269&gt;0.5),AND(G269="2/4",AM269&gt;0.5)),(AM269*2*база!$I$4*Таблица14[[#This Row],[коэф]]),
IF(AND(G269="5/8",AM269&gt;0.5),(AM269*2*база!$J$6*Таблица14[[#This Row],[коэф]]),
IF(AND(G269="4/8",AM269&gt;0.5),(AM269*2*база!$J$5*Таблица14[[#This Row],[коэф]]),
IF(OR(AND(G269="3/8",AM269&gt;0.5),AND(G269="2/8",AM269&gt;0.5)),(AM269*2*база!$J$4*Таблица14[[#This Row],[коэф]]),
(AM269*0.5*база!$L$4*Таблица14[[#This Row],[коэф]]))))))))))))),
(IF(AND(G269="5/24",AM269&gt;0.5),(AM269*2*база!$M$6*Таблица14[[#This Row],[коэф]]),
IF(OR(AND(G269="4/24",AM269&gt;0.5),AND(G269="3/24",AM269&gt;0.5)),(AM269*2*база!$M$5*Таблица14[[#This Row],[коэф]]),
IF(AND(G269="5/16",AM269&gt;0.5),(AM269*2*база!$L$6*Таблица14[[#This Row],[коэф]]),
IF(OR(AND(G269="4/16",AM269&gt;0.5),AND(G269="3/16",AM269&gt;0.5)),(AM269*2*база!$L$5*Таблица14[[#This Row],[коэф]]),
IF(OR(AND(G269="4/4",AM269&gt;0.5),AND(G269="3/4",AM269&gt;2)),(AM269*2*база!$I$5*Таблица14[[#This Row],[коэф]]),
IF(AND(G269="5/8",AM269&gt;0.5),(AM269*2*база!$J$6*Таблица14[[#This Row],[коэф]]),
IF(AND(G269="4/8",AM269&gt;0.5),(AM269*2*база!$J$5*Таблица14[[#This Row],[коэф]]),
IF(OR(AND(G269="3/8",AM269&gt;0.5),AND(G269="2/8",AM269&gt;0.5)),(AM269*2*база!$J$4*Таблица14[[#This Row],[коэф]]),
(AM269*2*база!$L$5*Таблица14[[#This Row],[коэф]])))))))))))</f>
        <v>0</v>
      </c>
      <c r="AO269" s="122" t="str">
        <f>IFERROR(INDEX(база!$D$2:$D$120, MATCH(Таблица14[[#This Row],[Ф. И. О.]],база!$B$2:$B$100,0)),"")</f>
        <v/>
      </c>
    </row>
    <row r="270" spans="1:41" s="46" customFormat="1">
      <c r="A270" s="207" t="str">
        <f t="shared" si="6"/>
        <v>январь</v>
      </c>
      <c r="B270" s="240">
        <v>2024</v>
      </c>
      <c r="C270" s="572"/>
      <c r="D270" s="214"/>
      <c r="E270" s="241"/>
      <c r="F270" s="713"/>
      <c r="G270" s="242"/>
      <c r="H270" s="215"/>
      <c r="I270" s="215"/>
      <c r="J270" s="215"/>
      <c r="K270" s="215"/>
      <c r="L270" s="215"/>
      <c r="M270" s="215"/>
      <c r="N270" s="215"/>
      <c r="O270" s="215"/>
      <c r="P270" s="215"/>
      <c r="Q270" s="215"/>
      <c r="R270" s="215"/>
      <c r="S270" s="215"/>
      <c r="T270" s="215"/>
      <c r="U270" s="215"/>
      <c r="V270" s="215"/>
      <c r="W270" s="215"/>
      <c r="X270" s="215"/>
      <c r="Y270" s="215"/>
      <c r="Z270" s="215"/>
      <c r="AA270" s="215"/>
      <c r="AB270" s="215"/>
      <c r="AC270" s="215"/>
      <c r="AD270" s="215"/>
      <c r="AE270" s="215"/>
      <c r="AF270" s="215"/>
      <c r="AG270" s="215"/>
      <c r="AH270" s="215"/>
      <c r="AI270" s="215"/>
      <c r="AJ270" s="215"/>
      <c r="AK270" s="215"/>
      <c r="AL270" s="215"/>
      <c r="AM270" s="121">
        <f t="shared" si="8"/>
        <v>0</v>
      </c>
      <c r="AN270" s="564">
        <f>IF(AO270&lt;=3,(IF(AND(G270="5/24",AM270&gt;0.5),(AM270*2*база!$M$6*Таблица14[[#This Row],[коэф]]),
IF(AND(G270="4/24",AM270&gt;0.5),(AM270*2*база!$M$5*Таблица14[[#This Row],[коэф]]),
IF(AND(G270="3/24",AM270&gt;0.5),(AM270*2*база!$M$4*Таблица14[[#This Row],[коэф]]),
IF(AND(G270="5/16",AM270&gt;0.5),(AM270*2*база!$L$6*Таблица14[[#This Row],[коэф]]),
IF(AND(G270="4/16",AM270&gt;0.5),(AM270*2*база!$L$5*Таблица14[[#This Row],[коэф]]),
IF(AND(G270="3/16",AM270&gt;0.5),(AM270*2*база!$L$4*Таблица14[[#This Row],[коэф]]),
IF(AND(G270="4/4",AM270&gt;0.5),(AM270*2*база!$I$5*Таблица14[[#This Row],[коэф]]),
IF(OR(AND(G270="3/4",AM270&gt;0.5),AND(G270="2/4",AM270&gt;0.5)),(AM270*2*база!$I$4*Таблица14[[#This Row],[коэф]]),
IF(AND(G270="5/8",AM270&gt;0.5),(AM270*2*база!$J$6*Таблица14[[#This Row],[коэф]]),
IF(AND(G270="4/8",AM270&gt;0.5),(AM270*2*база!$J$5*Таблица14[[#This Row],[коэф]]),
IF(OR(AND(G270="3/8",AM270&gt;0.5),AND(G270="2/8",AM270&gt;0.5)),(AM270*2*база!$J$4*Таблица14[[#This Row],[коэф]]),
(AM270*0.5*база!$L$4*Таблица14[[#This Row],[коэф]]))))))))))))),
(IF(AND(G270="5/24",AM270&gt;0.5),(AM270*2*база!$M$6*Таблица14[[#This Row],[коэф]]),
IF(OR(AND(G270="4/24",AM270&gt;0.5),AND(G270="3/24",AM270&gt;0.5)),(AM270*2*база!$M$5*Таблица14[[#This Row],[коэф]]),
IF(AND(G270="5/16",AM270&gt;0.5),(AM270*2*база!$L$6*Таблица14[[#This Row],[коэф]]),
IF(OR(AND(G270="4/16",AM270&gt;0.5),AND(G270="3/16",AM270&gt;0.5)),(AM270*2*база!$L$5*Таблица14[[#This Row],[коэф]]),
IF(OR(AND(G270="4/4",AM270&gt;0.5),AND(G270="3/4",AM270&gt;2)),(AM270*2*база!$I$5*Таблица14[[#This Row],[коэф]]),
IF(AND(G270="5/8",AM270&gt;0.5),(AM270*2*база!$J$6*Таблица14[[#This Row],[коэф]]),
IF(AND(G270="4/8",AM270&gt;0.5),(AM270*2*база!$J$5*Таблица14[[#This Row],[коэф]]),
IF(OR(AND(G270="3/8",AM270&gt;0.5),AND(G270="2/8",AM270&gt;0.5)),(AM270*2*база!$J$4*Таблица14[[#This Row],[коэф]]),
(AM270*2*база!$L$5*Таблица14[[#This Row],[коэф]])))))))))))</f>
        <v>0</v>
      </c>
      <c r="AO270" s="122" t="str">
        <f>IFERROR(INDEX(база!$D$2:$D$120, MATCH(Таблица14[[#This Row],[Ф. И. О.]],база!$B$2:$B$100,0)),"")</f>
        <v/>
      </c>
    </row>
    <row r="271" spans="1:41" s="46" customFormat="1">
      <c r="A271" s="207" t="str">
        <f t="shared" si="6"/>
        <v>январь</v>
      </c>
      <c r="B271" s="204">
        <v>2024</v>
      </c>
      <c r="C271" s="572"/>
      <c r="D271" s="214"/>
      <c r="E271" s="243"/>
      <c r="F271" s="713"/>
      <c r="G271" s="206"/>
      <c r="H271" s="215"/>
      <c r="I271" s="215"/>
      <c r="J271" s="215"/>
      <c r="K271" s="215"/>
      <c r="L271" s="215"/>
      <c r="M271" s="215"/>
      <c r="N271" s="215"/>
      <c r="O271" s="215"/>
      <c r="P271" s="215"/>
      <c r="Q271" s="215"/>
      <c r="R271" s="215"/>
      <c r="S271" s="215"/>
      <c r="T271" s="215"/>
      <c r="U271" s="215"/>
      <c r="V271" s="215"/>
      <c r="W271" s="215"/>
      <c r="X271" s="215"/>
      <c r="Y271" s="215"/>
      <c r="Z271" s="215"/>
      <c r="AA271" s="215"/>
      <c r="AB271" s="215"/>
      <c r="AC271" s="215"/>
      <c r="AD271" s="215"/>
      <c r="AE271" s="215"/>
      <c r="AF271" s="215"/>
      <c r="AG271" s="215"/>
      <c r="AH271" s="215"/>
      <c r="AI271" s="215"/>
      <c r="AJ271" s="215"/>
      <c r="AK271" s="215"/>
      <c r="AL271" s="215"/>
      <c r="AM271" s="121">
        <f t="shared" si="8"/>
        <v>0</v>
      </c>
      <c r="AN271" s="564">
        <f>IF(AO271&lt;=3,(IF(AND(G271="5/24",AM271&gt;0.5),(AM271*2*база!$M$6*Таблица14[[#This Row],[коэф]]),
IF(AND(G271="4/24",AM271&gt;0.5),(AM271*2*база!$M$5*Таблица14[[#This Row],[коэф]]),
IF(AND(G271="3/24",AM271&gt;0.5),(AM271*2*база!$M$4*Таблица14[[#This Row],[коэф]]),
IF(AND(G271="5/16",AM271&gt;0.5),(AM271*2*база!$L$6*Таблица14[[#This Row],[коэф]]),
IF(AND(G271="4/16",AM271&gt;0.5),(AM271*2*база!$L$5*Таблица14[[#This Row],[коэф]]),
IF(AND(G271="3/16",AM271&gt;0.5),(AM271*2*база!$L$4*Таблица14[[#This Row],[коэф]]),
IF(AND(G271="4/4",AM271&gt;0.5),(AM271*2*база!$I$5*Таблица14[[#This Row],[коэф]]),
IF(OR(AND(G271="3/4",AM271&gt;0.5),AND(G271="2/4",AM271&gt;0.5)),(AM271*2*база!$I$4*Таблица14[[#This Row],[коэф]]),
IF(AND(G271="5/8",AM271&gt;0.5),(AM271*2*база!$J$6*Таблица14[[#This Row],[коэф]]),
IF(AND(G271="4/8",AM271&gt;0.5),(AM271*2*база!$J$5*Таблица14[[#This Row],[коэф]]),
IF(OR(AND(G271="3/8",AM271&gt;0.5),AND(G271="2/8",AM271&gt;0.5)),(AM271*2*база!$J$4*Таблица14[[#This Row],[коэф]]),
(AM271*0.5*база!$L$4*Таблица14[[#This Row],[коэф]]))))))))))))),
(IF(AND(G271="5/24",AM271&gt;0.5),(AM271*2*база!$M$6*Таблица14[[#This Row],[коэф]]),
IF(OR(AND(G271="4/24",AM271&gt;0.5),AND(G271="3/24",AM271&gt;0.5)),(AM271*2*база!$M$5*Таблица14[[#This Row],[коэф]]),
IF(AND(G271="5/16",AM271&gt;0.5),(AM271*2*база!$L$6*Таблица14[[#This Row],[коэф]]),
IF(OR(AND(G271="4/16",AM271&gt;0.5),AND(G271="3/16",AM271&gt;0.5)),(AM271*2*база!$L$5*Таблица14[[#This Row],[коэф]]),
IF(OR(AND(G271="4/4",AM271&gt;0.5),AND(G271="3/4",AM271&gt;2)),(AM271*2*база!$I$5*Таблица14[[#This Row],[коэф]]),
IF(AND(G271="5/8",AM271&gt;0.5),(AM271*2*база!$J$6*Таблица14[[#This Row],[коэф]]),
IF(AND(G271="4/8",AM271&gt;0.5),(AM271*2*база!$J$5*Таблица14[[#This Row],[коэф]]),
IF(OR(AND(G271="3/8",AM271&gt;0.5),AND(G271="2/8",AM271&gt;0.5)),(AM271*2*база!$J$4*Таблица14[[#This Row],[коэф]]),
(AM271*2*база!$L$5*Таблица14[[#This Row],[коэф]])))))))))))</f>
        <v>0</v>
      </c>
      <c r="AO271" s="122" t="str">
        <f>IFERROR(INDEX(база!$D$2:$D$120, MATCH(Таблица14[[#This Row],[Ф. И. О.]],база!$B$2:$B$100,0)),"")</f>
        <v/>
      </c>
    </row>
    <row r="272" spans="1:41" s="46" customFormat="1">
      <c r="A272" s="207" t="str">
        <f t="shared" si="6"/>
        <v>январь</v>
      </c>
      <c r="B272" s="240">
        <v>2024</v>
      </c>
      <c r="C272" s="572"/>
      <c r="D272" s="214"/>
      <c r="E272" s="241"/>
      <c r="F272" s="713"/>
      <c r="G272" s="242"/>
      <c r="H272" s="215"/>
      <c r="I272" s="215"/>
      <c r="J272" s="215"/>
      <c r="K272" s="215"/>
      <c r="L272" s="215"/>
      <c r="M272" s="215"/>
      <c r="N272" s="215"/>
      <c r="O272" s="215"/>
      <c r="P272" s="215"/>
      <c r="Q272" s="215"/>
      <c r="R272" s="215"/>
      <c r="S272" s="215"/>
      <c r="T272" s="215"/>
      <c r="U272" s="215"/>
      <c r="V272" s="215"/>
      <c r="W272" s="215"/>
      <c r="X272" s="215"/>
      <c r="Y272" s="215"/>
      <c r="Z272" s="215"/>
      <c r="AA272" s="215"/>
      <c r="AB272" s="215"/>
      <c r="AC272" s="215"/>
      <c r="AD272" s="215"/>
      <c r="AE272" s="215"/>
      <c r="AF272" s="215"/>
      <c r="AG272" s="215"/>
      <c r="AH272" s="215"/>
      <c r="AI272" s="215"/>
      <c r="AJ272" s="215"/>
      <c r="AK272" s="215"/>
      <c r="AL272" s="215"/>
      <c r="AM272" s="121">
        <f t="shared" si="8"/>
        <v>0</v>
      </c>
      <c r="AN272" s="564">
        <f>IF(AO272&lt;=3,(IF(AND(G272="5/24",AM272&gt;0.5),(AM272*2*база!$M$6*Таблица14[[#This Row],[коэф]]),
IF(AND(G272="4/24",AM272&gt;0.5),(AM272*2*база!$M$5*Таблица14[[#This Row],[коэф]]),
IF(AND(G272="3/24",AM272&gt;0.5),(AM272*2*база!$M$4*Таблица14[[#This Row],[коэф]]),
IF(AND(G272="5/16",AM272&gt;0.5),(AM272*2*база!$L$6*Таблица14[[#This Row],[коэф]]),
IF(AND(G272="4/16",AM272&gt;0.5),(AM272*2*база!$L$5*Таблица14[[#This Row],[коэф]]),
IF(AND(G272="3/16",AM272&gt;0.5),(AM272*2*база!$L$4*Таблица14[[#This Row],[коэф]]),
IF(AND(G272="4/4",AM272&gt;0.5),(AM272*2*база!$I$5*Таблица14[[#This Row],[коэф]]),
IF(OR(AND(G272="3/4",AM272&gt;0.5),AND(G272="2/4",AM272&gt;0.5)),(AM272*2*база!$I$4*Таблица14[[#This Row],[коэф]]),
IF(AND(G272="5/8",AM272&gt;0.5),(AM272*2*база!$J$6*Таблица14[[#This Row],[коэф]]),
IF(AND(G272="4/8",AM272&gt;0.5),(AM272*2*база!$J$5*Таблица14[[#This Row],[коэф]]),
IF(OR(AND(G272="3/8",AM272&gt;0.5),AND(G272="2/8",AM272&gt;0.5)),(AM272*2*база!$J$4*Таблица14[[#This Row],[коэф]]),
(AM272*0.5*база!$L$4*Таблица14[[#This Row],[коэф]]))))))))))))),
(IF(AND(G272="5/24",AM272&gt;0.5),(AM272*2*база!$M$6*Таблица14[[#This Row],[коэф]]),
IF(OR(AND(G272="4/24",AM272&gt;0.5),AND(G272="3/24",AM272&gt;0.5)),(AM272*2*база!$M$5*Таблица14[[#This Row],[коэф]]),
IF(AND(G272="5/16",AM272&gt;0.5),(AM272*2*база!$L$6*Таблица14[[#This Row],[коэф]]),
IF(OR(AND(G272="4/16",AM272&gt;0.5),AND(G272="3/16",AM272&gt;0.5)),(AM272*2*база!$L$5*Таблица14[[#This Row],[коэф]]),
IF(OR(AND(G272="4/4",AM272&gt;0.5),AND(G272="3/4",AM272&gt;2)),(AM272*2*база!$I$5*Таблица14[[#This Row],[коэф]]),
IF(AND(G272="5/8",AM272&gt;0.5),(AM272*2*база!$J$6*Таблица14[[#This Row],[коэф]]),
IF(AND(G272="4/8",AM272&gt;0.5),(AM272*2*база!$J$5*Таблица14[[#This Row],[коэф]]),
IF(OR(AND(G272="3/8",AM272&gt;0.5),AND(G272="2/8",AM272&gt;0.5)),(AM272*2*база!$J$4*Таблица14[[#This Row],[коэф]]),
(AM272*2*база!$L$5*Таблица14[[#This Row],[коэф]])))))))))))</f>
        <v>0</v>
      </c>
      <c r="AO272" s="122" t="str">
        <f>IFERROR(INDEX(база!$D$2:$D$120, MATCH(Таблица14[[#This Row],[Ф. И. О.]],база!$B$2:$B$100,0)),"")</f>
        <v/>
      </c>
    </row>
    <row r="273" spans="1:45">
      <c r="A273" s="207" t="str">
        <f t="shared" si="6"/>
        <v>январь</v>
      </c>
      <c r="B273" s="204">
        <v>2024</v>
      </c>
      <c r="C273" s="572"/>
      <c r="D273" s="214"/>
      <c r="E273" s="243"/>
      <c r="F273" s="713"/>
      <c r="G273" s="206"/>
      <c r="H273" s="215"/>
      <c r="I273" s="215"/>
      <c r="J273" s="215"/>
      <c r="K273" s="215"/>
      <c r="L273" s="215"/>
      <c r="M273" s="215"/>
      <c r="N273" s="215"/>
      <c r="O273" s="215"/>
      <c r="P273" s="215"/>
      <c r="Q273" s="215"/>
      <c r="R273" s="215"/>
      <c r="S273" s="215"/>
      <c r="T273" s="215"/>
      <c r="U273" s="215"/>
      <c r="V273" s="215"/>
      <c r="W273" s="215"/>
      <c r="X273" s="215"/>
      <c r="Y273" s="215"/>
      <c r="Z273" s="215"/>
      <c r="AA273" s="215"/>
      <c r="AB273" s="215"/>
      <c r="AC273" s="215"/>
      <c r="AD273" s="215"/>
      <c r="AE273" s="215"/>
      <c r="AF273" s="215"/>
      <c r="AG273" s="215"/>
      <c r="AH273" s="215"/>
      <c r="AI273" s="215"/>
      <c r="AJ273" s="215"/>
      <c r="AK273" s="215"/>
      <c r="AL273" s="215"/>
      <c r="AM273" s="121">
        <f t="shared" si="8"/>
        <v>0</v>
      </c>
      <c r="AN273" s="564">
        <f>IF(AO273&lt;=3,(IF(AND(G273="5/24",AM273&gt;0.5),(AM273*2*база!$M$6*Таблица14[[#This Row],[коэф]]),
IF(AND(G273="4/24",AM273&gt;0.5),(AM273*2*база!$M$5*Таблица14[[#This Row],[коэф]]),
IF(AND(G273="3/24",AM273&gt;0.5),(AM273*2*база!$M$4*Таблица14[[#This Row],[коэф]]),
IF(AND(G273="5/16",AM273&gt;0.5),(AM273*2*база!$L$6*Таблица14[[#This Row],[коэф]]),
IF(AND(G273="4/16",AM273&gt;0.5),(AM273*2*база!$L$5*Таблица14[[#This Row],[коэф]]),
IF(AND(G273="3/16",AM273&gt;0.5),(AM273*2*база!$L$4*Таблица14[[#This Row],[коэф]]),
IF(AND(G273="4/4",AM273&gt;0.5),(AM273*2*база!$I$5*Таблица14[[#This Row],[коэф]]),
IF(OR(AND(G273="3/4",AM273&gt;0.5),AND(G273="2/4",AM273&gt;0.5)),(AM273*2*база!$I$4*Таблица14[[#This Row],[коэф]]),
IF(AND(G273="5/8",AM273&gt;0.5),(AM273*2*база!$J$6*Таблица14[[#This Row],[коэф]]),
IF(AND(G273="4/8",AM273&gt;0.5),(AM273*2*база!$J$5*Таблица14[[#This Row],[коэф]]),
IF(OR(AND(G273="3/8",AM273&gt;0.5),AND(G273="2/8",AM273&gt;0.5)),(AM273*2*база!$J$4*Таблица14[[#This Row],[коэф]]),
(AM273*0.5*база!$L$4*Таблица14[[#This Row],[коэф]]))))))))))))),
(IF(AND(G273="5/24",AM273&gt;0.5),(AM273*2*база!$M$6*Таблица14[[#This Row],[коэф]]),
IF(OR(AND(G273="4/24",AM273&gt;0.5),AND(G273="3/24",AM273&gt;0.5)),(AM273*2*база!$M$5*Таблица14[[#This Row],[коэф]]),
IF(AND(G273="5/16",AM273&gt;0.5),(AM273*2*база!$L$6*Таблица14[[#This Row],[коэф]]),
IF(OR(AND(G273="4/16",AM273&gt;0.5),AND(G273="3/16",AM273&gt;0.5)),(AM273*2*база!$L$5*Таблица14[[#This Row],[коэф]]),
IF(OR(AND(G273="4/4",AM273&gt;0.5),AND(G273="3/4",AM273&gt;2)),(AM273*2*база!$I$5*Таблица14[[#This Row],[коэф]]),
IF(AND(G273="5/8",AM273&gt;0.5),(AM273*2*база!$J$6*Таблица14[[#This Row],[коэф]]),
IF(AND(G273="4/8",AM273&gt;0.5),(AM273*2*база!$J$5*Таблица14[[#This Row],[коэф]]),
IF(OR(AND(G273="3/8",AM273&gt;0.5),AND(G273="2/8",AM273&gt;0.5)),(AM273*2*база!$J$4*Таблица14[[#This Row],[коэф]]),
(AM273*2*база!$L$5*Таблица14[[#This Row],[коэф]])))))))))))</f>
        <v>0</v>
      </c>
      <c r="AO273" s="122" t="str">
        <f>IFERROR(INDEX(база!$D$2:$D$120, MATCH(Таблица14[[#This Row],[Ф. И. О.]],база!$B$2:$B$100,0)),"")</f>
        <v/>
      </c>
      <c r="AP273" s="46"/>
    </row>
    <row r="274" spans="1:45">
      <c r="A274" s="207" t="str">
        <f t="shared" si="6"/>
        <v>январь</v>
      </c>
      <c r="B274" s="240">
        <v>2024</v>
      </c>
      <c r="C274" s="572"/>
      <c r="D274" s="214"/>
      <c r="E274" s="241"/>
      <c r="F274" s="713"/>
      <c r="G274" s="242"/>
      <c r="H274" s="215"/>
      <c r="I274" s="215"/>
      <c r="J274" s="215"/>
      <c r="K274" s="215"/>
      <c r="L274" s="215"/>
      <c r="M274" s="215"/>
      <c r="N274" s="215"/>
      <c r="O274" s="215"/>
      <c r="P274" s="215"/>
      <c r="Q274" s="215"/>
      <c r="R274" s="215"/>
      <c r="S274" s="215"/>
      <c r="T274" s="215"/>
      <c r="U274" s="215"/>
      <c r="V274" s="215"/>
      <c r="W274" s="215"/>
      <c r="X274" s="215"/>
      <c r="Y274" s="215"/>
      <c r="Z274" s="215"/>
      <c r="AA274" s="215"/>
      <c r="AB274" s="215"/>
      <c r="AC274" s="215"/>
      <c r="AD274" s="215"/>
      <c r="AE274" s="215"/>
      <c r="AF274" s="215"/>
      <c r="AG274" s="215"/>
      <c r="AH274" s="215"/>
      <c r="AI274" s="215"/>
      <c r="AJ274" s="215"/>
      <c r="AK274" s="215"/>
      <c r="AL274" s="215"/>
      <c r="AM274" s="121">
        <f t="shared" si="8"/>
        <v>0</v>
      </c>
      <c r="AN274" s="564">
        <f>IF(AO274&lt;=3,(IF(AND(G274="5/24",AM274&gt;0.5),(AM274*2*база!$M$6*Таблица14[[#This Row],[коэф]]),
IF(AND(G274="4/24",AM274&gt;0.5),(AM274*2*база!$M$5*Таблица14[[#This Row],[коэф]]),
IF(AND(G274="3/24",AM274&gt;0.5),(AM274*2*база!$M$4*Таблица14[[#This Row],[коэф]]),
IF(AND(G274="5/16",AM274&gt;0.5),(AM274*2*база!$L$6*Таблица14[[#This Row],[коэф]]),
IF(AND(G274="4/16",AM274&gt;0.5),(AM274*2*база!$L$5*Таблица14[[#This Row],[коэф]]),
IF(AND(G274="3/16",AM274&gt;0.5),(AM274*2*база!$L$4*Таблица14[[#This Row],[коэф]]),
IF(AND(G274="4/4",AM274&gt;0.5),(AM274*2*база!$I$5*Таблица14[[#This Row],[коэф]]),
IF(OR(AND(G274="3/4",AM274&gt;0.5),AND(G274="2/4",AM274&gt;0.5)),(AM274*2*база!$I$4*Таблица14[[#This Row],[коэф]]),
IF(AND(G274="5/8",AM274&gt;0.5),(AM274*2*база!$J$6*Таблица14[[#This Row],[коэф]]),
IF(AND(G274="4/8",AM274&gt;0.5),(AM274*2*база!$J$5*Таблица14[[#This Row],[коэф]]),
IF(OR(AND(G274="3/8",AM274&gt;0.5),AND(G274="2/8",AM274&gt;0.5)),(AM274*2*база!$J$4*Таблица14[[#This Row],[коэф]]),
(AM274*0.5*база!$L$4*Таблица14[[#This Row],[коэф]]))))))))))))),
(IF(AND(G274="5/24",AM274&gt;0.5),(AM274*2*база!$M$6*Таблица14[[#This Row],[коэф]]),
IF(OR(AND(G274="4/24",AM274&gt;0.5),AND(G274="3/24",AM274&gt;0.5)),(AM274*2*база!$M$5*Таблица14[[#This Row],[коэф]]),
IF(AND(G274="5/16",AM274&gt;0.5),(AM274*2*база!$L$6*Таблица14[[#This Row],[коэф]]),
IF(OR(AND(G274="4/16",AM274&gt;0.5),AND(G274="3/16",AM274&gt;0.5)),(AM274*2*база!$L$5*Таблица14[[#This Row],[коэф]]),
IF(OR(AND(G274="4/4",AM274&gt;0.5),AND(G274="3/4",AM274&gt;2)),(AM274*2*база!$I$5*Таблица14[[#This Row],[коэф]]),
IF(AND(G274="5/8",AM274&gt;0.5),(AM274*2*база!$J$6*Таблица14[[#This Row],[коэф]]),
IF(AND(G274="4/8",AM274&gt;0.5),(AM274*2*база!$J$5*Таблица14[[#This Row],[коэф]]),
IF(OR(AND(G274="3/8",AM274&gt;0.5),AND(G274="2/8",AM274&gt;0.5)),(AM274*2*база!$J$4*Таблица14[[#This Row],[коэф]]),
(AM274*2*база!$L$5*Таблица14[[#This Row],[коэф]])))))))))))</f>
        <v>0</v>
      </c>
      <c r="AO274" s="122" t="str">
        <f>IFERROR(INDEX(база!$D$2:$D$120, MATCH(Таблица14[[#This Row],[Ф. И. О.]],база!$B$2:$B$100,0)),"")</f>
        <v/>
      </c>
      <c r="AP274" s="46"/>
    </row>
    <row r="275" spans="1:45">
      <c r="A275" s="207" t="str">
        <f t="shared" si="6"/>
        <v>январь</v>
      </c>
      <c r="B275" s="204">
        <v>2024</v>
      </c>
      <c r="C275" s="572"/>
      <c r="D275" s="214"/>
      <c r="E275" s="243"/>
      <c r="F275" s="713"/>
      <c r="G275" s="206"/>
      <c r="H275" s="215"/>
      <c r="I275" s="215"/>
      <c r="J275" s="215"/>
      <c r="K275" s="215"/>
      <c r="L275" s="215"/>
      <c r="M275" s="215"/>
      <c r="N275" s="215"/>
      <c r="O275" s="215"/>
      <c r="P275" s="215"/>
      <c r="Q275" s="215"/>
      <c r="R275" s="215"/>
      <c r="S275" s="215"/>
      <c r="T275" s="215"/>
      <c r="U275" s="215"/>
      <c r="V275" s="215"/>
      <c r="W275" s="215"/>
      <c r="X275" s="215"/>
      <c r="Y275" s="215"/>
      <c r="Z275" s="215"/>
      <c r="AA275" s="215"/>
      <c r="AB275" s="215"/>
      <c r="AC275" s="215"/>
      <c r="AD275" s="215"/>
      <c r="AE275" s="215"/>
      <c r="AF275" s="215"/>
      <c r="AG275" s="215"/>
      <c r="AH275" s="215"/>
      <c r="AI275" s="215"/>
      <c r="AJ275" s="215"/>
      <c r="AK275" s="215"/>
      <c r="AL275" s="215"/>
      <c r="AM275" s="121">
        <f t="shared" si="8"/>
        <v>0</v>
      </c>
      <c r="AN275" s="564">
        <f>IF(AO275&lt;=3,(IF(AND(G275="5/24",AM275&gt;0.5),(AM275*2*база!$M$6*Таблица14[[#This Row],[коэф]]),
IF(AND(G275="4/24",AM275&gt;0.5),(AM275*2*база!$M$5*Таблица14[[#This Row],[коэф]]),
IF(AND(G275="3/24",AM275&gt;0.5),(AM275*2*база!$M$4*Таблица14[[#This Row],[коэф]]),
IF(AND(G275="5/16",AM275&gt;0.5),(AM275*2*база!$L$6*Таблица14[[#This Row],[коэф]]),
IF(AND(G275="4/16",AM275&gt;0.5),(AM275*2*база!$L$5*Таблица14[[#This Row],[коэф]]),
IF(AND(G275="3/16",AM275&gt;0.5),(AM275*2*база!$L$4*Таблица14[[#This Row],[коэф]]),
IF(AND(G275="4/4",AM275&gt;0.5),(AM275*2*база!$I$5*Таблица14[[#This Row],[коэф]]),
IF(OR(AND(G275="3/4",AM275&gt;0.5),AND(G275="2/4",AM275&gt;0.5)),(AM275*2*база!$I$4*Таблица14[[#This Row],[коэф]]),
IF(AND(G275="5/8",AM275&gt;0.5),(AM275*2*база!$J$6*Таблица14[[#This Row],[коэф]]),
IF(AND(G275="4/8",AM275&gt;0.5),(AM275*2*база!$J$5*Таблица14[[#This Row],[коэф]]),
IF(OR(AND(G275="3/8",AM275&gt;0.5),AND(G275="2/8",AM275&gt;0.5)),(AM275*2*база!$J$4*Таблица14[[#This Row],[коэф]]),
(AM275*0.5*база!$L$4*Таблица14[[#This Row],[коэф]]))))))))))))),
(IF(AND(G275="5/24",AM275&gt;0.5),(AM275*2*база!$M$6*Таблица14[[#This Row],[коэф]]),
IF(OR(AND(G275="4/24",AM275&gt;0.5),AND(G275="3/24",AM275&gt;0.5)),(AM275*2*база!$M$5*Таблица14[[#This Row],[коэф]]),
IF(AND(G275="5/16",AM275&gt;0.5),(AM275*2*база!$L$6*Таблица14[[#This Row],[коэф]]),
IF(OR(AND(G275="4/16",AM275&gt;0.5),AND(G275="3/16",AM275&gt;0.5)),(AM275*2*база!$L$5*Таблица14[[#This Row],[коэф]]),
IF(OR(AND(G275="4/4",AM275&gt;0.5),AND(G275="3/4",AM275&gt;2)),(AM275*2*база!$I$5*Таблица14[[#This Row],[коэф]]),
IF(AND(G275="5/8",AM275&gt;0.5),(AM275*2*база!$J$6*Таблица14[[#This Row],[коэф]]),
IF(AND(G275="4/8",AM275&gt;0.5),(AM275*2*база!$J$5*Таблица14[[#This Row],[коэф]]),
IF(OR(AND(G275="3/8",AM275&gt;0.5),AND(G275="2/8",AM275&gt;0.5)),(AM275*2*база!$J$4*Таблица14[[#This Row],[коэф]]),
(AM275*2*база!$L$5*Таблица14[[#This Row],[коэф]])))))))))))</f>
        <v>0</v>
      </c>
      <c r="AO275" s="122" t="str">
        <f>IFERROR(INDEX(база!$D$2:$D$120, MATCH(Таблица14[[#This Row],[Ф. И. О.]],база!$B$2:$B$100,0)),"")</f>
        <v/>
      </c>
      <c r="AP275" s="46"/>
    </row>
    <row r="276" spans="1:45">
      <c r="A276" s="207" t="str">
        <f t="shared" si="6"/>
        <v>январь</v>
      </c>
      <c r="B276" s="240">
        <v>2024</v>
      </c>
      <c r="C276" s="572"/>
      <c r="D276" s="214"/>
      <c r="E276" s="241"/>
      <c r="F276" s="713"/>
      <c r="G276" s="242"/>
      <c r="H276" s="215"/>
      <c r="I276" s="215"/>
      <c r="J276" s="215"/>
      <c r="K276" s="215"/>
      <c r="L276" s="215"/>
      <c r="M276" s="215"/>
      <c r="N276" s="215"/>
      <c r="O276" s="215"/>
      <c r="P276" s="215"/>
      <c r="Q276" s="215"/>
      <c r="R276" s="215"/>
      <c r="S276" s="215"/>
      <c r="T276" s="215"/>
      <c r="U276" s="215"/>
      <c r="V276" s="215"/>
      <c r="W276" s="215"/>
      <c r="X276" s="215"/>
      <c r="Y276" s="215"/>
      <c r="Z276" s="215"/>
      <c r="AA276" s="215"/>
      <c r="AB276" s="215"/>
      <c r="AC276" s="215"/>
      <c r="AD276" s="215"/>
      <c r="AE276" s="215"/>
      <c r="AF276" s="215"/>
      <c r="AG276" s="215"/>
      <c r="AH276" s="215"/>
      <c r="AI276" s="215"/>
      <c r="AJ276" s="215"/>
      <c r="AK276" s="215"/>
      <c r="AL276" s="215"/>
      <c r="AM276" s="121">
        <f t="shared" si="8"/>
        <v>0</v>
      </c>
      <c r="AN276" s="564">
        <f>IF(AO276&lt;=3,(IF(AND(G276="5/24",AM276&gt;0.5),(AM276*2*база!$M$6*Таблица14[[#This Row],[коэф]]),
IF(AND(G276="4/24",AM276&gt;0.5),(AM276*2*база!$M$5*Таблица14[[#This Row],[коэф]]),
IF(AND(G276="3/24",AM276&gt;0.5),(AM276*2*база!$M$4*Таблица14[[#This Row],[коэф]]),
IF(AND(G276="5/16",AM276&gt;0.5),(AM276*2*база!$L$6*Таблица14[[#This Row],[коэф]]),
IF(AND(G276="4/16",AM276&gt;0.5),(AM276*2*база!$L$5*Таблица14[[#This Row],[коэф]]),
IF(AND(G276="3/16",AM276&gt;0.5),(AM276*2*база!$L$4*Таблица14[[#This Row],[коэф]]),
IF(AND(G276="4/4",AM276&gt;0.5),(AM276*2*база!$I$5*Таблица14[[#This Row],[коэф]]),
IF(OR(AND(G276="3/4",AM276&gt;0.5),AND(G276="2/4",AM276&gt;0.5)),(AM276*2*база!$I$4*Таблица14[[#This Row],[коэф]]),
IF(AND(G276="5/8",AM276&gt;0.5),(AM276*2*база!$J$6*Таблица14[[#This Row],[коэф]]),
IF(AND(G276="4/8",AM276&gt;0.5),(AM276*2*база!$J$5*Таблица14[[#This Row],[коэф]]),
IF(OR(AND(G276="3/8",AM276&gt;0.5),AND(G276="2/8",AM276&gt;0.5)),(AM276*2*база!$J$4*Таблица14[[#This Row],[коэф]]),
(AM276*0.5*база!$L$4*Таблица14[[#This Row],[коэф]]))))))))))))),
(IF(AND(G276="5/24",AM276&gt;0.5),(AM276*2*база!$M$6*Таблица14[[#This Row],[коэф]]),
IF(OR(AND(G276="4/24",AM276&gt;0.5),AND(G276="3/24",AM276&gt;0.5)),(AM276*2*база!$M$5*Таблица14[[#This Row],[коэф]]),
IF(AND(G276="5/16",AM276&gt;0.5),(AM276*2*база!$L$6*Таблица14[[#This Row],[коэф]]),
IF(OR(AND(G276="4/16",AM276&gt;0.5),AND(G276="3/16",AM276&gt;0.5)),(AM276*2*база!$L$5*Таблица14[[#This Row],[коэф]]),
IF(OR(AND(G276="4/4",AM276&gt;0.5),AND(G276="3/4",AM276&gt;2)),(AM276*2*база!$I$5*Таблица14[[#This Row],[коэф]]),
IF(AND(G276="5/8",AM276&gt;0.5),(AM276*2*база!$J$6*Таблица14[[#This Row],[коэф]]),
IF(AND(G276="4/8",AM276&gt;0.5),(AM276*2*база!$J$5*Таблица14[[#This Row],[коэф]]),
IF(OR(AND(G276="3/8",AM276&gt;0.5),AND(G276="2/8",AM276&gt;0.5)),(AM276*2*база!$J$4*Таблица14[[#This Row],[коэф]]),
(AM276*2*база!$L$5*Таблица14[[#This Row],[коэф]])))))))))))</f>
        <v>0</v>
      </c>
      <c r="AO276" s="122" t="str">
        <f>IFERROR(INDEX(база!$D$2:$D$120, MATCH(Таблица14[[#This Row],[Ф. И. О.]],база!$B$2:$B$100,0)),"")</f>
        <v/>
      </c>
      <c r="AP276" s="46"/>
    </row>
    <row r="277" spans="1:45">
      <c r="A277" s="207" t="str">
        <f t="shared" si="6"/>
        <v>январь</v>
      </c>
      <c r="B277" s="204">
        <v>2024</v>
      </c>
      <c r="C277" s="572"/>
      <c r="D277" s="214"/>
      <c r="E277" s="243"/>
      <c r="F277" s="713"/>
      <c r="G277" s="206"/>
      <c r="H277" s="215"/>
      <c r="I277" s="215"/>
      <c r="J277" s="215"/>
      <c r="K277" s="215"/>
      <c r="L277" s="215"/>
      <c r="M277" s="215"/>
      <c r="N277" s="215"/>
      <c r="O277" s="215"/>
      <c r="P277" s="215"/>
      <c r="Q277" s="215"/>
      <c r="R277" s="215"/>
      <c r="S277" s="215"/>
      <c r="T277" s="215"/>
      <c r="U277" s="215"/>
      <c r="V277" s="215"/>
      <c r="W277" s="215"/>
      <c r="X277" s="215"/>
      <c r="Y277" s="215"/>
      <c r="Z277" s="215"/>
      <c r="AA277" s="215"/>
      <c r="AB277" s="215"/>
      <c r="AC277" s="215"/>
      <c r="AD277" s="215"/>
      <c r="AE277" s="215"/>
      <c r="AF277" s="215"/>
      <c r="AG277" s="215"/>
      <c r="AH277" s="215"/>
      <c r="AI277" s="215"/>
      <c r="AJ277" s="215"/>
      <c r="AK277" s="215"/>
      <c r="AL277" s="215"/>
      <c r="AM277" s="121">
        <f t="shared" si="8"/>
        <v>0</v>
      </c>
      <c r="AN277" s="564">
        <f>IF(AO277&lt;=3,(IF(AND(G277="5/24",AM277&gt;0.5),(AM277*2*база!$M$6*Таблица14[[#This Row],[коэф]]),
IF(AND(G277="4/24",AM277&gt;0.5),(AM277*2*база!$M$5*Таблица14[[#This Row],[коэф]]),
IF(AND(G277="3/24",AM277&gt;0.5),(AM277*2*база!$M$4*Таблица14[[#This Row],[коэф]]),
IF(AND(G277="5/16",AM277&gt;0.5),(AM277*2*база!$L$6*Таблица14[[#This Row],[коэф]]),
IF(AND(G277="4/16",AM277&gt;0.5),(AM277*2*база!$L$5*Таблица14[[#This Row],[коэф]]),
IF(AND(G277="3/16",AM277&gt;0.5),(AM277*2*база!$L$4*Таблица14[[#This Row],[коэф]]),
IF(AND(G277="4/4",AM277&gt;0.5),(AM277*2*база!$I$5*Таблица14[[#This Row],[коэф]]),
IF(OR(AND(G277="3/4",AM277&gt;0.5),AND(G277="2/4",AM277&gt;0.5)),(AM277*2*база!$I$4*Таблица14[[#This Row],[коэф]]),
IF(AND(G277="5/8",AM277&gt;0.5),(AM277*2*база!$J$6*Таблица14[[#This Row],[коэф]]),
IF(AND(G277="4/8",AM277&gt;0.5),(AM277*2*база!$J$5*Таблица14[[#This Row],[коэф]]),
IF(OR(AND(G277="3/8",AM277&gt;0.5),AND(G277="2/8",AM277&gt;0.5)),(AM277*2*база!$J$4*Таблица14[[#This Row],[коэф]]),
(AM277*0.5*база!$L$4*Таблица14[[#This Row],[коэф]]))))))))))))),
(IF(AND(G277="5/24",AM277&gt;0.5),(AM277*2*база!$M$6*Таблица14[[#This Row],[коэф]]),
IF(OR(AND(G277="4/24",AM277&gt;0.5),AND(G277="3/24",AM277&gt;0.5)),(AM277*2*база!$M$5*Таблица14[[#This Row],[коэф]]),
IF(AND(G277="5/16",AM277&gt;0.5),(AM277*2*база!$L$6*Таблица14[[#This Row],[коэф]]),
IF(OR(AND(G277="4/16",AM277&gt;0.5),AND(G277="3/16",AM277&gt;0.5)),(AM277*2*база!$L$5*Таблица14[[#This Row],[коэф]]),
IF(OR(AND(G277="4/4",AM277&gt;0.5),AND(G277="3/4",AM277&gt;2)),(AM277*2*база!$I$5*Таблица14[[#This Row],[коэф]]),
IF(AND(G277="5/8",AM277&gt;0.5),(AM277*2*база!$J$6*Таблица14[[#This Row],[коэф]]),
IF(AND(G277="4/8",AM277&gt;0.5),(AM277*2*база!$J$5*Таблица14[[#This Row],[коэф]]),
IF(OR(AND(G277="3/8",AM277&gt;0.5),AND(G277="2/8",AM277&gt;0.5)),(AM277*2*база!$J$4*Таблица14[[#This Row],[коэф]]),
(AM277*2*база!$L$5*Таблица14[[#This Row],[коэф]])))))))))))</f>
        <v>0</v>
      </c>
      <c r="AO277" s="122" t="str">
        <f>IFERROR(INDEX(база!$D$2:$D$120, MATCH(Таблица14[[#This Row],[Ф. И. О.]],база!$B$2:$B$100,0)),"")</f>
        <v/>
      </c>
      <c r="AP277" s="46"/>
    </row>
    <row r="278" spans="1:45">
      <c r="A278" s="207" t="str">
        <f t="shared" si="6"/>
        <v>январь</v>
      </c>
      <c r="B278" s="240">
        <v>2024</v>
      </c>
      <c r="C278" s="572"/>
      <c r="D278" s="214"/>
      <c r="E278" s="241"/>
      <c r="F278" s="713"/>
      <c r="G278" s="242"/>
      <c r="H278" s="215"/>
      <c r="I278" s="215"/>
      <c r="J278" s="215"/>
      <c r="K278" s="215"/>
      <c r="L278" s="215"/>
      <c r="M278" s="215"/>
      <c r="N278" s="215"/>
      <c r="O278" s="215"/>
      <c r="P278" s="215"/>
      <c r="Q278" s="215"/>
      <c r="R278" s="215"/>
      <c r="S278" s="215"/>
      <c r="T278" s="215"/>
      <c r="U278" s="215"/>
      <c r="V278" s="215"/>
      <c r="W278" s="215"/>
      <c r="X278" s="215"/>
      <c r="Y278" s="215"/>
      <c r="Z278" s="215"/>
      <c r="AA278" s="215"/>
      <c r="AB278" s="215"/>
      <c r="AC278" s="215"/>
      <c r="AD278" s="215"/>
      <c r="AE278" s="215"/>
      <c r="AF278" s="215"/>
      <c r="AG278" s="215"/>
      <c r="AH278" s="215"/>
      <c r="AI278" s="215"/>
      <c r="AJ278" s="215"/>
      <c r="AK278" s="215"/>
      <c r="AL278" s="215"/>
      <c r="AM278" s="121">
        <f t="shared" si="8"/>
        <v>0</v>
      </c>
      <c r="AN278" s="564">
        <f>IF(AO278&lt;=3,(IF(AND(G278="5/24",AM278&gt;0.5),(AM278*2*база!$M$6*Таблица14[[#This Row],[коэф]]),
IF(AND(G278="4/24",AM278&gt;0.5),(AM278*2*база!$M$5*Таблица14[[#This Row],[коэф]]),
IF(AND(G278="3/24",AM278&gt;0.5),(AM278*2*база!$M$4*Таблица14[[#This Row],[коэф]]),
IF(AND(G278="5/16",AM278&gt;0.5),(AM278*2*база!$L$6*Таблица14[[#This Row],[коэф]]),
IF(AND(G278="4/16",AM278&gt;0.5),(AM278*2*база!$L$5*Таблица14[[#This Row],[коэф]]),
IF(AND(G278="3/16",AM278&gt;0.5),(AM278*2*база!$L$4*Таблица14[[#This Row],[коэф]]),
IF(AND(G278="4/4",AM278&gt;0.5),(AM278*2*база!$I$5*Таблица14[[#This Row],[коэф]]),
IF(OR(AND(G278="3/4",AM278&gt;0.5),AND(G278="2/4",AM278&gt;0.5)),(AM278*2*база!$I$4*Таблица14[[#This Row],[коэф]]),
IF(AND(G278="5/8",AM278&gt;0.5),(AM278*2*база!$J$6*Таблица14[[#This Row],[коэф]]),
IF(AND(G278="4/8",AM278&gt;0.5),(AM278*2*база!$J$5*Таблица14[[#This Row],[коэф]]),
IF(OR(AND(G278="3/8",AM278&gt;0.5),AND(G278="2/8",AM278&gt;0.5)),(AM278*2*база!$J$4*Таблица14[[#This Row],[коэф]]),
(AM278*0.5*база!$L$4*Таблица14[[#This Row],[коэф]]))))))))))))),
(IF(AND(G278="5/24",AM278&gt;0.5),(AM278*2*база!$M$6*Таблица14[[#This Row],[коэф]]),
IF(OR(AND(G278="4/24",AM278&gt;0.5),AND(G278="3/24",AM278&gt;0.5)),(AM278*2*база!$M$5*Таблица14[[#This Row],[коэф]]),
IF(AND(G278="5/16",AM278&gt;0.5),(AM278*2*база!$L$6*Таблица14[[#This Row],[коэф]]),
IF(OR(AND(G278="4/16",AM278&gt;0.5),AND(G278="3/16",AM278&gt;0.5)),(AM278*2*база!$L$5*Таблица14[[#This Row],[коэф]]),
IF(OR(AND(G278="4/4",AM278&gt;0.5),AND(G278="3/4",AM278&gt;2)),(AM278*2*база!$I$5*Таблица14[[#This Row],[коэф]]),
IF(AND(G278="5/8",AM278&gt;0.5),(AM278*2*база!$J$6*Таблица14[[#This Row],[коэф]]),
IF(AND(G278="4/8",AM278&gt;0.5),(AM278*2*база!$J$5*Таблица14[[#This Row],[коэф]]),
IF(OR(AND(G278="3/8",AM278&gt;0.5),AND(G278="2/8",AM278&gt;0.5)),(AM278*2*база!$J$4*Таблица14[[#This Row],[коэф]]),
(AM278*2*база!$L$5*Таблица14[[#This Row],[коэф]])))))))))))</f>
        <v>0</v>
      </c>
      <c r="AO278" s="122" t="str">
        <f>IFERROR(INDEX(база!$D$2:$D$120, MATCH(Таблица14[[#This Row],[Ф. И. О.]],база!$B$2:$B$100,0)),"")</f>
        <v/>
      </c>
      <c r="AP278" s="46"/>
    </row>
    <row r="279" spans="1:45">
      <c r="A279" s="207" t="str">
        <f t="shared" si="6"/>
        <v>январь</v>
      </c>
      <c r="B279" s="204">
        <v>2024</v>
      </c>
      <c r="C279" s="572"/>
      <c r="D279" s="214"/>
      <c r="E279" s="243"/>
      <c r="F279" s="713"/>
      <c r="G279" s="206"/>
      <c r="H279" s="215"/>
      <c r="I279" s="215"/>
      <c r="J279" s="215"/>
      <c r="K279" s="215"/>
      <c r="L279" s="215"/>
      <c r="M279" s="215"/>
      <c r="N279" s="215"/>
      <c r="O279" s="215"/>
      <c r="P279" s="215"/>
      <c r="Q279" s="215"/>
      <c r="R279" s="215"/>
      <c r="S279" s="215"/>
      <c r="T279" s="215"/>
      <c r="U279" s="215"/>
      <c r="V279" s="215"/>
      <c r="W279" s="215"/>
      <c r="X279" s="215"/>
      <c r="Y279" s="215"/>
      <c r="Z279" s="215"/>
      <c r="AA279" s="215"/>
      <c r="AB279" s="215"/>
      <c r="AC279" s="215"/>
      <c r="AD279" s="215"/>
      <c r="AE279" s="215"/>
      <c r="AF279" s="215"/>
      <c r="AG279" s="215"/>
      <c r="AH279" s="215"/>
      <c r="AI279" s="215"/>
      <c r="AJ279" s="215"/>
      <c r="AK279" s="215"/>
      <c r="AL279" s="215"/>
      <c r="AM279" s="121">
        <f t="shared" si="8"/>
        <v>0</v>
      </c>
      <c r="AN279" s="564">
        <f>IF(AO279&lt;=3,(IF(AND(G279="5/24",AM279&gt;0.5),(AM279*2*база!$M$6*Таблица14[[#This Row],[коэф]]),
IF(AND(G279="4/24",AM279&gt;0.5),(AM279*2*база!$M$5*Таблица14[[#This Row],[коэф]]),
IF(AND(G279="3/24",AM279&gt;0.5),(AM279*2*база!$M$4*Таблица14[[#This Row],[коэф]]),
IF(AND(G279="5/16",AM279&gt;0.5),(AM279*2*база!$L$6*Таблица14[[#This Row],[коэф]]),
IF(AND(G279="4/16",AM279&gt;0.5),(AM279*2*база!$L$5*Таблица14[[#This Row],[коэф]]),
IF(AND(G279="3/16",AM279&gt;0.5),(AM279*2*база!$L$4*Таблица14[[#This Row],[коэф]]),
IF(AND(G279="4/4",AM279&gt;0.5),(AM279*2*база!$I$5*Таблица14[[#This Row],[коэф]]),
IF(OR(AND(G279="3/4",AM279&gt;0.5),AND(G279="2/4",AM279&gt;0.5)),(AM279*2*база!$I$4*Таблица14[[#This Row],[коэф]]),
IF(AND(G279="5/8",AM279&gt;0.5),(AM279*2*база!$J$6*Таблица14[[#This Row],[коэф]]),
IF(AND(G279="4/8",AM279&gt;0.5),(AM279*2*база!$J$5*Таблица14[[#This Row],[коэф]]),
IF(OR(AND(G279="3/8",AM279&gt;0.5),AND(G279="2/8",AM279&gt;0.5)),(AM279*2*база!$J$4*Таблица14[[#This Row],[коэф]]),
(AM279*0.5*база!$L$4*Таблица14[[#This Row],[коэф]]))))))))))))),
(IF(AND(G279="5/24",AM279&gt;0.5),(AM279*2*база!$M$6*Таблица14[[#This Row],[коэф]]),
IF(OR(AND(G279="4/24",AM279&gt;0.5),AND(G279="3/24",AM279&gt;0.5)),(AM279*2*база!$M$5*Таблица14[[#This Row],[коэф]]),
IF(AND(G279="5/16",AM279&gt;0.5),(AM279*2*база!$L$6*Таблица14[[#This Row],[коэф]]),
IF(OR(AND(G279="4/16",AM279&gt;0.5),AND(G279="3/16",AM279&gt;0.5)),(AM279*2*база!$L$5*Таблица14[[#This Row],[коэф]]),
IF(OR(AND(G279="4/4",AM279&gt;0.5),AND(G279="3/4",AM279&gt;2)),(AM279*2*база!$I$5*Таблица14[[#This Row],[коэф]]),
IF(AND(G279="5/8",AM279&gt;0.5),(AM279*2*база!$J$6*Таблица14[[#This Row],[коэф]]),
IF(AND(G279="4/8",AM279&gt;0.5),(AM279*2*база!$J$5*Таблица14[[#This Row],[коэф]]),
IF(OR(AND(G279="3/8",AM279&gt;0.5),AND(G279="2/8",AM279&gt;0.5)),(AM279*2*база!$J$4*Таблица14[[#This Row],[коэф]]),
(AM279*2*база!$L$5*Таблица14[[#This Row],[коэф]])))))))))))</f>
        <v>0</v>
      </c>
      <c r="AO279" s="122" t="str">
        <f>IFERROR(INDEX(база!$D$2:$D$120, MATCH(Таблица14[[#This Row],[Ф. И. О.]],база!$B$2:$B$100,0)),"")</f>
        <v/>
      </c>
      <c r="AP279" s="46"/>
    </row>
    <row r="280" spans="1:45">
      <c r="A280" s="207" t="str">
        <f t="shared" si="6"/>
        <v>январь</v>
      </c>
      <c r="B280" s="240">
        <v>2024</v>
      </c>
      <c r="C280" s="572"/>
      <c r="D280" s="214"/>
      <c r="E280" s="241"/>
      <c r="F280" s="713"/>
      <c r="G280" s="242"/>
      <c r="H280" s="215"/>
      <c r="I280" s="215"/>
      <c r="J280" s="215"/>
      <c r="K280" s="215"/>
      <c r="L280" s="215"/>
      <c r="M280" s="215"/>
      <c r="N280" s="215"/>
      <c r="O280" s="215"/>
      <c r="P280" s="215"/>
      <c r="Q280" s="215"/>
      <c r="R280" s="215"/>
      <c r="S280" s="215"/>
      <c r="T280" s="215"/>
      <c r="U280" s="215"/>
      <c r="V280" s="215"/>
      <c r="W280" s="215"/>
      <c r="X280" s="215"/>
      <c r="Y280" s="215"/>
      <c r="Z280" s="215"/>
      <c r="AA280" s="215"/>
      <c r="AB280" s="215"/>
      <c r="AC280" s="215"/>
      <c r="AD280" s="215"/>
      <c r="AE280" s="215"/>
      <c r="AF280" s="215"/>
      <c r="AG280" s="215"/>
      <c r="AH280" s="215"/>
      <c r="AI280" s="215"/>
      <c r="AJ280" s="215"/>
      <c r="AK280" s="215"/>
      <c r="AL280" s="215"/>
      <c r="AM280" s="121">
        <f t="shared" si="8"/>
        <v>0</v>
      </c>
      <c r="AN280" s="564">
        <f>IF(AO280&lt;=3,(IF(AND(G280="5/24",AM280&gt;0.5),(AM280*2*база!$M$6*Таблица14[[#This Row],[коэф]]),
IF(AND(G280="4/24",AM280&gt;0.5),(AM280*2*база!$M$5*Таблица14[[#This Row],[коэф]]),
IF(AND(G280="3/24",AM280&gt;0.5),(AM280*2*база!$M$4*Таблица14[[#This Row],[коэф]]),
IF(AND(G280="5/16",AM280&gt;0.5),(AM280*2*база!$L$6*Таблица14[[#This Row],[коэф]]),
IF(AND(G280="4/16",AM280&gt;0.5),(AM280*2*база!$L$5*Таблица14[[#This Row],[коэф]]),
IF(AND(G280="3/16",AM280&gt;0.5),(AM280*2*база!$L$4*Таблица14[[#This Row],[коэф]]),
IF(AND(G280="4/4",AM280&gt;0.5),(AM280*2*база!$I$5*Таблица14[[#This Row],[коэф]]),
IF(OR(AND(G280="3/4",AM280&gt;0.5),AND(G280="2/4",AM280&gt;0.5)),(AM280*2*база!$I$4*Таблица14[[#This Row],[коэф]]),
IF(AND(G280="5/8",AM280&gt;0.5),(AM280*2*база!$J$6*Таблица14[[#This Row],[коэф]]),
IF(AND(G280="4/8",AM280&gt;0.5),(AM280*2*база!$J$5*Таблица14[[#This Row],[коэф]]),
IF(OR(AND(G280="3/8",AM280&gt;0.5),AND(G280="2/8",AM280&gt;0.5)),(AM280*2*база!$J$4*Таблица14[[#This Row],[коэф]]),
(AM280*0.5*база!$L$4*Таблица14[[#This Row],[коэф]]))))))))))))),
(IF(AND(G280="5/24",AM280&gt;0.5),(AM280*2*база!$M$6*Таблица14[[#This Row],[коэф]]),
IF(OR(AND(G280="4/24",AM280&gt;0.5),AND(G280="3/24",AM280&gt;0.5)),(AM280*2*база!$M$5*Таблица14[[#This Row],[коэф]]),
IF(AND(G280="5/16",AM280&gt;0.5),(AM280*2*база!$L$6*Таблица14[[#This Row],[коэф]]),
IF(OR(AND(G280="4/16",AM280&gt;0.5),AND(G280="3/16",AM280&gt;0.5)),(AM280*2*база!$L$5*Таблица14[[#This Row],[коэф]]),
IF(OR(AND(G280="4/4",AM280&gt;0.5),AND(G280="3/4",AM280&gt;2)),(AM280*2*база!$I$5*Таблица14[[#This Row],[коэф]]),
IF(AND(G280="5/8",AM280&gt;0.5),(AM280*2*база!$J$6*Таблица14[[#This Row],[коэф]]),
IF(AND(G280="4/8",AM280&gt;0.5),(AM280*2*база!$J$5*Таблица14[[#This Row],[коэф]]),
IF(OR(AND(G280="3/8",AM280&gt;0.5),AND(G280="2/8",AM280&gt;0.5)),(AM280*2*база!$J$4*Таблица14[[#This Row],[коэф]]),
(AM280*2*база!$L$5*Таблица14[[#This Row],[коэф]])))))))))))</f>
        <v>0</v>
      </c>
      <c r="AO280" s="122" t="str">
        <f>IFERROR(INDEX(база!$D$2:$D$120, MATCH(Таблица14[[#This Row],[Ф. И. О.]],база!$B$2:$B$100,0)),"")</f>
        <v/>
      </c>
      <c r="AP280" s="46"/>
    </row>
    <row r="281" spans="1:45">
      <c r="A281" s="207" t="str">
        <f t="shared" si="6"/>
        <v>январь</v>
      </c>
      <c r="B281" s="204">
        <v>2024</v>
      </c>
      <c r="C281" s="572"/>
      <c r="D281" s="214"/>
      <c r="E281" s="243"/>
      <c r="F281" s="713"/>
      <c r="G281" s="206"/>
      <c r="H281" s="215"/>
      <c r="I281" s="215"/>
      <c r="J281" s="215"/>
      <c r="K281" s="215"/>
      <c r="L281" s="215"/>
      <c r="M281" s="215"/>
      <c r="N281" s="215"/>
      <c r="O281" s="215"/>
      <c r="P281" s="215"/>
      <c r="Q281" s="215"/>
      <c r="R281" s="215"/>
      <c r="S281" s="215"/>
      <c r="T281" s="215"/>
      <c r="U281" s="215"/>
      <c r="V281" s="215"/>
      <c r="W281" s="215"/>
      <c r="X281" s="215"/>
      <c r="Y281" s="215"/>
      <c r="Z281" s="215"/>
      <c r="AA281" s="215"/>
      <c r="AB281" s="215"/>
      <c r="AC281" s="215"/>
      <c r="AD281" s="215"/>
      <c r="AE281" s="215"/>
      <c r="AF281" s="215"/>
      <c r="AG281" s="215"/>
      <c r="AH281" s="215"/>
      <c r="AI281" s="215"/>
      <c r="AJ281" s="215"/>
      <c r="AK281" s="215"/>
      <c r="AL281" s="215"/>
      <c r="AM281" s="121">
        <f t="shared" si="8"/>
        <v>0</v>
      </c>
      <c r="AN281" s="564">
        <f>IF(AO281&lt;=3,(IF(AND(G281="5/24",AM281&gt;0.5),(AM281*2*база!$M$6*Таблица14[[#This Row],[коэф]]),
IF(AND(G281="4/24",AM281&gt;0.5),(AM281*2*база!$M$5*Таблица14[[#This Row],[коэф]]),
IF(AND(G281="3/24",AM281&gt;0.5),(AM281*2*база!$M$4*Таблица14[[#This Row],[коэф]]),
IF(AND(G281="5/16",AM281&gt;0.5),(AM281*2*база!$L$6*Таблица14[[#This Row],[коэф]]),
IF(AND(G281="4/16",AM281&gt;0.5),(AM281*2*база!$L$5*Таблица14[[#This Row],[коэф]]),
IF(AND(G281="3/16",AM281&gt;0.5),(AM281*2*база!$L$4*Таблица14[[#This Row],[коэф]]),
IF(AND(G281="4/4",AM281&gt;0.5),(AM281*2*база!$I$5*Таблица14[[#This Row],[коэф]]),
IF(OR(AND(G281="3/4",AM281&gt;0.5),AND(G281="2/4",AM281&gt;0.5)),(AM281*2*база!$I$4*Таблица14[[#This Row],[коэф]]),
IF(AND(G281="5/8",AM281&gt;0.5),(AM281*2*база!$J$6*Таблица14[[#This Row],[коэф]]),
IF(AND(G281="4/8",AM281&gt;0.5),(AM281*2*база!$J$5*Таблица14[[#This Row],[коэф]]),
IF(OR(AND(G281="3/8",AM281&gt;0.5),AND(G281="2/8",AM281&gt;0.5)),(AM281*2*база!$J$4*Таблица14[[#This Row],[коэф]]),
(AM281*0.5*база!$L$4*Таблица14[[#This Row],[коэф]]))))))))))))),
(IF(AND(G281="5/24",AM281&gt;0.5),(AM281*2*база!$M$6*Таблица14[[#This Row],[коэф]]),
IF(OR(AND(G281="4/24",AM281&gt;0.5),AND(G281="3/24",AM281&gt;0.5)),(AM281*2*база!$M$5*Таблица14[[#This Row],[коэф]]),
IF(AND(G281="5/16",AM281&gt;0.5),(AM281*2*база!$L$6*Таблица14[[#This Row],[коэф]]),
IF(OR(AND(G281="4/16",AM281&gt;0.5),AND(G281="3/16",AM281&gt;0.5)),(AM281*2*база!$L$5*Таблица14[[#This Row],[коэф]]),
IF(OR(AND(G281="4/4",AM281&gt;0.5),AND(G281="3/4",AM281&gt;2)),(AM281*2*база!$I$5*Таблица14[[#This Row],[коэф]]),
IF(AND(G281="5/8",AM281&gt;0.5),(AM281*2*база!$J$6*Таблица14[[#This Row],[коэф]]),
IF(AND(G281="4/8",AM281&gt;0.5),(AM281*2*база!$J$5*Таблица14[[#This Row],[коэф]]),
IF(OR(AND(G281="3/8",AM281&gt;0.5),AND(G281="2/8",AM281&gt;0.5)),(AM281*2*база!$J$4*Таблица14[[#This Row],[коэф]]),
(AM281*2*база!$L$5*Таблица14[[#This Row],[коэф]])))))))))))</f>
        <v>0</v>
      </c>
      <c r="AO281" s="122" t="str">
        <f>IFERROR(INDEX(база!$D$2:$D$120, MATCH(Таблица14[[#This Row],[Ф. И. О.]],база!$B$2:$B$100,0)),"")</f>
        <v/>
      </c>
      <c r="AP281" s="46"/>
    </row>
    <row r="282" spans="1:45">
      <c r="A282" s="207" t="str">
        <f t="shared" si="6"/>
        <v>январь</v>
      </c>
      <c r="B282" s="240">
        <v>2024</v>
      </c>
      <c r="C282" s="572"/>
      <c r="D282" s="214"/>
      <c r="E282" s="241"/>
      <c r="F282" s="713"/>
      <c r="G282" s="242"/>
      <c r="H282" s="215"/>
      <c r="I282" s="215"/>
      <c r="J282" s="215"/>
      <c r="K282" s="215"/>
      <c r="L282" s="215"/>
      <c r="M282" s="215"/>
      <c r="N282" s="215"/>
      <c r="O282" s="215"/>
      <c r="P282" s="215"/>
      <c r="Q282" s="215"/>
      <c r="R282" s="215"/>
      <c r="S282" s="215"/>
      <c r="T282" s="215"/>
      <c r="U282" s="215"/>
      <c r="V282" s="215"/>
      <c r="W282" s="215"/>
      <c r="X282" s="215"/>
      <c r="Y282" s="215"/>
      <c r="Z282" s="215"/>
      <c r="AA282" s="215"/>
      <c r="AB282" s="215"/>
      <c r="AC282" s="215"/>
      <c r="AD282" s="215"/>
      <c r="AE282" s="215"/>
      <c r="AF282" s="215"/>
      <c r="AG282" s="215"/>
      <c r="AH282" s="215"/>
      <c r="AI282" s="215"/>
      <c r="AJ282" s="215"/>
      <c r="AK282" s="215"/>
      <c r="AL282" s="215"/>
      <c r="AM282" s="121">
        <f t="shared" si="8"/>
        <v>0</v>
      </c>
      <c r="AN282" s="564">
        <f>IF(AO282&lt;=3,(IF(AND(G282="5/24",AM282&gt;0.5),(AM282*2*база!$M$6*Таблица14[[#This Row],[коэф]]),
IF(AND(G282="4/24",AM282&gt;0.5),(AM282*2*база!$M$5*Таблица14[[#This Row],[коэф]]),
IF(AND(G282="3/24",AM282&gt;0.5),(AM282*2*база!$M$4*Таблица14[[#This Row],[коэф]]),
IF(AND(G282="5/16",AM282&gt;0.5),(AM282*2*база!$L$6*Таблица14[[#This Row],[коэф]]),
IF(AND(G282="4/16",AM282&gt;0.5),(AM282*2*база!$L$5*Таблица14[[#This Row],[коэф]]),
IF(AND(G282="3/16",AM282&gt;0.5),(AM282*2*база!$L$4*Таблица14[[#This Row],[коэф]]),
IF(AND(G282="4/4",AM282&gt;0.5),(AM282*2*база!$I$5*Таблица14[[#This Row],[коэф]]),
IF(OR(AND(G282="3/4",AM282&gt;0.5),AND(G282="2/4",AM282&gt;0.5)),(AM282*2*база!$I$4*Таблица14[[#This Row],[коэф]]),
IF(AND(G282="5/8",AM282&gt;0.5),(AM282*2*база!$J$6*Таблица14[[#This Row],[коэф]]),
IF(AND(G282="4/8",AM282&gt;0.5),(AM282*2*база!$J$5*Таблица14[[#This Row],[коэф]]),
IF(OR(AND(G282="3/8",AM282&gt;0.5),AND(G282="2/8",AM282&gt;0.5)),(AM282*2*база!$J$4*Таблица14[[#This Row],[коэф]]),
(AM282*0.5*база!$L$4*Таблица14[[#This Row],[коэф]]))))))))))))),
(IF(AND(G282="5/24",AM282&gt;0.5),(AM282*2*база!$M$6*Таблица14[[#This Row],[коэф]]),
IF(OR(AND(G282="4/24",AM282&gt;0.5),AND(G282="3/24",AM282&gt;0.5)),(AM282*2*база!$M$5*Таблица14[[#This Row],[коэф]]),
IF(AND(G282="5/16",AM282&gt;0.5),(AM282*2*база!$L$6*Таблица14[[#This Row],[коэф]]),
IF(OR(AND(G282="4/16",AM282&gt;0.5),AND(G282="3/16",AM282&gt;0.5)),(AM282*2*база!$L$5*Таблица14[[#This Row],[коэф]]),
IF(OR(AND(G282="4/4",AM282&gt;0.5),AND(G282="3/4",AM282&gt;2)),(AM282*2*база!$I$5*Таблица14[[#This Row],[коэф]]),
IF(AND(G282="5/8",AM282&gt;0.5),(AM282*2*база!$J$6*Таблица14[[#This Row],[коэф]]),
IF(AND(G282="4/8",AM282&gt;0.5),(AM282*2*база!$J$5*Таблица14[[#This Row],[коэф]]),
IF(OR(AND(G282="3/8",AM282&gt;0.5),AND(G282="2/8",AM282&gt;0.5)),(AM282*2*база!$J$4*Таблица14[[#This Row],[коэф]]),
(AM282*2*база!$L$5*Таблица14[[#This Row],[коэф]])))))))))))</f>
        <v>0</v>
      </c>
      <c r="AO282" s="122" t="str">
        <f>IFERROR(INDEX(база!$D$2:$D$120, MATCH(Таблица14[[#This Row],[Ф. И. О.]],база!$B$2:$B$100,0)),"")</f>
        <v/>
      </c>
      <c r="AP282" s="46"/>
    </row>
    <row r="283" spans="1:45">
      <c r="A283" s="207" t="str">
        <f t="shared" si="6"/>
        <v>январь</v>
      </c>
      <c r="B283" s="204">
        <v>2024</v>
      </c>
      <c r="C283" s="572"/>
      <c r="D283" s="214"/>
      <c r="E283" s="243"/>
      <c r="F283" s="713"/>
      <c r="G283" s="206"/>
      <c r="H283" s="215"/>
      <c r="I283" s="215"/>
      <c r="J283" s="215"/>
      <c r="K283" s="215"/>
      <c r="L283" s="215"/>
      <c r="M283" s="215"/>
      <c r="N283" s="215"/>
      <c r="O283" s="215"/>
      <c r="P283" s="215"/>
      <c r="Q283" s="215"/>
      <c r="R283" s="215"/>
      <c r="S283" s="215"/>
      <c r="T283" s="215"/>
      <c r="U283" s="215"/>
      <c r="V283" s="215"/>
      <c r="W283" s="215"/>
      <c r="X283" s="215"/>
      <c r="Y283" s="215"/>
      <c r="Z283" s="215"/>
      <c r="AA283" s="215"/>
      <c r="AB283" s="215"/>
      <c r="AC283" s="215"/>
      <c r="AD283" s="215"/>
      <c r="AE283" s="215"/>
      <c r="AF283" s="215"/>
      <c r="AG283" s="215"/>
      <c r="AH283" s="215"/>
      <c r="AI283" s="215"/>
      <c r="AJ283" s="215"/>
      <c r="AK283" s="215"/>
      <c r="AL283" s="215"/>
      <c r="AM283" s="121">
        <f t="shared" si="8"/>
        <v>0</v>
      </c>
      <c r="AN283" s="564">
        <f>IF(AO283&lt;=3,(IF(AND(G283="5/24",AM283&gt;0.5),(AM283*2*база!$M$6*Таблица14[[#This Row],[коэф]]),
IF(AND(G283="4/24",AM283&gt;0.5),(AM283*2*база!$M$5*Таблица14[[#This Row],[коэф]]),
IF(AND(G283="3/24",AM283&gt;0.5),(AM283*2*база!$M$4*Таблица14[[#This Row],[коэф]]),
IF(AND(G283="5/16",AM283&gt;0.5),(AM283*2*база!$L$6*Таблица14[[#This Row],[коэф]]),
IF(AND(G283="4/16",AM283&gt;0.5),(AM283*2*база!$L$5*Таблица14[[#This Row],[коэф]]),
IF(AND(G283="3/16",AM283&gt;0.5),(AM283*2*база!$L$4*Таблица14[[#This Row],[коэф]]),
IF(AND(G283="4/4",AM283&gt;0.5),(AM283*2*база!$I$5*Таблица14[[#This Row],[коэф]]),
IF(OR(AND(G283="3/4",AM283&gt;0.5),AND(G283="2/4",AM283&gt;0.5)),(AM283*2*база!$I$4*Таблица14[[#This Row],[коэф]]),
IF(AND(G283="5/8",AM283&gt;0.5),(AM283*2*база!$J$6*Таблица14[[#This Row],[коэф]]),
IF(AND(G283="4/8",AM283&gt;0.5),(AM283*2*база!$J$5*Таблица14[[#This Row],[коэф]]),
IF(OR(AND(G283="3/8",AM283&gt;0.5),AND(G283="2/8",AM283&gt;0.5)),(AM283*2*база!$J$4*Таблица14[[#This Row],[коэф]]),
(AM283*0.5*база!$L$4*Таблица14[[#This Row],[коэф]]))))))))))))),
(IF(AND(G283="5/24",AM283&gt;0.5),(AM283*2*база!$M$6*Таблица14[[#This Row],[коэф]]),
IF(OR(AND(G283="4/24",AM283&gt;0.5),AND(G283="3/24",AM283&gt;0.5)),(AM283*2*база!$M$5*Таблица14[[#This Row],[коэф]]),
IF(AND(G283="5/16",AM283&gt;0.5),(AM283*2*база!$L$6*Таблица14[[#This Row],[коэф]]),
IF(OR(AND(G283="4/16",AM283&gt;0.5),AND(G283="3/16",AM283&gt;0.5)),(AM283*2*база!$L$5*Таблица14[[#This Row],[коэф]]),
IF(OR(AND(G283="4/4",AM283&gt;0.5),AND(G283="3/4",AM283&gt;2)),(AM283*2*база!$I$5*Таблица14[[#This Row],[коэф]]),
IF(AND(G283="5/8",AM283&gt;0.5),(AM283*2*база!$J$6*Таблица14[[#This Row],[коэф]]),
IF(AND(G283="4/8",AM283&gt;0.5),(AM283*2*база!$J$5*Таблица14[[#This Row],[коэф]]),
IF(OR(AND(G283="3/8",AM283&gt;0.5),AND(G283="2/8",AM283&gt;0.5)),(AM283*2*база!$J$4*Таблица14[[#This Row],[коэф]]),
(AM283*2*база!$L$5*Таблица14[[#This Row],[коэф]])))))))))))</f>
        <v>0</v>
      </c>
      <c r="AO283" s="122" t="str">
        <f>IFERROR(INDEX(база!$D$2:$D$120, MATCH(Таблица14[[#This Row],[Ф. И. О.]],база!$B$2:$B$100,0)),"")</f>
        <v/>
      </c>
      <c r="AQ283" s="71"/>
      <c r="AR283" s="32"/>
    </row>
    <row r="284" spans="1:45" ht="15">
      <c r="A284" s="207" t="str">
        <f t="shared" si="6"/>
        <v>январь</v>
      </c>
      <c r="B284" s="240">
        <v>2024</v>
      </c>
      <c r="C284" s="572"/>
      <c r="D284" s="214"/>
      <c r="E284" s="241"/>
      <c r="F284" s="713"/>
      <c r="G284" s="242"/>
      <c r="H284" s="215"/>
      <c r="I284" s="215"/>
      <c r="J284" s="215"/>
      <c r="K284" s="215"/>
      <c r="L284" s="215"/>
      <c r="M284" s="215"/>
      <c r="N284" s="215"/>
      <c r="O284" s="215"/>
      <c r="P284" s="215"/>
      <c r="Q284" s="215"/>
      <c r="R284" s="215"/>
      <c r="S284" s="215"/>
      <c r="T284" s="215"/>
      <c r="U284" s="215"/>
      <c r="V284" s="215"/>
      <c r="W284" s="215"/>
      <c r="X284" s="215"/>
      <c r="Y284" s="215"/>
      <c r="Z284" s="215"/>
      <c r="AA284" s="215"/>
      <c r="AB284" s="215"/>
      <c r="AC284" s="215"/>
      <c r="AD284" s="215"/>
      <c r="AE284" s="215"/>
      <c r="AF284" s="215"/>
      <c r="AG284" s="215"/>
      <c r="AH284" s="215"/>
      <c r="AI284" s="215"/>
      <c r="AJ284" s="215"/>
      <c r="AK284" s="215"/>
      <c r="AL284" s="215"/>
      <c r="AM284" s="121">
        <f t="shared" si="8"/>
        <v>0</v>
      </c>
      <c r="AN284" s="564">
        <f>IF(AO284&lt;=3,(IF(AND(G284="5/24",AM284&gt;0.5),(AM284*2*база!$M$6*Таблица14[[#This Row],[коэф]]),
IF(AND(G284="4/24",AM284&gt;0.5),(AM284*2*база!$M$5*Таблица14[[#This Row],[коэф]]),
IF(AND(G284="3/24",AM284&gt;0.5),(AM284*2*база!$M$4*Таблица14[[#This Row],[коэф]]),
IF(AND(G284="5/16",AM284&gt;0.5),(AM284*2*база!$L$6*Таблица14[[#This Row],[коэф]]),
IF(AND(G284="4/16",AM284&gt;0.5),(AM284*2*база!$L$5*Таблица14[[#This Row],[коэф]]),
IF(AND(G284="3/16",AM284&gt;0.5),(AM284*2*база!$L$4*Таблица14[[#This Row],[коэф]]),
IF(AND(G284="4/4",AM284&gt;0.5),(AM284*2*база!$I$5*Таблица14[[#This Row],[коэф]]),
IF(OR(AND(G284="3/4",AM284&gt;0.5),AND(G284="2/4",AM284&gt;0.5)),(AM284*2*база!$I$4*Таблица14[[#This Row],[коэф]]),
IF(AND(G284="5/8",AM284&gt;0.5),(AM284*2*база!$J$6*Таблица14[[#This Row],[коэф]]),
IF(AND(G284="4/8",AM284&gt;0.5),(AM284*2*база!$J$5*Таблица14[[#This Row],[коэф]]),
IF(OR(AND(G284="3/8",AM284&gt;0.5),AND(G284="2/8",AM284&gt;0.5)),(AM284*2*база!$J$4*Таблица14[[#This Row],[коэф]]),
(AM284*0.5*база!$L$4*Таблица14[[#This Row],[коэф]]))))))))))))),
(IF(AND(G284="5/24",AM284&gt;0.5),(AM284*2*база!$M$6*Таблица14[[#This Row],[коэф]]),
IF(OR(AND(G284="4/24",AM284&gt;0.5),AND(G284="3/24",AM284&gt;0.5)),(AM284*2*база!$M$5*Таблица14[[#This Row],[коэф]]),
IF(AND(G284="5/16",AM284&gt;0.5),(AM284*2*база!$L$6*Таблица14[[#This Row],[коэф]]),
IF(OR(AND(G284="4/16",AM284&gt;0.5),AND(G284="3/16",AM284&gt;0.5)),(AM284*2*база!$L$5*Таблица14[[#This Row],[коэф]]),
IF(OR(AND(G284="4/4",AM284&gt;0.5),AND(G284="3/4",AM284&gt;2)),(AM284*2*база!$I$5*Таблица14[[#This Row],[коэф]]),
IF(AND(G284="5/8",AM284&gt;0.5),(AM284*2*база!$J$6*Таблица14[[#This Row],[коэф]]),
IF(AND(G284="4/8",AM284&gt;0.5),(AM284*2*база!$J$5*Таблица14[[#This Row],[коэф]]),
IF(OR(AND(G284="3/8",AM284&gt;0.5),AND(G284="2/8",AM284&gt;0.5)),(AM284*2*база!$J$4*Таблица14[[#This Row],[коэф]]),
(AM284*2*база!$L$5*Таблица14[[#This Row],[коэф]])))))))))))</f>
        <v>0</v>
      </c>
      <c r="AO284" s="122" t="str">
        <f>IFERROR(INDEX(база!$D$2:$D$120, MATCH(Таблица14[[#This Row],[Ф. И. О.]],база!$B$2:$B$100,0)),"")</f>
        <v/>
      </c>
      <c r="AQ284" s="110"/>
    </row>
    <row r="285" spans="1:45" ht="15">
      <c r="A285" s="207" t="str">
        <f t="shared" si="6"/>
        <v>январь</v>
      </c>
      <c r="B285" s="204">
        <v>2024</v>
      </c>
      <c r="C285" s="572"/>
      <c r="D285" s="214"/>
      <c r="E285" s="243"/>
      <c r="F285" s="713"/>
      <c r="G285" s="206"/>
      <c r="H285" s="215"/>
      <c r="I285" s="215"/>
      <c r="J285" s="215"/>
      <c r="K285" s="215"/>
      <c r="L285" s="215"/>
      <c r="M285" s="215"/>
      <c r="N285" s="215"/>
      <c r="O285" s="215"/>
      <c r="P285" s="215"/>
      <c r="Q285" s="215"/>
      <c r="R285" s="215"/>
      <c r="S285" s="215"/>
      <c r="T285" s="215"/>
      <c r="U285" s="215"/>
      <c r="V285" s="215"/>
      <c r="W285" s="215"/>
      <c r="X285" s="215"/>
      <c r="Y285" s="215"/>
      <c r="Z285" s="215"/>
      <c r="AA285" s="215"/>
      <c r="AB285" s="215"/>
      <c r="AC285" s="215"/>
      <c r="AD285" s="215"/>
      <c r="AE285" s="215"/>
      <c r="AF285" s="215"/>
      <c r="AG285" s="215"/>
      <c r="AH285" s="215"/>
      <c r="AI285" s="215"/>
      <c r="AJ285" s="215"/>
      <c r="AK285" s="215"/>
      <c r="AL285" s="215"/>
      <c r="AM285" s="121">
        <f t="shared" si="8"/>
        <v>0</v>
      </c>
      <c r="AN285" s="564">
        <f>IF(AO285&lt;=3,(IF(AND(G285="5/24",AM285&gt;0.5),(AM285*2*база!$M$6*Таблица14[[#This Row],[коэф]]),
IF(AND(G285="4/24",AM285&gt;0.5),(AM285*2*база!$M$5*Таблица14[[#This Row],[коэф]]),
IF(AND(G285="3/24",AM285&gt;0.5),(AM285*2*база!$M$4*Таблица14[[#This Row],[коэф]]),
IF(AND(G285="5/16",AM285&gt;0.5),(AM285*2*база!$L$6*Таблица14[[#This Row],[коэф]]),
IF(AND(G285="4/16",AM285&gt;0.5),(AM285*2*база!$L$5*Таблица14[[#This Row],[коэф]]),
IF(AND(G285="3/16",AM285&gt;0.5),(AM285*2*база!$L$4*Таблица14[[#This Row],[коэф]]),
IF(AND(G285="4/4",AM285&gt;0.5),(AM285*2*база!$I$5*Таблица14[[#This Row],[коэф]]),
IF(OR(AND(G285="3/4",AM285&gt;0.5),AND(G285="2/4",AM285&gt;0.5)),(AM285*2*база!$I$4*Таблица14[[#This Row],[коэф]]),
IF(AND(G285="5/8",AM285&gt;0.5),(AM285*2*база!$J$6*Таблица14[[#This Row],[коэф]]),
IF(AND(G285="4/8",AM285&gt;0.5),(AM285*2*база!$J$5*Таблица14[[#This Row],[коэф]]),
IF(OR(AND(G285="3/8",AM285&gt;0.5),AND(G285="2/8",AM285&gt;0.5)),(AM285*2*база!$J$4*Таблица14[[#This Row],[коэф]]),
(AM285*0.5*база!$L$4*Таблица14[[#This Row],[коэф]]))))))))))))),
(IF(AND(G285="5/24",AM285&gt;0.5),(AM285*2*база!$M$6*Таблица14[[#This Row],[коэф]]),
IF(OR(AND(G285="4/24",AM285&gt;0.5),AND(G285="3/24",AM285&gt;0.5)),(AM285*2*база!$M$5*Таблица14[[#This Row],[коэф]]),
IF(AND(G285="5/16",AM285&gt;0.5),(AM285*2*база!$L$6*Таблица14[[#This Row],[коэф]]),
IF(OR(AND(G285="4/16",AM285&gt;0.5),AND(G285="3/16",AM285&gt;0.5)),(AM285*2*база!$L$5*Таблица14[[#This Row],[коэф]]),
IF(OR(AND(G285="4/4",AM285&gt;0.5),AND(G285="3/4",AM285&gt;2)),(AM285*2*база!$I$5*Таблица14[[#This Row],[коэф]]),
IF(AND(G285="5/8",AM285&gt;0.5),(AM285*2*база!$J$6*Таблица14[[#This Row],[коэф]]),
IF(AND(G285="4/8",AM285&gt;0.5),(AM285*2*база!$J$5*Таблица14[[#This Row],[коэф]]),
IF(OR(AND(G285="3/8",AM285&gt;0.5),AND(G285="2/8",AM285&gt;0.5)),(AM285*2*база!$J$4*Таблица14[[#This Row],[коэф]]),
(AM285*2*база!$L$5*Таблица14[[#This Row],[коэф]])))))))))))</f>
        <v>0</v>
      </c>
      <c r="AO285" s="122" t="str">
        <f>IFERROR(INDEX(база!$D$2:$D$120, MATCH(Таблица14[[#This Row],[Ф. И. О.]],база!$B$2:$B$100,0)),"")</f>
        <v/>
      </c>
      <c r="AQ285" s="110"/>
    </row>
    <row r="286" spans="1:45" ht="15.75">
      <c r="A286" s="207" t="str">
        <f t="shared" si="6"/>
        <v>январь</v>
      </c>
      <c r="B286" s="240">
        <v>2024</v>
      </c>
      <c r="C286" s="572"/>
      <c r="D286" s="214"/>
      <c r="E286" s="241"/>
      <c r="F286" s="713"/>
      <c r="G286" s="242"/>
      <c r="H286" s="215"/>
      <c r="I286" s="215"/>
      <c r="J286" s="215"/>
      <c r="K286" s="215"/>
      <c r="L286" s="215"/>
      <c r="M286" s="215"/>
      <c r="N286" s="215"/>
      <c r="O286" s="215"/>
      <c r="P286" s="215"/>
      <c r="Q286" s="215"/>
      <c r="R286" s="215"/>
      <c r="S286" s="215"/>
      <c r="T286" s="215"/>
      <c r="U286" s="215"/>
      <c r="V286" s="215"/>
      <c r="W286" s="215"/>
      <c r="X286" s="215"/>
      <c r="Y286" s="215"/>
      <c r="Z286" s="215"/>
      <c r="AA286" s="215"/>
      <c r="AB286" s="215"/>
      <c r="AC286" s="215"/>
      <c r="AD286" s="215"/>
      <c r="AE286" s="215"/>
      <c r="AF286" s="215"/>
      <c r="AG286" s="215"/>
      <c r="AH286" s="215"/>
      <c r="AI286" s="215"/>
      <c r="AJ286" s="215"/>
      <c r="AK286" s="215"/>
      <c r="AL286" s="215"/>
      <c r="AM286" s="121">
        <f t="shared" si="8"/>
        <v>0</v>
      </c>
      <c r="AN286" s="564">
        <f>IF(AO286&lt;=3,(IF(AND(G286="5/24",AM286&gt;0.5),(AM286*2*база!$M$6*Таблица14[[#This Row],[коэф]]),
IF(AND(G286="4/24",AM286&gt;0.5),(AM286*2*база!$M$5*Таблица14[[#This Row],[коэф]]),
IF(AND(G286="3/24",AM286&gt;0.5),(AM286*2*база!$M$4*Таблица14[[#This Row],[коэф]]),
IF(AND(G286="5/16",AM286&gt;0.5),(AM286*2*база!$L$6*Таблица14[[#This Row],[коэф]]),
IF(AND(G286="4/16",AM286&gt;0.5),(AM286*2*база!$L$5*Таблица14[[#This Row],[коэф]]),
IF(AND(G286="3/16",AM286&gt;0.5),(AM286*2*база!$L$4*Таблица14[[#This Row],[коэф]]),
IF(AND(G286="4/4",AM286&gt;0.5),(AM286*2*база!$I$5*Таблица14[[#This Row],[коэф]]),
IF(OR(AND(G286="3/4",AM286&gt;0.5),AND(G286="2/4",AM286&gt;0.5)),(AM286*2*база!$I$4*Таблица14[[#This Row],[коэф]]),
IF(AND(G286="5/8",AM286&gt;0.5),(AM286*2*база!$J$6*Таблица14[[#This Row],[коэф]]),
IF(AND(G286="4/8",AM286&gt;0.5),(AM286*2*база!$J$5*Таблица14[[#This Row],[коэф]]),
IF(OR(AND(G286="3/8",AM286&gt;0.5),AND(G286="2/8",AM286&gt;0.5)),(AM286*2*база!$J$4*Таблица14[[#This Row],[коэф]]),
(AM286*0.5*база!$L$4*Таблица14[[#This Row],[коэф]]))))))))))))),
(IF(AND(G286="5/24",AM286&gt;0.5),(AM286*2*база!$M$6*Таблица14[[#This Row],[коэф]]),
IF(OR(AND(G286="4/24",AM286&gt;0.5),AND(G286="3/24",AM286&gt;0.5)),(AM286*2*база!$M$5*Таблица14[[#This Row],[коэф]]),
IF(AND(G286="5/16",AM286&gt;0.5),(AM286*2*база!$L$6*Таблица14[[#This Row],[коэф]]),
IF(OR(AND(G286="4/16",AM286&gt;0.5),AND(G286="3/16",AM286&gt;0.5)),(AM286*2*база!$L$5*Таблица14[[#This Row],[коэф]]),
IF(OR(AND(G286="4/4",AM286&gt;0.5),AND(G286="3/4",AM286&gt;2)),(AM286*2*база!$I$5*Таблица14[[#This Row],[коэф]]),
IF(AND(G286="5/8",AM286&gt;0.5),(AM286*2*база!$J$6*Таблица14[[#This Row],[коэф]]),
IF(AND(G286="4/8",AM286&gt;0.5),(AM286*2*база!$J$5*Таблица14[[#This Row],[коэф]]),
IF(OR(AND(G286="3/8",AM286&gt;0.5),AND(G286="2/8",AM286&gt;0.5)),(AM286*2*база!$J$4*Таблица14[[#This Row],[коэф]]),
(AM286*2*база!$L$5*Таблица14[[#This Row],[коэф]])))))))))))</f>
        <v>0</v>
      </c>
      <c r="AO286" s="122" t="str">
        <f>IFERROR(INDEX(база!$D$2:$D$120, MATCH(Таблица14[[#This Row],[Ф. И. О.]],база!$B$2:$B$100,0)),"")</f>
        <v/>
      </c>
      <c r="AP286" s="111"/>
      <c r="AQ286" s="112"/>
      <c r="AS286" s="110"/>
    </row>
    <row r="287" spans="1:45">
      <c r="A287" s="207" t="str">
        <f t="shared" si="6"/>
        <v>январь</v>
      </c>
      <c r="B287" s="204">
        <v>2024</v>
      </c>
      <c r="C287" s="572"/>
      <c r="D287" s="214"/>
      <c r="E287" s="243"/>
      <c r="F287" s="713"/>
      <c r="G287" s="206"/>
      <c r="H287" s="215"/>
      <c r="I287" s="215"/>
      <c r="J287" s="215"/>
      <c r="K287" s="215"/>
      <c r="L287" s="215"/>
      <c r="M287" s="215"/>
      <c r="N287" s="215"/>
      <c r="O287" s="215"/>
      <c r="P287" s="215"/>
      <c r="Q287" s="215"/>
      <c r="R287" s="215"/>
      <c r="S287" s="215"/>
      <c r="T287" s="215"/>
      <c r="U287" s="215"/>
      <c r="V287" s="215"/>
      <c r="W287" s="215"/>
      <c r="X287" s="215"/>
      <c r="Y287" s="215"/>
      <c r="Z287" s="215"/>
      <c r="AA287" s="215"/>
      <c r="AB287" s="215"/>
      <c r="AC287" s="215"/>
      <c r="AD287" s="215"/>
      <c r="AE287" s="215"/>
      <c r="AF287" s="215"/>
      <c r="AG287" s="215"/>
      <c r="AH287" s="215"/>
      <c r="AI287" s="215"/>
      <c r="AJ287" s="215"/>
      <c r="AK287" s="215"/>
      <c r="AL287" s="215"/>
      <c r="AM287" s="121">
        <f t="shared" si="8"/>
        <v>0</v>
      </c>
      <c r="AN287" s="564">
        <f>IF(AO287&lt;=3,(IF(AND(G287="5/24",AM287&gt;0.5),(AM287*2*база!$M$6*Таблица14[[#This Row],[коэф]]),
IF(AND(G287="4/24",AM287&gt;0.5),(AM287*2*база!$M$5*Таблица14[[#This Row],[коэф]]),
IF(AND(G287="3/24",AM287&gt;0.5),(AM287*2*база!$M$4*Таблица14[[#This Row],[коэф]]),
IF(AND(G287="5/16",AM287&gt;0.5),(AM287*2*база!$L$6*Таблица14[[#This Row],[коэф]]),
IF(AND(G287="4/16",AM287&gt;0.5),(AM287*2*база!$L$5*Таблица14[[#This Row],[коэф]]),
IF(AND(G287="3/16",AM287&gt;0.5),(AM287*2*база!$L$4*Таблица14[[#This Row],[коэф]]),
IF(AND(G287="4/4",AM287&gt;0.5),(AM287*2*база!$I$5*Таблица14[[#This Row],[коэф]]),
IF(OR(AND(G287="3/4",AM287&gt;0.5),AND(G287="2/4",AM287&gt;0.5)),(AM287*2*база!$I$4*Таблица14[[#This Row],[коэф]]),
IF(AND(G287="5/8",AM287&gt;0.5),(AM287*2*база!$J$6*Таблица14[[#This Row],[коэф]]),
IF(AND(G287="4/8",AM287&gt;0.5),(AM287*2*база!$J$5*Таблица14[[#This Row],[коэф]]),
IF(OR(AND(G287="3/8",AM287&gt;0.5),AND(G287="2/8",AM287&gt;0.5)),(AM287*2*база!$J$4*Таблица14[[#This Row],[коэф]]),
(AM287*0.5*база!$L$4*Таблица14[[#This Row],[коэф]]))))))))))))),
(IF(AND(G287="5/24",AM287&gt;0.5),(AM287*2*база!$M$6*Таблица14[[#This Row],[коэф]]),
IF(OR(AND(G287="4/24",AM287&gt;0.5),AND(G287="3/24",AM287&gt;0.5)),(AM287*2*база!$M$5*Таблица14[[#This Row],[коэф]]),
IF(AND(G287="5/16",AM287&gt;0.5),(AM287*2*база!$L$6*Таблица14[[#This Row],[коэф]]),
IF(OR(AND(G287="4/16",AM287&gt;0.5),AND(G287="3/16",AM287&gt;0.5)),(AM287*2*база!$L$5*Таблица14[[#This Row],[коэф]]),
IF(OR(AND(G287="4/4",AM287&gt;0.5),AND(G287="3/4",AM287&gt;2)),(AM287*2*база!$I$5*Таблица14[[#This Row],[коэф]]),
IF(AND(G287="5/8",AM287&gt;0.5),(AM287*2*база!$J$6*Таблица14[[#This Row],[коэф]]),
IF(AND(G287="4/8",AM287&gt;0.5),(AM287*2*база!$J$5*Таблица14[[#This Row],[коэф]]),
IF(OR(AND(G287="3/8",AM287&gt;0.5),AND(G287="2/8",AM287&gt;0.5)),(AM287*2*база!$J$4*Таблица14[[#This Row],[коэф]]),
(AM287*2*база!$L$5*Таблица14[[#This Row],[коэф]])))))))))))</f>
        <v>0</v>
      </c>
      <c r="AO287" s="122" t="str">
        <f>IFERROR(INDEX(база!$D$2:$D$120, MATCH(Таблица14[[#This Row],[Ф. И. О.]],база!$B$2:$B$100,0)),"")</f>
        <v/>
      </c>
    </row>
    <row r="288" spans="1:45">
      <c r="A288" s="207" t="str">
        <f t="shared" si="6"/>
        <v>январь</v>
      </c>
      <c r="B288" s="240">
        <v>2024</v>
      </c>
      <c r="C288" s="572"/>
      <c r="D288" s="214"/>
      <c r="E288" s="241"/>
      <c r="F288" s="713"/>
      <c r="G288" s="242"/>
      <c r="H288" s="215"/>
      <c r="I288" s="215"/>
      <c r="J288" s="215"/>
      <c r="K288" s="215"/>
      <c r="L288" s="215"/>
      <c r="M288" s="215"/>
      <c r="N288" s="215"/>
      <c r="O288" s="215"/>
      <c r="P288" s="215"/>
      <c r="Q288" s="215"/>
      <c r="R288" s="215"/>
      <c r="S288" s="215"/>
      <c r="T288" s="215"/>
      <c r="U288" s="215"/>
      <c r="V288" s="215"/>
      <c r="W288" s="215"/>
      <c r="X288" s="215"/>
      <c r="Y288" s="215"/>
      <c r="Z288" s="215"/>
      <c r="AA288" s="215"/>
      <c r="AB288" s="215"/>
      <c r="AC288" s="215"/>
      <c r="AD288" s="215"/>
      <c r="AE288" s="215"/>
      <c r="AF288" s="215"/>
      <c r="AG288" s="215"/>
      <c r="AH288" s="215"/>
      <c r="AI288" s="215"/>
      <c r="AJ288" s="215"/>
      <c r="AK288" s="215"/>
      <c r="AL288" s="215"/>
      <c r="AM288" s="121">
        <f t="shared" si="8"/>
        <v>0</v>
      </c>
      <c r="AN288" s="564">
        <f>IF(AO288&lt;=3,(IF(AND(G288="5/24",AM288&gt;0.5),(AM288*2*база!$M$6*Таблица14[[#This Row],[коэф]]),
IF(AND(G288="4/24",AM288&gt;0.5),(AM288*2*база!$M$5*Таблица14[[#This Row],[коэф]]),
IF(AND(G288="3/24",AM288&gt;0.5),(AM288*2*база!$M$4*Таблица14[[#This Row],[коэф]]),
IF(AND(G288="5/16",AM288&gt;0.5),(AM288*2*база!$L$6*Таблица14[[#This Row],[коэф]]),
IF(AND(G288="4/16",AM288&gt;0.5),(AM288*2*база!$L$5*Таблица14[[#This Row],[коэф]]),
IF(AND(G288="3/16",AM288&gt;0.5),(AM288*2*база!$L$4*Таблица14[[#This Row],[коэф]]),
IF(AND(G288="4/4",AM288&gt;0.5),(AM288*2*база!$I$5*Таблица14[[#This Row],[коэф]]),
IF(OR(AND(G288="3/4",AM288&gt;0.5),AND(G288="2/4",AM288&gt;0.5)),(AM288*2*база!$I$4*Таблица14[[#This Row],[коэф]]),
IF(AND(G288="5/8",AM288&gt;0.5),(AM288*2*база!$J$6*Таблица14[[#This Row],[коэф]]),
IF(AND(G288="4/8",AM288&gt;0.5),(AM288*2*база!$J$5*Таблица14[[#This Row],[коэф]]),
IF(OR(AND(G288="3/8",AM288&gt;0.5),AND(G288="2/8",AM288&gt;0.5)),(AM288*2*база!$J$4*Таблица14[[#This Row],[коэф]]),
(AM288*0.5*база!$L$4*Таблица14[[#This Row],[коэф]]))))))))))))),
(IF(AND(G288="5/24",AM288&gt;0.5),(AM288*2*база!$M$6*Таблица14[[#This Row],[коэф]]),
IF(OR(AND(G288="4/24",AM288&gt;0.5),AND(G288="3/24",AM288&gt;0.5)),(AM288*2*база!$M$5*Таблица14[[#This Row],[коэф]]),
IF(AND(G288="5/16",AM288&gt;0.5),(AM288*2*база!$L$6*Таблица14[[#This Row],[коэф]]),
IF(OR(AND(G288="4/16",AM288&gt;0.5),AND(G288="3/16",AM288&gt;0.5)),(AM288*2*база!$L$5*Таблица14[[#This Row],[коэф]]),
IF(OR(AND(G288="4/4",AM288&gt;0.5),AND(G288="3/4",AM288&gt;2)),(AM288*2*база!$I$5*Таблица14[[#This Row],[коэф]]),
IF(AND(G288="5/8",AM288&gt;0.5),(AM288*2*база!$J$6*Таблица14[[#This Row],[коэф]]),
IF(AND(G288="4/8",AM288&gt;0.5),(AM288*2*база!$J$5*Таблица14[[#This Row],[коэф]]),
IF(OR(AND(G288="3/8",AM288&gt;0.5),AND(G288="2/8",AM288&gt;0.5)),(AM288*2*база!$J$4*Таблица14[[#This Row],[коэф]]),
(AM288*2*база!$L$5*Таблица14[[#This Row],[коэф]])))))))))))</f>
        <v>0</v>
      </c>
      <c r="AO288" s="122" t="str">
        <f>IFERROR(INDEX(база!$D$2:$D$120, MATCH(Таблица14[[#This Row],[Ф. И. О.]],база!$B$2:$B$100,0)),"")</f>
        <v/>
      </c>
    </row>
    <row r="289" spans="1:41">
      <c r="A289" s="207" t="str">
        <f t="shared" si="6"/>
        <v>январь</v>
      </c>
      <c r="B289" s="204">
        <v>2024</v>
      </c>
      <c r="C289" s="572"/>
      <c r="D289" s="214"/>
      <c r="E289" s="243"/>
      <c r="F289" s="713"/>
      <c r="G289" s="206"/>
      <c r="H289" s="215"/>
      <c r="I289" s="215"/>
      <c r="J289" s="215"/>
      <c r="K289" s="215"/>
      <c r="L289" s="215"/>
      <c r="M289" s="215"/>
      <c r="N289" s="215"/>
      <c r="O289" s="215"/>
      <c r="P289" s="215"/>
      <c r="Q289" s="215"/>
      <c r="R289" s="215"/>
      <c r="S289" s="215"/>
      <c r="T289" s="215"/>
      <c r="U289" s="215"/>
      <c r="V289" s="215"/>
      <c r="W289" s="215"/>
      <c r="X289" s="215"/>
      <c r="Y289" s="215"/>
      <c r="Z289" s="215"/>
      <c r="AA289" s="215"/>
      <c r="AB289" s="215"/>
      <c r="AC289" s="215"/>
      <c r="AD289" s="215"/>
      <c r="AE289" s="215"/>
      <c r="AF289" s="215"/>
      <c r="AG289" s="215"/>
      <c r="AH289" s="215"/>
      <c r="AI289" s="215"/>
      <c r="AJ289" s="215"/>
      <c r="AK289" s="215"/>
      <c r="AL289" s="215"/>
      <c r="AM289" s="121">
        <f t="shared" si="8"/>
        <v>0</v>
      </c>
      <c r="AN289" s="564">
        <f>IF(AO289&lt;=3,(IF(AND(G289="5/24",AM289&gt;0.5),(AM289*2*база!$M$6*Таблица14[[#This Row],[коэф]]),
IF(AND(G289="4/24",AM289&gt;0.5),(AM289*2*база!$M$5*Таблица14[[#This Row],[коэф]]),
IF(AND(G289="3/24",AM289&gt;0.5),(AM289*2*база!$M$4*Таблица14[[#This Row],[коэф]]),
IF(AND(G289="5/16",AM289&gt;0.5),(AM289*2*база!$L$6*Таблица14[[#This Row],[коэф]]),
IF(AND(G289="4/16",AM289&gt;0.5),(AM289*2*база!$L$5*Таблица14[[#This Row],[коэф]]),
IF(AND(G289="3/16",AM289&gt;0.5),(AM289*2*база!$L$4*Таблица14[[#This Row],[коэф]]),
IF(AND(G289="4/4",AM289&gt;0.5),(AM289*2*база!$I$5*Таблица14[[#This Row],[коэф]]),
IF(OR(AND(G289="3/4",AM289&gt;0.5),AND(G289="2/4",AM289&gt;0.5)),(AM289*2*база!$I$4*Таблица14[[#This Row],[коэф]]),
IF(AND(G289="5/8",AM289&gt;0.5),(AM289*2*база!$J$6*Таблица14[[#This Row],[коэф]]),
IF(AND(G289="4/8",AM289&gt;0.5),(AM289*2*база!$J$5*Таблица14[[#This Row],[коэф]]),
IF(OR(AND(G289="3/8",AM289&gt;0.5),AND(G289="2/8",AM289&gt;0.5)),(AM289*2*база!$J$4*Таблица14[[#This Row],[коэф]]),
(AM289*0.5*база!$L$4*Таблица14[[#This Row],[коэф]]))))))))))))),
(IF(AND(G289="5/24",AM289&gt;0.5),(AM289*2*база!$M$6*Таблица14[[#This Row],[коэф]]),
IF(OR(AND(G289="4/24",AM289&gt;0.5),AND(G289="3/24",AM289&gt;0.5)),(AM289*2*база!$M$5*Таблица14[[#This Row],[коэф]]),
IF(AND(G289="5/16",AM289&gt;0.5),(AM289*2*база!$L$6*Таблица14[[#This Row],[коэф]]),
IF(OR(AND(G289="4/16",AM289&gt;0.5),AND(G289="3/16",AM289&gt;0.5)),(AM289*2*база!$L$5*Таблица14[[#This Row],[коэф]]),
IF(OR(AND(G289="4/4",AM289&gt;0.5),AND(G289="3/4",AM289&gt;2)),(AM289*2*база!$I$5*Таблица14[[#This Row],[коэф]]),
IF(AND(G289="5/8",AM289&gt;0.5),(AM289*2*база!$J$6*Таблица14[[#This Row],[коэф]]),
IF(AND(G289="4/8",AM289&gt;0.5),(AM289*2*база!$J$5*Таблица14[[#This Row],[коэф]]),
IF(OR(AND(G289="3/8",AM289&gt;0.5),AND(G289="2/8",AM289&gt;0.5)),(AM289*2*база!$J$4*Таблица14[[#This Row],[коэф]]),
(AM289*2*база!$L$5*Таблица14[[#This Row],[коэф]])))))))))))</f>
        <v>0</v>
      </c>
      <c r="AO289" s="122" t="str">
        <f>IFERROR(INDEX(база!$D$2:$D$120, MATCH(Таблица14[[#This Row],[Ф. И. О.]],база!$B$2:$B$100,0)),"")</f>
        <v/>
      </c>
    </row>
    <row r="290" spans="1:41">
      <c r="A290" s="207" t="str">
        <f t="shared" si="6"/>
        <v>январь</v>
      </c>
      <c r="B290" s="240">
        <v>2024</v>
      </c>
      <c r="C290" s="572"/>
      <c r="D290" s="214"/>
      <c r="E290" s="241"/>
      <c r="F290" s="713"/>
      <c r="G290" s="242"/>
      <c r="H290" s="215"/>
      <c r="I290" s="215"/>
      <c r="J290" s="215"/>
      <c r="K290" s="215"/>
      <c r="L290" s="215"/>
      <c r="M290" s="215"/>
      <c r="N290" s="215"/>
      <c r="O290" s="215"/>
      <c r="P290" s="215"/>
      <c r="Q290" s="215"/>
      <c r="R290" s="215"/>
      <c r="S290" s="215"/>
      <c r="T290" s="215"/>
      <c r="U290" s="215"/>
      <c r="V290" s="215"/>
      <c r="W290" s="215"/>
      <c r="X290" s="215"/>
      <c r="Y290" s="215"/>
      <c r="Z290" s="215"/>
      <c r="AA290" s="215"/>
      <c r="AB290" s="215"/>
      <c r="AC290" s="215"/>
      <c r="AD290" s="215"/>
      <c r="AE290" s="215"/>
      <c r="AF290" s="215"/>
      <c r="AG290" s="215"/>
      <c r="AH290" s="215"/>
      <c r="AI290" s="215"/>
      <c r="AJ290" s="215"/>
      <c r="AK290" s="215"/>
      <c r="AL290" s="215"/>
      <c r="AM290" s="121">
        <f t="shared" si="8"/>
        <v>0</v>
      </c>
      <c r="AN290" s="564">
        <f>IF(AO290&lt;=3,(IF(AND(G290="5/24",AM290&gt;0.5),(AM290*2*база!$M$6*Таблица14[[#This Row],[коэф]]),
IF(AND(G290="4/24",AM290&gt;0.5),(AM290*2*база!$M$5*Таблица14[[#This Row],[коэф]]),
IF(AND(G290="3/24",AM290&gt;0.5),(AM290*2*база!$M$4*Таблица14[[#This Row],[коэф]]),
IF(AND(G290="5/16",AM290&gt;0.5),(AM290*2*база!$L$6*Таблица14[[#This Row],[коэф]]),
IF(AND(G290="4/16",AM290&gt;0.5),(AM290*2*база!$L$5*Таблица14[[#This Row],[коэф]]),
IF(AND(G290="3/16",AM290&gt;0.5),(AM290*2*база!$L$4*Таблица14[[#This Row],[коэф]]),
IF(AND(G290="4/4",AM290&gt;0.5),(AM290*2*база!$I$5*Таблица14[[#This Row],[коэф]]),
IF(OR(AND(G290="3/4",AM290&gt;0.5),AND(G290="2/4",AM290&gt;0.5)),(AM290*2*база!$I$4*Таблица14[[#This Row],[коэф]]),
IF(AND(G290="5/8",AM290&gt;0.5),(AM290*2*база!$J$6*Таблица14[[#This Row],[коэф]]),
IF(AND(G290="4/8",AM290&gt;0.5),(AM290*2*база!$J$5*Таблица14[[#This Row],[коэф]]),
IF(OR(AND(G290="3/8",AM290&gt;0.5),AND(G290="2/8",AM290&gt;0.5)),(AM290*2*база!$J$4*Таблица14[[#This Row],[коэф]]),
(AM290*0.5*база!$L$4*Таблица14[[#This Row],[коэф]]))))))))))))),
(IF(AND(G290="5/24",AM290&gt;0.5),(AM290*2*база!$M$6*Таблица14[[#This Row],[коэф]]),
IF(OR(AND(G290="4/24",AM290&gt;0.5),AND(G290="3/24",AM290&gt;0.5)),(AM290*2*база!$M$5*Таблица14[[#This Row],[коэф]]),
IF(AND(G290="5/16",AM290&gt;0.5),(AM290*2*база!$L$6*Таблица14[[#This Row],[коэф]]),
IF(OR(AND(G290="4/16",AM290&gt;0.5),AND(G290="3/16",AM290&gt;0.5)),(AM290*2*база!$L$5*Таблица14[[#This Row],[коэф]]),
IF(OR(AND(G290="4/4",AM290&gt;0.5),AND(G290="3/4",AM290&gt;2)),(AM290*2*база!$I$5*Таблица14[[#This Row],[коэф]]),
IF(AND(G290="5/8",AM290&gt;0.5),(AM290*2*база!$J$6*Таблица14[[#This Row],[коэф]]),
IF(AND(G290="4/8",AM290&gt;0.5),(AM290*2*база!$J$5*Таблица14[[#This Row],[коэф]]),
IF(OR(AND(G290="3/8",AM290&gt;0.5),AND(G290="2/8",AM290&gt;0.5)),(AM290*2*база!$J$4*Таблица14[[#This Row],[коэф]]),
(AM290*2*база!$L$5*Таблица14[[#This Row],[коэф]])))))))))))</f>
        <v>0</v>
      </c>
      <c r="AO290" s="122" t="str">
        <f>IFERROR(INDEX(база!$D$2:$D$120, MATCH(Таблица14[[#This Row],[Ф. И. О.]],база!$B$2:$B$100,0)),"")</f>
        <v/>
      </c>
    </row>
    <row r="291" spans="1:41">
      <c r="A291" s="207" t="str">
        <f t="shared" si="6"/>
        <v>январь</v>
      </c>
      <c r="B291" s="204">
        <v>2024</v>
      </c>
      <c r="C291" s="572"/>
      <c r="D291" s="214"/>
      <c r="E291" s="243"/>
      <c r="F291" s="713"/>
      <c r="G291" s="206"/>
      <c r="H291" s="215"/>
      <c r="I291" s="215"/>
      <c r="J291" s="215"/>
      <c r="K291" s="215"/>
      <c r="L291" s="215"/>
      <c r="M291" s="215"/>
      <c r="N291" s="215"/>
      <c r="O291" s="215"/>
      <c r="P291" s="215"/>
      <c r="Q291" s="215"/>
      <c r="R291" s="215"/>
      <c r="S291" s="215"/>
      <c r="T291" s="215"/>
      <c r="U291" s="215"/>
      <c r="V291" s="215"/>
      <c r="W291" s="215"/>
      <c r="X291" s="215"/>
      <c r="Y291" s="215"/>
      <c r="Z291" s="215"/>
      <c r="AA291" s="215"/>
      <c r="AB291" s="215"/>
      <c r="AC291" s="215"/>
      <c r="AD291" s="215"/>
      <c r="AE291" s="215"/>
      <c r="AF291" s="215"/>
      <c r="AG291" s="215"/>
      <c r="AH291" s="215"/>
      <c r="AI291" s="215"/>
      <c r="AJ291" s="215"/>
      <c r="AK291" s="215"/>
      <c r="AL291" s="215"/>
      <c r="AM291" s="121">
        <f t="shared" si="8"/>
        <v>0</v>
      </c>
      <c r="AN291" s="564">
        <f>IF(AO291&lt;=3,(IF(AND(G291="5/24",AM291&gt;0.5),(AM291*2*база!$M$6*Таблица14[[#This Row],[коэф]]),
IF(AND(G291="4/24",AM291&gt;0.5),(AM291*2*база!$M$5*Таблица14[[#This Row],[коэф]]),
IF(AND(G291="3/24",AM291&gt;0.5),(AM291*2*база!$M$4*Таблица14[[#This Row],[коэф]]),
IF(AND(G291="5/16",AM291&gt;0.5),(AM291*2*база!$L$6*Таблица14[[#This Row],[коэф]]),
IF(AND(G291="4/16",AM291&gt;0.5),(AM291*2*база!$L$5*Таблица14[[#This Row],[коэф]]),
IF(AND(G291="3/16",AM291&gt;0.5),(AM291*2*база!$L$4*Таблица14[[#This Row],[коэф]]),
IF(AND(G291="4/4",AM291&gt;0.5),(AM291*2*база!$I$5*Таблица14[[#This Row],[коэф]]),
IF(OR(AND(G291="3/4",AM291&gt;0.5),AND(G291="2/4",AM291&gt;0.5)),(AM291*2*база!$I$4*Таблица14[[#This Row],[коэф]]),
IF(AND(G291="5/8",AM291&gt;0.5),(AM291*2*база!$J$6*Таблица14[[#This Row],[коэф]]),
IF(AND(G291="4/8",AM291&gt;0.5),(AM291*2*база!$J$5*Таблица14[[#This Row],[коэф]]),
IF(OR(AND(G291="3/8",AM291&gt;0.5),AND(G291="2/8",AM291&gt;0.5)),(AM291*2*база!$J$4*Таблица14[[#This Row],[коэф]]),
(AM291*0.5*база!$L$4*Таблица14[[#This Row],[коэф]]))))))))))))),
(IF(AND(G291="5/24",AM291&gt;0.5),(AM291*2*база!$M$6*Таблица14[[#This Row],[коэф]]),
IF(OR(AND(G291="4/24",AM291&gt;0.5),AND(G291="3/24",AM291&gt;0.5)),(AM291*2*база!$M$5*Таблица14[[#This Row],[коэф]]),
IF(AND(G291="5/16",AM291&gt;0.5),(AM291*2*база!$L$6*Таблица14[[#This Row],[коэф]]),
IF(OR(AND(G291="4/16",AM291&gt;0.5),AND(G291="3/16",AM291&gt;0.5)),(AM291*2*база!$L$5*Таблица14[[#This Row],[коэф]]),
IF(OR(AND(G291="4/4",AM291&gt;0.5),AND(G291="3/4",AM291&gt;2)),(AM291*2*база!$I$5*Таблица14[[#This Row],[коэф]]),
IF(AND(G291="5/8",AM291&gt;0.5),(AM291*2*база!$J$6*Таблица14[[#This Row],[коэф]]),
IF(AND(G291="4/8",AM291&gt;0.5),(AM291*2*база!$J$5*Таблица14[[#This Row],[коэф]]),
IF(OR(AND(G291="3/8",AM291&gt;0.5),AND(G291="2/8",AM291&gt;0.5)),(AM291*2*база!$J$4*Таблица14[[#This Row],[коэф]]),
(AM291*2*база!$L$5*Таблица14[[#This Row],[коэф]])))))))))))</f>
        <v>0</v>
      </c>
      <c r="AO291" s="122" t="str">
        <f>IFERROR(INDEX(база!$D$2:$D$120, MATCH(Таблица14[[#This Row],[Ф. И. О.]],база!$B$2:$B$100,0)),"")</f>
        <v/>
      </c>
    </row>
    <row r="292" spans="1:41">
      <c r="A292" s="207" t="str">
        <f t="shared" si="6"/>
        <v>январь</v>
      </c>
      <c r="B292" s="240">
        <v>2024</v>
      </c>
      <c r="C292" s="572"/>
      <c r="D292" s="214"/>
      <c r="E292" s="241"/>
      <c r="F292" s="713"/>
      <c r="G292" s="242"/>
      <c r="H292" s="215"/>
      <c r="I292" s="215"/>
      <c r="J292" s="215"/>
      <c r="K292" s="215"/>
      <c r="L292" s="215"/>
      <c r="M292" s="215"/>
      <c r="N292" s="215"/>
      <c r="O292" s="215"/>
      <c r="P292" s="215"/>
      <c r="Q292" s="215"/>
      <c r="R292" s="215"/>
      <c r="S292" s="215"/>
      <c r="T292" s="215"/>
      <c r="U292" s="215"/>
      <c r="V292" s="215"/>
      <c r="W292" s="215"/>
      <c r="X292" s="215"/>
      <c r="Y292" s="215"/>
      <c r="Z292" s="215"/>
      <c r="AA292" s="215"/>
      <c r="AB292" s="215"/>
      <c r="AC292" s="215"/>
      <c r="AD292" s="215"/>
      <c r="AE292" s="215"/>
      <c r="AF292" s="215"/>
      <c r="AG292" s="215"/>
      <c r="AH292" s="215"/>
      <c r="AI292" s="215"/>
      <c r="AJ292" s="215"/>
      <c r="AK292" s="215"/>
      <c r="AL292" s="215"/>
      <c r="AM292" s="121">
        <f t="shared" si="8"/>
        <v>0</v>
      </c>
      <c r="AN292" s="564">
        <f>IF(AO292&lt;=3,(IF(AND(G292="5/24",AM292&gt;0.5),(AM292*2*база!$M$6*Таблица14[[#This Row],[коэф]]),
IF(AND(G292="4/24",AM292&gt;0.5),(AM292*2*база!$M$5*Таблица14[[#This Row],[коэф]]),
IF(AND(G292="3/24",AM292&gt;0.5),(AM292*2*база!$M$4*Таблица14[[#This Row],[коэф]]),
IF(AND(G292="5/16",AM292&gt;0.5),(AM292*2*база!$L$6*Таблица14[[#This Row],[коэф]]),
IF(AND(G292="4/16",AM292&gt;0.5),(AM292*2*база!$L$5*Таблица14[[#This Row],[коэф]]),
IF(AND(G292="3/16",AM292&gt;0.5),(AM292*2*база!$L$4*Таблица14[[#This Row],[коэф]]),
IF(AND(G292="4/4",AM292&gt;0.5),(AM292*2*база!$I$5*Таблица14[[#This Row],[коэф]]),
IF(OR(AND(G292="3/4",AM292&gt;0.5),AND(G292="2/4",AM292&gt;0.5)),(AM292*2*база!$I$4*Таблица14[[#This Row],[коэф]]),
IF(AND(G292="5/8",AM292&gt;0.5),(AM292*2*база!$J$6*Таблица14[[#This Row],[коэф]]),
IF(AND(G292="4/8",AM292&gt;0.5),(AM292*2*база!$J$5*Таблица14[[#This Row],[коэф]]),
IF(OR(AND(G292="3/8",AM292&gt;0.5),AND(G292="2/8",AM292&gt;0.5)),(AM292*2*база!$J$4*Таблица14[[#This Row],[коэф]]),
(AM292*0.5*база!$L$4*Таблица14[[#This Row],[коэф]]))))))))))))),
(IF(AND(G292="5/24",AM292&gt;0.5),(AM292*2*база!$M$6*Таблица14[[#This Row],[коэф]]),
IF(OR(AND(G292="4/24",AM292&gt;0.5),AND(G292="3/24",AM292&gt;0.5)),(AM292*2*база!$M$5*Таблица14[[#This Row],[коэф]]),
IF(AND(G292="5/16",AM292&gt;0.5),(AM292*2*база!$L$6*Таблица14[[#This Row],[коэф]]),
IF(OR(AND(G292="4/16",AM292&gt;0.5),AND(G292="3/16",AM292&gt;0.5)),(AM292*2*база!$L$5*Таблица14[[#This Row],[коэф]]),
IF(OR(AND(G292="4/4",AM292&gt;0.5),AND(G292="3/4",AM292&gt;2)),(AM292*2*база!$I$5*Таблица14[[#This Row],[коэф]]),
IF(AND(G292="5/8",AM292&gt;0.5),(AM292*2*база!$J$6*Таблица14[[#This Row],[коэф]]),
IF(AND(G292="4/8",AM292&gt;0.5),(AM292*2*база!$J$5*Таблица14[[#This Row],[коэф]]),
IF(OR(AND(G292="3/8",AM292&gt;0.5),AND(G292="2/8",AM292&gt;0.5)),(AM292*2*база!$J$4*Таблица14[[#This Row],[коэф]]),
(AM292*2*база!$L$5*Таблица14[[#This Row],[коэф]])))))))))))</f>
        <v>0</v>
      </c>
      <c r="AO292" s="122" t="str">
        <f>IFERROR(INDEX(база!$D$2:$D$120, MATCH(Таблица14[[#This Row],[Ф. И. О.]],база!$B$2:$B$100,0)),"")</f>
        <v/>
      </c>
    </row>
    <row r="293" spans="1:41">
      <c r="A293" s="207" t="str">
        <f t="shared" si="6"/>
        <v>январь</v>
      </c>
      <c r="B293" s="204">
        <v>2024</v>
      </c>
      <c r="C293" s="572"/>
      <c r="D293" s="214"/>
      <c r="E293" s="243"/>
      <c r="F293" s="713"/>
      <c r="G293" s="206"/>
      <c r="H293" s="215"/>
      <c r="I293" s="215"/>
      <c r="J293" s="215"/>
      <c r="K293" s="215"/>
      <c r="L293" s="215"/>
      <c r="M293" s="215"/>
      <c r="N293" s="215"/>
      <c r="O293" s="215"/>
      <c r="P293" s="215"/>
      <c r="Q293" s="215"/>
      <c r="R293" s="215"/>
      <c r="S293" s="215"/>
      <c r="T293" s="215"/>
      <c r="U293" s="215"/>
      <c r="V293" s="215"/>
      <c r="W293" s="215"/>
      <c r="X293" s="215"/>
      <c r="Y293" s="215"/>
      <c r="Z293" s="215"/>
      <c r="AA293" s="215"/>
      <c r="AB293" s="215"/>
      <c r="AC293" s="215"/>
      <c r="AD293" s="215"/>
      <c r="AE293" s="215"/>
      <c r="AF293" s="215"/>
      <c r="AG293" s="215"/>
      <c r="AH293" s="215"/>
      <c r="AI293" s="215"/>
      <c r="AJ293" s="215"/>
      <c r="AK293" s="215"/>
      <c r="AL293" s="215"/>
      <c r="AM293" s="121">
        <f t="shared" si="8"/>
        <v>0</v>
      </c>
      <c r="AN293" s="564">
        <f>IF(AO293&lt;=3,(IF(AND(G293="5/24",AM293&gt;0.5),(AM293*2*база!$M$6*Таблица14[[#This Row],[коэф]]),
IF(AND(G293="4/24",AM293&gt;0.5),(AM293*2*база!$M$5*Таблица14[[#This Row],[коэф]]),
IF(AND(G293="3/24",AM293&gt;0.5),(AM293*2*база!$M$4*Таблица14[[#This Row],[коэф]]),
IF(AND(G293="5/16",AM293&gt;0.5),(AM293*2*база!$L$6*Таблица14[[#This Row],[коэф]]),
IF(AND(G293="4/16",AM293&gt;0.5),(AM293*2*база!$L$5*Таблица14[[#This Row],[коэф]]),
IF(AND(G293="3/16",AM293&gt;0.5),(AM293*2*база!$L$4*Таблица14[[#This Row],[коэф]]),
IF(AND(G293="4/4",AM293&gt;0.5),(AM293*2*база!$I$5*Таблица14[[#This Row],[коэф]]),
IF(OR(AND(G293="3/4",AM293&gt;0.5),AND(G293="2/4",AM293&gt;0.5)),(AM293*2*база!$I$4*Таблица14[[#This Row],[коэф]]),
IF(AND(G293="5/8",AM293&gt;0.5),(AM293*2*база!$J$6*Таблица14[[#This Row],[коэф]]),
IF(AND(G293="4/8",AM293&gt;0.5),(AM293*2*база!$J$5*Таблица14[[#This Row],[коэф]]),
IF(OR(AND(G293="3/8",AM293&gt;0.5),AND(G293="2/8",AM293&gt;0.5)),(AM293*2*база!$J$4*Таблица14[[#This Row],[коэф]]),
(AM293*0.5*база!$L$4*Таблица14[[#This Row],[коэф]]))))))))))))),
(IF(AND(G293="5/24",AM293&gt;0.5),(AM293*2*база!$M$6*Таблица14[[#This Row],[коэф]]),
IF(OR(AND(G293="4/24",AM293&gt;0.5),AND(G293="3/24",AM293&gt;0.5)),(AM293*2*база!$M$5*Таблица14[[#This Row],[коэф]]),
IF(AND(G293="5/16",AM293&gt;0.5),(AM293*2*база!$L$6*Таблица14[[#This Row],[коэф]]),
IF(OR(AND(G293="4/16",AM293&gt;0.5),AND(G293="3/16",AM293&gt;0.5)),(AM293*2*база!$L$5*Таблица14[[#This Row],[коэф]]),
IF(OR(AND(G293="4/4",AM293&gt;0.5),AND(G293="3/4",AM293&gt;2)),(AM293*2*база!$I$5*Таблица14[[#This Row],[коэф]]),
IF(AND(G293="5/8",AM293&gt;0.5),(AM293*2*база!$J$6*Таблица14[[#This Row],[коэф]]),
IF(AND(G293="4/8",AM293&gt;0.5),(AM293*2*база!$J$5*Таблица14[[#This Row],[коэф]]),
IF(OR(AND(G293="3/8",AM293&gt;0.5),AND(G293="2/8",AM293&gt;0.5)),(AM293*2*база!$J$4*Таблица14[[#This Row],[коэф]]),
(AM293*2*база!$L$5*Таблица14[[#This Row],[коэф]])))))))))))</f>
        <v>0</v>
      </c>
      <c r="AO293" s="122" t="str">
        <f>IFERROR(INDEX(база!$D$2:$D$120, MATCH(Таблица14[[#This Row],[Ф. И. О.]],база!$B$2:$B$100,0)),"")</f>
        <v/>
      </c>
    </row>
    <row r="294" spans="1:41">
      <c r="A294" s="207" t="str">
        <f t="shared" si="6"/>
        <v>январь</v>
      </c>
      <c r="B294" s="240">
        <v>2024</v>
      </c>
      <c r="C294" s="572"/>
      <c r="D294" s="214"/>
      <c r="E294" s="241"/>
      <c r="F294" s="713"/>
      <c r="G294" s="242"/>
      <c r="H294" s="215"/>
      <c r="I294" s="215"/>
      <c r="J294" s="215"/>
      <c r="K294" s="215"/>
      <c r="L294" s="215"/>
      <c r="M294" s="215"/>
      <c r="N294" s="215"/>
      <c r="O294" s="215"/>
      <c r="P294" s="215"/>
      <c r="Q294" s="215"/>
      <c r="R294" s="215"/>
      <c r="S294" s="215"/>
      <c r="T294" s="215"/>
      <c r="U294" s="215"/>
      <c r="V294" s="215"/>
      <c r="W294" s="215"/>
      <c r="X294" s="215"/>
      <c r="Y294" s="215"/>
      <c r="Z294" s="215"/>
      <c r="AA294" s="215"/>
      <c r="AB294" s="215"/>
      <c r="AC294" s="215"/>
      <c r="AD294" s="215"/>
      <c r="AE294" s="215"/>
      <c r="AF294" s="215"/>
      <c r="AG294" s="215"/>
      <c r="AH294" s="215"/>
      <c r="AI294" s="215"/>
      <c r="AJ294" s="215"/>
      <c r="AK294" s="215"/>
      <c r="AL294" s="215"/>
      <c r="AM294" s="121">
        <f t="shared" si="8"/>
        <v>0</v>
      </c>
      <c r="AN294" s="564">
        <f>IF(AO294&lt;=3,(IF(AND(G294="5/24",AM294&gt;0.5),(AM294*2*база!$M$6*Таблица14[[#This Row],[коэф]]),
IF(AND(G294="4/24",AM294&gt;0.5),(AM294*2*база!$M$5*Таблица14[[#This Row],[коэф]]),
IF(AND(G294="3/24",AM294&gt;0.5),(AM294*2*база!$M$4*Таблица14[[#This Row],[коэф]]),
IF(AND(G294="5/16",AM294&gt;0.5),(AM294*2*база!$L$6*Таблица14[[#This Row],[коэф]]),
IF(AND(G294="4/16",AM294&gt;0.5),(AM294*2*база!$L$5*Таблица14[[#This Row],[коэф]]),
IF(AND(G294="3/16",AM294&gt;0.5),(AM294*2*база!$L$4*Таблица14[[#This Row],[коэф]]),
IF(AND(G294="4/4",AM294&gt;0.5),(AM294*2*база!$I$5*Таблица14[[#This Row],[коэф]]),
IF(OR(AND(G294="3/4",AM294&gt;0.5),AND(G294="2/4",AM294&gt;0.5)),(AM294*2*база!$I$4*Таблица14[[#This Row],[коэф]]),
IF(AND(G294="5/8",AM294&gt;0.5),(AM294*2*база!$J$6*Таблица14[[#This Row],[коэф]]),
IF(AND(G294="4/8",AM294&gt;0.5),(AM294*2*база!$J$5*Таблица14[[#This Row],[коэф]]),
IF(OR(AND(G294="3/8",AM294&gt;0.5),AND(G294="2/8",AM294&gt;0.5)),(AM294*2*база!$J$4*Таблица14[[#This Row],[коэф]]),
(AM294*0.5*база!$L$4*Таблица14[[#This Row],[коэф]]))))))))))))),
(IF(AND(G294="5/24",AM294&gt;0.5),(AM294*2*база!$M$6*Таблица14[[#This Row],[коэф]]),
IF(OR(AND(G294="4/24",AM294&gt;0.5),AND(G294="3/24",AM294&gt;0.5)),(AM294*2*база!$M$5*Таблица14[[#This Row],[коэф]]),
IF(AND(G294="5/16",AM294&gt;0.5),(AM294*2*база!$L$6*Таблица14[[#This Row],[коэф]]),
IF(OR(AND(G294="4/16",AM294&gt;0.5),AND(G294="3/16",AM294&gt;0.5)),(AM294*2*база!$L$5*Таблица14[[#This Row],[коэф]]),
IF(OR(AND(G294="4/4",AM294&gt;0.5),AND(G294="3/4",AM294&gt;2)),(AM294*2*база!$I$5*Таблица14[[#This Row],[коэф]]),
IF(AND(G294="5/8",AM294&gt;0.5),(AM294*2*база!$J$6*Таблица14[[#This Row],[коэф]]),
IF(AND(G294="4/8",AM294&gt;0.5),(AM294*2*база!$J$5*Таблица14[[#This Row],[коэф]]),
IF(OR(AND(G294="3/8",AM294&gt;0.5),AND(G294="2/8",AM294&gt;0.5)),(AM294*2*база!$J$4*Таблица14[[#This Row],[коэф]]),
(AM294*2*база!$L$5*Таблица14[[#This Row],[коэф]])))))))))))</f>
        <v>0</v>
      </c>
      <c r="AO294" s="122" t="str">
        <f>IFERROR(INDEX(база!$D$2:$D$120, MATCH(Таблица14[[#This Row],[Ф. И. О.]],база!$B$2:$B$100,0)),"")</f>
        <v/>
      </c>
    </row>
    <row r="295" spans="1:41">
      <c r="A295" s="207" t="str">
        <f t="shared" si="6"/>
        <v>январь</v>
      </c>
      <c r="B295" s="204">
        <v>2024</v>
      </c>
      <c r="C295" s="572"/>
      <c r="D295" s="214"/>
      <c r="E295" s="243"/>
      <c r="F295" s="713"/>
      <c r="G295" s="206"/>
      <c r="H295" s="215"/>
      <c r="I295" s="215"/>
      <c r="J295" s="215"/>
      <c r="K295" s="215"/>
      <c r="L295" s="215"/>
      <c r="M295" s="215"/>
      <c r="N295" s="215"/>
      <c r="O295" s="215"/>
      <c r="P295" s="215"/>
      <c r="Q295" s="215"/>
      <c r="R295" s="215"/>
      <c r="S295" s="215"/>
      <c r="T295" s="215"/>
      <c r="U295" s="215"/>
      <c r="V295" s="215"/>
      <c r="W295" s="215"/>
      <c r="X295" s="215"/>
      <c r="Y295" s="215"/>
      <c r="Z295" s="215"/>
      <c r="AA295" s="215"/>
      <c r="AB295" s="215"/>
      <c r="AC295" s="215"/>
      <c r="AD295" s="215"/>
      <c r="AE295" s="215"/>
      <c r="AF295" s="215"/>
      <c r="AG295" s="215"/>
      <c r="AH295" s="215"/>
      <c r="AI295" s="215"/>
      <c r="AJ295" s="215"/>
      <c r="AK295" s="215"/>
      <c r="AL295" s="215"/>
      <c r="AM295" s="121">
        <f t="shared" si="8"/>
        <v>0</v>
      </c>
      <c r="AN295" s="564">
        <f>IF(AO295&lt;=3,(IF(AND(G295="5/24",AM295&gt;0.5),(AM295*2*база!$M$6*Таблица14[[#This Row],[коэф]]),
IF(AND(G295="4/24",AM295&gt;0.5),(AM295*2*база!$M$5*Таблица14[[#This Row],[коэф]]),
IF(AND(G295="3/24",AM295&gt;0.5),(AM295*2*база!$M$4*Таблица14[[#This Row],[коэф]]),
IF(AND(G295="5/16",AM295&gt;0.5),(AM295*2*база!$L$6*Таблица14[[#This Row],[коэф]]),
IF(AND(G295="4/16",AM295&gt;0.5),(AM295*2*база!$L$5*Таблица14[[#This Row],[коэф]]),
IF(AND(G295="3/16",AM295&gt;0.5),(AM295*2*база!$L$4*Таблица14[[#This Row],[коэф]]),
IF(AND(G295="4/4",AM295&gt;0.5),(AM295*2*база!$I$5*Таблица14[[#This Row],[коэф]]),
IF(OR(AND(G295="3/4",AM295&gt;0.5),AND(G295="2/4",AM295&gt;0.5)),(AM295*2*база!$I$4*Таблица14[[#This Row],[коэф]]),
IF(AND(G295="5/8",AM295&gt;0.5),(AM295*2*база!$J$6*Таблица14[[#This Row],[коэф]]),
IF(AND(G295="4/8",AM295&gt;0.5),(AM295*2*база!$J$5*Таблица14[[#This Row],[коэф]]),
IF(OR(AND(G295="3/8",AM295&gt;0.5),AND(G295="2/8",AM295&gt;0.5)),(AM295*2*база!$J$4*Таблица14[[#This Row],[коэф]]),
(AM295*0.5*база!$L$4*Таблица14[[#This Row],[коэф]]))))))))))))),
(IF(AND(G295="5/24",AM295&gt;0.5),(AM295*2*база!$M$6*Таблица14[[#This Row],[коэф]]),
IF(OR(AND(G295="4/24",AM295&gt;0.5),AND(G295="3/24",AM295&gt;0.5)),(AM295*2*база!$M$5*Таблица14[[#This Row],[коэф]]),
IF(AND(G295="5/16",AM295&gt;0.5),(AM295*2*база!$L$6*Таблица14[[#This Row],[коэф]]),
IF(OR(AND(G295="4/16",AM295&gt;0.5),AND(G295="3/16",AM295&gt;0.5)),(AM295*2*база!$L$5*Таблица14[[#This Row],[коэф]]),
IF(OR(AND(G295="4/4",AM295&gt;0.5),AND(G295="3/4",AM295&gt;2)),(AM295*2*база!$I$5*Таблица14[[#This Row],[коэф]]),
IF(AND(G295="5/8",AM295&gt;0.5),(AM295*2*база!$J$6*Таблица14[[#This Row],[коэф]]),
IF(AND(G295="4/8",AM295&gt;0.5),(AM295*2*база!$J$5*Таблица14[[#This Row],[коэф]]),
IF(OR(AND(G295="3/8",AM295&gt;0.5),AND(G295="2/8",AM295&gt;0.5)),(AM295*2*база!$J$4*Таблица14[[#This Row],[коэф]]),
(AM295*2*база!$L$5*Таблица14[[#This Row],[коэф]])))))))))))</f>
        <v>0</v>
      </c>
      <c r="AO295" s="122" t="str">
        <f>IFERROR(INDEX(база!$D$2:$D$120, MATCH(Таблица14[[#This Row],[Ф. И. О.]],база!$B$2:$B$100,0)),"")</f>
        <v/>
      </c>
    </row>
    <row r="296" spans="1:41">
      <c r="A296" s="207" t="str">
        <f t="shared" si="6"/>
        <v>январь</v>
      </c>
      <c r="B296" s="240">
        <v>2024</v>
      </c>
      <c r="C296" s="572"/>
      <c r="D296" s="214"/>
      <c r="E296" s="241"/>
      <c r="F296" s="713"/>
      <c r="G296" s="242"/>
      <c r="H296" s="215"/>
      <c r="I296" s="215"/>
      <c r="J296" s="215"/>
      <c r="K296" s="215"/>
      <c r="L296" s="215"/>
      <c r="M296" s="215"/>
      <c r="N296" s="215"/>
      <c r="O296" s="215"/>
      <c r="P296" s="215"/>
      <c r="Q296" s="215"/>
      <c r="R296" s="215"/>
      <c r="S296" s="215"/>
      <c r="T296" s="215"/>
      <c r="U296" s="215"/>
      <c r="V296" s="215"/>
      <c r="W296" s="215"/>
      <c r="X296" s="215"/>
      <c r="Y296" s="215"/>
      <c r="Z296" s="215"/>
      <c r="AA296" s="215"/>
      <c r="AB296" s="215"/>
      <c r="AC296" s="215"/>
      <c r="AD296" s="215"/>
      <c r="AE296" s="215"/>
      <c r="AF296" s="215"/>
      <c r="AG296" s="215"/>
      <c r="AH296" s="215"/>
      <c r="AI296" s="215"/>
      <c r="AJ296" s="215"/>
      <c r="AK296" s="215"/>
      <c r="AL296" s="215"/>
      <c r="AM296" s="121">
        <f t="shared" si="8"/>
        <v>0</v>
      </c>
      <c r="AN296" s="564">
        <f>IF(AO296&lt;=3,(IF(AND(G296="5/24",AM296&gt;0.5),(AM296*2*база!$M$6*Таблица14[[#This Row],[коэф]]),
IF(AND(G296="4/24",AM296&gt;0.5),(AM296*2*база!$M$5*Таблица14[[#This Row],[коэф]]),
IF(AND(G296="3/24",AM296&gt;0.5),(AM296*2*база!$M$4*Таблица14[[#This Row],[коэф]]),
IF(AND(G296="5/16",AM296&gt;0.5),(AM296*2*база!$L$6*Таблица14[[#This Row],[коэф]]),
IF(AND(G296="4/16",AM296&gt;0.5),(AM296*2*база!$L$5*Таблица14[[#This Row],[коэф]]),
IF(AND(G296="3/16",AM296&gt;0.5),(AM296*2*база!$L$4*Таблица14[[#This Row],[коэф]]),
IF(AND(G296="4/4",AM296&gt;0.5),(AM296*2*база!$I$5*Таблица14[[#This Row],[коэф]]),
IF(OR(AND(G296="3/4",AM296&gt;0.5),AND(G296="2/4",AM296&gt;0.5)),(AM296*2*база!$I$4*Таблица14[[#This Row],[коэф]]),
IF(AND(G296="5/8",AM296&gt;0.5),(AM296*2*база!$J$6*Таблица14[[#This Row],[коэф]]),
IF(AND(G296="4/8",AM296&gt;0.5),(AM296*2*база!$J$5*Таблица14[[#This Row],[коэф]]),
IF(OR(AND(G296="3/8",AM296&gt;0.5),AND(G296="2/8",AM296&gt;0.5)),(AM296*2*база!$J$4*Таблица14[[#This Row],[коэф]]),
(AM296*0.5*база!$L$4*Таблица14[[#This Row],[коэф]]))))))))))))),
(IF(AND(G296="5/24",AM296&gt;0.5),(AM296*2*база!$M$6*Таблица14[[#This Row],[коэф]]),
IF(OR(AND(G296="4/24",AM296&gt;0.5),AND(G296="3/24",AM296&gt;0.5)),(AM296*2*база!$M$5*Таблица14[[#This Row],[коэф]]),
IF(AND(G296="5/16",AM296&gt;0.5),(AM296*2*база!$L$6*Таблица14[[#This Row],[коэф]]),
IF(OR(AND(G296="4/16",AM296&gt;0.5),AND(G296="3/16",AM296&gt;0.5)),(AM296*2*база!$L$5*Таблица14[[#This Row],[коэф]]),
IF(OR(AND(G296="4/4",AM296&gt;0.5),AND(G296="3/4",AM296&gt;2)),(AM296*2*база!$I$5*Таблица14[[#This Row],[коэф]]),
IF(AND(G296="5/8",AM296&gt;0.5),(AM296*2*база!$J$6*Таблица14[[#This Row],[коэф]]),
IF(AND(G296="4/8",AM296&gt;0.5),(AM296*2*база!$J$5*Таблица14[[#This Row],[коэф]]),
IF(OR(AND(G296="3/8",AM296&gt;0.5),AND(G296="2/8",AM296&gt;0.5)),(AM296*2*база!$J$4*Таблица14[[#This Row],[коэф]]),
(AM296*2*база!$L$5*Таблица14[[#This Row],[коэф]])))))))))))</f>
        <v>0</v>
      </c>
      <c r="AO296" s="122" t="str">
        <f>IFERROR(INDEX(база!$D$2:$D$120, MATCH(Таблица14[[#This Row],[Ф. И. О.]],база!$B$2:$B$100,0)),"")</f>
        <v/>
      </c>
    </row>
    <row r="297" spans="1:41">
      <c r="A297" s="207" t="str">
        <f t="shared" si="6"/>
        <v>январь</v>
      </c>
      <c r="B297" s="204">
        <v>2024</v>
      </c>
      <c r="C297" s="572"/>
      <c r="D297" s="214"/>
      <c r="E297" s="243"/>
      <c r="F297" s="713"/>
      <c r="G297" s="206"/>
      <c r="H297" s="215"/>
      <c r="I297" s="215"/>
      <c r="J297" s="215"/>
      <c r="K297" s="215"/>
      <c r="L297" s="215"/>
      <c r="M297" s="215"/>
      <c r="N297" s="215"/>
      <c r="O297" s="215"/>
      <c r="P297" s="215"/>
      <c r="Q297" s="215"/>
      <c r="R297" s="215"/>
      <c r="S297" s="215"/>
      <c r="T297" s="215"/>
      <c r="U297" s="215"/>
      <c r="V297" s="215"/>
      <c r="W297" s="215"/>
      <c r="X297" s="215"/>
      <c r="Y297" s="215"/>
      <c r="Z297" s="215"/>
      <c r="AA297" s="215"/>
      <c r="AB297" s="215"/>
      <c r="AC297" s="215"/>
      <c r="AD297" s="215"/>
      <c r="AE297" s="215"/>
      <c r="AF297" s="215"/>
      <c r="AG297" s="215"/>
      <c r="AH297" s="215"/>
      <c r="AI297" s="215"/>
      <c r="AJ297" s="215"/>
      <c r="AK297" s="215"/>
      <c r="AL297" s="215"/>
      <c r="AM297" s="121">
        <f t="shared" si="8"/>
        <v>0</v>
      </c>
      <c r="AN297" s="564">
        <f>IF(AO297&lt;=3,(IF(AND(G297="5/24",AM297&gt;0.5),(AM297*2*база!$M$6*Таблица14[[#This Row],[коэф]]),
IF(AND(G297="4/24",AM297&gt;0.5),(AM297*2*база!$M$5*Таблица14[[#This Row],[коэф]]),
IF(AND(G297="3/24",AM297&gt;0.5),(AM297*2*база!$M$4*Таблица14[[#This Row],[коэф]]),
IF(AND(G297="5/16",AM297&gt;0.5),(AM297*2*база!$L$6*Таблица14[[#This Row],[коэф]]),
IF(AND(G297="4/16",AM297&gt;0.5),(AM297*2*база!$L$5*Таблица14[[#This Row],[коэф]]),
IF(AND(G297="3/16",AM297&gt;0.5),(AM297*2*база!$L$4*Таблица14[[#This Row],[коэф]]),
IF(AND(G297="4/4",AM297&gt;0.5),(AM297*2*база!$I$5*Таблица14[[#This Row],[коэф]]),
IF(OR(AND(G297="3/4",AM297&gt;0.5),AND(G297="2/4",AM297&gt;0.5)),(AM297*2*база!$I$4*Таблица14[[#This Row],[коэф]]),
IF(AND(G297="5/8",AM297&gt;0.5),(AM297*2*база!$J$6*Таблица14[[#This Row],[коэф]]),
IF(AND(G297="4/8",AM297&gt;0.5),(AM297*2*база!$J$5*Таблица14[[#This Row],[коэф]]),
IF(OR(AND(G297="3/8",AM297&gt;0.5),AND(G297="2/8",AM297&gt;0.5)),(AM297*2*база!$J$4*Таблица14[[#This Row],[коэф]]),
(AM297*0.5*база!$L$4*Таблица14[[#This Row],[коэф]]))))))))))))),
(IF(AND(G297="5/24",AM297&gt;0.5),(AM297*2*база!$M$6*Таблица14[[#This Row],[коэф]]),
IF(OR(AND(G297="4/24",AM297&gt;0.5),AND(G297="3/24",AM297&gt;0.5)),(AM297*2*база!$M$5*Таблица14[[#This Row],[коэф]]),
IF(AND(G297="5/16",AM297&gt;0.5),(AM297*2*база!$L$6*Таблица14[[#This Row],[коэф]]),
IF(OR(AND(G297="4/16",AM297&gt;0.5),AND(G297="3/16",AM297&gt;0.5)),(AM297*2*база!$L$5*Таблица14[[#This Row],[коэф]]),
IF(OR(AND(G297="4/4",AM297&gt;0.5),AND(G297="3/4",AM297&gt;2)),(AM297*2*база!$I$5*Таблица14[[#This Row],[коэф]]),
IF(AND(G297="5/8",AM297&gt;0.5),(AM297*2*база!$J$6*Таблица14[[#This Row],[коэф]]),
IF(AND(G297="4/8",AM297&gt;0.5),(AM297*2*база!$J$5*Таблица14[[#This Row],[коэф]]),
IF(OR(AND(G297="3/8",AM297&gt;0.5),AND(G297="2/8",AM297&gt;0.5)),(AM297*2*база!$J$4*Таблица14[[#This Row],[коэф]]),
(AM297*2*база!$L$5*Таблица14[[#This Row],[коэф]])))))))))))</f>
        <v>0</v>
      </c>
      <c r="AO297" s="122" t="str">
        <f>IFERROR(INDEX(база!$D$2:$D$120, MATCH(Таблица14[[#This Row],[Ф. И. О.]],база!$B$2:$B$100,0)),"")</f>
        <v/>
      </c>
    </row>
    <row r="298" spans="1:41">
      <c r="A298" s="207" t="str">
        <f t="shared" ref="A298:A304" si="9">A297</f>
        <v>январь</v>
      </c>
      <c r="B298" s="240">
        <v>2024</v>
      </c>
      <c r="C298" s="572"/>
      <c r="D298" s="214"/>
      <c r="E298" s="241"/>
      <c r="F298" s="713"/>
      <c r="G298" s="242"/>
      <c r="H298" s="215"/>
      <c r="I298" s="215"/>
      <c r="J298" s="215"/>
      <c r="K298" s="215"/>
      <c r="L298" s="215"/>
      <c r="M298" s="215"/>
      <c r="N298" s="215"/>
      <c r="O298" s="215"/>
      <c r="P298" s="215"/>
      <c r="Q298" s="215"/>
      <c r="R298" s="215"/>
      <c r="S298" s="215"/>
      <c r="T298" s="215"/>
      <c r="U298" s="215"/>
      <c r="V298" s="215"/>
      <c r="W298" s="215"/>
      <c r="X298" s="215"/>
      <c r="Y298" s="215"/>
      <c r="Z298" s="215"/>
      <c r="AA298" s="215"/>
      <c r="AB298" s="215"/>
      <c r="AC298" s="215"/>
      <c r="AD298" s="215"/>
      <c r="AE298" s="215"/>
      <c r="AF298" s="215"/>
      <c r="AG298" s="215"/>
      <c r="AH298" s="215"/>
      <c r="AI298" s="215"/>
      <c r="AJ298" s="215"/>
      <c r="AK298" s="215"/>
      <c r="AL298" s="215"/>
      <c r="AM298" s="121">
        <f t="shared" si="8"/>
        <v>0</v>
      </c>
      <c r="AN298" s="564">
        <f>IF(AO298&lt;=3,(IF(AND(G298="5/24",AM298&gt;0.5),(AM298*2*база!$M$6*Таблица14[[#This Row],[коэф]]),
IF(AND(G298="4/24",AM298&gt;0.5),(AM298*2*база!$M$5*Таблица14[[#This Row],[коэф]]),
IF(AND(G298="3/24",AM298&gt;0.5),(AM298*2*база!$M$4*Таблица14[[#This Row],[коэф]]),
IF(AND(G298="5/16",AM298&gt;0.5),(AM298*2*база!$L$6*Таблица14[[#This Row],[коэф]]),
IF(AND(G298="4/16",AM298&gt;0.5),(AM298*2*база!$L$5*Таблица14[[#This Row],[коэф]]),
IF(AND(G298="3/16",AM298&gt;0.5),(AM298*2*база!$L$4*Таблица14[[#This Row],[коэф]]),
IF(AND(G298="4/4",AM298&gt;0.5),(AM298*2*база!$I$5*Таблица14[[#This Row],[коэф]]),
IF(OR(AND(G298="3/4",AM298&gt;0.5),AND(G298="2/4",AM298&gt;0.5)),(AM298*2*база!$I$4*Таблица14[[#This Row],[коэф]]),
IF(AND(G298="5/8",AM298&gt;0.5),(AM298*2*база!$J$6*Таблица14[[#This Row],[коэф]]),
IF(AND(G298="4/8",AM298&gt;0.5),(AM298*2*база!$J$5*Таблица14[[#This Row],[коэф]]),
IF(OR(AND(G298="3/8",AM298&gt;0.5),AND(G298="2/8",AM298&gt;0.5)),(AM298*2*база!$J$4*Таблица14[[#This Row],[коэф]]),
(AM298*0.5*база!$L$4*Таблица14[[#This Row],[коэф]]))))))))))))),
(IF(AND(G298="5/24",AM298&gt;0.5),(AM298*2*база!$M$6*Таблица14[[#This Row],[коэф]]),
IF(OR(AND(G298="4/24",AM298&gt;0.5),AND(G298="3/24",AM298&gt;0.5)),(AM298*2*база!$M$5*Таблица14[[#This Row],[коэф]]),
IF(AND(G298="5/16",AM298&gt;0.5),(AM298*2*база!$L$6*Таблица14[[#This Row],[коэф]]),
IF(OR(AND(G298="4/16",AM298&gt;0.5),AND(G298="3/16",AM298&gt;0.5)),(AM298*2*база!$L$5*Таблица14[[#This Row],[коэф]]),
IF(OR(AND(G298="4/4",AM298&gt;0.5),AND(G298="3/4",AM298&gt;2)),(AM298*2*база!$I$5*Таблица14[[#This Row],[коэф]]),
IF(AND(G298="5/8",AM298&gt;0.5),(AM298*2*база!$J$6*Таблица14[[#This Row],[коэф]]),
IF(AND(G298="4/8",AM298&gt;0.5),(AM298*2*база!$J$5*Таблица14[[#This Row],[коэф]]),
IF(OR(AND(G298="3/8",AM298&gt;0.5),AND(G298="2/8",AM298&gt;0.5)),(AM298*2*база!$J$4*Таблица14[[#This Row],[коэф]]),
(AM298*2*база!$L$5*Таблица14[[#This Row],[коэф]])))))))))))</f>
        <v>0</v>
      </c>
      <c r="AO298" s="122" t="str">
        <f>IFERROR(INDEX(база!$D$2:$D$120, MATCH(Таблица14[[#This Row],[Ф. И. О.]],база!$B$2:$B$100,0)),"")</f>
        <v/>
      </c>
    </row>
    <row r="299" spans="1:41">
      <c r="A299" s="207" t="str">
        <f t="shared" si="9"/>
        <v>январь</v>
      </c>
      <c r="B299" s="204">
        <v>2024</v>
      </c>
      <c r="C299" s="572"/>
      <c r="D299" s="214"/>
      <c r="E299" s="243"/>
      <c r="F299" s="713"/>
      <c r="G299" s="206"/>
      <c r="H299" s="215"/>
      <c r="I299" s="215"/>
      <c r="J299" s="215"/>
      <c r="K299" s="215"/>
      <c r="L299" s="215"/>
      <c r="M299" s="215"/>
      <c r="N299" s="215"/>
      <c r="O299" s="215"/>
      <c r="P299" s="215"/>
      <c r="Q299" s="215"/>
      <c r="R299" s="215"/>
      <c r="S299" s="215"/>
      <c r="T299" s="215"/>
      <c r="U299" s="215"/>
      <c r="V299" s="215"/>
      <c r="W299" s="215"/>
      <c r="X299" s="215"/>
      <c r="Y299" s="215"/>
      <c r="Z299" s="215"/>
      <c r="AA299" s="215"/>
      <c r="AB299" s="215"/>
      <c r="AC299" s="215"/>
      <c r="AD299" s="215"/>
      <c r="AE299" s="215"/>
      <c r="AF299" s="215"/>
      <c r="AG299" s="215"/>
      <c r="AH299" s="215"/>
      <c r="AI299" s="215"/>
      <c r="AJ299" s="215"/>
      <c r="AK299" s="215"/>
      <c r="AL299" s="215"/>
      <c r="AM299" s="121">
        <f t="shared" si="8"/>
        <v>0</v>
      </c>
      <c r="AN299" s="564">
        <f>IF(AO299&lt;=3,(IF(AND(G299="5/24",AM299&gt;0.5),(AM299*2*база!$M$6*Таблица14[[#This Row],[коэф]]),
IF(AND(G299="4/24",AM299&gt;0.5),(AM299*2*база!$M$5*Таблица14[[#This Row],[коэф]]),
IF(AND(G299="3/24",AM299&gt;0.5),(AM299*2*база!$M$4*Таблица14[[#This Row],[коэф]]),
IF(AND(G299="5/16",AM299&gt;0.5),(AM299*2*база!$L$6*Таблица14[[#This Row],[коэф]]),
IF(AND(G299="4/16",AM299&gt;0.5),(AM299*2*база!$L$5*Таблица14[[#This Row],[коэф]]),
IF(AND(G299="3/16",AM299&gt;0.5),(AM299*2*база!$L$4*Таблица14[[#This Row],[коэф]]),
IF(AND(G299="4/4",AM299&gt;0.5),(AM299*2*база!$I$5*Таблица14[[#This Row],[коэф]]),
IF(OR(AND(G299="3/4",AM299&gt;0.5),AND(G299="2/4",AM299&gt;0.5)),(AM299*2*база!$I$4*Таблица14[[#This Row],[коэф]]),
IF(AND(G299="5/8",AM299&gt;0.5),(AM299*2*база!$J$6*Таблица14[[#This Row],[коэф]]),
IF(AND(G299="4/8",AM299&gt;0.5),(AM299*2*база!$J$5*Таблица14[[#This Row],[коэф]]),
IF(OR(AND(G299="3/8",AM299&gt;0.5),AND(G299="2/8",AM299&gt;0.5)),(AM299*2*база!$J$4*Таблица14[[#This Row],[коэф]]),
(AM299*0.5*база!$L$4*Таблица14[[#This Row],[коэф]]))))))))))))),
(IF(AND(G299="5/24",AM299&gt;0.5),(AM299*2*база!$M$6*Таблица14[[#This Row],[коэф]]),
IF(OR(AND(G299="4/24",AM299&gt;0.5),AND(G299="3/24",AM299&gt;0.5)),(AM299*2*база!$M$5*Таблица14[[#This Row],[коэф]]),
IF(AND(G299="5/16",AM299&gt;0.5),(AM299*2*база!$L$6*Таблица14[[#This Row],[коэф]]),
IF(OR(AND(G299="4/16",AM299&gt;0.5),AND(G299="3/16",AM299&gt;0.5)),(AM299*2*база!$L$5*Таблица14[[#This Row],[коэф]]),
IF(OR(AND(G299="4/4",AM299&gt;0.5),AND(G299="3/4",AM299&gt;2)),(AM299*2*база!$I$5*Таблица14[[#This Row],[коэф]]),
IF(AND(G299="5/8",AM299&gt;0.5),(AM299*2*база!$J$6*Таблица14[[#This Row],[коэф]]),
IF(AND(G299="4/8",AM299&gt;0.5),(AM299*2*база!$J$5*Таблица14[[#This Row],[коэф]]),
IF(OR(AND(G299="3/8",AM299&gt;0.5),AND(G299="2/8",AM299&gt;0.5)),(AM299*2*база!$J$4*Таблица14[[#This Row],[коэф]]),
(AM299*2*база!$L$5*Таблица14[[#This Row],[коэф]])))))))))))</f>
        <v>0</v>
      </c>
      <c r="AO299" s="122" t="str">
        <f>IFERROR(INDEX(база!$D$2:$D$120, MATCH(Таблица14[[#This Row],[Ф. И. О.]],база!$B$2:$B$100,0)),"")</f>
        <v/>
      </c>
    </row>
    <row r="300" spans="1:41">
      <c r="A300" s="207" t="str">
        <f t="shared" si="9"/>
        <v>январь</v>
      </c>
      <c r="B300" s="240">
        <v>2024</v>
      </c>
      <c r="C300" s="572"/>
      <c r="D300" s="214"/>
      <c r="E300" s="241"/>
      <c r="F300" s="713"/>
      <c r="G300" s="242"/>
      <c r="H300" s="215"/>
      <c r="I300" s="215"/>
      <c r="J300" s="215"/>
      <c r="K300" s="215"/>
      <c r="L300" s="215"/>
      <c r="M300" s="215"/>
      <c r="N300" s="215"/>
      <c r="O300" s="215"/>
      <c r="P300" s="215"/>
      <c r="Q300" s="215"/>
      <c r="R300" s="215"/>
      <c r="S300" s="215"/>
      <c r="T300" s="215"/>
      <c r="U300" s="215"/>
      <c r="V300" s="215"/>
      <c r="W300" s="215"/>
      <c r="X300" s="215"/>
      <c r="Y300" s="215"/>
      <c r="Z300" s="215"/>
      <c r="AA300" s="215"/>
      <c r="AB300" s="215"/>
      <c r="AC300" s="215"/>
      <c r="AD300" s="215"/>
      <c r="AE300" s="215"/>
      <c r="AF300" s="215"/>
      <c r="AG300" s="215"/>
      <c r="AH300" s="215"/>
      <c r="AI300" s="215"/>
      <c r="AJ300" s="215"/>
      <c r="AK300" s="215"/>
      <c r="AL300" s="215"/>
      <c r="AM300" s="121">
        <f t="shared" si="8"/>
        <v>0</v>
      </c>
      <c r="AN300" s="564">
        <f>IF(AO300&lt;=3,(IF(AND(G300="5/24",AM300&gt;0.5),(AM300*2*база!$M$6*Таблица14[[#This Row],[коэф]]),
IF(AND(G300="4/24",AM300&gt;0.5),(AM300*2*база!$M$5*Таблица14[[#This Row],[коэф]]),
IF(AND(G300="3/24",AM300&gt;0.5),(AM300*2*база!$M$4*Таблица14[[#This Row],[коэф]]),
IF(AND(G300="5/16",AM300&gt;0.5),(AM300*2*база!$L$6*Таблица14[[#This Row],[коэф]]),
IF(AND(G300="4/16",AM300&gt;0.5),(AM300*2*база!$L$5*Таблица14[[#This Row],[коэф]]),
IF(AND(G300="3/16",AM300&gt;0.5),(AM300*2*база!$L$4*Таблица14[[#This Row],[коэф]]),
IF(AND(G300="4/4",AM300&gt;0.5),(AM300*2*база!$I$5*Таблица14[[#This Row],[коэф]]),
IF(OR(AND(G300="3/4",AM300&gt;0.5),AND(G300="2/4",AM300&gt;0.5)),(AM300*2*база!$I$4*Таблица14[[#This Row],[коэф]]),
IF(AND(G300="5/8",AM300&gt;0.5),(AM300*2*база!$J$6*Таблица14[[#This Row],[коэф]]),
IF(AND(G300="4/8",AM300&gt;0.5),(AM300*2*база!$J$5*Таблица14[[#This Row],[коэф]]),
IF(OR(AND(G300="3/8",AM300&gt;0.5),AND(G300="2/8",AM300&gt;0.5)),(AM300*2*база!$J$4*Таблица14[[#This Row],[коэф]]),
(AM300*0.5*база!$L$4*Таблица14[[#This Row],[коэф]]))))))))))))),
(IF(AND(G300="5/24",AM300&gt;0.5),(AM300*2*база!$M$6*Таблица14[[#This Row],[коэф]]),
IF(OR(AND(G300="4/24",AM300&gt;0.5),AND(G300="3/24",AM300&gt;0.5)),(AM300*2*база!$M$5*Таблица14[[#This Row],[коэф]]),
IF(AND(G300="5/16",AM300&gt;0.5),(AM300*2*база!$L$6*Таблица14[[#This Row],[коэф]]),
IF(OR(AND(G300="4/16",AM300&gt;0.5),AND(G300="3/16",AM300&gt;0.5)),(AM300*2*база!$L$5*Таблица14[[#This Row],[коэф]]),
IF(OR(AND(G300="4/4",AM300&gt;0.5),AND(G300="3/4",AM300&gt;2)),(AM300*2*база!$I$5*Таблица14[[#This Row],[коэф]]),
IF(AND(G300="5/8",AM300&gt;0.5),(AM300*2*база!$J$6*Таблица14[[#This Row],[коэф]]),
IF(AND(G300="4/8",AM300&gt;0.5),(AM300*2*база!$J$5*Таблица14[[#This Row],[коэф]]),
IF(OR(AND(G300="3/8",AM300&gt;0.5),AND(G300="2/8",AM300&gt;0.5)),(AM300*2*база!$J$4*Таблица14[[#This Row],[коэф]]),
(AM300*2*база!$L$5*Таблица14[[#This Row],[коэф]])))))))))))</f>
        <v>0</v>
      </c>
      <c r="AO300" s="122" t="str">
        <f>IFERROR(INDEX(база!$D$2:$D$120, MATCH(Таблица14[[#This Row],[Ф. И. О.]],база!$B$2:$B$100,0)),"")</f>
        <v/>
      </c>
    </row>
    <row r="301" spans="1:41">
      <c r="A301" s="207" t="str">
        <f t="shared" si="9"/>
        <v>январь</v>
      </c>
      <c r="B301" s="204">
        <v>2024</v>
      </c>
      <c r="C301" s="572"/>
      <c r="D301" s="214"/>
      <c r="E301" s="243"/>
      <c r="F301" s="713"/>
      <c r="G301" s="206"/>
      <c r="H301" s="215"/>
      <c r="I301" s="215"/>
      <c r="J301" s="215"/>
      <c r="K301" s="215"/>
      <c r="L301" s="215"/>
      <c r="M301" s="215"/>
      <c r="N301" s="215"/>
      <c r="O301" s="215"/>
      <c r="P301" s="215"/>
      <c r="Q301" s="215"/>
      <c r="R301" s="215"/>
      <c r="S301" s="215"/>
      <c r="T301" s="215"/>
      <c r="U301" s="215"/>
      <c r="V301" s="215"/>
      <c r="W301" s="215"/>
      <c r="X301" s="215"/>
      <c r="Y301" s="215"/>
      <c r="Z301" s="215"/>
      <c r="AA301" s="215"/>
      <c r="AB301" s="215"/>
      <c r="AC301" s="215"/>
      <c r="AD301" s="215"/>
      <c r="AE301" s="215"/>
      <c r="AF301" s="215"/>
      <c r="AG301" s="215"/>
      <c r="AH301" s="215"/>
      <c r="AI301" s="215"/>
      <c r="AJ301" s="215"/>
      <c r="AK301" s="215"/>
      <c r="AL301" s="215"/>
      <c r="AM301" s="121">
        <f t="shared" si="8"/>
        <v>0</v>
      </c>
      <c r="AN301" s="564">
        <f>IF(AO301&lt;=3,(IF(AND(G301="5/24",AM301&gt;0.5),(AM301*2*база!$M$6*Таблица14[[#This Row],[коэф]]),
IF(AND(G301="4/24",AM301&gt;0.5),(AM301*2*база!$M$5*Таблица14[[#This Row],[коэф]]),
IF(AND(G301="3/24",AM301&gt;0.5),(AM301*2*база!$M$4*Таблица14[[#This Row],[коэф]]),
IF(AND(G301="5/16",AM301&gt;0.5),(AM301*2*база!$L$6*Таблица14[[#This Row],[коэф]]),
IF(AND(G301="4/16",AM301&gt;0.5),(AM301*2*база!$L$5*Таблица14[[#This Row],[коэф]]),
IF(AND(G301="3/16",AM301&gt;0.5),(AM301*2*база!$L$4*Таблица14[[#This Row],[коэф]]),
IF(AND(G301="4/4",AM301&gt;0.5),(AM301*2*база!$I$5*Таблица14[[#This Row],[коэф]]),
IF(OR(AND(G301="3/4",AM301&gt;0.5),AND(G301="2/4",AM301&gt;0.5)),(AM301*2*база!$I$4*Таблица14[[#This Row],[коэф]]),
IF(AND(G301="5/8",AM301&gt;0.5),(AM301*2*база!$J$6*Таблица14[[#This Row],[коэф]]),
IF(AND(G301="4/8",AM301&gt;0.5),(AM301*2*база!$J$5*Таблица14[[#This Row],[коэф]]),
IF(OR(AND(G301="3/8",AM301&gt;0.5),AND(G301="2/8",AM301&gt;0.5)),(AM301*2*база!$J$4*Таблица14[[#This Row],[коэф]]),
(AM301*0.5*база!$L$4*Таблица14[[#This Row],[коэф]]))))))))))))),
(IF(AND(G301="5/24",AM301&gt;0.5),(AM301*2*база!$M$6*Таблица14[[#This Row],[коэф]]),
IF(OR(AND(G301="4/24",AM301&gt;0.5),AND(G301="3/24",AM301&gt;0.5)),(AM301*2*база!$M$5*Таблица14[[#This Row],[коэф]]),
IF(AND(G301="5/16",AM301&gt;0.5),(AM301*2*база!$L$6*Таблица14[[#This Row],[коэф]]),
IF(OR(AND(G301="4/16",AM301&gt;0.5),AND(G301="3/16",AM301&gt;0.5)),(AM301*2*база!$L$5*Таблица14[[#This Row],[коэф]]),
IF(OR(AND(G301="4/4",AM301&gt;0.5),AND(G301="3/4",AM301&gt;2)),(AM301*2*база!$I$5*Таблица14[[#This Row],[коэф]]),
IF(AND(G301="5/8",AM301&gt;0.5),(AM301*2*база!$J$6*Таблица14[[#This Row],[коэф]]),
IF(AND(G301="4/8",AM301&gt;0.5),(AM301*2*база!$J$5*Таблица14[[#This Row],[коэф]]),
IF(OR(AND(G301="3/8",AM301&gt;0.5),AND(G301="2/8",AM301&gt;0.5)),(AM301*2*база!$J$4*Таблица14[[#This Row],[коэф]]),
(AM301*2*база!$L$5*Таблица14[[#This Row],[коэф]])))))))))))</f>
        <v>0</v>
      </c>
      <c r="AO301" s="122" t="str">
        <f>IFERROR(INDEX(база!$D$2:$D$120, MATCH(Таблица14[[#This Row],[Ф. И. О.]],база!$B$2:$B$100,0)),"")</f>
        <v/>
      </c>
    </row>
    <row r="302" spans="1:41">
      <c r="A302" s="207" t="str">
        <f t="shared" si="9"/>
        <v>январь</v>
      </c>
      <c r="B302" s="240">
        <v>2024</v>
      </c>
      <c r="C302" s="572"/>
      <c r="D302" s="214"/>
      <c r="E302" s="241"/>
      <c r="F302" s="713"/>
      <c r="G302" s="242"/>
      <c r="H302" s="215"/>
      <c r="I302" s="215"/>
      <c r="J302" s="215"/>
      <c r="K302" s="215"/>
      <c r="L302" s="215"/>
      <c r="M302" s="215"/>
      <c r="N302" s="215"/>
      <c r="O302" s="215"/>
      <c r="P302" s="215"/>
      <c r="Q302" s="215"/>
      <c r="R302" s="215"/>
      <c r="S302" s="215"/>
      <c r="T302" s="215"/>
      <c r="U302" s="215"/>
      <c r="V302" s="215"/>
      <c r="W302" s="215"/>
      <c r="X302" s="215"/>
      <c r="Y302" s="215"/>
      <c r="Z302" s="215"/>
      <c r="AA302" s="215"/>
      <c r="AB302" s="215"/>
      <c r="AC302" s="215"/>
      <c r="AD302" s="215"/>
      <c r="AE302" s="215"/>
      <c r="AF302" s="215"/>
      <c r="AG302" s="215"/>
      <c r="AH302" s="215"/>
      <c r="AI302" s="215"/>
      <c r="AJ302" s="215"/>
      <c r="AK302" s="215"/>
      <c r="AL302" s="215"/>
      <c r="AM302" s="121">
        <f t="shared" si="8"/>
        <v>0</v>
      </c>
      <c r="AN302" s="564">
        <f>IF(AO302&lt;=3,(IF(AND(G302="5/24",AM302&gt;0.5),(AM302*2*база!$M$6*Таблица14[[#This Row],[коэф]]),
IF(AND(G302="4/24",AM302&gt;0.5),(AM302*2*база!$M$5*Таблица14[[#This Row],[коэф]]),
IF(AND(G302="3/24",AM302&gt;0.5),(AM302*2*база!$M$4*Таблица14[[#This Row],[коэф]]),
IF(AND(G302="5/16",AM302&gt;0.5),(AM302*2*база!$L$6*Таблица14[[#This Row],[коэф]]),
IF(AND(G302="4/16",AM302&gt;0.5),(AM302*2*база!$L$5*Таблица14[[#This Row],[коэф]]),
IF(AND(G302="3/16",AM302&gt;0.5),(AM302*2*база!$L$4*Таблица14[[#This Row],[коэф]]),
IF(AND(G302="4/4",AM302&gt;0.5),(AM302*2*база!$I$5*Таблица14[[#This Row],[коэф]]),
IF(OR(AND(G302="3/4",AM302&gt;0.5),AND(G302="2/4",AM302&gt;0.5)),(AM302*2*база!$I$4*Таблица14[[#This Row],[коэф]]),
IF(AND(G302="5/8",AM302&gt;0.5),(AM302*2*база!$J$6*Таблица14[[#This Row],[коэф]]),
IF(AND(G302="4/8",AM302&gt;0.5),(AM302*2*база!$J$5*Таблица14[[#This Row],[коэф]]),
IF(OR(AND(G302="3/8",AM302&gt;0.5),AND(G302="2/8",AM302&gt;0.5)),(AM302*2*база!$J$4*Таблица14[[#This Row],[коэф]]),
(AM302*0.5*база!$L$4*Таблица14[[#This Row],[коэф]]))))))))))))),
(IF(AND(G302="5/24",AM302&gt;0.5),(AM302*2*база!$M$6*Таблица14[[#This Row],[коэф]]),
IF(OR(AND(G302="4/24",AM302&gt;0.5),AND(G302="3/24",AM302&gt;0.5)),(AM302*2*база!$M$5*Таблица14[[#This Row],[коэф]]),
IF(AND(G302="5/16",AM302&gt;0.5),(AM302*2*база!$L$6*Таблица14[[#This Row],[коэф]]),
IF(OR(AND(G302="4/16",AM302&gt;0.5),AND(G302="3/16",AM302&gt;0.5)),(AM302*2*база!$L$5*Таблица14[[#This Row],[коэф]]),
IF(OR(AND(G302="4/4",AM302&gt;0.5),AND(G302="3/4",AM302&gt;2)),(AM302*2*база!$I$5*Таблица14[[#This Row],[коэф]]),
IF(AND(G302="5/8",AM302&gt;0.5),(AM302*2*база!$J$6*Таблица14[[#This Row],[коэф]]),
IF(AND(G302="4/8",AM302&gt;0.5),(AM302*2*база!$J$5*Таблица14[[#This Row],[коэф]]),
IF(OR(AND(G302="3/8",AM302&gt;0.5),AND(G302="2/8",AM302&gt;0.5)),(AM302*2*база!$J$4*Таблица14[[#This Row],[коэф]]),
(AM302*2*база!$L$5*Таблица14[[#This Row],[коэф]])))))))))))</f>
        <v>0</v>
      </c>
      <c r="AO302" s="122" t="str">
        <f>IFERROR(INDEX(база!$D$2:$D$120, MATCH(Таблица14[[#This Row],[Ф. И. О.]],база!$B$2:$B$100,0)),"")</f>
        <v/>
      </c>
    </row>
    <row r="303" spans="1:41">
      <c r="A303" s="207" t="str">
        <f t="shared" si="9"/>
        <v>январь</v>
      </c>
      <c r="B303" s="204">
        <v>2024</v>
      </c>
      <c r="C303" s="572"/>
      <c r="D303" s="214"/>
      <c r="E303" s="243"/>
      <c r="F303" s="713"/>
      <c r="G303" s="206"/>
      <c r="H303" s="215"/>
      <c r="I303" s="215"/>
      <c r="J303" s="215"/>
      <c r="K303" s="215"/>
      <c r="L303" s="215"/>
      <c r="M303" s="215"/>
      <c r="N303" s="215"/>
      <c r="O303" s="215"/>
      <c r="P303" s="215"/>
      <c r="Q303" s="215"/>
      <c r="R303" s="215"/>
      <c r="S303" s="215"/>
      <c r="T303" s="215"/>
      <c r="U303" s="215"/>
      <c r="V303" s="215"/>
      <c r="W303" s="215"/>
      <c r="X303" s="215"/>
      <c r="Y303" s="215"/>
      <c r="Z303" s="215"/>
      <c r="AA303" s="215"/>
      <c r="AB303" s="215"/>
      <c r="AC303" s="215"/>
      <c r="AD303" s="215"/>
      <c r="AE303" s="215"/>
      <c r="AF303" s="215"/>
      <c r="AG303" s="215"/>
      <c r="AH303" s="215"/>
      <c r="AI303" s="215"/>
      <c r="AJ303" s="215"/>
      <c r="AK303" s="215"/>
      <c r="AL303" s="215"/>
      <c r="AM303" s="121">
        <f t="shared" si="8"/>
        <v>0</v>
      </c>
      <c r="AN303" s="564">
        <f>IF(AO303&lt;=3,(IF(AND(G303="5/24",AM303&gt;0.5),(AM303*2*база!$M$6*Таблица14[[#This Row],[коэф]]),
IF(AND(G303="4/24",AM303&gt;0.5),(AM303*2*база!$M$5*Таблица14[[#This Row],[коэф]]),
IF(AND(G303="3/24",AM303&gt;0.5),(AM303*2*база!$M$4*Таблица14[[#This Row],[коэф]]),
IF(AND(G303="5/16",AM303&gt;0.5),(AM303*2*база!$L$6*Таблица14[[#This Row],[коэф]]),
IF(AND(G303="4/16",AM303&gt;0.5),(AM303*2*база!$L$5*Таблица14[[#This Row],[коэф]]),
IF(AND(G303="3/16",AM303&gt;0.5),(AM303*2*база!$L$4*Таблица14[[#This Row],[коэф]]),
IF(AND(G303="4/4",AM303&gt;0.5),(AM303*2*база!$I$5*Таблица14[[#This Row],[коэф]]),
IF(OR(AND(G303="3/4",AM303&gt;0.5),AND(G303="2/4",AM303&gt;0.5)),(AM303*2*база!$I$4*Таблица14[[#This Row],[коэф]]),
IF(AND(G303="5/8",AM303&gt;0.5),(AM303*2*база!$J$6*Таблица14[[#This Row],[коэф]]),
IF(AND(G303="4/8",AM303&gt;0.5),(AM303*2*база!$J$5*Таблица14[[#This Row],[коэф]]),
IF(OR(AND(G303="3/8",AM303&gt;0.5),AND(G303="2/8",AM303&gt;0.5)),(AM303*2*база!$J$4*Таблица14[[#This Row],[коэф]]),
(AM303*0.5*база!$L$4*Таблица14[[#This Row],[коэф]]))))))))))))),
(IF(AND(G303="5/24",AM303&gt;0.5),(AM303*2*база!$M$6*Таблица14[[#This Row],[коэф]]),
IF(OR(AND(G303="4/24",AM303&gt;0.5),AND(G303="3/24",AM303&gt;0.5)),(AM303*2*база!$M$5*Таблица14[[#This Row],[коэф]]),
IF(AND(G303="5/16",AM303&gt;0.5),(AM303*2*база!$L$6*Таблица14[[#This Row],[коэф]]),
IF(OR(AND(G303="4/16",AM303&gt;0.5),AND(G303="3/16",AM303&gt;0.5)),(AM303*2*база!$L$5*Таблица14[[#This Row],[коэф]]),
IF(OR(AND(G303="4/4",AM303&gt;0.5),AND(G303="3/4",AM303&gt;2)),(AM303*2*база!$I$5*Таблица14[[#This Row],[коэф]]),
IF(AND(G303="5/8",AM303&gt;0.5),(AM303*2*база!$J$6*Таблица14[[#This Row],[коэф]]),
IF(AND(G303="4/8",AM303&gt;0.5),(AM303*2*база!$J$5*Таблица14[[#This Row],[коэф]]),
IF(OR(AND(G303="3/8",AM303&gt;0.5),AND(G303="2/8",AM303&gt;0.5)),(AM303*2*база!$J$4*Таблица14[[#This Row],[коэф]]),
(AM303*2*база!$L$5*Таблица14[[#This Row],[коэф]])))))))))))</f>
        <v>0</v>
      </c>
      <c r="AO303" s="122" t="str">
        <f>IFERROR(INDEX(база!$D$2:$D$120, MATCH(Таблица14[[#This Row],[Ф. И. О.]],база!$B$2:$B$100,0)),"")</f>
        <v/>
      </c>
    </row>
    <row r="304" spans="1:41">
      <c r="A304" s="207" t="str">
        <f t="shared" si="9"/>
        <v>январь</v>
      </c>
      <c r="B304" s="240">
        <v>2024</v>
      </c>
      <c r="C304" s="572"/>
      <c r="D304" s="214"/>
      <c r="E304" s="241"/>
      <c r="F304" s="713"/>
      <c r="G304" s="242"/>
      <c r="H304" s="215"/>
      <c r="I304" s="215"/>
      <c r="J304" s="215"/>
      <c r="K304" s="215"/>
      <c r="L304" s="215"/>
      <c r="M304" s="215"/>
      <c r="N304" s="215"/>
      <c r="O304" s="215"/>
      <c r="P304" s="215"/>
      <c r="Q304" s="215"/>
      <c r="R304" s="215"/>
      <c r="S304" s="215"/>
      <c r="T304" s="215"/>
      <c r="U304" s="215"/>
      <c r="V304" s="215"/>
      <c r="W304" s="215"/>
      <c r="X304" s="215"/>
      <c r="Y304" s="215"/>
      <c r="Z304" s="215"/>
      <c r="AA304" s="215"/>
      <c r="AB304" s="215"/>
      <c r="AC304" s="215"/>
      <c r="AD304" s="215"/>
      <c r="AE304" s="215"/>
      <c r="AF304" s="215"/>
      <c r="AG304" s="215"/>
      <c r="AH304" s="215"/>
      <c r="AI304" s="215"/>
      <c r="AJ304" s="215"/>
      <c r="AK304" s="215"/>
      <c r="AL304" s="215"/>
      <c r="AM304" s="121">
        <f t="shared" si="8"/>
        <v>0</v>
      </c>
      <c r="AN304" s="564">
        <f>IF(AO304&lt;=3,(IF(AND(G304="5/24",AM304&gt;0.5),(AM304*2*база!$M$6*Таблица14[[#This Row],[коэф]]),
IF(AND(G304="4/24",AM304&gt;0.5),(AM304*2*база!$M$5*Таблица14[[#This Row],[коэф]]),
IF(AND(G304="3/24",AM304&gt;0.5),(AM304*2*база!$M$4*Таблица14[[#This Row],[коэф]]),
IF(AND(G304="5/16",AM304&gt;0.5),(AM304*2*база!$L$6*Таблица14[[#This Row],[коэф]]),
IF(AND(G304="4/16",AM304&gt;0.5),(AM304*2*база!$L$5*Таблица14[[#This Row],[коэф]]),
IF(AND(G304="3/16",AM304&gt;0.5),(AM304*2*база!$L$4*Таблица14[[#This Row],[коэф]]),
IF(AND(G304="4/4",AM304&gt;0.5),(AM304*2*база!$I$5*Таблица14[[#This Row],[коэф]]),
IF(OR(AND(G304="3/4",AM304&gt;0.5),AND(G304="2/4",AM304&gt;0.5)),(AM304*2*база!$I$4*Таблица14[[#This Row],[коэф]]),
IF(AND(G304="5/8",AM304&gt;0.5),(AM304*2*база!$J$6*Таблица14[[#This Row],[коэф]]),
IF(AND(G304="4/8",AM304&gt;0.5),(AM304*2*база!$J$5*Таблица14[[#This Row],[коэф]]),
IF(OR(AND(G304="3/8",AM304&gt;0.5),AND(G304="2/8",AM304&gt;0.5)),(AM304*2*база!$J$4*Таблица14[[#This Row],[коэф]]),
(AM304*0.5*база!$L$4*Таблица14[[#This Row],[коэф]]))))))))))))),
(IF(AND(G304="5/24",AM304&gt;0.5),(AM304*2*база!$M$6*Таблица14[[#This Row],[коэф]]),
IF(OR(AND(G304="4/24",AM304&gt;0.5),AND(G304="3/24",AM304&gt;0.5)),(AM304*2*база!$M$5*Таблица14[[#This Row],[коэф]]),
IF(AND(G304="5/16",AM304&gt;0.5),(AM304*2*база!$L$6*Таблица14[[#This Row],[коэф]]),
IF(OR(AND(G304="4/16",AM304&gt;0.5),AND(G304="3/16",AM304&gt;0.5)),(AM304*2*база!$L$5*Таблица14[[#This Row],[коэф]]),
IF(OR(AND(G304="4/4",AM304&gt;0.5),AND(G304="3/4",AM304&gt;2)),(AM304*2*база!$I$5*Таблица14[[#This Row],[коэф]]),
IF(AND(G304="5/8",AM304&gt;0.5),(AM304*2*база!$J$6*Таблица14[[#This Row],[коэф]]),
IF(AND(G304="4/8",AM304&gt;0.5),(AM304*2*база!$J$5*Таблица14[[#This Row],[коэф]]),
IF(OR(AND(G304="3/8",AM304&gt;0.5),AND(G304="2/8",AM304&gt;0.5)),(AM304*2*база!$J$4*Таблица14[[#This Row],[коэф]]),
(AM304*2*база!$L$5*Таблица14[[#This Row],[коэф]])))))))))))</f>
        <v>0</v>
      </c>
      <c r="AO304" s="122" t="str">
        <f>IFERROR(INDEX(база!$D$2:$D$120, MATCH(Таблица14[[#This Row],[Ф. И. О.]],база!$B$2:$B$100,0)),"")</f>
        <v/>
      </c>
    </row>
    <row r="305" spans="1:41">
      <c r="A305" s="207" t="str">
        <f t="shared" ref="A305:A361" si="10">A304</f>
        <v>январь</v>
      </c>
      <c r="B305" s="204">
        <v>2024</v>
      </c>
      <c r="C305" s="571"/>
      <c r="D305" s="214"/>
      <c r="E305" s="243"/>
      <c r="F305" s="673"/>
      <c r="G305" s="206"/>
      <c r="H305" s="49"/>
      <c r="I305" s="49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49"/>
      <c r="AM305" s="121">
        <f t="shared" si="8"/>
        <v>0</v>
      </c>
      <c r="AN305" s="564">
        <f>IF(AO305&lt;=3,(IF(AND(G305="5/24",AM305&gt;0.5),(AM305*2*база!$M$6*Таблица14[[#This Row],[коэф]]),
IF(AND(G305="4/24",AM305&gt;0.5),(AM305*2*база!$M$5*Таблица14[[#This Row],[коэф]]),
IF(AND(G305="3/24",AM305&gt;0.5),(AM305*2*база!$M$4*Таблица14[[#This Row],[коэф]]),
IF(AND(G305="5/16",AM305&gt;0.5),(AM305*2*база!$L$6*Таблица14[[#This Row],[коэф]]),
IF(AND(G305="4/16",AM305&gt;0.5),(AM305*2*база!$L$5*Таблица14[[#This Row],[коэф]]),
IF(AND(G305="3/16",AM305&gt;0.5),(AM305*2*база!$L$4*Таблица14[[#This Row],[коэф]]),
IF(AND(G305="4/4",AM305&gt;0.5),(AM305*2*база!$I$5*Таблица14[[#This Row],[коэф]]),
IF(OR(AND(G305="3/4",AM305&gt;0.5),AND(G305="2/4",AM305&gt;0.5)),(AM305*2*база!$I$4*Таблица14[[#This Row],[коэф]]),
IF(AND(G305="5/8",AM305&gt;0.5),(AM305*2*база!$J$6*Таблица14[[#This Row],[коэф]]),
IF(AND(G305="4/8",AM305&gt;0.5),(AM305*2*база!$J$5*Таблица14[[#This Row],[коэф]]),
IF(OR(AND(G305="3/8",AM305&gt;0.5),AND(G305="2/8",AM305&gt;0.5)),(AM305*2*база!$J$4*Таблица14[[#This Row],[коэф]]),
(AM305*0.5*база!$L$4*Таблица14[[#This Row],[коэф]]))))))))))))),
(IF(AND(G305="5/24",AM305&gt;0.5),(AM305*2*база!$M$6*Таблица14[[#This Row],[коэф]]),
IF(OR(AND(G305="4/24",AM305&gt;0.5),AND(G305="3/24",AM305&gt;0.5)),(AM305*2*база!$M$5*Таблица14[[#This Row],[коэф]]),
IF(AND(G305="5/16",AM305&gt;0.5),(AM305*2*база!$L$6*Таблица14[[#This Row],[коэф]]),
IF(OR(AND(G305="4/16",AM305&gt;0.5),AND(G305="3/16",AM305&gt;0.5)),(AM305*2*база!$L$5*Таблица14[[#This Row],[коэф]]),
IF(OR(AND(G305="4/4",AM305&gt;0.5),AND(G305="3/4",AM305&gt;2)),(AM305*2*база!$I$5*Таблица14[[#This Row],[коэф]]),
IF(AND(G305="5/8",AM305&gt;0.5),(AM305*2*база!$J$6*Таблица14[[#This Row],[коэф]]),
IF(AND(G305="4/8",AM305&gt;0.5),(AM305*2*база!$J$5*Таблица14[[#This Row],[коэф]]),
IF(OR(AND(G305="3/8",AM305&gt;0.5),AND(G305="2/8",AM305&gt;0.5)),(AM305*2*база!$J$4*Таблица14[[#This Row],[коэф]]),
(AM305*2*база!$L$5*Таблица14[[#This Row],[коэф]])))))))))))</f>
        <v>0</v>
      </c>
      <c r="AO305" s="122" t="str">
        <f>IFERROR(INDEX(база!$D$2:$D$120, MATCH(Таблица14[[#This Row],[Ф. И. О.]],база!$B$2:$B$100,0)),"")</f>
        <v/>
      </c>
    </row>
    <row r="306" spans="1:41">
      <c r="A306" s="207" t="str">
        <f t="shared" si="10"/>
        <v>январь</v>
      </c>
      <c r="B306" s="240">
        <v>2024</v>
      </c>
      <c r="C306" s="571"/>
      <c r="D306" s="205"/>
      <c r="E306" s="241"/>
      <c r="F306" s="673"/>
      <c r="G306" s="242"/>
      <c r="H306" s="592"/>
      <c r="I306" s="592"/>
      <c r="J306" s="592"/>
      <c r="K306" s="592"/>
      <c r="L306" s="592"/>
      <c r="M306" s="592"/>
      <c r="N306" s="592"/>
      <c r="O306" s="592"/>
      <c r="P306" s="592"/>
      <c r="Q306" s="592"/>
      <c r="R306" s="592"/>
      <c r="S306" s="592"/>
      <c r="T306" s="592"/>
      <c r="U306" s="592"/>
      <c r="V306" s="592"/>
      <c r="W306" s="592"/>
      <c r="X306" s="592"/>
      <c r="Y306" s="592"/>
      <c r="Z306" s="592"/>
      <c r="AA306" s="592"/>
      <c r="AB306" s="592"/>
      <c r="AC306" s="592"/>
      <c r="AD306" s="592"/>
      <c r="AE306" s="592"/>
      <c r="AF306" s="592"/>
      <c r="AG306" s="592"/>
      <c r="AH306" s="592"/>
      <c r="AI306" s="592"/>
      <c r="AJ306" s="592"/>
      <c r="AK306" s="592"/>
      <c r="AL306" s="592"/>
      <c r="AM306" s="121">
        <f t="shared" si="8"/>
        <v>0</v>
      </c>
      <c r="AN306" s="564">
        <f>IF(AO306&lt;=3,(IF(AND(G306="5/24",AM306&gt;0.5),(AM306*2*база!$M$6*Таблица14[[#This Row],[коэф]]),
IF(AND(G306="4/24",AM306&gt;0.5),(AM306*2*база!$M$5*Таблица14[[#This Row],[коэф]]),
IF(AND(G306="3/24",AM306&gt;0.5),(AM306*2*база!$M$4*Таблица14[[#This Row],[коэф]]),
IF(AND(G306="5/16",AM306&gt;0.5),(AM306*2*база!$L$6*Таблица14[[#This Row],[коэф]]),
IF(AND(G306="4/16",AM306&gt;0.5),(AM306*2*база!$L$5*Таблица14[[#This Row],[коэф]]),
IF(AND(G306="3/16",AM306&gt;0.5),(AM306*2*база!$L$4*Таблица14[[#This Row],[коэф]]),
IF(AND(G306="4/4",AM306&gt;0.5),(AM306*2*база!$I$5*Таблица14[[#This Row],[коэф]]),
IF(OR(AND(G306="3/4",AM306&gt;0.5),AND(G306="2/4",AM306&gt;0.5)),(AM306*2*база!$I$4*Таблица14[[#This Row],[коэф]]),
IF(AND(G306="5/8",AM306&gt;0.5),(AM306*2*база!$J$6*Таблица14[[#This Row],[коэф]]),
IF(AND(G306="4/8",AM306&gt;0.5),(AM306*2*база!$J$5*Таблица14[[#This Row],[коэф]]),
IF(OR(AND(G306="3/8",AM306&gt;0.5),AND(G306="2/8",AM306&gt;0.5)),(AM306*2*база!$J$4*Таблица14[[#This Row],[коэф]]),
(AM306*0.5*база!$L$4*Таблица14[[#This Row],[коэф]]))))))))))))),
(IF(AND(G306="5/24",AM306&gt;0.5),(AM306*2*база!$M$6*Таблица14[[#This Row],[коэф]]),
IF(OR(AND(G306="4/24",AM306&gt;0.5),AND(G306="3/24",AM306&gt;0.5)),(AM306*2*база!$M$5*Таблица14[[#This Row],[коэф]]),
IF(AND(G306="5/16",AM306&gt;0.5),(AM306*2*база!$L$6*Таблица14[[#This Row],[коэф]]),
IF(OR(AND(G306="4/16",AM306&gt;0.5),AND(G306="3/16",AM306&gt;0.5)),(AM306*2*база!$L$5*Таблица14[[#This Row],[коэф]]),
IF(OR(AND(G306="4/4",AM306&gt;0.5),AND(G306="3/4",AM306&gt;2)),(AM306*2*база!$I$5*Таблица14[[#This Row],[коэф]]),
IF(AND(G306="5/8",AM306&gt;0.5),(AM306*2*база!$J$6*Таблица14[[#This Row],[коэф]]),
IF(AND(G306="4/8",AM306&gt;0.5),(AM306*2*база!$J$5*Таблица14[[#This Row],[коэф]]),
IF(OR(AND(G306="3/8",AM306&gt;0.5),AND(G306="2/8",AM306&gt;0.5)),(AM306*2*база!$J$4*Таблица14[[#This Row],[коэф]]),
(AM306*2*база!$L$5*Таблица14[[#This Row],[коэф]])))))))))))</f>
        <v>0</v>
      </c>
      <c r="AO306" s="122" t="str">
        <f>IFERROR(INDEX(база!$D$2:$D$120, MATCH(Таблица14[[#This Row],[Ф. И. О.]],база!$B$2:$B$100,0)),"")</f>
        <v/>
      </c>
    </row>
    <row r="307" spans="1:41">
      <c r="A307" s="207" t="str">
        <f t="shared" si="10"/>
        <v>январь</v>
      </c>
      <c r="B307" s="204">
        <v>2024</v>
      </c>
      <c r="C307" s="571"/>
      <c r="D307" s="214"/>
      <c r="E307" s="243"/>
      <c r="F307" s="673"/>
      <c r="G307" s="206"/>
      <c r="H307" s="49"/>
      <c r="I307" s="49"/>
      <c r="J307" s="49"/>
      <c r="K307" s="49"/>
      <c r="L307" s="49"/>
      <c r="M307" s="49"/>
      <c r="N307" s="49"/>
      <c r="O307" s="49"/>
      <c r="P307" s="49"/>
      <c r="Q307" s="49"/>
      <c r="R307" s="49"/>
      <c r="S307" s="49"/>
      <c r="T307" s="49"/>
      <c r="U307" s="49"/>
      <c r="V307" s="49"/>
      <c r="W307" s="49"/>
      <c r="X307" s="49"/>
      <c r="Y307" s="49"/>
      <c r="Z307" s="49"/>
      <c r="AA307" s="49"/>
      <c r="AB307" s="49"/>
      <c r="AC307" s="49"/>
      <c r="AD307" s="49"/>
      <c r="AE307" s="49"/>
      <c r="AF307" s="49"/>
      <c r="AG307" s="49"/>
      <c r="AH307" s="49"/>
      <c r="AI307" s="49"/>
      <c r="AJ307" s="49"/>
      <c r="AK307" s="49"/>
      <c r="AL307" s="49"/>
      <c r="AM307" s="121">
        <f t="shared" si="8"/>
        <v>0</v>
      </c>
      <c r="AN307" s="564">
        <f>IF(AO307&lt;=3,(IF(AND(G307="5/24",AM307&gt;0.5),(AM307*2*база!$M$6*Таблица14[[#This Row],[коэф]]),
IF(AND(G307="4/24",AM307&gt;0.5),(AM307*2*база!$M$5*Таблица14[[#This Row],[коэф]]),
IF(AND(G307="3/24",AM307&gt;0.5),(AM307*2*база!$M$4*Таблица14[[#This Row],[коэф]]),
IF(AND(G307="5/16",AM307&gt;0.5),(AM307*2*база!$L$6*Таблица14[[#This Row],[коэф]]),
IF(AND(G307="4/16",AM307&gt;0.5),(AM307*2*база!$L$5*Таблица14[[#This Row],[коэф]]),
IF(AND(G307="3/16",AM307&gt;0.5),(AM307*2*база!$L$4*Таблица14[[#This Row],[коэф]]),
IF(AND(G307="4/4",AM307&gt;0.5),(AM307*2*база!$I$5*Таблица14[[#This Row],[коэф]]),
IF(OR(AND(G307="3/4",AM307&gt;0.5),AND(G307="2/4",AM307&gt;0.5)),(AM307*2*база!$I$4*Таблица14[[#This Row],[коэф]]),
IF(AND(G307="5/8",AM307&gt;0.5),(AM307*2*база!$J$6*Таблица14[[#This Row],[коэф]]),
IF(AND(G307="4/8",AM307&gt;0.5),(AM307*2*база!$J$5*Таблица14[[#This Row],[коэф]]),
IF(OR(AND(G307="3/8",AM307&gt;0.5),AND(G307="2/8",AM307&gt;0.5)),(AM307*2*база!$J$4*Таблица14[[#This Row],[коэф]]),
(AM307*0.5*база!$L$4*Таблица14[[#This Row],[коэф]]))))))))))))),
(IF(AND(G307="5/24",AM307&gt;0.5),(AM307*2*база!$M$6*Таблица14[[#This Row],[коэф]]),
IF(OR(AND(G307="4/24",AM307&gt;0.5),AND(G307="3/24",AM307&gt;0.5)),(AM307*2*база!$M$5*Таблица14[[#This Row],[коэф]]),
IF(AND(G307="5/16",AM307&gt;0.5),(AM307*2*база!$L$6*Таблица14[[#This Row],[коэф]]),
IF(OR(AND(G307="4/16",AM307&gt;0.5),AND(G307="3/16",AM307&gt;0.5)),(AM307*2*база!$L$5*Таблица14[[#This Row],[коэф]]),
IF(OR(AND(G307="4/4",AM307&gt;0.5),AND(G307="3/4",AM307&gt;2)),(AM307*2*база!$I$5*Таблица14[[#This Row],[коэф]]),
IF(AND(G307="5/8",AM307&gt;0.5),(AM307*2*база!$J$6*Таблица14[[#This Row],[коэф]]),
IF(AND(G307="4/8",AM307&gt;0.5),(AM307*2*база!$J$5*Таблица14[[#This Row],[коэф]]),
IF(OR(AND(G307="3/8",AM307&gt;0.5),AND(G307="2/8",AM307&gt;0.5)),(AM307*2*база!$J$4*Таблица14[[#This Row],[коэф]]),
(AM307*2*база!$L$5*Таблица14[[#This Row],[коэф]])))))))))))</f>
        <v>0</v>
      </c>
      <c r="AO307" s="122" t="str">
        <f>IFERROR(INDEX(база!$D$2:$D$120, MATCH(Таблица14[[#This Row],[Ф. И. О.]],база!$B$2:$B$100,0)),"")</f>
        <v/>
      </c>
    </row>
    <row r="308" spans="1:41">
      <c r="A308" s="207" t="str">
        <f t="shared" si="10"/>
        <v>январь</v>
      </c>
      <c r="B308" s="240">
        <v>2024</v>
      </c>
      <c r="C308" s="648"/>
      <c r="D308" s="205"/>
      <c r="E308" s="241"/>
      <c r="F308" s="673"/>
      <c r="G308" s="242"/>
      <c r="H308" s="592"/>
      <c r="I308" s="592"/>
      <c r="J308" s="592"/>
      <c r="K308" s="592"/>
      <c r="L308" s="592"/>
      <c r="M308" s="592"/>
      <c r="N308" s="592"/>
      <c r="O308" s="592"/>
      <c r="P308" s="592"/>
      <c r="Q308" s="592"/>
      <c r="R308" s="592"/>
      <c r="S308" s="592"/>
      <c r="T308" s="592"/>
      <c r="U308" s="592"/>
      <c r="V308" s="592"/>
      <c r="W308" s="592"/>
      <c r="X308" s="592"/>
      <c r="Y308" s="592"/>
      <c r="Z308" s="592"/>
      <c r="AA308" s="592"/>
      <c r="AB308" s="592"/>
      <c r="AC308" s="592"/>
      <c r="AD308" s="592"/>
      <c r="AE308" s="592"/>
      <c r="AF308" s="592"/>
      <c r="AG308" s="592"/>
      <c r="AH308" s="592"/>
      <c r="AI308" s="592"/>
      <c r="AJ308" s="592"/>
      <c r="AK308" s="592"/>
      <c r="AL308" s="592"/>
      <c r="AM308" s="121">
        <f t="shared" si="8"/>
        <v>0</v>
      </c>
      <c r="AN308" s="564">
        <f>IF(AO308&lt;=3,(IF(AND(G308="5/24",AM308&gt;0.5),(AM308*2*база!$M$6*Таблица14[[#This Row],[коэф]]),
IF(AND(G308="4/24",AM308&gt;0.5),(AM308*2*база!$M$5*Таблица14[[#This Row],[коэф]]),
IF(AND(G308="3/24",AM308&gt;0.5),(AM308*2*база!$M$4*Таблица14[[#This Row],[коэф]]),
IF(AND(G308="5/16",AM308&gt;0.5),(AM308*2*база!$L$6*Таблица14[[#This Row],[коэф]]),
IF(AND(G308="4/16",AM308&gt;0.5),(AM308*2*база!$L$5*Таблица14[[#This Row],[коэф]]),
IF(AND(G308="3/16",AM308&gt;0.5),(AM308*2*база!$L$4*Таблица14[[#This Row],[коэф]]),
IF(AND(G308="4/4",AM308&gt;0.5),(AM308*2*база!$I$5*Таблица14[[#This Row],[коэф]]),
IF(OR(AND(G308="3/4",AM308&gt;0.5),AND(G308="2/4",AM308&gt;0.5)),(AM308*2*база!$I$4*Таблица14[[#This Row],[коэф]]),
IF(AND(G308="5/8",AM308&gt;0.5),(AM308*2*база!$J$6*Таблица14[[#This Row],[коэф]]),
IF(AND(G308="4/8",AM308&gt;0.5),(AM308*2*база!$J$5*Таблица14[[#This Row],[коэф]]),
IF(OR(AND(G308="3/8",AM308&gt;0.5),AND(G308="2/8",AM308&gt;0.5)),(AM308*2*база!$J$4*Таблица14[[#This Row],[коэф]]),
(AM308*0.5*база!$L$4*Таблица14[[#This Row],[коэф]]))))))))))))),
(IF(AND(G308="5/24",AM308&gt;0.5),(AM308*2*база!$M$6*Таблица14[[#This Row],[коэф]]),
IF(OR(AND(G308="4/24",AM308&gt;0.5),AND(G308="3/24",AM308&gt;0.5)),(AM308*2*база!$M$5*Таблица14[[#This Row],[коэф]]),
IF(AND(G308="5/16",AM308&gt;0.5),(AM308*2*база!$L$6*Таблица14[[#This Row],[коэф]]),
IF(OR(AND(G308="4/16",AM308&gt;0.5),AND(G308="3/16",AM308&gt;0.5)),(AM308*2*база!$L$5*Таблица14[[#This Row],[коэф]]),
IF(OR(AND(G308="4/4",AM308&gt;0.5),AND(G308="3/4",AM308&gt;2)),(AM308*2*база!$I$5*Таблица14[[#This Row],[коэф]]),
IF(AND(G308="5/8",AM308&gt;0.5),(AM308*2*база!$J$6*Таблица14[[#This Row],[коэф]]),
IF(AND(G308="4/8",AM308&gt;0.5),(AM308*2*база!$J$5*Таблица14[[#This Row],[коэф]]),
IF(OR(AND(G308="3/8",AM308&gt;0.5),AND(G308="2/8",AM308&gt;0.5)),(AM308*2*база!$J$4*Таблица14[[#This Row],[коэф]]),
(AM308*2*база!$L$5*Таблица14[[#This Row],[коэф]])))))))))))</f>
        <v>0</v>
      </c>
      <c r="AO308" s="122" t="str">
        <f>IFERROR(INDEX(база!$D$2:$D$120, MATCH(Таблица14[[#This Row],[Ф. И. О.]],база!$B$2:$B$100,0)),"")</f>
        <v/>
      </c>
    </row>
    <row r="309" spans="1:41">
      <c r="A309" s="207" t="str">
        <f t="shared" si="10"/>
        <v>январь</v>
      </c>
      <c r="B309" s="204">
        <v>2024</v>
      </c>
      <c r="C309" s="571"/>
      <c r="D309" s="205"/>
      <c r="E309" s="243"/>
      <c r="F309" s="673"/>
      <c r="G309" s="206"/>
      <c r="H309" s="49"/>
      <c r="I309" s="49"/>
      <c r="J309" s="49"/>
      <c r="K309" s="49"/>
      <c r="L309" s="49"/>
      <c r="M309" s="49"/>
      <c r="N309" s="49"/>
      <c r="O309" s="49"/>
      <c r="P309" s="49"/>
      <c r="Q309" s="49"/>
      <c r="R309" s="49"/>
      <c r="S309" s="49"/>
      <c r="T309" s="49"/>
      <c r="U309" s="49"/>
      <c r="V309" s="49"/>
      <c r="W309" s="49"/>
      <c r="X309" s="49"/>
      <c r="Y309" s="49"/>
      <c r="Z309" s="49"/>
      <c r="AA309" s="49"/>
      <c r="AB309" s="49"/>
      <c r="AC309" s="49"/>
      <c r="AD309" s="49"/>
      <c r="AE309" s="49"/>
      <c r="AF309" s="49"/>
      <c r="AG309" s="49"/>
      <c r="AH309" s="49"/>
      <c r="AI309" s="49"/>
      <c r="AJ309" s="49"/>
      <c r="AK309" s="49"/>
      <c r="AL309" s="49"/>
      <c r="AM309" s="121">
        <f t="shared" si="8"/>
        <v>0</v>
      </c>
      <c r="AN309" s="564">
        <f>IF(AO309&lt;=3,(IF(AND(G309="5/24",AM309&gt;0.5),(AM309*2*база!$M$6*Таблица14[[#This Row],[коэф]]),
IF(AND(G309="4/24",AM309&gt;0.5),(AM309*2*база!$M$5*Таблица14[[#This Row],[коэф]]),
IF(AND(G309="3/24",AM309&gt;0.5),(AM309*2*база!$M$4*Таблица14[[#This Row],[коэф]]),
IF(AND(G309="5/16",AM309&gt;0.5),(AM309*2*база!$L$6*Таблица14[[#This Row],[коэф]]),
IF(AND(G309="4/16",AM309&gt;0.5),(AM309*2*база!$L$5*Таблица14[[#This Row],[коэф]]),
IF(AND(G309="3/16",AM309&gt;0.5),(AM309*2*база!$L$4*Таблица14[[#This Row],[коэф]]),
IF(AND(G309="4/4",AM309&gt;0.5),(AM309*2*база!$I$5*Таблица14[[#This Row],[коэф]]),
IF(OR(AND(G309="3/4",AM309&gt;0.5),AND(G309="2/4",AM309&gt;0.5)),(AM309*2*база!$I$4*Таблица14[[#This Row],[коэф]]),
IF(AND(G309="5/8",AM309&gt;0.5),(AM309*2*база!$J$6*Таблица14[[#This Row],[коэф]]),
IF(AND(G309="4/8",AM309&gt;0.5),(AM309*2*база!$J$5*Таблица14[[#This Row],[коэф]]),
IF(OR(AND(G309="3/8",AM309&gt;0.5),AND(G309="2/8",AM309&gt;0.5)),(AM309*2*база!$J$4*Таблица14[[#This Row],[коэф]]),
(AM309*0.5*база!$L$4*Таблица14[[#This Row],[коэф]]))))))))))))),
(IF(AND(G309="5/24",AM309&gt;0.5),(AM309*2*база!$M$6*Таблица14[[#This Row],[коэф]]),
IF(OR(AND(G309="4/24",AM309&gt;0.5),AND(G309="3/24",AM309&gt;0.5)),(AM309*2*база!$M$5*Таблица14[[#This Row],[коэф]]),
IF(AND(G309="5/16",AM309&gt;0.5),(AM309*2*база!$L$6*Таблица14[[#This Row],[коэф]]),
IF(OR(AND(G309="4/16",AM309&gt;0.5),AND(G309="3/16",AM309&gt;0.5)),(AM309*2*база!$L$5*Таблица14[[#This Row],[коэф]]),
IF(OR(AND(G309="4/4",AM309&gt;0.5),AND(G309="3/4",AM309&gt;2)),(AM309*2*база!$I$5*Таблица14[[#This Row],[коэф]]),
IF(AND(G309="5/8",AM309&gt;0.5),(AM309*2*база!$J$6*Таблица14[[#This Row],[коэф]]),
IF(AND(G309="4/8",AM309&gt;0.5),(AM309*2*база!$J$5*Таблица14[[#This Row],[коэф]]),
IF(OR(AND(G309="3/8",AM309&gt;0.5),AND(G309="2/8",AM309&gt;0.5)),(AM309*2*база!$J$4*Таблица14[[#This Row],[коэф]]),
(AM309*2*база!$L$5*Таблица14[[#This Row],[коэф]])))))))))))</f>
        <v>0</v>
      </c>
      <c r="AO309" s="122" t="str">
        <f>IFERROR(INDEX(база!$D$2:$D$120, MATCH(Таблица14[[#This Row],[Ф. И. О.]],база!$B$2:$B$100,0)),"")</f>
        <v/>
      </c>
    </row>
    <row r="310" spans="1:41">
      <c r="A310" s="207" t="str">
        <f t="shared" si="10"/>
        <v>январь</v>
      </c>
      <c r="B310" s="240">
        <v>2024</v>
      </c>
      <c r="C310" s="648"/>
      <c r="D310" s="205"/>
      <c r="E310" s="241"/>
      <c r="F310" s="673"/>
      <c r="G310" s="242"/>
      <c r="H310" s="592"/>
      <c r="I310" s="592"/>
      <c r="J310" s="592"/>
      <c r="K310" s="592"/>
      <c r="L310" s="592"/>
      <c r="M310" s="592"/>
      <c r="N310" s="592"/>
      <c r="O310" s="592"/>
      <c r="P310" s="592"/>
      <c r="Q310" s="592"/>
      <c r="R310" s="592"/>
      <c r="S310" s="592"/>
      <c r="T310" s="592"/>
      <c r="U310" s="592"/>
      <c r="V310" s="592"/>
      <c r="W310" s="592"/>
      <c r="X310" s="592"/>
      <c r="Y310" s="592"/>
      <c r="Z310" s="592"/>
      <c r="AA310" s="592"/>
      <c r="AB310" s="592"/>
      <c r="AC310" s="592"/>
      <c r="AD310" s="592"/>
      <c r="AE310" s="592"/>
      <c r="AF310" s="592"/>
      <c r="AG310" s="592"/>
      <c r="AH310" s="592"/>
      <c r="AI310" s="592"/>
      <c r="AJ310" s="592"/>
      <c r="AK310" s="592"/>
      <c r="AL310" s="592"/>
      <c r="AM310" s="121">
        <f t="shared" si="8"/>
        <v>0</v>
      </c>
      <c r="AN310" s="564">
        <f>IF(AO310&lt;=3,(IF(AND(G310="5/24",AM310&gt;0.5),(AM310*2*база!$M$6*Таблица14[[#This Row],[коэф]]),
IF(AND(G310="4/24",AM310&gt;0.5),(AM310*2*база!$M$5*Таблица14[[#This Row],[коэф]]),
IF(AND(G310="3/24",AM310&gt;0.5),(AM310*2*база!$M$4*Таблица14[[#This Row],[коэф]]),
IF(AND(G310="5/16",AM310&gt;0.5),(AM310*2*база!$L$6*Таблица14[[#This Row],[коэф]]),
IF(AND(G310="4/16",AM310&gt;0.5),(AM310*2*база!$L$5*Таблица14[[#This Row],[коэф]]),
IF(AND(G310="3/16",AM310&gt;0.5),(AM310*2*база!$L$4*Таблица14[[#This Row],[коэф]]),
IF(AND(G310="4/4",AM310&gt;0.5),(AM310*2*база!$I$5*Таблица14[[#This Row],[коэф]]),
IF(OR(AND(G310="3/4",AM310&gt;0.5),AND(G310="2/4",AM310&gt;0.5)),(AM310*2*база!$I$4*Таблица14[[#This Row],[коэф]]),
IF(AND(G310="5/8",AM310&gt;0.5),(AM310*2*база!$J$6*Таблица14[[#This Row],[коэф]]),
IF(AND(G310="4/8",AM310&gt;0.5),(AM310*2*база!$J$5*Таблица14[[#This Row],[коэф]]),
IF(OR(AND(G310="3/8",AM310&gt;0.5),AND(G310="2/8",AM310&gt;0.5)),(AM310*2*база!$J$4*Таблица14[[#This Row],[коэф]]),
(AM310*0.5*база!$L$4*Таблица14[[#This Row],[коэф]]))))))))))))),
(IF(AND(G310="5/24",AM310&gt;0.5),(AM310*2*база!$M$6*Таблица14[[#This Row],[коэф]]),
IF(OR(AND(G310="4/24",AM310&gt;0.5),AND(G310="3/24",AM310&gt;0.5)),(AM310*2*база!$M$5*Таблица14[[#This Row],[коэф]]),
IF(AND(G310="5/16",AM310&gt;0.5),(AM310*2*база!$L$6*Таблица14[[#This Row],[коэф]]),
IF(OR(AND(G310="4/16",AM310&gt;0.5),AND(G310="3/16",AM310&gt;0.5)),(AM310*2*база!$L$5*Таблица14[[#This Row],[коэф]]),
IF(OR(AND(G310="4/4",AM310&gt;0.5),AND(G310="3/4",AM310&gt;2)),(AM310*2*база!$I$5*Таблица14[[#This Row],[коэф]]),
IF(AND(G310="5/8",AM310&gt;0.5),(AM310*2*база!$J$6*Таблица14[[#This Row],[коэф]]),
IF(AND(G310="4/8",AM310&gt;0.5),(AM310*2*база!$J$5*Таблица14[[#This Row],[коэф]]),
IF(OR(AND(G310="3/8",AM310&gt;0.5),AND(G310="2/8",AM310&gt;0.5)),(AM310*2*база!$J$4*Таблица14[[#This Row],[коэф]]),
(AM310*2*база!$L$5*Таблица14[[#This Row],[коэф]])))))))))))</f>
        <v>0</v>
      </c>
      <c r="AO310" s="122" t="str">
        <f>IFERROR(INDEX(база!$D$2:$D$120, MATCH(Таблица14[[#This Row],[Ф. И. О.]],база!$B$2:$B$100,0)),"")</f>
        <v/>
      </c>
    </row>
    <row r="311" spans="1:41">
      <c r="A311" s="207" t="str">
        <f t="shared" si="10"/>
        <v>январь</v>
      </c>
      <c r="B311" s="204">
        <v>2024</v>
      </c>
      <c r="C311" s="571"/>
      <c r="D311" s="214"/>
      <c r="E311" s="243"/>
      <c r="F311" s="673"/>
      <c r="G311" s="206"/>
      <c r="H311" s="49"/>
      <c r="I311" s="49"/>
      <c r="J311" s="49"/>
      <c r="K311" s="49"/>
      <c r="L311" s="49"/>
      <c r="M311" s="49"/>
      <c r="N311" s="49"/>
      <c r="O311" s="49"/>
      <c r="P311" s="49"/>
      <c r="Q311" s="49"/>
      <c r="R311" s="49"/>
      <c r="S311" s="49"/>
      <c r="T311" s="49"/>
      <c r="U311" s="49"/>
      <c r="V311" s="49"/>
      <c r="W311" s="49"/>
      <c r="X311" s="49"/>
      <c r="Y311" s="49"/>
      <c r="Z311" s="49"/>
      <c r="AA311" s="49"/>
      <c r="AB311" s="49"/>
      <c r="AC311" s="49"/>
      <c r="AD311" s="49"/>
      <c r="AE311" s="49"/>
      <c r="AF311" s="49"/>
      <c r="AG311" s="49"/>
      <c r="AH311" s="49"/>
      <c r="AI311" s="49"/>
      <c r="AJ311" s="49"/>
      <c r="AK311" s="49"/>
      <c r="AL311" s="49"/>
      <c r="AM311" s="121">
        <f t="shared" si="8"/>
        <v>0</v>
      </c>
      <c r="AN311" s="564">
        <f>IF(AO311&lt;=3,(IF(AND(G311="5/24",AM311&gt;0.5),(AM311*2*база!$M$6*Таблица14[[#This Row],[коэф]]),
IF(AND(G311="4/24",AM311&gt;0.5),(AM311*2*база!$M$5*Таблица14[[#This Row],[коэф]]),
IF(AND(G311="3/24",AM311&gt;0.5),(AM311*2*база!$M$4*Таблица14[[#This Row],[коэф]]),
IF(AND(G311="5/16",AM311&gt;0.5),(AM311*2*база!$L$6*Таблица14[[#This Row],[коэф]]),
IF(AND(G311="4/16",AM311&gt;0.5),(AM311*2*база!$L$5*Таблица14[[#This Row],[коэф]]),
IF(AND(G311="3/16",AM311&gt;0.5),(AM311*2*база!$L$4*Таблица14[[#This Row],[коэф]]),
IF(AND(G311="4/4",AM311&gt;0.5),(AM311*2*база!$I$5*Таблица14[[#This Row],[коэф]]),
IF(OR(AND(G311="3/4",AM311&gt;0.5),AND(G311="2/4",AM311&gt;0.5)),(AM311*2*база!$I$4*Таблица14[[#This Row],[коэф]]),
IF(AND(G311="5/8",AM311&gt;0.5),(AM311*2*база!$J$6*Таблица14[[#This Row],[коэф]]),
IF(AND(G311="4/8",AM311&gt;0.5),(AM311*2*база!$J$5*Таблица14[[#This Row],[коэф]]),
IF(OR(AND(G311="3/8",AM311&gt;0.5),AND(G311="2/8",AM311&gt;0.5)),(AM311*2*база!$J$4*Таблица14[[#This Row],[коэф]]),
(AM311*0.5*база!$L$4*Таблица14[[#This Row],[коэф]]))))))))))))),
(IF(AND(G311="5/24",AM311&gt;0.5),(AM311*2*база!$M$6*Таблица14[[#This Row],[коэф]]),
IF(OR(AND(G311="4/24",AM311&gt;0.5),AND(G311="3/24",AM311&gt;0.5)),(AM311*2*база!$M$5*Таблица14[[#This Row],[коэф]]),
IF(AND(G311="5/16",AM311&gt;0.5),(AM311*2*база!$L$6*Таблица14[[#This Row],[коэф]]),
IF(OR(AND(G311="4/16",AM311&gt;0.5),AND(G311="3/16",AM311&gt;0.5)),(AM311*2*база!$L$5*Таблица14[[#This Row],[коэф]]),
IF(OR(AND(G311="4/4",AM311&gt;0.5),AND(G311="3/4",AM311&gt;2)),(AM311*2*база!$I$5*Таблица14[[#This Row],[коэф]]),
IF(AND(G311="5/8",AM311&gt;0.5),(AM311*2*база!$J$6*Таблица14[[#This Row],[коэф]]),
IF(AND(G311="4/8",AM311&gt;0.5),(AM311*2*база!$J$5*Таблица14[[#This Row],[коэф]]),
IF(OR(AND(G311="3/8",AM311&gt;0.5),AND(G311="2/8",AM311&gt;0.5)),(AM311*2*база!$J$4*Таблица14[[#This Row],[коэф]]),
(AM311*2*база!$L$5*Таблица14[[#This Row],[коэф]])))))))))))</f>
        <v>0</v>
      </c>
      <c r="AO311" s="122" t="str">
        <f>IFERROR(INDEX(база!$D$2:$D$120, MATCH(Таблица14[[#This Row],[Ф. И. О.]],база!$B$2:$B$100,0)),"")</f>
        <v/>
      </c>
    </row>
    <row r="312" spans="1:41">
      <c r="A312" s="207" t="str">
        <f t="shared" si="10"/>
        <v>январь</v>
      </c>
      <c r="B312" s="240">
        <v>2024</v>
      </c>
      <c r="C312" s="648"/>
      <c r="D312" s="214"/>
      <c r="E312" s="241"/>
      <c r="F312" s="673"/>
      <c r="G312" s="242"/>
      <c r="H312" s="592"/>
      <c r="I312" s="592"/>
      <c r="J312" s="592"/>
      <c r="K312" s="592"/>
      <c r="L312" s="592"/>
      <c r="M312" s="592"/>
      <c r="N312" s="592"/>
      <c r="O312" s="592"/>
      <c r="P312" s="592"/>
      <c r="Q312" s="592"/>
      <c r="R312" s="592"/>
      <c r="S312" s="592"/>
      <c r="T312" s="592"/>
      <c r="U312" s="592"/>
      <c r="V312" s="592"/>
      <c r="W312" s="592"/>
      <c r="X312" s="592"/>
      <c r="Y312" s="592"/>
      <c r="Z312" s="592"/>
      <c r="AA312" s="592"/>
      <c r="AB312" s="592"/>
      <c r="AC312" s="592"/>
      <c r="AD312" s="592"/>
      <c r="AE312" s="592"/>
      <c r="AF312" s="592"/>
      <c r="AG312" s="592"/>
      <c r="AH312" s="592"/>
      <c r="AI312" s="592"/>
      <c r="AJ312" s="592"/>
      <c r="AK312" s="592"/>
      <c r="AL312" s="592"/>
      <c r="AM312" s="121">
        <f t="shared" si="8"/>
        <v>0</v>
      </c>
      <c r="AN312" s="564">
        <f>IF(AO312&lt;=3,(IF(AND(G312="5/24",AM312&gt;0.5),(AM312*2*база!$M$6*Таблица14[[#This Row],[коэф]]),
IF(AND(G312="4/24",AM312&gt;0.5),(AM312*2*база!$M$5*Таблица14[[#This Row],[коэф]]),
IF(AND(G312="3/24",AM312&gt;0.5),(AM312*2*база!$M$4*Таблица14[[#This Row],[коэф]]),
IF(AND(G312="5/16",AM312&gt;0.5),(AM312*2*база!$L$6*Таблица14[[#This Row],[коэф]]),
IF(AND(G312="4/16",AM312&gt;0.5),(AM312*2*база!$L$5*Таблица14[[#This Row],[коэф]]),
IF(AND(G312="3/16",AM312&gt;0.5),(AM312*2*база!$L$4*Таблица14[[#This Row],[коэф]]),
IF(AND(G312="4/4",AM312&gt;0.5),(AM312*2*база!$I$5*Таблица14[[#This Row],[коэф]]),
IF(OR(AND(G312="3/4",AM312&gt;0.5),AND(G312="2/4",AM312&gt;0.5)),(AM312*2*база!$I$4*Таблица14[[#This Row],[коэф]]),
IF(AND(G312="5/8",AM312&gt;0.5),(AM312*2*база!$J$6*Таблица14[[#This Row],[коэф]]),
IF(AND(G312="4/8",AM312&gt;0.5),(AM312*2*база!$J$5*Таблица14[[#This Row],[коэф]]),
IF(OR(AND(G312="3/8",AM312&gt;0.5),AND(G312="2/8",AM312&gt;0.5)),(AM312*2*база!$J$4*Таблица14[[#This Row],[коэф]]),
(AM312*0.5*база!$L$4*Таблица14[[#This Row],[коэф]]))))))))))))),
(IF(AND(G312="5/24",AM312&gt;0.5),(AM312*2*база!$M$6*Таблица14[[#This Row],[коэф]]),
IF(OR(AND(G312="4/24",AM312&gt;0.5),AND(G312="3/24",AM312&gt;0.5)),(AM312*2*база!$M$5*Таблица14[[#This Row],[коэф]]),
IF(AND(G312="5/16",AM312&gt;0.5),(AM312*2*база!$L$6*Таблица14[[#This Row],[коэф]]),
IF(OR(AND(G312="4/16",AM312&gt;0.5),AND(G312="3/16",AM312&gt;0.5)),(AM312*2*база!$L$5*Таблица14[[#This Row],[коэф]]),
IF(OR(AND(G312="4/4",AM312&gt;0.5),AND(G312="3/4",AM312&gt;2)),(AM312*2*база!$I$5*Таблица14[[#This Row],[коэф]]),
IF(AND(G312="5/8",AM312&gt;0.5),(AM312*2*база!$J$6*Таблица14[[#This Row],[коэф]]),
IF(AND(G312="4/8",AM312&gt;0.5),(AM312*2*база!$J$5*Таблица14[[#This Row],[коэф]]),
IF(OR(AND(G312="3/8",AM312&gt;0.5),AND(G312="2/8",AM312&gt;0.5)),(AM312*2*база!$J$4*Таблица14[[#This Row],[коэф]]),
(AM312*2*база!$L$5*Таблица14[[#This Row],[коэф]])))))))))))</f>
        <v>0</v>
      </c>
      <c r="AO312" s="122" t="str">
        <f>IFERROR(INDEX(база!$D$2:$D$120, MATCH(Таблица14[[#This Row],[Ф. И. О.]],база!$B$2:$B$100,0)),"")</f>
        <v/>
      </c>
    </row>
    <row r="313" spans="1:41">
      <c r="A313" s="207" t="str">
        <f t="shared" si="10"/>
        <v>январь</v>
      </c>
      <c r="B313" s="204">
        <v>2024</v>
      </c>
      <c r="C313" s="571"/>
      <c r="D313" s="205"/>
      <c r="E313" s="243"/>
      <c r="F313" s="673"/>
      <c r="G313" s="206"/>
      <c r="H313" s="49"/>
      <c r="I313" s="49"/>
      <c r="J313" s="49"/>
      <c r="K313" s="49"/>
      <c r="L313" s="49"/>
      <c r="M313" s="49"/>
      <c r="N313" s="49"/>
      <c r="O313" s="49"/>
      <c r="P313" s="49"/>
      <c r="Q313" s="49"/>
      <c r="R313" s="49"/>
      <c r="S313" s="49"/>
      <c r="T313" s="49"/>
      <c r="U313" s="49"/>
      <c r="V313" s="49"/>
      <c r="W313" s="49"/>
      <c r="X313" s="49"/>
      <c r="Y313" s="49"/>
      <c r="Z313" s="49"/>
      <c r="AA313" s="49"/>
      <c r="AB313" s="49"/>
      <c r="AC313" s="49"/>
      <c r="AD313" s="49"/>
      <c r="AE313" s="49"/>
      <c r="AF313" s="49"/>
      <c r="AG313" s="49"/>
      <c r="AH313" s="49"/>
      <c r="AI313" s="49"/>
      <c r="AJ313" s="49"/>
      <c r="AK313" s="49"/>
      <c r="AL313" s="49"/>
      <c r="AM313" s="121">
        <f t="shared" si="8"/>
        <v>0</v>
      </c>
      <c r="AN313" s="564">
        <f>IF(AO313&lt;=3,(IF(AND(G313="5/24",AM313&gt;0.5),(AM313*2*база!$M$6*Таблица14[[#This Row],[коэф]]),
IF(AND(G313="4/24",AM313&gt;0.5),(AM313*2*база!$M$5*Таблица14[[#This Row],[коэф]]),
IF(AND(G313="3/24",AM313&gt;0.5),(AM313*2*база!$M$4*Таблица14[[#This Row],[коэф]]),
IF(AND(G313="5/16",AM313&gt;0.5),(AM313*2*база!$L$6*Таблица14[[#This Row],[коэф]]),
IF(AND(G313="4/16",AM313&gt;0.5),(AM313*2*база!$L$5*Таблица14[[#This Row],[коэф]]),
IF(AND(G313="3/16",AM313&gt;0.5),(AM313*2*база!$L$4*Таблица14[[#This Row],[коэф]]),
IF(AND(G313="4/4",AM313&gt;0.5),(AM313*2*база!$I$5*Таблица14[[#This Row],[коэф]]),
IF(OR(AND(G313="3/4",AM313&gt;0.5),AND(G313="2/4",AM313&gt;0.5)),(AM313*2*база!$I$4*Таблица14[[#This Row],[коэф]]),
IF(AND(G313="5/8",AM313&gt;0.5),(AM313*2*база!$J$6*Таблица14[[#This Row],[коэф]]),
IF(AND(G313="4/8",AM313&gt;0.5),(AM313*2*база!$J$5*Таблица14[[#This Row],[коэф]]),
IF(OR(AND(G313="3/8",AM313&gt;0.5),AND(G313="2/8",AM313&gt;0.5)),(AM313*2*база!$J$4*Таблица14[[#This Row],[коэф]]),
(AM313*0.5*база!$L$4*Таблица14[[#This Row],[коэф]]))))))))))))),
(IF(AND(G313="5/24",AM313&gt;0.5),(AM313*2*база!$M$6*Таблица14[[#This Row],[коэф]]),
IF(OR(AND(G313="4/24",AM313&gt;0.5),AND(G313="3/24",AM313&gt;0.5)),(AM313*2*база!$M$5*Таблица14[[#This Row],[коэф]]),
IF(AND(G313="5/16",AM313&gt;0.5),(AM313*2*база!$L$6*Таблица14[[#This Row],[коэф]]),
IF(OR(AND(G313="4/16",AM313&gt;0.5),AND(G313="3/16",AM313&gt;0.5)),(AM313*2*база!$L$5*Таблица14[[#This Row],[коэф]]),
IF(OR(AND(G313="4/4",AM313&gt;0.5),AND(G313="3/4",AM313&gt;2)),(AM313*2*база!$I$5*Таблица14[[#This Row],[коэф]]),
IF(AND(G313="5/8",AM313&gt;0.5),(AM313*2*база!$J$6*Таблица14[[#This Row],[коэф]]),
IF(AND(G313="4/8",AM313&gt;0.5),(AM313*2*база!$J$5*Таблица14[[#This Row],[коэф]]),
IF(OR(AND(G313="3/8",AM313&gt;0.5),AND(G313="2/8",AM313&gt;0.5)),(AM313*2*база!$J$4*Таблица14[[#This Row],[коэф]]),
(AM313*2*база!$L$5*Таблица14[[#This Row],[коэф]])))))))))))</f>
        <v>0</v>
      </c>
      <c r="AO313" s="122" t="str">
        <f>IFERROR(INDEX(база!$D$2:$D$120, MATCH(Таблица14[[#This Row],[Ф. И. О.]],база!$B$2:$B$100,0)),"")</f>
        <v/>
      </c>
    </row>
    <row r="314" spans="1:41">
      <c r="A314" s="207" t="str">
        <f t="shared" si="10"/>
        <v>январь</v>
      </c>
      <c r="B314" s="240">
        <v>2024</v>
      </c>
      <c r="C314" s="648"/>
      <c r="D314" s="205"/>
      <c r="E314" s="241"/>
      <c r="F314" s="673"/>
      <c r="G314" s="242"/>
      <c r="H314" s="592"/>
      <c r="I314" s="592"/>
      <c r="J314" s="592"/>
      <c r="K314" s="592"/>
      <c r="L314" s="592"/>
      <c r="M314" s="592"/>
      <c r="N314" s="592"/>
      <c r="O314" s="592"/>
      <c r="P314" s="592"/>
      <c r="Q314" s="592"/>
      <c r="R314" s="592"/>
      <c r="S314" s="592"/>
      <c r="T314" s="592"/>
      <c r="U314" s="592"/>
      <c r="V314" s="592"/>
      <c r="W314" s="592"/>
      <c r="X314" s="592"/>
      <c r="Y314" s="592"/>
      <c r="Z314" s="592"/>
      <c r="AA314" s="592"/>
      <c r="AB314" s="592"/>
      <c r="AC314" s="592"/>
      <c r="AD314" s="592"/>
      <c r="AE314" s="592"/>
      <c r="AF314" s="592"/>
      <c r="AG314" s="592"/>
      <c r="AH314" s="592"/>
      <c r="AI314" s="592"/>
      <c r="AJ314" s="592"/>
      <c r="AK314" s="592"/>
      <c r="AL314" s="592"/>
      <c r="AM314" s="121">
        <f t="shared" si="8"/>
        <v>0</v>
      </c>
      <c r="AN314" s="564">
        <f>IF(AO314&lt;=3,(IF(AND(G314="5/24",AM314&gt;0.5),(AM314*2*база!$M$6*Таблица14[[#This Row],[коэф]]),
IF(AND(G314="4/24",AM314&gt;0.5),(AM314*2*база!$M$5*Таблица14[[#This Row],[коэф]]),
IF(AND(G314="3/24",AM314&gt;0.5),(AM314*2*база!$M$4*Таблица14[[#This Row],[коэф]]),
IF(AND(G314="5/16",AM314&gt;0.5),(AM314*2*база!$L$6*Таблица14[[#This Row],[коэф]]),
IF(AND(G314="4/16",AM314&gt;0.5),(AM314*2*база!$L$5*Таблица14[[#This Row],[коэф]]),
IF(AND(G314="3/16",AM314&gt;0.5),(AM314*2*база!$L$4*Таблица14[[#This Row],[коэф]]),
IF(AND(G314="4/4",AM314&gt;0.5),(AM314*2*база!$I$5*Таблица14[[#This Row],[коэф]]),
IF(OR(AND(G314="3/4",AM314&gt;0.5),AND(G314="2/4",AM314&gt;0.5)),(AM314*2*база!$I$4*Таблица14[[#This Row],[коэф]]),
IF(AND(G314="5/8",AM314&gt;0.5),(AM314*2*база!$J$6*Таблица14[[#This Row],[коэф]]),
IF(AND(G314="4/8",AM314&gt;0.5),(AM314*2*база!$J$5*Таблица14[[#This Row],[коэф]]),
IF(OR(AND(G314="3/8",AM314&gt;0.5),AND(G314="2/8",AM314&gt;0.5)),(AM314*2*база!$J$4*Таблица14[[#This Row],[коэф]]),
(AM314*0.5*база!$L$4*Таблица14[[#This Row],[коэф]]))))))))))))),
(IF(AND(G314="5/24",AM314&gt;0.5),(AM314*2*база!$M$6*Таблица14[[#This Row],[коэф]]),
IF(OR(AND(G314="4/24",AM314&gt;0.5),AND(G314="3/24",AM314&gt;0.5)),(AM314*2*база!$M$5*Таблица14[[#This Row],[коэф]]),
IF(AND(G314="5/16",AM314&gt;0.5),(AM314*2*база!$L$6*Таблица14[[#This Row],[коэф]]),
IF(OR(AND(G314="4/16",AM314&gt;0.5),AND(G314="3/16",AM314&gt;0.5)),(AM314*2*база!$L$5*Таблица14[[#This Row],[коэф]]),
IF(OR(AND(G314="4/4",AM314&gt;0.5),AND(G314="3/4",AM314&gt;2)),(AM314*2*база!$I$5*Таблица14[[#This Row],[коэф]]),
IF(AND(G314="5/8",AM314&gt;0.5),(AM314*2*база!$J$6*Таблица14[[#This Row],[коэф]]),
IF(AND(G314="4/8",AM314&gt;0.5),(AM314*2*база!$J$5*Таблица14[[#This Row],[коэф]]),
IF(OR(AND(G314="3/8",AM314&gt;0.5),AND(G314="2/8",AM314&gt;0.5)),(AM314*2*база!$J$4*Таблица14[[#This Row],[коэф]]),
(AM314*2*база!$L$5*Таблица14[[#This Row],[коэф]])))))))))))</f>
        <v>0</v>
      </c>
      <c r="AO314" s="122" t="str">
        <f>IFERROR(INDEX(база!$D$2:$D$120, MATCH(Таблица14[[#This Row],[Ф. И. О.]],база!$B$2:$B$100,0)),"")</f>
        <v/>
      </c>
    </row>
    <row r="315" spans="1:41">
      <c r="A315" s="207" t="str">
        <f t="shared" si="10"/>
        <v>январь</v>
      </c>
      <c r="B315" s="204">
        <v>2024</v>
      </c>
      <c r="C315" s="571"/>
      <c r="D315" s="205"/>
      <c r="E315" s="243"/>
      <c r="F315" s="673"/>
      <c r="G315" s="206"/>
      <c r="H315" s="49"/>
      <c r="I315" s="49"/>
      <c r="J315" s="49"/>
      <c r="K315" s="49"/>
      <c r="L315" s="49"/>
      <c r="M315" s="49"/>
      <c r="N315" s="49"/>
      <c r="O315" s="49"/>
      <c r="P315" s="49"/>
      <c r="Q315" s="49"/>
      <c r="R315" s="49"/>
      <c r="S315" s="49"/>
      <c r="T315" s="49"/>
      <c r="U315" s="49"/>
      <c r="V315" s="49"/>
      <c r="W315" s="49"/>
      <c r="X315" s="49"/>
      <c r="Y315" s="49"/>
      <c r="Z315" s="49"/>
      <c r="AA315" s="49"/>
      <c r="AB315" s="49"/>
      <c r="AC315" s="49"/>
      <c r="AD315" s="49"/>
      <c r="AE315" s="49"/>
      <c r="AF315" s="49"/>
      <c r="AG315" s="49"/>
      <c r="AH315" s="49"/>
      <c r="AI315" s="49"/>
      <c r="AJ315" s="49"/>
      <c r="AK315" s="49"/>
      <c r="AL315" s="49"/>
      <c r="AM315" s="121">
        <f t="shared" si="8"/>
        <v>0</v>
      </c>
      <c r="AN315" s="564">
        <f>IF(AO315&lt;=3,(IF(AND(G315="5/24",AM315&gt;0.5),(AM315*2*база!$M$6*Таблица14[[#This Row],[коэф]]),
IF(AND(G315="4/24",AM315&gt;0.5),(AM315*2*база!$M$5*Таблица14[[#This Row],[коэф]]),
IF(AND(G315="3/24",AM315&gt;0.5),(AM315*2*база!$M$4*Таблица14[[#This Row],[коэф]]),
IF(AND(G315="5/16",AM315&gt;0.5),(AM315*2*база!$L$6*Таблица14[[#This Row],[коэф]]),
IF(AND(G315="4/16",AM315&gt;0.5),(AM315*2*база!$L$5*Таблица14[[#This Row],[коэф]]),
IF(AND(G315="3/16",AM315&gt;0.5),(AM315*2*база!$L$4*Таблица14[[#This Row],[коэф]]),
IF(AND(G315="4/4",AM315&gt;0.5),(AM315*2*база!$I$5*Таблица14[[#This Row],[коэф]]),
IF(OR(AND(G315="3/4",AM315&gt;0.5),AND(G315="2/4",AM315&gt;0.5)),(AM315*2*база!$I$4*Таблица14[[#This Row],[коэф]]),
IF(AND(G315="5/8",AM315&gt;0.5),(AM315*2*база!$J$6*Таблица14[[#This Row],[коэф]]),
IF(AND(G315="4/8",AM315&gt;0.5),(AM315*2*база!$J$5*Таблица14[[#This Row],[коэф]]),
IF(OR(AND(G315="3/8",AM315&gt;0.5),AND(G315="2/8",AM315&gt;0.5)),(AM315*2*база!$J$4*Таблица14[[#This Row],[коэф]]),
(AM315*0.5*база!$L$4*Таблица14[[#This Row],[коэф]]))))))))))))),
(IF(AND(G315="5/24",AM315&gt;0.5),(AM315*2*база!$M$6*Таблица14[[#This Row],[коэф]]),
IF(OR(AND(G315="4/24",AM315&gt;0.5),AND(G315="3/24",AM315&gt;0.5)),(AM315*2*база!$M$5*Таблица14[[#This Row],[коэф]]),
IF(AND(G315="5/16",AM315&gt;0.5),(AM315*2*база!$L$6*Таблица14[[#This Row],[коэф]]),
IF(OR(AND(G315="4/16",AM315&gt;0.5),AND(G315="3/16",AM315&gt;0.5)),(AM315*2*база!$L$5*Таблица14[[#This Row],[коэф]]),
IF(OR(AND(G315="4/4",AM315&gt;0.5),AND(G315="3/4",AM315&gt;2)),(AM315*2*база!$I$5*Таблица14[[#This Row],[коэф]]),
IF(AND(G315="5/8",AM315&gt;0.5),(AM315*2*база!$J$6*Таблица14[[#This Row],[коэф]]),
IF(AND(G315="4/8",AM315&gt;0.5),(AM315*2*база!$J$5*Таблица14[[#This Row],[коэф]]),
IF(OR(AND(G315="3/8",AM315&gt;0.5),AND(G315="2/8",AM315&gt;0.5)),(AM315*2*база!$J$4*Таблица14[[#This Row],[коэф]]),
(AM315*2*база!$L$5*Таблица14[[#This Row],[коэф]])))))))))))</f>
        <v>0</v>
      </c>
      <c r="AO315" s="122" t="str">
        <f>IFERROR(INDEX(база!$D$2:$D$120, MATCH(Таблица14[[#This Row],[Ф. И. О.]],база!$B$2:$B$100,0)),"")</f>
        <v/>
      </c>
    </row>
    <row r="316" spans="1:41">
      <c r="A316" s="207" t="str">
        <f t="shared" si="10"/>
        <v>январь</v>
      </c>
      <c r="B316" s="240">
        <v>2024</v>
      </c>
      <c r="C316" s="648"/>
      <c r="D316" s="205"/>
      <c r="E316" s="241"/>
      <c r="F316" s="673"/>
      <c r="G316" s="242"/>
      <c r="H316" s="592"/>
      <c r="I316" s="592"/>
      <c r="J316" s="592"/>
      <c r="K316" s="592"/>
      <c r="L316" s="592"/>
      <c r="M316" s="592"/>
      <c r="N316" s="592"/>
      <c r="O316" s="592"/>
      <c r="P316" s="592"/>
      <c r="Q316" s="592"/>
      <c r="R316" s="592"/>
      <c r="S316" s="592"/>
      <c r="T316" s="592"/>
      <c r="U316" s="592"/>
      <c r="V316" s="592"/>
      <c r="W316" s="592"/>
      <c r="X316" s="592"/>
      <c r="Y316" s="592"/>
      <c r="Z316" s="592"/>
      <c r="AA316" s="592"/>
      <c r="AB316" s="592"/>
      <c r="AC316" s="592"/>
      <c r="AD316" s="592"/>
      <c r="AE316" s="592"/>
      <c r="AF316" s="592"/>
      <c r="AG316" s="592"/>
      <c r="AH316" s="592"/>
      <c r="AI316" s="592"/>
      <c r="AJ316" s="592"/>
      <c r="AK316" s="592"/>
      <c r="AL316" s="592"/>
      <c r="AM316" s="121">
        <f t="shared" si="8"/>
        <v>0</v>
      </c>
      <c r="AN316" s="564">
        <f>IF(AO316&lt;=3,(IF(AND(G316="5/24",AM316&gt;0.5),(AM316*2*база!$M$6*Таблица14[[#This Row],[коэф]]),
IF(AND(G316="4/24",AM316&gt;0.5),(AM316*2*база!$M$5*Таблица14[[#This Row],[коэф]]),
IF(AND(G316="3/24",AM316&gt;0.5),(AM316*2*база!$M$4*Таблица14[[#This Row],[коэф]]),
IF(AND(G316="5/16",AM316&gt;0.5),(AM316*2*база!$L$6*Таблица14[[#This Row],[коэф]]),
IF(AND(G316="4/16",AM316&gt;0.5),(AM316*2*база!$L$5*Таблица14[[#This Row],[коэф]]),
IF(AND(G316="3/16",AM316&gt;0.5),(AM316*2*база!$L$4*Таблица14[[#This Row],[коэф]]),
IF(AND(G316="4/4",AM316&gt;0.5),(AM316*2*база!$I$5*Таблица14[[#This Row],[коэф]]),
IF(OR(AND(G316="3/4",AM316&gt;0.5),AND(G316="2/4",AM316&gt;0.5)),(AM316*2*база!$I$4*Таблица14[[#This Row],[коэф]]),
IF(AND(G316="5/8",AM316&gt;0.5),(AM316*2*база!$J$6*Таблица14[[#This Row],[коэф]]),
IF(AND(G316="4/8",AM316&gt;0.5),(AM316*2*база!$J$5*Таблица14[[#This Row],[коэф]]),
IF(OR(AND(G316="3/8",AM316&gt;0.5),AND(G316="2/8",AM316&gt;0.5)),(AM316*2*база!$J$4*Таблица14[[#This Row],[коэф]]),
(AM316*0.5*база!$L$4*Таблица14[[#This Row],[коэф]]))))))))))))),
(IF(AND(G316="5/24",AM316&gt;0.5),(AM316*2*база!$M$6*Таблица14[[#This Row],[коэф]]),
IF(OR(AND(G316="4/24",AM316&gt;0.5),AND(G316="3/24",AM316&gt;0.5)),(AM316*2*база!$M$5*Таблица14[[#This Row],[коэф]]),
IF(AND(G316="5/16",AM316&gt;0.5),(AM316*2*база!$L$6*Таблица14[[#This Row],[коэф]]),
IF(OR(AND(G316="4/16",AM316&gt;0.5),AND(G316="3/16",AM316&gt;0.5)),(AM316*2*база!$L$5*Таблица14[[#This Row],[коэф]]),
IF(OR(AND(G316="4/4",AM316&gt;0.5),AND(G316="3/4",AM316&gt;2)),(AM316*2*база!$I$5*Таблица14[[#This Row],[коэф]]),
IF(AND(G316="5/8",AM316&gt;0.5),(AM316*2*база!$J$6*Таблица14[[#This Row],[коэф]]),
IF(AND(G316="4/8",AM316&gt;0.5),(AM316*2*база!$J$5*Таблица14[[#This Row],[коэф]]),
IF(OR(AND(G316="3/8",AM316&gt;0.5),AND(G316="2/8",AM316&gt;0.5)),(AM316*2*база!$J$4*Таблица14[[#This Row],[коэф]]),
(AM316*2*база!$L$5*Таблица14[[#This Row],[коэф]])))))))))))</f>
        <v>0</v>
      </c>
      <c r="AO316" s="122" t="str">
        <f>IFERROR(INDEX(база!$D$2:$D$120, MATCH(Таблица14[[#This Row],[Ф. И. О.]],база!$B$2:$B$100,0)),"")</f>
        <v/>
      </c>
    </row>
    <row r="317" spans="1:41">
      <c r="A317" s="207" t="str">
        <f t="shared" si="10"/>
        <v>январь</v>
      </c>
      <c r="B317" s="204">
        <v>2024</v>
      </c>
      <c r="C317" s="571"/>
      <c r="D317" s="214"/>
      <c r="E317" s="243"/>
      <c r="F317" s="673"/>
      <c r="G317" s="206"/>
      <c r="H317" s="49"/>
      <c r="I317" s="49"/>
      <c r="J317" s="49"/>
      <c r="K317" s="49"/>
      <c r="L317" s="49"/>
      <c r="M317" s="49"/>
      <c r="N317" s="49"/>
      <c r="O317" s="49"/>
      <c r="P317" s="49"/>
      <c r="Q317" s="49"/>
      <c r="R317" s="49"/>
      <c r="S317" s="49"/>
      <c r="T317" s="49"/>
      <c r="U317" s="49"/>
      <c r="V317" s="49"/>
      <c r="W317" s="49"/>
      <c r="X317" s="49"/>
      <c r="Y317" s="49"/>
      <c r="Z317" s="49"/>
      <c r="AA317" s="49"/>
      <c r="AB317" s="49"/>
      <c r="AC317" s="49"/>
      <c r="AD317" s="49"/>
      <c r="AE317" s="49"/>
      <c r="AF317" s="49"/>
      <c r="AG317" s="49"/>
      <c r="AH317" s="49"/>
      <c r="AI317" s="49"/>
      <c r="AJ317" s="49"/>
      <c r="AK317" s="49"/>
      <c r="AL317" s="49"/>
      <c r="AM317" s="121">
        <f t="shared" si="8"/>
        <v>0</v>
      </c>
      <c r="AN317" s="564">
        <f>IF(AO317&lt;=3,(IF(AND(G317="5/24",AM317&gt;0.5),(AM317*2*база!$M$6*Таблица14[[#This Row],[коэф]]),
IF(AND(G317="4/24",AM317&gt;0.5),(AM317*2*база!$M$5*Таблица14[[#This Row],[коэф]]),
IF(AND(G317="3/24",AM317&gt;0.5),(AM317*2*база!$M$4*Таблица14[[#This Row],[коэф]]),
IF(AND(G317="5/16",AM317&gt;0.5),(AM317*2*база!$L$6*Таблица14[[#This Row],[коэф]]),
IF(AND(G317="4/16",AM317&gt;0.5),(AM317*2*база!$L$5*Таблица14[[#This Row],[коэф]]),
IF(AND(G317="3/16",AM317&gt;0.5),(AM317*2*база!$L$4*Таблица14[[#This Row],[коэф]]),
IF(AND(G317="4/4",AM317&gt;0.5),(AM317*2*база!$I$5*Таблица14[[#This Row],[коэф]]),
IF(OR(AND(G317="3/4",AM317&gt;0.5),AND(G317="2/4",AM317&gt;0.5)),(AM317*2*база!$I$4*Таблица14[[#This Row],[коэф]]),
IF(AND(G317="5/8",AM317&gt;0.5),(AM317*2*база!$J$6*Таблица14[[#This Row],[коэф]]),
IF(AND(G317="4/8",AM317&gt;0.5),(AM317*2*база!$J$5*Таблица14[[#This Row],[коэф]]),
IF(OR(AND(G317="3/8",AM317&gt;0.5),AND(G317="2/8",AM317&gt;0.5)),(AM317*2*база!$J$4*Таблица14[[#This Row],[коэф]]),
(AM317*0.5*база!$L$4*Таблица14[[#This Row],[коэф]]))))))))))))),
(IF(AND(G317="5/24",AM317&gt;0.5),(AM317*2*база!$M$6*Таблица14[[#This Row],[коэф]]),
IF(OR(AND(G317="4/24",AM317&gt;0.5),AND(G317="3/24",AM317&gt;0.5)),(AM317*2*база!$M$5*Таблица14[[#This Row],[коэф]]),
IF(AND(G317="5/16",AM317&gt;0.5),(AM317*2*база!$L$6*Таблица14[[#This Row],[коэф]]),
IF(OR(AND(G317="4/16",AM317&gt;0.5),AND(G317="3/16",AM317&gt;0.5)),(AM317*2*база!$L$5*Таблица14[[#This Row],[коэф]]),
IF(OR(AND(G317="4/4",AM317&gt;0.5),AND(G317="3/4",AM317&gt;2)),(AM317*2*база!$I$5*Таблица14[[#This Row],[коэф]]),
IF(AND(G317="5/8",AM317&gt;0.5),(AM317*2*база!$J$6*Таблица14[[#This Row],[коэф]]),
IF(AND(G317="4/8",AM317&gt;0.5),(AM317*2*база!$J$5*Таблица14[[#This Row],[коэф]]),
IF(OR(AND(G317="3/8",AM317&gt;0.5),AND(G317="2/8",AM317&gt;0.5)),(AM317*2*база!$J$4*Таблица14[[#This Row],[коэф]]),
(AM317*2*база!$L$5*Таблица14[[#This Row],[коэф]])))))))))))</f>
        <v>0</v>
      </c>
      <c r="AO317" s="122" t="str">
        <f>IFERROR(INDEX(база!$D$2:$D$120, MATCH(Таблица14[[#This Row],[Ф. И. О.]],база!$B$2:$B$100,0)),"")</f>
        <v/>
      </c>
    </row>
    <row r="318" spans="1:41">
      <c r="A318" s="207" t="str">
        <f t="shared" si="10"/>
        <v>январь</v>
      </c>
      <c r="B318" s="240">
        <v>2024</v>
      </c>
      <c r="C318" s="648"/>
      <c r="D318" s="214"/>
      <c r="E318" s="241"/>
      <c r="F318" s="673"/>
      <c r="G318" s="242"/>
      <c r="H318" s="592"/>
      <c r="I318" s="592"/>
      <c r="J318" s="592"/>
      <c r="K318" s="592"/>
      <c r="L318" s="592"/>
      <c r="M318" s="592"/>
      <c r="N318" s="592"/>
      <c r="O318" s="592"/>
      <c r="P318" s="592"/>
      <c r="Q318" s="592"/>
      <c r="R318" s="592"/>
      <c r="S318" s="592"/>
      <c r="T318" s="592"/>
      <c r="U318" s="592"/>
      <c r="V318" s="592"/>
      <c r="W318" s="592"/>
      <c r="X318" s="592"/>
      <c r="Y318" s="592"/>
      <c r="Z318" s="592"/>
      <c r="AA318" s="592"/>
      <c r="AB318" s="592"/>
      <c r="AC318" s="592"/>
      <c r="AD318" s="592"/>
      <c r="AE318" s="592"/>
      <c r="AF318" s="592"/>
      <c r="AG318" s="592"/>
      <c r="AH318" s="592"/>
      <c r="AI318" s="592"/>
      <c r="AJ318" s="592"/>
      <c r="AK318" s="592"/>
      <c r="AL318" s="592"/>
      <c r="AM318" s="121">
        <f t="shared" si="8"/>
        <v>0</v>
      </c>
      <c r="AN318" s="564">
        <f>IF(AO318&lt;=3,(IF(AND(G318="5/24",AM318&gt;0.5),(AM318*2*база!$M$6*Таблица14[[#This Row],[коэф]]),
IF(AND(G318="4/24",AM318&gt;0.5),(AM318*2*база!$M$5*Таблица14[[#This Row],[коэф]]),
IF(AND(G318="3/24",AM318&gt;0.5),(AM318*2*база!$M$4*Таблица14[[#This Row],[коэф]]),
IF(AND(G318="5/16",AM318&gt;0.5),(AM318*2*база!$L$6*Таблица14[[#This Row],[коэф]]),
IF(AND(G318="4/16",AM318&gt;0.5),(AM318*2*база!$L$5*Таблица14[[#This Row],[коэф]]),
IF(AND(G318="3/16",AM318&gt;0.5),(AM318*2*база!$L$4*Таблица14[[#This Row],[коэф]]),
IF(AND(G318="4/4",AM318&gt;0.5),(AM318*2*база!$I$5*Таблица14[[#This Row],[коэф]]),
IF(OR(AND(G318="3/4",AM318&gt;0.5),AND(G318="2/4",AM318&gt;0.5)),(AM318*2*база!$I$4*Таблица14[[#This Row],[коэф]]),
IF(AND(G318="5/8",AM318&gt;0.5),(AM318*2*база!$J$6*Таблица14[[#This Row],[коэф]]),
IF(AND(G318="4/8",AM318&gt;0.5),(AM318*2*база!$J$5*Таблица14[[#This Row],[коэф]]),
IF(OR(AND(G318="3/8",AM318&gt;0.5),AND(G318="2/8",AM318&gt;0.5)),(AM318*2*база!$J$4*Таблица14[[#This Row],[коэф]]),
(AM318*0.5*база!$L$4*Таблица14[[#This Row],[коэф]]))))))))))))),
(IF(AND(G318="5/24",AM318&gt;0.5),(AM318*2*база!$M$6*Таблица14[[#This Row],[коэф]]),
IF(OR(AND(G318="4/24",AM318&gt;0.5),AND(G318="3/24",AM318&gt;0.5)),(AM318*2*база!$M$5*Таблица14[[#This Row],[коэф]]),
IF(AND(G318="5/16",AM318&gt;0.5),(AM318*2*база!$L$6*Таблица14[[#This Row],[коэф]]),
IF(OR(AND(G318="4/16",AM318&gt;0.5),AND(G318="3/16",AM318&gt;0.5)),(AM318*2*база!$L$5*Таблица14[[#This Row],[коэф]]),
IF(OR(AND(G318="4/4",AM318&gt;0.5),AND(G318="3/4",AM318&gt;2)),(AM318*2*база!$I$5*Таблица14[[#This Row],[коэф]]),
IF(AND(G318="5/8",AM318&gt;0.5),(AM318*2*база!$J$6*Таблица14[[#This Row],[коэф]]),
IF(AND(G318="4/8",AM318&gt;0.5),(AM318*2*база!$J$5*Таблица14[[#This Row],[коэф]]),
IF(OR(AND(G318="3/8",AM318&gt;0.5),AND(G318="2/8",AM318&gt;0.5)),(AM318*2*база!$J$4*Таблица14[[#This Row],[коэф]]),
(AM318*2*база!$L$5*Таблица14[[#This Row],[коэф]])))))))))))</f>
        <v>0</v>
      </c>
      <c r="AO318" s="122" t="str">
        <f>IFERROR(INDEX(база!$D$2:$D$120, MATCH(Таблица14[[#This Row],[Ф. И. О.]],база!$B$2:$B$100,0)),"")</f>
        <v/>
      </c>
    </row>
    <row r="319" spans="1:41">
      <c r="A319" s="207" t="str">
        <f t="shared" si="10"/>
        <v>январь</v>
      </c>
      <c r="B319" s="204">
        <v>2024</v>
      </c>
      <c r="C319" s="571"/>
      <c r="D319" s="205"/>
      <c r="E319" s="243"/>
      <c r="F319" s="673"/>
      <c r="G319" s="206"/>
      <c r="H319" s="49"/>
      <c r="I319" s="49"/>
      <c r="J319" s="49"/>
      <c r="K319" s="49"/>
      <c r="L319" s="49"/>
      <c r="M319" s="49"/>
      <c r="N319" s="49"/>
      <c r="O319" s="49"/>
      <c r="P319" s="49"/>
      <c r="Q319" s="49"/>
      <c r="R319" s="49"/>
      <c r="S319" s="49"/>
      <c r="T319" s="49"/>
      <c r="U319" s="49"/>
      <c r="V319" s="49"/>
      <c r="W319" s="49"/>
      <c r="X319" s="49"/>
      <c r="Y319" s="49"/>
      <c r="Z319" s="49"/>
      <c r="AA319" s="49"/>
      <c r="AB319" s="49"/>
      <c r="AC319" s="49"/>
      <c r="AD319" s="49"/>
      <c r="AE319" s="49"/>
      <c r="AF319" s="49"/>
      <c r="AG319" s="49"/>
      <c r="AH319" s="49"/>
      <c r="AI319" s="49"/>
      <c r="AJ319" s="49"/>
      <c r="AK319" s="49"/>
      <c r="AL319" s="49"/>
      <c r="AM319" s="121">
        <f t="shared" si="8"/>
        <v>0</v>
      </c>
      <c r="AN319" s="564">
        <f>IF(AO319&lt;=3,(IF(AND(G319="5/24",AM319&gt;0.5),(AM319*2*база!$M$6*Таблица14[[#This Row],[коэф]]),
IF(AND(G319="4/24",AM319&gt;0.5),(AM319*2*база!$M$5*Таблица14[[#This Row],[коэф]]),
IF(AND(G319="3/24",AM319&gt;0.5),(AM319*2*база!$M$4*Таблица14[[#This Row],[коэф]]),
IF(AND(G319="5/16",AM319&gt;0.5),(AM319*2*база!$L$6*Таблица14[[#This Row],[коэф]]),
IF(AND(G319="4/16",AM319&gt;0.5),(AM319*2*база!$L$5*Таблица14[[#This Row],[коэф]]),
IF(AND(G319="3/16",AM319&gt;0.5),(AM319*2*база!$L$4*Таблица14[[#This Row],[коэф]]),
IF(AND(G319="4/4",AM319&gt;0.5),(AM319*2*база!$I$5*Таблица14[[#This Row],[коэф]]),
IF(OR(AND(G319="3/4",AM319&gt;0.5),AND(G319="2/4",AM319&gt;0.5)),(AM319*2*база!$I$4*Таблица14[[#This Row],[коэф]]),
IF(AND(G319="5/8",AM319&gt;0.5),(AM319*2*база!$J$6*Таблица14[[#This Row],[коэф]]),
IF(AND(G319="4/8",AM319&gt;0.5),(AM319*2*база!$J$5*Таблица14[[#This Row],[коэф]]),
IF(OR(AND(G319="3/8",AM319&gt;0.5),AND(G319="2/8",AM319&gt;0.5)),(AM319*2*база!$J$4*Таблица14[[#This Row],[коэф]]),
(AM319*0.5*база!$L$4*Таблица14[[#This Row],[коэф]]))))))))))))),
(IF(AND(G319="5/24",AM319&gt;0.5),(AM319*2*база!$M$6*Таблица14[[#This Row],[коэф]]),
IF(OR(AND(G319="4/24",AM319&gt;0.5),AND(G319="3/24",AM319&gt;0.5)),(AM319*2*база!$M$5*Таблица14[[#This Row],[коэф]]),
IF(AND(G319="5/16",AM319&gt;0.5),(AM319*2*база!$L$6*Таблица14[[#This Row],[коэф]]),
IF(OR(AND(G319="4/16",AM319&gt;0.5),AND(G319="3/16",AM319&gt;0.5)),(AM319*2*база!$L$5*Таблица14[[#This Row],[коэф]]),
IF(OR(AND(G319="4/4",AM319&gt;0.5),AND(G319="3/4",AM319&gt;2)),(AM319*2*база!$I$5*Таблица14[[#This Row],[коэф]]),
IF(AND(G319="5/8",AM319&gt;0.5),(AM319*2*база!$J$6*Таблица14[[#This Row],[коэф]]),
IF(AND(G319="4/8",AM319&gt;0.5),(AM319*2*база!$J$5*Таблица14[[#This Row],[коэф]]),
IF(OR(AND(G319="3/8",AM319&gt;0.5),AND(G319="2/8",AM319&gt;0.5)),(AM319*2*база!$J$4*Таблица14[[#This Row],[коэф]]),
(AM319*2*база!$L$5*Таблица14[[#This Row],[коэф]])))))))))))</f>
        <v>0</v>
      </c>
      <c r="AO319" s="122" t="str">
        <f>IFERROR(INDEX(база!$D$2:$D$120, MATCH(Таблица14[[#This Row],[Ф. И. О.]],база!$B$2:$B$100,0)),"")</f>
        <v/>
      </c>
    </row>
    <row r="320" spans="1:41">
      <c r="A320" s="207" t="str">
        <f t="shared" si="10"/>
        <v>январь</v>
      </c>
      <c r="B320" s="240">
        <v>2024</v>
      </c>
      <c r="C320" s="648"/>
      <c r="D320" s="205"/>
      <c r="E320" s="241"/>
      <c r="F320" s="673"/>
      <c r="G320" s="242"/>
      <c r="H320" s="592"/>
      <c r="I320" s="592"/>
      <c r="J320" s="592"/>
      <c r="K320" s="592"/>
      <c r="L320" s="592"/>
      <c r="M320" s="592"/>
      <c r="N320" s="592"/>
      <c r="O320" s="592"/>
      <c r="P320" s="592"/>
      <c r="Q320" s="592"/>
      <c r="R320" s="592"/>
      <c r="S320" s="592"/>
      <c r="T320" s="592"/>
      <c r="U320" s="592"/>
      <c r="V320" s="592"/>
      <c r="W320" s="592"/>
      <c r="X320" s="592"/>
      <c r="Y320" s="592"/>
      <c r="Z320" s="592"/>
      <c r="AA320" s="592"/>
      <c r="AB320" s="592"/>
      <c r="AC320" s="592"/>
      <c r="AD320" s="592"/>
      <c r="AE320" s="592"/>
      <c r="AF320" s="592"/>
      <c r="AG320" s="592"/>
      <c r="AH320" s="592"/>
      <c r="AI320" s="592"/>
      <c r="AJ320" s="592"/>
      <c r="AK320" s="592"/>
      <c r="AL320" s="592"/>
      <c r="AM320" s="121">
        <f t="shared" si="8"/>
        <v>0</v>
      </c>
      <c r="AN320" s="564">
        <f>IF(AO320&lt;=3,(IF(AND(G320="5/24",AM320&gt;0.5),(AM320*2*база!$M$6*Таблица14[[#This Row],[коэф]]),
IF(AND(G320="4/24",AM320&gt;0.5),(AM320*2*база!$M$5*Таблица14[[#This Row],[коэф]]),
IF(AND(G320="3/24",AM320&gt;0.5),(AM320*2*база!$M$4*Таблица14[[#This Row],[коэф]]),
IF(AND(G320="5/16",AM320&gt;0.5),(AM320*2*база!$L$6*Таблица14[[#This Row],[коэф]]),
IF(AND(G320="4/16",AM320&gt;0.5),(AM320*2*база!$L$5*Таблица14[[#This Row],[коэф]]),
IF(AND(G320="3/16",AM320&gt;0.5),(AM320*2*база!$L$4*Таблица14[[#This Row],[коэф]]),
IF(AND(G320="4/4",AM320&gt;0.5),(AM320*2*база!$I$5*Таблица14[[#This Row],[коэф]]),
IF(OR(AND(G320="3/4",AM320&gt;0.5),AND(G320="2/4",AM320&gt;0.5)),(AM320*2*база!$I$4*Таблица14[[#This Row],[коэф]]),
IF(AND(G320="5/8",AM320&gt;0.5),(AM320*2*база!$J$6*Таблица14[[#This Row],[коэф]]),
IF(AND(G320="4/8",AM320&gt;0.5),(AM320*2*база!$J$5*Таблица14[[#This Row],[коэф]]),
IF(OR(AND(G320="3/8",AM320&gt;0.5),AND(G320="2/8",AM320&gt;0.5)),(AM320*2*база!$J$4*Таблица14[[#This Row],[коэф]]),
(AM320*0.5*база!$L$4*Таблица14[[#This Row],[коэф]]))))))))))))),
(IF(AND(G320="5/24",AM320&gt;0.5),(AM320*2*база!$M$6*Таблица14[[#This Row],[коэф]]),
IF(OR(AND(G320="4/24",AM320&gt;0.5),AND(G320="3/24",AM320&gt;0.5)),(AM320*2*база!$M$5*Таблица14[[#This Row],[коэф]]),
IF(AND(G320="5/16",AM320&gt;0.5),(AM320*2*база!$L$6*Таблица14[[#This Row],[коэф]]),
IF(OR(AND(G320="4/16",AM320&gt;0.5),AND(G320="3/16",AM320&gt;0.5)),(AM320*2*база!$L$5*Таблица14[[#This Row],[коэф]]),
IF(OR(AND(G320="4/4",AM320&gt;0.5),AND(G320="3/4",AM320&gt;2)),(AM320*2*база!$I$5*Таблица14[[#This Row],[коэф]]),
IF(AND(G320="5/8",AM320&gt;0.5),(AM320*2*база!$J$6*Таблица14[[#This Row],[коэф]]),
IF(AND(G320="4/8",AM320&gt;0.5),(AM320*2*база!$J$5*Таблица14[[#This Row],[коэф]]),
IF(OR(AND(G320="3/8",AM320&gt;0.5),AND(G320="2/8",AM320&gt;0.5)),(AM320*2*база!$J$4*Таблица14[[#This Row],[коэф]]),
(AM320*2*база!$L$5*Таблица14[[#This Row],[коэф]])))))))))))</f>
        <v>0</v>
      </c>
      <c r="AO320" s="122" t="str">
        <f>IFERROR(INDEX(база!$D$2:$D$120, MATCH(Таблица14[[#This Row],[Ф. И. О.]],база!$B$2:$B$100,0)),"")</f>
        <v/>
      </c>
    </row>
    <row r="321" spans="1:41">
      <c r="A321" s="207" t="str">
        <f t="shared" si="10"/>
        <v>январь</v>
      </c>
      <c r="B321" s="204">
        <v>2024</v>
      </c>
      <c r="C321" s="571"/>
      <c r="D321" s="214"/>
      <c r="E321" s="243"/>
      <c r="F321" s="673"/>
      <c r="G321" s="206"/>
      <c r="H321" s="49"/>
      <c r="I321" s="49"/>
      <c r="J321" s="49"/>
      <c r="K321" s="49"/>
      <c r="L321" s="49"/>
      <c r="M321" s="49"/>
      <c r="N321" s="49"/>
      <c r="O321" s="49"/>
      <c r="P321" s="49"/>
      <c r="Q321" s="49"/>
      <c r="R321" s="49"/>
      <c r="S321" s="49"/>
      <c r="T321" s="49"/>
      <c r="U321" s="49"/>
      <c r="V321" s="49"/>
      <c r="W321" s="49"/>
      <c r="X321" s="49"/>
      <c r="Y321" s="49"/>
      <c r="Z321" s="49"/>
      <c r="AA321" s="49"/>
      <c r="AB321" s="49"/>
      <c r="AC321" s="49"/>
      <c r="AD321" s="49"/>
      <c r="AE321" s="49"/>
      <c r="AF321" s="49"/>
      <c r="AG321" s="49"/>
      <c r="AH321" s="49"/>
      <c r="AI321" s="49"/>
      <c r="AJ321" s="49"/>
      <c r="AK321" s="49"/>
      <c r="AL321" s="49"/>
      <c r="AM321" s="121">
        <f t="shared" si="8"/>
        <v>0</v>
      </c>
      <c r="AN321" s="564">
        <f>IF(AO321&lt;=3,(IF(AND(G321="5/24",AM321&gt;0.5),(AM321*2*база!$M$6*Таблица14[[#This Row],[коэф]]),
IF(AND(G321="4/24",AM321&gt;0.5),(AM321*2*база!$M$5*Таблица14[[#This Row],[коэф]]),
IF(AND(G321="3/24",AM321&gt;0.5),(AM321*2*база!$M$4*Таблица14[[#This Row],[коэф]]),
IF(AND(G321="5/16",AM321&gt;0.5),(AM321*2*база!$L$6*Таблица14[[#This Row],[коэф]]),
IF(AND(G321="4/16",AM321&gt;0.5),(AM321*2*база!$L$5*Таблица14[[#This Row],[коэф]]),
IF(AND(G321="3/16",AM321&gt;0.5),(AM321*2*база!$L$4*Таблица14[[#This Row],[коэф]]),
IF(AND(G321="4/4",AM321&gt;0.5),(AM321*2*база!$I$5*Таблица14[[#This Row],[коэф]]),
IF(OR(AND(G321="3/4",AM321&gt;0.5),AND(G321="2/4",AM321&gt;0.5)),(AM321*2*база!$I$4*Таблица14[[#This Row],[коэф]]),
IF(AND(G321="5/8",AM321&gt;0.5),(AM321*2*база!$J$6*Таблица14[[#This Row],[коэф]]),
IF(AND(G321="4/8",AM321&gt;0.5),(AM321*2*база!$J$5*Таблица14[[#This Row],[коэф]]),
IF(OR(AND(G321="3/8",AM321&gt;0.5),AND(G321="2/8",AM321&gt;0.5)),(AM321*2*база!$J$4*Таблица14[[#This Row],[коэф]]),
(AM321*0.5*база!$L$4*Таблица14[[#This Row],[коэф]]))))))))))))),
(IF(AND(G321="5/24",AM321&gt;0.5),(AM321*2*база!$M$6*Таблица14[[#This Row],[коэф]]),
IF(OR(AND(G321="4/24",AM321&gt;0.5),AND(G321="3/24",AM321&gt;0.5)),(AM321*2*база!$M$5*Таблица14[[#This Row],[коэф]]),
IF(AND(G321="5/16",AM321&gt;0.5),(AM321*2*база!$L$6*Таблица14[[#This Row],[коэф]]),
IF(OR(AND(G321="4/16",AM321&gt;0.5),AND(G321="3/16",AM321&gt;0.5)),(AM321*2*база!$L$5*Таблица14[[#This Row],[коэф]]),
IF(OR(AND(G321="4/4",AM321&gt;0.5),AND(G321="3/4",AM321&gt;2)),(AM321*2*база!$I$5*Таблица14[[#This Row],[коэф]]),
IF(AND(G321="5/8",AM321&gt;0.5),(AM321*2*база!$J$6*Таблица14[[#This Row],[коэф]]),
IF(AND(G321="4/8",AM321&gt;0.5),(AM321*2*база!$J$5*Таблица14[[#This Row],[коэф]]),
IF(OR(AND(G321="3/8",AM321&gt;0.5),AND(G321="2/8",AM321&gt;0.5)),(AM321*2*база!$J$4*Таблица14[[#This Row],[коэф]]),
(AM321*2*база!$L$5*Таблица14[[#This Row],[коэф]])))))))))))</f>
        <v>0</v>
      </c>
      <c r="AO321" s="122" t="str">
        <f>IFERROR(INDEX(база!$D$2:$D$120, MATCH(Таблица14[[#This Row],[Ф. И. О.]],база!$B$2:$B$100,0)),"")</f>
        <v/>
      </c>
    </row>
    <row r="322" spans="1:41">
      <c r="A322" s="207" t="str">
        <f t="shared" si="10"/>
        <v>январь</v>
      </c>
      <c r="B322" s="240">
        <v>2024</v>
      </c>
      <c r="C322" s="648"/>
      <c r="D322" s="205"/>
      <c r="E322" s="241"/>
      <c r="F322" s="673"/>
      <c r="G322" s="242"/>
      <c r="H322" s="592"/>
      <c r="I322" s="592"/>
      <c r="J322" s="592"/>
      <c r="K322" s="592"/>
      <c r="L322" s="592"/>
      <c r="M322" s="592"/>
      <c r="N322" s="592"/>
      <c r="O322" s="592"/>
      <c r="P322" s="592"/>
      <c r="Q322" s="592"/>
      <c r="R322" s="592"/>
      <c r="S322" s="592"/>
      <c r="T322" s="592"/>
      <c r="U322" s="592"/>
      <c r="V322" s="592"/>
      <c r="W322" s="592"/>
      <c r="X322" s="592"/>
      <c r="Y322" s="592"/>
      <c r="Z322" s="592"/>
      <c r="AA322" s="592"/>
      <c r="AB322" s="592"/>
      <c r="AC322" s="592"/>
      <c r="AD322" s="592"/>
      <c r="AE322" s="592"/>
      <c r="AF322" s="592"/>
      <c r="AG322" s="592"/>
      <c r="AH322" s="592"/>
      <c r="AI322" s="592"/>
      <c r="AJ322" s="592"/>
      <c r="AK322" s="592"/>
      <c r="AL322" s="592"/>
      <c r="AM322" s="121">
        <f t="shared" si="8"/>
        <v>0</v>
      </c>
      <c r="AN322" s="564">
        <f>IF(AO322&lt;=3,(IF(AND(G322="5/24",AM322&gt;0.5),(AM322*2*база!$M$6*Таблица14[[#This Row],[коэф]]),
IF(AND(G322="4/24",AM322&gt;0.5),(AM322*2*база!$M$5*Таблица14[[#This Row],[коэф]]),
IF(AND(G322="3/24",AM322&gt;0.5),(AM322*2*база!$M$4*Таблица14[[#This Row],[коэф]]),
IF(AND(G322="5/16",AM322&gt;0.5),(AM322*2*база!$L$6*Таблица14[[#This Row],[коэф]]),
IF(AND(G322="4/16",AM322&gt;0.5),(AM322*2*база!$L$5*Таблица14[[#This Row],[коэф]]),
IF(AND(G322="3/16",AM322&gt;0.5),(AM322*2*база!$L$4*Таблица14[[#This Row],[коэф]]),
IF(AND(G322="4/4",AM322&gt;0.5),(AM322*2*база!$I$5*Таблица14[[#This Row],[коэф]]),
IF(OR(AND(G322="3/4",AM322&gt;0.5),AND(G322="2/4",AM322&gt;0.5)),(AM322*2*база!$I$4*Таблица14[[#This Row],[коэф]]),
IF(AND(G322="5/8",AM322&gt;0.5),(AM322*2*база!$J$6*Таблица14[[#This Row],[коэф]]),
IF(AND(G322="4/8",AM322&gt;0.5),(AM322*2*база!$J$5*Таблица14[[#This Row],[коэф]]),
IF(OR(AND(G322="3/8",AM322&gt;0.5),AND(G322="2/8",AM322&gt;0.5)),(AM322*2*база!$J$4*Таблица14[[#This Row],[коэф]]),
(AM322*0.5*база!$L$4*Таблица14[[#This Row],[коэф]]))))))))))))),
(IF(AND(G322="5/24",AM322&gt;0.5),(AM322*2*база!$M$6*Таблица14[[#This Row],[коэф]]),
IF(OR(AND(G322="4/24",AM322&gt;0.5),AND(G322="3/24",AM322&gt;0.5)),(AM322*2*база!$M$5*Таблица14[[#This Row],[коэф]]),
IF(AND(G322="5/16",AM322&gt;0.5),(AM322*2*база!$L$6*Таблица14[[#This Row],[коэф]]),
IF(OR(AND(G322="4/16",AM322&gt;0.5),AND(G322="3/16",AM322&gt;0.5)),(AM322*2*база!$L$5*Таблица14[[#This Row],[коэф]]),
IF(OR(AND(G322="4/4",AM322&gt;0.5),AND(G322="3/4",AM322&gt;2)),(AM322*2*база!$I$5*Таблица14[[#This Row],[коэф]]),
IF(AND(G322="5/8",AM322&gt;0.5),(AM322*2*база!$J$6*Таблица14[[#This Row],[коэф]]),
IF(AND(G322="4/8",AM322&gt;0.5),(AM322*2*база!$J$5*Таблица14[[#This Row],[коэф]]),
IF(OR(AND(G322="3/8",AM322&gt;0.5),AND(G322="2/8",AM322&gt;0.5)),(AM322*2*база!$J$4*Таблица14[[#This Row],[коэф]]),
(AM322*2*база!$L$5*Таблица14[[#This Row],[коэф]])))))))))))</f>
        <v>0</v>
      </c>
      <c r="AO322" s="122" t="str">
        <f>IFERROR(INDEX(база!$D$2:$D$120, MATCH(Таблица14[[#This Row],[Ф. И. О.]],база!$B$2:$B$100,0)),"")</f>
        <v/>
      </c>
    </row>
    <row r="323" spans="1:41">
      <c r="A323" s="207" t="str">
        <f t="shared" si="10"/>
        <v>январь</v>
      </c>
      <c r="B323" s="204">
        <v>2024</v>
      </c>
      <c r="C323" s="571"/>
      <c r="D323" s="205"/>
      <c r="E323" s="243"/>
      <c r="F323" s="673"/>
      <c r="G323" s="206"/>
      <c r="H323" s="49"/>
      <c r="I323" s="49"/>
      <c r="J323" s="49"/>
      <c r="K323" s="49"/>
      <c r="L323" s="49"/>
      <c r="M323" s="49"/>
      <c r="N323" s="49"/>
      <c r="O323" s="49"/>
      <c r="P323" s="49"/>
      <c r="Q323" s="49"/>
      <c r="R323" s="49"/>
      <c r="S323" s="49"/>
      <c r="T323" s="49"/>
      <c r="U323" s="49"/>
      <c r="V323" s="49"/>
      <c r="W323" s="49"/>
      <c r="X323" s="49"/>
      <c r="Y323" s="49"/>
      <c r="Z323" s="49"/>
      <c r="AA323" s="49"/>
      <c r="AB323" s="49"/>
      <c r="AC323" s="49"/>
      <c r="AD323" s="49"/>
      <c r="AE323" s="49"/>
      <c r="AF323" s="49"/>
      <c r="AG323" s="49"/>
      <c r="AH323" s="49"/>
      <c r="AI323" s="49"/>
      <c r="AJ323" s="49"/>
      <c r="AK323" s="49"/>
      <c r="AL323" s="49"/>
      <c r="AM323" s="121">
        <f t="shared" si="8"/>
        <v>0</v>
      </c>
      <c r="AN323" s="564">
        <f>IF(AO323&lt;=3,(IF(AND(G323="5/24",AM323&gt;0.5),(AM323*2*база!$M$6*Таблица14[[#This Row],[коэф]]),
IF(AND(G323="4/24",AM323&gt;0.5),(AM323*2*база!$M$5*Таблица14[[#This Row],[коэф]]),
IF(AND(G323="3/24",AM323&gt;0.5),(AM323*2*база!$M$4*Таблица14[[#This Row],[коэф]]),
IF(AND(G323="5/16",AM323&gt;0.5),(AM323*2*база!$L$6*Таблица14[[#This Row],[коэф]]),
IF(AND(G323="4/16",AM323&gt;0.5),(AM323*2*база!$L$5*Таблица14[[#This Row],[коэф]]),
IF(AND(G323="3/16",AM323&gt;0.5),(AM323*2*база!$L$4*Таблица14[[#This Row],[коэф]]),
IF(AND(G323="4/4",AM323&gt;0.5),(AM323*2*база!$I$5*Таблица14[[#This Row],[коэф]]),
IF(OR(AND(G323="3/4",AM323&gt;0.5),AND(G323="2/4",AM323&gt;0.5)),(AM323*2*база!$I$4*Таблица14[[#This Row],[коэф]]),
IF(AND(G323="5/8",AM323&gt;0.5),(AM323*2*база!$J$6*Таблица14[[#This Row],[коэф]]),
IF(AND(G323="4/8",AM323&gt;0.5),(AM323*2*база!$J$5*Таблица14[[#This Row],[коэф]]),
IF(OR(AND(G323="3/8",AM323&gt;0.5),AND(G323="2/8",AM323&gt;0.5)),(AM323*2*база!$J$4*Таблица14[[#This Row],[коэф]]),
(AM323*0.5*база!$L$4*Таблица14[[#This Row],[коэф]]))))))))))))),
(IF(AND(G323="5/24",AM323&gt;0.5),(AM323*2*база!$M$6*Таблица14[[#This Row],[коэф]]),
IF(OR(AND(G323="4/24",AM323&gt;0.5),AND(G323="3/24",AM323&gt;0.5)),(AM323*2*база!$M$5*Таблица14[[#This Row],[коэф]]),
IF(AND(G323="5/16",AM323&gt;0.5),(AM323*2*база!$L$6*Таблица14[[#This Row],[коэф]]),
IF(OR(AND(G323="4/16",AM323&gt;0.5),AND(G323="3/16",AM323&gt;0.5)),(AM323*2*база!$L$5*Таблица14[[#This Row],[коэф]]),
IF(OR(AND(G323="4/4",AM323&gt;0.5),AND(G323="3/4",AM323&gt;2)),(AM323*2*база!$I$5*Таблица14[[#This Row],[коэф]]),
IF(AND(G323="5/8",AM323&gt;0.5),(AM323*2*база!$J$6*Таблица14[[#This Row],[коэф]]),
IF(AND(G323="4/8",AM323&gt;0.5),(AM323*2*база!$J$5*Таблица14[[#This Row],[коэф]]),
IF(OR(AND(G323="3/8",AM323&gt;0.5),AND(G323="2/8",AM323&gt;0.5)),(AM323*2*база!$J$4*Таблица14[[#This Row],[коэф]]),
(AM323*2*база!$L$5*Таблица14[[#This Row],[коэф]])))))))))))</f>
        <v>0</v>
      </c>
      <c r="AO323" s="122" t="str">
        <f>IFERROR(INDEX(база!$D$2:$D$120, MATCH(Таблица14[[#This Row],[Ф. И. О.]],база!$B$2:$B$100,0)),"")</f>
        <v/>
      </c>
    </row>
    <row r="324" spans="1:41">
      <c r="A324" s="207" t="str">
        <f t="shared" si="10"/>
        <v>январь</v>
      </c>
      <c r="B324" s="240">
        <v>2024</v>
      </c>
      <c r="C324" s="648"/>
      <c r="D324" s="205"/>
      <c r="E324" s="241"/>
      <c r="F324" s="673"/>
      <c r="G324" s="242"/>
      <c r="H324" s="592"/>
      <c r="I324" s="592"/>
      <c r="J324" s="592"/>
      <c r="K324" s="592"/>
      <c r="L324" s="592"/>
      <c r="M324" s="592"/>
      <c r="N324" s="592"/>
      <c r="O324" s="592"/>
      <c r="P324" s="592"/>
      <c r="Q324" s="592"/>
      <c r="R324" s="592"/>
      <c r="S324" s="592"/>
      <c r="T324" s="592"/>
      <c r="U324" s="592"/>
      <c r="V324" s="592"/>
      <c r="W324" s="592"/>
      <c r="X324" s="592"/>
      <c r="Y324" s="592"/>
      <c r="Z324" s="592"/>
      <c r="AA324" s="592"/>
      <c r="AB324" s="592"/>
      <c r="AC324" s="592"/>
      <c r="AD324" s="592"/>
      <c r="AE324" s="592"/>
      <c r="AF324" s="592"/>
      <c r="AG324" s="592"/>
      <c r="AH324" s="592"/>
      <c r="AI324" s="592"/>
      <c r="AJ324" s="592"/>
      <c r="AK324" s="592"/>
      <c r="AL324" s="592"/>
      <c r="AM324" s="121">
        <f t="shared" ref="AM324:AM387" si="11">SUM(H324:AL324)</f>
        <v>0</v>
      </c>
      <c r="AN324" s="564">
        <f>IF(AO324&lt;=3,(IF(AND(G324="5/24",AM324&gt;0.5),(AM324*2*база!$M$6*Таблица14[[#This Row],[коэф]]),
IF(AND(G324="4/24",AM324&gt;0.5),(AM324*2*база!$M$5*Таблица14[[#This Row],[коэф]]),
IF(AND(G324="3/24",AM324&gt;0.5),(AM324*2*база!$M$4*Таблица14[[#This Row],[коэф]]),
IF(AND(G324="5/16",AM324&gt;0.5),(AM324*2*база!$L$6*Таблица14[[#This Row],[коэф]]),
IF(AND(G324="4/16",AM324&gt;0.5),(AM324*2*база!$L$5*Таблица14[[#This Row],[коэф]]),
IF(AND(G324="3/16",AM324&gt;0.5),(AM324*2*база!$L$4*Таблица14[[#This Row],[коэф]]),
IF(AND(G324="4/4",AM324&gt;0.5),(AM324*2*база!$I$5*Таблица14[[#This Row],[коэф]]),
IF(OR(AND(G324="3/4",AM324&gt;0.5),AND(G324="2/4",AM324&gt;0.5)),(AM324*2*база!$I$4*Таблица14[[#This Row],[коэф]]),
IF(AND(G324="5/8",AM324&gt;0.5),(AM324*2*база!$J$6*Таблица14[[#This Row],[коэф]]),
IF(AND(G324="4/8",AM324&gt;0.5),(AM324*2*база!$J$5*Таблица14[[#This Row],[коэф]]),
IF(OR(AND(G324="3/8",AM324&gt;0.5),AND(G324="2/8",AM324&gt;0.5)),(AM324*2*база!$J$4*Таблица14[[#This Row],[коэф]]),
(AM324*0.5*база!$L$4*Таблица14[[#This Row],[коэф]]))))))))))))),
(IF(AND(G324="5/24",AM324&gt;0.5),(AM324*2*база!$M$6*Таблица14[[#This Row],[коэф]]),
IF(OR(AND(G324="4/24",AM324&gt;0.5),AND(G324="3/24",AM324&gt;0.5)),(AM324*2*база!$M$5*Таблица14[[#This Row],[коэф]]),
IF(AND(G324="5/16",AM324&gt;0.5),(AM324*2*база!$L$6*Таблица14[[#This Row],[коэф]]),
IF(OR(AND(G324="4/16",AM324&gt;0.5),AND(G324="3/16",AM324&gt;0.5)),(AM324*2*база!$L$5*Таблица14[[#This Row],[коэф]]),
IF(OR(AND(G324="4/4",AM324&gt;0.5),AND(G324="3/4",AM324&gt;2)),(AM324*2*база!$I$5*Таблица14[[#This Row],[коэф]]),
IF(AND(G324="5/8",AM324&gt;0.5),(AM324*2*база!$J$6*Таблица14[[#This Row],[коэф]]),
IF(AND(G324="4/8",AM324&gt;0.5),(AM324*2*база!$J$5*Таблица14[[#This Row],[коэф]]),
IF(OR(AND(G324="3/8",AM324&gt;0.5),AND(G324="2/8",AM324&gt;0.5)),(AM324*2*база!$J$4*Таблица14[[#This Row],[коэф]]),
(AM324*2*база!$L$5*Таблица14[[#This Row],[коэф]])))))))))))</f>
        <v>0</v>
      </c>
      <c r="AO324" s="122" t="str">
        <f>IFERROR(INDEX(база!$D$2:$D$120, MATCH(Таблица14[[#This Row],[Ф. И. О.]],база!$B$2:$B$100,0)),"")</f>
        <v/>
      </c>
    </row>
    <row r="325" spans="1:41">
      <c r="A325" s="207" t="str">
        <f t="shared" si="10"/>
        <v>январь</v>
      </c>
      <c r="B325" s="204">
        <v>2024</v>
      </c>
      <c r="C325" s="571"/>
      <c r="D325" s="214"/>
      <c r="E325" s="243"/>
      <c r="F325" s="673"/>
      <c r="G325" s="206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  <c r="S325" s="49"/>
      <c r="T325" s="49"/>
      <c r="U325" s="49"/>
      <c r="V325" s="49"/>
      <c r="W325" s="49"/>
      <c r="X325" s="49"/>
      <c r="Y325" s="49"/>
      <c r="Z325" s="49"/>
      <c r="AA325" s="49"/>
      <c r="AB325" s="49"/>
      <c r="AC325" s="49"/>
      <c r="AD325" s="49"/>
      <c r="AE325" s="49"/>
      <c r="AF325" s="49"/>
      <c r="AG325" s="49"/>
      <c r="AH325" s="49"/>
      <c r="AI325" s="49"/>
      <c r="AJ325" s="49"/>
      <c r="AK325" s="49"/>
      <c r="AL325" s="49"/>
      <c r="AM325" s="121">
        <f t="shared" si="11"/>
        <v>0</v>
      </c>
      <c r="AN325" s="564">
        <f>IF(AO325&lt;=3,(IF(AND(G325="5/24",AM325&gt;0.5),(AM325*2*база!$M$6*Таблица14[[#This Row],[коэф]]),
IF(AND(G325="4/24",AM325&gt;0.5),(AM325*2*база!$M$5*Таблица14[[#This Row],[коэф]]),
IF(AND(G325="3/24",AM325&gt;0.5),(AM325*2*база!$M$4*Таблица14[[#This Row],[коэф]]),
IF(AND(G325="5/16",AM325&gt;0.5),(AM325*2*база!$L$6*Таблица14[[#This Row],[коэф]]),
IF(AND(G325="4/16",AM325&gt;0.5),(AM325*2*база!$L$5*Таблица14[[#This Row],[коэф]]),
IF(AND(G325="3/16",AM325&gt;0.5),(AM325*2*база!$L$4*Таблица14[[#This Row],[коэф]]),
IF(AND(G325="4/4",AM325&gt;0.5),(AM325*2*база!$I$5*Таблица14[[#This Row],[коэф]]),
IF(OR(AND(G325="3/4",AM325&gt;0.5),AND(G325="2/4",AM325&gt;0.5)),(AM325*2*база!$I$4*Таблица14[[#This Row],[коэф]]),
IF(AND(G325="5/8",AM325&gt;0.5),(AM325*2*база!$J$6*Таблица14[[#This Row],[коэф]]),
IF(AND(G325="4/8",AM325&gt;0.5),(AM325*2*база!$J$5*Таблица14[[#This Row],[коэф]]),
IF(OR(AND(G325="3/8",AM325&gt;0.5),AND(G325="2/8",AM325&gt;0.5)),(AM325*2*база!$J$4*Таблица14[[#This Row],[коэф]]),
(AM325*0.5*база!$L$4*Таблица14[[#This Row],[коэф]]))))))))))))),
(IF(AND(G325="5/24",AM325&gt;0.5),(AM325*2*база!$M$6*Таблица14[[#This Row],[коэф]]),
IF(OR(AND(G325="4/24",AM325&gt;0.5),AND(G325="3/24",AM325&gt;0.5)),(AM325*2*база!$M$5*Таблица14[[#This Row],[коэф]]),
IF(AND(G325="5/16",AM325&gt;0.5),(AM325*2*база!$L$6*Таблица14[[#This Row],[коэф]]),
IF(OR(AND(G325="4/16",AM325&gt;0.5),AND(G325="3/16",AM325&gt;0.5)),(AM325*2*база!$L$5*Таблица14[[#This Row],[коэф]]),
IF(OR(AND(G325="4/4",AM325&gt;0.5),AND(G325="3/4",AM325&gt;2)),(AM325*2*база!$I$5*Таблица14[[#This Row],[коэф]]),
IF(AND(G325="5/8",AM325&gt;0.5),(AM325*2*база!$J$6*Таблица14[[#This Row],[коэф]]),
IF(AND(G325="4/8",AM325&gt;0.5),(AM325*2*база!$J$5*Таблица14[[#This Row],[коэф]]),
IF(OR(AND(G325="3/8",AM325&gt;0.5),AND(G325="2/8",AM325&gt;0.5)),(AM325*2*база!$J$4*Таблица14[[#This Row],[коэф]]),
(AM325*2*база!$L$5*Таблица14[[#This Row],[коэф]])))))))))))</f>
        <v>0</v>
      </c>
      <c r="AO325" s="122" t="str">
        <f>IFERROR(INDEX(база!$D$2:$D$120, MATCH(Таблица14[[#This Row],[Ф. И. О.]],база!$B$2:$B$100,0)),"")</f>
        <v/>
      </c>
    </row>
    <row r="326" spans="1:41">
      <c r="A326" s="207" t="str">
        <f t="shared" si="10"/>
        <v>январь</v>
      </c>
      <c r="B326" s="240">
        <v>2024</v>
      </c>
      <c r="C326" s="648"/>
      <c r="D326" s="205"/>
      <c r="E326" s="241"/>
      <c r="F326" s="673"/>
      <c r="G326" s="242"/>
      <c r="H326" s="592"/>
      <c r="I326" s="592"/>
      <c r="J326" s="592"/>
      <c r="K326" s="592"/>
      <c r="L326" s="592"/>
      <c r="M326" s="592"/>
      <c r="N326" s="592"/>
      <c r="O326" s="592"/>
      <c r="P326" s="592"/>
      <c r="Q326" s="592"/>
      <c r="R326" s="592"/>
      <c r="S326" s="592"/>
      <c r="T326" s="592"/>
      <c r="U326" s="592"/>
      <c r="V326" s="592"/>
      <c r="W326" s="592"/>
      <c r="X326" s="592"/>
      <c r="Y326" s="592"/>
      <c r="Z326" s="592"/>
      <c r="AA326" s="592"/>
      <c r="AB326" s="592"/>
      <c r="AC326" s="592"/>
      <c r="AD326" s="592"/>
      <c r="AE326" s="592"/>
      <c r="AF326" s="592"/>
      <c r="AG326" s="592"/>
      <c r="AH326" s="592"/>
      <c r="AI326" s="592"/>
      <c r="AJ326" s="592"/>
      <c r="AK326" s="592"/>
      <c r="AL326" s="592"/>
      <c r="AM326" s="121">
        <f t="shared" si="11"/>
        <v>0</v>
      </c>
      <c r="AN326" s="564">
        <f>IF(AO326&lt;=3,(IF(AND(G326="5/24",AM326&gt;0.5),(AM326*2*база!$M$6*Таблица14[[#This Row],[коэф]]),
IF(AND(G326="4/24",AM326&gt;0.5),(AM326*2*база!$M$5*Таблица14[[#This Row],[коэф]]),
IF(AND(G326="3/24",AM326&gt;0.5),(AM326*2*база!$M$4*Таблица14[[#This Row],[коэф]]),
IF(AND(G326="5/16",AM326&gt;0.5),(AM326*2*база!$L$6*Таблица14[[#This Row],[коэф]]),
IF(AND(G326="4/16",AM326&gt;0.5),(AM326*2*база!$L$5*Таблица14[[#This Row],[коэф]]),
IF(AND(G326="3/16",AM326&gt;0.5),(AM326*2*база!$L$4*Таблица14[[#This Row],[коэф]]),
IF(AND(G326="4/4",AM326&gt;0.5),(AM326*2*база!$I$5*Таблица14[[#This Row],[коэф]]),
IF(OR(AND(G326="3/4",AM326&gt;0.5),AND(G326="2/4",AM326&gt;0.5)),(AM326*2*база!$I$4*Таблица14[[#This Row],[коэф]]),
IF(AND(G326="5/8",AM326&gt;0.5),(AM326*2*база!$J$6*Таблица14[[#This Row],[коэф]]),
IF(AND(G326="4/8",AM326&gt;0.5),(AM326*2*база!$J$5*Таблица14[[#This Row],[коэф]]),
IF(OR(AND(G326="3/8",AM326&gt;0.5),AND(G326="2/8",AM326&gt;0.5)),(AM326*2*база!$J$4*Таблица14[[#This Row],[коэф]]),
(AM326*0.5*база!$L$4*Таблица14[[#This Row],[коэф]]))))))))))))),
(IF(AND(G326="5/24",AM326&gt;0.5),(AM326*2*база!$M$6*Таблица14[[#This Row],[коэф]]),
IF(OR(AND(G326="4/24",AM326&gt;0.5),AND(G326="3/24",AM326&gt;0.5)),(AM326*2*база!$M$5*Таблица14[[#This Row],[коэф]]),
IF(AND(G326="5/16",AM326&gt;0.5),(AM326*2*база!$L$6*Таблица14[[#This Row],[коэф]]),
IF(OR(AND(G326="4/16",AM326&gt;0.5),AND(G326="3/16",AM326&gt;0.5)),(AM326*2*база!$L$5*Таблица14[[#This Row],[коэф]]),
IF(OR(AND(G326="4/4",AM326&gt;0.5),AND(G326="3/4",AM326&gt;2)),(AM326*2*база!$I$5*Таблица14[[#This Row],[коэф]]),
IF(AND(G326="5/8",AM326&gt;0.5),(AM326*2*база!$J$6*Таблица14[[#This Row],[коэф]]),
IF(AND(G326="4/8",AM326&gt;0.5),(AM326*2*база!$J$5*Таблица14[[#This Row],[коэф]]),
IF(OR(AND(G326="3/8",AM326&gt;0.5),AND(G326="2/8",AM326&gt;0.5)),(AM326*2*база!$J$4*Таблица14[[#This Row],[коэф]]),
(AM326*2*база!$L$5*Таблица14[[#This Row],[коэф]])))))))))))</f>
        <v>0</v>
      </c>
      <c r="AO326" s="122" t="str">
        <f>IFERROR(INDEX(база!$D$2:$D$120, MATCH(Таблица14[[#This Row],[Ф. И. О.]],база!$B$2:$B$100,0)),"")</f>
        <v/>
      </c>
    </row>
    <row r="327" spans="1:41">
      <c r="A327" s="207" t="str">
        <f t="shared" si="10"/>
        <v>январь</v>
      </c>
      <c r="B327" s="204">
        <v>2024</v>
      </c>
      <c r="C327" s="571"/>
      <c r="D327" s="205"/>
      <c r="E327" s="243"/>
      <c r="F327" s="673"/>
      <c r="G327" s="206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  <c r="S327" s="49"/>
      <c r="T327" s="49"/>
      <c r="U327" s="49"/>
      <c r="V327" s="49"/>
      <c r="W327" s="49"/>
      <c r="X327" s="49"/>
      <c r="Y327" s="49"/>
      <c r="Z327" s="49"/>
      <c r="AA327" s="49"/>
      <c r="AB327" s="49"/>
      <c r="AC327" s="49"/>
      <c r="AD327" s="49"/>
      <c r="AE327" s="49"/>
      <c r="AF327" s="49"/>
      <c r="AG327" s="49"/>
      <c r="AH327" s="49"/>
      <c r="AI327" s="49"/>
      <c r="AJ327" s="49"/>
      <c r="AK327" s="49"/>
      <c r="AL327" s="49"/>
      <c r="AM327" s="121">
        <f t="shared" si="11"/>
        <v>0</v>
      </c>
      <c r="AN327" s="564">
        <f>IF(AO327&lt;=3,(IF(AND(G327="5/24",AM327&gt;0.5),(AM327*2*база!$M$6*Таблица14[[#This Row],[коэф]]),
IF(AND(G327="4/24",AM327&gt;0.5),(AM327*2*база!$M$5*Таблица14[[#This Row],[коэф]]),
IF(AND(G327="3/24",AM327&gt;0.5),(AM327*2*база!$M$4*Таблица14[[#This Row],[коэф]]),
IF(AND(G327="5/16",AM327&gt;0.5),(AM327*2*база!$L$6*Таблица14[[#This Row],[коэф]]),
IF(AND(G327="4/16",AM327&gt;0.5),(AM327*2*база!$L$5*Таблица14[[#This Row],[коэф]]),
IF(AND(G327="3/16",AM327&gt;0.5),(AM327*2*база!$L$4*Таблица14[[#This Row],[коэф]]),
IF(AND(G327="4/4",AM327&gt;0.5),(AM327*2*база!$I$5*Таблица14[[#This Row],[коэф]]),
IF(OR(AND(G327="3/4",AM327&gt;0.5),AND(G327="2/4",AM327&gt;0.5)),(AM327*2*база!$I$4*Таблица14[[#This Row],[коэф]]),
IF(AND(G327="5/8",AM327&gt;0.5),(AM327*2*база!$J$6*Таблица14[[#This Row],[коэф]]),
IF(AND(G327="4/8",AM327&gt;0.5),(AM327*2*база!$J$5*Таблица14[[#This Row],[коэф]]),
IF(OR(AND(G327="3/8",AM327&gt;0.5),AND(G327="2/8",AM327&gt;0.5)),(AM327*2*база!$J$4*Таблица14[[#This Row],[коэф]]),
(AM327*0.5*база!$L$4*Таблица14[[#This Row],[коэф]]))))))))))))),
(IF(AND(G327="5/24",AM327&gt;0.5),(AM327*2*база!$M$6*Таблица14[[#This Row],[коэф]]),
IF(OR(AND(G327="4/24",AM327&gt;0.5),AND(G327="3/24",AM327&gt;0.5)),(AM327*2*база!$M$5*Таблица14[[#This Row],[коэф]]),
IF(AND(G327="5/16",AM327&gt;0.5),(AM327*2*база!$L$6*Таблица14[[#This Row],[коэф]]),
IF(OR(AND(G327="4/16",AM327&gt;0.5),AND(G327="3/16",AM327&gt;0.5)),(AM327*2*база!$L$5*Таблица14[[#This Row],[коэф]]),
IF(OR(AND(G327="4/4",AM327&gt;0.5),AND(G327="3/4",AM327&gt;2)),(AM327*2*база!$I$5*Таблица14[[#This Row],[коэф]]),
IF(AND(G327="5/8",AM327&gt;0.5),(AM327*2*база!$J$6*Таблица14[[#This Row],[коэф]]),
IF(AND(G327="4/8",AM327&gt;0.5),(AM327*2*база!$J$5*Таблица14[[#This Row],[коэф]]),
IF(OR(AND(G327="3/8",AM327&gt;0.5),AND(G327="2/8",AM327&gt;0.5)),(AM327*2*база!$J$4*Таблица14[[#This Row],[коэф]]),
(AM327*2*база!$L$5*Таблица14[[#This Row],[коэф]])))))))))))</f>
        <v>0</v>
      </c>
      <c r="AO327" s="122" t="str">
        <f>IFERROR(INDEX(база!$D$2:$D$120, MATCH(Таблица14[[#This Row],[Ф. И. О.]],база!$B$2:$B$100,0)),"")</f>
        <v/>
      </c>
    </row>
    <row r="328" spans="1:41">
      <c r="A328" s="207" t="str">
        <f t="shared" si="10"/>
        <v>январь</v>
      </c>
      <c r="B328" s="240">
        <v>2024</v>
      </c>
      <c r="C328" s="648"/>
      <c r="D328" s="591"/>
      <c r="E328" s="241"/>
      <c r="F328" s="673"/>
      <c r="G328" s="242"/>
      <c r="H328" s="592"/>
      <c r="I328" s="592"/>
      <c r="J328" s="592"/>
      <c r="K328" s="592"/>
      <c r="L328" s="592"/>
      <c r="M328" s="592"/>
      <c r="N328" s="592"/>
      <c r="O328" s="592"/>
      <c r="P328" s="592"/>
      <c r="Q328" s="592"/>
      <c r="R328" s="592"/>
      <c r="S328" s="592"/>
      <c r="T328" s="592"/>
      <c r="U328" s="592"/>
      <c r="V328" s="592"/>
      <c r="W328" s="592"/>
      <c r="X328" s="592"/>
      <c r="Y328" s="592"/>
      <c r="Z328" s="592"/>
      <c r="AA328" s="592"/>
      <c r="AB328" s="592"/>
      <c r="AC328" s="592"/>
      <c r="AD328" s="592"/>
      <c r="AE328" s="592"/>
      <c r="AF328" s="592"/>
      <c r="AG328" s="592"/>
      <c r="AH328" s="592"/>
      <c r="AI328" s="592"/>
      <c r="AJ328" s="592"/>
      <c r="AK328" s="592"/>
      <c r="AL328" s="592"/>
      <c r="AM328" s="121">
        <f t="shared" si="11"/>
        <v>0</v>
      </c>
      <c r="AN328" s="564">
        <f>IF(AO328&lt;=3,(IF(AND(G328="5/24",AM328&gt;0.5),(AM328*2*база!$M$6*Таблица14[[#This Row],[коэф]]),
IF(AND(G328="4/24",AM328&gt;0.5),(AM328*2*база!$M$5*Таблица14[[#This Row],[коэф]]),
IF(AND(G328="3/24",AM328&gt;0.5),(AM328*2*база!$M$4*Таблица14[[#This Row],[коэф]]),
IF(AND(G328="5/16",AM328&gt;0.5),(AM328*2*база!$L$6*Таблица14[[#This Row],[коэф]]),
IF(AND(G328="4/16",AM328&gt;0.5),(AM328*2*база!$L$5*Таблица14[[#This Row],[коэф]]),
IF(AND(G328="3/16",AM328&gt;0.5),(AM328*2*база!$L$4*Таблица14[[#This Row],[коэф]]),
IF(AND(G328="4/4",AM328&gt;0.5),(AM328*2*база!$I$5*Таблица14[[#This Row],[коэф]]),
IF(OR(AND(G328="3/4",AM328&gt;0.5),AND(G328="2/4",AM328&gt;0.5)),(AM328*2*база!$I$4*Таблица14[[#This Row],[коэф]]),
IF(AND(G328="5/8",AM328&gt;0.5),(AM328*2*база!$J$6*Таблица14[[#This Row],[коэф]]),
IF(AND(G328="4/8",AM328&gt;0.5),(AM328*2*база!$J$5*Таблица14[[#This Row],[коэф]]),
IF(OR(AND(G328="3/8",AM328&gt;0.5),AND(G328="2/8",AM328&gt;0.5)),(AM328*2*база!$J$4*Таблица14[[#This Row],[коэф]]),
(AM328*0.5*база!$L$4*Таблица14[[#This Row],[коэф]]))))))))))))),
(IF(AND(G328="5/24",AM328&gt;0.5),(AM328*2*база!$M$6*Таблица14[[#This Row],[коэф]]),
IF(OR(AND(G328="4/24",AM328&gt;0.5),AND(G328="3/24",AM328&gt;0.5)),(AM328*2*база!$M$5*Таблица14[[#This Row],[коэф]]),
IF(AND(G328="5/16",AM328&gt;0.5),(AM328*2*база!$L$6*Таблица14[[#This Row],[коэф]]),
IF(OR(AND(G328="4/16",AM328&gt;0.5),AND(G328="3/16",AM328&gt;0.5)),(AM328*2*база!$L$5*Таблица14[[#This Row],[коэф]]),
IF(OR(AND(G328="4/4",AM328&gt;0.5),AND(G328="3/4",AM328&gt;2)),(AM328*2*база!$I$5*Таблица14[[#This Row],[коэф]]),
IF(AND(G328="5/8",AM328&gt;0.5),(AM328*2*база!$J$6*Таблица14[[#This Row],[коэф]]),
IF(AND(G328="4/8",AM328&gt;0.5),(AM328*2*база!$J$5*Таблица14[[#This Row],[коэф]]),
IF(OR(AND(G328="3/8",AM328&gt;0.5),AND(G328="2/8",AM328&gt;0.5)),(AM328*2*база!$J$4*Таблица14[[#This Row],[коэф]]),
(AM328*2*база!$L$5*Таблица14[[#This Row],[коэф]])))))))))))</f>
        <v>0</v>
      </c>
      <c r="AO328" s="122" t="str">
        <f>IFERROR(INDEX(база!$D$2:$D$120, MATCH(Таблица14[[#This Row],[Ф. И. О.]],база!$B$2:$B$100,0)),"")</f>
        <v/>
      </c>
    </row>
    <row r="329" spans="1:41">
      <c r="A329" s="207" t="str">
        <f t="shared" si="10"/>
        <v>январь</v>
      </c>
      <c r="B329" s="204">
        <v>2024</v>
      </c>
      <c r="C329" s="571"/>
      <c r="D329" s="205"/>
      <c r="E329" s="243"/>
      <c r="F329" s="673"/>
      <c r="G329" s="206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  <c r="S329" s="49"/>
      <c r="T329" s="49"/>
      <c r="U329" s="49"/>
      <c r="V329" s="49"/>
      <c r="W329" s="49"/>
      <c r="X329" s="49"/>
      <c r="Y329" s="49"/>
      <c r="Z329" s="49"/>
      <c r="AA329" s="49"/>
      <c r="AB329" s="49"/>
      <c r="AC329" s="49"/>
      <c r="AD329" s="49"/>
      <c r="AE329" s="49"/>
      <c r="AF329" s="49"/>
      <c r="AG329" s="49"/>
      <c r="AH329" s="49"/>
      <c r="AI329" s="49"/>
      <c r="AJ329" s="49"/>
      <c r="AK329" s="49"/>
      <c r="AL329" s="49"/>
      <c r="AM329" s="121">
        <f t="shared" si="11"/>
        <v>0</v>
      </c>
      <c r="AN329" s="564">
        <f>IF(AO329&lt;=3,(IF(AND(G329="5/24",AM329&gt;0.5),(AM329*2*база!$M$6*Таблица14[[#This Row],[коэф]]),
IF(AND(G329="4/24",AM329&gt;0.5),(AM329*2*база!$M$5*Таблица14[[#This Row],[коэф]]),
IF(AND(G329="3/24",AM329&gt;0.5),(AM329*2*база!$M$4*Таблица14[[#This Row],[коэф]]),
IF(AND(G329="5/16",AM329&gt;0.5),(AM329*2*база!$L$6*Таблица14[[#This Row],[коэф]]),
IF(AND(G329="4/16",AM329&gt;0.5),(AM329*2*база!$L$5*Таблица14[[#This Row],[коэф]]),
IF(AND(G329="3/16",AM329&gt;0.5),(AM329*2*база!$L$4*Таблица14[[#This Row],[коэф]]),
IF(AND(G329="4/4",AM329&gt;0.5),(AM329*2*база!$I$5*Таблица14[[#This Row],[коэф]]),
IF(OR(AND(G329="3/4",AM329&gt;0.5),AND(G329="2/4",AM329&gt;0.5)),(AM329*2*база!$I$4*Таблица14[[#This Row],[коэф]]),
IF(AND(G329="5/8",AM329&gt;0.5),(AM329*2*база!$J$6*Таблица14[[#This Row],[коэф]]),
IF(AND(G329="4/8",AM329&gt;0.5),(AM329*2*база!$J$5*Таблица14[[#This Row],[коэф]]),
IF(OR(AND(G329="3/8",AM329&gt;0.5),AND(G329="2/8",AM329&gt;0.5)),(AM329*2*база!$J$4*Таблица14[[#This Row],[коэф]]),
(AM329*0.5*база!$L$4*Таблица14[[#This Row],[коэф]]))))))))))))),
(IF(AND(G329="5/24",AM329&gt;0.5),(AM329*2*база!$M$6*Таблица14[[#This Row],[коэф]]),
IF(OR(AND(G329="4/24",AM329&gt;0.5),AND(G329="3/24",AM329&gt;0.5)),(AM329*2*база!$M$5*Таблица14[[#This Row],[коэф]]),
IF(AND(G329="5/16",AM329&gt;0.5),(AM329*2*база!$L$6*Таблица14[[#This Row],[коэф]]),
IF(OR(AND(G329="4/16",AM329&gt;0.5),AND(G329="3/16",AM329&gt;0.5)),(AM329*2*база!$L$5*Таблица14[[#This Row],[коэф]]),
IF(OR(AND(G329="4/4",AM329&gt;0.5),AND(G329="3/4",AM329&gt;2)),(AM329*2*база!$I$5*Таблица14[[#This Row],[коэф]]),
IF(AND(G329="5/8",AM329&gt;0.5),(AM329*2*база!$J$6*Таблица14[[#This Row],[коэф]]),
IF(AND(G329="4/8",AM329&gt;0.5),(AM329*2*база!$J$5*Таблица14[[#This Row],[коэф]]),
IF(OR(AND(G329="3/8",AM329&gt;0.5),AND(G329="2/8",AM329&gt;0.5)),(AM329*2*база!$J$4*Таблица14[[#This Row],[коэф]]),
(AM329*2*база!$L$5*Таблица14[[#This Row],[коэф]])))))))))))</f>
        <v>0</v>
      </c>
      <c r="AO329" s="122" t="str">
        <f>IFERROR(INDEX(база!$D$2:$D$120, MATCH(Таблица14[[#This Row],[Ф. И. О.]],база!$B$2:$B$100,0)),"")</f>
        <v/>
      </c>
    </row>
    <row r="330" spans="1:41">
      <c r="A330" s="207" t="str">
        <f t="shared" si="10"/>
        <v>январь</v>
      </c>
      <c r="B330" s="240">
        <v>2024</v>
      </c>
      <c r="C330" s="648"/>
      <c r="D330" s="591"/>
      <c r="E330" s="241"/>
      <c r="F330" s="673"/>
      <c r="G330" s="242"/>
      <c r="H330" s="592"/>
      <c r="I330" s="592"/>
      <c r="J330" s="592"/>
      <c r="K330" s="592"/>
      <c r="L330" s="592"/>
      <c r="M330" s="592"/>
      <c r="N330" s="592"/>
      <c r="O330" s="592"/>
      <c r="P330" s="592"/>
      <c r="Q330" s="592"/>
      <c r="R330" s="592"/>
      <c r="S330" s="592"/>
      <c r="T330" s="592"/>
      <c r="U330" s="592"/>
      <c r="V330" s="592"/>
      <c r="W330" s="592"/>
      <c r="X330" s="592"/>
      <c r="Y330" s="592"/>
      <c r="Z330" s="592"/>
      <c r="AA330" s="592"/>
      <c r="AB330" s="592"/>
      <c r="AC330" s="592"/>
      <c r="AD330" s="592"/>
      <c r="AE330" s="592"/>
      <c r="AF330" s="592"/>
      <c r="AG330" s="592"/>
      <c r="AH330" s="592"/>
      <c r="AI330" s="592"/>
      <c r="AJ330" s="592"/>
      <c r="AK330" s="592"/>
      <c r="AL330" s="592"/>
      <c r="AM330" s="121">
        <f t="shared" si="11"/>
        <v>0</v>
      </c>
      <c r="AN330" s="564">
        <f>IF(AO330&lt;=3,(IF(AND(G330="5/24",AM330&gt;0.5),(AM330*2*база!$M$6*Таблица14[[#This Row],[коэф]]),
IF(AND(G330="4/24",AM330&gt;0.5),(AM330*2*база!$M$5*Таблица14[[#This Row],[коэф]]),
IF(AND(G330="3/24",AM330&gt;0.5),(AM330*2*база!$M$4*Таблица14[[#This Row],[коэф]]),
IF(AND(G330="5/16",AM330&gt;0.5),(AM330*2*база!$L$6*Таблица14[[#This Row],[коэф]]),
IF(AND(G330="4/16",AM330&gt;0.5),(AM330*2*база!$L$5*Таблица14[[#This Row],[коэф]]),
IF(AND(G330="3/16",AM330&gt;0.5),(AM330*2*база!$L$4*Таблица14[[#This Row],[коэф]]),
IF(AND(G330="4/4",AM330&gt;0.5),(AM330*2*база!$I$5*Таблица14[[#This Row],[коэф]]),
IF(OR(AND(G330="3/4",AM330&gt;0.5),AND(G330="2/4",AM330&gt;0.5)),(AM330*2*база!$I$4*Таблица14[[#This Row],[коэф]]),
IF(AND(G330="5/8",AM330&gt;0.5),(AM330*2*база!$J$6*Таблица14[[#This Row],[коэф]]),
IF(AND(G330="4/8",AM330&gt;0.5),(AM330*2*база!$J$5*Таблица14[[#This Row],[коэф]]),
IF(OR(AND(G330="3/8",AM330&gt;0.5),AND(G330="2/8",AM330&gt;0.5)),(AM330*2*база!$J$4*Таблица14[[#This Row],[коэф]]),
(AM330*0.5*база!$L$4*Таблица14[[#This Row],[коэф]]))))))))))))),
(IF(AND(G330="5/24",AM330&gt;0.5),(AM330*2*база!$M$6*Таблица14[[#This Row],[коэф]]),
IF(OR(AND(G330="4/24",AM330&gt;0.5),AND(G330="3/24",AM330&gt;0.5)),(AM330*2*база!$M$5*Таблица14[[#This Row],[коэф]]),
IF(AND(G330="5/16",AM330&gt;0.5),(AM330*2*база!$L$6*Таблица14[[#This Row],[коэф]]),
IF(OR(AND(G330="4/16",AM330&gt;0.5),AND(G330="3/16",AM330&gt;0.5)),(AM330*2*база!$L$5*Таблица14[[#This Row],[коэф]]),
IF(OR(AND(G330="4/4",AM330&gt;0.5),AND(G330="3/4",AM330&gt;2)),(AM330*2*база!$I$5*Таблица14[[#This Row],[коэф]]),
IF(AND(G330="5/8",AM330&gt;0.5),(AM330*2*база!$J$6*Таблица14[[#This Row],[коэф]]),
IF(AND(G330="4/8",AM330&gt;0.5),(AM330*2*база!$J$5*Таблица14[[#This Row],[коэф]]),
IF(OR(AND(G330="3/8",AM330&gt;0.5),AND(G330="2/8",AM330&gt;0.5)),(AM330*2*база!$J$4*Таблица14[[#This Row],[коэф]]),
(AM330*2*база!$L$5*Таблица14[[#This Row],[коэф]])))))))))))</f>
        <v>0</v>
      </c>
      <c r="AO330" s="122" t="str">
        <f>IFERROR(INDEX(база!$D$2:$D$120, MATCH(Таблица14[[#This Row],[Ф. И. О.]],база!$B$2:$B$100,0)),"")</f>
        <v/>
      </c>
    </row>
    <row r="331" spans="1:41">
      <c r="A331" s="207" t="str">
        <f t="shared" si="10"/>
        <v>январь</v>
      </c>
      <c r="B331" s="204">
        <v>2024</v>
      </c>
      <c r="C331" s="571"/>
      <c r="D331" s="205"/>
      <c r="E331" s="243"/>
      <c r="F331" s="673"/>
      <c r="G331" s="206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  <c r="S331" s="49"/>
      <c r="T331" s="49"/>
      <c r="U331" s="49"/>
      <c r="V331" s="49"/>
      <c r="W331" s="49"/>
      <c r="X331" s="49"/>
      <c r="Y331" s="49"/>
      <c r="Z331" s="49"/>
      <c r="AA331" s="49"/>
      <c r="AB331" s="49"/>
      <c r="AC331" s="49"/>
      <c r="AD331" s="49"/>
      <c r="AE331" s="49"/>
      <c r="AF331" s="49"/>
      <c r="AG331" s="49"/>
      <c r="AH331" s="49"/>
      <c r="AI331" s="49"/>
      <c r="AJ331" s="49"/>
      <c r="AK331" s="49"/>
      <c r="AL331" s="49"/>
      <c r="AM331" s="121">
        <f t="shared" si="11"/>
        <v>0</v>
      </c>
      <c r="AN331" s="564">
        <f>IF(AO331&lt;=3,(IF(AND(G331="5/24",AM331&gt;0.5),(AM331*2*база!$M$6*Таблица14[[#This Row],[коэф]]),
IF(AND(G331="4/24",AM331&gt;0.5),(AM331*2*база!$M$5*Таблица14[[#This Row],[коэф]]),
IF(AND(G331="3/24",AM331&gt;0.5),(AM331*2*база!$M$4*Таблица14[[#This Row],[коэф]]),
IF(AND(G331="5/16",AM331&gt;0.5),(AM331*2*база!$L$6*Таблица14[[#This Row],[коэф]]),
IF(AND(G331="4/16",AM331&gt;0.5),(AM331*2*база!$L$5*Таблица14[[#This Row],[коэф]]),
IF(AND(G331="3/16",AM331&gt;0.5),(AM331*2*база!$L$4*Таблица14[[#This Row],[коэф]]),
IF(AND(G331="4/4",AM331&gt;0.5),(AM331*2*база!$I$5*Таблица14[[#This Row],[коэф]]),
IF(OR(AND(G331="3/4",AM331&gt;0.5),AND(G331="2/4",AM331&gt;0.5)),(AM331*2*база!$I$4*Таблица14[[#This Row],[коэф]]),
IF(AND(G331="5/8",AM331&gt;0.5),(AM331*2*база!$J$6*Таблица14[[#This Row],[коэф]]),
IF(AND(G331="4/8",AM331&gt;0.5),(AM331*2*база!$J$5*Таблица14[[#This Row],[коэф]]),
IF(OR(AND(G331="3/8",AM331&gt;0.5),AND(G331="2/8",AM331&gt;0.5)),(AM331*2*база!$J$4*Таблица14[[#This Row],[коэф]]),
(AM331*0.5*база!$L$4*Таблица14[[#This Row],[коэф]]))))))))))))),
(IF(AND(G331="5/24",AM331&gt;0.5),(AM331*2*база!$M$6*Таблица14[[#This Row],[коэф]]),
IF(OR(AND(G331="4/24",AM331&gt;0.5),AND(G331="3/24",AM331&gt;0.5)),(AM331*2*база!$M$5*Таблица14[[#This Row],[коэф]]),
IF(AND(G331="5/16",AM331&gt;0.5),(AM331*2*база!$L$6*Таблица14[[#This Row],[коэф]]),
IF(OR(AND(G331="4/16",AM331&gt;0.5),AND(G331="3/16",AM331&gt;0.5)),(AM331*2*база!$L$5*Таблица14[[#This Row],[коэф]]),
IF(OR(AND(G331="4/4",AM331&gt;0.5),AND(G331="3/4",AM331&gt;2)),(AM331*2*база!$I$5*Таблица14[[#This Row],[коэф]]),
IF(AND(G331="5/8",AM331&gt;0.5),(AM331*2*база!$J$6*Таблица14[[#This Row],[коэф]]),
IF(AND(G331="4/8",AM331&gt;0.5),(AM331*2*база!$J$5*Таблица14[[#This Row],[коэф]]),
IF(OR(AND(G331="3/8",AM331&gt;0.5),AND(G331="2/8",AM331&gt;0.5)),(AM331*2*база!$J$4*Таблица14[[#This Row],[коэф]]),
(AM331*2*база!$L$5*Таблица14[[#This Row],[коэф]])))))))))))</f>
        <v>0</v>
      </c>
      <c r="AO331" s="122" t="str">
        <f>IFERROR(INDEX(база!$D$2:$D$120, MATCH(Таблица14[[#This Row],[Ф. И. О.]],база!$B$2:$B$100,0)),"")</f>
        <v/>
      </c>
    </row>
    <row r="332" spans="1:41">
      <c r="A332" s="207" t="str">
        <f t="shared" si="10"/>
        <v>январь</v>
      </c>
      <c r="B332" s="240">
        <v>2024</v>
      </c>
      <c r="C332" s="648"/>
      <c r="D332" s="591"/>
      <c r="E332" s="241"/>
      <c r="F332" s="673"/>
      <c r="G332" s="242"/>
      <c r="H332" s="592"/>
      <c r="I332" s="592"/>
      <c r="J332" s="592"/>
      <c r="K332" s="592"/>
      <c r="L332" s="592"/>
      <c r="M332" s="592"/>
      <c r="N332" s="592"/>
      <c r="O332" s="592"/>
      <c r="P332" s="592"/>
      <c r="Q332" s="592"/>
      <c r="R332" s="592"/>
      <c r="S332" s="592"/>
      <c r="T332" s="592"/>
      <c r="U332" s="592"/>
      <c r="V332" s="592"/>
      <c r="W332" s="592"/>
      <c r="X332" s="592"/>
      <c r="Y332" s="592"/>
      <c r="Z332" s="592"/>
      <c r="AA332" s="592"/>
      <c r="AB332" s="592"/>
      <c r="AC332" s="592"/>
      <c r="AD332" s="592"/>
      <c r="AE332" s="592"/>
      <c r="AF332" s="592"/>
      <c r="AG332" s="592"/>
      <c r="AH332" s="592"/>
      <c r="AI332" s="592"/>
      <c r="AJ332" s="592"/>
      <c r="AK332" s="592"/>
      <c r="AL332" s="592"/>
      <c r="AM332" s="121">
        <f t="shared" si="11"/>
        <v>0</v>
      </c>
      <c r="AN332" s="564">
        <f>IF(AO332&lt;=3,(IF(AND(G332="5/24",AM332&gt;0.5),(AM332*2*база!$M$6*Таблица14[[#This Row],[коэф]]),
IF(AND(G332="4/24",AM332&gt;0.5),(AM332*2*база!$M$5*Таблица14[[#This Row],[коэф]]),
IF(AND(G332="3/24",AM332&gt;0.5),(AM332*2*база!$M$4*Таблица14[[#This Row],[коэф]]),
IF(AND(G332="5/16",AM332&gt;0.5),(AM332*2*база!$L$6*Таблица14[[#This Row],[коэф]]),
IF(AND(G332="4/16",AM332&gt;0.5),(AM332*2*база!$L$5*Таблица14[[#This Row],[коэф]]),
IF(AND(G332="3/16",AM332&gt;0.5),(AM332*2*база!$L$4*Таблица14[[#This Row],[коэф]]),
IF(AND(G332="4/4",AM332&gt;0.5),(AM332*2*база!$I$5*Таблица14[[#This Row],[коэф]]),
IF(OR(AND(G332="3/4",AM332&gt;0.5),AND(G332="2/4",AM332&gt;0.5)),(AM332*2*база!$I$4*Таблица14[[#This Row],[коэф]]),
IF(AND(G332="5/8",AM332&gt;0.5),(AM332*2*база!$J$6*Таблица14[[#This Row],[коэф]]),
IF(AND(G332="4/8",AM332&gt;0.5),(AM332*2*база!$J$5*Таблица14[[#This Row],[коэф]]),
IF(OR(AND(G332="3/8",AM332&gt;0.5),AND(G332="2/8",AM332&gt;0.5)),(AM332*2*база!$J$4*Таблица14[[#This Row],[коэф]]),
(AM332*0.5*база!$L$4*Таблица14[[#This Row],[коэф]]))))))))))))),
(IF(AND(G332="5/24",AM332&gt;0.5),(AM332*2*база!$M$6*Таблица14[[#This Row],[коэф]]),
IF(OR(AND(G332="4/24",AM332&gt;0.5),AND(G332="3/24",AM332&gt;0.5)),(AM332*2*база!$M$5*Таблица14[[#This Row],[коэф]]),
IF(AND(G332="5/16",AM332&gt;0.5),(AM332*2*база!$L$6*Таблица14[[#This Row],[коэф]]),
IF(OR(AND(G332="4/16",AM332&gt;0.5),AND(G332="3/16",AM332&gt;0.5)),(AM332*2*база!$L$5*Таблица14[[#This Row],[коэф]]),
IF(OR(AND(G332="4/4",AM332&gt;0.5),AND(G332="3/4",AM332&gt;2)),(AM332*2*база!$I$5*Таблица14[[#This Row],[коэф]]),
IF(AND(G332="5/8",AM332&gt;0.5),(AM332*2*база!$J$6*Таблица14[[#This Row],[коэф]]),
IF(AND(G332="4/8",AM332&gt;0.5),(AM332*2*база!$J$5*Таблица14[[#This Row],[коэф]]),
IF(OR(AND(G332="3/8",AM332&gt;0.5),AND(G332="2/8",AM332&gt;0.5)),(AM332*2*база!$J$4*Таблица14[[#This Row],[коэф]]),
(AM332*2*база!$L$5*Таблица14[[#This Row],[коэф]])))))))))))</f>
        <v>0</v>
      </c>
      <c r="AO332" s="122" t="str">
        <f>IFERROR(INDEX(база!$D$2:$D$120, MATCH(Таблица14[[#This Row],[Ф. И. О.]],база!$B$2:$B$100,0)),"")</f>
        <v/>
      </c>
    </row>
    <row r="333" spans="1:41">
      <c r="A333" s="207" t="str">
        <f t="shared" si="10"/>
        <v>январь</v>
      </c>
      <c r="B333" s="204">
        <v>2024</v>
      </c>
      <c r="C333" s="571"/>
      <c r="D333" s="205"/>
      <c r="E333" s="243"/>
      <c r="F333" s="673"/>
      <c r="G333" s="206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  <c r="S333" s="49"/>
      <c r="T333" s="49"/>
      <c r="U333" s="49"/>
      <c r="V333" s="49"/>
      <c r="W333" s="49"/>
      <c r="X333" s="49"/>
      <c r="Y333" s="49"/>
      <c r="Z333" s="49"/>
      <c r="AA333" s="49"/>
      <c r="AB333" s="49"/>
      <c r="AC333" s="49"/>
      <c r="AD333" s="49"/>
      <c r="AE333" s="49"/>
      <c r="AF333" s="49"/>
      <c r="AG333" s="49"/>
      <c r="AH333" s="49"/>
      <c r="AI333" s="49"/>
      <c r="AJ333" s="49"/>
      <c r="AK333" s="49"/>
      <c r="AL333" s="49"/>
      <c r="AM333" s="121">
        <f t="shared" si="11"/>
        <v>0</v>
      </c>
      <c r="AN333" s="564">
        <f>IF(AO333&lt;=3,(IF(AND(G333="5/24",AM333&gt;0.5),(AM333*2*база!$M$6*Таблица14[[#This Row],[коэф]]),
IF(AND(G333="4/24",AM333&gt;0.5),(AM333*2*база!$M$5*Таблица14[[#This Row],[коэф]]),
IF(AND(G333="3/24",AM333&gt;0.5),(AM333*2*база!$M$4*Таблица14[[#This Row],[коэф]]),
IF(AND(G333="5/16",AM333&gt;0.5),(AM333*2*база!$L$6*Таблица14[[#This Row],[коэф]]),
IF(AND(G333="4/16",AM333&gt;0.5),(AM333*2*база!$L$5*Таблица14[[#This Row],[коэф]]),
IF(AND(G333="3/16",AM333&gt;0.5),(AM333*2*база!$L$4*Таблица14[[#This Row],[коэф]]),
IF(AND(G333="4/4",AM333&gt;0.5),(AM333*2*база!$I$5*Таблица14[[#This Row],[коэф]]),
IF(OR(AND(G333="3/4",AM333&gt;0.5),AND(G333="2/4",AM333&gt;0.5)),(AM333*2*база!$I$4*Таблица14[[#This Row],[коэф]]),
IF(AND(G333="5/8",AM333&gt;0.5),(AM333*2*база!$J$6*Таблица14[[#This Row],[коэф]]),
IF(AND(G333="4/8",AM333&gt;0.5),(AM333*2*база!$J$5*Таблица14[[#This Row],[коэф]]),
IF(OR(AND(G333="3/8",AM333&gt;0.5),AND(G333="2/8",AM333&gt;0.5)),(AM333*2*база!$J$4*Таблица14[[#This Row],[коэф]]),
(AM333*0.5*база!$L$4*Таблица14[[#This Row],[коэф]]))))))))))))),
(IF(AND(G333="5/24",AM333&gt;0.5),(AM333*2*база!$M$6*Таблица14[[#This Row],[коэф]]),
IF(OR(AND(G333="4/24",AM333&gt;0.5),AND(G333="3/24",AM333&gt;0.5)),(AM333*2*база!$M$5*Таблица14[[#This Row],[коэф]]),
IF(AND(G333="5/16",AM333&gt;0.5),(AM333*2*база!$L$6*Таблица14[[#This Row],[коэф]]),
IF(OR(AND(G333="4/16",AM333&gt;0.5),AND(G333="3/16",AM333&gt;0.5)),(AM333*2*база!$L$5*Таблица14[[#This Row],[коэф]]),
IF(OR(AND(G333="4/4",AM333&gt;0.5),AND(G333="3/4",AM333&gt;2)),(AM333*2*база!$I$5*Таблица14[[#This Row],[коэф]]),
IF(AND(G333="5/8",AM333&gt;0.5),(AM333*2*база!$J$6*Таблица14[[#This Row],[коэф]]),
IF(AND(G333="4/8",AM333&gt;0.5),(AM333*2*база!$J$5*Таблица14[[#This Row],[коэф]]),
IF(OR(AND(G333="3/8",AM333&gt;0.5),AND(G333="2/8",AM333&gt;0.5)),(AM333*2*база!$J$4*Таблица14[[#This Row],[коэф]]),
(AM333*2*база!$L$5*Таблица14[[#This Row],[коэф]])))))))))))</f>
        <v>0</v>
      </c>
      <c r="AO333" s="122" t="str">
        <f>IFERROR(INDEX(база!$D$2:$D$120, MATCH(Таблица14[[#This Row],[Ф. И. О.]],база!$B$2:$B$100,0)),"")</f>
        <v/>
      </c>
    </row>
    <row r="334" spans="1:41">
      <c r="A334" s="207" t="str">
        <f t="shared" si="10"/>
        <v>январь</v>
      </c>
      <c r="B334" s="240">
        <v>2024</v>
      </c>
      <c r="C334" s="648"/>
      <c r="D334" s="591"/>
      <c r="E334" s="241"/>
      <c r="F334" s="673"/>
      <c r="G334" s="242"/>
      <c r="H334" s="592"/>
      <c r="I334" s="592"/>
      <c r="J334" s="592"/>
      <c r="K334" s="592"/>
      <c r="L334" s="592"/>
      <c r="M334" s="592"/>
      <c r="N334" s="592"/>
      <c r="O334" s="592"/>
      <c r="P334" s="592"/>
      <c r="Q334" s="592"/>
      <c r="R334" s="592"/>
      <c r="S334" s="592"/>
      <c r="T334" s="592"/>
      <c r="U334" s="592"/>
      <c r="V334" s="592"/>
      <c r="W334" s="592"/>
      <c r="X334" s="592"/>
      <c r="Y334" s="592"/>
      <c r="Z334" s="592"/>
      <c r="AA334" s="592"/>
      <c r="AB334" s="592"/>
      <c r="AC334" s="592"/>
      <c r="AD334" s="592"/>
      <c r="AE334" s="592"/>
      <c r="AF334" s="592"/>
      <c r="AG334" s="592"/>
      <c r="AH334" s="592"/>
      <c r="AI334" s="592"/>
      <c r="AJ334" s="592"/>
      <c r="AK334" s="592"/>
      <c r="AL334" s="592"/>
      <c r="AM334" s="121">
        <f t="shared" si="11"/>
        <v>0</v>
      </c>
      <c r="AN334" s="564">
        <f>IF(AO334&lt;=3,(IF(AND(G334="5/24",AM334&gt;0.5),(AM334*2*база!$M$6*Таблица14[[#This Row],[коэф]]),
IF(AND(G334="4/24",AM334&gt;0.5),(AM334*2*база!$M$5*Таблица14[[#This Row],[коэф]]),
IF(AND(G334="3/24",AM334&gt;0.5),(AM334*2*база!$M$4*Таблица14[[#This Row],[коэф]]),
IF(AND(G334="5/16",AM334&gt;0.5),(AM334*2*база!$L$6*Таблица14[[#This Row],[коэф]]),
IF(AND(G334="4/16",AM334&gt;0.5),(AM334*2*база!$L$5*Таблица14[[#This Row],[коэф]]),
IF(AND(G334="3/16",AM334&gt;0.5),(AM334*2*база!$L$4*Таблица14[[#This Row],[коэф]]),
IF(AND(G334="4/4",AM334&gt;0.5),(AM334*2*база!$I$5*Таблица14[[#This Row],[коэф]]),
IF(OR(AND(G334="3/4",AM334&gt;0.5),AND(G334="2/4",AM334&gt;0.5)),(AM334*2*база!$I$4*Таблица14[[#This Row],[коэф]]),
IF(AND(G334="5/8",AM334&gt;0.5),(AM334*2*база!$J$6*Таблица14[[#This Row],[коэф]]),
IF(AND(G334="4/8",AM334&gt;0.5),(AM334*2*база!$J$5*Таблица14[[#This Row],[коэф]]),
IF(OR(AND(G334="3/8",AM334&gt;0.5),AND(G334="2/8",AM334&gt;0.5)),(AM334*2*база!$J$4*Таблица14[[#This Row],[коэф]]),
(AM334*0.5*база!$L$4*Таблица14[[#This Row],[коэф]]))))))))))))),
(IF(AND(G334="5/24",AM334&gt;0.5),(AM334*2*база!$M$6*Таблица14[[#This Row],[коэф]]),
IF(OR(AND(G334="4/24",AM334&gt;0.5),AND(G334="3/24",AM334&gt;0.5)),(AM334*2*база!$M$5*Таблица14[[#This Row],[коэф]]),
IF(AND(G334="5/16",AM334&gt;0.5),(AM334*2*база!$L$6*Таблица14[[#This Row],[коэф]]),
IF(OR(AND(G334="4/16",AM334&gt;0.5),AND(G334="3/16",AM334&gt;0.5)),(AM334*2*база!$L$5*Таблица14[[#This Row],[коэф]]),
IF(OR(AND(G334="4/4",AM334&gt;0.5),AND(G334="3/4",AM334&gt;2)),(AM334*2*база!$I$5*Таблица14[[#This Row],[коэф]]),
IF(AND(G334="5/8",AM334&gt;0.5),(AM334*2*база!$J$6*Таблица14[[#This Row],[коэф]]),
IF(AND(G334="4/8",AM334&gt;0.5),(AM334*2*база!$J$5*Таблица14[[#This Row],[коэф]]),
IF(OR(AND(G334="3/8",AM334&gt;0.5),AND(G334="2/8",AM334&gt;0.5)),(AM334*2*база!$J$4*Таблица14[[#This Row],[коэф]]),
(AM334*2*база!$L$5*Таблица14[[#This Row],[коэф]])))))))))))</f>
        <v>0</v>
      </c>
      <c r="AO334" s="122" t="str">
        <f>IFERROR(INDEX(база!$D$2:$D$120, MATCH(Таблица14[[#This Row],[Ф. И. О.]],база!$B$2:$B$100,0)),"")</f>
        <v/>
      </c>
    </row>
    <row r="335" spans="1:41">
      <c r="A335" s="207" t="str">
        <f t="shared" si="10"/>
        <v>январь</v>
      </c>
      <c r="B335" s="204">
        <v>2024</v>
      </c>
      <c r="C335" s="571"/>
      <c r="D335" s="205"/>
      <c r="E335" s="243"/>
      <c r="F335" s="673"/>
      <c r="G335" s="206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  <c r="S335" s="49"/>
      <c r="T335" s="49"/>
      <c r="U335" s="49"/>
      <c r="V335" s="49"/>
      <c r="W335" s="49"/>
      <c r="X335" s="49"/>
      <c r="Y335" s="49"/>
      <c r="Z335" s="49"/>
      <c r="AA335" s="49"/>
      <c r="AB335" s="49"/>
      <c r="AC335" s="49"/>
      <c r="AD335" s="49"/>
      <c r="AE335" s="49"/>
      <c r="AF335" s="49"/>
      <c r="AG335" s="49"/>
      <c r="AH335" s="49"/>
      <c r="AI335" s="49"/>
      <c r="AJ335" s="49"/>
      <c r="AK335" s="49"/>
      <c r="AL335" s="49"/>
      <c r="AM335" s="121">
        <f t="shared" si="11"/>
        <v>0</v>
      </c>
      <c r="AN335" s="564">
        <f>IF(AO335&lt;=3,(IF(AND(G335="5/24",AM335&gt;0.5),(AM335*2*база!$M$6*Таблица14[[#This Row],[коэф]]),
IF(AND(G335="4/24",AM335&gt;0.5),(AM335*2*база!$M$5*Таблица14[[#This Row],[коэф]]),
IF(AND(G335="3/24",AM335&gt;0.5),(AM335*2*база!$M$4*Таблица14[[#This Row],[коэф]]),
IF(AND(G335="5/16",AM335&gt;0.5),(AM335*2*база!$L$6*Таблица14[[#This Row],[коэф]]),
IF(AND(G335="4/16",AM335&gt;0.5),(AM335*2*база!$L$5*Таблица14[[#This Row],[коэф]]),
IF(AND(G335="3/16",AM335&gt;0.5),(AM335*2*база!$L$4*Таблица14[[#This Row],[коэф]]),
IF(AND(G335="4/4",AM335&gt;0.5),(AM335*2*база!$I$5*Таблица14[[#This Row],[коэф]]),
IF(OR(AND(G335="3/4",AM335&gt;0.5),AND(G335="2/4",AM335&gt;0.5)),(AM335*2*база!$I$4*Таблица14[[#This Row],[коэф]]),
IF(AND(G335="5/8",AM335&gt;0.5),(AM335*2*база!$J$6*Таблица14[[#This Row],[коэф]]),
IF(AND(G335="4/8",AM335&gt;0.5),(AM335*2*база!$J$5*Таблица14[[#This Row],[коэф]]),
IF(OR(AND(G335="3/8",AM335&gt;0.5),AND(G335="2/8",AM335&gt;0.5)),(AM335*2*база!$J$4*Таблица14[[#This Row],[коэф]]),
(AM335*0.5*база!$L$4*Таблица14[[#This Row],[коэф]]))))))))))))),
(IF(AND(G335="5/24",AM335&gt;0.5),(AM335*2*база!$M$6*Таблица14[[#This Row],[коэф]]),
IF(OR(AND(G335="4/24",AM335&gt;0.5),AND(G335="3/24",AM335&gt;0.5)),(AM335*2*база!$M$5*Таблица14[[#This Row],[коэф]]),
IF(AND(G335="5/16",AM335&gt;0.5),(AM335*2*база!$L$6*Таблица14[[#This Row],[коэф]]),
IF(OR(AND(G335="4/16",AM335&gt;0.5),AND(G335="3/16",AM335&gt;0.5)),(AM335*2*база!$L$5*Таблица14[[#This Row],[коэф]]),
IF(OR(AND(G335="4/4",AM335&gt;0.5),AND(G335="3/4",AM335&gt;2)),(AM335*2*база!$I$5*Таблица14[[#This Row],[коэф]]),
IF(AND(G335="5/8",AM335&gt;0.5),(AM335*2*база!$J$6*Таблица14[[#This Row],[коэф]]),
IF(AND(G335="4/8",AM335&gt;0.5),(AM335*2*база!$J$5*Таблица14[[#This Row],[коэф]]),
IF(OR(AND(G335="3/8",AM335&gt;0.5),AND(G335="2/8",AM335&gt;0.5)),(AM335*2*база!$J$4*Таблица14[[#This Row],[коэф]]),
(AM335*2*база!$L$5*Таблица14[[#This Row],[коэф]])))))))))))</f>
        <v>0</v>
      </c>
      <c r="AO335" s="122" t="str">
        <f>IFERROR(INDEX(база!$D$2:$D$120, MATCH(Таблица14[[#This Row],[Ф. И. О.]],база!$B$2:$B$100,0)),"")</f>
        <v/>
      </c>
    </row>
    <row r="336" spans="1:41">
      <c r="A336" s="207" t="str">
        <f t="shared" si="10"/>
        <v>январь</v>
      </c>
      <c r="B336" s="240">
        <v>2024</v>
      </c>
      <c r="C336" s="648"/>
      <c r="D336" s="591"/>
      <c r="E336" s="241"/>
      <c r="F336" s="673"/>
      <c r="G336" s="242"/>
      <c r="H336" s="592"/>
      <c r="I336" s="592"/>
      <c r="J336" s="592"/>
      <c r="K336" s="592"/>
      <c r="L336" s="592"/>
      <c r="M336" s="592"/>
      <c r="N336" s="592"/>
      <c r="O336" s="592"/>
      <c r="P336" s="592"/>
      <c r="Q336" s="592"/>
      <c r="R336" s="592"/>
      <c r="S336" s="592"/>
      <c r="T336" s="592"/>
      <c r="U336" s="592"/>
      <c r="V336" s="592"/>
      <c r="W336" s="592"/>
      <c r="X336" s="592"/>
      <c r="Y336" s="592"/>
      <c r="Z336" s="592"/>
      <c r="AA336" s="592"/>
      <c r="AB336" s="592"/>
      <c r="AC336" s="592"/>
      <c r="AD336" s="592"/>
      <c r="AE336" s="592"/>
      <c r="AF336" s="592"/>
      <c r="AG336" s="592"/>
      <c r="AH336" s="592"/>
      <c r="AI336" s="592"/>
      <c r="AJ336" s="592"/>
      <c r="AK336" s="592"/>
      <c r="AL336" s="592"/>
      <c r="AM336" s="121">
        <f t="shared" si="11"/>
        <v>0</v>
      </c>
      <c r="AN336" s="564">
        <f>IF(AO336&lt;=3,(IF(AND(G336="5/24",AM336&gt;0.5),(AM336*2*база!$M$6*Таблица14[[#This Row],[коэф]]),
IF(AND(G336="4/24",AM336&gt;0.5),(AM336*2*база!$M$5*Таблица14[[#This Row],[коэф]]),
IF(AND(G336="3/24",AM336&gt;0.5),(AM336*2*база!$M$4*Таблица14[[#This Row],[коэф]]),
IF(AND(G336="5/16",AM336&gt;0.5),(AM336*2*база!$L$6*Таблица14[[#This Row],[коэф]]),
IF(AND(G336="4/16",AM336&gt;0.5),(AM336*2*база!$L$5*Таблица14[[#This Row],[коэф]]),
IF(AND(G336="3/16",AM336&gt;0.5),(AM336*2*база!$L$4*Таблица14[[#This Row],[коэф]]),
IF(AND(G336="4/4",AM336&gt;0.5),(AM336*2*база!$I$5*Таблица14[[#This Row],[коэф]]),
IF(OR(AND(G336="3/4",AM336&gt;0.5),AND(G336="2/4",AM336&gt;0.5)),(AM336*2*база!$I$4*Таблица14[[#This Row],[коэф]]),
IF(AND(G336="5/8",AM336&gt;0.5),(AM336*2*база!$J$6*Таблица14[[#This Row],[коэф]]),
IF(AND(G336="4/8",AM336&gt;0.5),(AM336*2*база!$J$5*Таблица14[[#This Row],[коэф]]),
IF(OR(AND(G336="3/8",AM336&gt;0.5),AND(G336="2/8",AM336&gt;0.5)),(AM336*2*база!$J$4*Таблица14[[#This Row],[коэф]]),
(AM336*0.5*база!$L$4*Таблица14[[#This Row],[коэф]]))))))))))))),
(IF(AND(G336="5/24",AM336&gt;0.5),(AM336*2*база!$M$6*Таблица14[[#This Row],[коэф]]),
IF(OR(AND(G336="4/24",AM336&gt;0.5),AND(G336="3/24",AM336&gt;0.5)),(AM336*2*база!$M$5*Таблица14[[#This Row],[коэф]]),
IF(AND(G336="5/16",AM336&gt;0.5),(AM336*2*база!$L$6*Таблица14[[#This Row],[коэф]]),
IF(OR(AND(G336="4/16",AM336&gt;0.5),AND(G336="3/16",AM336&gt;0.5)),(AM336*2*база!$L$5*Таблица14[[#This Row],[коэф]]),
IF(OR(AND(G336="4/4",AM336&gt;0.5),AND(G336="3/4",AM336&gt;2)),(AM336*2*база!$I$5*Таблица14[[#This Row],[коэф]]),
IF(AND(G336="5/8",AM336&gt;0.5),(AM336*2*база!$J$6*Таблица14[[#This Row],[коэф]]),
IF(AND(G336="4/8",AM336&gt;0.5),(AM336*2*база!$J$5*Таблица14[[#This Row],[коэф]]),
IF(OR(AND(G336="3/8",AM336&gt;0.5),AND(G336="2/8",AM336&gt;0.5)),(AM336*2*база!$J$4*Таблица14[[#This Row],[коэф]]),
(AM336*2*база!$L$5*Таблица14[[#This Row],[коэф]])))))))))))</f>
        <v>0</v>
      </c>
      <c r="AO336" s="122" t="str">
        <f>IFERROR(INDEX(база!$D$2:$D$120, MATCH(Таблица14[[#This Row],[Ф. И. О.]],база!$B$2:$B$100,0)),"")</f>
        <v/>
      </c>
    </row>
    <row r="337" spans="1:41">
      <c r="A337" s="207" t="str">
        <f t="shared" si="10"/>
        <v>январь</v>
      </c>
      <c r="B337" s="204">
        <v>2024</v>
      </c>
      <c r="C337" s="571"/>
      <c r="D337" s="205"/>
      <c r="E337" s="243"/>
      <c r="F337" s="673"/>
      <c r="G337" s="206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  <c r="S337" s="49"/>
      <c r="T337" s="49"/>
      <c r="U337" s="49"/>
      <c r="V337" s="49"/>
      <c r="W337" s="49"/>
      <c r="X337" s="49"/>
      <c r="Y337" s="49"/>
      <c r="Z337" s="49"/>
      <c r="AA337" s="49"/>
      <c r="AB337" s="49"/>
      <c r="AC337" s="49"/>
      <c r="AD337" s="49"/>
      <c r="AE337" s="49"/>
      <c r="AF337" s="49"/>
      <c r="AG337" s="49"/>
      <c r="AH337" s="49"/>
      <c r="AI337" s="49"/>
      <c r="AJ337" s="49"/>
      <c r="AK337" s="49"/>
      <c r="AL337" s="49"/>
      <c r="AM337" s="121">
        <f t="shared" si="11"/>
        <v>0</v>
      </c>
      <c r="AN337" s="564">
        <f>IF(AO337&lt;=3,(IF(AND(G337="5/24",AM337&gt;0.5),(AM337*2*база!$M$6*Таблица14[[#This Row],[коэф]]),
IF(AND(G337="4/24",AM337&gt;0.5),(AM337*2*база!$M$5*Таблица14[[#This Row],[коэф]]),
IF(AND(G337="3/24",AM337&gt;0.5),(AM337*2*база!$M$4*Таблица14[[#This Row],[коэф]]),
IF(AND(G337="5/16",AM337&gt;0.5),(AM337*2*база!$L$6*Таблица14[[#This Row],[коэф]]),
IF(AND(G337="4/16",AM337&gt;0.5),(AM337*2*база!$L$5*Таблица14[[#This Row],[коэф]]),
IF(AND(G337="3/16",AM337&gt;0.5),(AM337*2*база!$L$4*Таблица14[[#This Row],[коэф]]),
IF(AND(G337="4/4",AM337&gt;0.5),(AM337*2*база!$I$5*Таблица14[[#This Row],[коэф]]),
IF(OR(AND(G337="3/4",AM337&gt;0.5),AND(G337="2/4",AM337&gt;0.5)),(AM337*2*база!$I$4*Таблица14[[#This Row],[коэф]]),
IF(AND(G337="5/8",AM337&gt;0.5),(AM337*2*база!$J$6*Таблица14[[#This Row],[коэф]]),
IF(AND(G337="4/8",AM337&gt;0.5),(AM337*2*база!$J$5*Таблица14[[#This Row],[коэф]]),
IF(OR(AND(G337="3/8",AM337&gt;0.5),AND(G337="2/8",AM337&gt;0.5)),(AM337*2*база!$J$4*Таблица14[[#This Row],[коэф]]),
(AM337*0.5*база!$L$4*Таблица14[[#This Row],[коэф]]))))))))))))),
(IF(AND(G337="5/24",AM337&gt;0.5),(AM337*2*база!$M$6*Таблица14[[#This Row],[коэф]]),
IF(OR(AND(G337="4/24",AM337&gt;0.5),AND(G337="3/24",AM337&gt;0.5)),(AM337*2*база!$M$5*Таблица14[[#This Row],[коэф]]),
IF(AND(G337="5/16",AM337&gt;0.5),(AM337*2*база!$L$6*Таблица14[[#This Row],[коэф]]),
IF(OR(AND(G337="4/16",AM337&gt;0.5),AND(G337="3/16",AM337&gt;0.5)),(AM337*2*база!$L$5*Таблица14[[#This Row],[коэф]]),
IF(OR(AND(G337="4/4",AM337&gt;0.5),AND(G337="3/4",AM337&gt;2)),(AM337*2*база!$I$5*Таблица14[[#This Row],[коэф]]),
IF(AND(G337="5/8",AM337&gt;0.5),(AM337*2*база!$J$6*Таблица14[[#This Row],[коэф]]),
IF(AND(G337="4/8",AM337&gt;0.5),(AM337*2*база!$J$5*Таблица14[[#This Row],[коэф]]),
IF(OR(AND(G337="3/8",AM337&gt;0.5),AND(G337="2/8",AM337&gt;0.5)),(AM337*2*база!$J$4*Таблица14[[#This Row],[коэф]]),
(AM337*2*база!$L$5*Таблица14[[#This Row],[коэф]])))))))))))</f>
        <v>0</v>
      </c>
      <c r="AO337" s="122" t="str">
        <f>IFERROR(INDEX(база!$D$2:$D$120, MATCH(Таблица14[[#This Row],[Ф. И. О.]],база!$B$2:$B$100,0)),"")</f>
        <v/>
      </c>
    </row>
    <row r="338" spans="1:41">
      <c r="A338" s="207" t="str">
        <f t="shared" si="10"/>
        <v>январь</v>
      </c>
      <c r="B338" s="240">
        <v>2024</v>
      </c>
      <c r="C338" s="648"/>
      <c r="D338" s="591"/>
      <c r="E338" s="241"/>
      <c r="F338" s="673"/>
      <c r="G338" s="242"/>
      <c r="H338" s="592"/>
      <c r="I338" s="592"/>
      <c r="J338" s="592"/>
      <c r="K338" s="592"/>
      <c r="L338" s="592"/>
      <c r="M338" s="592"/>
      <c r="N338" s="592"/>
      <c r="O338" s="592"/>
      <c r="P338" s="592"/>
      <c r="Q338" s="592"/>
      <c r="R338" s="592"/>
      <c r="S338" s="592"/>
      <c r="T338" s="592"/>
      <c r="U338" s="592"/>
      <c r="V338" s="592"/>
      <c r="W338" s="592"/>
      <c r="X338" s="592"/>
      <c r="Y338" s="592"/>
      <c r="Z338" s="592"/>
      <c r="AA338" s="592"/>
      <c r="AB338" s="592"/>
      <c r="AC338" s="592"/>
      <c r="AD338" s="592"/>
      <c r="AE338" s="592"/>
      <c r="AF338" s="592"/>
      <c r="AG338" s="592"/>
      <c r="AH338" s="592"/>
      <c r="AI338" s="592"/>
      <c r="AJ338" s="592"/>
      <c r="AK338" s="592"/>
      <c r="AL338" s="592"/>
      <c r="AM338" s="121">
        <f t="shared" si="11"/>
        <v>0</v>
      </c>
      <c r="AN338" s="564">
        <f>IF(AO338&lt;=3,(IF(AND(G338="5/24",AM338&gt;0.5),(AM338*2*база!$M$6*Таблица14[[#This Row],[коэф]]),
IF(AND(G338="4/24",AM338&gt;0.5),(AM338*2*база!$M$5*Таблица14[[#This Row],[коэф]]),
IF(AND(G338="3/24",AM338&gt;0.5),(AM338*2*база!$M$4*Таблица14[[#This Row],[коэф]]),
IF(AND(G338="5/16",AM338&gt;0.5),(AM338*2*база!$L$6*Таблица14[[#This Row],[коэф]]),
IF(AND(G338="4/16",AM338&gt;0.5),(AM338*2*база!$L$5*Таблица14[[#This Row],[коэф]]),
IF(AND(G338="3/16",AM338&gt;0.5),(AM338*2*база!$L$4*Таблица14[[#This Row],[коэф]]),
IF(AND(G338="4/4",AM338&gt;0.5),(AM338*2*база!$I$5*Таблица14[[#This Row],[коэф]]),
IF(OR(AND(G338="3/4",AM338&gt;0.5),AND(G338="2/4",AM338&gt;0.5)),(AM338*2*база!$I$4*Таблица14[[#This Row],[коэф]]),
IF(AND(G338="5/8",AM338&gt;0.5),(AM338*2*база!$J$6*Таблица14[[#This Row],[коэф]]),
IF(AND(G338="4/8",AM338&gt;0.5),(AM338*2*база!$J$5*Таблица14[[#This Row],[коэф]]),
IF(OR(AND(G338="3/8",AM338&gt;0.5),AND(G338="2/8",AM338&gt;0.5)),(AM338*2*база!$J$4*Таблица14[[#This Row],[коэф]]),
(AM338*0.5*база!$L$4*Таблица14[[#This Row],[коэф]]))))))))))))),
(IF(AND(G338="5/24",AM338&gt;0.5),(AM338*2*база!$M$6*Таблица14[[#This Row],[коэф]]),
IF(OR(AND(G338="4/24",AM338&gt;0.5),AND(G338="3/24",AM338&gt;0.5)),(AM338*2*база!$M$5*Таблица14[[#This Row],[коэф]]),
IF(AND(G338="5/16",AM338&gt;0.5),(AM338*2*база!$L$6*Таблица14[[#This Row],[коэф]]),
IF(OR(AND(G338="4/16",AM338&gt;0.5),AND(G338="3/16",AM338&gt;0.5)),(AM338*2*база!$L$5*Таблица14[[#This Row],[коэф]]),
IF(OR(AND(G338="4/4",AM338&gt;0.5),AND(G338="3/4",AM338&gt;2)),(AM338*2*база!$I$5*Таблица14[[#This Row],[коэф]]),
IF(AND(G338="5/8",AM338&gt;0.5),(AM338*2*база!$J$6*Таблица14[[#This Row],[коэф]]),
IF(AND(G338="4/8",AM338&gt;0.5),(AM338*2*база!$J$5*Таблица14[[#This Row],[коэф]]),
IF(OR(AND(G338="3/8",AM338&gt;0.5),AND(G338="2/8",AM338&gt;0.5)),(AM338*2*база!$J$4*Таблица14[[#This Row],[коэф]]),
(AM338*2*база!$L$5*Таблица14[[#This Row],[коэф]])))))))))))</f>
        <v>0</v>
      </c>
      <c r="AO338" s="122" t="str">
        <f>IFERROR(INDEX(база!$D$2:$D$120, MATCH(Таблица14[[#This Row],[Ф. И. О.]],база!$B$2:$B$100,0)),"")</f>
        <v/>
      </c>
    </row>
    <row r="339" spans="1:41">
      <c r="A339" s="207" t="str">
        <f t="shared" si="10"/>
        <v>январь</v>
      </c>
      <c r="B339" s="204">
        <v>2024</v>
      </c>
      <c r="C339" s="571"/>
      <c r="D339" s="205"/>
      <c r="E339" s="243"/>
      <c r="F339" s="673"/>
      <c r="G339" s="206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  <c r="S339" s="49"/>
      <c r="T339" s="49"/>
      <c r="U339" s="49"/>
      <c r="V339" s="49"/>
      <c r="W339" s="49"/>
      <c r="X339" s="49"/>
      <c r="Y339" s="49"/>
      <c r="Z339" s="49"/>
      <c r="AA339" s="49"/>
      <c r="AB339" s="49"/>
      <c r="AC339" s="49"/>
      <c r="AD339" s="49"/>
      <c r="AE339" s="49"/>
      <c r="AF339" s="49"/>
      <c r="AG339" s="49"/>
      <c r="AH339" s="49"/>
      <c r="AI339" s="49"/>
      <c r="AJ339" s="49"/>
      <c r="AK339" s="49"/>
      <c r="AL339" s="49"/>
      <c r="AM339" s="121">
        <f t="shared" si="11"/>
        <v>0</v>
      </c>
      <c r="AN339" s="564">
        <f>IF(AO339&lt;=3,(IF(AND(G339="5/24",AM339&gt;0.5),(AM339*2*база!$M$6*Таблица14[[#This Row],[коэф]]),
IF(AND(G339="4/24",AM339&gt;0.5),(AM339*2*база!$M$5*Таблица14[[#This Row],[коэф]]),
IF(AND(G339="3/24",AM339&gt;0.5),(AM339*2*база!$M$4*Таблица14[[#This Row],[коэф]]),
IF(AND(G339="5/16",AM339&gt;0.5),(AM339*2*база!$L$6*Таблица14[[#This Row],[коэф]]),
IF(AND(G339="4/16",AM339&gt;0.5),(AM339*2*база!$L$5*Таблица14[[#This Row],[коэф]]),
IF(AND(G339="3/16",AM339&gt;0.5),(AM339*2*база!$L$4*Таблица14[[#This Row],[коэф]]),
IF(AND(G339="4/4",AM339&gt;0.5),(AM339*2*база!$I$5*Таблица14[[#This Row],[коэф]]),
IF(OR(AND(G339="3/4",AM339&gt;0.5),AND(G339="2/4",AM339&gt;0.5)),(AM339*2*база!$I$4*Таблица14[[#This Row],[коэф]]),
IF(AND(G339="5/8",AM339&gt;0.5),(AM339*2*база!$J$6*Таблица14[[#This Row],[коэф]]),
IF(AND(G339="4/8",AM339&gt;0.5),(AM339*2*база!$J$5*Таблица14[[#This Row],[коэф]]),
IF(OR(AND(G339="3/8",AM339&gt;0.5),AND(G339="2/8",AM339&gt;0.5)),(AM339*2*база!$J$4*Таблица14[[#This Row],[коэф]]),
(AM339*0.5*база!$L$4*Таблица14[[#This Row],[коэф]]))))))))))))),
(IF(AND(G339="5/24",AM339&gt;0.5),(AM339*2*база!$M$6*Таблица14[[#This Row],[коэф]]),
IF(OR(AND(G339="4/24",AM339&gt;0.5),AND(G339="3/24",AM339&gt;0.5)),(AM339*2*база!$M$5*Таблица14[[#This Row],[коэф]]),
IF(AND(G339="5/16",AM339&gt;0.5),(AM339*2*база!$L$6*Таблица14[[#This Row],[коэф]]),
IF(OR(AND(G339="4/16",AM339&gt;0.5),AND(G339="3/16",AM339&gt;0.5)),(AM339*2*база!$L$5*Таблица14[[#This Row],[коэф]]),
IF(OR(AND(G339="4/4",AM339&gt;0.5),AND(G339="3/4",AM339&gt;2)),(AM339*2*база!$I$5*Таблица14[[#This Row],[коэф]]),
IF(AND(G339="5/8",AM339&gt;0.5),(AM339*2*база!$J$6*Таблица14[[#This Row],[коэф]]),
IF(AND(G339="4/8",AM339&gt;0.5),(AM339*2*база!$J$5*Таблица14[[#This Row],[коэф]]),
IF(OR(AND(G339="3/8",AM339&gt;0.5),AND(G339="2/8",AM339&gt;0.5)),(AM339*2*база!$J$4*Таблица14[[#This Row],[коэф]]),
(AM339*2*база!$L$5*Таблица14[[#This Row],[коэф]])))))))))))</f>
        <v>0</v>
      </c>
      <c r="AO339" s="122" t="str">
        <f>IFERROR(INDEX(база!$D$2:$D$120, MATCH(Таблица14[[#This Row],[Ф. И. О.]],база!$B$2:$B$100,0)),"")</f>
        <v/>
      </c>
    </row>
    <row r="340" spans="1:41">
      <c r="A340" s="207" t="str">
        <f t="shared" si="10"/>
        <v>январь</v>
      </c>
      <c r="B340" s="240">
        <v>2024</v>
      </c>
      <c r="C340" s="648"/>
      <c r="D340" s="591"/>
      <c r="E340" s="241"/>
      <c r="F340" s="673"/>
      <c r="G340" s="242"/>
      <c r="H340" s="592"/>
      <c r="I340" s="592"/>
      <c r="J340" s="592"/>
      <c r="K340" s="592"/>
      <c r="L340" s="592"/>
      <c r="M340" s="592"/>
      <c r="N340" s="592"/>
      <c r="O340" s="592"/>
      <c r="P340" s="592"/>
      <c r="Q340" s="592"/>
      <c r="R340" s="592"/>
      <c r="S340" s="592"/>
      <c r="T340" s="592"/>
      <c r="U340" s="592"/>
      <c r="V340" s="592"/>
      <c r="W340" s="592"/>
      <c r="X340" s="592"/>
      <c r="Y340" s="592"/>
      <c r="Z340" s="592"/>
      <c r="AA340" s="592"/>
      <c r="AB340" s="592"/>
      <c r="AC340" s="592"/>
      <c r="AD340" s="592"/>
      <c r="AE340" s="592"/>
      <c r="AF340" s="592"/>
      <c r="AG340" s="592"/>
      <c r="AH340" s="592"/>
      <c r="AI340" s="592"/>
      <c r="AJ340" s="592"/>
      <c r="AK340" s="592"/>
      <c r="AL340" s="592"/>
      <c r="AM340" s="121">
        <f t="shared" si="11"/>
        <v>0</v>
      </c>
      <c r="AN340" s="564">
        <f>IF(AO340&lt;=3,(IF(AND(G340="5/24",AM340&gt;0.5),(AM340*2*база!$M$6*Таблица14[[#This Row],[коэф]]),
IF(AND(G340="4/24",AM340&gt;0.5),(AM340*2*база!$M$5*Таблица14[[#This Row],[коэф]]),
IF(AND(G340="3/24",AM340&gt;0.5),(AM340*2*база!$M$4*Таблица14[[#This Row],[коэф]]),
IF(AND(G340="5/16",AM340&gt;0.5),(AM340*2*база!$L$6*Таблица14[[#This Row],[коэф]]),
IF(AND(G340="4/16",AM340&gt;0.5),(AM340*2*база!$L$5*Таблица14[[#This Row],[коэф]]),
IF(AND(G340="3/16",AM340&gt;0.5),(AM340*2*база!$L$4*Таблица14[[#This Row],[коэф]]),
IF(AND(G340="4/4",AM340&gt;0.5),(AM340*2*база!$I$5*Таблица14[[#This Row],[коэф]]),
IF(OR(AND(G340="3/4",AM340&gt;0.5),AND(G340="2/4",AM340&gt;0.5)),(AM340*2*база!$I$4*Таблица14[[#This Row],[коэф]]),
IF(AND(G340="5/8",AM340&gt;0.5),(AM340*2*база!$J$6*Таблица14[[#This Row],[коэф]]),
IF(AND(G340="4/8",AM340&gt;0.5),(AM340*2*база!$J$5*Таблица14[[#This Row],[коэф]]),
IF(OR(AND(G340="3/8",AM340&gt;0.5),AND(G340="2/8",AM340&gt;0.5)),(AM340*2*база!$J$4*Таблица14[[#This Row],[коэф]]),
(AM340*0.5*база!$L$4*Таблица14[[#This Row],[коэф]]))))))))))))),
(IF(AND(G340="5/24",AM340&gt;0.5),(AM340*2*база!$M$6*Таблица14[[#This Row],[коэф]]),
IF(OR(AND(G340="4/24",AM340&gt;0.5),AND(G340="3/24",AM340&gt;0.5)),(AM340*2*база!$M$5*Таблица14[[#This Row],[коэф]]),
IF(AND(G340="5/16",AM340&gt;0.5),(AM340*2*база!$L$6*Таблица14[[#This Row],[коэф]]),
IF(OR(AND(G340="4/16",AM340&gt;0.5),AND(G340="3/16",AM340&gt;0.5)),(AM340*2*база!$L$5*Таблица14[[#This Row],[коэф]]),
IF(OR(AND(G340="4/4",AM340&gt;0.5),AND(G340="3/4",AM340&gt;2)),(AM340*2*база!$I$5*Таблица14[[#This Row],[коэф]]),
IF(AND(G340="5/8",AM340&gt;0.5),(AM340*2*база!$J$6*Таблица14[[#This Row],[коэф]]),
IF(AND(G340="4/8",AM340&gt;0.5),(AM340*2*база!$J$5*Таблица14[[#This Row],[коэф]]),
IF(OR(AND(G340="3/8",AM340&gt;0.5),AND(G340="2/8",AM340&gt;0.5)),(AM340*2*база!$J$4*Таблица14[[#This Row],[коэф]]),
(AM340*2*база!$L$5*Таблица14[[#This Row],[коэф]])))))))))))</f>
        <v>0</v>
      </c>
      <c r="AO340" s="122" t="str">
        <f>IFERROR(INDEX(база!$D$2:$D$120, MATCH(Таблица14[[#This Row],[Ф. И. О.]],база!$B$2:$B$100,0)),"")</f>
        <v/>
      </c>
    </row>
    <row r="341" spans="1:41">
      <c r="A341" s="207" t="str">
        <f t="shared" si="10"/>
        <v>январь</v>
      </c>
      <c r="B341" s="204">
        <v>2024</v>
      </c>
      <c r="C341" s="571"/>
      <c r="D341" s="205"/>
      <c r="E341" s="243"/>
      <c r="F341" s="673"/>
      <c r="G341" s="206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  <c r="S341" s="49"/>
      <c r="T341" s="49"/>
      <c r="U341" s="49"/>
      <c r="V341" s="49"/>
      <c r="W341" s="49"/>
      <c r="X341" s="49"/>
      <c r="Y341" s="49"/>
      <c r="Z341" s="49"/>
      <c r="AA341" s="49"/>
      <c r="AB341" s="49"/>
      <c r="AC341" s="49"/>
      <c r="AD341" s="49"/>
      <c r="AE341" s="49"/>
      <c r="AF341" s="49"/>
      <c r="AG341" s="49"/>
      <c r="AH341" s="49"/>
      <c r="AI341" s="49"/>
      <c r="AJ341" s="49"/>
      <c r="AK341" s="49"/>
      <c r="AL341" s="49"/>
      <c r="AM341" s="121">
        <f t="shared" si="11"/>
        <v>0</v>
      </c>
      <c r="AN341" s="564">
        <f>IF(AO341&lt;=3,(IF(AND(G341="5/24",AM341&gt;0.5),(AM341*2*база!$M$6*Таблица14[[#This Row],[коэф]]),
IF(AND(G341="4/24",AM341&gt;0.5),(AM341*2*база!$M$5*Таблица14[[#This Row],[коэф]]),
IF(AND(G341="3/24",AM341&gt;0.5),(AM341*2*база!$M$4*Таблица14[[#This Row],[коэф]]),
IF(AND(G341="5/16",AM341&gt;0.5),(AM341*2*база!$L$6*Таблица14[[#This Row],[коэф]]),
IF(AND(G341="4/16",AM341&gt;0.5),(AM341*2*база!$L$5*Таблица14[[#This Row],[коэф]]),
IF(AND(G341="3/16",AM341&gt;0.5),(AM341*2*база!$L$4*Таблица14[[#This Row],[коэф]]),
IF(AND(G341="4/4",AM341&gt;0.5),(AM341*2*база!$I$5*Таблица14[[#This Row],[коэф]]),
IF(OR(AND(G341="3/4",AM341&gt;0.5),AND(G341="2/4",AM341&gt;0.5)),(AM341*2*база!$I$4*Таблица14[[#This Row],[коэф]]),
IF(AND(G341="5/8",AM341&gt;0.5),(AM341*2*база!$J$6*Таблица14[[#This Row],[коэф]]),
IF(AND(G341="4/8",AM341&gt;0.5),(AM341*2*база!$J$5*Таблица14[[#This Row],[коэф]]),
IF(OR(AND(G341="3/8",AM341&gt;0.5),AND(G341="2/8",AM341&gt;0.5)),(AM341*2*база!$J$4*Таблица14[[#This Row],[коэф]]),
(AM341*0.5*база!$L$4*Таблица14[[#This Row],[коэф]]))))))))))))),
(IF(AND(G341="5/24",AM341&gt;0.5),(AM341*2*база!$M$6*Таблица14[[#This Row],[коэф]]),
IF(OR(AND(G341="4/24",AM341&gt;0.5),AND(G341="3/24",AM341&gt;0.5)),(AM341*2*база!$M$5*Таблица14[[#This Row],[коэф]]),
IF(AND(G341="5/16",AM341&gt;0.5),(AM341*2*база!$L$6*Таблица14[[#This Row],[коэф]]),
IF(OR(AND(G341="4/16",AM341&gt;0.5),AND(G341="3/16",AM341&gt;0.5)),(AM341*2*база!$L$5*Таблица14[[#This Row],[коэф]]),
IF(OR(AND(G341="4/4",AM341&gt;0.5),AND(G341="3/4",AM341&gt;2)),(AM341*2*база!$I$5*Таблица14[[#This Row],[коэф]]),
IF(AND(G341="5/8",AM341&gt;0.5),(AM341*2*база!$J$6*Таблица14[[#This Row],[коэф]]),
IF(AND(G341="4/8",AM341&gt;0.5),(AM341*2*база!$J$5*Таблица14[[#This Row],[коэф]]),
IF(OR(AND(G341="3/8",AM341&gt;0.5),AND(G341="2/8",AM341&gt;0.5)),(AM341*2*база!$J$4*Таблица14[[#This Row],[коэф]]),
(AM341*2*база!$L$5*Таблица14[[#This Row],[коэф]])))))))))))</f>
        <v>0</v>
      </c>
      <c r="AO341" s="122" t="str">
        <f>IFERROR(INDEX(база!$D$2:$D$120, MATCH(Таблица14[[#This Row],[Ф. И. О.]],база!$B$2:$B$100,0)),"")</f>
        <v/>
      </c>
    </row>
    <row r="342" spans="1:41">
      <c r="A342" s="207" t="str">
        <f t="shared" si="10"/>
        <v>январь</v>
      </c>
      <c r="B342" s="240">
        <v>2024</v>
      </c>
      <c r="C342" s="648"/>
      <c r="D342" s="591"/>
      <c r="E342" s="241"/>
      <c r="F342" s="673"/>
      <c r="G342" s="242"/>
      <c r="H342" s="592"/>
      <c r="I342" s="592"/>
      <c r="J342" s="592"/>
      <c r="K342" s="592"/>
      <c r="L342" s="592"/>
      <c r="M342" s="592"/>
      <c r="N342" s="592"/>
      <c r="O342" s="592"/>
      <c r="P342" s="592"/>
      <c r="Q342" s="592"/>
      <c r="R342" s="592"/>
      <c r="S342" s="592"/>
      <c r="T342" s="592"/>
      <c r="U342" s="592"/>
      <c r="V342" s="592"/>
      <c r="W342" s="592"/>
      <c r="X342" s="592"/>
      <c r="Y342" s="592"/>
      <c r="Z342" s="592"/>
      <c r="AA342" s="592"/>
      <c r="AB342" s="592"/>
      <c r="AC342" s="592"/>
      <c r="AD342" s="592"/>
      <c r="AE342" s="592"/>
      <c r="AF342" s="592"/>
      <c r="AG342" s="592"/>
      <c r="AH342" s="592"/>
      <c r="AI342" s="592"/>
      <c r="AJ342" s="592"/>
      <c r="AK342" s="592"/>
      <c r="AL342" s="592"/>
      <c r="AM342" s="121">
        <f t="shared" si="11"/>
        <v>0</v>
      </c>
      <c r="AN342" s="564">
        <f>IF(AO342&lt;=3,(IF(AND(G342="5/24",AM342&gt;0.5),(AM342*2*база!$M$6*Таблица14[[#This Row],[коэф]]),
IF(AND(G342="4/24",AM342&gt;0.5),(AM342*2*база!$M$5*Таблица14[[#This Row],[коэф]]),
IF(AND(G342="3/24",AM342&gt;0.5),(AM342*2*база!$M$4*Таблица14[[#This Row],[коэф]]),
IF(AND(G342="5/16",AM342&gt;0.5),(AM342*2*база!$L$6*Таблица14[[#This Row],[коэф]]),
IF(AND(G342="4/16",AM342&gt;0.5),(AM342*2*база!$L$5*Таблица14[[#This Row],[коэф]]),
IF(AND(G342="3/16",AM342&gt;0.5),(AM342*2*база!$L$4*Таблица14[[#This Row],[коэф]]),
IF(AND(G342="4/4",AM342&gt;0.5),(AM342*2*база!$I$5*Таблица14[[#This Row],[коэф]]),
IF(OR(AND(G342="3/4",AM342&gt;0.5),AND(G342="2/4",AM342&gt;0.5)),(AM342*2*база!$I$4*Таблица14[[#This Row],[коэф]]),
IF(AND(G342="5/8",AM342&gt;0.5),(AM342*2*база!$J$6*Таблица14[[#This Row],[коэф]]),
IF(AND(G342="4/8",AM342&gt;0.5),(AM342*2*база!$J$5*Таблица14[[#This Row],[коэф]]),
IF(OR(AND(G342="3/8",AM342&gt;0.5),AND(G342="2/8",AM342&gt;0.5)),(AM342*2*база!$J$4*Таблица14[[#This Row],[коэф]]),
(AM342*0.5*база!$L$4*Таблица14[[#This Row],[коэф]]))))))))))))),
(IF(AND(G342="5/24",AM342&gt;0.5),(AM342*2*база!$M$6*Таблица14[[#This Row],[коэф]]),
IF(OR(AND(G342="4/24",AM342&gt;0.5),AND(G342="3/24",AM342&gt;0.5)),(AM342*2*база!$M$5*Таблица14[[#This Row],[коэф]]),
IF(AND(G342="5/16",AM342&gt;0.5),(AM342*2*база!$L$6*Таблица14[[#This Row],[коэф]]),
IF(OR(AND(G342="4/16",AM342&gt;0.5),AND(G342="3/16",AM342&gt;0.5)),(AM342*2*база!$L$5*Таблица14[[#This Row],[коэф]]),
IF(OR(AND(G342="4/4",AM342&gt;0.5),AND(G342="3/4",AM342&gt;2)),(AM342*2*база!$I$5*Таблица14[[#This Row],[коэф]]),
IF(AND(G342="5/8",AM342&gt;0.5),(AM342*2*база!$J$6*Таблица14[[#This Row],[коэф]]),
IF(AND(G342="4/8",AM342&gt;0.5),(AM342*2*база!$J$5*Таблица14[[#This Row],[коэф]]),
IF(OR(AND(G342="3/8",AM342&gt;0.5),AND(G342="2/8",AM342&gt;0.5)),(AM342*2*база!$J$4*Таблица14[[#This Row],[коэф]]),
(AM342*2*база!$L$5*Таблица14[[#This Row],[коэф]])))))))))))</f>
        <v>0</v>
      </c>
      <c r="AO342" s="122" t="str">
        <f>IFERROR(INDEX(база!$D$2:$D$120, MATCH(Таблица14[[#This Row],[Ф. И. О.]],база!$B$2:$B$100,0)),"")</f>
        <v/>
      </c>
    </row>
    <row r="343" spans="1:41">
      <c r="A343" s="207" t="str">
        <f t="shared" si="10"/>
        <v>январь</v>
      </c>
      <c r="B343" s="204">
        <v>2024</v>
      </c>
      <c r="C343" s="571"/>
      <c r="D343" s="205"/>
      <c r="E343" s="243"/>
      <c r="F343" s="673"/>
      <c r="G343" s="206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  <c r="S343" s="49"/>
      <c r="T343" s="49"/>
      <c r="U343" s="49"/>
      <c r="V343" s="49"/>
      <c r="W343" s="49"/>
      <c r="X343" s="49"/>
      <c r="Y343" s="49"/>
      <c r="Z343" s="49"/>
      <c r="AA343" s="49"/>
      <c r="AB343" s="49"/>
      <c r="AC343" s="49"/>
      <c r="AD343" s="49"/>
      <c r="AE343" s="49"/>
      <c r="AF343" s="49"/>
      <c r="AG343" s="49"/>
      <c r="AH343" s="49"/>
      <c r="AI343" s="49"/>
      <c r="AJ343" s="49"/>
      <c r="AK343" s="49"/>
      <c r="AL343" s="49"/>
      <c r="AM343" s="121">
        <f t="shared" si="11"/>
        <v>0</v>
      </c>
      <c r="AN343" s="564">
        <f>IF(AO343&lt;=3,(IF(AND(G343="5/24",AM343&gt;0.5),(AM343*2*база!$M$6*Таблица14[[#This Row],[коэф]]),
IF(AND(G343="4/24",AM343&gt;0.5),(AM343*2*база!$M$5*Таблица14[[#This Row],[коэф]]),
IF(AND(G343="3/24",AM343&gt;0.5),(AM343*2*база!$M$4*Таблица14[[#This Row],[коэф]]),
IF(AND(G343="5/16",AM343&gt;0.5),(AM343*2*база!$L$6*Таблица14[[#This Row],[коэф]]),
IF(AND(G343="4/16",AM343&gt;0.5),(AM343*2*база!$L$5*Таблица14[[#This Row],[коэф]]),
IF(AND(G343="3/16",AM343&gt;0.5),(AM343*2*база!$L$4*Таблица14[[#This Row],[коэф]]),
IF(AND(G343="4/4",AM343&gt;0.5),(AM343*2*база!$I$5*Таблица14[[#This Row],[коэф]]),
IF(OR(AND(G343="3/4",AM343&gt;0.5),AND(G343="2/4",AM343&gt;0.5)),(AM343*2*база!$I$4*Таблица14[[#This Row],[коэф]]),
IF(AND(G343="5/8",AM343&gt;0.5),(AM343*2*база!$J$6*Таблица14[[#This Row],[коэф]]),
IF(AND(G343="4/8",AM343&gt;0.5),(AM343*2*база!$J$5*Таблица14[[#This Row],[коэф]]),
IF(OR(AND(G343="3/8",AM343&gt;0.5),AND(G343="2/8",AM343&gt;0.5)),(AM343*2*база!$J$4*Таблица14[[#This Row],[коэф]]),
(AM343*0.5*база!$L$4*Таблица14[[#This Row],[коэф]]))))))))))))),
(IF(AND(G343="5/24",AM343&gt;0.5),(AM343*2*база!$M$6*Таблица14[[#This Row],[коэф]]),
IF(OR(AND(G343="4/24",AM343&gt;0.5),AND(G343="3/24",AM343&gt;0.5)),(AM343*2*база!$M$5*Таблица14[[#This Row],[коэф]]),
IF(AND(G343="5/16",AM343&gt;0.5),(AM343*2*база!$L$6*Таблица14[[#This Row],[коэф]]),
IF(OR(AND(G343="4/16",AM343&gt;0.5),AND(G343="3/16",AM343&gt;0.5)),(AM343*2*база!$L$5*Таблица14[[#This Row],[коэф]]),
IF(OR(AND(G343="4/4",AM343&gt;0.5),AND(G343="3/4",AM343&gt;2)),(AM343*2*база!$I$5*Таблица14[[#This Row],[коэф]]),
IF(AND(G343="5/8",AM343&gt;0.5),(AM343*2*база!$J$6*Таблица14[[#This Row],[коэф]]),
IF(AND(G343="4/8",AM343&gt;0.5),(AM343*2*база!$J$5*Таблица14[[#This Row],[коэф]]),
IF(OR(AND(G343="3/8",AM343&gt;0.5),AND(G343="2/8",AM343&gt;0.5)),(AM343*2*база!$J$4*Таблица14[[#This Row],[коэф]]),
(AM343*2*база!$L$5*Таблица14[[#This Row],[коэф]])))))))))))</f>
        <v>0</v>
      </c>
      <c r="AO343" s="122" t="str">
        <f>IFERROR(INDEX(база!$D$2:$D$120, MATCH(Таблица14[[#This Row],[Ф. И. О.]],база!$B$2:$B$100,0)),"")</f>
        <v/>
      </c>
    </row>
    <row r="344" spans="1:41">
      <c r="A344" s="207" t="str">
        <f t="shared" si="10"/>
        <v>январь</v>
      </c>
      <c r="B344" s="240">
        <v>2024</v>
      </c>
      <c r="C344" s="648"/>
      <c r="D344" s="591"/>
      <c r="E344" s="241"/>
      <c r="F344" s="673"/>
      <c r="G344" s="242"/>
      <c r="H344" s="592"/>
      <c r="I344" s="592"/>
      <c r="J344" s="592"/>
      <c r="K344" s="592"/>
      <c r="L344" s="592"/>
      <c r="M344" s="592"/>
      <c r="N344" s="592"/>
      <c r="O344" s="592"/>
      <c r="P344" s="592"/>
      <c r="Q344" s="592"/>
      <c r="R344" s="592"/>
      <c r="S344" s="592"/>
      <c r="T344" s="592"/>
      <c r="U344" s="592"/>
      <c r="V344" s="592"/>
      <c r="W344" s="592"/>
      <c r="X344" s="592"/>
      <c r="Y344" s="592"/>
      <c r="Z344" s="592"/>
      <c r="AA344" s="592"/>
      <c r="AB344" s="592"/>
      <c r="AC344" s="592"/>
      <c r="AD344" s="592"/>
      <c r="AE344" s="592"/>
      <c r="AF344" s="592"/>
      <c r="AG344" s="592"/>
      <c r="AH344" s="592"/>
      <c r="AI344" s="592"/>
      <c r="AJ344" s="592"/>
      <c r="AK344" s="592"/>
      <c r="AL344" s="592"/>
      <c r="AM344" s="121">
        <f t="shared" si="11"/>
        <v>0</v>
      </c>
      <c r="AN344" s="564">
        <f>IF(AO344&lt;=3,(IF(AND(G344="5/24",AM344&gt;0.5),(AM344*2*база!$M$6*Таблица14[[#This Row],[коэф]]),
IF(AND(G344="4/24",AM344&gt;0.5),(AM344*2*база!$M$5*Таблица14[[#This Row],[коэф]]),
IF(AND(G344="3/24",AM344&gt;0.5),(AM344*2*база!$M$4*Таблица14[[#This Row],[коэф]]),
IF(AND(G344="5/16",AM344&gt;0.5),(AM344*2*база!$L$6*Таблица14[[#This Row],[коэф]]),
IF(AND(G344="4/16",AM344&gt;0.5),(AM344*2*база!$L$5*Таблица14[[#This Row],[коэф]]),
IF(AND(G344="3/16",AM344&gt;0.5),(AM344*2*база!$L$4*Таблица14[[#This Row],[коэф]]),
IF(AND(G344="4/4",AM344&gt;0.5),(AM344*2*база!$I$5*Таблица14[[#This Row],[коэф]]),
IF(OR(AND(G344="3/4",AM344&gt;0.5),AND(G344="2/4",AM344&gt;0.5)),(AM344*2*база!$I$4*Таблица14[[#This Row],[коэф]]),
IF(AND(G344="5/8",AM344&gt;0.5),(AM344*2*база!$J$6*Таблица14[[#This Row],[коэф]]),
IF(AND(G344="4/8",AM344&gt;0.5),(AM344*2*база!$J$5*Таблица14[[#This Row],[коэф]]),
IF(OR(AND(G344="3/8",AM344&gt;0.5),AND(G344="2/8",AM344&gt;0.5)),(AM344*2*база!$J$4*Таблица14[[#This Row],[коэф]]),
(AM344*0.5*база!$L$4*Таблица14[[#This Row],[коэф]]))))))))))))),
(IF(AND(G344="5/24",AM344&gt;0.5),(AM344*2*база!$M$6*Таблица14[[#This Row],[коэф]]),
IF(OR(AND(G344="4/24",AM344&gt;0.5),AND(G344="3/24",AM344&gt;0.5)),(AM344*2*база!$M$5*Таблица14[[#This Row],[коэф]]),
IF(AND(G344="5/16",AM344&gt;0.5),(AM344*2*база!$L$6*Таблица14[[#This Row],[коэф]]),
IF(OR(AND(G344="4/16",AM344&gt;0.5),AND(G344="3/16",AM344&gt;0.5)),(AM344*2*база!$L$5*Таблица14[[#This Row],[коэф]]),
IF(OR(AND(G344="4/4",AM344&gt;0.5),AND(G344="3/4",AM344&gt;2)),(AM344*2*база!$I$5*Таблица14[[#This Row],[коэф]]),
IF(AND(G344="5/8",AM344&gt;0.5),(AM344*2*база!$J$6*Таблица14[[#This Row],[коэф]]),
IF(AND(G344="4/8",AM344&gt;0.5),(AM344*2*база!$J$5*Таблица14[[#This Row],[коэф]]),
IF(OR(AND(G344="3/8",AM344&gt;0.5),AND(G344="2/8",AM344&gt;0.5)),(AM344*2*база!$J$4*Таблица14[[#This Row],[коэф]]),
(AM344*2*база!$L$5*Таблица14[[#This Row],[коэф]])))))))))))</f>
        <v>0</v>
      </c>
      <c r="AO344" s="122" t="str">
        <f>IFERROR(INDEX(база!$D$2:$D$120, MATCH(Таблица14[[#This Row],[Ф. И. О.]],база!$B$2:$B$100,0)),"")</f>
        <v/>
      </c>
    </row>
    <row r="345" spans="1:41">
      <c r="A345" s="207" t="str">
        <f t="shared" si="10"/>
        <v>январь</v>
      </c>
      <c r="B345" s="204">
        <v>2024</v>
      </c>
      <c r="C345" s="571"/>
      <c r="D345" s="205"/>
      <c r="E345" s="243"/>
      <c r="F345" s="673"/>
      <c r="G345" s="206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  <c r="S345" s="49"/>
      <c r="T345" s="49"/>
      <c r="U345" s="49"/>
      <c r="V345" s="49"/>
      <c r="W345" s="49"/>
      <c r="X345" s="49"/>
      <c r="Y345" s="49"/>
      <c r="Z345" s="49"/>
      <c r="AA345" s="49"/>
      <c r="AB345" s="49"/>
      <c r="AC345" s="49"/>
      <c r="AD345" s="49"/>
      <c r="AE345" s="49"/>
      <c r="AF345" s="49"/>
      <c r="AG345" s="49"/>
      <c r="AH345" s="49"/>
      <c r="AI345" s="49"/>
      <c r="AJ345" s="49"/>
      <c r="AK345" s="49"/>
      <c r="AL345" s="49"/>
      <c r="AM345" s="121">
        <f t="shared" si="11"/>
        <v>0</v>
      </c>
      <c r="AN345" s="564">
        <f>IF(AO345&lt;=3,(IF(AND(G345="5/24",AM345&gt;0.5),(AM345*2*база!$M$6*Таблица14[[#This Row],[коэф]]),
IF(AND(G345="4/24",AM345&gt;0.5),(AM345*2*база!$M$5*Таблица14[[#This Row],[коэф]]),
IF(AND(G345="3/24",AM345&gt;0.5),(AM345*2*база!$M$4*Таблица14[[#This Row],[коэф]]),
IF(AND(G345="5/16",AM345&gt;0.5),(AM345*2*база!$L$6*Таблица14[[#This Row],[коэф]]),
IF(AND(G345="4/16",AM345&gt;0.5),(AM345*2*база!$L$5*Таблица14[[#This Row],[коэф]]),
IF(AND(G345="3/16",AM345&gt;0.5),(AM345*2*база!$L$4*Таблица14[[#This Row],[коэф]]),
IF(AND(G345="4/4",AM345&gt;0.5),(AM345*2*база!$I$5*Таблица14[[#This Row],[коэф]]),
IF(OR(AND(G345="3/4",AM345&gt;0.5),AND(G345="2/4",AM345&gt;0.5)),(AM345*2*база!$I$4*Таблица14[[#This Row],[коэф]]),
IF(AND(G345="5/8",AM345&gt;0.5),(AM345*2*база!$J$6*Таблица14[[#This Row],[коэф]]),
IF(AND(G345="4/8",AM345&gt;0.5),(AM345*2*база!$J$5*Таблица14[[#This Row],[коэф]]),
IF(OR(AND(G345="3/8",AM345&gt;0.5),AND(G345="2/8",AM345&gt;0.5)),(AM345*2*база!$J$4*Таблица14[[#This Row],[коэф]]),
(AM345*0.5*база!$L$4*Таблица14[[#This Row],[коэф]]))))))))))))),
(IF(AND(G345="5/24",AM345&gt;0.5),(AM345*2*база!$M$6*Таблица14[[#This Row],[коэф]]),
IF(OR(AND(G345="4/24",AM345&gt;0.5),AND(G345="3/24",AM345&gt;0.5)),(AM345*2*база!$M$5*Таблица14[[#This Row],[коэф]]),
IF(AND(G345="5/16",AM345&gt;0.5),(AM345*2*база!$L$6*Таблица14[[#This Row],[коэф]]),
IF(OR(AND(G345="4/16",AM345&gt;0.5),AND(G345="3/16",AM345&gt;0.5)),(AM345*2*база!$L$5*Таблица14[[#This Row],[коэф]]),
IF(OR(AND(G345="4/4",AM345&gt;0.5),AND(G345="3/4",AM345&gt;2)),(AM345*2*база!$I$5*Таблица14[[#This Row],[коэф]]),
IF(AND(G345="5/8",AM345&gt;0.5),(AM345*2*база!$J$6*Таблица14[[#This Row],[коэф]]),
IF(AND(G345="4/8",AM345&gt;0.5),(AM345*2*база!$J$5*Таблица14[[#This Row],[коэф]]),
IF(OR(AND(G345="3/8",AM345&gt;0.5),AND(G345="2/8",AM345&gt;0.5)),(AM345*2*база!$J$4*Таблица14[[#This Row],[коэф]]),
(AM345*2*база!$L$5*Таблица14[[#This Row],[коэф]])))))))))))</f>
        <v>0</v>
      </c>
      <c r="AO345" s="122" t="str">
        <f>IFERROR(INDEX(база!$D$2:$D$120, MATCH(Таблица14[[#This Row],[Ф. И. О.]],база!$B$2:$B$100,0)),"")</f>
        <v/>
      </c>
    </row>
    <row r="346" spans="1:41">
      <c r="A346" s="207" t="str">
        <f t="shared" si="10"/>
        <v>январь</v>
      </c>
      <c r="B346" s="240">
        <v>2024</v>
      </c>
      <c r="C346" s="648"/>
      <c r="D346" s="591"/>
      <c r="E346" s="241"/>
      <c r="F346" s="673"/>
      <c r="G346" s="242"/>
      <c r="H346" s="592"/>
      <c r="I346" s="592"/>
      <c r="J346" s="592"/>
      <c r="K346" s="592"/>
      <c r="L346" s="592"/>
      <c r="M346" s="592"/>
      <c r="N346" s="592"/>
      <c r="O346" s="592"/>
      <c r="P346" s="592"/>
      <c r="Q346" s="592"/>
      <c r="R346" s="592"/>
      <c r="S346" s="592"/>
      <c r="T346" s="592"/>
      <c r="U346" s="592"/>
      <c r="V346" s="592"/>
      <c r="W346" s="592"/>
      <c r="X346" s="592"/>
      <c r="Y346" s="592"/>
      <c r="Z346" s="592"/>
      <c r="AA346" s="592"/>
      <c r="AB346" s="592"/>
      <c r="AC346" s="592"/>
      <c r="AD346" s="592"/>
      <c r="AE346" s="592"/>
      <c r="AF346" s="592"/>
      <c r="AG346" s="592"/>
      <c r="AH346" s="592"/>
      <c r="AI346" s="592"/>
      <c r="AJ346" s="592"/>
      <c r="AK346" s="592"/>
      <c r="AL346" s="592"/>
      <c r="AM346" s="121">
        <f t="shared" si="11"/>
        <v>0</v>
      </c>
      <c r="AN346" s="564">
        <f>IF(AO346&lt;=3,(IF(AND(G346="5/24",AM346&gt;0.5),(AM346*2*база!$M$6*Таблица14[[#This Row],[коэф]]),
IF(AND(G346="4/24",AM346&gt;0.5),(AM346*2*база!$M$5*Таблица14[[#This Row],[коэф]]),
IF(AND(G346="3/24",AM346&gt;0.5),(AM346*2*база!$M$4*Таблица14[[#This Row],[коэф]]),
IF(AND(G346="5/16",AM346&gt;0.5),(AM346*2*база!$L$6*Таблица14[[#This Row],[коэф]]),
IF(AND(G346="4/16",AM346&gt;0.5),(AM346*2*база!$L$5*Таблица14[[#This Row],[коэф]]),
IF(AND(G346="3/16",AM346&gt;0.5),(AM346*2*база!$L$4*Таблица14[[#This Row],[коэф]]),
IF(AND(G346="4/4",AM346&gt;0.5),(AM346*2*база!$I$5*Таблица14[[#This Row],[коэф]]),
IF(OR(AND(G346="3/4",AM346&gt;0.5),AND(G346="2/4",AM346&gt;0.5)),(AM346*2*база!$I$4*Таблица14[[#This Row],[коэф]]),
IF(AND(G346="5/8",AM346&gt;0.5),(AM346*2*база!$J$6*Таблица14[[#This Row],[коэф]]),
IF(AND(G346="4/8",AM346&gt;0.5),(AM346*2*база!$J$5*Таблица14[[#This Row],[коэф]]),
IF(OR(AND(G346="3/8",AM346&gt;0.5),AND(G346="2/8",AM346&gt;0.5)),(AM346*2*база!$J$4*Таблица14[[#This Row],[коэф]]),
(AM346*0.5*база!$L$4*Таблица14[[#This Row],[коэф]]))))))))))))),
(IF(AND(G346="5/24",AM346&gt;0.5),(AM346*2*база!$M$6*Таблица14[[#This Row],[коэф]]),
IF(OR(AND(G346="4/24",AM346&gt;0.5),AND(G346="3/24",AM346&gt;0.5)),(AM346*2*база!$M$5*Таблица14[[#This Row],[коэф]]),
IF(AND(G346="5/16",AM346&gt;0.5),(AM346*2*база!$L$6*Таблица14[[#This Row],[коэф]]),
IF(OR(AND(G346="4/16",AM346&gt;0.5),AND(G346="3/16",AM346&gt;0.5)),(AM346*2*база!$L$5*Таблица14[[#This Row],[коэф]]),
IF(OR(AND(G346="4/4",AM346&gt;0.5),AND(G346="3/4",AM346&gt;2)),(AM346*2*база!$I$5*Таблица14[[#This Row],[коэф]]),
IF(AND(G346="5/8",AM346&gt;0.5),(AM346*2*база!$J$6*Таблица14[[#This Row],[коэф]]),
IF(AND(G346="4/8",AM346&gt;0.5),(AM346*2*база!$J$5*Таблица14[[#This Row],[коэф]]),
IF(OR(AND(G346="3/8",AM346&gt;0.5),AND(G346="2/8",AM346&gt;0.5)),(AM346*2*база!$J$4*Таблица14[[#This Row],[коэф]]),
(AM346*2*база!$L$5*Таблица14[[#This Row],[коэф]])))))))))))</f>
        <v>0</v>
      </c>
      <c r="AO346" s="122" t="str">
        <f>IFERROR(INDEX(база!$D$2:$D$120, MATCH(Таблица14[[#This Row],[Ф. И. О.]],база!$B$2:$B$100,0)),"")</f>
        <v/>
      </c>
    </row>
    <row r="347" spans="1:41">
      <c r="A347" s="207" t="str">
        <f t="shared" si="10"/>
        <v>январь</v>
      </c>
      <c r="B347" s="204">
        <v>2024</v>
      </c>
      <c r="C347" s="571"/>
      <c r="D347" s="205"/>
      <c r="E347" s="243"/>
      <c r="F347" s="673"/>
      <c r="G347" s="206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  <c r="S347" s="49"/>
      <c r="T347" s="49"/>
      <c r="U347" s="49"/>
      <c r="V347" s="49"/>
      <c r="W347" s="49"/>
      <c r="X347" s="49"/>
      <c r="Y347" s="49"/>
      <c r="Z347" s="49"/>
      <c r="AA347" s="49"/>
      <c r="AB347" s="49"/>
      <c r="AC347" s="49"/>
      <c r="AD347" s="49"/>
      <c r="AE347" s="49"/>
      <c r="AF347" s="49"/>
      <c r="AG347" s="49"/>
      <c r="AH347" s="49"/>
      <c r="AI347" s="49"/>
      <c r="AJ347" s="49"/>
      <c r="AK347" s="49"/>
      <c r="AL347" s="49"/>
      <c r="AM347" s="121">
        <f t="shared" si="11"/>
        <v>0</v>
      </c>
      <c r="AN347" s="564">
        <f>IF(AO347&lt;=3,(IF(AND(G347="5/24",AM347&gt;0.5),(AM347*2*база!$M$6*Таблица14[[#This Row],[коэф]]),
IF(AND(G347="4/24",AM347&gt;0.5),(AM347*2*база!$M$5*Таблица14[[#This Row],[коэф]]),
IF(AND(G347="3/24",AM347&gt;0.5),(AM347*2*база!$M$4*Таблица14[[#This Row],[коэф]]),
IF(AND(G347="5/16",AM347&gt;0.5),(AM347*2*база!$L$6*Таблица14[[#This Row],[коэф]]),
IF(AND(G347="4/16",AM347&gt;0.5),(AM347*2*база!$L$5*Таблица14[[#This Row],[коэф]]),
IF(AND(G347="3/16",AM347&gt;0.5),(AM347*2*база!$L$4*Таблица14[[#This Row],[коэф]]),
IF(AND(G347="4/4",AM347&gt;0.5),(AM347*2*база!$I$5*Таблица14[[#This Row],[коэф]]),
IF(OR(AND(G347="3/4",AM347&gt;0.5),AND(G347="2/4",AM347&gt;0.5)),(AM347*2*база!$I$4*Таблица14[[#This Row],[коэф]]),
IF(AND(G347="5/8",AM347&gt;0.5),(AM347*2*база!$J$6*Таблица14[[#This Row],[коэф]]),
IF(AND(G347="4/8",AM347&gt;0.5),(AM347*2*база!$J$5*Таблица14[[#This Row],[коэф]]),
IF(OR(AND(G347="3/8",AM347&gt;0.5),AND(G347="2/8",AM347&gt;0.5)),(AM347*2*база!$J$4*Таблица14[[#This Row],[коэф]]),
(AM347*0.5*база!$L$4*Таблица14[[#This Row],[коэф]]))))))))))))),
(IF(AND(G347="5/24",AM347&gt;0.5),(AM347*2*база!$M$6*Таблица14[[#This Row],[коэф]]),
IF(OR(AND(G347="4/24",AM347&gt;0.5),AND(G347="3/24",AM347&gt;0.5)),(AM347*2*база!$M$5*Таблица14[[#This Row],[коэф]]),
IF(AND(G347="5/16",AM347&gt;0.5),(AM347*2*база!$L$6*Таблица14[[#This Row],[коэф]]),
IF(OR(AND(G347="4/16",AM347&gt;0.5),AND(G347="3/16",AM347&gt;0.5)),(AM347*2*база!$L$5*Таблица14[[#This Row],[коэф]]),
IF(OR(AND(G347="4/4",AM347&gt;0.5),AND(G347="3/4",AM347&gt;2)),(AM347*2*база!$I$5*Таблица14[[#This Row],[коэф]]),
IF(AND(G347="5/8",AM347&gt;0.5),(AM347*2*база!$J$6*Таблица14[[#This Row],[коэф]]),
IF(AND(G347="4/8",AM347&gt;0.5),(AM347*2*база!$J$5*Таблица14[[#This Row],[коэф]]),
IF(OR(AND(G347="3/8",AM347&gt;0.5),AND(G347="2/8",AM347&gt;0.5)),(AM347*2*база!$J$4*Таблица14[[#This Row],[коэф]]),
(AM347*2*база!$L$5*Таблица14[[#This Row],[коэф]])))))))))))</f>
        <v>0</v>
      </c>
      <c r="AO347" s="122" t="str">
        <f>IFERROR(INDEX(база!$D$2:$D$120, MATCH(Таблица14[[#This Row],[Ф. И. О.]],база!$B$2:$B$100,0)),"")</f>
        <v/>
      </c>
    </row>
    <row r="348" spans="1:41">
      <c r="A348" s="207" t="str">
        <f t="shared" si="10"/>
        <v>январь</v>
      </c>
      <c r="B348" s="240">
        <v>2024</v>
      </c>
      <c r="C348" s="648"/>
      <c r="D348" s="591"/>
      <c r="E348" s="241"/>
      <c r="F348" s="680"/>
      <c r="G348" s="242"/>
      <c r="H348" s="592"/>
      <c r="I348" s="592"/>
      <c r="J348" s="592"/>
      <c r="K348" s="592"/>
      <c r="L348" s="592"/>
      <c r="M348" s="592"/>
      <c r="N348" s="592"/>
      <c r="O348" s="592"/>
      <c r="P348" s="592"/>
      <c r="Q348" s="592"/>
      <c r="R348" s="592"/>
      <c r="S348" s="592"/>
      <c r="T348" s="592"/>
      <c r="U348" s="592"/>
      <c r="V348" s="592"/>
      <c r="W348" s="592"/>
      <c r="X348" s="592"/>
      <c r="Y348" s="592"/>
      <c r="Z348" s="592"/>
      <c r="AA348" s="592"/>
      <c r="AB348" s="592"/>
      <c r="AC348" s="592"/>
      <c r="AD348" s="592"/>
      <c r="AE348" s="592"/>
      <c r="AF348" s="592"/>
      <c r="AG348" s="592"/>
      <c r="AH348" s="592"/>
      <c r="AI348" s="592"/>
      <c r="AJ348" s="592"/>
      <c r="AK348" s="592"/>
      <c r="AL348" s="592"/>
      <c r="AM348" s="121">
        <f t="shared" si="11"/>
        <v>0</v>
      </c>
      <c r="AN348" s="564">
        <f>IF(AO348&lt;=3,(IF(AND(G348="5/24",AM348&gt;0.5),(AM348*2*база!$M$6*Таблица14[[#This Row],[коэф]]),
IF(AND(G348="4/24",AM348&gt;0.5),(AM348*2*база!$M$5*Таблица14[[#This Row],[коэф]]),
IF(AND(G348="3/24",AM348&gt;0.5),(AM348*2*база!$M$4*Таблица14[[#This Row],[коэф]]),
IF(AND(G348="5/16",AM348&gt;0.5),(AM348*2*база!$L$6*Таблица14[[#This Row],[коэф]]),
IF(AND(G348="4/16",AM348&gt;0.5),(AM348*2*база!$L$5*Таблица14[[#This Row],[коэф]]),
IF(AND(G348="3/16",AM348&gt;0.5),(AM348*2*база!$L$4*Таблица14[[#This Row],[коэф]]),
IF(AND(G348="4/4",AM348&gt;0.5),(AM348*2*база!$I$5*Таблица14[[#This Row],[коэф]]),
IF(OR(AND(G348="3/4",AM348&gt;0.5),AND(G348="2/4",AM348&gt;0.5)),(AM348*2*база!$I$4*Таблица14[[#This Row],[коэф]]),
IF(AND(G348="5/8",AM348&gt;0.5),(AM348*2*база!$J$6*Таблица14[[#This Row],[коэф]]),
IF(AND(G348="4/8",AM348&gt;0.5),(AM348*2*база!$J$5*Таблица14[[#This Row],[коэф]]),
IF(OR(AND(G348="3/8",AM348&gt;0.5),AND(G348="2/8",AM348&gt;0.5)),(AM348*2*база!$J$4*Таблица14[[#This Row],[коэф]]),
(AM348*0.5*база!$L$4*Таблица14[[#This Row],[коэф]]))))))))))))),
(IF(AND(G348="5/24",AM348&gt;0.5),(AM348*2*база!$M$6*Таблица14[[#This Row],[коэф]]),
IF(OR(AND(G348="4/24",AM348&gt;0.5),AND(G348="3/24",AM348&gt;0.5)),(AM348*2*база!$M$5*Таблица14[[#This Row],[коэф]]),
IF(AND(G348="5/16",AM348&gt;0.5),(AM348*2*база!$L$6*Таблица14[[#This Row],[коэф]]),
IF(OR(AND(G348="4/16",AM348&gt;0.5),AND(G348="3/16",AM348&gt;0.5)),(AM348*2*база!$L$5*Таблица14[[#This Row],[коэф]]),
IF(OR(AND(G348="4/4",AM348&gt;0.5),AND(G348="3/4",AM348&gt;2)),(AM348*2*база!$I$5*Таблица14[[#This Row],[коэф]]),
IF(AND(G348="5/8",AM348&gt;0.5),(AM348*2*база!$J$6*Таблица14[[#This Row],[коэф]]),
IF(AND(G348="4/8",AM348&gt;0.5),(AM348*2*база!$J$5*Таблица14[[#This Row],[коэф]]),
IF(OR(AND(G348="3/8",AM348&gt;0.5),AND(G348="2/8",AM348&gt;0.5)),(AM348*2*база!$J$4*Таблица14[[#This Row],[коэф]]),
(AM348*2*база!$L$5*Таблица14[[#This Row],[коэф]])))))))))))</f>
        <v>0</v>
      </c>
      <c r="AO348" s="122" t="str">
        <f>IFERROR(INDEX(база!$D$2:$D$120, MATCH(Таблица14[[#This Row],[Ф. И. О.]],база!$B$2:$B$100,0)),"")</f>
        <v/>
      </c>
    </row>
    <row r="349" spans="1:41">
      <c r="A349" s="207" t="str">
        <f t="shared" si="10"/>
        <v>январь</v>
      </c>
      <c r="B349" s="204">
        <v>2024</v>
      </c>
      <c r="C349" s="571"/>
      <c r="D349" s="205"/>
      <c r="E349" s="243"/>
      <c r="F349" s="680"/>
      <c r="G349" s="206"/>
      <c r="H349" s="49"/>
      <c r="I349" s="49"/>
      <c r="J349" s="49"/>
      <c r="K349" s="49"/>
      <c r="L349" s="49"/>
      <c r="M349" s="49"/>
      <c r="N349" s="49"/>
      <c r="O349" s="49"/>
      <c r="P349" s="49"/>
      <c r="Q349" s="49"/>
      <c r="R349" s="49"/>
      <c r="S349" s="49"/>
      <c r="T349" s="49"/>
      <c r="U349" s="49"/>
      <c r="V349" s="49"/>
      <c r="W349" s="49"/>
      <c r="X349" s="49"/>
      <c r="Y349" s="49"/>
      <c r="Z349" s="49"/>
      <c r="AA349" s="49"/>
      <c r="AB349" s="49"/>
      <c r="AC349" s="49"/>
      <c r="AD349" s="49"/>
      <c r="AE349" s="49"/>
      <c r="AF349" s="49"/>
      <c r="AG349" s="49"/>
      <c r="AH349" s="49"/>
      <c r="AI349" s="49"/>
      <c r="AJ349" s="49"/>
      <c r="AK349" s="49"/>
      <c r="AL349" s="49"/>
      <c r="AM349" s="121">
        <f t="shared" si="11"/>
        <v>0</v>
      </c>
      <c r="AN349" s="564">
        <f>IF(AO349&lt;=3,(IF(AND(G349="5/24",AM349&gt;0.5),(AM349*2*база!$M$6*Таблица14[[#This Row],[коэф]]),
IF(AND(G349="4/24",AM349&gt;0.5),(AM349*2*база!$M$5*Таблица14[[#This Row],[коэф]]),
IF(AND(G349="3/24",AM349&gt;0.5),(AM349*2*база!$M$4*Таблица14[[#This Row],[коэф]]),
IF(AND(G349="5/16",AM349&gt;0.5),(AM349*2*база!$L$6*Таблица14[[#This Row],[коэф]]),
IF(AND(G349="4/16",AM349&gt;0.5),(AM349*2*база!$L$5*Таблица14[[#This Row],[коэф]]),
IF(AND(G349="3/16",AM349&gt;0.5),(AM349*2*база!$L$4*Таблица14[[#This Row],[коэф]]),
IF(AND(G349="4/4",AM349&gt;0.5),(AM349*2*база!$I$5*Таблица14[[#This Row],[коэф]]),
IF(OR(AND(G349="3/4",AM349&gt;0.5),AND(G349="2/4",AM349&gt;0.5)),(AM349*2*база!$I$4*Таблица14[[#This Row],[коэф]]),
IF(AND(G349="5/8",AM349&gt;0.5),(AM349*2*база!$J$6*Таблица14[[#This Row],[коэф]]),
IF(AND(G349="4/8",AM349&gt;0.5),(AM349*2*база!$J$5*Таблица14[[#This Row],[коэф]]),
IF(OR(AND(G349="3/8",AM349&gt;0.5),AND(G349="2/8",AM349&gt;0.5)),(AM349*2*база!$J$4*Таблица14[[#This Row],[коэф]]),
(AM349*0.5*база!$L$4*Таблица14[[#This Row],[коэф]]))))))))))))),
(IF(AND(G349="5/24",AM349&gt;0.5),(AM349*2*база!$M$6*Таблица14[[#This Row],[коэф]]),
IF(OR(AND(G349="4/24",AM349&gt;0.5),AND(G349="3/24",AM349&gt;0.5)),(AM349*2*база!$M$5*Таблица14[[#This Row],[коэф]]),
IF(AND(G349="5/16",AM349&gt;0.5),(AM349*2*база!$L$6*Таблица14[[#This Row],[коэф]]),
IF(OR(AND(G349="4/16",AM349&gt;0.5),AND(G349="3/16",AM349&gt;0.5)),(AM349*2*база!$L$5*Таблица14[[#This Row],[коэф]]),
IF(OR(AND(G349="4/4",AM349&gt;0.5),AND(G349="3/4",AM349&gt;2)),(AM349*2*база!$I$5*Таблица14[[#This Row],[коэф]]),
IF(AND(G349="5/8",AM349&gt;0.5),(AM349*2*база!$J$6*Таблица14[[#This Row],[коэф]]),
IF(AND(G349="4/8",AM349&gt;0.5),(AM349*2*база!$J$5*Таблица14[[#This Row],[коэф]]),
IF(OR(AND(G349="3/8",AM349&gt;0.5),AND(G349="2/8",AM349&gt;0.5)),(AM349*2*база!$J$4*Таблица14[[#This Row],[коэф]]),
(AM349*2*база!$L$5*Таблица14[[#This Row],[коэф]])))))))))))</f>
        <v>0</v>
      </c>
      <c r="AO349" s="122" t="str">
        <f>IFERROR(INDEX(база!$D$2:$D$120, MATCH(Таблица14[[#This Row],[Ф. И. О.]],база!$B$2:$B$100,0)),"")</f>
        <v/>
      </c>
    </row>
    <row r="350" spans="1:41">
      <c r="A350" s="207" t="str">
        <f t="shared" si="10"/>
        <v>январь</v>
      </c>
      <c r="B350" s="240">
        <v>2024</v>
      </c>
      <c r="C350" s="648"/>
      <c r="D350" s="591"/>
      <c r="E350" s="241"/>
      <c r="F350" s="680"/>
      <c r="G350" s="242"/>
      <c r="H350" s="592"/>
      <c r="I350" s="592"/>
      <c r="J350" s="592"/>
      <c r="K350" s="592"/>
      <c r="L350" s="592"/>
      <c r="M350" s="592"/>
      <c r="N350" s="592"/>
      <c r="O350" s="592"/>
      <c r="P350" s="592"/>
      <c r="Q350" s="592"/>
      <c r="R350" s="592"/>
      <c r="S350" s="592"/>
      <c r="T350" s="592"/>
      <c r="U350" s="592"/>
      <c r="V350" s="592"/>
      <c r="W350" s="592"/>
      <c r="X350" s="592"/>
      <c r="Y350" s="592"/>
      <c r="Z350" s="592"/>
      <c r="AA350" s="592"/>
      <c r="AB350" s="592"/>
      <c r="AC350" s="592"/>
      <c r="AD350" s="592"/>
      <c r="AE350" s="592"/>
      <c r="AF350" s="592"/>
      <c r="AG350" s="592"/>
      <c r="AH350" s="592"/>
      <c r="AI350" s="592"/>
      <c r="AJ350" s="592"/>
      <c r="AK350" s="592"/>
      <c r="AL350" s="592"/>
      <c r="AM350" s="121">
        <f t="shared" si="11"/>
        <v>0</v>
      </c>
      <c r="AN350" s="564">
        <f>IF(AO350&lt;=3,(IF(AND(G350="5/24",AM350&gt;0.5),(AM350*2*база!$M$6*Таблица14[[#This Row],[коэф]]),
IF(AND(G350="4/24",AM350&gt;0.5),(AM350*2*база!$M$5*Таблица14[[#This Row],[коэф]]),
IF(AND(G350="3/24",AM350&gt;0.5),(AM350*2*база!$M$4*Таблица14[[#This Row],[коэф]]),
IF(AND(G350="5/16",AM350&gt;0.5),(AM350*2*база!$L$6*Таблица14[[#This Row],[коэф]]),
IF(AND(G350="4/16",AM350&gt;0.5),(AM350*2*база!$L$5*Таблица14[[#This Row],[коэф]]),
IF(AND(G350="3/16",AM350&gt;0.5),(AM350*2*база!$L$4*Таблица14[[#This Row],[коэф]]),
IF(AND(G350="4/4",AM350&gt;0.5),(AM350*2*база!$I$5*Таблица14[[#This Row],[коэф]]),
IF(OR(AND(G350="3/4",AM350&gt;0.5),AND(G350="2/4",AM350&gt;0.5)),(AM350*2*база!$I$4*Таблица14[[#This Row],[коэф]]),
IF(AND(G350="5/8",AM350&gt;0.5),(AM350*2*база!$J$6*Таблица14[[#This Row],[коэф]]),
IF(AND(G350="4/8",AM350&gt;0.5),(AM350*2*база!$J$5*Таблица14[[#This Row],[коэф]]),
IF(OR(AND(G350="3/8",AM350&gt;0.5),AND(G350="2/8",AM350&gt;0.5)),(AM350*2*база!$J$4*Таблица14[[#This Row],[коэф]]),
(AM350*0.5*база!$L$4*Таблица14[[#This Row],[коэф]]))))))))))))),
(IF(AND(G350="5/24",AM350&gt;0.5),(AM350*2*база!$M$6*Таблица14[[#This Row],[коэф]]),
IF(OR(AND(G350="4/24",AM350&gt;0.5),AND(G350="3/24",AM350&gt;0.5)),(AM350*2*база!$M$5*Таблица14[[#This Row],[коэф]]),
IF(AND(G350="5/16",AM350&gt;0.5),(AM350*2*база!$L$6*Таблица14[[#This Row],[коэф]]),
IF(OR(AND(G350="4/16",AM350&gt;0.5),AND(G350="3/16",AM350&gt;0.5)),(AM350*2*база!$L$5*Таблица14[[#This Row],[коэф]]),
IF(OR(AND(G350="4/4",AM350&gt;0.5),AND(G350="3/4",AM350&gt;2)),(AM350*2*база!$I$5*Таблица14[[#This Row],[коэф]]),
IF(AND(G350="5/8",AM350&gt;0.5),(AM350*2*база!$J$6*Таблица14[[#This Row],[коэф]]),
IF(AND(G350="4/8",AM350&gt;0.5),(AM350*2*база!$J$5*Таблица14[[#This Row],[коэф]]),
IF(OR(AND(G350="3/8",AM350&gt;0.5),AND(G350="2/8",AM350&gt;0.5)),(AM350*2*база!$J$4*Таблица14[[#This Row],[коэф]]),
(AM350*2*база!$L$5*Таблица14[[#This Row],[коэф]])))))))))))</f>
        <v>0</v>
      </c>
      <c r="AO350" s="122" t="str">
        <f>IFERROR(INDEX(база!$D$2:$D$120, MATCH(Таблица14[[#This Row],[Ф. И. О.]],база!$B$2:$B$100,0)),"")</f>
        <v/>
      </c>
    </row>
    <row r="351" spans="1:41">
      <c r="A351" s="207" t="str">
        <f t="shared" si="10"/>
        <v>январь</v>
      </c>
      <c r="B351" s="204">
        <v>2024</v>
      </c>
      <c r="C351" s="571"/>
      <c r="D351" s="205"/>
      <c r="E351" s="243"/>
      <c r="F351" s="680"/>
      <c r="G351" s="206"/>
      <c r="H351" s="49"/>
      <c r="I351" s="49"/>
      <c r="J351" s="49"/>
      <c r="K351" s="49"/>
      <c r="L351" s="49"/>
      <c r="M351" s="49"/>
      <c r="N351" s="49"/>
      <c r="O351" s="49"/>
      <c r="P351" s="49"/>
      <c r="Q351" s="49"/>
      <c r="R351" s="49"/>
      <c r="S351" s="49"/>
      <c r="T351" s="49"/>
      <c r="U351" s="49"/>
      <c r="V351" s="49"/>
      <c r="W351" s="49"/>
      <c r="X351" s="49"/>
      <c r="Y351" s="49"/>
      <c r="Z351" s="49"/>
      <c r="AA351" s="49"/>
      <c r="AB351" s="49"/>
      <c r="AC351" s="49"/>
      <c r="AD351" s="49"/>
      <c r="AE351" s="49"/>
      <c r="AF351" s="49"/>
      <c r="AG351" s="49"/>
      <c r="AH351" s="49"/>
      <c r="AI351" s="49"/>
      <c r="AJ351" s="49"/>
      <c r="AK351" s="49"/>
      <c r="AL351" s="49"/>
      <c r="AM351" s="121">
        <f t="shared" si="11"/>
        <v>0</v>
      </c>
      <c r="AN351" s="564">
        <f>IF(AO351&lt;=3,(IF(AND(G351="5/24",AM351&gt;0.5),(AM351*2*база!$M$6*Таблица14[[#This Row],[коэф]]),
IF(AND(G351="4/24",AM351&gt;0.5),(AM351*2*база!$M$5*Таблица14[[#This Row],[коэф]]),
IF(AND(G351="3/24",AM351&gt;0.5),(AM351*2*база!$M$4*Таблица14[[#This Row],[коэф]]),
IF(AND(G351="5/16",AM351&gt;0.5),(AM351*2*база!$L$6*Таблица14[[#This Row],[коэф]]),
IF(AND(G351="4/16",AM351&gt;0.5),(AM351*2*база!$L$5*Таблица14[[#This Row],[коэф]]),
IF(AND(G351="3/16",AM351&gt;0.5),(AM351*2*база!$L$4*Таблица14[[#This Row],[коэф]]),
IF(AND(G351="4/4",AM351&gt;0.5),(AM351*2*база!$I$5*Таблица14[[#This Row],[коэф]]),
IF(OR(AND(G351="3/4",AM351&gt;0.5),AND(G351="2/4",AM351&gt;0.5)),(AM351*2*база!$I$4*Таблица14[[#This Row],[коэф]]),
IF(AND(G351="5/8",AM351&gt;0.5),(AM351*2*база!$J$6*Таблица14[[#This Row],[коэф]]),
IF(AND(G351="4/8",AM351&gt;0.5),(AM351*2*база!$J$5*Таблица14[[#This Row],[коэф]]),
IF(OR(AND(G351="3/8",AM351&gt;0.5),AND(G351="2/8",AM351&gt;0.5)),(AM351*2*база!$J$4*Таблица14[[#This Row],[коэф]]),
(AM351*0.5*база!$L$4*Таблица14[[#This Row],[коэф]]))))))))))))),
(IF(AND(G351="5/24",AM351&gt;0.5),(AM351*2*база!$M$6*Таблица14[[#This Row],[коэф]]),
IF(OR(AND(G351="4/24",AM351&gt;0.5),AND(G351="3/24",AM351&gt;0.5)),(AM351*2*база!$M$5*Таблица14[[#This Row],[коэф]]),
IF(AND(G351="5/16",AM351&gt;0.5),(AM351*2*база!$L$6*Таблица14[[#This Row],[коэф]]),
IF(OR(AND(G351="4/16",AM351&gt;0.5),AND(G351="3/16",AM351&gt;0.5)),(AM351*2*база!$L$5*Таблица14[[#This Row],[коэф]]),
IF(OR(AND(G351="4/4",AM351&gt;0.5),AND(G351="3/4",AM351&gt;2)),(AM351*2*база!$I$5*Таблица14[[#This Row],[коэф]]),
IF(AND(G351="5/8",AM351&gt;0.5),(AM351*2*база!$J$6*Таблица14[[#This Row],[коэф]]),
IF(AND(G351="4/8",AM351&gt;0.5),(AM351*2*база!$J$5*Таблица14[[#This Row],[коэф]]),
IF(OR(AND(G351="3/8",AM351&gt;0.5),AND(G351="2/8",AM351&gt;0.5)),(AM351*2*база!$J$4*Таблица14[[#This Row],[коэф]]),
(AM351*2*база!$L$5*Таблица14[[#This Row],[коэф]])))))))))))</f>
        <v>0</v>
      </c>
      <c r="AO351" s="122" t="str">
        <f>IFERROR(INDEX(база!$D$2:$D$120, MATCH(Таблица14[[#This Row],[Ф. И. О.]],база!$B$2:$B$100,0)),"")</f>
        <v/>
      </c>
    </row>
    <row r="352" spans="1:41">
      <c r="A352" s="207" t="str">
        <f t="shared" si="10"/>
        <v>январь</v>
      </c>
      <c r="B352" s="240">
        <v>2024</v>
      </c>
      <c r="C352" s="648"/>
      <c r="D352" s="591"/>
      <c r="E352" s="241"/>
      <c r="F352" s="680"/>
      <c r="G352" s="242"/>
      <c r="H352" s="592"/>
      <c r="I352" s="592"/>
      <c r="J352" s="592"/>
      <c r="K352" s="592"/>
      <c r="L352" s="592"/>
      <c r="M352" s="592"/>
      <c r="N352" s="592"/>
      <c r="O352" s="592"/>
      <c r="P352" s="592"/>
      <c r="Q352" s="592"/>
      <c r="R352" s="592"/>
      <c r="S352" s="592"/>
      <c r="T352" s="592"/>
      <c r="U352" s="592"/>
      <c r="V352" s="592"/>
      <c r="W352" s="592"/>
      <c r="X352" s="592"/>
      <c r="Y352" s="592"/>
      <c r="Z352" s="592"/>
      <c r="AA352" s="592"/>
      <c r="AB352" s="592"/>
      <c r="AC352" s="592"/>
      <c r="AD352" s="592"/>
      <c r="AE352" s="592"/>
      <c r="AF352" s="592"/>
      <c r="AG352" s="592"/>
      <c r="AH352" s="592"/>
      <c r="AI352" s="592"/>
      <c r="AJ352" s="592"/>
      <c r="AK352" s="592"/>
      <c r="AL352" s="592"/>
      <c r="AM352" s="121">
        <f t="shared" si="11"/>
        <v>0</v>
      </c>
      <c r="AN352" s="564">
        <f>IF(AO352&lt;=3,(IF(AND(G352="5/24",AM352&gt;0.5),(AM352*2*база!$M$6*Таблица14[[#This Row],[коэф]]),
IF(AND(G352="4/24",AM352&gt;0.5),(AM352*2*база!$M$5*Таблица14[[#This Row],[коэф]]),
IF(AND(G352="3/24",AM352&gt;0.5),(AM352*2*база!$M$4*Таблица14[[#This Row],[коэф]]),
IF(AND(G352="5/16",AM352&gt;0.5),(AM352*2*база!$L$6*Таблица14[[#This Row],[коэф]]),
IF(AND(G352="4/16",AM352&gt;0.5),(AM352*2*база!$L$5*Таблица14[[#This Row],[коэф]]),
IF(AND(G352="3/16",AM352&gt;0.5),(AM352*2*база!$L$4*Таблица14[[#This Row],[коэф]]),
IF(AND(G352="4/4",AM352&gt;0.5),(AM352*2*база!$I$5*Таблица14[[#This Row],[коэф]]),
IF(OR(AND(G352="3/4",AM352&gt;0.5),AND(G352="2/4",AM352&gt;0.5)),(AM352*2*база!$I$4*Таблица14[[#This Row],[коэф]]),
IF(AND(G352="5/8",AM352&gt;0.5),(AM352*2*база!$J$6*Таблица14[[#This Row],[коэф]]),
IF(AND(G352="4/8",AM352&gt;0.5),(AM352*2*база!$J$5*Таблица14[[#This Row],[коэф]]),
IF(OR(AND(G352="3/8",AM352&gt;0.5),AND(G352="2/8",AM352&gt;0.5)),(AM352*2*база!$J$4*Таблица14[[#This Row],[коэф]]),
(AM352*0.5*база!$L$4*Таблица14[[#This Row],[коэф]]))))))))))))),
(IF(AND(G352="5/24",AM352&gt;0.5),(AM352*2*база!$M$6*Таблица14[[#This Row],[коэф]]),
IF(OR(AND(G352="4/24",AM352&gt;0.5),AND(G352="3/24",AM352&gt;0.5)),(AM352*2*база!$M$5*Таблица14[[#This Row],[коэф]]),
IF(AND(G352="5/16",AM352&gt;0.5),(AM352*2*база!$L$6*Таблица14[[#This Row],[коэф]]),
IF(OR(AND(G352="4/16",AM352&gt;0.5),AND(G352="3/16",AM352&gt;0.5)),(AM352*2*база!$L$5*Таблица14[[#This Row],[коэф]]),
IF(OR(AND(G352="4/4",AM352&gt;0.5),AND(G352="3/4",AM352&gt;2)),(AM352*2*база!$I$5*Таблица14[[#This Row],[коэф]]),
IF(AND(G352="5/8",AM352&gt;0.5),(AM352*2*база!$J$6*Таблица14[[#This Row],[коэф]]),
IF(AND(G352="4/8",AM352&gt;0.5),(AM352*2*база!$J$5*Таблица14[[#This Row],[коэф]]),
IF(OR(AND(G352="3/8",AM352&gt;0.5),AND(G352="2/8",AM352&gt;0.5)),(AM352*2*база!$J$4*Таблица14[[#This Row],[коэф]]),
(AM352*2*база!$L$5*Таблица14[[#This Row],[коэф]])))))))))))</f>
        <v>0</v>
      </c>
      <c r="AO352" s="122" t="str">
        <f>IFERROR(INDEX(база!$D$2:$D$120, MATCH(Таблица14[[#This Row],[Ф. И. О.]],база!$B$2:$B$100,0)),"")</f>
        <v/>
      </c>
    </row>
    <row r="353" spans="1:41">
      <c r="A353" s="207" t="str">
        <f t="shared" si="10"/>
        <v>январь</v>
      </c>
      <c r="B353" s="204">
        <v>2024</v>
      </c>
      <c r="C353" s="571"/>
      <c r="D353" s="205"/>
      <c r="E353" s="243"/>
      <c r="F353" s="680"/>
      <c r="G353" s="206"/>
      <c r="H353" s="49"/>
      <c r="I353" s="49"/>
      <c r="J353" s="49"/>
      <c r="K353" s="49"/>
      <c r="L353" s="49"/>
      <c r="M353" s="49"/>
      <c r="N353" s="49"/>
      <c r="O353" s="49"/>
      <c r="P353" s="49"/>
      <c r="Q353" s="49"/>
      <c r="R353" s="49"/>
      <c r="S353" s="49"/>
      <c r="T353" s="49"/>
      <c r="U353" s="49"/>
      <c r="V353" s="49"/>
      <c r="W353" s="49"/>
      <c r="X353" s="49"/>
      <c r="Y353" s="49"/>
      <c r="Z353" s="49"/>
      <c r="AA353" s="49"/>
      <c r="AB353" s="49"/>
      <c r="AC353" s="49"/>
      <c r="AD353" s="49"/>
      <c r="AE353" s="49"/>
      <c r="AF353" s="49"/>
      <c r="AG353" s="49"/>
      <c r="AH353" s="49"/>
      <c r="AI353" s="49"/>
      <c r="AJ353" s="49"/>
      <c r="AK353" s="49"/>
      <c r="AL353" s="49"/>
      <c r="AM353" s="121">
        <f t="shared" si="11"/>
        <v>0</v>
      </c>
      <c r="AN353" s="564">
        <f>IF(AO353&lt;=3,(IF(AND(G353="5/24",AM353&gt;0.5),(AM353*2*база!$M$6*Таблица14[[#This Row],[коэф]]),
IF(AND(G353="4/24",AM353&gt;0.5),(AM353*2*база!$M$5*Таблица14[[#This Row],[коэф]]),
IF(AND(G353="3/24",AM353&gt;0.5),(AM353*2*база!$M$4*Таблица14[[#This Row],[коэф]]),
IF(AND(G353="5/16",AM353&gt;0.5),(AM353*2*база!$L$6*Таблица14[[#This Row],[коэф]]),
IF(AND(G353="4/16",AM353&gt;0.5),(AM353*2*база!$L$5*Таблица14[[#This Row],[коэф]]),
IF(AND(G353="3/16",AM353&gt;0.5),(AM353*2*база!$L$4*Таблица14[[#This Row],[коэф]]),
IF(AND(G353="4/4",AM353&gt;0.5),(AM353*2*база!$I$5*Таблица14[[#This Row],[коэф]]),
IF(OR(AND(G353="3/4",AM353&gt;0.5),AND(G353="2/4",AM353&gt;0.5)),(AM353*2*база!$I$4*Таблица14[[#This Row],[коэф]]),
IF(AND(G353="5/8",AM353&gt;0.5),(AM353*2*база!$J$6*Таблица14[[#This Row],[коэф]]),
IF(AND(G353="4/8",AM353&gt;0.5),(AM353*2*база!$J$5*Таблица14[[#This Row],[коэф]]),
IF(OR(AND(G353="3/8",AM353&gt;0.5),AND(G353="2/8",AM353&gt;0.5)),(AM353*2*база!$J$4*Таблица14[[#This Row],[коэф]]),
(AM353*0.5*база!$L$4*Таблица14[[#This Row],[коэф]]))))))))))))),
(IF(AND(G353="5/24",AM353&gt;0.5),(AM353*2*база!$M$6*Таблица14[[#This Row],[коэф]]),
IF(OR(AND(G353="4/24",AM353&gt;0.5),AND(G353="3/24",AM353&gt;0.5)),(AM353*2*база!$M$5*Таблица14[[#This Row],[коэф]]),
IF(AND(G353="5/16",AM353&gt;0.5),(AM353*2*база!$L$6*Таблица14[[#This Row],[коэф]]),
IF(OR(AND(G353="4/16",AM353&gt;0.5),AND(G353="3/16",AM353&gt;0.5)),(AM353*2*база!$L$5*Таблица14[[#This Row],[коэф]]),
IF(OR(AND(G353="4/4",AM353&gt;0.5),AND(G353="3/4",AM353&gt;2)),(AM353*2*база!$I$5*Таблица14[[#This Row],[коэф]]),
IF(AND(G353="5/8",AM353&gt;0.5),(AM353*2*база!$J$6*Таблица14[[#This Row],[коэф]]),
IF(AND(G353="4/8",AM353&gt;0.5),(AM353*2*база!$J$5*Таблица14[[#This Row],[коэф]]),
IF(OR(AND(G353="3/8",AM353&gt;0.5),AND(G353="2/8",AM353&gt;0.5)),(AM353*2*база!$J$4*Таблица14[[#This Row],[коэф]]),
(AM353*2*база!$L$5*Таблица14[[#This Row],[коэф]])))))))))))</f>
        <v>0</v>
      </c>
      <c r="AO353" s="122" t="str">
        <f>IFERROR(INDEX(база!$D$2:$D$120, MATCH(Таблица14[[#This Row],[Ф. И. О.]],база!$B$2:$B$100,0)),"")</f>
        <v/>
      </c>
    </row>
    <row r="354" spans="1:41">
      <c r="A354" s="207" t="str">
        <f t="shared" si="10"/>
        <v>январь</v>
      </c>
      <c r="B354" s="240">
        <v>2024</v>
      </c>
      <c r="C354" s="648"/>
      <c r="D354" s="591"/>
      <c r="E354" s="241"/>
      <c r="F354" s="680"/>
      <c r="G354" s="242"/>
      <c r="H354" s="592"/>
      <c r="I354" s="592"/>
      <c r="J354" s="592"/>
      <c r="K354" s="592"/>
      <c r="L354" s="592"/>
      <c r="M354" s="592"/>
      <c r="N354" s="592"/>
      <c r="O354" s="592"/>
      <c r="P354" s="592"/>
      <c r="Q354" s="592"/>
      <c r="R354" s="592"/>
      <c r="S354" s="592"/>
      <c r="T354" s="592"/>
      <c r="U354" s="592"/>
      <c r="V354" s="592"/>
      <c r="W354" s="592"/>
      <c r="X354" s="592"/>
      <c r="Y354" s="592"/>
      <c r="Z354" s="592"/>
      <c r="AA354" s="592"/>
      <c r="AB354" s="592"/>
      <c r="AC354" s="592"/>
      <c r="AD354" s="592"/>
      <c r="AE354" s="592"/>
      <c r="AF354" s="592"/>
      <c r="AG354" s="592"/>
      <c r="AH354" s="592"/>
      <c r="AI354" s="592"/>
      <c r="AJ354" s="592"/>
      <c r="AK354" s="592"/>
      <c r="AL354" s="592"/>
      <c r="AM354" s="121">
        <f t="shared" si="11"/>
        <v>0</v>
      </c>
      <c r="AN354" s="564">
        <f>IF(AO354&lt;=3,(IF(AND(G354="5/24",AM354&gt;0.5),(AM354*2*база!$M$6*Таблица14[[#This Row],[коэф]]),
IF(AND(G354="4/24",AM354&gt;0.5),(AM354*2*база!$M$5*Таблица14[[#This Row],[коэф]]),
IF(AND(G354="3/24",AM354&gt;0.5),(AM354*2*база!$M$4*Таблица14[[#This Row],[коэф]]),
IF(AND(G354="5/16",AM354&gt;0.5),(AM354*2*база!$L$6*Таблица14[[#This Row],[коэф]]),
IF(AND(G354="4/16",AM354&gt;0.5),(AM354*2*база!$L$5*Таблица14[[#This Row],[коэф]]),
IF(AND(G354="3/16",AM354&gt;0.5),(AM354*2*база!$L$4*Таблица14[[#This Row],[коэф]]),
IF(AND(G354="4/4",AM354&gt;0.5),(AM354*2*база!$I$5*Таблица14[[#This Row],[коэф]]),
IF(OR(AND(G354="3/4",AM354&gt;0.5),AND(G354="2/4",AM354&gt;0.5)),(AM354*2*база!$I$4*Таблица14[[#This Row],[коэф]]),
IF(AND(G354="5/8",AM354&gt;0.5),(AM354*2*база!$J$6*Таблица14[[#This Row],[коэф]]),
IF(AND(G354="4/8",AM354&gt;0.5),(AM354*2*база!$J$5*Таблица14[[#This Row],[коэф]]),
IF(OR(AND(G354="3/8",AM354&gt;0.5),AND(G354="2/8",AM354&gt;0.5)),(AM354*2*база!$J$4*Таблица14[[#This Row],[коэф]]),
(AM354*0.5*база!$L$4*Таблица14[[#This Row],[коэф]]))))))))))))),
(IF(AND(G354="5/24",AM354&gt;0.5),(AM354*2*база!$M$6*Таблица14[[#This Row],[коэф]]),
IF(OR(AND(G354="4/24",AM354&gt;0.5),AND(G354="3/24",AM354&gt;0.5)),(AM354*2*база!$M$5*Таблица14[[#This Row],[коэф]]),
IF(AND(G354="5/16",AM354&gt;0.5),(AM354*2*база!$L$6*Таблица14[[#This Row],[коэф]]),
IF(OR(AND(G354="4/16",AM354&gt;0.5),AND(G354="3/16",AM354&gt;0.5)),(AM354*2*база!$L$5*Таблица14[[#This Row],[коэф]]),
IF(OR(AND(G354="4/4",AM354&gt;0.5),AND(G354="3/4",AM354&gt;2)),(AM354*2*база!$I$5*Таблица14[[#This Row],[коэф]]),
IF(AND(G354="5/8",AM354&gt;0.5),(AM354*2*база!$J$6*Таблица14[[#This Row],[коэф]]),
IF(AND(G354="4/8",AM354&gt;0.5),(AM354*2*база!$J$5*Таблица14[[#This Row],[коэф]]),
IF(OR(AND(G354="3/8",AM354&gt;0.5),AND(G354="2/8",AM354&gt;0.5)),(AM354*2*база!$J$4*Таблица14[[#This Row],[коэф]]),
(AM354*2*база!$L$5*Таблица14[[#This Row],[коэф]])))))))))))</f>
        <v>0</v>
      </c>
      <c r="AO354" s="122" t="str">
        <f>IFERROR(INDEX(база!$D$2:$D$120, MATCH(Таблица14[[#This Row],[Ф. И. О.]],база!$B$2:$B$100,0)),"")</f>
        <v/>
      </c>
    </row>
    <row r="355" spans="1:41">
      <c r="A355" s="207" t="str">
        <f t="shared" si="10"/>
        <v>январь</v>
      </c>
      <c r="B355" s="204">
        <v>2024</v>
      </c>
      <c r="C355" s="571"/>
      <c r="D355" s="205"/>
      <c r="E355" s="243"/>
      <c r="F355" s="680"/>
      <c r="G355" s="206"/>
      <c r="H355" s="49"/>
      <c r="I355" s="49"/>
      <c r="J355" s="49"/>
      <c r="K355" s="49"/>
      <c r="L355" s="49"/>
      <c r="M355" s="49"/>
      <c r="N355" s="49"/>
      <c r="O355" s="49"/>
      <c r="P355" s="49"/>
      <c r="Q355" s="49"/>
      <c r="R355" s="49"/>
      <c r="S355" s="49"/>
      <c r="T355" s="49"/>
      <c r="U355" s="49"/>
      <c r="V355" s="49"/>
      <c r="W355" s="49"/>
      <c r="X355" s="49"/>
      <c r="Y355" s="49"/>
      <c r="Z355" s="49"/>
      <c r="AA355" s="49"/>
      <c r="AB355" s="49"/>
      <c r="AC355" s="49"/>
      <c r="AD355" s="49"/>
      <c r="AE355" s="49"/>
      <c r="AF355" s="49"/>
      <c r="AG355" s="49"/>
      <c r="AH355" s="49"/>
      <c r="AI355" s="49"/>
      <c r="AJ355" s="49"/>
      <c r="AK355" s="49"/>
      <c r="AL355" s="49"/>
      <c r="AM355" s="121">
        <f t="shared" si="11"/>
        <v>0</v>
      </c>
      <c r="AN355" s="564">
        <f>IF(AO355&lt;=3,(IF(AND(G355="5/24",AM355&gt;0.5),(AM355*2*база!$M$6*Таблица14[[#This Row],[коэф]]),
IF(AND(G355="4/24",AM355&gt;0.5),(AM355*2*база!$M$5*Таблица14[[#This Row],[коэф]]),
IF(AND(G355="3/24",AM355&gt;0.5),(AM355*2*база!$M$4*Таблица14[[#This Row],[коэф]]),
IF(AND(G355="5/16",AM355&gt;0.5),(AM355*2*база!$L$6*Таблица14[[#This Row],[коэф]]),
IF(AND(G355="4/16",AM355&gt;0.5),(AM355*2*база!$L$5*Таблица14[[#This Row],[коэф]]),
IF(AND(G355="3/16",AM355&gt;0.5),(AM355*2*база!$L$4*Таблица14[[#This Row],[коэф]]),
IF(AND(G355="4/4",AM355&gt;0.5),(AM355*2*база!$I$5*Таблица14[[#This Row],[коэф]]),
IF(OR(AND(G355="3/4",AM355&gt;0.5),AND(G355="2/4",AM355&gt;0.5)),(AM355*2*база!$I$4*Таблица14[[#This Row],[коэф]]),
IF(AND(G355="5/8",AM355&gt;0.5),(AM355*2*база!$J$6*Таблица14[[#This Row],[коэф]]),
IF(AND(G355="4/8",AM355&gt;0.5),(AM355*2*база!$J$5*Таблица14[[#This Row],[коэф]]),
IF(OR(AND(G355="3/8",AM355&gt;0.5),AND(G355="2/8",AM355&gt;0.5)),(AM355*2*база!$J$4*Таблица14[[#This Row],[коэф]]),
(AM355*0.5*база!$L$4*Таблица14[[#This Row],[коэф]]))))))))))))),
(IF(AND(G355="5/24",AM355&gt;0.5),(AM355*2*база!$M$6*Таблица14[[#This Row],[коэф]]),
IF(OR(AND(G355="4/24",AM355&gt;0.5),AND(G355="3/24",AM355&gt;0.5)),(AM355*2*база!$M$5*Таблица14[[#This Row],[коэф]]),
IF(AND(G355="5/16",AM355&gt;0.5),(AM355*2*база!$L$6*Таблица14[[#This Row],[коэф]]),
IF(OR(AND(G355="4/16",AM355&gt;0.5),AND(G355="3/16",AM355&gt;0.5)),(AM355*2*база!$L$5*Таблица14[[#This Row],[коэф]]),
IF(OR(AND(G355="4/4",AM355&gt;0.5),AND(G355="3/4",AM355&gt;2)),(AM355*2*база!$I$5*Таблица14[[#This Row],[коэф]]),
IF(AND(G355="5/8",AM355&gt;0.5),(AM355*2*база!$J$6*Таблица14[[#This Row],[коэф]]),
IF(AND(G355="4/8",AM355&gt;0.5),(AM355*2*база!$J$5*Таблица14[[#This Row],[коэф]]),
IF(OR(AND(G355="3/8",AM355&gt;0.5),AND(G355="2/8",AM355&gt;0.5)),(AM355*2*база!$J$4*Таблица14[[#This Row],[коэф]]),
(AM355*2*база!$L$5*Таблица14[[#This Row],[коэф]])))))))))))</f>
        <v>0</v>
      </c>
      <c r="AO355" s="122" t="str">
        <f>IFERROR(INDEX(база!$D$2:$D$120, MATCH(Таблица14[[#This Row],[Ф. И. О.]],база!$B$2:$B$100,0)),"")</f>
        <v/>
      </c>
    </row>
    <row r="356" spans="1:41">
      <c r="A356" s="207" t="str">
        <f t="shared" si="10"/>
        <v>январь</v>
      </c>
      <c r="B356" s="240">
        <v>2024</v>
      </c>
      <c r="C356" s="648"/>
      <c r="D356" s="591"/>
      <c r="E356" s="241"/>
      <c r="F356" s="680"/>
      <c r="G356" s="242"/>
      <c r="H356" s="592"/>
      <c r="I356" s="592"/>
      <c r="J356" s="592"/>
      <c r="K356" s="592"/>
      <c r="L356" s="592"/>
      <c r="M356" s="592"/>
      <c r="N356" s="592"/>
      <c r="O356" s="592"/>
      <c r="P356" s="592"/>
      <c r="Q356" s="592"/>
      <c r="R356" s="592"/>
      <c r="S356" s="592"/>
      <c r="T356" s="592"/>
      <c r="U356" s="592"/>
      <c r="V356" s="592"/>
      <c r="W356" s="592"/>
      <c r="X356" s="592"/>
      <c r="Y356" s="592"/>
      <c r="Z356" s="592"/>
      <c r="AA356" s="592"/>
      <c r="AB356" s="592"/>
      <c r="AC356" s="592"/>
      <c r="AD356" s="592"/>
      <c r="AE356" s="592"/>
      <c r="AF356" s="592"/>
      <c r="AG356" s="592"/>
      <c r="AH356" s="592"/>
      <c r="AI356" s="592"/>
      <c r="AJ356" s="592"/>
      <c r="AK356" s="592"/>
      <c r="AL356" s="592"/>
      <c r="AM356" s="121">
        <f t="shared" si="11"/>
        <v>0</v>
      </c>
      <c r="AN356" s="564">
        <f>IF(AO356&lt;=3,(IF(AND(G356="5/24",AM356&gt;0.5),(AM356*2*база!$M$6*Таблица14[[#This Row],[коэф]]),
IF(AND(G356="4/24",AM356&gt;0.5),(AM356*2*база!$M$5*Таблица14[[#This Row],[коэф]]),
IF(AND(G356="3/24",AM356&gt;0.5),(AM356*2*база!$M$4*Таблица14[[#This Row],[коэф]]),
IF(AND(G356="5/16",AM356&gt;0.5),(AM356*2*база!$L$6*Таблица14[[#This Row],[коэф]]),
IF(AND(G356="4/16",AM356&gt;0.5),(AM356*2*база!$L$5*Таблица14[[#This Row],[коэф]]),
IF(AND(G356="3/16",AM356&gt;0.5),(AM356*2*база!$L$4*Таблица14[[#This Row],[коэф]]),
IF(AND(G356="4/4",AM356&gt;0.5),(AM356*2*база!$I$5*Таблица14[[#This Row],[коэф]]),
IF(OR(AND(G356="3/4",AM356&gt;0.5),AND(G356="2/4",AM356&gt;0.5)),(AM356*2*база!$I$4*Таблица14[[#This Row],[коэф]]),
IF(AND(G356="5/8",AM356&gt;0.5),(AM356*2*база!$J$6*Таблица14[[#This Row],[коэф]]),
IF(AND(G356="4/8",AM356&gt;0.5),(AM356*2*база!$J$5*Таблица14[[#This Row],[коэф]]),
IF(OR(AND(G356="3/8",AM356&gt;0.5),AND(G356="2/8",AM356&gt;0.5)),(AM356*2*база!$J$4*Таблица14[[#This Row],[коэф]]),
(AM356*0.5*база!$L$4*Таблица14[[#This Row],[коэф]]))))))))))))),
(IF(AND(G356="5/24",AM356&gt;0.5),(AM356*2*база!$M$6*Таблица14[[#This Row],[коэф]]),
IF(OR(AND(G356="4/24",AM356&gt;0.5),AND(G356="3/24",AM356&gt;0.5)),(AM356*2*база!$M$5*Таблица14[[#This Row],[коэф]]),
IF(AND(G356="5/16",AM356&gt;0.5),(AM356*2*база!$L$6*Таблица14[[#This Row],[коэф]]),
IF(OR(AND(G356="4/16",AM356&gt;0.5),AND(G356="3/16",AM356&gt;0.5)),(AM356*2*база!$L$5*Таблица14[[#This Row],[коэф]]),
IF(OR(AND(G356="4/4",AM356&gt;0.5),AND(G356="3/4",AM356&gt;2)),(AM356*2*база!$I$5*Таблица14[[#This Row],[коэф]]),
IF(AND(G356="5/8",AM356&gt;0.5),(AM356*2*база!$J$6*Таблица14[[#This Row],[коэф]]),
IF(AND(G356="4/8",AM356&gt;0.5),(AM356*2*база!$J$5*Таблица14[[#This Row],[коэф]]),
IF(OR(AND(G356="3/8",AM356&gt;0.5),AND(G356="2/8",AM356&gt;0.5)),(AM356*2*база!$J$4*Таблица14[[#This Row],[коэф]]),
(AM356*2*база!$L$5*Таблица14[[#This Row],[коэф]])))))))))))</f>
        <v>0</v>
      </c>
      <c r="AO356" s="122" t="str">
        <f>IFERROR(INDEX(база!$D$2:$D$120, MATCH(Таблица14[[#This Row],[Ф. И. О.]],база!$B$2:$B$100,0)),"")</f>
        <v/>
      </c>
    </row>
    <row r="357" spans="1:41">
      <c r="A357" s="207" t="str">
        <f t="shared" si="10"/>
        <v>январь</v>
      </c>
      <c r="B357" s="204">
        <v>2024</v>
      </c>
      <c r="C357" s="571"/>
      <c r="D357" s="205"/>
      <c r="E357" s="243"/>
      <c r="F357" s="680"/>
      <c r="G357" s="206"/>
      <c r="H357" s="49"/>
      <c r="I357" s="49"/>
      <c r="J357" s="49"/>
      <c r="K357" s="49"/>
      <c r="L357" s="49"/>
      <c r="M357" s="49"/>
      <c r="N357" s="49"/>
      <c r="O357" s="49"/>
      <c r="P357" s="49"/>
      <c r="Q357" s="49"/>
      <c r="R357" s="49"/>
      <c r="S357" s="49"/>
      <c r="T357" s="49"/>
      <c r="U357" s="49"/>
      <c r="V357" s="49"/>
      <c r="W357" s="49"/>
      <c r="X357" s="49"/>
      <c r="Y357" s="49"/>
      <c r="Z357" s="49"/>
      <c r="AA357" s="49"/>
      <c r="AB357" s="49"/>
      <c r="AC357" s="49"/>
      <c r="AD357" s="49"/>
      <c r="AE357" s="49"/>
      <c r="AF357" s="49"/>
      <c r="AG357" s="49"/>
      <c r="AH357" s="49"/>
      <c r="AI357" s="49"/>
      <c r="AJ357" s="49"/>
      <c r="AK357" s="49"/>
      <c r="AL357" s="49"/>
      <c r="AM357" s="121">
        <f t="shared" si="11"/>
        <v>0</v>
      </c>
      <c r="AN357" s="564">
        <f>IF(AO357&lt;=3,(IF(AND(G357="5/24",AM357&gt;0.5),(AM357*2*база!$M$6*Таблица14[[#This Row],[коэф]]),
IF(AND(G357="4/24",AM357&gt;0.5),(AM357*2*база!$M$5*Таблица14[[#This Row],[коэф]]),
IF(AND(G357="3/24",AM357&gt;0.5),(AM357*2*база!$M$4*Таблица14[[#This Row],[коэф]]),
IF(AND(G357="5/16",AM357&gt;0.5),(AM357*2*база!$L$6*Таблица14[[#This Row],[коэф]]),
IF(AND(G357="4/16",AM357&gt;0.5),(AM357*2*база!$L$5*Таблица14[[#This Row],[коэф]]),
IF(AND(G357="3/16",AM357&gt;0.5),(AM357*2*база!$L$4*Таблица14[[#This Row],[коэф]]),
IF(AND(G357="4/4",AM357&gt;0.5),(AM357*2*база!$I$5*Таблица14[[#This Row],[коэф]]),
IF(OR(AND(G357="3/4",AM357&gt;0.5),AND(G357="2/4",AM357&gt;0.5)),(AM357*2*база!$I$4*Таблица14[[#This Row],[коэф]]),
IF(AND(G357="5/8",AM357&gt;0.5),(AM357*2*база!$J$6*Таблица14[[#This Row],[коэф]]),
IF(AND(G357="4/8",AM357&gt;0.5),(AM357*2*база!$J$5*Таблица14[[#This Row],[коэф]]),
IF(OR(AND(G357="3/8",AM357&gt;0.5),AND(G357="2/8",AM357&gt;0.5)),(AM357*2*база!$J$4*Таблица14[[#This Row],[коэф]]),
(AM357*0.5*база!$L$4*Таблица14[[#This Row],[коэф]]))))))))))))),
(IF(AND(G357="5/24",AM357&gt;0.5),(AM357*2*база!$M$6*Таблица14[[#This Row],[коэф]]),
IF(OR(AND(G357="4/24",AM357&gt;0.5),AND(G357="3/24",AM357&gt;0.5)),(AM357*2*база!$M$5*Таблица14[[#This Row],[коэф]]),
IF(AND(G357="5/16",AM357&gt;0.5),(AM357*2*база!$L$6*Таблица14[[#This Row],[коэф]]),
IF(OR(AND(G357="4/16",AM357&gt;0.5),AND(G357="3/16",AM357&gt;0.5)),(AM357*2*база!$L$5*Таблица14[[#This Row],[коэф]]),
IF(OR(AND(G357="4/4",AM357&gt;0.5),AND(G357="3/4",AM357&gt;2)),(AM357*2*база!$I$5*Таблица14[[#This Row],[коэф]]),
IF(AND(G357="5/8",AM357&gt;0.5),(AM357*2*база!$J$6*Таблица14[[#This Row],[коэф]]),
IF(AND(G357="4/8",AM357&gt;0.5),(AM357*2*база!$J$5*Таблица14[[#This Row],[коэф]]),
IF(OR(AND(G357="3/8",AM357&gt;0.5),AND(G357="2/8",AM357&gt;0.5)),(AM357*2*база!$J$4*Таблица14[[#This Row],[коэф]]),
(AM357*2*база!$L$5*Таблица14[[#This Row],[коэф]])))))))))))</f>
        <v>0</v>
      </c>
      <c r="AO357" s="122" t="str">
        <f>IFERROR(INDEX(база!$D$2:$D$120, MATCH(Таблица14[[#This Row],[Ф. И. О.]],база!$B$2:$B$100,0)),"")</f>
        <v/>
      </c>
    </row>
    <row r="358" spans="1:41">
      <c r="A358" s="207" t="str">
        <f t="shared" si="10"/>
        <v>январь</v>
      </c>
      <c r="B358" s="240">
        <v>2024</v>
      </c>
      <c r="C358" s="648"/>
      <c r="D358" s="591"/>
      <c r="E358" s="241"/>
      <c r="F358" s="680"/>
      <c r="G358" s="242"/>
      <c r="H358" s="592"/>
      <c r="I358" s="592"/>
      <c r="J358" s="592"/>
      <c r="K358" s="592"/>
      <c r="L358" s="592"/>
      <c r="M358" s="592"/>
      <c r="N358" s="592"/>
      <c r="O358" s="592"/>
      <c r="P358" s="592"/>
      <c r="Q358" s="592"/>
      <c r="R358" s="592"/>
      <c r="S358" s="592"/>
      <c r="T358" s="592"/>
      <c r="U358" s="592"/>
      <c r="V358" s="592"/>
      <c r="W358" s="592"/>
      <c r="X358" s="592"/>
      <c r="Y358" s="592"/>
      <c r="Z358" s="592"/>
      <c r="AA358" s="592"/>
      <c r="AB358" s="592"/>
      <c r="AC358" s="592"/>
      <c r="AD358" s="592"/>
      <c r="AE358" s="592"/>
      <c r="AF358" s="592"/>
      <c r="AG358" s="592"/>
      <c r="AH358" s="592"/>
      <c r="AI358" s="592"/>
      <c r="AJ358" s="592"/>
      <c r="AK358" s="592"/>
      <c r="AL358" s="592"/>
      <c r="AM358" s="121">
        <f t="shared" si="11"/>
        <v>0</v>
      </c>
      <c r="AN358" s="564">
        <f>IF(AO358&lt;=3,(IF(AND(G358="5/24",AM358&gt;0.5),(AM358*2*база!$M$6*Таблица14[[#This Row],[коэф]]),
IF(AND(G358="4/24",AM358&gt;0.5),(AM358*2*база!$M$5*Таблица14[[#This Row],[коэф]]),
IF(AND(G358="3/24",AM358&gt;0.5),(AM358*2*база!$M$4*Таблица14[[#This Row],[коэф]]),
IF(AND(G358="5/16",AM358&gt;0.5),(AM358*2*база!$L$6*Таблица14[[#This Row],[коэф]]),
IF(AND(G358="4/16",AM358&gt;0.5),(AM358*2*база!$L$5*Таблица14[[#This Row],[коэф]]),
IF(AND(G358="3/16",AM358&gt;0.5),(AM358*2*база!$L$4*Таблица14[[#This Row],[коэф]]),
IF(AND(G358="4/4",AM358&gt;0.5),(AM358*2*база!$I$5*Таблица14[[#This Row],[коэф]]),
IF(OR(AND(G358="3/4",AM358&gt;0.5),AND(G358="2/4",AM358&gt;0.5)),(AM358*2*база!$I$4*Таблица14[[#This Row],[коэф]]),
IF(AND(G358="5/8",AM358&gt;0.5),(AM358*2*база!$J$6*Таблица14[[#This Row],[коэф]]),
IF(AND(G358="4/8",AM358&gt;0.5),(AM358*2*база!$J$5*Таблица14[[#This Row],[коэф]]),
IF(OR(AND(G358="3/8",AM358&gt;0.5),AND(G358="2/8",AM358&gt;0.5)),(AM358*2*база!$J$4*Таблица14[[#This Row],[коэф]]),
(AM358*0.5*база!$L$4*Таблица14[[#This Row],[коэф]]))))))))))))),
(IF(AND(G358="5/24",AM358&gt;0.5),(AM358*2*база!$M$6*Таблица14[[#This Row],[коэф]]),
IF(OR(AND(G358="4/24",AM358&gt;0.5),AND(G358="3/24",AM358&gt;0.5)),(AM358*2*база!$M$5*Таблица14[[#This Row],[коэф]]),
IF(AND(G358="5/16",AM358&gt;0.5),(AM358*2*база!$L$6*Таблица14[[#This Row],[коэф]]),
IF(OR(AND(G358="4/16",AM358&gt;0.5),AND(G358="3/16",AM358&gt;0.5)),(AM358*2*база!$L$5*Таблица14[[#This Row],[коэф]]),
IF(OR(AND(G358="4/4",AM358&gt;0.5),AND(G358="3/4",AM358&gt;2)),(AM358*2*база!$I$5*Таблица14[[#This Row],[коэф]]),
IF(AND(G358="5/8",AM358&gt;0.5),(AM358*2*база!$J$6*Таблица14[[#This Row],[коэф]]),
IF(AND(G358="4/8",AM358&gt;0.5),(AM358*2*база!$J$5*Таблица14[[#This Row],[коэф]]),
IF(OR(AND(G358="3/8",AM358&gt;0.5),AND(G358="2/8",AM358&gt;0.5)),(AM358*2*база!$J$4*Таблица14[[#This Row],[коэф]]),
(AM358*2*база!$L$5*Таблица14[[#This Row],[коэф]])))))))))))</f>
        <v>0</v>
      </c>
      <c r="AO358" s="122" t="str">
        <f>IFERROR(INDEX(база!$D$2:$D$120, MATCH(Таблица14[[#This Row],[Ф. И. О.]],база!$B$2:$B$100,0)),"")</f>
        <v/>
      </c>
    </row>
    <row r="359" spans="1:41">
      <c r="A359" s="207" t="str">
        <f t="shared" si="10"/>
        <v>январь</v>
      </c>
      <c r="B359" s="204">
        <v>2024</v>
      </c>
      <c r="C359" s="571"/>
      <c r="D359" s="205"/>
      <c r="E359" s="243"/>
      <c r="F359" s="680"/>
      <c r="G359" s="206"/>
      <c r="H359" s="49"/>
      <c r="I359" s="49"/>
      <c r="J359" s="49"/>
      <c r="K359" s="49"/>
      <c r="L359" s="49"/>
      <c r="M359" s="49"/>
      <c r="N359" s="49"/>
      <c r="O359" s="49"/>
      <c r="P359" s="49"/>
      <c r="Q359" s="49"/>
      <c r="R359" s="49"/>
      <c r="S359" s="49"/>
      <c r="T359" s="49"/>
      <c r="U359" s="49"/>
      <c r="V359" s="49"/>
      <c r="W359" s="49"/>
      <c r="X359" s="49"/>
      <c r="Y359" s="49"/>
      <c r="Z359" s="49"/>
      <c r="AA359" s="49"/>
      <c r="AB359" s="49"/>
      <c r="AC359" s="49"/>
      <c r="AD359" s="49"/>
      <c r="AE359" s="49"/>
      <c r="AF359" s="49"/>
      <c r="AG359" s="49"/>
      <c r="AH359" s="49"/>
      <c r="AI359" s="49"/>
      <c r="AJ359" s="49"/>
      <c r="AK359" s="49"/>
      <c r="AL359" s="49"/>
      <c r="AM359" s="121">
        <f t="shared" si="11"/>
        <v>0</v>
      </c>
      <c r="AN359" s="564">
        <f>IF(AO359&lt;=3,(IF(AND(G359="5/24",AM359&gt;0.5),(AM359*2*база!$M$6*Таблица14[[#This Row],[коэф]]),
IF(AND(G359="4/24",AM359&gt;0.5),(AM359*2*база!$M$5*Таблица14[[#This Row],[коэф]]),
IF(AND(G359="3/24",AM359&gt;0.5),(AM359*2*база!$M$4*Таблица14[[#This Row],[коэф]]),
IF(AND(G359="5/16",AM359&gt;0.5),(AM359*2*база!$L$6*Таблица14[[#This Row],[коэф]]),
IF(AND(G359="4/16",AM359&gt;0.5),(AM359*2*база!$L$5*Таблица14[[#This Row],[коэф]]),
IF(AND(G359="3/16",AM359&gt;0.5),(AM359*2*база!$L$4*Таблица14[[#This Row],[коэф]]),
IF(AND(G359="4/4",AM359&gt;0.5),(AM359*2*база!$I$5*Таблица14[[#This Row],[коэф]]),
IF(OR(AND(G359="3/4",AM359&gt;0.5),AND(G359="2/4",AM359&gt;0.5)),(AM359*2*база!$I$4*Таблица14[[#This Row],[коэф]]),
IF(AND(G359="5/8",AM359&gt;0.5),(AM359*2*база!$J$6*Таблица14[[#This Row],[коэф]]),
IF(AND(G359="4/8",AM359&gt;0.5),(AM359*2*база!$J$5*Таблица14[[#This Row],[коэф]]),
IF(OR(AND(G359="3/8",AM359&gt;0.5),AND(G359="2/8",AM359&gt;0.5)),(AM359*2*база!$J$4*Таблица14[[#This Row],[коэф]]),
(AM359*0.5*база!$L$4*Таблица14[[#This Row],[коэф]]))))))))))))),
(IF(AND(G359="5/24",AM359&gt;0.5),(AM359*2*база!$M$6*Таблица14[[#This Row],[коэф]]),
IF(OR(AND(G359="4/24",AM359&gt;0.5),AND(G359="3/24",AM359&gt;0.5)),(AM359*2*база!$M$5*Таблица14[[#This Row],[коэф]]),
IF(AND(G359="5/16",AM359&gt;0.5),(AM359*2*база!$L$6*Таблица14[[#This Row],[коэф]]),
IF(OR(AND(G359="4/16",AM359&gt;0.5),AND(G359="3/16",AM359&gt;0.5)),(AM359*2*база!$L$5*Таблица14[[#This Row],[коэф]]),
IF(OR(AND(G359="4/4",AM359&gt;0.5),AND(G359="3/4",AM359&gt;2)),(AM359*2*база!$I$5*Таблица14[[#This Row],[коэф]]),
IF(AND(G359="5/8",AM359&gt;0.5),(AM359*2*база!$J$6*Таблица14[[#This Row],[коэф]]),
IF(AND(G359="4/8",AM359&gt;0.5),(AM359*2*база!$J$5*Таблица14[[#This Row],[коэф]]),
IF(OR(AND(G359="3/8",AM359&gt;0.5),AND(G359="2/8",AM359&gt;0.5)),(AM359*2*база!$J$4*Таблица14[[#This Row],[коэф]]),
(AM359*2*база!$L$5*Таблица14[[#This Row],[коэф]])))))))))))</f>
        <v>0</v>
      </c>
      <c r="AO359" s="122" t="str">
        <f>IFERROR(INDEX(база!$D$2:$D$120, MATCH(Таблица14[[#This Row],[Ф. И. О.]],база!$B$2:$B$100,0)),"")</f>
        <v/>
      </c>
    </row>
    <row r="360" spans="1:41">
      <c r="A360" s="207" t="str">
        <f t="shared" si="10"/>
        <v>январь</v>
      </c>
      <c r="B360" s="240">
        <v>2024</v>
      </c>
      <c r="C360" s="648"/>
      <c r="D360" s="591"/>
      <c r="E360" s="241"/>
      <c r="F360" s="680"/>
      <c r="G360" s="242"/>
      <c r="H360" s="592"/>
      <c r="I360" s="592"/>
      <c r="J360" s="592"/>
      <c r="K360" s="592"/>
      <c r="L360" s="592"/>
      <c r="M360" s="592"/>
      <c r="N360" s="592"/>
      <c r="O360" s="592"/>
      <c r="P360" s="592"/>
      <c r="Q360" s="592"/>
      <c r="R360" s="592"/>
      <c r="S360" s="592"/>
      <c r="T360" s="592"/>
      <c r="U360" s="592"/>
      <c r="V360" s="592"/>
      <c r="W360" s="592"/>
      <c r="X360" s="592"/>
      <c r="Y360" s="592"/>
      <c r="Z360" s="592"/>
      <c r="AA360" s="592"/>
      <c r="AB360" s="592"/>
      <c r="AC360" s="592"/>
      <c r="AD360" s="592"/>
      <c r="AE360" s="592"/>
      <c r="AF360" s="592"/>
      <c r="AG360" s="592"/>
      <c r="AH360" s="592"/>
      <c r="AI360" s="592"/>
      <c r="AJ360" s="592"/>
      <c r="AK360" s="592"/>
      <c r="AL360" s="592"/>
      <c r="AM360" s="121">
        <f t="shared" si="11"/>
        <v>0</v>
      </c>
      <c r="AN360" s="564">
        <f>IF(AO360&lt;=3,(IF(AND(G360="5/24",AM360&gt;0.5),(AM360*2*база!$M$6*Таблица14[[#This Row],[коэф]]),
IF(AND(G360="4/24",AM360&gt;0.5),(AM360*2*база!$M$5*Таблица14[[#This Row],[коэф]]),
IF(AND(G360="3/24",AM360&gt;0.5),(AM360*2*база!$M$4*Таблица14[[#This Row],[коэф]]),
IF(AND(G360="5/16",AM360&gt;0.5),(AM360*2*база!$L$6*Таблица14[[#This Row],[коэф]]),
IF(AND(G360="4/16",AM360&gt;0.5),(AM360*2*база!$L$5*Таблица14[[#This Row],[коэф]]),
IF(AND(G360="3/16",AM360&gt;0.5),(AM360*2*база!$L$4*Таблица14[[#This Row],[коэф]]),
IF(AND(G360="4/4",AM360&gt;0.5),(AM360*2*база!$I$5*Таблица14[[#This Row],[коэф]]),
IF(OR(AND(G360="3/4",AM360&gt;0.5),AND(G360="2/4",AM360&gt;0.5)),(AM360*2*база!$I$4*Таблица14[[#This Row],[коэф]]),
IF(AND(G360="5/8",AM360&gt;0.5),(AM360*2*база!$J$6*Таблица14[[#This Row],[коэф]]),
IF(AND(G360="4/8",AM360&gt;0.5),(AM360*2*база!$J$5*Таблица14[[#This Row],[коэф]]),
IF(OR(AND(G360="3/8",AM360&gt;0.5),AND(G360="2/8",AM360&gt;0.5)),(AM360*2*база!$J$4*Таблица14[[#This Row],[коэф]]),
(AM360*0.5*база!$L$4*Таблица14[[#This Row],[коэф]]))))))))))))),
(IF(AND(G360="5/24",AM360&gt;0.5),(AM360*2*база!$M$6*Таблица14[[#This Row],[коэф]]),
IF(OR(AND(G360="4/24",AM360&gt;0.5),AND(G360="3/24",AM360&gt;0.5)),(AM360*2*база!$M$5*Таблица14[[#This Row],[коэф]]),
IF(AND(G360="5/16",AM360&gt;0.5),(AM360*2*база!$L$6*Таблица14[[#This Row],[коэф]]),
IF(OR(AND(G360="4/16",AM360&gt;0.5),AND(G360="3/16",AM360&gt;0.5)),(AM360*2*база!$L$5*Таблица14[[#This Row],[коэф]]),
IF(OR(AND(G360="4/4",AM360&gt;0.5),AND(G360="3/4",AM360&gt;2)),(AM360*2*база!$I$5*Таблица14[[#This Row],[коэф]]),
IF(AND(G360="5/8",AM360&gt;0.5),(AM360*2*база!$J$6*Таблица14[[#This Row],[коэф]]),
IF(AND(G360="4/8",AM360&gt;0.5),(AM360*2*база!$J$5*Таблица14[[#This Row],[коэф]]),
IF(OR(AND(G360="3/8",AM360&gt;0.5),AND(G360="2/8",AM360&gt;0.5)),(AM360*2*база!$J$4*Таблица14[[#This Row],[коэф]]),
(AM360*2*база!$L$5*Таблица14[[#This Row],[коэф]])))))))))))</f>
        <v>0</v>
      </c>
      <c r="AO360" s="122" t="str">
        <f>IFERROR(INDEX(база!$D$2:$D$120, MATCH(Таблица14[[#This Row],[Ф. И. О.]],база!$B$2:$B$100,0)),"")</f>
        <v/>
      </c>
    </row>
    <row r="361" spans="1:41">
      <c r="A361" s="207" t="str">
        <f t="shared" si="10"/>
        <v>январь</v>
      </c>
      <c r="B361" s="204">
        <v>2024</v>
      </c>
      <c r="C361" s="571"/>
      <c r="D361" s="205"/>
      <c r="E361" s="243"/>
      <c r="F361" s="680"/>
      <c r="G361" s="206"/>
      <c r="H361" s="49"/>
      <c r="I361" s="49"/>
      <c r="J361" s="49"/>
      <c r="K361" s="49"/>
      <c r="L361" s="49"/>
      <c r="M361" s="49"/>
      <c r="N361" s="49"/>
      <c r="O361" s="49"/>
      <c r="P361" s="49"/>
      <c r="Q361" s="49"/>
      <c r="R361" s="49"/>
      <c r="S361" s="49"/>
      <c r="T361" s="49"/>
      <c r="U361" s="49"/>
      <c r="V361" s="49"/>
      <c r="W361" s="49"/>
      <c r="X361" s="49"/>
      <c r="Y361" s="49"/>
      <c r="Z361" s="49"/>
      <c r="AA361" s="49"/>
      <c r="AB361" s="49"/>
      <c r="AC361" s="49"/>
      <c r="AD361" s="49"/>
      <c r="AE361" s="49"/>
      <c r="AF361" s="49"/>
      <c r="AG361" s="49"/>
      <c r="AH361" s="49"/>
      <c r="AI361" s="49"/>
      <c r="AJ361" s="49"/>
      <c r="AK361" s="49"/>
      <c r="AL361" s="49"/>
      <c r="AM361" s="121">
        <f t="shared" si="11"/>
        <v>0</v>
      </c>
      <c r="AN361" s="564">
        <f>IF(AO361&lt;=3,(IF(AND(G361="5/24",AM361&gt;0.5),(AM361*2*база!$M$6*Таблица14[[#This Row],[коэф]]),
IF(AND(G361="4/24",AM361&gt;0.5),(AM361*2*база!$M$5*Таблица14[[#This Row],[коэф]]),
IF(AND(G361="3/24",AM361&gt;0.5),(AM361*2*база!$M$4*Таблица14[[#This Row],[коэф]]),
IF(AND(G361="5/16",AM361&gt;0.5),(AM361*2*база!$L$6*Таблица14[[#This Row],[коэф]]),
IF(AND(G361="4/16",AM361&gt;0.5),(AM361*2*база!$L$5*Таблица14[[#This Row],[коэф]]),
IF(AND(G361="3/16",AM361&gt;0.5),(AM361*2*база!$L$4*Таблица14[[#This Row],[коэф]]),
IF(AND(G361="4/4",AM361&gt;0.5),(AM361*2*база!$I$5*Таблица14[[#This Row],[коэф]]),
IF(OR(AND(G361="3/4",AM361&gt;0.5),AND(G361="2/4",AM361&gt;0.5)),(AM361*2*база!$I$4*Таблица14[[#This Row],[коэф]]),
IF(AND(G361="5/8",AM361&gt;0.5),(AM361*2*база!$J$6*Таблица14[[#This Row],[коэф]]),
IF(AND(G361="4/8",AM361&gt;0.5),(AM361*2*база!$J$5*Таблица14[[#This Row],[коэф]]),
IF(OR(AND(G361="3/8",AM361&gt;0.5),AND(G361="2/8",AM361&gt;0.5)),(AM361*2*база!$J$4*Таблица14[[#This Row],[коэф]]),
(AM361*0.5*база!$L$4*Таблица14[[#This Row],[коэф]]))))))))))))),
(IF(AND(G361="5/24",AM361&gt;0.5),(AM361*2*база!$M$6*Таблица14[[#This Row],[коэф]]),
IF(OR(AND(G361="4/24",AM361&gt;0.5),AND(G361="3/24",AM361&gt;0.5)),(AM361*2*база!$M$5*Таблица14[[#This Row],[коэф]]),
IF(AND(G361="5/16",AM361&gt;0.5),(AM361*2*база!$L$6*Таблица14[[#This Row],[коэф]]),
IF(OR(AND(G361="4/16",AM361&gt;0.5),AND(G361="3/16",AM361&gt;0.5)),(AM361*2*база!$L$5*Таблица14[[#This Row],[коэф]]),
IF(OR(AND(G361="4/4",AM361&gt;0.5),AND(G361="3/4",AM361&gt;2)),(AM361*2*база!$I$5*Таблица14[[#This Row],[коэф]]),
IF(AND(G361="5/8",AM361&gt;0.5),(AM361*2*база!$J$6*Таблица14[[#This Row],[коэф]]),
IF(AND(G361="4/8",AM361&gt;0.5),(AM361*2*база!$J$5*Таблица14[[#This Row],[коэф]]),
IF(OR(AND(G361="3/8",AM361&gt;0.5),AND(G361="2/8",AM361&gt;0.5)),(AM361*2*база!$J$4*Таблица14[[#This Row],[коэф]]),
(AM361*2*база!$L$5*Таблица14[[#This Row],[коэф]])))))))))))</f>
        <v>0</v>
      </c>
      <c r="AO361" s="122" t="str">
        <f>IFERROR(INDEX(база!$D$2:$D$120, MATCH(Таблица14[[#This Row],[Ф. И. О.]],база!$B$2:$B$100,0)),"")</f>
        <v/>
      </c>
    </row>
    <row r="362" spans="1:41">
      <c r="A362" s="207" t="str">
        <f t="shared" ref="A362:A425" si="12">A361</f>
        <v>январь</v>
      </c>
      <c r="B362" s="240">
        <v>2024</v>
      </c>
      <c r="C362" s="648"/>
      <c r="D362" s="591"/>
      <c r="E362" s="241"/>
      <c r="F362" s="680"/>
      <c r="G362" s="242"/>
      <c r="H362" s="592"/>
      <c r="I362" s="592"/>
      <c r="J362" s="592"/>
      <c r="K362" s="592"/>
      <c r="L362" s="592"/>
      <c r="M362" s="592"/>
      <c r="N362" s="592"/>
      <c r="O362" s="592"/>
      <c r="P362" s="592"/>
      <c r="Q362" s="592"/>
      <c r="R362" s="592"/>
      <c r="S362" s="592"/>
      <c r="T362" s="592"/>
      <c r="U362" s="592"/>
      <c r="V362" s="592"/>
      <c r="W362" s="592"/>
      <c r="X362" s="592"/>
      <c r="Y362" s="592"/>
      <c r="Z362" s="592"/>
      <c r="AA362" s="592"/>
      <c r="AB362" s="592"/>
      <c r="AC362" s="592"/>
      <c r="AD362" s="592"/>
      <c r="AE362" s="592"/>
      <c r="AF362" s="592"/>
      <c r="AG362" s="592"/>
      <c r="AH362" s="592"/>
      <c r="AI362" s="592"/>
      <c r="AJ362" s="592"/>
      <c r="AK362" s="592"/>
      <c r="AL362" s="592"/>
      <c r="AM362" s="121">
        <f t="shared" si="11"/>
        <v>0</v>
      </c>
      <c r="AN362" s="564">
        <f>IF(AO362&lt;=3,(IF(AND(G362="5/24",AM362&gt;0.5),(AM362*2*база!$M$6*Таблица14[[#This Row],[коэф]]),
IF(AND(G362="4/24",AM362&gt;0.5),(AM362*2*база!$M$5*Таблица14[[#This Row],[коэф]]),
IF(AND(G362="3/24",AM362&gt;0.5),(AM362*2*база!$M$4*Таблица14[[#This Row],[коэф]]),
IF(AND(G362="5/16",AM362&gt;0.5),(AM362*2*база!$L$6*Таблица14[[#This Row],[коэф]]),
IF(AND(G362="4/16",AM362&gt;0.5),(AM362*2*база!$L$5*Таблица14[[#This Row],[коэф]]),
IF(AND(G362="3/16",AM362&gt;0.5),(AM362*2*база!$L$4*Таблица14[[#This Row],[коэф]]),
IF(AND(G362="4/4",AM362&gt;0.5),(AM362*2*база!$I$5*Таблица14[[#This Row],[коэф]]),
IF(OR(AND(G362="3/4",AM362&gt;0.5),AND(G362="2/4",AM362&gt;0.5)),(AM362*2*база!$I$4*Таблица14[[#This Row],[коэф]]),
IF(AND(G362="5/8",AM362&gt;0.5),(AM362*2*база!$J$6*Таблица14[[#This Row],[коэф]]),
IF(AND(G362="4/8",AM362&gt;0.5),(AM362*2*база!$J$5*Таблица14[[#This Row],[коэф]]),
IF(OR(AND(G362="3/8",AM362&gt;0.5),AND(G362="2/8",AM362&gt;0.5)),(AM362*2*база!$J$4*Таблица14[[#This Row],[коэф]]),
(AM362*0.5*база!$L$4*Таблица14[[#This Row],[коэф]]))))))))))))),
(IF(AND(G362="5/24",AM362&gt;0.5),(AM362*2*база!$M$6*Таблица14[[#This Row],[коэф]]),
IF(OR(AND(G362="4/24",AM362&gt;0.5),AND(G362="3/24",AM362&gt;0.5)),(AM362*2*база!$M$5*Таблица14[[#This Row],[коэф]]),
IF(AND(G362="5/16",AM362&gt;0.5),(AM362*2*база!$L$6*Таблица14[[#This Row],[коэф]]),
IF(OR(AND(G362="4/16",AM362&gt;0.5),AND(G362="3/16",AM362&gt;0.5)),(AM362*2*база!$L$5*Таблица14[[#This Row],[коэф]]),
IF(OR(AND(G362="4/4",AM362&gt;0.5),AND(G362="3/4",AM362&gt;2)),(AM362*2*база!$I$5*Таблица14[[#This Row],[коэф]]),
IF(AND(G362="5/8",AM362&gt;0.5),(AM362*2*база!$J$6*Таблица14[[#This Row],[коэф]]),
IF(AND(G362="4/8",AM362&gt;0.5),(AM362*2*база!$J$5*Таблица14[[#This Row],[коэф]]),
IF(OR(AND(G362="3/8",AM362&gt;0.5),AND(G362="2/8",AM362&gt;0.5)),(AM362*2*база!$J$4*Таблица14[[#This Row],[коэф]]),
(AM362*2*база!$L$5*Таблица14[[#This Row],[коэф]])))))))))))</f>
        <v>0</v>
      </c>
      <c r="AO362" s="122" t="str">
        <f>IFERROR(INDEX(база!$D$2:$D$120, MATCH(Таблица14[[#This Row],[Ф. И. О.]],база!$B$2:$B$100,0)),"")</f>
        <v/>
      </c>
    </row>
    <row r="363" spans="1:41">
      <c r="A363" s="207" t="str">
        <f t="shared" si="12"/>
        <v>январь</v>
      </c>
      <c r="B363" s="204">
        <v>2024</v>
      </c>
      <c r="C363" s="571"/>
      <c r="D363" s="205"/>
      <c r="E363" s="243"/>
      <c r="F363" s="680"/>
      <c r="G363" s="206"/>
      <c r="H363" s="49"/>
      <c r="I363" s="49"/>
      <c r="J363" s="49"/>
      <c r="K363" s="49"/>
      <c r="L363" s="49"/>
      <c r="M363" s="49"/>
      <c r="N363" s="49"/>
      <c r="O363" s="49"/>
      <c r="P363" s="49"/>
      <c r="Q363" s="49"/>
      <c r="R363" s="49"/>
      <c r="S363" s="49"/>
      <c r="T363" s="49"/>
      <c r="U363" s="49"/>
      <c r="V363" s="49"/>
      <c r="W363" s="49"/>
      <c r="X363" s="49"/>
      <c r="Y363" s="49"/>
      <c r="Z363" s="49"/>
      <c r="AA363" s="49"/>
      <c r="AB363" s="49"/>
      <c r="AC363" s="49"/>
      <c r="AD363" s="49"/>
      <c r="AE363" s="49"/>
      <c r="AF363" s="49"/>
      <c r="AG363" s="49"/>
      <c r="AH363" s="49"/>
      <c r="AI363" s="49"/>
      <c r="AJ363" s="49"/>
      <c r="AK363" s="49"/>
      <c r="AL363" s="49"/>
      <c r="AM363" s="121">
        <f t="shared" si="11"/>
        <v>0</v>
      </c>
      <c r="AN363" s="564">
        <f>IF(AO363&lt;=3,(IF(AND(G363="5/24",AM363&gt;0.5),(AM363*2*база!$M$6*Таблица14[[#This Row],[коэф]]),
IF(AND(G363="4/24",AM363&gt;0.5),(AM363*2*база!$M$5*Таблица14[[#This Row],[коэф]]),
IF(AND(G363="3/24",AM363&gt;0.5),(AM363*2*база!$M$4*Таблица14[[#This Row],[коэф]]),
IF(AND(G363="5/16",AM363&gt;0.5),(AM363*2*база!$L$6*Таблица14[[#This Row],[коэф]]),
IF(AND(G363="4/16",AM363&gt;0.5),(AM363*2*база!$L$5*Таблица14[[#This Row],[коэф]]),
IF(AND(G363="3/16",AM363&gt;0.5),(AM363*2*база!$L$4*Таблица14[[#This Row],[коэф]]),
IF(AND(G363="4/4",AM363&gt;0.5),(AM363*2*база!$I$5*Таблица14[[#This Row],[коэф]]),
IF(OR(AND(G363="3/4",AM363&gt;0.5),AND(G363="2/4",AM363&gt;0.5)),(AM363*2*база!$I$4*Таблица14[[#This Row],[коэф]]),
IF(AND(G363="5/8",AM363&gt;0.5),(AM363*2*база!$J$6*Таблица14[[#This Row],[коэф]]),
IF(AND(G363="4/8",AM363&gt;0.5),(AM363*2*база!$J$5*Таблица14[[#This Row],[коэф]]),
IF(OR(AND(G363="3/8",AM363&gt;0.5),AND(G363="2/8",AM363&gt;0.5)),(AM363*2*база!$J$4*Таблица14[[#This Row],[коэф]]),
(AM363*0.5*база!$L$4*Таблица14[[#This Row],[коэф]]))))))))))))),
(IF(AND(G363="5/24",AM363&gt;0.5),(AM363*2*база!$M$6*Таблица14[[#This Row],[коэф]]),
IF(OR(AND(G363="4/24",AM363&gt;0.5),AND(G363="3/24",AM363&gt;0.5)),(AM363*2*база!$M$5*Таблица14[[#This Row],[коэф]]),
IF(AND(G363="5/16",AM363&gt;0.5),(AM363*2*база!$L$6*Таблица14[[#This Row],[коэф]]),
IF(OR(AND(G363="4/16",AM363&gt;0.5),AND(G363="3/16",AM363&gt;0.5)),(AM363*2*база!$L$5*Таблица14[[#This Row],[коэф]]),
IF(OR(AND(G363="4/4",AM363&gt;0.5),AND(G363="3/4",AM363&gt;2)),(AM363*2*база!$I$5*Таблица14[[#This Row],[коэф]]),
IF(AND(G363="5/8",AM363&gt;0.5),(AM363*2*база!$J$6*Таблица14[[#This Row],[коэф]]),
IF(AND(G363="4/8",AM363&gt;0.5),(AM363*2*база!$J$5*Таблица14[[#This Row],[коэф]]),
IF(OR(AND(G363="3/8",AM363&gt;0.5),AND(G363="2/8",AM363&gt;0.5)),(AM363*2*база!$J$4*Таблица14[[#This Row],[коэф]]),
(AM363*2*база!$L$5*Таблица14[[#This Row],[коэф]])))))))))))</f>
        <v>0</v>
      </c>
      <c r="AO363" s="122" t="str">
        <f>IFERROR(INDEX(база!$D$2:$D$120, MATCH(Таблица14[[#This Row],[Ф. И. О.]],база!$B$2:$B$100,0)),"")</f>
        <v/>
      </c>
    </row>
    <row r="364" spans="1:41">
      <c r="A364" s="207" t="str">
        <f t="shared" si="12"/>
        <v>январь</v>
      </c>
      <c r="B364" s="240">
        <v>2024</v>
      </c>
      <c r="C364" s="648"/>
      <c r="D364" s="591"/>
      <c r="E364" s="241"/>
      <c r="F364" s="680"/>
      <c r="G364" s="242"/>
      <c r="H364" s="592"/>
      <c r="I364" s="592"/>
      <c r="J364" s="592"/>
      <c r="K364" s="592"/>
      <c r="L364" s="592"/>
      <c r="M364" s="592"/>
      <c r="N364" s="592"/>
      <c r="O364" s="592"/>
      <c r="P364" s="592"/>
      <c r="Q364" s="592"/>
      <c r="R364" s="592"/>
      <c r="S364" s="592"/>
      <c r="T364" s="592"/>
      <c r="U364" s="592"/>
      <c r="V364" s="592"/>
      <c r="W364" s="592"/>
      <c r="X364" s="592"/>
      <c r="Y364" s="592"/>
      <c r="Z364" s="592"/>
      <c r="AA364" s="592"/>
      <c r="AB364" s="592"/>
      <c r="AC364" s="592"/>
      <c r="AD364" s="592"/>
      <c r="AE364" s="592"/>
      <c r="AF364" s="592"/>
      <c r="AG364" s="592"/>
      <c r="AH364" s="592"/>
      <c r="AI364" s="592"/>
      <c r="AJ364" s="592"/>
      <c r="AK364" s="592"/>
      <c r="AL364" s="592"/>
      <c r="AM364" s="121">
        <f t="shared" si="11"/>
        <v>0</v>
      </c>
      <c r="AN364" s="564">
        <f>IF(AO364&lt;=3,(IF(AND(G364="5/24",AM364&gt;0.5),(AM364*2*база!$M$6*Таблица14[[#This Row],[коэф]]),
IF(AND(G364="4/24",AM364&gt;0.5),(AM364*2*база!$M$5*Таблица14[[#This Row],[коэф]]),
IF(AND(G364="3/24",AM364&gt;0.5),(AM364*2*база!$M$4*Таблица14[[#This Row],[коэф]]),
IF(AND(G364="5/16",AM364&gt;0.5),(AM364*2*база!$L$6*Таблица14[[#This Row],[коэф]]),
IF(AND(G364="4/16",AM364&gt;0.5),(AM364*2*база!$L$5*Таблица14[[#This Row],[коэф]]),
IF(AND(G364="3/16",AM364&gt;0.5),(AM364*2*база!$L$4*Таблица14[[#This Row],[коэф]]),
IF(AND(G364="4/4",AM364&gt;0.5),(AM364*2*база!$I$5*Таблица14[[#This Row],[коэф]]),
IF(OR(AND(G364="3/4",AM364&gt;0.5),AND(G364="2/4",AM364&gt;0.5)),(AM364*2*база!$I$4*Таблица14[[#This Row],[коэф]]),
IF(AND(G364="5/8",AM364&gt;0.5),(AM364*2*база!$J$6*Таблица14[[#This Row],[коэф]]),
IF(AND(G364="4/8",AM364&gt;0.5),(AM364*2*база!$J$5*Таблица14[[#This Row],[коэф]]),
IF(OR(AND(G364="3/8",AM364&gt;0.5),AND(G364="2/8",AM364&gt;0.5)),(AM364*2*база!$J$4*Таблица14[[#This Row],[коэф]]),
(AM364*0.5*база!$L$4*Таблица14[[#This Row],[коэф]]))))))))))))),
(IF(AND(G364="5/24",AM364&gt;0.5),(AM364*2*база!$M$6*Таблица14[[#This Row],[коэф]]),
IF(OR(AND(G364="4/24",AM364&gt;0.5),AND(G364="3/24",AM364&gt;0.5)),(AM364*2*база!$M$5*Таблица14[[#This Row],[коэф]]),
IF(AND(G364="5/16",AM364&gt;0.5),(AM364*2*база!$L$6*Таблица14[[#This Row],[коэф]]),
IF(OR(AND(G364="4/16",AM364&gt;0.5),AND(G364="3/16",AM364&gt;0.5)),(AM364*2*база!$L$5*Таблица14[[#This Row],[коэф]]),
IF(OR(AND(G364="4/4",AM364&gt;0.5),AND(G364="3/4",AM364&gt;2)),(AM364*2*база!$I$5*Таблица14[[#This Row],[коэф]]),
IF(AND(G364="5/8",AM364&gt;0.5),(AM364*2*база!$J$6*Таблица14[[#This Row],[коэф]]),
IF(AND(G364="4/8",AM364&gt;0.5),(AM364*2*база!$J$5*Таблица14[[#This Row],[коэф]]),
IF(OR(AND(G364="3/8",AM364&gt;0.5),AND(G364="2/8",AM364&gt;0.5)),(AM364*2*база!$J$4*Таблица14[[#This Row],[коэф]]),
(AM364*2*база!$L$5*Таблица14[[#This Row],[коэф]])))))))))))</f>
        <v>0</v>
      </c>
      <c r="AO364" s="122" t="str">
        <f>IFERROR(INDEX(база!$D$2:$D$120, MATCH(Таблица14[[#This Row],[Ф. И. О.]],база!$B$2:$B$100,0)),"")</f>
        <v/>
      </c>
    </row>
    <row r="365" spans="1:41">
      <c r="A365" s="207" t="str">
        <f t="shared" si="12"/>
        <v>январь</v>
      </c>
      <c r="B365" s="204">
        <v>2024</v>
      </c>
      <c r="C365" s="571"/>
      <c r="D365" s="205"/>
      <c r="E365" s="243"/>
      <c r="F365" s="680"/>
      <c r="G365" s="206"/>
      <c r="H365" s="49"/>
      <c r="I365" s="49"/>
      <c r="J365" s="49"/>
      <c r="K365" s="49"/>
      <c r="L365" s="49"/>
      <c r="M365" s="49"/>
      <c r="N365" s="49"/>
      <c r="O365" s="49"/>
      <c r="P365" s="49"/>
      <c r="Q365" s="49"/>
      <c r="R365" s="49"/>
      <c r="S365" s="49"/>
      <c r="T365" s="49"/>
      <c r="U365" s="49"/>
      <c r="V365" s="49"/>
      <c r="W365" s="49"/>
      <c r="X365" s="49"/>
      <c r="Y365" s="49"/>
      <c r="Z365" s="49"/>
      <c r="AA365" s="49"/>
      <c r="AB365" s="49"/>
      <c r="AC365" s="49"/>
      <c r="AD365" s="49"/>
      <c r="AE365" s="49"/>
      <c r="AF365" s="49"/>
      <c r="AG365" s="49"/>
      <c r="AH365" s="49"/>
      <c r="AI365" s="49"/>
      <c r="AJ365" s="49"/>
      <c r="AK365" s="49"/>
      <c r="AL365" s="49"/>
      <c r="AM365" s="121">
        <f t="shared" si="11"/>
        <v>0</v>
      </c>
      <c r="AN365" s="564">
        <f>IF(AO365&lt;=3,(IF(AND(G365="5/24",AM365&gt;0.5),(AM365*2*база!$M$6*Таблица14[[#This Row],[коэф]]),
IF(AND(G365="4/24",AM365&gt;0.5),(AM365*2*база!$M$5*Таблица14[[#This Row],[коэф]]),
IF(AND(G365="3/24",AM365&gt;0.5),(AM365*2*база!$M$4*Таблица14[[#This Row],[коэф]]),
IF(AND(G365="5/16",AM365&gt;0.5),(AM365*2*база!$L$6*Таблица14[[#This Row],[коэф]]),
IF(AND(G365="4/16",AM365&gt;0.5),(AM365*2*база!$L$5*Таблица14[[#This Row],[коэф]]),
IF(AND(G365="3/16",AM365&gt;0.5),(AM365*2*база!$L$4*Таблица14[[#This Row],[коэф]]),
IF(AND(G365="4/4",AM365&gt;0.5),(AM365*2*база!$I$5*Таблица14[[#This Row],[коэф]]),
IF(OR(AND(G365="3/4",AM365&gt;0.5),AND(G365="2/4",AM365&gt;0.5)),(AM365*2*база!$I$4*Таблица14[[#This Row],[коэф]]),
IF(AND(G365="5/8",AM365&gt;0.5),(AM365*2*база!$J$6*Таблица14[[#This Row],[коэф]]),
IF(AND(G365="4/8",AM365&gt;0.5),(AM365*2*база!$J$5*Таблица14[[#This Row],[коэф]]),
IF(OR(AND(G365="3/8",AM365&gt;0.5),AND(G365="2/8",AM365&gt;0.5)),(AM365*2*база!$J$4*Таблица14[[#This Row],[коэф]]),
(AM365*0.5*база!$L$4*Таблица14[[#This Row],[коэф]]))))))))))))),
(IF(AND(G365="5/24",AM365&gt;0.5),(AM365*2*база!$M$6*Таблица14[[#This Row],[коэф]]),
IF(OR(AND(G365="4/24",AM365&gt;0.5),AND(G365="3/24",AM365&gt;0.5)),(AM365*2*база!$M$5*Таблица14[[#This Row],[коэф]]),
IF(AND(G365="5/16",AM365&gt;0.5),(AM365*2*база!$L$6*Таблица14[[#This Row],[коэф]]),
IF(OR(AND(G365="4/16",AM365&gt;0.5),AND(G365="3/16",AM365&gt;0.5)),(AM365*2*база!$L$5*Таблица14[[#This Row],[коэф]]),
IF(OR(AND(G365="4/4",AM365&gt;0.5),AND(G365="3/4",AM365&gt;2)),(AM365*2*база!$I$5*Таблица14[[#This Row],[коэф]]),
IF(AND(G365="5/8",AM365&gt;0.5),(AM365*2*база!$J$6*Таблица14[[#This Row],[коэф]]),
IF(AND(G365="4/8",AM365&gt;0.5),(AM365*2*база!$J$5*Таблица14[[#This Row],[коэф]]),
IF(OR(AND(G365="3/8",AM365&gt;0.5),AND(G365="2/8",AM365&gt;0.5)),(AM365*2*база!$J$4*Таблица14[[#This Row],[коэф]]),
(AM365*2*база!$L$5*Таблица14[[#This Row],[коэф]])))))))))))</f>
        <v>0</v>
      </c>
      <c r="AO365" s="122" t="str">
        <f>IFERROR(INDEX(база!$D$2:$D$120, MATCH(Таблица14[[#This Row],[Ф. И. О.]],база!$B$2:$B$100,0)),"")</f>
        <v/>
      </c>
    </row>
    <row r="366" spans="1:41">
      <c r="A366" s="207" t="str">
        <f t="shared" si="12"/>
        <v>январь</v>
      </c>
      <c r="B366" s="240">
        <v>2024</v>
      </c>
      <c r="C366" s="648"/>
      <c r="D366" s="591"/>
      <c r="E366" s="241"/>
      <c r="F366" s="680"/>
      <c r="G366" s="242"/>
      <c r="H366" s="592"/>
      <c r="I366" s="592"/>
      <c r="J366" s="592"/>
      <c r="K366" s="592"/>
      <c r="L366" s="592"/>
      <c r="M366" s="592"/>
      <c r="N366" s="592"/>
      <c r="O366" s="592"/>
      <c r="P366" s="592"/>
      <c r="Q366" s="592"/>
      <c r="R366" s="592"/>
      <c r="S366" s="592"/>
      <c r="T366" s="592"/>
      <c r="U366" s="592"/>
      <c r="V366" s="592"/>
      <c r="W366" s="592"/>
      <c r="X366" s="592"/>
      <c r="Y366" s="592"/>
      <c r="Z366" s="592"/>
      <c r="AA366" s="592"/>
      <c r="AB366" s="592"/>
      <c r="AC366" s="592"/>
      <c r="AD366" s="592"/>
      <c r="AE366" s="592"/>
      <c r="AF366" s="592"/>
      <c r="AG366" s="592"/>
      <c r="AH366" s="592"/>
      <c r="AI366" s="592"/>
      <c r="AJ366" s="592"/>
      <c r="AK366" s="592"/>
      <c r="AL366" s="592"/>
      <c r="AM366" s="121">
        <f t="shared" si="11"/>
        <v>0</v>
      </c>
      <c r="AN366" s="564">
        <f>IF(AO366&lt;=3,(IF(AND(G366="5/24",AM366&gt;0.5),(AM366*2*база!$M$6*Таблица14[[#This Row],[коэф]]),
IF(AND(G366="4/24",AM366&gt;0.5),(AM366*2*база!$M$5*Таблица14[[#This Row],[коэф]]),
IF(AND(G366="3/24",AM366&gt;0.5),(AM366*2*база!$M$4*Таблица14[[#This Row],[коэф]]),
IF(AND(G366="5/16",AM366&gt;0.5),(AM366*2*база!$L$6*Таблица14[[#This Row],[коэф]]),
IF(AND(G366="4/16",AM366&gt;0.5),(AM366*2*база!$L$5*Таблица14[[#This Row],[коэф]]),
IF(AND(G366="3/16",AM366&gt;0.5),(AM366*2*база!$L$4*Таблица14[[#This Row],[коэф]]),
IF(AND(G366="4/4",AM366&gt;0.5),(AM366*2*база!$I$5*Таблица14[[#This Row],[коэф]]),
IF(OR(AND(G366="3/4",AM366&gt;0.5),AND(G366="2/4",AM366&gt;0.5)),(AM366*2*база!$I$4*Таблица14[[#This Row],[коэф]]),
IF(AND(G366="5/8",AM366&gt;0.5),(AM366*2*база!$J$6*Таблица14[[#This Row],[коэф]]),
IF(AND(G366="4/8",AM366&gt;0.5),(AM366*2*база!$J$5*Таблица14[[#This Row],[коэф]]),
IF(OR(AND(G366="3/8",AM366&gt;0.5),AND(G366="2/8",AM366&gt;0.5)),(AM366*2*база!$J$4*Таблица14[[#This Row],[коэф]]),
(AM366*0.5*база!$L$4*Таблица14[[#This Row],[коэф]]))))))))))))),
(IF(AND(G366="5/24",AM366&gt;0.5),(AM366*2*база!$M$6*Таблица14[[#This Row],[коэф]]),
IF(OR(AND(G366="4/24",AM366&gt;0.5),AND(G366="3/24",AM366&gt;0.5)),(AM366*2*база!$M$5*Таблица14[[#This Row],[коэф]]),
IF(AND(G366="5/16",AM366&gt;0.5),(AM366*2*база!$L$6*Таблица14[[#This Row],[коэф]]),
IF(OR(AND(G366="4/16",AM366&gt;0.5),AND(G366="3/16",AM366&gt;0.5)),(AM366*2*база!$L$5*Таблица14[[#This Row],[коэф]]),
IF(OR(AND(G366="4/4",AM366&gt;0.5),AND(G366="3/4",AM366&gt;2)),(AM366*2*база!$I$5*Таблица14[[#This Row],[коэф]]),
IF(AND(G366="5/8",AM366&gt;0.5),(AM366*2*база!$J$6*Таблица14[[#This Row],[коэф]]),
IF(AND(G366="4/8",AM366&gt;0.5),(AM366*2*база!$J$5*Таблица14[[#This Row],[коэф]]),
IF(OR(AND(G366="3/8",AM366&gt;0.5),AND(G366="2/8",AM366&gt;0.5)),(AM366*2*база!$J$4*Таблица14[[#This Row],[коэф]]),
(AM366*2*база!$L$5*Таблица14[[#This Row],[коэф]])))))))))))</f>
        <v>0</v>
      </c>
      <c r="AO366" s="122" t="str">
        <f>IFERROR(INDEX(база!$D$2:$D$120, MATCH(Таблица14[[#This Row],[Ф. И. О.]],база!$B$2:$B$100,0)),"")</f>
        <v/>
      </c>
    </row>
    <row r="367" spans="1:41">
      <c r="A367" s="207" t="str">
        <f t="shared" si="12"/>
        <v>январь</v>
      </c>
      <c r="B367" s="204">
        <v>2024</v>
      </c>
      <c r="C367" s="571"/>
      <c r="D367" s="205"/>
      <c r="E367" s="243"/>
      <c r="F367" s="680"/>
      <c r="G367" s="206"/>
      <c r="H367" s="49"/>
      <c r="I367" s="49"/>
      <c r="J367" s="49"/>
      <c r="K367" s="49"/>
      <c r="L367" s="49"/>
      <c r="M367" s="49"/>
      <c r="N367" s="49"/>
      <c r="O367" s="49"/>
      <c r="P367" s="49"/>
      <c r="Q367" s="49"/>
      <c r="R367" s="49"/>
      <c r="S367" s="49"/>
      <c r="T367" s="49"/>
      <c r="U367" s="49"/>
      <c r="V367" s="49"/>
      <c r="W367" s="49"/>
      <c r="X367" s="49"/>
      <c r="Y367" s="49"/>
      <c r="Z367" s="49"/>
      <c r="AA367" s="49"/>
      <c r="AB367" s="49"/>
      <c r="AC367" s="49"/>
      <c r="AD367" s="49"/>
      <c r="AE367" s="49"/>
      <c r="AF367" s="49"/>
      <c r="AG367" s="49"/>
      <c r="AH367" s="49"/>
      <c r="AI367" s="49"/>
      <c r="AJ367" s="49"/>
      <c r="AK367" s="49"/>
      <c r="AL367" s="49"/>
      <c r="AM367" s="121">
        <f t="shared" si="11"/>
        <v>0</v>
      </c>
      <c r="AN367" s="564">
        <f>IF(AO367&lt;=3,(IF(AND(G367="5/24",AM367&gt;0.5),(AM367*2*база!$M$6*Таблица14[[#This Row],[коэф]]),
IF(AND(G367="4/24",AM367&gt;0.5),(AM367*2*база!$M$5*Таблица14[[#This Row],[коэф]]),
IF(AND(G367="3/24",AM367&gt;0.5),(AM367*2*база!$M$4*Таблица14[[#This Row],[коэф]]),
IF(AND(G367="5/16",AM367&gt;0.5),(AM367*2*база!$L$6*Таблица14[[#This Row],[коэф]]),
IF(AND(G367="4/16",AM367&gt;0.5),(AM367*2*база!$L$5*Таблица14[[#This Row],[коэф]]),
IF(AND(G367="3/16",AM367&gt;0.5),(AM367*2*база!$L$4*Таблица14[[#This Row],[коэф]]),
IF(AND(G367="4/4",AM367&gt;0.5),(AM367*2*база!$I$5*Таблица14[[#This Row],[коэф]]),
IF(OR(AND(G367="3/4",AM367&gt;0.5),AND(G367="2/4",AM367&gt;0.5)),(AM367*2*база!$I$4*Таблица14[[#This Row],[коэф]]),
IF(AND(G367="5/8",AM367&gt;0.5),(AM367*2*база!$J$6*Таблица14[[#This Row],[коэф]]),
IF(AND(G367="4/8",AM367&gt;0.5),(AM367*2*база!$J$5*Таблица14[[#This Row],[коэф]]),
IF(OR(AND(G367="3/8",AM367&gt;0.5),AND(G367="2/8",AM367&gt;0.5)),(AM367*2*база!$J$4*Таблица14[[#This Row],[коэф]]),
(AM367*0.5*база!$L$4*Таблица14[[#This Row],[коэф]]))))))))))))),
(IF(AND(G367="5/24",AM367&gt;0.5),(AM367*2*база!$M$6*Таблица14[[#This Row],[коэф]]),
IF(OR(AND(G367="4/24",AM367&gt;0.5),AND(G367="3/24",AM367&gt;0.5)),(AM367*2*база!$M$5*Таблица14[[#This Row],[коэф]]),
IF(AND(G367="5/16",AM367&gt;0.5),(AM367*2*база!$L$6*Таблица14[[#This Row],[коэф]]),
IF(OR(AND(G367="4/16",AM367&gt;0.5),AND(G367="3/16",AM367&gt;0.5)),(AM367*2*база!$L$5*Таблица14[[#This Row],[коэф]]),
IF(OR(AND(G367="4/4",AM367&gt;0.5),AND(G367="3/4",AM367&gt;2)),(AM367*2*база!$I$5*Таблица14[[#This Row],[коэф]]),
IF(AND(G367="5/8",AM367&gt;0.5),(AM367*2*база!$J$6*Таблица14[[#This Row],[коэф]]),
IF(AND(G367="4/8",AM367&gt;0.5),(AM367*2*база!$J$5*Таблица14[[#This Row],[коэф]]),
IF(OR(AND(G367="3/8",AM367&gt;0.5),AND(G367="2/8",AM367&gt;0.5)),(AM367*2*база!$J$4*Таблица14[[#This Row],[коэф]]),
(AM367*2*база!$L$5*Таблица14[[#This Row],[коэф]])))))))))))</f>
        <v>0</v>
      </c>
      <c r="AO367" s="122" t="str">
        <f>IFERROR(INDEX(база!$D$2:$D$120, MATCH(Таблица14[[#This Row],[Ф. И. О.]],база!$B$2:$B$100,0)),"")</f>
        <v/>
      </c>
    </row>
    <row r="368" spans="1:41">
      <c r="A368" s="207" t="str">
        <f t="shared" si="12"/>
        <v>январь</v>
      </c>
      <c r="B368" s="240">
        <v>2024</v>
      </c>
      <c r="C368" s="648"/>
      <c r="D368" s="591"/>
      <c r="E368" s="241"/>
      <c r="F368" s="680"/>
      <c r="G368" s="242"/>
      <c r="H368" s="592"/>
      <c r="I368" s="592"/>
      <c r="J368" s="592"/>
      <c r="K368" s="592"/>
      <c r="L368" s="592"/>
      <c r="M368" s="592"/>
      <c r="N368" s="592"/>
      <c r="O368" s="592"/>
      <c r="P368" s="592"/>
      <c r="Q368" s="592"/>
      <c r="R368" s="592"/>
      <c r="S368" s="592"/>
      <c r="T368" s="592"/>
      <c r="U368" s="592"/>
      <c r="V368" s="592"/>
      <c r="W368" s="592"/>
      <c r="X368" s="592"/>
      <c r="Y368" s="592"/>
      <c r="Z368" s="592"/>
      <c r="AA368" s="592"/>
      <c r="AB368" s="592"/>
      <c r="AC368" s="592"/>
      <c r="AD368" s="592"/>
      <c r="AE368" s="592"/>
      <c r="AF368" s="592"/>
      <c r="AG368" s="592"/>
      <c r="AH368" s="592"/>
      <c r="AI368" s="592"/>
      <c r="AJ368" s="592"/>
      <c r="AK368" s="592"/>
      <c r="AL368" s="592"/>
      <c r="AM368" s="121">
        <f t="shared" si="11"/>
        <v>0</v>
      </c>
      <c r="AN368" s="564">
        <f>IF(AO368&lt;=3,(IF(AND(G368="5/24",AM368&gt;0.5),(AM368*2*база!$M$6*Таблица14[[#This Row],[коэф]]),
IF(AND(G368="4/24",AM368&gt;0.5),(AM368*2*база!$M$5*Таблица14[[#This Row],[коэф]]),
IF(AND(G368="3/24",AM368&gt;0.5),(AM368*2*база!$M$4*Таблица14[[#This Row],[коэф]]),
IF(AND(G368="5/16",AM368&gt;0.5),(AM368*2*база!$L$6*Таблица14[[#This Row],[коэф]]),
IF(AND(G368="4/16",AM368&gt;0.5),(AM368*2*база!$L$5*Таблица14[[#This Row],[коэф]]),
IF(AND(G368="3/16",AM368&gt;0.5),(AM368*2*база!$L$4*Таблица14[[#This Row],[коэф]]),
IF(AND(G368="4/4",AM368&gt;0.5),(AM368*2*база!$I$5*Таблица14[[#This Row],[коэф]]),
IF(OR(AND(G368="3/4",AM368&gt;0.5),AND(G368="2/4",AM368&gt;0.5)),(AM368*2*база!$I$4*Таблица14[[#This Row],[коэф]]),
IF(AND(G368="5/8",AM368&gt;0.5),(AM368*2*база!$J$6*Таблица14[[#This Row],[коэф]]),
IF(AND(G368="4/8",AM368&gt;0.5),(AM368*2*база!$J$5*Таблица14[[#This Row],[коэф]]),
IF(OR(AND(G368="3/8",AM368&gt;0.5),AND(G368="2/8",AM368&gt;0.5)),(AM368*2*база!$J$4*Таблица14[[#This Row],[коэф]]),
(AM368*0.5*база!$L$4*Таблица14[[#This Row],[коэф]]))))))))))))),
(IF(AND(G368="5/24",AM368&gt;0.5),(AM368*2*база!$M$6*Таблица14[[#This Row],[коэф]]),
IF(OR(AND(G368="4/24",AM368&gt;0.5),AND(G368="3/24",AM368&gt;0.5)),(AM368*2*база!$M$5*Таблица14[[#This Row],[коэф]]),
IF(AND(G368="5/16",AM368&gt;0.5),(AM368*2*база!$L$6*Таблица14[[#This Row],[коэф]]),
IF(OR(AND(G368="4/16",AM368&gt;0.5),AND(G368="3/16",AM368&gt;0.5)),(AM368*2*база!$L$5*Таблица14[[#This Row],[коэф]]),
IF(OR(AND(G368="4/4",AM368&gt;0.5),AND(G368="3/4",AM368&gt;2)),(AM368*2*база!$I$5*Таблица14[[#This Row],[коэф]]),
IF(AND(G368="5/8",AM368&gt;0.5),(AM368*2*база!$J$6*Таблица14[[#This Row],[коэф]]),
IF(AND(G368="4/8",AM368&gt;0.5),(AM368*2*база!$J$5*Таблица14[[#This Row],[коэф]]),
IF(OR(AND(G368="3/8",AM368&gt;0.5),AND(G368="2/8",AM368&gt;0.5)),(AM368*2*база!$J$4*Таблица14[[#This Row],[коэф]]),
(AM368*2*база!$L$5*Таблица14[[#This Row],[коэф]])))))))))))</f>
        <v>0</v>
      </c>
      <c r="AO368" s="122" t="str">
        <f>IFERROR(INDEX(база!$D$2:$D$120, MATCH(Таблица14[[#This Row],[Ф. И. О.]],база!$B$2:$B$100,0)),"")</f>
        <v/>
      </c>
    </row>
    <row r="369" spans="1:41">
      <c r="A369" s="207" t="str">
        <f t="shared" si="12"/>
        <v>январь</v>
      </c>
      <c r="B369" s="204">
        <v>2024</v>
      </c>
      <c r="C369" s="571"/>
      <c r="D369" s="205"/>
      <c r="E369" s="243"/>
      <c r="F369" s="680"/>
      <c r="G369" s="206"/>
      <c r="H369" s="49"/>
      <c r="I369" s="49"/>
      <c r="J369" s="49"/>
      <c r="K369" s="49"/>
      <c r="L369" s="49"/>
      <c r="M369" s="49"/>
      <c r="N369" s="49"/>
      <c r="O369" s="49"/>
      <c r="P369" s="49"/>
      <c r="Q369" s="49"/>
      <c r="R369" s="49"/>
      <c r="S369" s="49"/>
      <c r="T369" s="49"/>
      <c r="U369" s="49"/>
      <c r="V369" s="49"/>
      <c r="W369" s="49"/>
      <c r="X369" s="49"/>
      <c r="Y369" s="49"/>
      <c r="Z369" s="49"/>
      <c r="AA369" s="49"/>
      <c r="AB369" s="49"/>
      <c r="AC369" s="49"/>
      <c r="AD369" s="49"/>
      <c r="AE369" s="49"/>
      <c r="AF369" s="49"/>
      <c r="AG369" s="49"/>
      <c r="AH369" s="49"/>
      <c r="AI369" s="49"/>
      <c r="AJ369" s="49"/>
      <c r="AK369" s="49"/>
      <c r="AL369" s="49"/>
      <c r="AM369" s="121">
        <f t="shared" si="11"/>
        <v>0</v>
      </c>
      <c r="AN369" s="564">
        <f>IF(AO369&lt;=3,(IF(AND(G369="5/24",AM369&gt;0.5),(AM369*2*база!$M$6*Таблица14[[#This Row],[коэф]]),
IF(AND(G369="4/24",AM369&gt;0.5),(AM369*2*база!$M$5*Таблица14[[#This Row],[коэф]]),
IF(AND(G369="3/24",AM369&gt;0.5),(AM369*2*база!$M$4*Таблица14[[#This Row],[коэф]]),
IF(AND(G369="5/16",AM369&gt;0.5),(AM369*2*база!$L$6*Таблица14[[#This Row],[коэф]]),
IF(AND(G369="4/16",AM369&gt;0.5),(AM369*2*база!$L$5*Таблица14[[#This Row],[коэф]]),
IF(AND(G369="3/16",AM369&gt;0.5),(AM369*2*база!$L$4*Таблица14[[#This Row],[коэф]]),
IF(AND(G369="4/4",AM369&gt;0.5),(AM369*2*база!$I$5*Таблица14[[#This Row],[коэф]]),
IF(OR(AND(G369="3/4",AM369&gt;0.5),AND(G369="2/4",AM369&gt;0.5)),(AM369*2*база!$I$4*Таблица14[[#This Row],[коэф]]),
IF(AND(G369="5/8",AM369&gt;0.5),(AM369*2*база!$J$6*Таблица14[[#This Row],[коэф]]),
IF(AND(G369="4/8",AM369&gt;0.5),(AM369*2*база!$J$5*Таблица14[[#This Row],[коэф]]),
IF(OR(AND(G369="3/8",AM369&gt;0.5),AND(G369="2/8",AM369&gt;0.5)),(AM369*2*база!$J$4*Таблица14[[#This Row],[коэф]]),
(AM369*0.5*база!$L$4*Таблица14[[#This Row],[коэф]]))))))))))))),
(IF(AND(G369="5/24",AM369&gt;0.5),(AM369*2*база!$M$6*Таблица14[[#This Row],[коэф]]),
IF(OR(AND(G369="4/24",AM369&gt;0.5),AND(G369="3/24",AM369&gt;0.5)),(AM369*2*база!$M$5*Таблица14[[#This Row],[коэф]]),
IF(AND(G369="5/16",AM369&gt;0.5),(AM369*2*база!$L$6*Таблица14[[#This Row],[коэф]]),
IF(OR(AND(G369="4/16",AM369&gt;0.5),AND(G369="3/16",AM369&gt;0.5)),(AM369*2*база!$L$5*Таблица14[[#This Row],[коэф]]),
IF(OR(AND(G369="4/4",AM369&gt;0.5),AND(G369="3/4",AM369&gt;2)),(AM369*2*база!$I$5*Таблица14[[#This Row],[коэф]]),
IF(AND(G369="5/8",AM369&gt;0.5),(AM369*2*база!$J$6*Таблица14[[#This Row],[коэф]]),
IF(AND(G369="4/8",AM369&gt;0.5),(AM369*2*база!$J$5*Таблица14[[#This Row],[коэф]]),
IF(OR(AND(G369="3/8",AM369&gt;0.5),AND(G369="2/8",AM369&gt;0.5)),(AM369*2*база!$J$4*Таблица14[[#This Row],[коэф]]),
(AM369*2*база!$L$5*Таблица14[[#This Row],[коэф]])))))))))))</f>
        <v>0</v>
      </c>
      <c r="AO369" s="122" t="str">
        <f>IFERROR(INDEX(база!$D$2:$D$120, MATCH(Таблица14[[#This Row],[Ф. И. О.]],база!$B$2:$B$100,0)),"")</f>
        <v/>
      </c>
    </row>
    <row r="370" spans="1:41">
      <c r="A370" s="207" t="str">
        <f t="shared" si="12"/>
        <v>январь</v>
      </c>
      <c r="B370" s="240">
        <v>2024</v>
      </c>
      <c r="C370" s="648"/>
      <c r="D370" s="591"/>
      <c r="E370" s="241"/>
      <c r="F370" s="680"/>
      <c r="G370" s="242"/>
      <c r="H370" s="592"/>
      <c r="I370" s="592"/>
      <c r="J370" s="592"/>
      <c r="K370" s="592"/>
      <c r="L370" s="592"/>
      <c r="M370" s="592"/>
      <c r="N370" s="592"/>
      <c r="O370" s="592"/>
      <c r="P370" s="592"/>
      <c r="Q370" s="592"/>
      <c r="R370" s="592"/>
      <c r="S370" s="592"/>
      <c r="T370" s="592"/>
      <c r="U370" s="592"/>
      <c r="V370" s="592"/>
      <c r="W370" s="592"/>
      <c r="X370" s="592"/>
      <c r="Y370" s="592"/>
      <c r="Z370" s="592"/>
      <c r="AA370" s="592"/>
      <c r="AB370" s="592"/>
      <c r="AC370" s="592"/>
      <c r="AD370" s="592"/>
      <c r="AE370" s="592"/>
      <c r="AF370" s="592"/>
      <c r="AG370" s="592"/>
      <c r="AH370" s="592"/>
      <c r="AI370" s="592"/>
      <c r="AJ370" s="592"/>
      <c r="AK370" s="592"/>
      <c r="AL370" s="592"/>
      <c r="AM370" s="121">
        <f t="shared" si="11"/>
        <v>0</v>
      </c>
      <c r="AN370" s="564">
        <f>IF(AO370&lt;=3,(IF(AND(G370="5/24",AM370&gt;0.5),(AM370*2*база!$M$6*Таблица14[[#This Row],[коэф]]),
IF(AND(G370="4/24",AM370&gt;0.5),(AM370*2*база!$M$5*Таблица14[[#This Row],[коэф]]),
IF(AND(G370="3/24",AM370&gt;0.5),(AM370*2*база!$M$4*Таблица14[[#This Row],[коэф]]),
IF(AND(G370="5/16",AM370&gt;0.5),(AM370*2*база!$L$6*Таблица14[[#This Row],[коэф]]),
IF(AND(G370="4/16",AM370&gt;0.5),(AM370*2*база!$L$5*Таблица14[[#This Row],[коэф]]),
IF(AND(G370="3/16",AM370&gt;0.5),(AM370*2*база!$L$4*Таблица14[[#This Row],[коэф]]),
IF(AND(G370="4/4",AM370&gt;0.5),(AM370*2*база!$I$5*Таблица14[[#This Row],[коэф]]),
IF(OR(AND(G370="3/4",AM370&gt;0.5),AND(G370="2/4",AM370&gt;0.5)),(AM370*2*база!$I$4*Таблица14[[#This Row],[коэф]]),
IF(AND(G370="5/8",AM370&gt;0.5),(AM370*2*база!$J$6*Таблица14[[#This Row],[коэф]]),
IF(AND(G370="4/8",AM370&gt;0.5),(AM370*2*база!$J$5*Таблица14[[#This Row],[коэф]]),
IF(OR(AND(G370="3/8",AM370&gt;0.5),AND(G370="2/8",AM370&gt;0.5)),(AM370*2*база!$J$4*Таблица14[[#This Row],[коэф]]),
(AM370*0.5*база!$L$4*Таблица14[[#This Row],[коэф]]))))))))))))),
(IF(AND(G370="5/24",AM370&gt;0.5),(AM370*2*база!$M$6*Таблица14[[#This Row],[коэф]]),
IF(OR(AND(G370="4/24",AM370&gt;0.5),AND(G370="3/24",AM370&gt;0.5)),(AM370*2*база!$M$5*Таблица14[[#This Row],[коэф]]),
IF(AND(G370="5/16",AM370&gt;0.5),(AM370*2*база!$L$6*Таблица14[[#This Row],[коэф]]),
IF(OR(AND(G370="4/16",AM370&gt;0.5),AND(G370="3/16",AM370&gt;0.5)),(AM370*2*база!$L$5*Таблица14[[#This Row],[коэф]]),
IF(OR(AND(G370="4/4",AM370&gt;0.5),AND(G370="3/4",AM370&gt;2)),(AM370*2*база!$I$5*Таблица14[[#This Row],[коэф]]),
IF(AND(G370="5/8",AM370&gt;0.5),(AM370*2*база!$J$6*Таблица14[[#This Row],[коэф]]),
IF(AND(G370="4/8",AM370&gt;0.5),(AM370*2*база!$J$5*Таблица14[[#This Row],[коэф]]),
IF(OR(AND(G370="3/8",AM370&gt;0.5),AND(G370="2/8",AM370&gt;0.5)),(AM370*2*база!$J$4*Таблица14[[#This Row],[коэф]]),
(AM370*2*база!$L$5*Таблица14[[#This Row],[коэф]])))))))))))</f>
        <v>0</v>
      </c>
      <c r="AO370" s="122" t="str">
        <f>IFERROR(INDEX(база!$D$2:$D$120, MATCH(Таблица14[[#This Row],[Ф. И. О.]],база!$B$2:$B$100,0)),"")</f>
        <v/>
      </c>
    </row>
    <row r="371" spans="1:41">
      <c r="A371" s="207" t="str">
        <f t="shared" si="12"/>
        <v>январь</v>
      </c>
      <c r="B371" s="204">
        <v>2024</v>
      </c>
      <c r="C371" s="571"/>
      <c r="D371" s="205"/>
      <c r="E371" s="243"/>
      <c r="F371" s="680"/>
      <c r="G371" s="206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  <c r="S371" s="49"/>
      <c r="T371" s="49"/>
      <c r="U371" s="49"/>
      <c r="V371" s="49"/>
      <c r="W371" s="49"/>
      <c r="X371" s="49"/>
      <c r="Y371" s="49"/>
      <c r="Z371" s="49"/>
      <c r="AA371" s="49"/>
      <c r="AB371" s="49"/>
      <c r="AC371" s="49"/>
      <c r="AD371" s="49"/>
      <c r="AE371" s="49"/>
      <c r="AF371" s="49"/>
      <c r="AG371" s="49"/>
      <c r="AH371" s="49"/>
      <c r="AI371" s="49"/>
      <c r="AJ371" s="49"/>
      <c r="AK371" s="49"/>
      <c r="AL371" s="49"/>
      <c r="AM371" s="121">
        <f t="shared" si="11"/>
        <v>0</v>
      </c>
      <c r="AN371" s="564">
        <f>IF(AO371&lt;=3,(IF(AND(G371="5/24",AM371&gt;0.5),(AM371*2*база!$M$6*Таблица14[[#This Row],[коэф]]),
IF(AND(G371="4/24",AM371&gt;0.5),(AM371*2*база!$M$5*Таблица14[[#This Row],[коэф]]),
IF(AND(G371="3/24",AM371&gt;0.5),(AM371*2*база!$M$4*Таблица14[[#This Row],[коэф]]),
IF(AND(G371="5/16",AM371&gt;0.5),(AM371*2*база!$L$6*Таблица14[[#This Row],[коэф]]),
IF(AND(G371="4/16",AM371&gt;0.5),(AM371*2*база!$L$5*Таблица14[[#This Row],[коэф]]),
IF(AND(G371="3/16",AM371&gt;0.5),(AM371*2*база!$L$4*Таблица14[[#This Row],[коэф]]),
IF(AND(G371="4/4",AM371&gt;0.5),(AM371*2*база!$I$5*Таблица14[[#This Row],[коэф]]),
IF(OR(AND(G371="3/4",AM371&gt;0.5),AND(G371="2/4",AM371&gt;0.5)),(AM371*2*база!$I$4*Таблица14[[#This Row],[коэф]]),
IF(AND(G371="5/8",AM371&gt;0.5),(AM371*2*база!$J$6*Таблица14[[#This Row],[коэф]]),
IF(AND(G371="4/8",AM371&gt;0.5),(AM371*2*база!$J$5*Таблица14[[#This Row],[коэф]]),
IF(OR(AND(G371="3/8",AM371&gt;0.5),AND(G371="2/8",AM371&gt;0.5)),(AM371*2*база!$J$4*Таблица14[[#This Row],[коэф]]),
(AM371*0.5*база!$L$4*Таблица14[[#This Row],[коэф]]))))))))))))),
(IF(AND(G371="5/24",AM371&gt;0.5),(AM371*2*база!$M$6*Таблица14[[#This Row],[коэф]]),
IF(OR(AND(G371="4/24",AM371&gt;0.5),AND(G371="3/24",AM371&gt;0.5)),(AM371*2*база!$M$5*Таблица14[[#This Row],[коэф]]),
IF(AND(G371="5/16",AM371&gt;0.5),(AM371*2*база!$L$6*Таблица14[[#This Row],[коэф]]),
IF(OR(AND(G371="4/16",AM371&gt;0.5),AND(G371="3/16",AM371&gt;0.5)),(AM371*2*база!$L$5*Таблица14[[#This Row],[коэф]]),
IF(OR(AND(G371="4/4",AM371&gt;0.5),AND(G371="3/4",AM371&gt;2)),(AM371*2*база!$I$5*Таблица14[[#This Row],[коэф]]),
IF(AND(G371="5/8",AM371&gt;0.5),(AM371*2*база!$J$6*Таблица14[[#This Row],[коэф]]),
IF(AND(G371="4/8",AM371&gt;0.5),(AM371*2*база!$J$5*Таблица14[[#This Row],[коэф]]),
IF(OR(AND(G371="3/8",AM371&gt;0.5),AND(G371="2/8",AM371&gt;0.5)),(AM371*2*база!$J$4*Таблица14[[#This Row],[коэф]]),
(AM371*2*база!$L$5*Таблица14[[#This Row],[коэф]])))))))))))</f>
        <v>0</v>
      </c>
      <c r="AO371" s="122" t="str">
        <f>IFERROR(INDEX(база!$D$2:$D$120, MATCH(Таблица14[[#This Row],[Ф. И. О.]],база!$B$2:$B$100,0)),"")</f>
        <v/>
      </c>
    </row>
    <row r="372" spans="1:41">
      <c r="A372" s="207" t="str">
        <f t="shared" si="12"/>
        <v>январь</v>
      </c>
      <c r="B372" s="240">
        <v>2024</v>
      </c>
      <c r="C372" s="648"/>
      <c r="D372" s="591"/>
      <c r="E372" s="241"/>
      <c r="F372" s="680"/>
      <c r="G372" s="242"/>
      <c r="H372" s="592"/>
      <c r="I372" s="592"/>
      <c r="J372" s="592"/>
      <c r="K372" s="592"/>
      <c r="L372" s="592"/>
      <c r="M372" s="592"/>
      <c r="N372" s="592"/>
      <c r="O372" s="592"/>
      <c r="P372" s="592"/>
      <c r="Q372" s="592"/>
      <c r="R372" s="592"/>
      <c r="S372" s="592"/>
      <c r="T372" s="592"/>
      <c r="U372" s="592"/>
      <c r="V372" s="592"/>
      <c r="W372" s="592"/>
      <c r="X372" s="592"/>
      <c r="Y372" s="592"/>
      <c r="Z372" s="592"/>
      <c r="AA372" s="592"/>
      <c r="AB372" s="592"/>
      <c r="AC372" s="592"/>
      <c r="AD372" s="592"/>
      <c r="AE372" s="592"/>
      <c r="AF372" s="592"/>
      <c r="AG372" s="592"/>
      <c r="AH372" s="592"/>
      <c r="AI372" s="592"/>
      <c r="AJ372" s="592"/>
      <c r="AK372" s="592"/>
      <c r="AL372" s="592"/>
      <c r="AM372" s="121">
        <f t="shared" si="11"/>
        <v>0</v>
      </c>
      <c r="AN372" s="564">
        <f>IF(AO372&lt;=3,(IF(AND(G372="5/24",AM372&gt;0.5),(AM372*2*база!$M$6*Таблица14[[#This Row],[коэф]]),
IF(AND(G372="4/24",AM372&gt;0.5),(AM372*2*база!$M$5*Таблица14[[#This Row],[коэф]]),
IF(AND(G372="3/24",AM372&gt;0.5),(AM372*2*база!$M$4*Таблица14[[#This Row],[коэф]]),
IF(AND(G372="5/16",AM372&gt;0.5),(AM372*2*база!$L$6*Таблица14[[#This Row],[коэф]]),
IF(AND(G372="4/16",AM372&gt;0.5),(AM372*2*база!$L$5*Таблица14[[#This Row],[коэф]]),
IF(AND(G372="3/16",AM372&gt;0.5),(AM372*2*база!$L$4*Таблица14[[#This Row],[коэф]]),
IF(AND(G372="4/4",AM372&gt;0.5),(AM372*2*база!$I$5*Таблица14[[#This Row],[коэф]]),
IF(OR(AND(G372="3/4",AM372&gt;0.5),AND(G372="2/4",AM372&gt;0.5)),(AM372*2*база!$I$4*Таблица14[[#This Row],[коэф]]),
IF(AND(G372="5/8",AM372&gt;0.5),(AM372*2*база!$J$6*Таблица14[[#This Row],[коэф]]),
IF(AND(G372="4/8",AM372&gt;0.5),(AM372*2*база!$J$5*Таблица14[[#This Row],[коэф]]),
IF(OR(AND(G372="3/8",AM372&gt;0.5),AND(G372="2/8",AM372&gt;0.5)),(AM372*2*база!$J$4*Таблица14[[#This Row],[коэф]]),
(AM372*0.5*база!$L$4*Таблица14[[#This Row],[коэф]]))))))))))))),
(IF(AND(G372="5/24",AM372&gt;0.5),(AM372*2*база!$M$6*Таблица14[[#This Row],[коэф]]),
IF(OR(AND(G372="4/24",AM372&gt;0.5),AND(G372="3/24",AM372&gt;0.5)),(AM372*2*база!$M$5*Таблица14[[#This Row],[коэф]]),
IF(AND(G372="5/16",AM372&gt;0.5),(AM372*2*база!$L$6*Таблица14[[#This Row],[коэф]]),
IF(OR(AND(G372="4/16",AM372&gt;0.5),AND(G372="3/16",AM372&gt;0.5)),(AM372*2*база!$L$5*Таблица14[[#This Row],[коэф]]),
IF(OR(AND(G372="4/4",AM372&gt;0.5),AND(G372="3/4",AM372&gt;2)),(AM372*2*база!$I$5*Таблица14[[#This Row],[коэф]]),
IF(AND(G372="5/8",AM372&gt;0.5),(AM372*2*база!$J$6*Таблица14[[#This Row],[коэф]]),
IF(AND(G372="4/8",AM372&gt;0.5),(AM372*2*база!$J$5*Таблица14[[#This Row],[коэф]]),
IF(OR(AND(G372="3/8",AM372&gt;0.5),AND(G372="2/8",AM372&gt;0.5)),(AM372*2*база!$J$4*Таблица14[[#This Row],[коэф]]),
(AM372*2*база!$L$5*Таблица14[[#This Row],[коэф]])))))))))))</f>
        <v>0</v>
      </c>
      <c r="AO372" s="122" t="str">
        <f>IFERROR(INDEX(база!$D$2:$D$120, MATCH(Таблица14[[#This Row],[Ф. И. О.]],база!$B$2:$B$100,0)),"")</f>
        <v/>
      </c>
    </row>
    <row r="373" spans="1:41">
      <c r="A373" s="207" t="str">
        <f t="shared" si="12"/>
        <v>январь</v>
      </c>
      <c r="B373" s="204">
        <v>2024</v>
      </c>
      <c r="C373" s="571"/>
      <c r="D373" s="205"/>
      <c r="E373" s="243"/>
      <c r="F373" s="680"/>
      <c r="G373" s="242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  <c r="S373" s="49"/>
      <c r="T373" s="49"/>
      <c r="U373" s="49"/>
      <c r="V373" s="49"/>
      <c r="W373" s="49"/>
      <c r="X373" s="49"/>
      <c r="Y373" s="49"/>
      <c r="Z373" s="49"/>
      <c r="AA373" s="49"/>
      <c r="AB373" s="49"/>
      <c r="AC373" s="49"/>
      <c r="AD373" s="49"/>
      <c r="AE373" s="49"/>
      <c r="AF373" s="49"/>
      <c r="AG373" s="49"/>
      <c r="AH373" s="49"/>
      <c r="AI373" s="49"/>
      <c r="AJ373" s="49"/>
      <c r="AK373" s="49"/>
      <c r="AL373" s="49"/>
      <c r="AM373" s="121">
        <f t="shared" si="11"/>
        <v>0</v>
      </c>
      <c r="AN373" s="564">
        <f>IF(AO373&lt;=3,(IF(AND(G373="5/24",AM373&gt;0.5),(AM373*2*база!$M$6*Таблица14[[#This Row],[коэф]]),
IF(AND(G373="4/24",AM373&gt;0.5),(AM373*2*база!$M$5*Таблица14[[#This Row],[коэф]]),
IF(AND(G373="3/24",AM373&gt;0.5),(AM373*2*база!$M$4*Таблица14[[#This Row],[коэф]]),
IF(AND(G373="5/16",AM373&gt;0.5),(AM373*2*база!$L$6*Таблица14[[#This Row],[коэф]]),
IF(AND(G373="4/16",AM373&gt;0.5),(AM373*2*база!$L$5*Таблица14[[#This Row],[коэф]]),
IF(AND(G373="3/16",AM373&gt;0.5),(AM373*2*база!$L$4*Таблица14[[#This Row],[коэф]]),
IF(AND(G373="4/4",AM373&gt;0.5),(AM373*2*база!$I$5*Таблица14[[#This Row],[коэф]]),
IF(OR(AND(G373="3/4",AM373&gt;0.5),AND(G373="2/4",AM373&gt;0.5)),(AM373*2*база!$I$4*Таблица14[[#This Row],[коэф]]),
IF(AND(G373="5/8",AM373&gt;0.5),(AM373*2*база!$J$6*Таблица14[[#This Row],[коэф]]),
IF(AND(G373="4/8",AM373&gt;0.5),(AM373*2*база!$J$5*Таблица14[[#This Row],[коэф]]),
IF(OR(AND(G373="3/8",AM373&gt;0.5),AND(G373="2/8",AM373&gt;0.5)),(AM373*2*база!$J$4*Таблица14[[#This Row],[коэф]]),
(AM373*0.5*база!$L$4*Таблица14[[#This Row],[коэф]]))))))))))))),
(IF(AND(G373="5/24",AM373&gt;0.5),(AM373*2*база!$M$6*Таблица14[[#This Row],[коэф]]),
IF(OR(AND(G373="4/24",AM373&gt;0.5),AND(G373="3/24",AM373&gt;0.5)),(AM373*2*база!$M$5*Таблица14[[#This Row],[коэф]]),
IF(AND(G373="5/16",AM373&gt;0.5),(AM373*2*база!$L$6*Таблица14[[#This Row],[коэф]]),
IF(OR(AND(G373="4/16",AM373&gt;0.5),AND(G373="3/16",AM373&gt;0.5)),(AM373*2*база!$L$5*Таблица14[[#This Row],[коэф]]),
IF(OR(AND(G373="4/4",AM373&gt;0.5),AND(G373="3/4",AM373&gt;2)),(AM373*2*база!$I$5*Таблица14[[#This Row],[коэф]]),
IF(AND(G373="5/8",AM373&gt;0.5),(AM373*2*база!$J$6*Таблица14[[#This Row],[коэф]]),
IF(AND(G373="4/8",AM373&gt;0.5),(AM373*2*база!$J$5*Таблица14[[#This Row],[коэф]]),
IF(OR(AND(G373="3/8",AM373&gt;0.5),AND(G373="2/8",AM373&gt;0.5)),(AM373*2*база!$J$4*Таблица14[[#This Row],[коэф]]),
(AM373*2*база!$L$5*Таблица14[[#This Row],[коэф]])))))))))))</f>
        <v>0</v>
      </c>
      <c r="AO373" s="122" t="str">
        <f>IFERROR(INDEX(база!$D$2:$D$120, MATCH(Таблица14[[#This Row],[Ф. И. О.]],база!$B$2:$B$100,0)),"")</f>
        <v/>
      </c>
    </row>
    <row r="374" spans="1:41">
      <c r="A374" s="207" t="str">
        <f t="shared" si="12"/>
        <v>январь</v>
      </c>
      <c r="B374" s="240">
        <v>2024</v>
      </c>
      <c r="C374" s="648"/>
      <c r="D374" s="591"/>
      <c r="E374" s="241"/>
      <c r="F374" s="680"/>
      <c r="G374" s="242"/>
      <c r="H374" s="592"/>
      <c r="I374" s="592"/>
      <c r="J374" s="592"/>
      <c r="K374" s="592"/>
      <c r="L374" s="592"/>
      <c r="M374" s="592"/>
      <c r="N374" s="592"/>
      <c r="O374" s="592"/>
      <c r="P374" s="592"/>
      <c r="Q374" s="592"/>
      <c r="R374" s="592"/>
      <c r="S374" s="592"/>
      <c r="T374" s="592"/>
      <c r="U374" s="592"/>
      <c r="V374" s="592"/>
      <c r="W374" s="592"/>
      <c r="X374" s="592"/>
      <c r="Y374" s="592"/>
      <c r="Z374" s="592"/>
      <c r="AA374" s="592"/>
      <c r="AB374" s="592"/>
      <c r="AC374" s="592"/>
      <c r="AD374" s="592"/>
      <c r="AE374" s="592"/>
      <c r="AF374" s="592"/>
      <c r="AG374" s="592"/>
      <c r="AH374" s="592"/>
      <c r="AI374" s="592"/>
      <c r="AJ374" s="592"/>
      <c r="AK374" s="592"/>
      <c r="AL374" s="592"/>
      <c r="AM374" s="121">
        <f t="shared" si="11"/>
        <v>0</v>
      </c>
      <c r="AN374" s="564">
        <f>IF(AO374&lt;=3,(IF(AND(G374="5/24",AM374&gt;0.5),(AM374*2*база!$M$6*Таблица14[[#This Row],[коэф]]),
IF(AND(G374="4/24",AM374&gt;0.5),(AM374*2*база!$M$5*Таблица14[[#This Row],[коэф]]),
IF(AND(G374="3/24",AM374&gt;0.5),(AM374*2*база!$M$4*Таблица14[[#This Row],[коэф]]),
IF(AND(G374="5/16",AM374&gt;0.5),(AM374*2*база!$L$6*Таблица14[[#This Row],[коэф]]),
IF(AND(G374="4/16",AM374&gt;0.5),(AM374*2*база!$L$5*Таблица14[[#This Row],[коэф]]),
IF(AND(G374="3/16",AM374&gt;0.5),(AM374*2*база!$L$4*Таблица14[[#This Row],[коэф]]),
IF(AND(G374="4/4",AM374&gt;0.5),(AM374*2*база!$I$5*Таблица14[[#This Row],[коэф]]),
IF(OR(AND(G374="3/4",AM374&gt;0.5),AND(G374="2/4",AM374&gt;0.5)),(AM374*2*база!$I$4*Таблица14[[#This Row],[коэф]]),
IF(AND(G374="5/8",AM374&gt;0.5),(AM374*2*база!$J$6*Таблица14[[#This Row],[коэф]]),
IF(AND(G374="4/8",AM374&gt;0.5),(AM374*2*база!$J$5*Таблица14[[#This Row],[коэф]]),
IF(OR(AND(G374="3/8",AM374&gt;0.5),AND(G374="2/8",AM374&gt;0.5)),(AM374*2*база!$J$4*Таблица14[[#This Row],[коэф]]),
(AM374*0.5*база!$L$4*Таблица14[[#This Row],[коэф]]))))))))))))),
(IF(AND(G374="5/24",AM374&gt;0.5),(AM374*2*база!$M$6*Таблица14[[#This Row],[коэф]]),
IF(OR(AND(G374="4/24",AM374&gt;0.5),AND(G374="3/24",AM374&gt;0.5)),(AM374*2*база!$M$5*Таблица14[[#This Row],[коэф]]),
IF(AND(G374="5/16",AM374&gt;0.5),(AM374*2*база!$L$6*Таблица14[[#This Row],[коэф]]),
IF(OR(AND(G374="4/16",AM374&gt;0.5),AND(G374="3/16",AM374&gt;0.5)),(AM374*2*база!$L$5*Таблица14[[#This Row],[коэф]]),
IF(OR(AND(G374="4/4",AM374&gt;0.5),AND(G374="3/4",AM374&gt;2)),(AM374*2*база!$I$5*Таблица14[[#This Row],[коэф]]),
IF(AND(G374="5/8",AM374&gt;0.5),(AM374*2*база!$J$6*Таблица14[[#This Row],[коэф]]),
IF(AND(G374="4/8",AM374&gt;0.5),(AM374*2*база!$J$5*Таблица14[[#This Row],[коэф]]),
IF(OR(AND(G374="3/8",AM374&gt;0.5),AND(G374="2/8",AM374&gt;0.5)),(AM374*2*база!$J$4*Таблица14[[#This Row],[коэф]]),
(AM374*2*база!$L$5*Таблица14[[#This Row],[коэф]])))))))))))</f>
        <v>0</v>
      </c>
      <c r="AO374" s="122" t="str">
        <f>IFERROR(INDEX(база!$D$2:$D$120, MATCH(Таблица14[[#This Row],[Ф. И. О.]],база!$B$2:$B$100,0)),"")</f>
        <v/>
      </c>
    </row>
    <row r="375" spans="1:41">
      <c r="A375" s="207" t="str">
        <f t="shared" si="12"/>
        <v>январь</v>
      </c>
      <c r="B375" s="204">
        <v>2024</v>
      </c>
      <c r="C375" s="571"/>
      <c r="D375" s="205"/>
      <c r="E375" s="243"/>
      <c r="F375" s="680"/>
      <c r="G375" s="242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  <c r="S375" s="49"/>
      <c r="T375" s="49"/>
      <c r="U375" s="49"/>
      <c r="V375" s="49"/>
      <c r="W375" s="49"/>
      <c r="X375" s="49"/>
      <c r="Y375" s="49"/>
      <c r="Z375" s="49"/>
      <c r="AA375" s="49"/>
      <c r="AB375" s="49"/>
      <c r="AC375" s="49"/>
      <c r="AD375" s="49"/>
      <c r="AE375" s="49"/>
      <c r="AF375" s="49"/>
      <c r="AG375" s="49"/>
      <c r="AH375" s="49"/>
      <c r="AI375" s="49"/>
      <c r="AJ375" s="49"/>
      <c r="AK375" s="49"/>
      <c r="AL375" s="49"/>
      <c r="AM375" s="121">
        <f t="shared" si="11"/>
        <v>0</v>
      </c>
      <c r="AN375" s="564">
        <f>IF(AO375&lt;=3,(IF(AND(G375="5/24",AM375&gt;0.5),(AM375*2*база!$M$6*Таблица14[[#This Row],[коэф]]),
IF(AND(G375="4/24",AM375&gt;0.5),(AM375*2*база!$M$5*Таблица14[[#This Row],[коэф]]),
IF(AND(G375="3/24",AM375&gt;0.5),(AM375*2*база!$M$4*Таблица14[[#This Row],[коэф]]),
IF(AND(G375="5/16",AM375&gt;0.5),(AM375*2*база!$L$6*Таблица14[[#This Row],[коэф]]),
IF(AND(G375="4/16",AM375&gt;0.5),(AM375*2*база!$L$5*Таблица14[[#This Row],[коэф]]),
IF(AND(G375="3/16",AM375&gt;0.5),(AM375*2*база!$L$4*Таблица14[[#This Row],[коэф]]),
IF(AND(G375="4/4",AM375&gt;0.5),(AM375*2*база!$I$5*Таблица14[[#This Row],[коэф]]),
IF(OR(AND(G375="3/4",AM375&gt;0.5),AND(G375="2/4",AM375&gt;0.5)),(AM375*2*база!$I$4*Таблица14[[#This Row],[коэф]]),
IF(AND(G375="5/8",AM375&gt;0.5),(AM375*2*база!$J$6*Таблица14[[#This Row],[коэф]]),
IF(AND(G375="4/8",AM375&gt;0.5),(AM375*2*база!$J$5*Таблица14[[#This Row],[коэф]]),
IF(OR(AND(G375="3/8",AM375&gt;0.5),AND(G375="2/8",AM375&gt;0.5)),(AM375*2*база!$J$4*Таблица14[[#This Row],[коэф]]),
(AM375*0.5*база!$L$4*Таблица14[[#This Row],[коэф]]))))))))))))),
(IF(AND(G375="5/24",AM375&gt;0.5),(AM375*2*база!$M$6*Таблица14[[#This Row],[коэф]]),
IF(OR(AND(G375="4/24",AM375&gt;0.5),AND(G375="3/24",AM375&gt;0.5)),(AM375*2*база!$M$5*Таблица14[[#This Row],[коэф]]),
IF(AND(G375="5/16",AM375&gt;0.5),(AM375*2*база!$L$6*Таблица14[[#This Row],[коэф]]),
IF(OR(AND(G375="4/16",AM375&gt;0.5),AND(G375="3/16",AM375&gt;0.5)),(AM375*2*база!$L$5*Таблица14[[#This Row],[коэф]]),
IF(OR(AND(G375="4/4",AM375&gt;0.5),AND(G375="3/4",AM375&gt;2)),(AM375*2*база!$I$5*Таблица14[[#This Row],[коэф]]),
IF(AND(G375="5/8",AM375&gt;0.5),(AM375*2*база!$J$6*Таблица14[[#This Row],[коэф]]),
IF(AND(G375="4/8",AM375&gt;0.5),(AM375*2*база!$J$5*Таблица14[[#This Row],[коэф]]),
IF(OR(AND(G375="3/8",AM375&gt;0.5),AND(G375="2/8",AM375&gt;0.5)),(AM375*2*база!$J$4*Таблица14[[#This Row],[коэф]]),
(AM375*2*база!$L$5*Таблица14[[#This Row],[коэф]])))))))))))</f>
        <v>0</v>
      </c>
      <c r="AO375" s="122" t="str">
        <f>IFERROR(INDEX(база!$D$2:$D$120, MATCH(Таблица14[[#This Row],[Ф. И. О.]],база!$B$2:$B$100,0)),"")</f>
        <v/>
      </c>
    </row>
    <row r="376" spans="1:41">
      <c r="A376" s="207" t="str">
        <f t="shared" si="12"/>
        <v>январь</v>
      </c>
      <c r="B376" s="240">
        <v>2024</v>
      </c>
      <c r="C376" s="648"/>
      <c r="D376" s="591"/>
      <c r="E376" s="241"/>
      <c r="F376" s="680"/>
      <c r="G376" s="242"/>
      <c r="H376" s="592"/>
      <c r="I376" s="592"/>
      <c r="J376" s="592"/>
      <c r="K376" s="592"/>
      <c r="L376" s="592"/>
      <c r="M376" s="592"/>
      <c r="N376" s="592"/>
      <c r="O376" s="592"/>
      <c r="P376" s="592"/>
      <c r="Q376" s="592"/>
      <c r="R376" s="592"/>
      <c r="S376" s="592"/>
      <c r="T376" s="592"/>
      <c r="U376" s="592"/>
      <c r="V376" s="592"/>
      <c r="W376" s="592"/>
      <c r="X376" s="592"/>
      <c r="Y376" s="592"/>
      <c r="Z376" s="592"/>
      <c r="AA376" s="592"/>
      <c r="AB376" s="592"/>
      <c r="AC376" s="592"/>
      <c r="AD376" s="592"/>
      <c r="AE376" s="592"/>
      <c r="AF376" s="592"/>
      <c r="AG376" s="592"/>
      <c r="AH376" s="592"/>
      <c r="AI376" s="592"/>
      <c r="AJ376" s="592"/>
      <c r="AK376" s="592"/>
      <c r="AL376" s="592"/>
      <c r="AM376" s="121">
        <f t="shared" si="11"/>
        <v>0</v>
      </c>
      <c r="AN376" s="564">
        <f>IF(AO376&lt;=3,(IF(AND(G376="5/24",AM376&gt;0.5),(AM376*2*база!$M$6*Таблица14[[#This Row],[коэф]]),
IF(AND(G376="4/24",AM376&gt;0.5),(AM376*2*база!$M$5*Таблица14[[#This Row],[коэф]]),
IF(AND(G376="3/24",AM376&gt;0.5),(AM376*2*база!$M$4*Таблица14[[#This Row],[коэф]]),
IF(AND(G376="5/16",AM376&gt;0.5),(AM376*2*база!$L$6*Таблица14[[#This Row],[коэф]]),
IF(AND(G376="4/16",AM376&gt;0.5),(AM376*2*база!$L$5*Таблица14[[#This Row],[коэф]]),
IF(AND(G376="3/16",AM376&gt;0.5),(AM376*2*база!$L$4*Таблица14[[#This Row],[коэф]]),
IF(AND(G376="4/4",AM376&gt;0.5),(AM376*2*база!$I$5*Таблица14[[#This Row],[коэф]]),
IF(OR(AND(G376="3/4",AM376&gt;0.5),AND(G376="2/4",AM376&gt;0.5)),(AM376*2*база!$I$4*Таблица14[[#This Row],[коэф]]),
IF(AND(G376="5/8",AM376&gt;0.5),(AM376*2*база!$J$6*Таблица14[[#This Row],[коэф]]),
IF(AND(G376="4/8",AM376&gt;0.5),(AM376*2*база!$J$5*Таблица14[[#This Row],[коэф]]),
IF(OR(AND(G376="3/8",AM376&gt;0.5),AND(G376="2/8",AM376&gt;0.5)),(AM376*2*база!$J$4*Таблица14[[#This Row],[коэф]]),
(AM376*0.5*база!$L$4*Таблица14[[#This Row],[коэф]]))))))))))))),
(IF(AND(G376="5/24",AM376&gt;0.5),(AM376*2*база!$M$6*Таблица14[[#This Row],[коэф]]),
IF(OR(AND(G376="4/24",AM376&gt;0.5),AND(G376="3/24",AM376&gt;0.5)),(AM376*2*база!$M$5*Таблица14[[#This Row],[коэф]]),
IF(AND(G376="5/16",AM376&gt;0.5),(AM376*2*база!$L$6*Таблица14[[#This Row],[коэф]]),
IF(OR(AND(G376="4/16",AM376&gt;0.5),AND(G376="3/16",AM376&gt;0.5)),(AM376*2*база!$L$5*Таблица14[[#This Row],[коэф]]),
IF(OR(AND(G376="4/4",AM376&gt;0.5),AND(G376="3/4",AM376&gt;2)),(AM376*2*база!$I$5*Таблица14[[#This Row],[коэф]]),
IF(AND(G376="5/8",AM376&gt;0.5),(AM376*2*база!$J$6*Таблица14[[#This Row],[коэф]]),
IF(AND(G376="4/8",AM376&gt;0.5),(AM376*2*база!$J$5*Таблица14[[#This Row],[коэф]]),
IF(OR(AND(G376="3/8",AM376&gt;0.5),AND(G376="2/8",AM376&gt;0.5)),(AM376*2*база!$J$4*Таблица14[[#This Row],[коэф]]),
(AM376*2*база!$L$5*Таблица14[[#This Row],[коэф]])))))))))))</f>
        <v>0</v>
      </c>
      <c r="AO376" s="122" t="str">
        <f>IFERROR(INDEX(база!$D$2:$D$120, MATCH(Таблица14[[#This Row],[Ф. И. О.]],база!$B$2:$B$100,0)),"")</f>
        <v/>
      </c>
    </row>
    <row r="377" spans="1:41">
      <c r="A377" s="207" t="str">
        <f t="shared" si="12"/>
        <v>январь</v>
      </c>
      <c r="B377" s="204">
        <v>2024</v>
      </c>
      <c r="C377" s="571"/>
      <c r="D377" s="205"/>
      <c r="E377" s="243"/>
      <c r="F377" s="680"/>
      <c r="G377" s="242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  <c r="S377" s="49"/>
      <c r="T377" s="49"/>
      <c r="U377" s="49"/>
      <c r="V377" s="49"/>
      <c r="W377" s="49"/>
      <c r="X377" s="49"/>
      <c r="Y377" s="49"/>
      <c r="Z377" s="49"/>
      <c r="AA377" s="49"/>
      <c r="AB377" s="49"/>
      <c r="AC377" s="49"/>
      <c r="AD377" s="49"/>
      <c r="AE377" s="49"/>
      <c r="AF377" s="49"/>
      <c r="AG377" s="49"/>
      <c r="AH377" s="49"/>
      <c r="AI377" s="49"/>
      <c r="AJ377" s="49"/>
      <c r="AK377" s="49"/>
      <c r="AL377" s="49"/>
      <c r="AM377" s="121">
        <f t="shared" si="11"/>
        <v>0</v>
      </c>
      <c r="AN377" s="564">
        <f>IF(AO377&lt;=3,(IF(AND(G377="5/24",AM377&gt;0.5),(AM377*2*база!$M$6*Таблица14[[#This Row],[коэф]]),
IF(AND(G377="4/24",AM377&gt;0.5),(AM377*2*база!$M$5*Таблица14[[#This Row],[коэф]]),
IF(AND(G377="3/24",AM377&gt;0.5),(AM377*2*база!$M$4*Таблица14[[#This Row],[коэф]]),
IF(AND(G377="5/16",AM377&gt;0.5),(AM377*2*база!$L$6*Таблица14[[#This Row],[коэф]]),
IF(AND(G377="4/16",AM377&gt;0.5),(AM377*2*база!$L$5*Таблица14[[#This Row],[коэф]]),
IF(AND(G377="3/16",AM377&gt;0.5),(AM377*2*база!$L$4*Таблица14[[#This Row],[коэф]]),
IF(AND(G377="4/4",AM377&gt;0.5),(AM377*2*база!$I$5*Таблица14[[#This Row],[коэф]]),
IF(OR(AND(G377="3/4",AM377&gt;0.5),AND(G377="2/4",AM377&gt;0.5)),(AM377*2*база!$I$4*Таблица14[[#This Row],[коэф]]),
IF(AND(G377="5/8",AM377&gt;0.5),(AM377*2*база!$J$6*Таблица14[[#This Row],[коэф]]),
IF(AND(G377="4/8",AM377&gt;0.5),(AM377*2*база!$J$5*Таблица14[[#This Row],[коэф]]),
IF(OR(AND(G377="3/8",AM377&gt;0.5),AND(G377="2/8",AM377&gt;0.5)),(AM377*2*база!$J$4*Таблица14[[#This Row],[коэф]]),
(AM377*0.5*база!$L$4*Таблица14[[#This Row],[коэф]]))))))))))))),
(IF(AND(G377="5/24",AM377&gt;0.5),(AM377*2*база!$M$6*Таблица14[[#This Row],[коэф]]),
IF(OR(AND(G377="4/24",AM377&gt;0.5),AND(G377="3/24",AM377&gt;0.5)),(AM377*2*база!$M$5*Таблица14[[#This Row],[коэф]]),
IF(AND(G377="5/16",AM377&gt;0.5),(AM377*2*база!$L$6*Таблица14[[#This Row],[коэф]]),
IF(OR(AND(G377="4/16",AM377&gt;0.5),AND(G377="3/16",AM377&gt;0.5)),(AM377*2*база!$L$5*Таблица14[[#This Row],[коэф]]),
IF(OR(AND(G377="4/4",AM377&gt;0.5),AND(G377="3/4",AM377&gt;2)),(AM377*2*база!$I$5*Таблица14[[#This Row],[коэф]]),
IF(AND(G377="5/8",AM377&gt;0.5),(AM377*2*база!$J$6*Таблица14[[#This Row],[коэф]]),
IF(AND(G377="4/8",AM377&gt;0.5),(AM377*2*база!$J$5*Таблица14[[#This Row],[коэф]]),
IF(OR(AND(G377="3/8",AM377&gt;0.5),AND(G377="2/8",AM377&gt;0.5)),(AM377*2*база!$J$4*Таблица14[[#This Row],[коэф]]),
(AM377*2*база!$L$5*Таблица14[[#This Row],[коэф]])))))))))))</f>
        <v>0</v>
      </c>
      <c r="AO377" s="122" t="str">
        <f>IFERROR(INDEX(база!$D$2:$D$120, MATCH(Таблица14[[#This Row],[Ф. И. О.]],база!$B$2:$B$100,0)),"")</f>
        <v/>
      </c>
    </row>
    <row r="378" spans="1:41">
      <c r="A378" s="207" t="str">
        <f t="shared" si="12"/>
        <v>январь</v>
      </c>
      <c r="B378" s="240">
        <v>2024</v>
      </c>
      <c r="C378" s="648"/>
      <c r="D378" s="591"/>
      <c r="E378" s="241"/>
      <c r="F378" s="680"/>
      <c r="G378" s="242"/>
      <c r="H378" s="592"/>
      <c r="I378" s="592"/>
      <c r="J378" s="592"/>
      <c r="K378" s="592"/>
      <c r="L378" s="592"/>
      <c r="M378" s="592"/>
      <c r="N378" s="592"/>
      <c r="O378" s="592"/>
      <c r="P378" s="592"/>
      <c r="Q378" s="592"/>
      <c r="R378" s="592"/>
      <c r="S378" s="592"/>
      <c r="T378" s="592"/>
      <c r="U378" s="592"/>
      <c r="V378" s="592"/>
      <c r="W378" s="592"/>
      <c r="X378" s="592"/>
      <c r="Y378" s="592"/>
      <c r="Z378" s="592"/>
      <c r="AA378" s="592"/>
      <c r="AB378" s="592"/>
      <c r="AC378" s="592"/>
      <c r="AD378" s="592"/>
      <c r="AE378" s="592"/>
      <c r="AF378" s="592"/>
      <c r="AG378" s="592"/>
      <c r="AH378" s="592"/>
      <c r="AI378" s="592"/>
      <c r="AJ378" s="592"/>
      <c r="AK378" s="592"/>
      <c r="AL378" s="592"/>
      <c r="AM378" s="121">
        <f t="shared" si="11"/>
        <v>0</v>
      </c>
      <c r="AN378" s="564">
        <f>IF(AO378&lt;=3,(IF(AND(G378="5/24",AM378&gt;0.5),(AM378*2*база!$M$6*Таблица14[[#This Row],[коэф]]),
IF(AND(G378="4/24",AM378&gt;0.5),(AM378*2*база!$M$5*Таблица14[[#This Row],[коэф]]),
IF(AND(G378="3/24",AM378&gt;0.5),(AM378*2*база!$M$4*Таблица14[[#This Row],[коэф]]),
IF(AND(G378="5/16",AM378&gt;0.5),(AM378*2*база!$L$6*Таблица14[[#This Row],[коэф]]),
IF(AND(G378="4/16",AM378&gt;0.5),(AM378*2*база!$L$5*Таблица14[[#This Row],[коэф]]),
IF(AND(G378="3/16",AM378&gt;0.5),(AM378*2*база!$L$4*Таблица14[[#This Row],[коэф]]),
IF(AND(G378="4/4",AM378&gt;0.5),(AM378*2*база!$I$5*Таблица14[[#This Row],[коэф]]),
IF(OR(AND(G378="3/4",AM378&gt;0.5),AND(G378="2/4",AM378&gt;0.5)),(AM378*2*база!$I$4*Таблица14[[#This Row],[коэф]]),
IF(AND(G378="5/8",AM378&gt;0.5),(AM378*2*база!$J$6*Таблица14[[#This Row],[коэф]]),
IF(AND(G378="4/8",AM378&gt;0.5),(AM378*2*база!$J$5*Таблица14[[#This Row],[коэф]]),
IF(OR(AND(G378="3/8",AM378&gt;0.5),AND(G378="2/8",AM378&gt;0.5)),(AM378*2*база!$J$4*Таблица14[[#This Row],[коэф]]),
(AM378*0.5*база!$L$4*Таблица14[[#This Row],[коэф]]))))))))))))),
(IF(AND(G378="5/24",AM378&gt;0.5),(AM378*2*база!$M$6*Таблица14[[#This Row],[коэф]]),
IF(OR(AND(G378="4/24",AM378&gt;0.5),AND(G378="3/24",AM378&gt;0.5)),(AM378*2*база!$M$5*Таблица14[[#This Row],[коэф]]),
IF(AND(G378="5/16",AM378&gt;0.5),(AM378*2*база!$L$6*Таблица14[[#This Row],[коэф]]),
IF(OR(AND(G378="4/16",AM378&gt;0.5),AND(G378="3/16",AM378&gt;0.5)),(AM378*2*база!$L$5*Таблица14[[#This Row],[коэф]]),
IF(OR(AND(G378="4/4",AM378&gt;0.5),AND(G378="3/4",AM378&gt;2)),(AM378*2*база!$I$5*Таблица14[[#This Row],[коэф]]),
IF(AND(G378="5/8",AM378&gt;0.5),(AM378*2*база!$J$6*Таблица14[[#This Row],[коэф]]),
IF(AND(G378="4/8",AM378&gt;0.5),(AM378*2*база!$J$5*Таблица14[[#This Row],[коэф]]),
IF(OR(AND(G378="3/8",AM378&gt;0.5),AND(G378="2/8",AM378&gt;0.5)),(AM378*2*база!$J$4*Таблица14[[#This Row],[коэф]]),
(AM378*2*база!$L$5*Таблица14[[#This Row],[коэф]])))))))))))</f>
        <v>0</v>
      </c>
      <c r="AO378" s="122" t="str">
        <f>IFERROR(INDEX(база!$D$2:$D$120, MATCH(Таблица14[[#This Row],[Ф. И. О.]],база!$B$2:$B$100,0)),"")</f>
        <v/>
      </c>
    </row>
    <row r="379" spans="1:41">
      <c r="A379" s="207" t="str">
        <f t="shared" si="12"/>
        <v>январь</v>
      </c>
      <c r="B379" s="204">
        <v>2024</v>
      </c>
      <c r="C379" s="571"/>
      <c r="D379" s="205"/>
      <c r="E379" s="243"/>
      <c r="F379" s="680"/>
      <c r="G379" s="242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  <c r="S379" s="49"/>
      <c r="T379" s="49"/>
      <c r="U379" s="49"/>
      <c r="V379" s="49"/>
      <c r="W379" s="49"/>
      <c r="X379" s="49"/>
      <c r="Y379" s="49"/>
      <c r="Z379" s="49"/>
      <c r="AA379" s="49"/>
      <c r="AB379" s="49"/>
      <c r="AC379" s="49"/>
      <c r="AD379" s="49"/>
      <c r="AE379" s="49"/>
      <c r="AF379" s="49"/>
      <c r="AG379" s="49"/>
      <c r="AH379" s="49"/>
      <c r="AI379" s="49"/>
      <c r="AJ379" s="49"/>
      <c r="AK379" s="49"/>
      <c r="AL379" s="49"/>
      <c r="AM379" s="121">
        <f t="shared" si="11"/>
        <v>0</v>
      </c>
      <c r="AN379" s="564">
        <f>IF(AO379&lt;=3,(IF(AND(G379="5/24",AM379&gt;0.5),(AM379*2*база!$M$6*Таблица14[[#This Row],[коэф]]),
IF(AND(G379="4/24",AM379&gt;0.5),(AM379*2*база!$M$5*Таблица14[[#This Row],[коэф]]),
IF(AND(G379="3/24",AM379&gt;0.5),(AM379*2*база!$M$4*Таблица14[[#This Row],[коэф]]),
IF(AND(G379="5/16",AM379&gt;0.5),(AM379*2*база!$L$6*Таблица14[[#This Row],[коэф]]),
IF(AND(G379="4/16",AM379&gt;0.5),(AM379*2*база!$L$5*Таблица14[[#This Row],[коэф]]),
IF(AND(G379="3/16",AM379&gt;0.5),(AM379*2*база!$L$4*Таблица14[[#This Row],[коэф]]),
IF(AND(G379="4/4",AM379&gt;0.5),(AM379*2*база!$I$5*Таблица14[[#This Row],[коэф]]),
IF(OR(AND(G379="3/4",AM379&gt;0.5),AND(G379="2/4",AM379&gt;0.5)),(AM379*2*база!$I$4*Таблица14[[#This Row],[коэф]]),
IF(AND(G379="5/8",AM379&gt;0.5),(AM379*2*база!$J$6*Таблица14[[#This Row],[коэф]]),
IF(AND(G379="4/8",AM379&gt;0.5),(AM379*2*база!$J$5*Таблица14[[#This Row],[коэф]]),
IF(OR(AND(G379="3/8",AM379&gt;0.5),AND(G379="2/8",AM379&gt;0.5)),(AM379*2*база!$J$4*Таблица14[[#This Row],[коэф]]),
(AM379*0.5*база!$L$4*Таблица14[[#This Row],[коэф]]))))))))))))),
(IF(AND(G379="5/24",AM379&gt;0.5),(AM379*2*база!$M$6*Таблица14[[#This Row],[коэф]]),
IF(OR(AND(G379="4/24",AM379&gt;0.5),AND(G379="3/24",AM379&gt;0.5)),(AM379*2*база!$M$5*Таблица14[[#This Row],[коэф]]),
IF(AND(G379="5/16",AM379&gt;0.5),(AM379*2*база!$L$6*Таблица14[[#This Row],[коэф]]),
IF(OR(AND(G379="4/16",AM379&gt;0.5),AND(G379="3/16",AM379&gt;0.5)),(AM379*2*база!$L$5*Таблица14[[#This Row],[коэф]]),
IF(OR(AND(G379="4/4",AM379&gt;0.5),AND(G379="3/4",AM379&gt;2)),(AM379*2*база!$I$5*Таблица14[[#This Row],[коэф]]),
IF(AND(G379="5/8",AM379&gt;0.5),(AM379*2*база!$J$6*Таблица14[[#This Row],[коэф]]),
IF(AND(G379="4/8",AM379&gt;0.5),(AM379*2*база!$J$5*Таблица14[[#This Row],[коэф]]),
IF(OR(AND(G379="3/8",AM379&gt;0.5),AND(G379="2/8",AM379&gt;0.5)),(AM379*2*база!$J$4*Таблица14[[#This Row],[коэф]]),
(AM379*2*база!$L$5*Таблица14[[#This Row],[коэф]])))))))))))</f>
        <v>0</v>
      </c>
      <c r="AO379" s="122" t="str">
        <f>IFERROR(INDEX(база!$D$2:$D$120, MATCH(Таблица14[[#This Row],[Ф. И. О.]],база!$B$2:$B$100,0)),"")</f>
        <v/>
      </c>
    </row>
    <row r="380" spans="1:41">
      <c r="A380" s="207" t="str">
        <f t="shared" si="12"/>
        <v>январь</v>
      </c>
      <c r="B380" s="240">
        <v>2024</v>
      </c>
      <c r="C380" s="648"/>
      <c r="D380" s="591"/>
      <c r="E380" s="241"/>
      <c r="F380" s="680"/>
      <c r="G380" s="242"/>
      <c r="H380" s="592"/>
      <c r="I380" s="592"/>
      <c r="J380" s="592"/>
      <c r="K380" s="592"/>
      <c r="L380" s="592"/>
      <c r="M380" s="592"/>
      <c r="N380" s="592"/>
      <c r="O380" s="592"/>
      <c r="P380" s="592"/>
      <c r="Q380" s="592"/>
      <c r="R380" s="592"/>
      <c r="S380" s="592"/>
      <c r="T380" s="592"/>
      <c r="U380" s="592"/>
      <c r="V380" s="592"/>
      <c r="W380" s="592"/>
      <c r="X380" s="592"/>
      <c r="Y380" s="592"/>
      <c r="Z380" s="592"/>
      <c r="AA380" s="592"/>
      <c r="AB380" s="592"/>
      <c r="AC380" s="592"/>
      <c r="AD380" s="592"/>
      <c r="AE380" s="592"/>
      <c r="AF380" s="592"/>
      <c r="AG380" s="592"/>
      <c r="AH380" s="592"/>
      <c r="AI380" s="592"/>
      <c r="AJ380" s="592"/>
      <c r="AK380" s="592"/>
      <c r="AL380" s="592"/>
      <c r="AM380" s="121">
        <f t="shared" si="11"/>
        <v>0</v>
      </c>
      <c r="AN380" s="564">
        <f>IF(AO380&lt;=3,(IF(AND(G380="5/24",AM380&gt;0.5),(AM380*2*база!$M$6*Таблица14[[#This Row],[коэф]]),
IF(AND(G380="4/24",AM380&gt;0.5),(AM380*2*база!$M$5*Таблица14[[#This Row],[коэф]]),
IF(AND(G380="3/24",AM380&gt;0.5),(AM380*2*база!$M$4*Таблица14[[#This Row],[коэф]]),
IF(AND(G380="5/16",AM380&gt;0.5),(AM380*2*база!$L$6*Таблица14[[#This Row],[коэф]]),
IF(AND(G380="4/16",AM380&gt;0.5),(AM380*2*база!$L$5*Таблица14[[#This Row],[коэф]]),
IF(AND(G380="3/16",AM380&gt;0.5),(AM380*2*база!$L$4*Таблица14[[#This Row],[коэф]]),
IF(AND(G380="4/4",AM380&gt;0.5),(AM380*2*база!$I$5*Таблица14[[#This Row],[коэф]]),
IF(OR(AND(G380="3/4",AM380&gt;0.5),AND(G380="2/4",AM380&gt;0.5)),(AM380*2*база!$I$4*Таблица14[[#This Row],[коэф]]),
IF(AND(G380="5/8",AM380&gt;0.5),(AM380*2*база!$J$6*Таблица14[[#This Row],[коэф]]),
IF(AND(G380="4/8",AM380&gt;0.5),(AM380*2*база!$J$5*Таблица14[[#This Row],[коэф]]),
IF(OR(AND(G380="3/8",AM380&gt;0.5),AND(G380="2/8",AM380&gt;0.5)),(AM380*2*база!$J$4*Таблица14[[#This Row],[коэф]]),
(AM380*0.5*база!$L$4*Таблица14[[#This Row],[коэф]]))))))))))))),
(IF(AND(G380="5/24",AM380&gt;0.5),(AM380*2*база!$M$6*Таблица14[[#This Row],[коэф]]),
IF(OR(AND(G380="4/24",AM380&gt;0.5),AND(G380="3/24",AM380&gt;0.5)),(AM380*2*база!$M$5*Таблица14[[#This Row],[коэф]]),
IF(AND(G380="5/16",AM380&gt;0.5),(AM380*2*база!$L$6*Таблица14[[#This Row],[коэф]]),
IF(OR(AND(G380="4/16",AM380&gt;0.5),AND(G380="3/16",AM380&gt;0.5)),(AM380*2*база!$L$5*Таблица14[[#This Row],[коэф]]),
IF(OR(AND(G380="4/4",AM380&gt;0.5),AND(G380="3/4",AM380&gt;2)),(AM380*2*база!$I$5*Таблица14[[#This Row],[коэф]]),
IF(AND(G380="5/8",AM380&gt;0.5),(AM380*2*база!$J$6*Таблица14[[#This Row],[коэф]]),
IF(AND(G380="4/8",AM380&gt;0.5),(AM380*2*база!$J$5*Таблица14[[#This Row],[коэф]]),
IF(OR(AND(G380="3/8",AM380&gt;0.5),AND(G380="2/8",AM380&gt;0.5)),(AM380*2*база!$J$4*Таблица14[[#This Row],[коэф]]),
(AM380*2*база!$L$5*Таблица14[[#This Row],[коэф]])))))))))))</f>
        <v>0</v>
      </c>
      <c r="AO380" s="122" t="str">
        <f>IFERROR(INDEX(база!$D$2:$D$120, MATCH(Таблица14[[#This Row],[Ф. И. О.]],база!$B$2:$B$100,0)),"")</f>
        <v/>
      </c>
    </row>
    <row r="381" spans="1:41">
      <c r="A381" s="207" t="str">
        <f t="shared" si="12"/>
        <v>январь</v>
      </c>
      <c r="B381" s="204">
        <v>2024</v>
      </c>
      <c r="C381" s="571"/>
      <c r="D381" s="205"/>
      <c r="E381" s="243"/>
      <c r="F381" s="680"/>
      <c r="G381" s="242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  <c r="S381" s="49"/>
      <c r="T381" s="49"/>
      <c r="U381" s="49"/>
      <c r="V381" s="49"/>
      <c r="W381" s="49"/>
      <c r="X381" s="49"/>
      <c r="Y381" s="49"/>
      <c r="Z381" s="49"/>
      <c r="AA381" s="49"/>
      <c r="AB381" s="49"/>
      <c r="AC381" s="49"/>
      <c r="AD381" s="49"/>
      <c r="AE381" s="49"/>
      <c r="AF381" s="49"/>
      <c r="AG381" s="49"/>
      <c r="AH381" s="49"/>
      <c r="AI381" s="49"/>
      <c r="AJ381" s="49"/>
      <c r="AK381" s="49"/>
      <c r="AL381" s="49"/>
      <c r="AM381" s="121">
        <f t="shared" si="11"/>
        <v>0</v>
      </c>
      <c r="AN381" s="564">
        <f>IF(AO381&lt;=3,(IF(AND(G381="5/24",AM381&gt;0.5),(AM381*2*база!$M$6*Таблица14[[#This Row],[коэф]]),
IF(AND(G381="4/24",AM381&gt;0.5),(AM381*2*база!$M$5*Таблица14[[#This Row],[коэф]]),
IF(AND(G381="3/24",AM381&gt;0.5),(AM381*2*база!$M$4*Таблица14[[#This Row],[коэф]]),
IF(AND(G381="5/16",AM381&gt;0.5),(AM381*2*база!$L$6*Таблица14[[#This Row],[коэф]]),
IF(AND(G381="4/16",AM381&gt;0.5),(AM381*2*база!$L$5*Таблица14[[#This Row],[коэф]]),
IF(AND(G381="3/16",AM381&gt;0.5),(AM381*2*база!$L$4*Таблица14[[#This Row],[коэф]]),
IF(AND(G381="4/4",AM381&gt;0.5),(AM381*2*база!$I$5*Таблица14[[#This Row],[коэф]]),
IF(OR(AND(G381="3/4",AM381&gt;0.5),AND(G381="2/4",AM381&gt;0.5)),(AM381*2*база!$I$4*Таблица14[[#This Row],[коэф]]),
IF(AND(G381="5/8",AM381&gt;0.5),(AM381*2*база!$J$6*Таблица14[[#This Row],[коэф]]),
IF(AND(G381="4/8",AM381&gt;0.5),(AM381*2*база!$J$5*Таблица14[[#This Row],[коэф]]),
IF(OR(AND(G381="3/8",AM381&gt;0.5),AND(G381="2/8",AM381&gt;0.5)),(AM381*2*база!$J$4*Таблица14[[#This Row],[коэф]]),
(AM381*0.5*база!$L$4*Таблица14[[#This Row],[коэф]]))))))))))))),
(IF(AND(G381="5/24",AM381&gt;0.5),(AM381*2*база!$M$6*Таблица14[[#This Row],[коэф]]),
IF(OR(AND(G381="4/24",AM381&gt;0.5),AND(G381="3/24",AM381&gt;0.5)),(AM381*2*база!$M$5*Таблица14[[#This Row],[коэф]]),
IF(AND(G381="5/16",AM381&gt;0.5),(AM381*2*база!$L$6*Таблица14[[#This Row],[коэф]]),
IF(OR(AND(G381="4/16",AM381&gt;0.5),AND(G381="3/16",AM381&gt;0.5)),(AM381*2*база!$L$5*Таблица14[[#This Row],[коэф]]),
IF(OR(AND(G381="4/4",AM381&gt;0.5),AND(G381="3/4",AM381&gt;2)),(AM381*2*база!$I$5*Таблица14[[#This Row],[коэф]]),
IF(AND(G381="5/8",AM381&gt;0.5),(AM381*2*база!$J$6*Таблица14[[#This Row],[коэф]]),
IF(AND(G381="4/8",AM381&gt;0.5),(AM381*2*база!$J$5*Таблица14[[#This Row],[коэф]]),
IF(OR(AND(G381="3/8",AM381&gt;0.5),AND(G381="2/8",AM381&gt;0.5)),(AM381*2*база!$J$4*Таблица14[[#This Row],[коэф]]),
(AM381*2*база!$L$5*Таблица14[[#This Row],[коэф]])))))))))))</f>
        <v>0</v>
      </c>
      <c r="AO381" s="122" t="str">
        <f>IFERROR(INDEX(база!$D$2:$D$120, MATCH(Таблица14[[#This Row],[Ф. И. О.]],база!$B$2:$B$100,0)),"")</f>
        <v/>
      </c>
    </row>
    <row r="382" spans="1:41">
      <c r="A382" s="207" t="str">
        <f t="shared" si="12"/>
        <v>январь</v>
      </c>
      <c r="B382" s="240">
        <v>2024</v>
      </c>
      <c r="C382" s="648"/>
      <c r="D382" s="591"/>
      <c r="E382" s="241"/>
      <c r="F382" s="680"/>
      <c r="G382" s="242"/>
      <c r="H382" s="592"/>
      <c r="I382" s="592"/>
      <c r="J382" s="592"/>
      <c r="K382" s="592"/>
      <c r="L382" s="592"/>
      <c r="M382" s="592"/>
      <c r="N382" s="592"/>
      <c r="O382" s="592"/>
      <c r="P382" s="592"/>
      <c r="Q382" s="592"/>
      <c r="R382" s="592"/>
      <c r="S382" s="592"/>
      <c r="T382" s="592"/>
      <c r="U382" s="592"/>
      <c r="V382" s="592"/>
      <c r="W382" s="592"/>
      <c r="X382" s="592"/>
      <c r="Y382" s="592"/>
      <c r="Z382" s="592"/>
      <c r="AA382" s="592"/>
      <c r="AB382" s="592"/>
      <c r="AC382" s="592"/>
      <c r="AD382" s="592"/>
      <c r="AE382" s="592"/>
      <c r="AF382" s="592"/>
      <c r="AG382" s="592"/>
      <c r="AH382" s="592"/>
      <c r="AI382" s="592"/>
      <c r="AJ382" s="592"/>
      <c r="AK382" s="592"/>
      <c r="AL382" s="592"/>
      <c r="AM382" s="121">
        <f t="shared" si="11"/>
        <v>0</v>
      </c>
      <c r="AN382" s="564">
        <f>IF(AO382&lt;=3,(IF(AND(G382="5/24",AM382&gt;0.5),(AM382*2*база!$M$6*Таблица14[[#This Row],[коэф]]),
IF(AND(G382="4/24",AM382&gt;0.5),(AM382*2*база!$M$5*Таблица14[[#This Row],[коэф]]),
IF(AND(G382="3/24",AM382&gt;0.5),(AM382*2*база!$M$4*Таблица14[[#This Row],[коэф]]),
IF(AND(G382="5/16",AM382&gt;0.5),(AM382*2*база!$L$6*Таблица14[[#This Row],[коэф]]),
IF(AND(G382="4/16",AM382&gt;0.5),(AM382*2*база!$L$5*Таблица14[[#This Row],[коэф]]),
IF(AND(G382="3/16",AM382&gt;0.5),(AM382*2*база!$L$4*Таблица14[[#This Row],[коэф]]),
IF(AND(G382="4/4",AM382&gt;0.5),(AM382*2*база!$I$5*Таблица14[[#This Row],[коэф]]),
IF(OR(AND(G382="3/4",AM382&gt;0.5),AND(G382="2/4",AM382&gt;0.5)),(AM382*2*база!$I$4*Таблица14[[#This Row],[коэф]]),
IF(AND(G382="5/8",AM382&gt;0.5),(AM382*2*база!$J$6*Таблица14[[#This Row],[коэф]]),
IF(AND(G382="4/8",AM382&gt;0.5),(AM382*2*база!$J$5*Таблица14[[#This Row],[коэф]]),
IF(OR(AND(G382="3/8",AM382&gt;0.5),AND(G382="2/8",AM382&gt;0.5)),(AM382*2*база!$J$4*Таблица14[[#This Row],[коэф]]),
(AM382*0.5*база!$L$4*Таблица14[[#This Row],[коэф]]))))))))))))),
(IF(AND(G382="5/24",AM382&gt;0.5),(AM382*2*база!$M$6*Таблица14[[#This Row],[коэф]]),
IF(OR(AND(G382="4/24",AM382&gt;0.5),AND(G382="3/24",AM382&gt;0.5)),(AM382*2*база!$M$5*Таблица14[[#This Row],[коэф]]),
IF(AND(G382="5/16",AM382&gt;0.5),(AM382*2*база!$L$6*Таблица14[[#This Row],[коэф]]),
IF(OR(AND(G382="4/16",AM382&gt;0.5),AND(G382="3/16",AM382&gt;0.5)),(AM382*2*база!$L$5*Таблица14[[#This Row],[коэф]]),
IF(OR(AND(G382="4/4",AM382&gt;0.5),AND(G382="3/4",AM382&gt;2)),(AM382*2*база!$I$5*Таблица14[[#This Row],[коэф]]),
IF(AND(G382="5/8",AM382&gt;0.5),(AM382*2*база!$J$6*Таблица14[[#This Row],[коэф]]),
IF(AND(G382="4/8",AM382&gt;0.5),(AM382*2*база!$J$5*Таблица14[[#This Row],[коэф]]),
IF(OR(AND(G382="3/8",AM382&gt;0.5),AND(G382="2/8",AM382&gt;0.5)),(AM382*2*база!$J$4*Таблица14[[#This Row],[коэф]]),
(AM382*2*база!$L$5*Таблица14[[#This Row],[коэф]])))))))))))</f>
        <v>0</v>
      </c>
      <c r="AO382" s="122" t="str">
        <f>IFERROR(INDEX(база!$D$2:$D$120, MATCH(Таблица14[[#This Row],[Ф. И. О.]],база!$B$2:$B$100,0)),"")</f>
        <v/>
      </c>
    </row>
    <row r="383" spans="1:41">
      <c r="A383" s="207" t="str">
        <f t="shared" si="12"/>
        <v>январь</v>
      </c>
      <c r="B383" s="204">
        <v>2024</v>
      </c>
      <c r="C383" s="571"/>
      <c r="D383" s="205"/>
      <c r="E383" s="243"/>
      <c r="F383" s="680"/>
      <c r="G383" s="242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  <c r="S383" s="49"/>
      <c r="T383" s="49"/>
      <c r="U383" s="49"/>
      <c r="V383" s="49"/>
      <c r="W383" s="49"/>
      <c r="X383" s="49"/>
      <c r="Y383" s="49"/>
      <c r="Z383" s="49"/>
      <c r="AA383" s="49"/>
      <c r="AB383" s="49"/>
      <c r="AC383" s="49"/>
      <c r="AD383" s="49"/>
      <c r="AE383" s="49"/>
      <c r="AF383" s="49"/>
      <c r="AG383" s="49"/>
      <c r="AH383" s="49"/>
      <c r="AI383" s="49"/>
      <c r="AJ383" s="49"/>
      <c r="AK383" s="49"/>
      <c r="AL383" s="49"/>
      <c r="AM383" s="121">
        <f t="shared" si="11"/>
        <v>0</v>
      </c>
      <c r="AN383" s="564">
        <f>IF(AO383&lt;=3,(IF(AND(G383="5/24",AM383&gt;0.5),(AM383*2*база!$M$6*Таблица14[[#This Row],[коэф]]),
IF(AND(G383="4/24",AM383&gt;0.5),(AM383*2*база!$M$5*Таблица14[[#This Row],[коэф]]),
IF(AND(G383="3/24",AM383&gt;0.5),(AM383*2*база!$M$4*Таблица14[[#This Row],[коэф]]),
IF(AND(G383="5/16",AM383&gt;0.5),(AM383*2*база!$L$6*Таблица14[[#This Row],[коэф]]),
IF(AND(G383="4/16",AM383&gt;0.5),(AM383*2*база!$L$5*Таблица14[[#This Row],[коэф]]),
IF(AND(G383="3/16",AM383&gt;0.5),(AM383*2*база!$L$4*Таблица14[[#This Row],[коэф]]),
IF(AND(G383="4/4",AM383&gt;0.5),(AM383*2*база!$I$5*Таблица14[[#This Row],[коэф]]),
IF(OR(AND(G383="3/4",AM383&gt;0.5),AND(G383="2/4",AM383&gt;0.5)),(AM383*2*база!$I$4*Таблица14[[#This Row],[коэф]]),
IF(AND(G383="5/8",AM383&gt;0.5),(AM383*2*база!$J$6*Таблица14[[#This Row],[коэф]]),
IF(AND(G383="4/8",AM383&gt;0.5),(AM383*2*база!$J$5*Таблица14[[#This Row],[коэф]]),
IF(OR(AND(G383="3/8",AM383&gt;0.5),AND(G383="2/8",AM383&gt;0.5)),(AM383*2*база!$J$4*Таблица14[[#This Row],[коэф]]),
(AM383*0.5*база!$L$4*Таблица14[[#This Row],[коэф]]))))))))))))),
(IF(AND(G383="5/24",AM383&gt;0.5),(AM383*2*база!$M$6*Таблица14[[#This Row],[коэф]]),
IF(OR(AND(G383="4/24",AM383&gt;0.5),AND(G383="3/24",AM383&gt;0.5)),(AM383*2*база!$M$5*Таблица14[[#This Row],[коэф]]),
IF(AND(G383="5/16",AM383&gt;0.5),(AM383*2*база!$L$6*Таблица14[[#This Row],[коэф]]),
IF(OR(AND(G383="4/16",AM383&gt;0.5),AND(G383="3/16",AM383&gt;0.5)),(AM383*2*база!$L$5*Таблица14[[#This Row],[коэф]]),
IF(OR(AND(G383="4/4",AM383&gt;0.5),AND(G383="3/4",AM383&gt;2)),(AM383*2*база!$I$5*Таблица14[[#This Row],[коэф]]),
IF(AND(G383="5/8",AM383&gt;0.5),(AM383*2*база!$J$6*Таблица14[[#This Row],[коэф]]),
IF(AND(G383="4/8",AM383&gt;0.5),(AM383*2*база!$J$5*Таблица14[[#This Row],[коэф]]),
IF(OR(AND(G383="3/8",AM383&gt;0.5),AND(G383="2/8",AM383&gt;0.5)),(AM383*2*база!$J$4*Таблица14[[#This Row],[коэф]]),
(AM383*2*база!$L$5*Таблица14[[#This Row],[коэф]])))))))))))</f>
        <v>0</v>
      </c>
      <c r="AO383" s="122" t="str">
        <f>IFERROR(INDEX(база!$D$2:$D$120, MATCH(Таблица14[[#This Row],[Ф. И. О.]],база!$B$2:$B$100,0)),"")</f>
        <v/>
      </c>
    </row>
    <row r="384" spans="1:41">
      <c r="A384" s="207" t="str">
        <f t="shared" si="12"/>
        <v>январь</v>
      </c>
      <c r="B384" s="240">
        <v>2024</v>
      </c>
      <c r="C384" s="648"/>
      <c r="D384" s="591"/>
      <c r="E384" s="241"/>
      <c r="F384" s="680"/>
      <c r="G384" s="242"/>
      <c r="H384" s="592"/>
      <c r="I384" s="592"/>
      <c r="J384" s="592"/>
      <c r="K384" s="592"/>
      <c r="L384" s="592"/>
      <c r="M384" s="592"/>
      <c r="N384" s="592"/>
      <c r="O384" s="592"/>
      <c r="P384" s="592"/>
      <c r="Q384" s="592"/>
      <c r="R384" s="592"/>
      <c r="S384" s="592"/>
      <c r="T384" s="592"/>
      <c r="U384" s="592"/>
      <c r="V384" s="592"/>
      <c r="W384" s="592"/>
      <c r="X384" s="592"/>
      <c r="Y384" s="592"/>
      <c r="Z384" s="592"/>
      <c r="AA384" s="592"/>
      <c r="AB384" s="592"/>
      <c r="AC384" s="592"/>
      <c r="AD384" s="592"/>
      <c r="AE384" s="592"/>
      <c r="AF384" s="592"/>
      <c r="AG384" s="592"/>
      <c r="AH384" s="592"/>
      <c r="AI384" s="592"/>
      <c r="AJ384" s="592"/>
      <c r="AK384" s="592"/>
      <c r="AL384" s="592"/>
      <c r="AM384" s="121">
        <f t="shared" si="11"/>
        <v>0</v>
      </c>
      <c r="AN384" s="564">
        <f>IF(AO384&lt;=3,(IF(AND(G384="5/24",AM384&gt;0.5),(AM384*2*база!$M$6*Таблица14[[#This Row],[коэф]]),
IF(AND(G384="4/24",AM384&gt;0.5),(AM384*2*база!$M$5*Таблица14[[#This Row],[коэф]]),
IF(AND(G384="3/24",AM384&gt;0.5),(AM384*2*база!$M$4*Таблица14[[#This Row],[коэф]]),
IF(AND(G384="5/16",AM384&gt;0.5),(AM384*2*база!$L$6*Таблица14[[#This Row],[коэф]]),
IF(AND(G384="4/16",AM384&gt;0.5),(AM384*2*база!$L$5*Таблица14[[#This Row],[коэф]]),
IF(AND(G384="3/16",AM384&gt;0.5),(AM384*2*база!$L$4*Таблица14[[#This Row],[коэф]]),
IF(AND(G384="4/4",AM384&gt;0.5),(AM384*2*база!$I$5*Таблица14[[#This Row],[коэф]]),
IF(OR(AND(G384="3/4",AM384&gt;0.5),AND(G384="2/4",AM384&gt;0.5)),(AM384*2*база!$I$4*Таблица14[[#This Row],[коэф]]),
IF(AND(G384="5/8",AM384&gt;0.5),(AM384*2*база!$J$6*Таблица14[[#This Row],[коэф]]),
IF(AND(G384="4/8",AM384&gt;0.5),(AM384*2*база!$J$5*Таблица14[[#This Row],[коэф]]),
IF(OR(AND(G384="3/8",AM384&gt;0.5),AND(G384="2/8",AM384&gt;0.5)),(AM384*2*база!$J$4*Таблица14[[#This Row],[коэф]]),
(AM384*0.5*база!$L$4*Таблица14[[#This Row],[коэф]]))))))))))))),
(IF(AND(G384="5/24",AM384&gt;0.5),(AM384*2*база!$M$6*Таблица14[[#This Row],[коэф]]),
IF(OR(AND(G384="4/24",AM384&gt;0.5),AND(G384="3/24",AM384&gt;0.5)),(AM384*2*база!$M$5*Таблица14[[#This Row],[коэф]]),
IF(AND(G384="5/16",AM384&gt;0.5),(AM384*2*база!$L$6*Таблица14[[#This Row],[коэф]]),
IF(OR(AND(G384="4/16",AM384&gt;0.5),AND(G384="3/16",AM384&gt;0.5)),(AM384*2*база!$L$5*Таблица14[[#This Row],[коэф]]),
IF(OR(AND(G384="4/4",AM384&gt;0.5),AND(G384="3/4",AM384&gt;2)),(AM384*2*база!$I$5*Таблица14[[#This Row],[коэф]]),
IF(AND(G384="5/8",AM384&gt;0.5),(AM384*2*база!$J$6*Таблица14[[#This Row],[коэф]]),
IF(AND(G384="4/8",AM384&gt;0.5),(AM384*2*база!$J$5*Таблица14[[#This Row],[коэф]]),
IF(OR(AND(G384="3/8",AM384&gt;0.5),AND(G384="2/8",AM384&gt;0.5)),(AM384*2*база!$J$4*Таблица14[[#This Row],[коэф]]),
(AM384*2*база!$L$5*Таблица14[[#This Row],[коэф]])))))))))))</f>
        <v>0</v>
      </c>
      <c r="AO384" s="122" t="str">
        <f>IFERROR(INDEX(база!$D$2:$D$120, MATCH(Таблица14[[#This Row],[Ф. И. О.]],база!$B$2:$B$100,0)),"")</f>
        <v/>
      </c>
    </row>
    <row r="385" spans="1:41">
      <c r="A385" s="207" t="str">
        <f t="shared" si="12"/>
        <v>январь</v>
      </c>
      <c r="B385" s="204">
        <v>2024</v>
      </c>
      <c r="C385" s="571"/>
      <c r="D385" s="205"/>
      <c r="E385" s="243"/>
      <c r="F385" s="680"/>
      <c r="G385" s="206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  <c r="S385" s="49"/>
      <c r="T385" s="49"/>
      <c r="U385" s="49"/>
      <c r="V385" s="49"/>
      <c r="W385" s="49"/>
      <c r="X385" s="49"/>
      <c r="Y385" s="49"/>
      <c r="Z385" s="49"/>
      <c r="AA385" s="49"/>
      <c r="AB385" s="49"/>
      <c r="AC385" s="49"/>
      <c r="AD385" s="49"/>
      <c r="AE385" s="49"/>
      <c r="AF385" s="49"/>
      <c r="AG385" s="49"/>
      <c r="AH385" s="49"/>
      <c r="AI385" s="49"/>
      <c r="AJ385" s="49"/>
      <c r="AK385" s="49"/>
      <c r="AL385" s="49"/>
      <c r="AM385" s="121">
        <f t="shared" si="11"/>
        <v>0</v>
      </c>
      <c r="AN385" s="564">
        <f>IF(AO385&lt;=3,(IF(AND(G385="5/24",AM385&gt;0.5),(AM385*2*база!$M$6*Таблица14[[#This Row],[коэф]]),
IF(AND(G385="4/24",AM385&gt;0.5),(AM385*2*база!$M$5*Таблица14[[#This Row],[коэф]]),
IF(AND(G385="3/24",AM385&gt;0.5),(AM385*2*база!$M$4*Таблица14[[#This Row],[коэф]]),
IF(AND(G385="5/16",AM385&gt;0.5),(AM385*2*база!$L$6*Таблица14[[#This Row],[коэф]]),
IF(AND(G385="4/16",AM385&gt;0.5),(AM385*2*база!$L$5*Таблица14[[#This Row],[коэф]]),
IF(AND(G385="3/16",AM385&gt;0.5),(AM385*2*база!$L$4*Таблица14[[#This Row],[коэф]]),
IF(AND(G385="4/4",AM385&gt;0.5),(AM385*2*база!$I$5*Таблица14[[#This Row],[коэф]]),
IF(OR(AND(G385="3/4",AM385&gt;0.5),AND(G385="2/4",AM385&gt;0.5)),(AM385*2*база!$I$4*Таблица14[[#This Row],[коэф]]),
IF(AND(G385="5/8",AM385&gt;0.5),(AM385*2*база!$J$6*Таблица14[[#This Row],[коэф]]),
IF(AND(G385="4/8",AM385&gt;0.5),(AM385*2*база!$J$5*Таблица14[[#This Row],[коэф]]),
IF(OR(AND(G385="3/8",AM385&gt;0.5),AND(G385="2/8",AM385&gt;0.5)),(AM385*2*база!$J$4*Таблица14[[#This Row],[коэф]]),
(AM385*0.5*база!$L$4*Таблица14[[#This Row],[коэф]]))))))))))))),
(IF(AND(G385="5/24",AM385&gt;0.5),(AM385*2*база!$M$6*Таблица14[[#This Row],[коэф]]),
IF(OR(AND(G385="4/24",AM385&gt;0.5),AND(G385="3/24",AM385&gt;0.5)),(AM385*2*база!$M$5*Таблица14[[#This Row],[коэф]]),
IF(AND(G385="5/16",AM385&gt;0.5),(AM385*2*база!$L$6*Таблица14[[#This Row],[коэф]]),
IF(OR(AND(G385="4/16",AM385&gt;0.5),AND(G385="3/16",AM385&gt;0.5)),(AM385*2*база!$L$5*Таблица14[[#This Row],[коэф]]),
IF(OR(AND(G385="4/4",AM385&gt;0.5),AND(G385="3/4",AM385&gt;2)),(AM385*2*база!$I$5*Таблица14[[#This Row],[коэф]]),
IF(AND(G385="5/8",AM385&gt;0.5),(AM385*2*база!$J$6*Таблица14[[#This Row],[коэф]]),
IF(AND(G385="4/8",AM385&gt;0.5),(AM385*2*база!$J$5*Таблица14[[#This Row],[коэф]]),
IF(OR(AND(G385="3/8",AM385&gt;0.5),AND(G385="2/8",AM385&gt;0.5)),(AM385*2*база!$J$4*Таблица14[[#This Row],[коэф]]),
(AM385*2*база!$L$5*Таблица14[[#This Row],[коэф]])))))))))))</f>
        <v>0</v>
      </c>
      <c r="AO385" s="122" t="str">
        <f>IFERROR(INDEX(база!$D$2:$D$120, MATCH(Таблица14[[#This Row],[Ф. И. О.]],база!$B$2:$B$100,0)),"")</f>
        <v/>
      </c>
    </row>
    <row r="386" spans="1:41">
      <c r="A386" s="207" t="str">
        <f t="shared" si="12"/>
        <v>январь</v>
      </c>
      <c r="B386" s="240">
        <v>2024</v>
      </c>
      <c r="C386" s="648"/>
      <c r="D386" s="591"/>
      <c r="E386" s="243"/>
      <c r="F386" s="680"/>
      <c r="G386" s="242"/>
      <c r="H386" s="592"/>
      <c r="I386" s="592"/>
      <c r="J386" s="592"/>
      <c r="K386" s="592"/>
      <c r="L386" s="592"/>
      <c r="M386" s="592"/>
      <c r="N386" s="592"/>
      <c r="O386" s="592"/>
      <c r="P386" s="592"/>
      <c r="Q386" s="592"/>
      <c r="R386" s="592"/>
      <c r="S386" s="592"/>
      <c r="T386" s="592"/>
      <c r="U386" s="592"/>
      <c r="V386" s="592"/>
      <c r="W386" s="592"/>
      <c r="X386" s="592"/>
      <c r="Y386" s="592"/>
      <c r="Z386" s="592"/>
      <c r="AA386" s="592"/>
      <c r="AB386" s="592"/>
      <c r="AC386" s="592"/>
      <c r="AD386" s="592"/>
      <c r="AE386" s="592"/>
      <c r="AF386" s="592"/>
      <c r="AG386" s="592"/>
      <c r="AH386" s="592"/>
      <c r="AI386" s="592"/>
      <c r="AJ386" s="592"/>
      <c r="AK386" s="592"/>
      <c r="AL386" s="592"/>
      <c r="AM386" s="121">
        <f t="shared" si="11"/>
        <v>0</v>
      </c>
      <c r="AN386" s="564">
        <f>IF(AO386&lt;=3,(IF(AND(G386="5/24",AM386&gt;0.5),(AM386*2*база!$M$6*Таблица14[[#This Row],[коэф]]),
IF(AND(G386="4/24",AM386&gt;0.5),(AM386*2*база!$M$5*Таблица14[[#This Row],[коэф]]),
IF(AND(G386="3/24",AM386&gt;0.5),(AM386*2*база!$M$4*Таблица14[[#This Row],[коэф]]),
IF(AND(G386="5/16",AM386&gt;0.5),(AM386*2*база!$L$6*Таблица14[[#This Row],[коэф]]),
IF(AND(G386="4/16",AM386&gt;0.5),(AM386*2*база!$L$5*Таблица14[[#This Row],[коэф]]),
IF(AND(G386="3/16",AM386&gt;0.5),(AM386*2*база!$L$4*Таблица14[[#This Row],[коэф]]),
IF(AND(G386="4/4",AM386&gt;0.5),(AM386*2*база!$I$5*Таблица14[[#This Row],[коэф]]),
IF(OR(AND(G386="3/4",AM386&gt;0.5),AND(G386="2/4",AM386&gt;0.5)),(AM386*2*база!$I$4*Таблица14[[#This Row],[коэф]]),
IF(AND(G386="5/8",AM386&gt;0.5),(AM386*2*база!$J$6*Таблица14[[#This Row],[коэф]]),
IF(AND(G386="4/8",AM386&gt;0.5),(AM386*2*база!$J$5*Таблица14[[#This Row],[коэф]]),
IF(OR(AND(G386="3/8",AM386&gt;0.5),AND(G386="2/8",AM386&gt;0.5)),(AM386*2*база!$J$4*Таблица14[[#This Row],[коэф]]),
(AM386*0.5*база!$L$4*Таблица14[[#This Row],[коэф]]))))))))))))),
(IF(AND(G386="5/24",AM386&gt;0.5),(AM386*2*база!$M$6*Таблица14[[#This Row],[коэф]]),
IF(OR(AND(G386="4/24",AM386&gt;0.5),AND(G386="3/24",AM386&gt;0.5)),(AM386*2*база!$M$5*Таблица14[[#This Row],[коэф]]),
IF(AND(G386="5/16",AM386&gt;0.5),(AM386*2*база!$L$6*Таблица14[[#This Row],[коэф]]),
IF(OR(AND(G386="4/16",AM386&gt;0.5),AND(G386="3/16",AM386&gt;0.5)),(AM386*2*база!$L$5*Таблица14[[#This Row],[коэф]]),
IF(OR(AND(G386="4/4",AM386&gt;0.5),AND(G386="3/4",AM386&gt;2)),(AM386*2*база!$I$5*Таблица14[[#This Row],[коэф]]),
IF(AND(G386="5/8",AM386&gt;0.5),(AM386*2*база!$J$6*Таблица14[[#This Row],[коэф]]),
IF(AND(G386="4/8",AM386&gt;0.5),(AM386*2*база!$J$5*Таблица14[[#This Row],[коэф]]),
IF(OR(AND(G386="3/8",AM386&gt;0.5),AND(G386="2/8",AM386&gt;0.5)),(AM386*2*база!$J$4*Таблица14[[#This Row],[коэф]]),
(AM386*2*база!$L$5*Таблица14[[#This Row],[коэф]])))))))))))</f>
        <v>0</v>
      </c>
      <c r="AO386" s="122" t="str">
        <f>IFERROR(INDEX(база!$D$2:$D$120, MATCH(Таблица14[[#This Row],[Ф. И. О.]],база!$B$2:$B$100,0)),"")</f>
        <v/>
      </c>
    </row>
    <row r="387" spans="1:41">
      <c r="A387" s="207" t="str">
        <f t="shared" si="12"/>
        <v>январь</v>
      </c>
      <c r="B387" s="204">
        <v>2024</v>
      </c>
      <c r="C387" s="571"/>
      <c r="D387" s="205"/>
      <c r="E387" s="243"/>
      <c r="F387" s="681"/>
      <c r="G387" s="206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  <c r="S387" s="49"/>
      <c r="T387" s="49"/>
      <c r="U387" s="49"/>
      <c r="V387" s="49"/>
      <c r="W387" s="49"/>
      <c r="X387" s="49"/>
      <c r="Y387" s="49"/>
      <c r="Z387" s="49"/>
      <c r="AA387" s="49"/>
      <c r="AB387" s="49"/>
      <c r="AC387" s="49"/>
      <c r="AD387" s="49"/>
      <c r="AE387" s="49"/>
      <c r="AF387" s="49"/>
      <c r="AG387" s="49"/>
      <c r="AH387" s="49"/>
      <c r="AI387" s="49"/>
      <c r="AJ387" s="49"/>
      <c r="AK387" s="49"/>
      <c r="AL387" s="49"/>
      <c r="AM387" s="121">
        <f t="shared" si="11"/>
        <v>0</v>
      </c>
      <c r="AN387" s="564">
        <f>IF(AO387&lt;=3,(IF(AND(G387="5/24",AM387&gt;0.5),(AM387*2*база!$M$6*Таблица14[[#This Row],[коэф]]),
IF(AND(G387="4/24",AM387&gt;0.5),(AM387*2*база!$M$5*Таблица14[[#This Row],[коэф]]),
IF(AND(G387="3/24",AM387&gt;0.5),(AM387*2*база!$M$4*Таблица14[[#This Row],[коэф]]),
IF(AND(G387="5/16",AM387&gt;0.5),(AM387*2*база!$L$6*Таблица14[[#This Row],[коэф]]),
IF(AND(G387="4/16",AM387&gt;0.5),(AM387*2*база!$L$5*Таблица14[[#This Row],[коэф]]),
IF(AND(G387="3/16",AM387&gt;0.5),(AM387*2*база!$L$4*Таблица14[[#This Row],[коэф]]),
IF(AND(G387="4/4",AM387&gt;0.5),(AM387*2*база!$I$5*Таблица14[[#This Row],[коэф]]),
IF(OR(AND(G387="3/4",AM387&gt;0.5),AND(G387="2/4",AM387&gt;0.5)),(AM387*2*база!$I$4*Таблица14[[#This Row],[коэф]]),
IF(AND(G387="5/8",AM387&gt;0.5),(AM387*2*база!$J$6*Таблица14[[#This Row],[коэф]]),
IF(AND(G387="4/8",AM387&gt;0.5),(AM387*2*база!$J$5*Таблица14[[#This Row],[коэф]]),
IF(OR(AND(G387="3/8",AM387&gt;0.5),AND(G387="2/8",AM387&gt;0.5)),(AM387*2*база!$J$4*Таблица14[[#This Row],[коэф]]),
(AM387*0.5*база!$L$4*Таблица14[[#This Row],[коэф]]))))))))))))),
(IF(AND(G387="5/24",AM387&gt;0.5),(AM387*2*база!$M$6*Таблица14[[#This Row],[коэф]]),
IF(OR(AND(G387="4/24",AM387&gt;0.5),AND(G387="3/24",AM387&gt;0.5)),(AM387*2*база!$M$5*Таблица14[[#This Row],[коэф]]),
IF(AND(G387="5/16",AM387&gt;0.5),(AM387*2*база!$L$6*Таблица14[[#This Row],[коэф]]),
IF(OR(AND(G387="4/16",AM387&gt;0.5),AND(G387="3/16",AM387&gt;0.5)),(AM387*2*база!$L$5*Таблица14[[#This Row],[коэф]]),
IF(OR(AND(G387="4/4",AM387&gt;0.5),AND(G387="3/4",AM387&gt;2)),(AM387*2*база!$I$5*Таблица14[[#This Row],[коэф]]),
IF(AND(G387="5/8",AM387&gt;0.5),(AM387*2*база!$J$6*Таблица14[[#This Row],[коэф]]),
IF(AND(G387="4/8",AM387&gt;0.5),(AM387*2*база!$J$5*Таблица14[[#This Row],[коэф]]),
IF(OR(AND(G387="3/8",AM387&gt;0.5),AND(G387="2/8",AM387&gt;0.5)),(AM387*2*база!$J$4*Таблица14[[#This Row],[коэф]]),
(AM387*2*база!$L$5*Таблица14[[#This Row],[коэф]])))))))))))</f>
        <v>0</v>
      </c>
      <c r="AO387" s="122" t="str">
        <f>IFERROR(INDEX(база!$D$2:$D$120, MATCH(Таблица14[[#This Row],[Ф. И. О.]],база!$B$2:$B$100,0)),"")</f>
        <v/>
      </c>
    </row>
    <row r="388" spans="1:41">
      <c r="A388" s="207" t="str">
        <f t="shared" si="12"/>
        <v>январь</v>
      </c>
      <c r="B388" s="240">
        <v>2024</v>
      </c>
      <c r="C388" s="648"/>
      <c r="D388" s="591"/>
      <c r="E388" s="243"/>
      <c r="F388" s="681"/>
      <c r="G388" s="242"/>
      <c r="H388" s="592"/>
      <c r="I388" s="592"/>
      <c r="J388" s="592"/>
      <c r="K388" s="592"/>
      <c r="L388" s="592"/>
      <c r="M388" s="592"/>
      <c r="N388" s="592"/>
      <c r="O388" s="592"/>
      <c r="P388" s="592"/>
      <c r="Q388" s="592"/>
      <c r="R388" s="592"/>
      <c r="S388" s="592"/>
      <c r="T388" s="592"/>
      <c r="U388" s="592"/>
      <c r="V388" s="592"/>
      <c r="W388" s="592"/>
      <c r="X388" s="592"/>
      <c r="Y388" s="592"/>
      <c r="Z388" s="592"/>
      <c r="AA388" s="592"/>
      <c r="AB388" s="592"/>
      <c r="AC388" s="592"/>
      <c r="AD388" s="592"/>
      <c r="AE388" s="592"/>
      <c r="AF388" s="592"/>
      <c r="AG388" s="592"/>
      <c r="AH388" s="592"/>
      <c r="AI388" s="592"/>
      <c r="AJ388" s="592"/>
      <c r="AK388" s="592"/>
      <c r="AL388" s="592"/>
      <c r="AM388" s="121">
        <f t="shared" ref="AM388:AM451" si="13">SUM(H388:AL388)</f>
        <v>0</v>
      </c>
      <c r="AN388" s="564">
        <f>IF(AO388&lt;=3,(IF(AND(G388="5/24",AM388&gt;0.5),(AM388*2*база!$M$6*Таблица14[[#This Row],[коэф]]),
IF(AND(G388="4/24",AM388&gt;0.5),(AM388*2*база!$M$5*Таблица14[[#This Row],[коэф]]),
IF(AND(G388="3/24",AM388&gt;0.5),(AM388*2*база!$M$4*Таблица14[[#This Row],[коэф]]),
IF(AND(G388="5/16",AM388&gt;0.5),(AM388*2*база!$L$6*Таблица14[[#This Row],[коэф]]),
IF(AND(G388="4/16",AM388&gt;0.5),(AM388*2*база!$L$5*Таблица14[[#This Row],[коэф]]),
IF(AND(G388="3/16",AM388&gt;0.5),(AM388*2*база!$L$4*Таблица14[[#This Row],[коэф]]),
IF(AND(G388="4/4",AM388&gt;0.5),(AM388*2*база!$I$5*Таблица14[[#This Row],[коэф]]),
IF(OR(AND(G388="3/4",AM388&gt;0.5),AND(G388="2/4",AM388&gt;0.5)),(AM388*2*база!$I$4*Таблица14[[#This Row],[коэф]]),
IF(AND(G388="5/8",AM388&gt;0.5),(AM388*2*база!$J$6*Таблица14[[#This Row],[коэф]]),
IF(AND(G388="4/8",AM388&gt;0.5),(AM388*2*база!$J$5*Таблица14[[#This Row],[коэф]]),
IF(OR(AND(G388="3/8",AM388&gt;0.5),AND(G388="2/8",AM388&gt;0.5)),(AM388*2*база!$J$4*Таблица14[[#This Row],[коэф]]),
(AM388*0.5*база!$L$4*Таблица14[[#This Row],[коэф]]))))))))))))),
(IF(AND(G388="5/24",AM388&gt;0.5),(AM388*2*база!$M$6*Таблица14[[#This Row],[коэф]]),
IF(OR(AND(G388="4/24",AM388&gt;0.5),AND(G388="3/24",AM388&gt;0.5)),(AM388*2*база!$M$5*Таблица14[[#This Row],[коэф]]),
IF(AND(G388="5/16",AM388&gt;0.5),(AM388*2*база!$L$6*Таблица14[[#This Row],[коэф]]),
IF(OR(AND(G388="4/16",AM388&gt;0.5),AND(G388="3/16",AM388&gt;0.5)),(AM388*2*база!$L$5*Таблица14[[#This Row],[коэф]]),
IF(OR(AND(G388="4/4",AM388&gt;0.5),AND(G388="3/4",AM388&gt;2)),(AM388*2*база!$I$5*Таблица14[[#This Row],[коэф]]),
IF(AND(G388="5/8",AM388&gt;0.5),(AM388*2*база!$J$6*Таблица14[[#This Row],[коэф]]),
IF(AND(G388="4/8",AM388&gt;0.5),(AM388*2*база!$J$5*Таблица14[[#This Row],[коэф]]),
IF(OR(AND(G388="3/8",AM388&gt;0.5),AND(G388="2/8",AM388&gt;0.5)),(AM388*2*база!$J$4*Таблица14[[#This Row],[коэф]]),
(AM388*2*база!$L$5*Таблица14[[#This Row],[коэф]])))))))))))</f>
        <v>0</v>
      </c>
      <c r="AO388" s="122" t="str">
        <f>IFERROR(INDEX(база!$D$2:$D$120, MATCH(Таблица14[[#This Row],[Ф. И. О.]],база!$B$2:$B$100,0)),"")</f>
        <v/>
      </c>
    </row>
    <row r="389" spans="1:41">
      <c r="A389" s="207" t="str">
        <f t="shared" si="12"/>
        <v>январь</v>
      </c>
      <c r="B389" s="204">
        <v>2024</v>
      </c>
      <c r="C389" s="571"/>
      <c r="D389" s="205"/>
      <c r="E389" s="243"/>
      <c r="F389" s="681"/>
      <c r="G389" s="206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  <c r="S389" s="49"/>
      <c r="T389" s="49"/>
      <c r="U389" s="49"/>
      <c r="V389" s="49"/>
      <c r="W389" s="49"/>
      <c r="X389" s="49"/>
      <c r="Y389" s="49"/>
      <c r="Z389" s="49"/>
      <c r="AA389" s="49"/>
      <c r="AB389" s="49"/>
      <c r="AC389" s="49"/>
      <c r="AD389" s="49"/>
      <c r="AE389" s="49"/>
      <c r="AF389" s="49"/>
      <c r="AG389" s="49"/>
      <c r="AH389" s="49"/>
      <c r="AI389" s="49"/>
      <c r="AJ389" s="49"/>
      <c r="AK389" s="49"/>
      <c r="AL389" s="49"/>
      <c r="AM389" s="121">
        <f t="shared" si="13"/>
        <v>0</v>
      </c>
      <c r="AN389" s="564">
        <f>IF(AO389&lt;=3,(IF(AND(G389="5/24",AM389&gt;0.5),(AM389*2*база!$M$6*Таблица14[[#This Row],[коэф]]),
IF(AND(G389="4/24",AM389&gt;0.5),(AM389*2*база!$M$5*Таблица14[[#This Row],[коэф]]),
IF(AND(G389="3/24",AM389&gt;0.5),(AM389*2*база!$M$4*Таблица14[[#This Row],[коэф]]),
IF(AND(G389="5/16",AM389&gt;0.5),(AM389*2*база!$L$6*Таблица14[[#This Row],[коэф]]),
IF(AND(G389="4/16",AM389&gt;0.5),(AM389*2*база!$L$5*Таблица14[[#This Row],[коэф]]),
IF(AND(G389="3/16",AM389&gt;0.5),(AM389*2*база!$L$4*Таблица14[[#This Row],[коэф]]),
IF(AND(G389="4/4",AM389&gt;0.5),(AM389*2*база!$I$5*Таблица14[[#This Row],[коэф]]),
IF(OR(AND(G389="3/4",AM389&gt;0.5),AND(G389="2/4",AM389&gt;0.5)),(AM389*2*база!$I$4*Таблица14[[#This Row],[коэф]]),
IF(AND(G389="5/8",AM389&gt;0.5),(AM389*2*база!$J$6*Таблица14[[#This Row],[коэф]]),
IF(AND(G389="4/8",AM389&gt;0.5),(AM389*2*база!$J$5*Таблица14[[#This Row],[коэф]]),
IF(OR(AND(G389="3/8",AM389&gt;0.5),AND(G389="2/8",AM389&gt;0.5)),(AM389*2*база!$J$4*Таблица14[[#This Row],[коэф]]),
(AM389*0.5*база!$L$4*Таблица14[[#This Row],[коэф]]))))))))))))),
(IF(AND(G389="5/24",AM389&gt;0.5),(AM389*2*база!$M$6*Таблица14[[#This Row],[коэф]]),
IF(OR(AND(G389="4/24",AM389&gt;0.5),AND(G389="3/24",AM389&gt;0.5)),(AM389*2*база!$M$5*Таблица14[[#This Row],[коэф]]),
IF(AND(G389="5/16",AM389&gt;0.5),(AM389*2*база!$L$6*Таблица14[[#This Row],[коэф]]),
IF(OR(AND(G389="4/16",AM389&gt;0.5),AND(G389="3/16",AM389&gt;0.5)),(AM389*2*база!$L$5*Таблица14[[#This Row],[коэф]]),
IF(OR(AND(G389="4/4",AM389&gt;0.5),AND(G389="3/4",AM389&gt;2)),(AM389*2*база!$I$5*Таблица14[[#This Row],[коэф]]),
IF(AND(G389="5/8",AM389&gt;0.5),(AM389*2*база!$J$6*Таблица14[[#This Row],[коэф]]),
IF(AND(G389="4/8",AM389&gt;0.5),(AM389*2*база!$J$5*Таблица14[[#This Row],[коэф]]),
IF(OR(AND(G389="3/8",AM389&gt;0.5),AND(G389="2/8",AM389&gt;0.5)),(AM389*2*база!$J$4*Таблица14[[#This Row],[коэф]]),
(AM389*2*база!$L$5*Таблица14[[#This Row],[коэф]])))))))))))</f>
        <v>0</v>
      </c>
      <c r="AO389" s="122" t="str">
        <f>IFERROR(INDEX(база!$D$2:$D$120, MATCH(Таблица14[[#This Row],[Ф. И. О.]],база!$B$2:$B$100,0)),"")</f>
        <v/>
      </c>
    </row>
    <row r="390" spans="1:41">
      <c r="A390" s="207" t="str">
        <f t="shared" si="12"/>
        <v>январь</v>
      </c>
      <c r="B390" s="240">
        <v>2024</v>
      </c>
      <c r="C390" s="648"/>
      <c r="D390" s="591"/>
      <c r="E390" s="243"/>
      <c r="F390" s="672"/>
      <c r="G390" s="242"/>
      <c r="H390" s="592"/>
      <c r="I390" s="592"/>
      <c r="J390" s="592"/>
      <c r="K390" s="592"/>
      <c r="L390" s="592"/>
      <c r="M390" s="592"/>
      <c r="N390" s="592"/>
      <c r="O390" s="592"/>
      <c r="P390" s="592"/>
      <c r="Q390" s="592"/>
      <c r="R390" s="592"/>
      <c r="S390" s="592"/>
      <c r="T390" s="592"/>
      <c r="U390" s="592"/>
      <c r="V390" s="592"/>
      <c r="W390" s="592"/>
      <c r="X390" s="592"/>
      <c r="Y390" s="592"/>
      <c r="Z390" s="592"/>
      <c r="AA390" s="592"/>
      <c r="AB390" s="592"/>
      <c r="AC390" s="592"/>
      <c r="AD390" s="592"/>
      <c r="AE390" s="592"/>
      <c r="AF390" s="592"/>
      <c r="AG390" s="592"/>
      <c r="AH390" s="592"/>
      <c r="AI390" s="592"/>
      <c r="AJ390" s="592"/>
      <c r="AK390" s="592"/>
      <c r="AL390" s="592"/>
      <c r="AM390" s="121">
        <f t="shared" si="13"/>
        <v>0</v>
      </c>
      <c r="AN390" s="564">
        <f>IF(AO390&lt;=3,(IF(AND(G390="5/24",AM390&gt;0.5),(AM390*2*база!$M$6*Таблица14[[#This Row],[коэф]]),
IF(AND(G390="4/24",AM390&gt;0.5),(AM390*2*база!$M$5*Таблица14[[#This Row],[коэф]]),
IF(AND(G390="3/24",AM390&gt;0.5),(AM390*2*база!$M$4*Таблица14[[#This Row],[коэф]]),
IF(AND(G390="5/16",AM390&gt;0.5),(AM390*2*база!$L$6*Таблица14[[#This Row],[коэф]]),
IF(AND(G390="4/16",AM390&gt;0.5),(AM390*2*база!$L$5*Таблица14[[#This Row],[коэф]]),
IF(AND(G390="3/16",AM390&gt;0.5),(AM390*2*база!$L$4*Таблица14[[#This Row],[коэф]]),
IF(AND(G390="4/4",AM390&gt;0.5),(AM390*2*база!$I$5*Таблица14[[#This Row],[коэф]]),
IF(OR(AND(G390="3/4",AM390&gt;0.5),AND(G390="2/4",AM390&gt;0.5)),(AM390*2*база!$I$4*Таблица14[[#This Row],[коэф]]),
IF(AND(G390="5/8",AM390&gt;0.5),(AM390*2*база!$J$6*Таблица14[[#This Row],[коэф]]),
IF(AND(G390="4/8",AM390&gt;0.5),(AM390*2*база!$J$5*Таблица14[[#This Row],[коэф]]),
IF(OR(AND(G390="3/8",AM390&gt;0.5),AND(G390="2/8",AM390&gt;0.5)),(AM390*2*база!$J$4*Таблица14[[#This Row],[коэф]]),
(AM390*0.5*база!$L$4*Таблица14[[#This Row],[коэф]]))))))))))))),
(IF(AND(G390="5/24",AM390&gt;0.5),(AM390*2*база!$M$6*Таблица14[[#This Row],[коэф]]),
IF(OR(AND(G390="4/24",AM390&gt;0.5),AND(G390="3/24",AM390&gt;0.5)),(AM390*2*база!$M$5*Таблица14[[#This Row],[коэф]]),
IF(AND(G390="5/16",AM390&gt;0.5),(AM390*2*база!$L$6*Таблица14[[#This Row],[коэф]]),
IF(OR(AND(G390="4/16",AM390&gt;0.5),AND(G390="3/16",AM390&gt;0.5)),(AM390*2*база!$L$5*Таблица14[[#This Row],[коэф]]),
IF(OR(AND(G390="4/4",AM390&gt;0.5),AND(G390="3/4",AM390&gt;2)),(AM390*2*база!$I$5*Таблица14[[#This Row],[коэф]]),
IF(AND(G390="5/8",AM390&gt;0.5),(AM390*2*база!$J$6*Таблица14[[#This Row],[коэф]]),
IF(AND(G390="4/8",AM390&gt;0.5),(AM390*2*база!$J$5*Таблица14[[#This Row],[коэф]]),
IF(OR(AND(G390="3/8",AM390&gt;0.5),AND(G390="2/8",AM390&gt;0.5)),(AM390*2*база!$J$4*Таблица14[[#This Row],[коэф]]),
(AM390*2*база!$L$5*Таблица14[[#This Row],[коэф]])))))))))))</f>
        <v>0</v>
      </c>
      <c r="AO390" s="122" t="str">
        <f>IFERROR(INDEX(база!$D$2:$D$120, MATCH(Таблица14[[#This Row],[Ф. И. О.]],база!$B$2:$B$100,0)),"")</f>
        <v/>
      </c>
    </row>
    <row r="391" spans="1:41">
      <c r="A391" s="207" t="str">
        <f t="shared" si="12"/>
        <v>январь</v>
      </c>
      <c r="B391" s="204">
        <v>2024</v>
      </c>
      <c r="C391" s="571"/>
      <c r="D391" s="205"/>
      <c r="E391" s="243"/>
      <c r="F391" s="681"/>
      <c r="G391" s="206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  <c r="S391" s="49"/>
      <c r="T391" s="49"/>
      <c r="U391" s="49"/>
      <c r="V391" s="49"/>
      <c r="W391" s="49"/>
      <c r="X391" s="49"/>
      <c r="Y391" s="49"/>
      <c r="Z391" s="49"/>
      <c r="AA391" s="49"/>
      <c r="AB391" s="49"/>
      <c r="AC391" s="49"/>
      <c r="AD391" s="49"/>
      <c r="AE391" s="49"/>
      <c r="AF391" s="49"/>
      <c r="AG391" s="49"/>
      <c r="AH391" s="49"/>
      <c r="AI391" s="49"/>
      <c r="AJ391" s="49"/>
      <c r="AK391" s="49"/>
      <c r="AL391" s="49"/>
      <c r="AM391" s="121">
        <f t="shared" si="13"/>
        <v>0</v>
      </c>
      <c r="AN391" s="564">
        <f>IF(AO391&lt;=3,(IF(AND(G391="5/24",AM391&gt;0.5),(AM391*2*база!$M$6*Таблица14[[#This Row],[коэф]]),
IF(AND(G391="4/24",AM391&gt;0.5),(AM391*2*база!$M$5*Таблица14[[#This Row],[коэф]]),
IF(AND(G391="3/24",AM391&gt;0.5),(AM391*2*база!$M$4*Таблица14[[#This Row],[коэф]]),
IF(AND(G391="5/16",AM391&gt;0.5),(AM391*2*база!$L$6*Таблица14[[#This Row],[коэф]]),
IF(AND(G391="4/16",AM391&gt;0.5),(AM391*2*база!$L$5*Таблица14[[#This Row],[коэф]]),
IF(AND(G391="3/16",AM391&gt;0.5),(AM391*2*база!$L$4*Таблица14[[#This Row],[коэф]]),
IF(AND(G391="4/4",AM391&gt;0.5),(AM391*2*база!$I$5*Таблица14[[#This Row],[коэф]]),
IF(OR(AND(G391="3/4",AM391&gt;0.5),AND(G391="2/4",AM391&gt;0.5)),(AM391*2*база!$I$4*Таблица14[[#This Row],[коэф]]),
IF(AND(G391="5/8",AM391&gt;0.5),(AM391*2*база!$J$6*Таблица14[[#This Row],[коэф]]),
IF(AND(G391="4/8",AM391&gt;0.5),(AM391*2*база!$J$5*Таблица14[[#This Row],[коэф]]),
IF(OR(AND(G391="3/8",AM391&gt;0.5),AND(G391="2/8",AM391&gt;0.5)),(AM391*2*база!$J$4*Таблица14[[#This Row],[коэф]]),
(AM391*0.5*база!$L$4*Таблица14[[#This Row],[коэф]]))))))))))))),
(IF(AND(G391="5/24",AM391&gt;0.5),(AM391*2*база!$M$6*Таблица14[[#This Row],[коэф]]),
IF(OR(AND(G391="4/24",AM391&gt;0.5),AND(G391="3/24",AM391&gt;0.5)),(AM391*2*база!$M$5*Таблица14[[#This Row],[коэф]]),
IF(AND(G391="5/16",AM391&gt;0.5),(AM391*2*база!$L$6*Таблица14[[#This Row],[коэф]]),
IF(OR(AND(G391="4/16",AM391&gt;0.5),AND(G391="3/16",AM391&gt;0.5)),(AM391*2*база!$L$5*Таблица14[[#This Row],[коэф]]),
IF(OR(AND(G391="4/4",AM391&gt;0.5),AND(G391="3/4",AM391&gt;2)),(AM391*2*база!$I$5*Таблица14[[#This Row],[коэф]]),
IF(AND(G391="5/8",AM391&gt;0.5),(AM391*2*база!$J$6*Таблица14[[#This Row],[коэф]]),
IF(AND(G391="4/8",AM391&gt;0.5),(AM391*2*база!$J$5*Таблица14[[#This Row],[коэф]]),
IF(OR(AND(G391="3/8",AM391&gt;0.5),AND(G391="2/8",AM391&gt;0.5)),(AM391*2*база!$J$4*Таблица14[[#This Row],[коэф]]),
(AM391*2*база!$L$5*Таблица14[[#This Row],[коэф]])))))))))))</f>
        <v>0</v>
      </c>
      <c r="AO391" s="122" t="str">
        <f>IFERROR(INDEX(база!$D$2:$D$120, MATCH(Таблица14[[#This Row],[Ф. И. О.]],база!$B$2:$B$100,0)),"")</f>
        <v/>
      </c>
    </row>
    <row r="392" spans="1:41">
      <c r="A392" s="207" t="str">
        <f t="shared" si="12"/>
        <v>январь</v>
      </c>
      <c r="B392" s="240">
        <v>2024</v>
      </c>
      <c r="C392" s="648"/>
      <c r="D392" s="591"/>
      <c r="E392" s="243"/>
      <c r="F392" s="679"/>
      <c r="G392" s="242"/>
      <c r="H392" s="592"/>
      <c r="I392" s="592"/>
      <c r="J392" s="592"/>
      <c r="K392" s="592"/>
      <c r="L392" s="592"/>
      <c r="M392" s="592"/>
      <c r="N392" s="592"/>
      <c r="O392" s="592"/>
      <c r="P392" s="592"/>
      <c r="Q392" s="592"/>
      <c r="R392" s="592"/>
      <c r="S392" s="592"/>
      <c r="T392" s="592"/>
      <c r="U392" s="592"/>
      <c r="V392" s="592"/>
      <c r="W392" s="592"/>
      <c r="X392" s="592"/>
      <c r="Y392" s="592"/>
      <c r="Z392" s="592"/>
      <c r="AA392" s="592"/>
      <c r="AB392" s="592"/>
      <c r="AC392" s="592"/>
      <c r="AD392" s="592"/>
      <c r="AE392" s="592"/>
      <c r="AF392" s="592"/>
      <c r="AG392" s="592"/>
      <c r="AH392" s="592"/>
      <c r="AI392" s="592"/>
      <c r="AJ392" s="592"/>
      <c r="AK392" s="592"/>
      <c r="AL392" s="592"/>
      <c r="AM392" s="121">
        <f t="shared" si="13"/>
        <v>0</v>
      </c>
      <c r="AN392" s="564">
        <f>IF(AO392&lt;=3,(IF(AND(G392="5/24",AM392&gt;0.5),(AM392*2*база!$M$6*Таблица14[[#This Row],[коэф]]),
IF(AND(G392="4/24",AM392&gt;0.5),(AM392*2*база!$M$5*Таблица14[[#This Row],[коэф]]),
IF(AND(G392="3/24",AM392&gt;0.5),(AM392*2*база!$M$4*Таблица14[[#This Row],[коэф]]),
IF(AND(G392="5/16",AM392&gt;0.5),(AM392*2*база!$L$6*Таблица14[[#This Row],[коэф]]),
IF(AND(G392="4/16",AM392&gt;0.5),(AM392*2*база!$L$5*Таблица14[[#This Row],[коэф]]),
IF(AND(G392="3/16",AM392&gt;0.5),(AM392*2*база!$L$4*Таблица14[[#This Row],[коэф]]),
IF(AND(G392="4/4",AM392&gt;0.5),(AM392*2*база!$I$5*Таблица14[[#This Row],[коэф]]),
IF(OR(AND(G392="3/4",AM392&gt;0.5),AND(G392="2/4",AM392&gt;0.5)),(AM392*2*база!$I$4*Таблица14[[#This Row],[коэф]]),
IF(AND(G392="5/8",AM392&gt;0.5),(AM392*2*база!$J$6*Таблица14[[#This Row],[коэф]]),
IF(AND(G392="4/8",AM392&gt;0.5),(AM392*2*база!$J$5*Таблица14[[#This Row],[коэф]]),
IF(OR(AND(G392="3/8",AM392&gt;0.5),AND(G392="2/8",AM392&gt;0.5)),(AM392*2*база!$J$4*Таблица14[[#This Row],[коэф]]),
(AM392*0.5*база!$L$4*Таблица14[[#This Row],[коэф]]))))))))))))),
(IF(AND(G392="5/24",AM392&gt;0.5),(AM392*2*база!$M$6*Таблица14[[#This Row],[коэф]]),
IF(OR(AND(G392="4/24",AM392&gt;0.5),AND(G392="3/24",AM392&gt;0.5)),(AM392*2*база!$M$5*Таблица14[[#This Row],[коэф]]),
IF(AND(G392="5/16",AM392&gt;0.5),(AM392*2*база!$L$6*Таблица14[[#This Row],[коэф]]),
IF(OR(AND(G392="4/16",AM392&gt;0.5),AND(G392="3/16",AM392&gt;0.5)),(AM392*2*база!$L$5*Таблица14[[#This Row],[коэф]]),
IF(OR(AND(G392="4/4",AM392&gt;0.5),AND(G392="3/4",AM392&gt;2)),(AM392*2*база!$I$5*Таблица14[[#This Row],[коэф]]),
IF(AND(G392="5/8",AM392&gt;0.5),(AM392*2*база!$J$6*Таблица14[[#This Row],[коэф]]),
IF(AND(G392="4/8",AM392&gt;0.5),(AM392*2*база!$J$5*Таблица14[[#This Row],[коэф]]),
IF(OR(AND(G392="3/8",AM392&gt;0.5),AND(G392="2/8",AM392&gt;0.5)),(AM392*2*база!$J$4*Таблица14[[#This Row],[коэф]]),
(AM392*2*база!$L$5*Таблица14[[#This Row],[коэф]])))))))))))</f>
        <v>0</v>
      </c>
      <c r="AO392" s="122" t="str">
        <f>IFERROR(INDEX(база!$D$2:$D$120, MATCH(Таблица14[[#This Row],[Ф. И. О.]],база!$B$2:$B$100,0)),"")</f>
        <v/>
      </c>
    </row>
    <row r="393" spans="1:41">
      <c r="A393" s="207" t="str">
        <f t="shared" si="12"/>
        <v>январь</v>
      </c>
      <c r="B393" s="204">
        <v>2024</v>
      </c>
      <c r="C393" s="571"/>
      <c r="D393" s="205"/>
      <c r="E393" s="243"/>
      <c r="F393" s="681"/>
      <c r="G393" s="206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  <c r="S393" s="49"/>
      <c r="T393" s="49"/>
      <c r="U393" s="49"/>
      <c r="V393" s="49"/>
      <c r="W393" s="49"/>
      <c r="X393" s="49"/>
      <c r="Y393" s="49"/>
      <c r="Z393" s="49"/>
      <c r="AA393" s="49"/>
      <c r="AB393" s="49"/>
      <c r="AC393" s="49"/>
      <c r="AD393" s="49"/>
      <c r="AE393" s="49"/>
      <c r="AF393" s="49"/>
      <c r="AG393" s="49"/>
      <c r="AH393" s="49"/>
      <c r="AI393" s="49"/>
      <c r="AJ393" s="49"/>
      <c r="AK393" s="49"/>
      <c r="AL393" s="49"/>
      <c r="AM393" s="121">
        <f t="shared" si="13"/>
        <v>0</v>
      </c>
      <c r="AN393" s="564">
        <f>IF(AO393&lt;=3,(IF(AND(G393="5/24",AM393&gt;0.5),(AM393*2*база!$M$6*Таблица14[[#This Row],[коэф]]),
IF(AND(G393="4/24",AM393&gt;0.5),(AM393*2*база!$M$5*Таблица14[[#This Row],[коэф]]),
IF(AND(G393="3/24",AM393&gt;0.5),(AM393*2*база!$M$4*Таблица14[[#This Row],[коэф]]),
IF(AND(G393="5/16",AM393&gt;0.5),(AM393*2*база!$L$6*Таблица14[[#This Row],[коэф]]),
IF(AND(G393="4/16",AM393&gt;0.5),(AM393*2*база!$L$5*Таблица14[[#This Row],[коэф]]),
IF(AND(G393="3/16",AM393&gt;0.5),(AM393*2*база!$L$4*Таблица14[[#This Row],[коэф]]),
IF(AND(G393="4/4",AM393&gt;0.5),(AM393*2*база!$I$5*Таблица14[[#This Row],[коэф]]),
IF(OR(AND(G393="3/4",AM393&gt;0.5),AND(G393="2/4",AM393&gt;0.5)),(AM393*2*база!$I$4*Таблица14[[#This Row],[коэф]]),
IF(AND(G393="5/8",AM393&gt;0.5),(AM393*2*база!$J$6*Таблица14[[#This Row],[коэф]]),
IF(AND(G393="4/8",AM393&gt;0.5),(AM393*2*база!$J$5*Таблица14[[#This Row],[коэф]]),
IF(OR(AND(G393="3/8",AM393&gt;0.5),AND(G393="2/8",AM393&gt;0.5)),(AM393*2*база!$J$4*Таблица14[[#This Row],[коэф]]),
(AM393*0.5*база!$L$4*Таблица14[[#This Row],[коэф]]))))))))))))),
(IF(AND(G393="5/24",AM393&gt;0.5),(AM393*2*база!$M$6*Таблица14[[#This Row],[коэф]]),
IF(OR(AND(G393="4/24",AM393&gt;0.5),AND(G393="3/24",AM393&gt;0.5)),(AM393*2*база!$M$5*Таблица14[[#This Row],[коэф]]),
IF(AND(G393="5/16",AM393&gt;0.5),(AM393*2*база!$L$6*Таблица14[[#This Row],[коэф]]),
IF(OR(AND(G393="4/16",AM393&gt;0.5),AND(G393="3/16",AM393&gt;0.5)),(AM393*2*база!$L$5*Таблица14[[#This Row],[коэф]]),
IF(OR(AND(G393="4/4",AM393&gt;0.5),AND(G393="3/4",AM393&gt;2)),(AM393*2*база!$I$5*Таблица14[[#This Row],[коэф]]),
IF(AND(G393="5/8",AM393&gt;0.5),(AM393*2*база!$J$6*Таблица14[[#This Row],[коэф]]),
IF(AND(G393="4/8",AM393&gt;0.5),(AM393*2*база!$J$5*Таблица14[[#This Row],[коэф]]),
IF(OR(AND(G393="3/8",AM393&gt;0.5),AND(G393="2/8",AM393&gt;0.5)),(AM393*2*база!$J$4*Таблица14[[#This Row],[коэф]]),
(AM393*2*база!$L$5*Таблица14[[#This Row],[коэф]])))))))))))</f>
        <v>0</v>
      </c>
      <c r="AO393" s="122" t="str">
        <f>IFERROR(INDEX(база!$D$2:$D$120, MATCH(Таблица14[[#This Row],[Ф. И. О.]],база!$B$2:$B$100,0)),"")</f>
        <v/>
      </c>
    </row>
    <row r="394" spans="1:41">
      <c r="A394" s="207" t="str">
        <f t="shared" si="12"/>
        <v>январь</v>
      </c>
      <c r="B394" s="240">
        <v>2024</v>
      </c>
      <c r="C394" s="648"/>
      <c r="D394" s="591"/>
      <c r="E394" s="243"/>
      <c r="F394" s="679"/>
      <c r="G394" s="242"/>
      <c r="H394" s="592"/>
      <c r="I394" s="592"/>
      <c r="J394" s="592"/>
      <c r="K394" s="592"/>
      <c r="L394" s="592"/>
      <c r="M394" s="592"/>
      <c r="N394" s="592"/>
      <c r="O394" s="592"/>
      <c r="P394" s="592"/>
      <c r="Q394" s="592"/>
      <c r="R394" s="592"/>
      <c r="S394" s="592"/>
      <c r="T394" s="592"/>
      <c r="U394" s="592"/>
      <c r="V394" s="592"/>
      <c r="W394" s="592"/>
      <c r="X394" s="592"/>
      <c r="Y394" s="592"/>
      <c r="Z394" s="592"/>
      <c r="AA394" s="592"/>
      <c r="AB394" s="592"/>
      <c r="AC394" s="592"/>
      <c r="AD394" s="592"/>
      <c r="AE394" s="592"/>
      <c r="AF394" s="592"/>
      <c r="AG394" s="592"/>
      <c r="AH394" s="592"/>
      <c r="AI394" s="592"/>
      <c r="AJ394" s="592"/>
      <c r="AK394" s="592"/>
      <c r="AL394" s="592"/>
      <c r="AM394" s="121">
        <f t="shared" si="13"/>
        <v>0</v>
      </c>
      <c r="AN394" s="564">
        <f>IF(AO394&lt;=3,(IF(AND(G394="5/24",AM394&gt;0.5),(AM394*2*база!$M$6*Таблица14[[#This Row],[коэф]]),
IF(AND(G394="4/24",AM394&gt;0.5),(AM394*2*база!$M$5*Таблица14[[#This Row],[коэф]]),
IF(AND(G394="3/24",AM394&gt;0.5),(AM394*2*база!$M$4*Таблица14[[#This Row],[коэф]]),
IF(AND(G394="5/16",AM394&gt;0.5),(AM394*2*база!$L$6*Таблица14[[#This Row],[коэф]]),
IF(AND(G394="4/16",AM394&gt;0.5),(AM394*2*база!$L$5*Таблица14[[#This Row],[коэф]]),
IF(AND(G394="3/16",AM394&gt;0.5),(AM394*2*база!$L$4*Таблица14[[#This Row],[коэф]]),
IF(AND(G394="4/4",AM394&gt;0.5),(AM394*2*база!$I$5*Таблица14[[#This Row],[коэф]]),
IF(OR(AND(G394="3/4",AM394&gt;0.5),AND(G394="2/4",AM394&gt;0.5)),(AM394*2*база!$I$4*Таблица14[[#This Row],[коэф]]),
IF(AND(G394="5/8",AM394&gt;0.5),(AM394*2*база!$J$6*Таблица14[[#This Row],[коэф]]),
IF(AND(G394="4/8",AM394&gt;0.5),(AM394*2*база!$J$5*Таблица14[[#This Row],[коэф]]),
IF(OR(AND(G394="3/8",AM394&gt;0.5),AND(G394="2/8",AM394&gt;0.5)),(AM394*2*база!$J$4*Таблица14[[#This Row],[коэф]]),
(AM394*0.5*база!$L$4*Таблица14[[#This Row],[коэф]]))))))))))))),
(IF(AND(G394="5/24",AM394&gt;0.5),(AM394*2*база!$M$6*Таблица14[[#This Row],[коэф]]),
IF(OR(AND(G394="4/24",AM394&gt;0.5),AND(G394="3/24",AM394&gt;0.5)),(AM394*2*база!$M$5*Таблица14[[#This Row],[коэф]]),
IF(AND(G394="5/16",AM394&gt;0.5),(AM394*2*база!$L$6*Таблица14[[#This Row],[коэф]]),
IF(OR(AND(G394="4/16",AM394&gt;0.5),AND(G394="3/16",AM394&gt;0.5)),(AM394*2*база!$L$5*Таблица14[[#This Row],[коэф]]),
IF(OR(AND(G394="4/4",AM394&gt;0.5),AND(G394="3/4",AM394&gt;2)),(AM394*2*база!$I$5*Таблица14[[#This Row],[коэф]]),
IF(AND(G394="5/8",AM394&gt;0.5),(AM394*2*база!$J$6*Таблица14[[#This Row],[коэф]]),
IF(AND(G394="4/8",AM394&gt;0.5),(AM394*2*база!$J$5*Таблица14[[#This Row],[коэф]]),
IF(OR(AND(G394="3/8",AM394&gt;0.5),AND(G394="2/8",AM394&gt;0.5)),(AM394*2*база!$J$4*Таблица14[[#This Row],[коэф]]),
(AM394*2*база!$L$5*Таблица14[[#This Row],[коэф]])))))))))))</f>
        <v>0</v>
      </c>
      <c r="AO394" s="122" t="str">
        <f>IFERROR(INDEX(база!$D$2:$D$120, MATCH(Таблица14[[#This Row],[Ф. И. О.]],база!$B$2:$B$100,0)),"")</f>
        <v/>
      </c>
    </row>
    <row r="395" spans="1:41">
      <c r="A395" s="207" t="str">
        <f t="shared" si="12"/>
        <v>январь</v>
      </c>
      <c r="B395" s="204">
        <v>2024</v>
      </c>
      <c r="C395" s="571"/>
      <c r="D395" s="205"/>
      <c r="E395" s="243"/>
      <c r="F395" s="681"/>
      <c r="G395" s="206"/>
      <c r="H395" s="49"/>
      <c r="I395" s="49"/>
      <c r="J395" s="49"/>
      <c r="K395" s="49"/>
      <c r="L395" s="49"/>
      <c r="M395" s="49"/>
      <c r="N395" s="49"/>
      <c r="O395" s="49"/>
      <c r="P395" s="49"/>
      <c r="Q395" s="49"/>
      <c r="R395" s="49"/>
      <c r="S395" s="49"/>
      <c r="T395" s="49"/>
      <c r="U395" s="49"/>
      <c r="V395" s="49"/>
      <c r="W395" s="49"/>
      <c r="X395" s="49"/>
      <c r="Y395" s="49"/>
      <c r="Z395" s="49"/>
      <c r="AA395" s="49"/>
      <c r="AB395" s="49"/>
      <c r="AC395" s="49"/>
      <c r="AD395" s="49"/>
      <c r="AE395" s="49"/>
      <c r="AF395" s="49"/>
      <c r="AG395" s="49"/>
      <c r="AH395" s="49"/>
      <c r="AI395" s="49"/>
      <c r="AJ395" s="49"/>
      <c r="AK395" s="49"/>
      <c r="AL395" s="49"/>
      <c r="AM395" s="121">
        <f t="shared" si="13"/>
        <v>0</v>
      </c>
      <c r="AN395" s="564">
        <f>IF(AO395&lt;=3,(IF(AND(G395="5/24",AM395&gt;0.5),(AM395*2*база!$M$6*Таблица14[[#This Row],[коэф]]),
IF(AND(G395="4/24",AM395&gt;0.5),(AM395*2*база!$M$5*Таблица14[[#This Row],[коэф]]),
IF(AND(G395="3/24",AM395&gt;0.5),(AM395*2*база!$M$4*Таблица14[[#This Row],[коэф]]),
IF(AND(G395="5/16",AM395&gt;0.5),(AM395*2*база!$L$6*Таблица14[[#This Row],[коэф]]),
IF(AND(G395="4/16",AM395&gt;0.5),(AM395*2*база!$L$5*Таблица14[[#This Row],[коэф]]),
IF(AND(G395="3/16",AM395&gt;0.5),(AM395*2*база!$L$4*Таблица14[[#This Row],[коэф]]),
IF(AND(G395="4/4",AM395&gt;0.5),(AM395*2*база!$I$5*Таблица14[[#This Row],[коэф]]),
IF(OR(AND(G395="3/4",AM395&gt;0.5),AND(G395="2/4",AM395&gt;0.5)),(AM395*2*база!$I$4*Таблица14[[#This Row],[коэф]]),
IF(AND(G395="5/8",AM395&gt;0.5),(AM395*2*база!$J$6*Таблица14[[#This Row],[коэф]]),
IF(AND(G395="4/8",AM395&gt;0.5),(AM395*2*база!$J$5*Таблица14[[#This Row],[коэф]]),
IF(OR(AND(G395="3/8",AM395&gt;0.5),AND(G395="2/8",AM395&gt;0.5)),(AM395*2*база!$J$4*Таблица14[[#This Row],[коэф]]),
(AM395*0.5*база!$L$4*Таблица14[[#This Row],[коэф]]))))))))))))),
(IF(AND(G395="5/24",AM395&gt;0.5),(AM395*2*база!$M$6*Таблица14[[#This Row],[коэф]]),
IF(OR(AND(G395="4/24",AM395&gt;0.5),AND(G395="3/24",AM395&gt;0.5)),(AM395*2*база!$M$5*Таблица14[[#This Row],[коэф]]),
IF(AND(G395="5/16",AM395&gt;0.5),(AM395*2*база!$L$6*Таблица14[[#This Row],[коэф]]),
IF(OR(AND(G395="4/16",AM395&gt;0.5),AND(G395="3/16",AM395&gt;0.5)),(AM395*2*база!$L$5*Таблица14[[#This Row],[коэф]]),
IF(OR(AND(G395="4/4",AM395&gt;0.5),AND(G395="3/4",AM395&gt;2)),(AM395*2*база!$I$5*Таблица14[[#This Row],[коэф]]),
IF(AND(G395="5/8",AM395&gt;0.5),(AM395*2*база!$J$6*Таблица14[[#This Row],[коэф]]),
IF(AND(G395="4/8",AM395&gt;0.5),(AM395*2*база!$J$5*Таблица14[[#This Row],[коэф]]),
IF(OR(AND(G395="3/8",AM395&gt;0.5),AND(G395="2/8",AM395&gt;0.5)),(AM395*2*база!$J$4*Таблица14[[#This Row],[коэф]]),
(AM395*2*база!$L$5*Таблица14[[#This Row],[коэф]])))))))))))</f>
        <v>0</v>
      </c>
      <c r="AO395" s="122" t="str">
        <f>IFERROR(INDEX(база!$D$2:$D$120, MATCH(Таблица14[[#This Row],[Ф. И. О.]],база!$B$2:$B$100,0)),"")</f>
        <v/>
      </c>
    </row>
    <row r="396" spans="1:41">
      <c r="A396" s="207" t="str">
        <f t="shared" si="12"/>
        <v>январь</v>
      </c>
      <c r="B396" s="240">
        <v>2024</v>
      </c>
      <c r="C396" s="648"/>
      <c r="D396" s="591"/>
      <c r="E396" s="243"/>
      <c r="F396" s="681"/>
      <c r="G396" s="242"/>
      <c r="H396" s="592"/>
      <c r="I396" s="592"/>
      <c r="J396" s="592"/>
      <c r="K396" s="592"/>
      <c r="L396" s="592"/>
      <c r="M396" s="592"/>
      <c r="N396" s="592"/>
      <c r="O396" s="592"/>
      <c r="P396" s="592"/>
      <c r="Q396" s="592"/>
      <c r="R396" s="592"/>
      <c r="S396" s="592"/>
      <c r="T396" s="592"/>
      <c r="U396" s="592"/>
      <c r="V396" s="592"/>
      <c r="W396" s="592"/>
      <c r="X396" s="592"/>
      <c r="Y396" s="592"/>
      <c r="Z396" s="592"/>
      <c r="AA396" s="592"/>
      <c r="AB396" s="592"/>
      <c r="AC396" s="592"/>
      <c r="AD396" s="592"/>
      <c r="AE396" s="592"/>
      <c r="AF396" s="592"/>
      <c r="AG396" s="592"/>
      <c r="AH396" s="592"/>
      <c r="AI396" s="592"/>
      <c r="AJ396" s="592"/>
      <c r="AK396" s="592"/>
      <c r="AL396" s="592"/>
      <c r="AM396" s="121">
        <f t="shared" si="13"/>
        <v>0</v>
      </c>
      <c r="AN396" s="564">
        <f>IF(AO396&lt;=3,(IF(AND(G396="5/24",AM396&gt;0.5),(AM396*2*база!$M$6*Таблица14[[#This Row],[коэф]]),
IF(AND(G396="4/24",AM396&gt;0.5),(AM396*2*база!$M$5*Таблица14[[#This Row],[коэф]]),
IF(AND(G396="3/24",AM396&gt;0.5),(AM396*2*база!$M$4*Таблица14[[#This Row],[коэф]]),
IF(AND(G396="5/16",AM396&gt;0.5),(AM396*2*база!$L$6*Таблица14[[#This Row],[коэф]]),
IF(AND(G396="4/16",AM396&gt;0.5),(AM396*2*база!$L$5*Таблица14[[#This Row],[коэф]]),
IF(AND(G396="3/16",AM396&gt;0.5),(AM396*2*база!$L$4*Таблица14[[#This Row],[коэф]]),
IF(AND(G396="4/4",AM396&gt;0.5),(AM396*2*база!$I$5*Таблица14[[#This Row],[коэф]]),
IF(OR(AND(G396="3/4",AM396&gt;0.5),AND(G396="2/4",AM396&gt;0.5)),(AM396*2*база!$I$4*Таблица14[[#This Row],[коэф]]),
IF(AND(G396="5/8",AM396&gt;0.5),(AM396*2*база!$J$6*Таблица14[[#This Row],[коэф]]),
IF(AND(G396="4/8",AM396&gt;0.5),(AM396*2*база!$J$5*Таблица14[[#This Row],[коэф]]),
IF(OR(AND(G396="3/8",AM396&gt;0.5),AND(G396="2/8",AM396&gt;0.5)),(AM396*2*база!$J$4*Таблица14[[#This Row],[коэф]]),
(AM396*0.5*база!$L$4*Таблица14[[#This Row],[коэф]]))))))))))))),
(IF(AND(G396="5/24",AM396&gt;0.5),(AM396*2*база!$M$6*Таблица14[[#This Row],[коэф]]),
IF(OR(AND(G396="4/24",AM396&gt;0.5),AND(G396="3/24",AM396&gt;0.5)),(AM396*2*база!$M$5*Таблица14[[#This Row],[коэф]]),
IF(AND(G396="5/16",AM396&gt;0.5),(AM396*2*база!$L$6*Таблица14[[#This Row],[коэф]]),
IF(OR(AND(G396="4/16",AM396&gt;0.5),AND(G396="3/16",AM396&gt;0.5)),(AM396*2*база!$L$5*Таблица14[[#This Row],[коэф]]),
IF(OR(AND(G396="4/4",AM396&gt;0.5),AND(G396="3/4",AM396&gt;2)),(AM396*2*база!$I$5*Таблица14[[#This Row],[коэф]]),
IF(AND(G396="5/8",AM396&gt;0.5),(AM396*2*база!$J$6*Таблица14[[#This Row],[коэф]]),
IF(AND(G396="4/8",AM396&gt;0.5),(AM396*2*база!$J$5*Таблица14[[#This Row],[коэф]]),
IF(OR(AND(G396="3/8",AM396&gt;0.5),AND(G396="2/8",AM396&gt;0.5)),(AM396*2*база!$J$4*Таблица14[[#This Row],[коэф]]),
(AM396*2*база!$L$5*Таблица14[[#This Row],[коэф]])))))))))))</f>
        <v>0</v>
      </c>
      <c r="AO396" s="122" t="str">
        <f>IFERROR(INDEX(база!$D$2:$D$120, MATCH(Таблица14[[#This Row],[Ф. И. О.]],база!$B$2:$B$100,0)),"")</f>
        <v/>
      </c>
    </row>
    <row r="397" spans="1:41">
      <c r="A397" s="207" t="str">
        <f t="shared" si="12"/>
        <v>январь</v>
      </c>
      <c r="B397" s="204">
        <v>2024</v>
      </c>
      <c r="C397" s="571"/>
      <c r="D397" s="205"/>
      <c r="E397" s="243"/>
      <c r="F397" s="679"/>
      <c r="G397" s="206"/>
      <c r="H397" s="49"/>
      <c r="I397" s="49"/>
      <c r="J397" s="49"/>
      <c r="K397" s="49"/>
      <c r="L397" s="49"/>
      <c r="M397" s="49"/>
      <c r="N397" s="49"/>
      <c r="O397" s="49"/>
      <c r="P397" s="49"/>
      <c r="Q397" s="49"/>
      <c r="R397" s="49"/>
      <c r="S397" s="49"/>
      <c r="T397" s="49"/>
      <c r="U397" s="49"/>
      <c r="V397" s="49"/>
      <c r="W397" s="49"/>
      <c r="X397" s="49"/>
      <c r="Y397" s="49"/>
      <c r="Z397" s="49"/>
      <c r="AA397" s="49"/>
      <c r="AB397" s="49"/>
      <c r="AC397" s="49"/>
      <c r="AD397" s="49"/>
      <c r="AE397" s="49"/>
      <c r="AF397" s="49"/>
      <c r="AG397" s="49"/>
      <c r="AH397" s="49"/>
      <c r="AI397" s="49"/>
      <c r="AJ397" s="49"/>
      <c r="AK397" s="49"/>
      <c r="AL397" s="49"/>
      <c r="AM397" s="121">
        <f t="shared" si="13"/>
        <v>0</v>
      </c>
      <c r="AN397" s="564">
        <f>IF(AO397&lt;=3,(IF(AND(G397="5/24",AM397&gt;0.5),(AM397*2*база!$M$6*Таблица14[[#This Row],[коэф]]),
IF(AND(G397="4/24",AM397&gt;0.5),(AM397*2*база!$M$5*Таблица14[[#This Row],[коэф]]),
IF(AND(G397="3/24",AM397&gt;0.5),(AM397*2*база!$M$4*Таблица14[[#This Row],[коэф]]),
IF(AND(G397="5/16",AM397&gt;0.5),(AM397*2*база!$L$6*Таблица14[[#This Row],[коэф]]),
IF(AND(G397="4/16",AM397&gt;0.5),(AM397*2*база!$L$5*Таблица14[[#This Row],[коэф]]),
IF(AND(G397="3/16",AM397&gt;0.5),(AM397*2*база!$L$4*Таблица14[[#This Row],[коэф]]),
IF(AND(G397="4/4",AM397&gt;0.5),(AM397*2*база!$I$5*Таблица14[[#This Row],[коэф]]),
IF(OR(AND(G397="3/4",AM397&gt;0.5),AND(G397="2/4",AM397&gt;0.5)),(AM397*2*база!$I$4*Таблица14[[#This Row],[коэф]]),
IF(AND(G397="5/8",AM397&gt;0.5),(AM397*2*база!$J$6*Таблица14[[#This Row],[коэф]]),
IF(AND(G397="4/8",AM397&gt;0.5),(AM397*2*база!$J$5*Таблица14[[#This Row],[коэф]]),
IF(OR(AND(G397="3/8",AM397&gt;0.5),AND(G397="2/8",AM397&gt;0.5)),(AM397*2*база!$J$4*Таблица14[[#This Row],[коэф]]),
(AM397*0.5*база!$L$4*Таблица14[[#This Row],[коэф]]))))))))))))),
(IF(AND(G397="5/24",AM397&gt;0.5),(AM397*2*база!$M$6*Таблица14[[#This Row],[коэф]]),
IF(OR(AND(G397="4/24",AM397&gt;0.5),AND(G397="3/24",AM397&gt;0.5)),(AM397*2*база!$M$5*Таблица14[[#This Row],[коэф]]),
IF(AND(G397="5/16",AM397&gt;0.5),(AM397*2*база!$L$6*Таблица14[[#This Row],[коэф]]),
IF(OR(AND(G397="4/16",AM397&gt;0.5),AND(G397="3/16",AM397&gt;0.5)),(AM397*2*база!$L$5*Таблица14[[#This Row],[коэф]]),
IF(OR(AND(G397="4/4",AM397&gt;0.5),AND(G397="3/4",AM397&gt;2)),(AM397*2*база!$I$5*Таблица14[[#This Row],[коэф]]),
IF(AND(G397="5/8",AM397&gt;0.5),(AM397*2*база!$J$6*Таблица14[[#This Row],[коэф]]),
IF(AND(G397="4/8",AM397&gt;0.5),(AM397*2*база!$J$5*Таблица14[[#This Row],[коэф]]),
IF(OR(AND(G397="3/8",AM397&gt;0.5),AND(G397="2/8",AM397&gt;0.5)),(AM397*2*база!$J$4*Таблица14[[#This Row],[коэф]]),
(AM397*2*база!$L$5*Таблица14[[#This Row],[коэф]])))))))))))</f>
        <v>0</v>
      </c>
      <c r="AO397" s="122" t="str">
        <f>IFERROR(INDEX(база!$D$2:$D$120, MATCH(Таблица14[[#This Row],[Ф. И. О.]],база!$B$2:$B$100,0)),"")</f>
        <v/>
      </c>
    </row>
    <row r="398" spans="1:41">
      <c r="A398" s="207" t="str">
        <f t="shared" si="12"/>
        <v>январь</v>
      </c>
      <c r="B398" s="240">
        <v>2024</v>
      </c>
      <c r="C398" s="648"/>
      <c r="D398" s="591"/>
      <c r="E398" s="243"/>
      <c r="F398" s="680"/>
      <c r="G398" s="242"/>
      <c r="H398" s="592"/>
      <c r="I398" s="592"/>
      <c r="J398" s="592"/>
      <c r="K398" s="592"/>
      <c r="L398" s="592"/>
      <c r="M398" s="592"/>
      <c r="N398" s="592"/>
      <c r="O398" s="592"/>
      <c r="P398" s="592"/>
      <c r="Q398" s="592"/>
      <c r="R398" s="592"/>
      <c r="S398" s="592"/>
      <c r="T398" s="592"/>
      <c r="U398" s="592"/>
      <c r="V398" s="592"/>
      <c r="W398" s="592"/>
      <c r="X398" s="592"/>
      <c r="Y398" s="592"/>
      <c r="Z398" s="592"/>
      <c r="AA398" s="592"/>
      <c r="AB398" s="592"/>
      <c r="AC398" s="592"/>
      <c r="AD398" s="592"/>
      <c r="AE398" s="592"/>
      <c r="AF398" s="592"/>
      <c r="AG398" s="592"/>
      <c r="AH398" s="592"/>
      <c r="AI398" s="592"/>
      <c r="AJ398" s="592"/>
      <c r="AK398" s="592"/>
      <c r="AL398" s="592"/>
      <c r="AM398" s="121">
        <f t="shared" si="13"/>
        <v>0</v>
      </c>
      <c r="AN398" s="564">
        <f>IF(AO398&lt;=3,(IF(AND(G398="5/24",AM398&gt;0.5),(AM398*2*база!$M$6*Таблица14[[#This Row],[коэф]]),
IF(AND(G398="4/24",AM398&gt;0.5),(AM398*2*база!$M$5*Таблица14[[#This Row],[коэф]]),
IF(AND(G398="3/24",AM398&gt;0.5),(AM398*2*база!$M$4*Таблица14[[#This Row],[коэф]]),
IF(AND(G398="5/16",AM398&gt;0.5),(AM398*2*база!$L$6*Таблица14[[#This Row],[коэф]]),
IF(AND(G398="4/16",AM398&gt;0.5),(AM398*2*база!$L$5*Таблица14[[#This Row],[коэф]]),
IF(AND(G398="3/16",AM398&gt;0.5),(AM398*2*база!$L$4*Таблица14[[#This Row],[коэф]]),
IF(AND(G398="4/4",AM398&gt;0.5),(AM398*2*база!$I$5*Таблица14[[#This Row],[коэф]]),
IF(OR(AND(G398="3/4",AM398&gt;0.5),AND(G398="2/4",AM398&gt;0.5)),(AM398*2*база!$I$4*Таблица14[[#This Row],[коэф]]),
IF(AND(G398="5/8",AM398&gt;0.5),(AM398*2*база!$J$6*Таблица14[[#This Row],[коэф]]),
IF(AND(G398="4/8",AM398&gt;0.5),(AM398*2*база!$J$5*Таблица14[[#This Row],[коэф]]),
IF(OR(AND(G398="3/8",AM398&gt;0.5),AND(G398="2/8",AM398&gt;0.5)),(AM398*2*база!$J$4*Таблица14[[#This Row],[коэф]]),
(AM398*0.5*база!$L$4*Таблица14[[#This Row],[коэф]]))))))))))))),
(IF(AND(G398="5/24",AM398&gt;0.5),(AM398*2*база!$M$6*Таблица14[[#This Row],[коэф]]),
IF(OR(AND(G398="4/24",AM398&gt;0.5),AND(G398="3/24",AM398&gt;0.5)),(AM398*2*база!$M$5*Таблица14[[#This Row],[коэф]]),
IF(AND(G398="5/16",AM398&gt;0.5),(AM398*2*база!$L$6*Таблица14[[#This Row],[коэф]]),
IF(OR(AND(G398="4/16",AM398&gt;0.5),AND(G398="3/16",AM398&gt;0.5)),(AM398*2*база!$L$5*Таблица14[[#This Row],[коэф]]),
IF(OR(AND(G398="4/4",AM398&gt;0.5),AND(G398="3/4",AM398&gt;2)),(AM398*2*база!$I$5*Таблица14[[#This Row],[коэф]]),
IF(AND(G398="5/8",AM398&gt;0.5),(AM398*2*база!$J$6*Таблица14[[#This Row],[коэф]]),
IF(AND(G398="4/8",AM398&gt;0.5),(AM398*2*база!$J$5*Таблица14[[#This Row],[коэф]]),
IF(OR(AND(G398="3/8",AM398&gt;0.5),AND(G398="2/8",AM398&gt;0.5)),(AM398*2*база!$J$4*Таблица14[[#This Row],[коэф]]),
(AM398*2*база!$L$5*Таблица14[[#This Row],[коэф]])))))))))))</f>
        <v>0</v>
      </c>
      <c r="AO398" s="122" t="str">
        <f>IFERROR(INDEX(база!$D$2:$D$120, MATCH(Таблица14[[#This Row],[Ф. И. О.]],база!$B$2:$B$100,0)),"")</f>
        <v/>
      </c>
    </row>
    <row r="399" spans="1:41">
      <c r="A399" s="207" t="str">
        <f t="shared" si="12"/>
        <v>январь</v>
      </c>
      <c r="B399" s="204">
        <v>2024</v>
      </c>
      <c r="C399" s="571"/>
      <c r="D399" s="205"/>
      <c r="E399" s="243"/>
      <c r="F399" s="680"/>
      <c r="G399" s="206"/>
      <c r="H399" s="49"/>
      <c r="I399" s="49"/>
      <c r="J399" s="49"/>
      <c r="K399" s="49"/>
      <c r="L399" s="49"/>
      <c r="M399" s="49"/>
      <c r="N399" s="49"/>
      <c r="O399" s="49"/>
      <c r="P399" s="49"/>
      <c r="Q399" s="49"/>
      <c r="R399" s="49"/>
      <c r="S399" s="49"/>
      <c r="T399" s="49"/>
      <c r="U399" s="49"/>
      <c r="V399" s="49"/>
      <c r="W399" s="49"/>
      <c r="X399" s="49"/>
      <c r="Y399" s="49"/>
      <c r="Z399" s="49"/>
      <c r="AA399" s="49"/>
      <c r="AB399" s="49"/>
      <c r="AC399" s="49"/>
      <c r="AD399" s="49"/>
      <c r="AE399" s="49"/>
      <c r="AF399" s="49"/>
      <c r="AG399" s="49"/>
      <c r="AH399" s="49"/>
      <c r="AI399" s="49"/>
      <c r="AJ399" s="49"/>
      <c r="AK399" s="49"/>
      <c r="AL399" s="49"/>
      <c r="AM399" s="121">
        <f t="shared" si="13"/>
        <v>0</v>
      </c>
      <c r="AN399" s="564">
        <f>IF(AO399&lt;=3,(IF(AND(G399="5/24",AM399&gt;0.5),(AM399*2*база!$M$6*Таблица14[[#This Row],[коэф]]),
IF(AND(G399="4/24",AM399&gt;0.5),(AM399*2*база!$M$5*Таблица14[[#This Row],[коэф]]),
IF(AND(G399="3/24",AM399&gt;0.5),(AM399*2*база!$M$4*Таблица14[[#This Row],[коэф]]),
IF(AND(G399="5/16",AM399&gt;0.5),(AM399*2*база!$L$6*Таблица14[[#This Row],[коэф]]),
IF(AND(G399="4/16",AM399&gt;0.5),(AM399*2*база!$L$5*Таблица14[[#This Row],[коэф]]),
IF(AND(G399="3/16",AM399&gt;0.5),(AM399*2*база!$L$4*Таблица14[[#This Row],[коэф]]),
IF(AND(G399="4/4",AM399&gt;0.5),(AM399*2*база!$I$5*Таблица14[[#This Row],[коэф]]),
IF(OR(AND(G399="3/4",AM399&gt;0.5),AND(G399="2/4",AM399&gt;0.5)),(AM399*2*база!$I$4*Таблица14[[#This Row],[коэф]]),
IF(AND(G399="5/8",AM399&gt;0.5),(AM399*2*база!$J$6*Таблица14[[#This Row],[коэф]]),
IF(AND(G399="4/8",AM399&gt;0.5),(AM399*2*база!$J$5*Таблица14[[#This Row],[коэф]]),
IF(OR(AND(G399="3/8",AM399&gt;0.5),AND(G399="2/8",AM399&gt;0.5)),(AM399*2*база!$J$4*Таблица14[[#This Row],[коэф]]),
(AM399*0.5*база!$L$4*Таблица14[[#This Row],[коэф]]))))))))))))),
(IF(AND(G399="5/24",AM399&gt;0.5),(AM399*2*база!$M$6*Таблица14[[#This Row],[коэф]]),
IF(OR(AND(G399="4/24",AM399&gt;0.5),AND(G399="3/24",AM399&gt;0.5)),(AM399*2*база!$M$5*Таблица14[[#This Row],[коэф]]),
IF(AND(G399="5/16",AM399&gt;0.5),(AM399*2*база!$L$6*Таблица14[[#This Row],[коэф]]),
IF(OR(AND(G399="4/16",AM399&gt;0.5),AND(G399="3/16",AM399&gt;0.5)),(AM399*2*база!$L$5*Таблица14[[#This Row],[коэф]]),
IF(OR(AND(G399="4/4",AM399&gt;0.5),AND(G399="3/4",AM399&gt;2)),(AM399*2*база!$I$5*Таблица14[[#This Row],[коэф]]),
IF(AND(G399="5/8",AM399&gt;0.5),(AM399*2*база!$J$6*Таблица14[[#This Row],[коэф]]),
IF(AND(G399="4/8",AM399&gt;0.5),(AM399*2*база!$J$5*Таблица14[[#This Row],[коэф]]),
IF(OR(AND(G399="3/8",AM399&gt;0.5),AND(G399="2/8",AM399&gt;0.5)),(AM399*2*база!$J$4*Таблица14[[#This Row],[коэф]]),
(AM399*2*база!$L$5*Таблица14[[#This Row],[коэф]])))))))))))</f>
        <v>0</v>
      </c>
      <c r="AO399" s="122" t="str">
        <f>IFERROR(INDEX(база!$D$2:$D$120, MATCH(Таблица14[[#This Row],[Ф. И. О.]],база!$B$2:$B$100,0)),"")</f>
        <v/>
      </c>
    </row>
    <row r="400" spans="1:41">
      <c r="A400" s="207" t="str">
        <f t="shared" si="12"/>
        <v>январь</v>
      </c>
      <c r="B400" s="240">
        <v>2024</v>
      </c>
      <c r="C400" s="648"/>
      <c r="D400" s="591"/>
      <c r="E400" s="243"/>
      <c r="F400" s="680"/>
      <c r="G400" s="242"/>
      <c r="H400" s="592"/>
      <c r="I400" s="592"/>
      <c r="J400" s="592"/>
      <c r="K400" s="592"/>
      <c r="L400" s="592"/>
      <c r="M400" s="592"/>
      <c r="N400" s="592"/>
      <c r="O400" s="592"/>
      <c r="P400" s="592"/>
      <c r="Q400" s="592"/>
      <c r="R400" s="592"/>
      <c r="S400" s="592"/>
      <c r="T400" s="592"/>
      <c r="U400" s="592"/>
      <c r="V400" s="592"/>
      <c r="W400" s="592"/>
      <c r="X400" s="592"/>
      <c r="Y400" s="592"/>
      <c r="Z400" s="592"/>
      <c r="AA400" s="592"/>
      <c r="AB400" s="592"/>
      <c r="AC400" s="592"/>
      <c r="AD400" s="592"/>
      <c r="AE400" s="592"/>
      <c r="AF400" s="592"/>
      <c r="AG400" s="592"/>
      <c r="AH400" s="592"/>
      <c r="AI400" s="592"/>
      <c r="AJ400" s="592"/>
      <c r="AK400" s="592"/>
      <c r="AL400" s="592"/>
      <c r="AM400" s="121">
        <f t="shared" si="13"/>
        <v>0</v>
      </c>
      <c r="AN400" s="564">
        <f>IF(AO400&lt;=3,(IF(AND(G400="5/24",AM400&gt;0.5),(AM400*2*база!$M$6*Таблица14[[#This Row],[коэф]]),
IF(AND(G400="4/24",AM400&gt;0.5),(AM400*2*база!$M$5*Таблица14[[#This Row],[коэф]]),
IF(AND(G400="3/24",AM400&gt;0.5),(AM400*2*база!$M$4*Таблица14[[#This Row],[коэф]]),
IF(AND(G400="5/16",AM400&gt;0.5),(AM400*2*база!$L$6*Таблица14[[#This Row],[коэф]]),
IF(AND(G400="4/16",AM400&gt;0.5),(AM400*2*база!$L$5*Таблица14[[#This Row],[коэф]]),
IF(AND(G400="3/16",AM400&gt;0.5),(AM400*2*база!$L$4*Таблица14[[#This Row],[коэф]]),
IF(AND(G400="4/4",AM400&gt;0.5),(AM400*2*база!$I$5*Таблица14[[#This Row],[коэф]]),
IF(OR(AND(G400="3/4",AM400&gt;0.5),AND(G400="2/4",AM400&gt;0.5)),(AM400*2*база!$I$4*Таблица14[[#This Row],[коэф]]),
IF(AND(G400="5/8",AM400&gt;0.5),(AM400*2*база!$J$6*Таблица14[[#This Row],[коэф]]),
IF(AND(G400="4/8",AM400&gt;0.5),(AM400*2*база!$J$5*Таблица14[[#This Row],[коэф]]),
IF(OR(AND(G400="3/8",AM400&gt;0.5),AND(G400="2/8",AM400&gt;0.5)),(AM400*2*база!$J$4*Таблица14[[#This Row],[коэф]]),
(AM400*0.5*база!$L$4*Таблица14[[#This Row],[коэф]]))))))))))))),
(IF(AND(G400="5/24",AM400&gt;0.5),(AM400*2*база!$M$6*Таблица14[[#This Row],[коэф]]),
IF(OR(AND(G400="4/24",AM400&gt;0.5),AND(G400="3/24",AM400&gt;0.5)),(AM400*2*база!$M$5*Таблица14[[#This Row],[коэф]]),
IF(AND(G400="5/16",AM400&gt;0.5),(AM400*2*база!$L$6*Таблица14[[#This Row],[коэф]]),
IF(OR(AND(G400="4/16",AM400&gt;0.5),AND(G400="3/16",AM400&gt;0.5)),(AM400*2*база!$L$5*Таблица14[[#This Row],[коэф]]),
IF(OR(AND(G400="4/4",AM400&gt;0.5),AND(G400="3/4",AM400&gt;2)),(AM400*2*база!$I$5*Таблица14[[#This Row],[коэф]]),
IF(AND(G400="5/8",AM400&gt;0.5),(AM400*2*база!$J$6*Таблица14[[#This Row],[коэф]]),
IF(AND(G400="4/8",AM400&gt;0.5),(AM400*2*база!$J$5*Таблица14[[#This Row],[коэф]]),
IF(OR(AND(G400="3/8",AM400&gt;0.5),AND(G400="2/8",AM400&gt;0.5)),(AM400*2*база!$J$4*Таблица14[[#This Row],[коэф]]),
(AM400*2*база!$L$5*Таблица14[[#This Row],[коэф]])))))))))))</f>
        <v>0</v>
      </c>
      <c r="AO400" s="122" t="str">
        <f>IFERROR(INDEX(база!$D$2:$D$120, MATCH(Таблица14[[#This Row],[Ф. И. О.]],база!$B$2:$B$100,0)),"")</f>
        <v/>
      </c>
    </row>
    <row r="401" spans="1:41">
      <c r="A401" s="207" t="str">
        <f t="shared" si="12"/>
        <v>январь</v>
      </c>
      <c r="B401" s="204">
        <v>2024</v>
      </c>
      <c r="C401" s="571"/>
      <c r="D401" s="205"/>
      <c r="E401" s="243"/>
      <c r="F401" s="680"/>
      <c r="G401" s="206"/>
      <c r="H401" s="49"/>
      <c r="I401" s="49"/>
      <c r="J401" s="49"/>
      <c r="K401" s="49"/>
      <c r="L401" s="49"/>
      <c r="M401" s="49"/>
      <c r="N401" s="49"/>
      <c r="O401" s="49"/>
      <c r="P401" s="49"/>
      <c r="Q401" s="49"/>
      <c r="R401" s="49"/>
      <c r="S401" s="49"/>
      <c r="T401" s="49"/>
      <c r="U401" s="49"/>
      <c r="V401" s="49"/>
      <c r="W401" s="49"/>
      <c r="X401" s="49"/>
      <c r="Y401" s="49"/>
      <c r="Z401" s="49"/>
      <c r="AA401" s="49"/>
      <c r="AB401" s="49"/>
      <c r="AC401" s="49"/>
      <c r="AD401" s="49"/>
      <c r="AE401" s="49"/>
      <c r="AF401" s="49"/>
      <c r="AG401" s="49"/>
      <c r="AH401" s="49"/>
      <c r="AI401" s="49"/>
      <c r="AJ401" s="49"/>
      <c r="AK401" s="49"/>
      <c r="AL401" s="49"/>
      <c r="AM401" s="121">
        <f t="shared" si="13"/>
        <v>0</v>
      </c>
      <c r="AN401" s="564">
        <f>IF(AO401&lt;=3,(IF(AND(G401="5/24",AM401&gt;0.5),(AM401*2*база!$M$6*Таблица14[[#This Row],[коэф]]),
IF(AND(G401="4/24",AM401&gt;0.5),(AM401*2*база!$M$5*Таблица14[[#This Row],[коэф]]),
IF(AND(G401="3/24",AM401&gt;0.5),(AM401*2*база!$M$4*Таблица14[[#This Row],[коэф]]),
IF(AND(G401="5/16",AM401&gt;0.5),(AM401*2*база!$L$6*Таблица14[[#This Row],[коэф]]),
IF(AND(G401="4/16",AM401&gt;0.5),(AM401*2*база!$L$5*Таблица14[[#This Row],[коэф]]),
IF(AND(G401="3/16",AM401&gt;0.5),(AM401*2*база!$L$4*Таблица14[[#This Row],[коэф]]),
IF(AND(G401="4/4",AM401&gt;0.5),(AM401*2*база!$I$5*Таблица14[[#This Row],[коэф]]),
IF(OR(AND(G401="3/4",AM401&gt;0.5),AND(G401="2/4",AM401&gt;0.5)),(AM401*2*база!$I$4*Таблица14[[#This Row],[коэф]]),
IF(AND(G401="5/8",AM401&gt;0.5),(AM401*2*база!$J$6*Таблица14[[#This Row],[коэф]]),
IF(AND(G401="4/8",AM401&gt;0.5),(AM401*2*база!$J$5*Таблица14[[#This Row],[коэф]]),
IF(OR(AND(G401="3/8",AM401&gt;0.5),AND(G401="2/8",AM401&gt;0.5)),(AM401*2*база!$J$4*Таблица14[[#This Row],[коэф]]),
(AM401*0.5*база!$L$4*Таблица14[[#This Row],[коэф]]))))))))))))),
(IF(AND(G401="5/24",AM401&gt;0.5),(AM401*2*база!$M$6*Таблица14[[#This Row],[коэф]]),
IF(OR(AND(G401="4/24",AM401&gt;0.5),AND(G401="3/24",AM401&gt;0.5)),(AM401*2*база!$M$5*Таблица14[[#This Row],[коэф]]),
IF(AND(G401="5/16",AM401&gt;0.5),(AM401*2*база!$L$6*Таблица14[[#This Row],[коэф]]),
IF(OR(AND(G401="4/16",AM401&gt;0.5),AND(G401="3/16",AM401&gt;0.5)),(AM401*2*база!$L$5*Таблица14[[#This Row],[коэф]]),
IF(OR(AND(G401="4/4",AM401&gt;0.5),AND(G401="3/4",AM401&gt;2)),(AM401*2*база!$I$5*Таблица14[[#This Row],[коэф]]),
IF(AND(G401="5/8",AM401&gt;0.5),(AM401*2*база!$J$6*Таблица14[[#This Row],[коэф]]),
IF(AND(G401="4/8",AM401&gt;0.5),(AM401*2*база!$J$5*Таблица14[[#This Row],[коэф]]),
IF(OR(AND(G401="3/8",AM401&gt;0.5),AND(G401="2/8",AM401&gt;0.5)),(AM401*2*база!$J$4*Таблица14[[#This Row],[коэф]]),
(AM401*2*база!$L$5*Таблица14[[#This Row],[коэф]])))))))))))</f>
        <v>0</v>
      </c>
      <c r="AO401" s="122" t="str">
        <f>IFERROR(INDEX(база!$D$2:$D$120, MATCH(Таблица14[[#This Row],[Ф. И. О.]],база!$B$2:$B$100,0)),"")</f>
        <v/>
      </c>
    </row>
    <row r="402" spans="1:41">
      <c r="A402" s="207" t="str">
        <f t="shared" si="12"/>
        <v>январь</v>
      </c>
      <c r="B402" s="240">
        <v>2024</v>
      </c>
      <c r="C402" s="648"/>
      <c r="D402" s="591"/>
      <c r="E402" s="243"/>
      <c r="F402" s="680"/>
      <c r="G402" s="242"/>
      <c r="H402" s="592"/>
      <c r="I402" s="592"/>
      <c r="J402" s="592"/>
      <c r="K402" s="592"/>
      <c r="L402" s="592"/>
      <c r="M402" s="592"/>
      <c r="N402" s="592"/>
      <c r="O402" s="592"/>
      <c r="P402" s="592"/>
      <c r="Q402" s="592"/>
      <c r="R402" s="592"/>
      <c r="S402" s="592"/>
      <c r="T402" s="592"/>
      <c r="U402" s="592"/>
      <c r="V402" s="592"/>
      <c r="W402" s="592"/>
      <c r="X402" s="592"/>
      <c r="Y402" s="592"/>
      <c r="Z402" s="592"/>
      <c r="AA402" s="592"/>
      <c r="AB402" s="592"/>
      <c r="AC402" s="592"/>
      <c r="AD402" s="592"/>
      <c r="AE402" s="592"/>
      <c r="AF402" s="592"/>
      <c r="AG402" s="592"/>
      <c r="AH402" s="592"/>
      <c r="AI402" s="592"/>
      <c r="AJ402" s="592"/>
      <c r="AK402" s="592"/>
      <c r="AL402" s="592"/>
      <c r="AM402" s="121">
        <f t="shared" si="13"/>
        <v>0</v>
      </c>
      <c r="AN402" s="564">
        <f>IF(AO402&lt;=3,(IF(AND(G402="5/24",AM402&gt;0.5),(AM402*2*база!$M$6*Таблица14[[#This Row],[коэф]]),
IF(AND(G402="4/24",AM402&gt;0.5),(AM402*2*база!$M$5*Таблица14[[#This Row],[коэф]]),
IF(AND(G402="3/24",AM402&gt;0.5),(AM402*2*база!$M$4*Таблица14[[#This Row],[коэф]]),
IF(AND(G402="5/16",AM402&gt;0.5),(AM402*2*база!$L$6*Таблица14[[#This Row],[коэф]]),
IF(AND(G402="4/16",AM402&gt;0.5),(AM402*2*база!$L$5*Таблица14[[#This Row],[коэф]]),
IF(AND(G402="3/16",AM402&gt;0.5),(AM402*2*база!$L$4*Таблица14[[#This Row],[коэф]]),
IF(AND(G402="4/4",AM402&gt;0.5),(AM402*2*база!$I$5*Таблица14[[#This Row],[коэф]]),
IF(OR(AND(G402="3/4",AM402&gt;0.5),AND(G402="2/4",AM402&gt;0.5)),(AM402*2*база!$I$4*Таблица14[[#This Row],[коэф]]),
IF(AND(G402="5/8",AM402&gt;0.5),(AM402*2*база!$J$6*Таблица14[[#This Row],[коэф]]),
IF(AND(G402="4/8",AM402&gt;0.5),(AM402*2*база!$J$5*Таблица14[[#This Row],[коэф]]),
IF(OR(AND(G402="3/8",AM402&gt;0.5),AND(G402="2/8",AM402&gt;0.5)),(AM402*2*база!$J$4*Таблица14[[#This Row],[коэф]]),
(AM402*0.5*база!$L$4*Таблица14[[#This Row],[коэф]]))))))))))))),
(IF(AND(G402="5/24",AM402&gt;0.5),(AM402*2*база!$M$6*Таблица14[[#This Row],[коэф]]),
IF(OR(AND(G402="4/24",AM402&gt;0.5),AND(G402="3/24",AM402&gt;0.5)),(AM402*2*база!$M$5*Таблица14[[#This Row],[коэф]]),
IF(AND(G402="5/16",AM402&gt;0.5),(AM402*2*база!$L$6*Таблица14[[#This Row],[коэф]]),
IF(OR(AND(G402="4/16",AM402&gt;0.5),AND(G402="3/16",AM402&gt;0.5)),(AM402*2*база!$L$5*Таблица14[[#This Row],[коэф]]),
IF(OR(AND(G402="4/4",AM402&gt;0.5),AND(G402="3/4",AM402&gt;2)),(AM402*2*база!$I$5*Таблица14[[#This Row],[коэф]]),
IF(AND(G402="5/8",AM402&gt;0.5),(AM402*2*база!$J$6*Таблица14[[#This Row],[коэф]]),
IF(AND(G402="4/8",AM402&gt;0.5),(AM402*2*база!$J$5*Таблица14[[#This Row],[коэф]]),
IF(OR(AND(G402="3/8",AM402&gt;0.5),AND(G402="2/8",AM402&gt;0.5)),(AM402*2*база!$J$4*Таблица14[[#This Row],[коэф]]),
(AM402*2*база!$L$5*Таблица14[[#This Row],[коэф]])))))))))))</f>
        <v>0</v>
      </c>
      <c r="AO402" s="122" t="str">
        <f>IFERROR(INDEX(база!$D$2:$D$120, MATCH(Таблица14[[#This Row],[Ф. И. О.]],база!$B$2:$B$100,0)),"")</f>
        <v/>
      </c>
    </row>
    <row r="403" spans="1:41">
      <c r="A403" s="207" t="str">
        <f t="shared" si="12"/>
        <v>январь</v>
      </c>
      <c r="B403" s="204">
        <v>2024</v>
      </c>
      <c r="C403" s="571"/>
      <c r="D403" s="205"/>
      <c r="E403" s="243"/>
      <c r="F403" s="680"/>
      <c r="G403" s="206"/>
      <c r="H403" s="49"/>
      <c r="I403" s="49"/>
      <c r="J403" s="49"/>
      <c r="K403" s="49"/>
      <c r="L403" s="49"/>
      <c r="M403" s="49"/>
      <c r="N403" s="49"/>
      <c r="O403" s="49"/>
      <c r="P403" s="49"/>
      <c r="Q403" s="49"/>
      <c r="R403" s="49"/>
      <c r="S403" s="49"/>
      <c r="T403" s="49"/>
      <c r="U403" s="49"/>
      <c r="V403" s="49"/>
      <c r="W403" s="49"/>
      <c r="X403" s="49"/>
      <c r="Y403" s="49"/>
      <c r="Z403" s="49"/>
      <c r="AA403" s="49"/>
      <c r="AB403" s="49"/>
      <c r="AC403" s="49"/>
      <c r="AD403" s="49"/>
      <c r="AE403" s="49"/>
      <c r="AF403" s="49"/>
      <c r="AG403" s="49"/>
      <c r="AH403" s="49"/>
      <c r="AI403" s="49"/>
      <c r="AJ403" s="49"/>
      <c r="AK403" s="49"/>
      <c r="AL403" s="49"/>
      <c r="AM403" s="121">
        <f t="shared" si="13"/>
        <v>0</v>
      </c>
      <c r="AN403" s="564">
        <f>IF(AO403&lt;=3,(IF(AND(G403="5/24",AM403&gt;0.5),(AM403*2*база!$M$6*Таблица14[[#This Row],[коэф]]),
IF(AND(G403="4/24",AM403&gt;0.5),(AM403*2*база!$M$5*Таблица14[[#This Row],[коэф]]),
IF(AND(G403="3/24",AM403&gt;0.5),(AM403*2*база!$M$4*Таблица14[[#This Row],[коэф]]),
IF(AND(G403="5/16",AM403&gt;0.5),(AM403*2*база!$L$6*Таблица14[[#This Row],[коэф]]),
IF(AND(G403="4/16",AM403&gt;0.5),(AM403*2*база!$L$5*Таблица14[[#This Row],[коэф]]),
IF(AND(G403="3/16",AM403&gt;0.5),(AM403*2*база!$L$4*Таблица14[[#This Row],[коэф]]),
IF(AND(G403="4/4",AM403&gt;0.5),(AM403*2*база!$I$5*Таблица14[[#This Row],[коэф]]),
IF(OR(AND(G403="3/4",AM403&gt;0.5),AND(G403="2/4",AM403&gt;0.5)),(AM403*2*база!$I$4*Таблица14[[#This Row],[коэф]]),
IF(AND(G403="5/8",AM403&gt;0.5),(AM403*2*база!$J$6*Таблица14[[#This Row],[коэф]]),
IF(AND(G403="4/8",AM403&gt;0.5),(AM403*2*база!$J$5*Таблица14[[#This Row],[коэф]]),
IF(OR(AND(G403="3/8",AM403&gt;0.5),AND(G403="2/8",AM403&gt;0.5)),(AM403*2*база!$J$4*Таблица14[[#This Row],[коэф]]),
(AM403*0.5*база!$L$4*Таблица14[[#This Row],[коэф]]))))))))))))),
(IF(AND(G403="5/24",AM403&gt;0.5),(AM403*2*база!$M$6*Таблица14[[#This Row],[коэф]]),
IF(OR(AND(G403="4/24",AM403&gt;0.5),AND(G403="3/24",AM403&gt;0.5)),(AM403*2*база!$M$5*Таблица14[[#This Row],[коэф]]),
IF(AND(G403="5/16",AM403&gt;0.5),(AM403*2*база!$L$6*Таблица14[[#This Row],[коэф]]),
IF(OR(AND(G403="4/16",AM403&gt;0.5),AND(G403="3/16",AM403&gt;0.5)),(AM403*2*база!$L$5*Таблица14[[#This Row],[коэф]]),
IF(OR(AND(G403="4/4",AM403&gt;0.5),AND(G403="3/4",AM403&gt;2)),(AM403*2*база!$I$5*Таблица14[[#This Row],[коэф]]),
IF(AND(G403="5/8",AM403&gt;0.5),(AM403*2*база!$J$6*Таблица14[[#This Row],[коэф]]),
IF(AND(G403="4/8",AM403&gt;0.5),(AM403*2*база!$J$5*Таблица14[[#This Row],[коэф]]),
IF(OR(AND(G403="3/8",AM403&gt;0.5),AND(G403="2/8",AM403&gt;0.5)),(AM403*2*база!$J$4*Таблица14[[#This Row],[коэф]]),
(AM403*2*база!$L$5*Таблица14[[#This Row],[коэф]])))))))))))</f>
        <v>0</v>
      </c>
      <c r="AO403" s="122" t="str">
        <f>IFERROR(INDEX(база!$D$2:$D$120, MATCH(Таблица14[[#This Row],[Ф. И. О.]],база!$B$2:$B$100,0)),"")</f>
        <v/>
      </c>
    </row>
    <row r="404" spans="1:41">
      <c r="A404" s="207" t="str">
        <f t="shared" si="12"/>
        <v>январь</v>
      </c>
      <c r="B404" s="240">
        <v>2024</v>
      </c>
      <c r="C404" s="648"/>
      <c r="D404" s="591"/>
      <c r="E404" s="243"/>
      <c r="F404" s="680"/>
      <c r="G404" s="242"/>
      <c r="H404" s="592"/>
      <c r="I404" s="592"/>
      <c r="J404" s="592"/>
      <c r="K404" s="592"/>
      <c r="L404" s="592"/>
      <c r="M404" s="592"/>
      <c r="N404" s="592"/>
      <c r="O404" s="592"/>
      <c r="P404" s="592"/>
      <c r="Q404" s="592"/>
      <c r="R404" s="592"/>
      <c r="S404" s="592"/>
      <c r="T404" s="592"/>
      <c r="U404" s="592"/>
      <c r="V404" s="592"/>
      <c r="W404" s="592"/>
      <c r="X404" s="592"/>
      <c r="Y404" s="592"/>
      <c r="Z404" s="592"/>
      <c r="AA404" s="592"/>
      <c r="AB404" s="592"/>
      <c r="AC404" s="592"/>
      <c r="AD404" s="592"/>
      <c r="AE404" s="592"/>
      <c r="AF404" s="592"/>
      <c r="AG404" s="592"/>
      <c r="AH404" s="592"/>
      <c r="AI404" s="592"/>
      <c r="AJ404" s="592"/>
      <c r="AK404" s="592"/>
      <c r="AL404" s="592"/>
      <c r="AM404" s="121">
        <f t="shared" si="13"/>
        <v>0</v>
      </c>
      <c r="AN404" s="564">
        <f>IF(AO404&lt;=3,(IF(AND(G404="5/24",AM404&gt;0.5),(AM404*2*база!$M$6*Таблица14[[#This Row],[коэф]]),
IF(AND(G404="4/24",AM404&gt;0.5),(AM404*2*база!$M$5*Таблица14[[#This Row],[коэф]]),
IF(AND(G404="3/24",AM404&gt;0.5),(AM404*2*база!$M$4*Таблица14[[#This Row],[коэф]]),
IF(AND(G404="5/16",AM404&gt;0.5),(AM404*2*база!$L$6*Таблица14[[#This Row],[коэф]]),
IF(AND(G404="4/16",AM404&gt;0.5),(AM404*2*база!$L$5*Таблица14[[#This Row],[коэф]]),
IF(AND(G404="3/16",AM404&gt;0.5),(AM404*2*база!$L$4*Таблица14[[#This Row],[коэф]]),
IF(AND(G404="4/4",AM404&gt;0.5),(AM404*2*база!$I$5*Таблица14[[#This Row],[коэф]]),
IF(OR(AND(G404="3/4",AM404&gt;0.5),AND(G404="2/4",AM404&gt;0.5)),(AM404*2*база!$I$4*Таблица14[[#This Row],[коэф]]),
IF(AND(G404="5/8",AM404&gt;0.5),(AM404*2*база!$J$6*Таблица14[[#This Row],[коэф]]),
IF(AND(G404="4/8",AM404&gt;0.5),(AM404*2*база!$J$5*Таблица14[[#This Row],[коэф]]),
IF(OR(AND(G404="3/8",AM404&gt;0.5),AND(G404="2/8",AM404&gt;0.5)),(AM404*2*база!$J$4*Таблица14[[#This Row],[коэф]]),
(AM404*0.5*база!$L$4*Таблица14[[#This Row],[коэф]]))))))))))))),
(IF(AND(G404="5/24",AM404&gt;0.5),(AM404*2*база!$M$6*Таблица14[[#This Row],[коэф]]),
IF(OR(AND(G404="4/24",AM404&gt;0.5),AND(G404="3/24",AM404&gt;0.5)),(AM404*2*база!$M$5*Таблица14[[#This Row],[коэф]]),
IF(AND(G404="5/16",AM404&gt;0.5),(AM404*2*база!$L$6*Таблица14[[#This Row],[коэф]]),
IF(OR(AND(G404="4/16",AM404&gt;0.5),AND(G404="3/16",AM404&gt;0.5)),(AM404*2*база!$L$5*Таблица14[[#This Row],[коэф]]),
IF(OR(AND(G404="4/4",AM404&gt;0.5),AND(G404="3/4",AM404&gt;2)),(AM404*2*база!$I$5*Таблица14[[#This Row],[коэф]]),
IF(AND(G404="5/8",AM404&gt;0.5),(AM404*2*база!$J$6*Таблица14[[#This Row],[коэф]]),
IF(AND(G404="4/8",AM404&gt;0.5),(AM404*2*база!$J$5*Таблица14[[#This Row],[коэф]]),
IF(OR(AND(G404="3/8",AM404&gt;0.5),AND(G404="2/8",AM404&gt;0.5)),(AM404*2*база!$J$4*Таблица14[[#This Row],[коэф]]),
(AM404*2*база!$L$5*Таблица14[[#This Row],[коэф]])))))))))))</f>
        <v>0</v>
      </c>
      <c r="AO404" s="122" t="str">
        <f>IFERROR(INDEX(база!$D$2:$D$120, MATCH(Таблица14[[#This Row],[Ф. И. О.]],база!$B$2:$B$100,0)),"")</f>
        <v/>
      </c>
    </row>
    <row r="405" spans="1:41">
      <c r="A405" s="207" t="str">
        <f t="shared" si="12"/>
        <v>январь</v>
      </c>
      <c r="B405" s="204">
        <v>2024</v>
      </c>
      <c r="C405" s="571"/>
      <c r="D405" s="205"/>
      <c r="E405" s="243"/>
      <c r="F405" s="680"/>
      <c r="G405" s="206"/>
      <c r="H405" s="49"/>
      <c r="I405" s="49"/>
      <c r="J405" s="49"/>
      <c r="K405" s="49"/>
      <c r="L405" s="49"/>
      <c r="M405" s="49"/>
      <c r="N405" s="49"/>
      <c r="O405" s="49"/>
      <c r="P405" s="49"/>
      <c r="Q405" s="49"/>
      <c r="R405" s="49"/>
      <c r="S405" s="49"/>
      <c r="T405" s="49"/>
      <c r="U405" s="49"/>
      <c r="V405" s="49"/>
      <c r="W405" s="49"/>
      <c r="X405" s="49"/>
      <c r="Y405" s="49"/>
      <c r="Z405" s="49"/>
      <c r="AA405" s="49"/>
      <c r="AB405" s="49"/>
      <c r="AC405" s="49"/>
      <c r="AD405" s="49"/>
      <c r="AE405" s="49"/>
      <c r="AF405" s="49"/>
      <c r="AG405" s="49"/>
      <c r="AH405" s="49"/>
      <c r="AI405" s="49"/>
      <c r="AJ405" s="49"/>
      <c r="AK405" s="49"/>
      <c r="AL405" s="49"/>
      <c r="AM405" s="121">
        <f t="shared" si="13"/>
        <v>0</v>
      </c>
      <c r="AN405" s="564">
        <f>IF(AO405&lt;=3,(IF(AND(G405="5/24",AM405&gt;0.5),(AM405*2*база!$M$6*Таблица14[[#This Row],[коэф]]),
IF(AND(G405="4/24",AM405&gt;0.5),(AM405*2*база!$M$5*Таблица14[[#This Row],[коэф]]),
IF(AND(G405="3/24",AM405&gt;0.5),(AM405*2*база!$M$4*Таблица14[[#This Row],[коэф]]),
IF(AND(G405="5/16",AM405&gt;0.5),(AM405*2*база!$L$6*Таблица14[[#This Row],[коэф]]),
IF(AND(G405="4/16",AM405&gt;0.5),(AM405*2*база!$L$5*Таблица14[[#This Row],[коэф]]),
IF(AND(G405="3/16",AM405&gt;0.5),(AM405*2*база!$L$4*Таблица14[[#This Row],[коэф]]),
IF(AND(G405="4/4",AM405&gt;0.5),(AM405*2*база!$I$5*Таблица14[[#This Row],[коэф]]),
IF(OR(AND(G405="3/4",AM405&gt;0.5),AND(G405="2/4",AM405&gt;0.5)),(AM405*2*база!$I$4*Таблица14[[#This Row],[коэф]]),
IF(AND(G405="5/8",AM405&gt;0.5),(AM405*2*база!$J$6*Таблица14[[#This Row],[коэф]]),
IF(AND(G405="4/8",AM405&gt;0.5),(AM405*2*база!$J$5*Таблица14[[#This Row],[коэф]]),
IF(OR(AND(G405="3/8",AM405&gt;0.5),AND(G405="2/8",AM405&gt;0.5)),(AM405*2*база!$J$4*Таблица14[[#This Row],[коэф]]),
(AM405*0.5*база!$L$4*Таблица14[[#This Row],[коэф]]))))))))))))),
(IF(AND(G405="5/24",AM405&gt;0.5),(AM405*2*база!$M$6*Таблица14[[#This Row],[коэф]]),
IF(OR(AND(G405="4/24",AM405&gt;0.5),AND(G405="3/24",AM405&gt;0.5)),(AM405*2*база!$M$5*Таблица14[[#This Row],[коэф]]),
IF(AND(G405="5/16",AM405&gt;0.5),(AM405*2*база!$L$6*Таблица14[[#This Row],[коэф]]),
IF(OR(AND(G405="4/16",AM405&gt;0.5),AND(G405="3/16",AM405&gt;0.5)),(AM405*2*база!$L$5*Таблица14[[#This Row],[коэф]]),
IF(OR(AND(G405="4/4",AM405&gt;0.5),AND(G405="3/4",AM405&gt;2)),(AM405*2*база!$I$5*Таблица14[[#This Row],[коэф]]),
IF(AND(G405="5/8",AM405&gt;0.5),(AM405*2*база!$J$6*Таблица14[[#This Row],[коэф]]),
IF(AND(G405="4/8",AM405&gt;0.5),(AM405*2*база!$J$5*Таблица14[[#This Row],[коэф]]),
IF(OR(AND(G405="3/8",AM405&gt;0.5),AND(G405="2/8",AM405&gt;0.5)),(AM405*2*база!$J$4*Таблица14[[#This Row],[коэф]]),
(AM405*2*база!$L$5*Таблица14[[#This Row],[коэф]])))))))))))</f>
        <v>0</v>
      </c>
      <c r="AO405" s="122" t="str">
        <f>IFERROR(INDEX(база!$D$2:$D$120, MATCH(Таблица14[[#This Row],[Ф. И. О.]],база!$B$2:$B$100,0)),"")</f>
        <v/>
      </c>
    </row>
    <row r="406" spans="1:41">
      <c r="A406" s="207" t="str">
        <f t="shared" si="12"/>
        <v>январь</v>
      </c>
      <c r="B406" s="240">
        <v>2024</v>
      </c>
      <c r="C406" s="648"/>
      <c r="D406" s="591"/>
      <c r="E406" s="243"/>
      <c r="F406" s="680"/>
      <c r="G406" s="242"/>
      <c r="H406" s="592"/>
      <c r="I406" s="592"/>
      <c r="J406" s="592"/>
      <c r="K406" s="592"/>
      <c r="L406" s="592"/>
      <c r="M406" s="592"/>
      <c r="N406" s="592"/>
      <c r="O406" s="592"/>
      <c r="P406" s="592"/>
      <c r="Q406" s="592"/>
      <c r="R406" s="592"/>
      <c r="S406" s="592"/>
      <c r="T406" s="592"/>
      <c r="U406" s="592"/>
      <c r="V406" s="592"/>
      <c r="W406" s="592"/>
      <c r="X406" s="592"/>
      <c r="Y406" s="592"/>
      <c r="Z406" s="592"/>
      <c r="AA406" s="592"/>
      <c r="AB406" s="592"/>
      <c r="AC406" s="592"/>
      <c r="AD406" s="592"/>
      <c r="AE406" s="592"/>
      <c r="AF406" s="592"/>
      <c r="AG406" s="592"/>
      <c r="AH406" s="592"/>
      <c r="AI406" s="592"/>
      <c r="AJ406" s="592"/>
      <c r="AK406" s="592"/>
      <c r="AL406" s="592"/>
      <c r="AM406" s="121">
        <f t="shared" si="13"/>
        <v>0</v>
      </c>
      <c r="AN406" s="564">
        <f>IF(AO406&lt;=3,(IF(AND(G406="5/24",AM406&gt;0.5),(AM406*2*база!$M$6*Таблица14[[#This Row],[коэф]]),
IF(AND(G406="4/24",AM406&gt;0.5),(AM406*2*база!$M$5*Таблица14[[#This Row],[коэф]]),
IF(AND(G406="3/24",AM406&gt;0.5),(AM406*2*база!$M$4*Таблица14[[#This Row],[коэф]]),
IF(AND(G406="5/16",AM406&gt;0.5),(AM406*2*база!$L$6*Таблица14[[#This Row],[коэф]]),
IF(AND(G406="4/16",AM406&gt;0.5),(AM406*2*база!$L$5*Таблица14[[#This Row],[коэф]]),
IF(AND(G406="3/16",AM406&gt;0.5),(AM406*2*база!$L$4*Таблица14[[#This Row],[коэф]]),
IF(AND(G406="4/4",AM406&gt;0.5),(AM406*2*база!$I$5*Таблица14[[#This Row],[коэф]]),
IF(OR(AND(G406="3/4",AM406&gt;0.5),AND(G406="2/4",AM406&gt;0.5)),(AM406*2*база!$I$4*Таблица14[[#This Row],[коэф]]),
IF(AND(G406="5/8",AM406&gt;0.5),(AM406*2*база!$J$6*Таблица14[[#This Row],[коэф]]),
IF(AND(G406="4/8",AM406&gt;0.5),(AM406*2*база!$J$5*Таблица14[[#This Row],[коэф]]),
IF(OR(AND(G406="3/8",AM406&gt;0.5),AND(G406="2/8",AM406&gt;0.5)),(AM406*2*база!$J$4*Таблица14[[#This Row],[коэф]]),
(AM406*0.5*база!$L$4*Таблица14[[#This Row],[коэф]]))))))))))))),
(IF(AND(G406="5/24",AM406&gt;0.5),(AM406*2*база!$M$6*Таблица14[[#This Row],[коэф]]),
IF(OR(AND(G406="4/24",AM406&gt;0.5),AND(G406="3/24",AM406&gt;0.5)),(AM406*2*база!$M$5*Таблица14[[#This Row],[коэф]]),
IF(AND(G406="5/16",AM406&gt;0.5),(AM406*2*база!$L$6*Таблица14[[#This Row],[коэф]]),
IF(OR(AND(G406="4/16",AM406&gt;0.5),AND(G406="3/16",AM406&gt;0.5)),(AM406*2*база!$L$5*Таблица14[[#This Row],[коэф]]),
IF(OR(AND(G406="4/4",AM406&gt;0.5),AND(G406="3/4",AM406&gt;2)),(AM406*2*база!$I$5*Таблица14[[#This Row],[коэф]]),
IF(AND(G406="5/8",AM406&gt;0.5),(AM406*2*база!$J$6*Таблица14[[#This Row],[коэф]]),
IF(AND(G406="4/8",AM406&gt;0.5),(AM406*2*база!$J$5*Таблица14[[#This Row],[коэф]]),
IF(OR(AND(G406="3/8",AM406&gt;0.5),AND(G406="2/8",AM406&gt;0.5)),(AM406*2*база!$J$4*Таблица14[[#This Row],[коэф]]),
(AM406*2*база!$L$5*Таблица14[[#This Row],[коэф]])))))))))))</f>
        <v>0</v>
      </c>
      <c r="AO406" s="122" t="str">
        <f>IFERROR(INDEX(база!$D$2:$D$120, MATCH(Таблица14[[#This Row],[Ф. И. О.]],база!$B$2:$B$100,0)),"")</f>
        <v/>
      </c>
    </row>
    <row r="407" spans="1:41">
      <c r="A407" s="207" t="str">
        <f t="shared" si="12"/>
        <v>январь</v>
      </c>
      <c r="B407" s="204">
        <v>2024</v>
      </c>
      <c r="C407" s="571"/>
      <c r="D407" s="205"/>
      <c r="E407" s="243"/>
      <c r="F407" s="680"/>
      <c r="G407" s="206"/>
      <c r="H407" s="49"/>
      <c r="I407" s="49"/>
      <c r="J407" s="49"/>
      <c r="K407" s="49"/>
      <c r="L407" s="49"/>
      <c r="M407" s="49"/>
      <c r="N407" s="49"/>
      <c r="O407" s="49"/>
      <c r="P407" s="49"/>
      <c r="Q407" s="49"/>
      <c r="R407" s="49"/>
      <c r="S407" s="49"/>
      <c r="T407" s="49"/>
      <c r="U407" s="49"/>
      <c r="V407" s="49"/>
      <c r="W407" s="49"/>
      <c r="X407" s="49"/>
      <c r="Y407" s="49"/>
      <c r="Z407" s="49"/>
      <c r="AA407" s="49"/>
      <c r="AB407" s="49"/>
      <c r="AC407" s="49"/>
      <c r="AD407" s="49"/>
      <c r="AE407" s="49"/>
      <c r="AF407" s="49"/>
      <c r="AG407" s="49"/>
      <c r="AH407" s="49"/>
      <c r="AI407" s="49"/>
      <c r="AJ407" s="49"/>
      <c r="AK407" s="49"/>
      <c r="AL407" s="49"/>
      <c r="AM407" s="121">
        <f t="shared" si="13"/>
        <v>0</v>
      </c>
      <c r="AN407" s="564">
        <f>IF(AO407&lt;=3,(IF(AND(G407="5/24",AM407&gt;0.5),(AM407*2*база!$M$6*Таблица14[[#This Row],[коэф]]),
IF(AND(G407="4/24",AM407&gt;0.5),(AM407*2*база!$M$5*Таблица14[[#This Row],[коэф]]),
IF(AND(G407="3/24",AM407&gt;0.5),(AM407*2*база!$M$4*Таблица14[[#This Row],[коэф]]),
IF(AND(G407="5/16",AM407&gt;0.5),(AM407*2*база!$L$6*Таблица14[[#This Row],[коэф]]),
IF(AND(G407="4/16",AM407&gt;0.5),(AM407*2*база!$L$5*Таблица14[[#This Row],[коэф]]),
IF(AND(G407="3/16",AM407&gt;0.5),(AM407*2*база!$L$4*Таблица14[[#This Row],[коэф]]),
IF(AND(G407="4/4",AM407&gt;0.5),(AM407*2*база!$I$5*Таблица14[[#This Row],[коэф]]),
IF(OR(AND(G407="3/4",AM407&gt;0.5),AND(G407="2/4",AM407&gt;0.5)),(AM407*2*база!$I$4*Таблица14[[#This Row],[коэф]]),
IF(AND(G407="5/8",AM407&gt;0.5),(AM407*2*база!$J$6*Таблица14[[#This Row],[коэф]]),
IF(AND(G407="4/8",AM407&gt;0.5),(AM407*2*база!$J$5*Таблица14[[#This Row],[коэф]]),
IF(OR(AND(G407="3/8",AM407&gt;0.5),AND(G407="2/8",AM407&gt;0.5)),(AM407*2*база!$J$4*Таблица14[[#This Row],[коэф]]),
(AM407*0.5*база!$L$4*Таблица14[[#This Row],[коэф]]))))))))))))),
(IF(AND(G407="5/24",AM407&gt;0.5),(AM407*2*база!$M$6*Таблица14[[#This Row],[коэф]]),
IF(OR(AND(G407="4/24",AM407&gt;0.5),AND(G407="3/24",AM407&gt;0.5)),(AM407*2*база!$M$5*Таблица14[[#This Row],[коэф]]),
IF(AND(G407="5/16",AM407&gt;0.5),(AM407*2*база!$L$6*Таблица14[[#This Row],[коэф]]),
IF(OR(AND(G407="4/16",AM407&gt;0.5),AND(G407="3/16",AM407&gt;0.5)),(AM407*2*база!$L$5*Таблица14[[#This Row],[коэф]]),
IF(OR(AND(G407="4/4",AM407&gt;0.5),AND(G407="3/4",AM407&gt;2)),(AM407*2*база!$I$5*Таблица14[[#This Row],[коэф]]),
IF(AND(G407="5/8",AM407&gt;0.5),(AM407*2*база!$J$6*Таблица14[[#This Row],[коэф]]),
IF(AND(G407="4/8",AM407&gt;0.5),(AM407*2*база!$J$5*Таблица14[[#This Row],[коэф]]),
IF(OR(AND(G407="3/8",AM407&gt;0.5),AND(G407="2/8",AM407&gt;0.5)),(AM407*2*база!$J$4*Таблица14[[#This Row],[коэф]]),
(AM407*2*база!$L$5*Таблица14[[#This Row],[коэф]])))))))))))</f>
        <v>0</v>
      </c>
      <c r="AO407" s="122" t="str">
        <f>IFERROR(INDEX(база!$D$2:$D$120, MATCH(Таблица14[[#This Row],[Ф. И. О.]],база!$B$2:$B$100,0)),"")</f>
        <v/>
      </c>
    </row>
    <row r="408" spans="1:41">
      <c r="A408" s="207" t="str">
        <f t="shared" si="12"/>
        <v>январь</v>
      </c>
      <c r="B408" s="240">
        <v>2024</v>
      </c>
      <c r="C408" s="648"/>
      <c r="D408" s="205"/>
      <c r="E408" s="243"/>
      <c r="F408" s="680"/>
      <c r="G408" s="242"/>
      <c r="H408" s="592"/>
      <c r="I408" s="592"/>
      <c r="J408" s="592"/>
      <c r="K408" s="592"/>
      <c r="L408" s="592"/>
      <c r="M408" s="592"/>
      <c r="N408" s="592"/>
      <c r="O408" s="592"/>
      <c r="P408" s="592"/>
      <c r="Q408" s="592"/>
      <c r="R408" s="592"/>
      <c r="S408" s="592"/>
      <c r="T408" s="592"/>
      <c r="U408" s="592"/>
      <c r="V408" s="592"/>
      <c r="W408" s="592"/>
      <c r="X408" s="592"/>
      <c r="Y408" s="592"/>
      <c r="Z408" s="592"/>
      <c r="AA408" s="592"/>
      <c r="AB408" s="592"/>
      <c r="AC408" s="592"/>
      <c r="AD408" s="592"/>
      <c r="AE408" s="592"/>
      <c r="AF408" s="592"/>
      <c r="AG408" s="592"/>
      <c r="AH408" s="592"/>
      <c r="AI408" s="592"/>
      <c r="AJ408" s="592"/>
      <c r="AK408" s="592"/>
      <c r="AL408" s="592"/>
      <c r="AM408" s="121">
        <f t="shared" si="13"/>
        <v>0</v>
      </c>
      <c r="AN408" s="564">
        <f>IF(AO408&lt;=3,(IF(AND(G408="5/24",AM408&gt;0.5),(AM408*2*база!$M$6*Таблица14[[#This Row],[коэф]]),
IF(AND(G408="4/24",AM408&gt;0.5),(AM408*2*база!$M$5*Таблица14[[#This Row],[коэф]]),
IF(AND(G408="3/24",AM408&gt;0.5),(AM408*2*база!$M$4*Таблица14[[#This Row],[коэф]]),
IF(AND(G408="5/16",AM408&gt;0.5),(AM408*2*база!$L$6*Таблица14[[#This Row],[коэф]]),
IF(AND(G408="4/16",AM408&gt;0.5),(AM408*2*база!$L$5*Таблица14[[#This Row],[коэф]]),
IF(AND(G408="3/16",AM408&gt;0.5),(AM408*2*база!$L$4*Таблица14[[#This Row],[коэф]]),
IF(AND(G408="4/4",AM408&gt;0.5),(AM408*2*база!$I$5*Таблица14[[#This Row],[коэф]]),
IF(OR(AND(G408="3/4",AM408&gt;0.5),AND(G408="2/4",AM408&gt;0.5)),(AM408*2*база!$I$4*Таблица14[[#This Row],[коэф]]),
IF(AND(G408="5/8",AM408&gt;0.5),(AM408*2*база!$J$6*Таблица14[[#This Row],[коэф]]),
IF(AND(G408="4/8",AM408&gt;0.5),(AM408*2*база!$J$5*Таблица14[[#This Row],[коэф]]),
IF(OR(AND(G408="3/8",AM408&gt;0.5),AND(G408="2/8",AM408&gt;0.5)),(AM408*2*база!$J$4*Таблица14[[#This Row],[коэф]]),
(AM408*0.5*база!$L$4*Таблица14[[#This Row],[коэф]]))))))))))))),
(IF(AND(G408="5/24",AM408&gt;0.5),(AM408*2*база!$M$6*Таблица14[[#This Row],[коэф]]),
IF(OR(AND(G408="4/24",AM408&gt;0.5),AND(G408="3/24",AM408&gt;0.5)),(AM408*2*база!$M$5*Таблица14[[#This Row],[коэф]]),
IF(AND(G408="5/16",AM408&gt;0.5),(AM408*2*база!$L$6*Таблица14[[#This Row],[коэф]]),
IF(OR(AND(G408="4/16",AM408&gt;0.5),AND(G408="3/16",AM408&gt;0.5)),(AM408*2*база!$L$5*Таблица14[[#This Row],[коэф]]),
IF(OR(AND(G408="4/4",AM408&gt;0.5),AND(G408="3/4",AM408&gt;2)),(AM408*2*база!$I$5*Таблица14[[#This Row],[коэф]]),
IF(AND(G408="5/8",AM408&gt;0.5),(AM408*2*база!$J$6*Таблица14[[#This Row],[коэф]]),
IF(AND(G408="4/8",AM408&gt;0.5),(AM408*2*база!$J$5*Таблица14[[#This Row],[коэф]]),
IF(OR(AND(G408="3/8",AM408&gt;0.5),AND(G408="2/8",AM408&gt;0.5)),(AM408*2*база!$J$4*Таблица14[[#This Row],[коэф]]),
(AM408*2*база!$L$5*Таблица14[[#This Row],[коэф]])))))))))))</f>
        <v>0</v>
      </c>
      <c r="AO408" s="122" t="str">
        <f>IFERROR(INDEX(база!$D$2:$D$120, MATCH(Таблица14[[#This Row],[Ф. И. О.]],база!$B$2:$B$100,0)),"")</f>
        <v/>
      </c>
    </row>
    <row r="409" spans="1:41">
      <c r="A409" s="207" t="str">
        <f t="shared" si="12"/>
        <v>январь</v>
      </c>
      <c r="B409" s="204">
        <v>2024</v>
      </c>
      <c r="C409" s="571"/>
      <c r="D409" s="205"/>
      <c r="E409" s="243"/>
      <c r="F409" s="680"/>
      <c r="G409" s="206"/>
      <c r="H409" s="49"/>
      <c r="I409" s="49"/>
      <c r="J409" s="49"/>
      <c r="K409" s="49"/>
      <c r="L409" s="49"/>
      <c r="M409" s="49"/>
      <c r="N409" s="49"/>
      <c r="O409" s="49"/>
      <c r="P409" s="49"/>
      <c r="Q409" s="49"/>
      <c r="R409" s="49"/>
      <c r="S409" s="49"/>
      <c r="T409" s="49"/>
      <c r="U409" s="49"/>
      <c r="V409" s="49"/>
      <c r="W409" s="49"/>
      <c r="X409" s="49"/>
      <c r="Y409" s="49"/>
      <c r="Z409" s="49"/>
      <c r="AA409" s="49"/>
      <c r="AB409" s="49"/>
      <c r="AC409" s="49"/>
      <c r="AD409" s="49"/>
      <c r="AE409" s="49"/>
      <c r="AF409" s="49"/>
      <c r="AG409" s="49"/>
      <c r="AH409" s="49"/>
      <c r="AI409" s="49"/>
      <c r="AJ409" s="49"/>
      <c r="AK409" s="49"/>
      <c r="AL409" s="49"/>
      <c r="AM409" s="121">
        <f t="shared" si="13"/>
        <v>0</v>
      </c>
      <c r="AN409" s="564">
        <f>IF(AO409&lt;=3,(IF(AND(G409="5/24",AM409&gt;0.5),(AM409*2*база!$M$6*Таблица14[[#This Row],[коэф]]),
IF(AND(G409="4/24",AM409&gt;0.5),(AM409*2*база!$M$5*Таблица14[[#This Row],[коэф]]),
IF(AND(G409="3/24",AM409&gt;0.5),(AM409*2*база!$M$4*Таблица14[[#This Row],[коэф]]),
IF(AND(G409="5/16",AM409&gt;0.5),(AM409*2*база!$L$6*Таблица14[[#This Row],[коэф]]),
IF(AND(G409="4/16",AM409&gt;0.5),(AM409*2*база!$L$5*Таблица14[[#This Row],[коэф]]),
IF(AND(G409="3/16",AM409&gt;0.5),(AM409*2*база!$L$4*Таблица14[[#This Row],[коэф]]),
IF(AND(G409="4/4",AM409&gt;0.5),(AM409*2*база!$I$5*Таблица14[[#This Row],[коэф]]),
IF(OR(AND(G409="3/4",AM409&gt;0.5),AND(G409="2/4",AM409&gt;0.5)),(AM409*2*база!$I$4*Таблица14[[#This Row],[коэф]]),
IF(AND(G409="5/8",AM409&gt;0.5),(AM409*2*база!$J$6*Таблица14[[#This Row],[коэф]]),
IF(AND(G409="4/8",AM409&gt;0.5),(AM409*2*база!$J$5*Таблица14[[#This Row],[коэф]]),
IF(OR(AND(G409="3/8",AM409&gt;0.5),AND(G409="2/8",AM409&gt;0.5)),(AM409*2*база!$J$4*Таблица14[[#This Row],[коэф]]),
(AM409*0.5*база!$L$4*Таблица14[[#This Row],[коэф]]))))))))))))),
(IF(AND(G409="5/24",AM409&gt;0.5),(AM409*2*база!$M$6*Таблица14[[#This Row],[коэф]]),
IF(OR(AND(G409="4/24",AM409&gt;0.5),AND(G409="3/24",AM409&gt;0.5)),(AM409*2*база!$M$5*Таблица14[[#This Row],[коэф]]),
IF(AND(G409="5/16",AM409&gt;0.5),(AM409*2*база!$L$6*Таблица14[[#This Row],[коэф]]),
IF(OR(AND(G409="4/16",AM409&gt;0.5),AND(G409="3/16",AM409&gt;0.5)),(AM409*2*база!$L$5*Таблица14[[#This Row],[коэф]]),
IF(OR(AND(G409="4/4",AM409&gt;0.5),AND(G409="3/4",AM409&gt;2)),(AM409*2*база!$I$5*Таблица14[[#This Row],[коэф]]),
IF(AND(G409="5/8",AM409&gt;0.5),(AM409*2*база!$J$6*Таблица14[[#This Row],[коэф]]),
IF(AND(G409="4/8",AM409&gt;0.5),(AM409*2*база!$J$5*Таблица14[[#This Row],[коэф]]),
IF(OR(AND(G409="3/8",AM409&gt;0.5),AND(G409="2/8",AM409&gt;0.5)),(AM409*2*база!$J$4*Таблица14[[#This Row],[коэф]]),
(AM409*2*база!$L$5*Таблица14[[#This Row],[коэф]])))))))))))</f>
        <v>0</v>
      </c>
      <c r="AO409" s="122" t="str">
        <f>IFERROR(INDEX(база!$D$2:$D$120, MATCH(Таблица14[[#This Row],[Ф. И. О.]],база!$B$2:$B$100,0)),"")</f>
        <v/>
      </c>
    </row>
    <row r="410" spans="1:41">
      <c r="A410" s="207" t="str">
        <f t="shared" si="12"/>
        <v>январь</v>
      </c>
      <c r="B410" s="240">
        <v>2024</v>
      </c>
      <c r="C410" s="648"/>
      <c r="D410" s="591"/>
      <c r="E410" s="243"/>
      <c r="F410" s="680"/>
      <c r="G410" s="242"/>
      <c r="H410" s="592"/>
      <c r="I410" s="592"/>
      <c r="J410" s="592"/>
      <c r="K410" s="592"/>
      <c r="L410" s="592"/>
      <c r="M410" s="592"/>
      <c r="N410" s="592"/>
      <c r="O410" s="592"/>
      <c r="P410" s="592"/>
      <c r="Q410" s="592"/>
      <c r="R410" s="592"/>
      <c r="S410" s="592"/>
      <c r="T410" s="592"/>
      <c r="U410" s="592"/>
      <c r="V410" s="592"/>
      <c r="W410" s="592"/>
      <c r="X410" s="592"/>
      <c r="Y410" s="592"/>
      <c r="Z410" s="592"/>
      <c r="AA410" s="592"/>
      <c r="AB410" s="592"/>
      <c r="AC410" s="592"/>
      <c r="AD410" s="592"/>
      <c r="AE410" s="592"/>
      <c r="AF410" s="592"/>
      <c r="AG410" s="592"/>
      <c r="AH410" s="592"/>
      <c r="AI410" s="592"/>
      <c r="AJ410" s="592"/>
      <c r="AK410" s="592"/>
      <c r="AL410" s="592"/>
      <c r="AM410" s="121">
        <f t="shared" si="13"/>
        <v>0</v>
      </c>
      <c r="AN410" s="564">
        <f>IF(AO410&lt;=3,(IF(AND(G410="5/24",AM410&gt;0.5),(AM410*2*база!$M$6*Таблица14[[#This Row],[коэф]]),
IF(AND(G410="4/24",AM410&gt;0.5),(AM410*2*база!$M$5*Таблица14[[#This Row],[коэф]]),
IF(AND(G410="3/24",AM410&gt;0.5),(AM410*2*база!$M$4*Таблица14[[#This Row],[коэф]]),
IF(AND(G410="5/16",AM410&gt;0.5),(AM410*2*база!$L$6*Таблица14[[#This Row],[коэф]]),
IF(AND(G410="4/16",AM410&gt;0.5),(AM410*2*база!$L$5*Таблица14[[#This Row],[коэф]]),
IF(AND(G410="3/16",AM410&gt;0.5),(AM410*2*база!$L$4*Таблица14[[#This Row],[коэф]]),
IF(AND(G410="4/4",AM410&gt;0.5),(AM410*2*база!$I$5*Таблица14[[#This Row],[коэф]]),
IF(OR(AND(G410="3/4",AM410&gt;0.5),AND(G410="2/4",AM410&gt;0.5)),(AM410*2*база!$I$4*Таблица14[[#This Row],[коэф]]),
IF(AND(G410="5/8",AM410&gt;0.5),(AM410*2*база!$J$6*Таблица14[[#This Row],[коэф]]),
IF(AND(G410="4/8",AM410&gt;0.5),(AM410*2*база!$J$5*Таблица14[[#This Row],[коэф]]),
IF(OR(AND(G410="3/8",AM410&gt;0.5),AND(G410="2/8",AM410&gt;0.5)),(AM410*2*база!$J$4*Таблица14[[#This Row],[коэф]]),
(AM410*0.5*база!$L$4*Таблица14[[#This Row],[коэф]]))))))))))))),
(IF(AND(G410="5/24",AM410&gt;0.5),(AM410*2*база!$M$6*Таблица14[[#This Row],[коэф]]),
IF(OR(AND(G410="4/24",AM410&gt;0.5),AND(G410="3/24",AM410&gt;0.5)),(AM410*2*база!$M$5*Таблица14[[#This Row],[коэф]]),
IF(AND(G410="5/16",AM410&gt;0.5),(AM410*2*база!$L$6*Таблица14[[#This Row],[коэф]]),
IF(OR(AND(G410="4/16",AM410&gt;0.5),AND(G410="3/16",AM410&gt;0.5)),(AM410*2*база!$L$5*Таблица14[[#This Row],[коэф]]),
IF(OR(AND(G410="4/4",AM410&gt;0.5),AND(G410="3/4",AM410&gt;2)),(AM410*2*база!$I$5*Таблица14[[#This Row],[коэф]]),
IF(AND(G410="5/8",AM410&gt;0.5),(AM410*2*база!$J$6*Таблица14[[#This Row],[коэф]]),
IF(AND(G410="4/8",AM410&gt;0.5),(AM410*2*база!$J$5*Таблица14[[#This Row],[коэф]]),
IF(OR(AND(G410="3/8",AM410&gt;0.5),AND(G410="2/8",AM410&gt;0.5)),(AM410*2*база!$J$4*Таблица14[[#This Row],[коэф]]),
(AM410*2*база!$L$5*Таблица14[[#This Row],[коэф]])))))))))))</f>
        <v>0</v>
      </c>
      <c r="AO410" s="122" t="str">
        <f>IFERROR(INDEX(база!$D$2:$D$120, MATCH(Таблица14[[#This Row],[Ф. И. О.]],база!$B$2:$B$100,0)),"")</f>
        <v/>
      </c>
    </row>
    <row r="411" spans="1:41">
      <c r="A411" s="207" t="str">
        <f t="shared" si="12"/>
        <v>январь</v>
      </c>
      <c r="B411" s="204">
        <v>2024</v>
      </c>
      <c r="C411" s="571"/>
      <c r="D411" s="205"/>
      <c r="E411" s="243"/>
      <c r="F411" s="680"/>
      <c r="G411" s="206"/>
      <c r="H411" s="49"/>
      <c r="I411" s="49"/>
      <c r="J411" s="49"/>
      <c r="K411" s="49"/>
      <c r="L411" s="49"/>
      <c r="M411" s="49"/>
      <c r="N411" s="49"/>
      <c r="O411" s="49"/>
      <c r="P411" s="49"/>
      <c r="Q411" s="49"/>
      <c r="R411" s="49"/>
      <c r="S411" s="49"/>
      <c r="T411" s="49"/>
      <c r="U411" s="49"/>
      <c r="V411" s="49"/>
      <c r="W411" s="49"/>
      <c r="X411" s="49"/>
      <c r="Y411" s="49"/>
      <c r="Z411" s="49"/>
      <c r="AA411" s="49"/>
      <c r="AB411" s="49"/>
      <c r="AC411" s="49"/>
      <c r="AD411" s="49"/>
      <c r="AE411" s="49"/>
      <c r="AF411" s="49"/>
      <c r="AG411" s="49"/>
      <c r="AH411" s="49"/>
      <c r="AI411" s="49"/>
      <c r="AJ411" s="49"/>
      <c r="AK411" s="49"/>
      <c r="AL411" s="49"/>
      <c r="AM411" s="121">
        <f t="shared" si="13"/>
        <v>0</v>
      </c>
      <c r="AN411" s="564">
        <f>IF(AO411&lt;=3,(IF(AND(G411="5/24",AM411&gt;0.5),(AM411*2*база!$M$6*Таблица14[[#This Row],[коэф]]),
IF(AND(G411="4/24",AM411&gt;0.5),(AM411*2*база!$M$5*Таблица14[[#This Row],[коэф]]),
IF(AND(G411="3/24",AM411&gt;0.5),(AM411*2*база!$M$4*Таблица14[[#This Row],[коэф]]),
IF(AND(G411="5/16",AM411&gt;0.5),(AM411*2*база!$L$6*Таблица14[[#This Row],[коэф]]),
IF(AND(G411="4/16",AM411&gt;0.5),(AM411*2*база!$L$5*Таблица14[[#This Row],[коэф]]),
IF(AND(G411="3/16",AM411&gt;0.5),(AM411*2*база!$L$4*Таблица14[[#This Row],[коэф]]),
IF(AND(G411="4/4",AM411&gt;0.5),(AM411*2*база!$I$5*Таблица14[[#This Row],[коэф]]),
IF(OR(AND(G411="3/4",AM411&gt;0.5),AND(G411="2/4",AM411&gt;0.5)),(AM411*2*база!$I$4*Таблица14[[#This Row],[коэф]]),
IF(AND(G411="5/8",AM411&gt;0.5),(AM411*2*база!$J$6*Таблица14[[#This Row],[коэф]]),
IF(AND(G411="4/8",AM411&gt;0.5),(AM411*2*база!$J$5*Таблица14[[#This Row],[коэф]]),
IF(OR(AND(G411="3/8",AM411&gt;0.5),AND(G411="2/8",AM411&gt;0.5)),(AM411*2*база!$J$4*Таблица14[[#This Row],[коэф]]),
(AM411*0.5*база!$L$4*Таблица14[[#This Row],[коэф]]))))))))))))),
(IF(AND(G411="5/24",AM411&gt;0.5),(AM411*2*база!$M$6*Таблица14[[#This Row],[коэф]]),
IF(OR(AND(G411="4/24",AM411&gt;0.5),AND(G411="3/24",AM411&gt;0.5)),(AM411*2*база!$M$5*Таблица14[[#This Row],[коэф]]),
IF(AND(G411="5/16",AM411&gt;0.5),(AM411*2*база!$L$6*Таблица14[[#This Row],[коэф]]),
IF(OR(AND(G411="4/16",AM411&gt;0.5),AND(G411="3/16",AM411&gt;0.5)),(AM411*2*база!$L$5*Таблица14[[#This Row],[коэф]]),
IF(OR(AND(G411="4/4",AM411&gt;0.5),AND(G411="3/4",AM411&gt;2)),(AM411*2*база!$I$5*Таблица14[[#This Row],[коэф]]),
IF(AND(G411="5/8",AM411&gt;0.5),(AM411*2*база!$J$6*Таблица14[[#This Row],[коэф]]),
IF(AND(G411="4/8",AM411&gt;0.5),(AM411*2*база!$J$5*Таблица14[[#This Row],[коэф]]),
IF(OR(AND(G411="3/8",AM411&gt;0.5),AND(G411="2/8",AM411&gt;0.5)),(AM411*2*база!$J$4*Таблица14[[#This Row],[коэф]]),
(AM411*2*база!$L$5*Таблица14[[#This Row],[коэф]])))))))))))</f>
        <v>0</v>
      </c>
      <c r="AO411" s="122" t="str">
        <f>IFERROR(INDEX(база!$D$2:$D$120, MATCH(Таблица14[[#This Row],[Ф. И. О.]],база!$B$2:$B$100,0)),"")</f>
        <v/>
      </c>
    </row>
    <row r="412" spans="1:41">
      <c r="A412" s="207" t="str">
        <f t="shared" si="12"/>
        <v>январь</v>
      </c>
      <c r="B412" s="240">
        <v>2024</v>
      </c>
      <c r="C412" s="648"/>
      <c r="D412" s="591"/>
      <c r="E412" s="243"/>
      <c r="F412" s="680"/>
      <c r="G412" s="242"/>
      <c r="H412" s="592"/>
      <c r="I412" s="592"/>
      <c r="J412" s="592"/>
      <c r="K412" s="592"/>
      <c r="L412" s="592"/>
      <c r="M412" s="592"/>
      <c r="N412" s="592"/>
      <c r="O412" s="592"/>
      <c r="P412" s="592"/>
      <c r="Q412" s="592"/>
      <c r="R412" s="592"/>
      <c r="S412" s="592"/>
      <c r="T412" s="592"/>
      <c r="U412" s="592"/>
      <c r="V412" s="592"/>
      <c r="W412" s="592"/>
      <c r="X412" s="592"/>
      <c r="Y412" s="592"/>
      <c r="Z412" s="592"/>
      <c r="AA412" s="592"/>
      <c r="AB412" s="592"/>
      <c r="AC412" s="592"/>
      <c r="AD412" s="592"/>
      <c r="AE412" s="592"/>
      <c r="AF412" s="592"/>
      <c r="AG412" s="592"/>
      <c r="AH412" s="592"/>
      <c r="AI412" s="592"/>
      <c r="AJ412" s="592"/>
      <c r="AK412" s="592"/>
      <c r="AL412" s="592"/>
      <c r="AM412" s="121">
        <f t="shared" si="13"/>
        <v>0</v>
      </c>
      <c r="AN412" s="564">
        <f>IF(AO412&lt;=3,(IF(AND(G412="5/24",AM412&gt;0.5),(AM412*2*база!$M$6*Таблица14[[#This Row],[коэф]]),
IF(AND(G412="4/24",AM412&gt;0.5),(AM412*2*база!$M$5*Таблица14[[#This Row],[коэф]]),
IF(AND(G412="3/24",AM412&gt;0.5),(AM412*2*база!$M$4*Таблица14[[#This Row],[коэф]]),
IF(AND(G412="5/16",AM412&gt;0.5),(AM412*2*база!$L$6*Таблица14[[#This Row],[коэф]]),
IF(AND(G412="4/16",AM412&gt;0.5),(AM412*2*база!$L$5*Таблица14[[#This Row],[коэф]]),
IF(AND(G412="3/16",AM412&gt;0.5),(AM412*2*база!$L$4*Таблица14[[#This Row],[коэф]]),
IF(AND(G412="4/4",AM412&gt;0.5),(AM412*2*база!$I$5*Таблица14[[#This Row],[коэф]]),
IF(OR(AND(G412="3/4",AM412&gt;0.5),AND(G412="2/4",AM412&gt;0.5)),(AM412*2*база!$I$4*Таблица14[[#This Row],[коэф]]),
IF(AND(G412="5/8",AM412&gt;0.5),(AM412*2*база!$J$6*Таблица14[[#This Row],[коэф]]),
IF(AND(G412="4/8",AM412&gt;0.5),(AM412*2*база!$J$5*Таблица14[[#This Row],[коэф]]),
IF(OR(AND(G412="3/8",AM412&gt;0.5),AND(G412="2/8",AM412&gt;0.5)),(AM412*2*база!$J$4*Таблица14[[#This Row],[коэф]]),
(AM412*0.5*база!$L$4*Таблица14[[#This Row],[коэф]]))))))))))))),
(IF(AND(G412="5/24",AM412&gt;0.5),(AM412*2*база!$M$6*Таблица14[[#This Row],[коэф]]),
IF(OR(AND(G412="4/24",AM412&gt;0.5),AND(G412="3/24",AM412&gt;0.5)),(AM412*2*база!$M$5*Таблица14[[#This Row],[коэф]]),
IF(AND(G412="5/16",AM412&gt;0.5),(AM412*2*база!$L$6*Таблица14[[#This Row],[коэф]]),
IF(OR(AND(G412="4/16",AM412&gt;0.5),AND(G412="3/16",AM412&gt;0.5)),(AM412*2*база!$L$5*Таблица14[[#This Row],[коэф]]),
IF(OR(AND(G412="4/4",AM412&gt;0.5),AND(G412="3/4",AM412&gt;2)),(AM412*2*база!$I$5*Таблица14[[#This Row],[коэф]]),
IF(AND(G412="5/8",AM412&gt;0.5),(AM412*2*база!$J$6*Таблица14[[#This Row],[коэф]]),
IF(AND(G412="4/8",AM412&gt;0.5),(AM412*2*база!$J$5*Таблица14[[#This Row],[коэф]]),
IF(OR(AND(G412="3/8",AM412&gt;0.5),AND(G412="2/8",AM412&gt;0.5)),(AM412*2*база!$J$4*Таблица14[[#This Row],[коэф]]),
(AM412*2*база!$L$5*Таблица14[[#This Row],[коэф]])))))))))))</f>
        <v>0</v>
      </c>
      <c r="AO412" s="122" t="str">
        <f>IFERROR(INDEX(база!$D$2:$D$120, MATCH(Таблица14[[#This Row],[Ф. И. О.]],база!$B$2:$B$100,0)),"")</f>
        <v/>
      </c>
    </row>
    <row r="413" spans="1:41">
      <c r="A413" s="207" t="str">
        <f t="shared" si="12"/>
        <v>январь</v>
      </c>
      <c r="B413" s="204">
        <v>2024</v>
      </c>
      <c r="C413" s="571"/>
      <c r="D413" s="205"/>
      <c r="E413" s="243"/>
      <c r="F413" s="680"/>
      <c r="G413" s="206"/>
      <c r="H413" s="49"/>
      <c r="I413" s="49"/>
      <c r="J413" s="49"/>
      <c r="K413" s="49"/>
      <c r="L413" s="49"/>
      <c r="M413" s="49"/>
      <c r="N413" s="49"/>
      <c r="O413" s="49"/>
      <c r="P413" s="49"/>
      <c r="Q413" s="49"/>
      <c r="R413" s="49"/>
      <c r="S413" s="49"/>
      <c r="T413" s="49"/>
      <c r="U413" s="49"/>
      <c r="V413" s="49"/>
      <c r="W413" s="49"/>
      <c r="X413" s="49"/>
      <c r="Y413" s="49"/>
      <c r="Z413" s="49"/>
      <c r="AA413" s="49"/>
      <c r="AB413" s="49"/>
      <c r="AC413" s="49"/>
      <c r="AD413" s="49"/>
      <c r="AE413" s="49"/>
      <c r="AF413" s="49"/>
      <c r="AG413" s="49"/>
      <c r="AH413" s="49"/>
      <c r="AI413" s="49"/>
      <c r="AJ413" s="49"/>
      <c r="AK413" s="49"/>
      <c r="AL413" s="49"/>
      <c r="AM413" s="121">
        <f t="shared" si="13"/>
        <v>0</v>
      </c>
      <c r="AN413" s="564">
        <f>IF(AO413&lt;=3,(IF(AND(G413="5/24",AM413&gt;0.5),(AM413*2*база!$M$6*Таблица14[[#This Row],[коэф]]),
IF(AND(G413="4/24",AM413&gt;0.5),(AM413*2*база!$M$5*Таблица14[[#This Row],[коэф]]),
IF(AND(G413="3/24",AM413&gt;0.5),(AM413*2*база!$M$4*Таблица14[[#This Row],[коэф]]),
IF(AND(G413="5/16",AM413&gt;0.5),(AM413*2*база!$L$6*Таблица14[[#This Row],[коэф]]),
IF(AND(G413="4/16",AM413&gt;0.5),(AM413*2*база!$L$5*Таблица14[[#This Row],[коэф]]),
IF(AND(G413="3/16",AM413&gt;0.5),(AM413*2*база!$L$4*Таблица14[[#This Row],[коэф]]),
IF(AND(G413="4/4",AM413&gt;0.5),(AM413*2*база!$I$5*Таблица14[[#This Row],[коэф]]),
IF(OR(AND(G413="3/4",AM413&gt;0.5),AND(G413="2/4",AM413&gt;0.5)),(AM413*2*база!$I$4*Таблица14[[#This Row],[коэф]]),
IF(AND(G413="5/8",AM413&gt;0.5),(AM413*2*база!$J$6*Таблица14[[#This Row],[коэф]]),
IF(AND(G413="4/8",AM413&gt;0.5),(AM413*2*база!$J$5*Таблица14[[#This Row],[коэф]]),
IF(OR(AND(G413="3/8",AM413&gt;0.5),AND(G413="2/8",AM413&gt;0.5)),(AM413*2*база!$J$4*Таблица14[[#This Row],[коэф]]),
(AM413*0.5*база!$L$4*Таблица14[[#This Row],[коэф]]))))))))))))),
(IF(AND(G413="5/24",AM413&gt;0.5),(AM413*2*база!$M$6*Таблица14[[#This Row],[коэф]]),
IF(OR(AND(G413="4/24",AM413&gt;0.5),AND(G413="3/24",AM413&gt;0.5)),(AM413*2*база!$M$5*Таблица14[[#This Row],[коэф]]),
IF(AND(G413="5/16",AM413&gt;0.5),(AM413*2*база!$L$6*Таблица14[[#This Row],[коэф]]),
IF(OR(AND(G413="4/16",AM413&gt;0.5),AND(G413="3/16",AM413&gt;0.5)),(AM413*2*база!$L$5*Таблица14[[#This Row],[коэф]]),
IF(OR(AND(G413="4/4",AM413&gt;0.5),AND(G413="3/4",AM413&gt;2)),(AM413*2*база!$I$5*Таблица14[[#This Row],[коэф]]),
IF(AND(G413="5/8",AM413&gt;0.5),(AM413*2*база!$J$6*Таблица14[[#This Row],[коэф]]),
IF(AND(G413="4/8",AM413&gt;0.5),(AM413*2*база!$J$5*Таблица14[[#This Row],[коэф]]),
IF(OR(AND(G413="3/8",AM413&gt;0.5),AND(G413="2/8",AM413&gt;0.5)),(AM413*2*база!$J$4*Таблица14[[#This Row],[коэф]]),
(AM413*2*база!$L$5*Таблица14[[#This Row],[коэф]])))))))))))</f>
        <v>0</v>
      </c>
      <c r="AO413" s="122" t="str">
        <f>IFERROR(INDEX(база!$D$2:$D$120, MATCH(Таблица14[[#This Row],[Ф. И. О.]],база!$B$2:$B$100,0)),"")</f>
        <v/>
      </c>
    </row>
    <row r="414" spans="1:41">
      <c r="A414" s="207" t="str">
        <f t="shared" si="12"/>
        <v>январь</v>
      </c>
      <c r="B414" s="240">
        <v>2024</v>
      </c>
      <c r="C414" s="648"/>
      <c r="D414" s="591"/>
      <c r="E414" s="243"/>
      <c r="F414" s="679"/>
      <c r="G414" s="242"/>
      <c r="H414" s="592"/>
      <c r="I414" s="592"/>
      <c r="J414" s="592"/>
      <c r="K414" s="592"/>
      <c r="L414" s="592"/>
      <c r="M414" s="592"/>
      <c r="N414" s="592"/>
      <c r="O414" s="592"/>
      <c r="P414" s="592"/>
      <c r="Q414" s="592"/>
      <c r="R414" s="592"/>
      <c r="S414" s="592"/>
      <c r="T414" s="592"/>
      <c r="U414" s="592"/>
      <c r="V414" s="592"/>
      <c r="W414" s="592"/>
      <c r="X414" s="592"/>
      <c r="Y414" s="592"/>
      <c r="Z414" s="592"/>
      <c r="AA414" s="592"/>
      <c r="AB414" s="592"/>
      <c r="AC414" s="592"/>
      <c r="AD414" s="592"/>
      <c r="AE414" s="592"/>
      <c r="AF414" s="592"/>
      <c r="AG414" s="592"/>
      <c r="AH414" s="592"/>
      <c r="AI414" s="592"/>
      <c r="AJ414" s="592"/>
      <c r="AK414" s="592"/>
      <c r="AL414" s="592"/>
      <c r="AM414" s="121">
        <f t="shared" si="13"/>
        <v>0</v>
      </c>
      <c r="AN414" s="564">
        <f>IF(AO414&lt;=3,(IF(AND(G414="5/24",AM414&gt;0.5),(AM414*2*база!$M$6*Таблица14[[#This Row],[коэф]]),
IF(AND(G414="4/24",AM414&gt;0.5),(AM414*2*база!$M$5*Таблица14[[#This Row],[коэф]]),
IF(AND(G414="3/24",AM414&gt;0.5),(AM414*2*база!$M$4*Таблица14[[#This Row],[коэф]]),
IF(AND(G414="5/16",AM414&gt;0.5),(AM414*2*база!$L$6*Таблица14[[#This Row],[коэф]]),
IF(AND(G414="4/16",AM414&gt;0.5),(AM414*2*база!$L$5*Таблица14[[#This Row],[коэф]]),
IF(AND(G414="3/16",AM414&gt;0.5),(AM414*2*база!$L$4*Таблица14[[#This Row],[коэф]]),
IF(AND(G414="4/4",AM414&gt;0.5),(AM414*2*база!$I$5*Таблица14[[#This Row],[коэф]]),
IF(OR(AND(G414="3/4",AM414&gt;0.5),AND(G414="2/4",AM414&gt;0.5)),(AM414*2*база!$I$4*Таблица14[[#This Row],[коэф]]),
IF(AND(G414="5/8",AM414&gt;0.5),(AM414*2*база!$J$6*Таблица14[[#This Row],[коэф]]),
IF(AND(G414="4/8",AM414&gt;0.5),(AM414*2*база!$J$5*Таблица14[[#This Row],[коэф]]),
IF(OR(AND(G414="3/8",AM414&gt;0.5),AND(G414="2/8",AM414&gt;0.5)),(AM414*2*база!$J$4*Таблица14[[#This Row],[коэф]]),
(AM414*0.5*база!$L$4*Таблица14[[#This Row],[коэф]]))))))))))))),
(IF(AND(G414="5/24",AM414&gt;0.5),(AM414*2*база!$M$6*Таблица14[[#This Row],[коэф]]),
IF(OR(AND(G414="4/24",AM414&gt;0.5),AND(G414="3/24",AM414&gt;0.5)),(AM414*2*база!$M$5*Таблица14[[#This Row],[коэф]]),
IF(AND(G414="5/16",AM414&gt;0.5),(AM414*2*база!$L$6*Таблица14[[#This Row],[коэф]]),
IF(OR(AND(G414="4/16",AM414&gt;0.5),AND(G414="3/16",AM414&gt;0.5)),(AM414*2*база!$L$5*Таблица14[[#This Row],[коэф]]),
IF(OR(AND(G414="4/4",AM414&gt;0.5),AND(G414="3/4",AM414&gt;2)),(AM414*2*база!$I$5*Таблица14[[#This Row],[коэф]]),
IF(AND(G414="5/8",AM414&gt;0.5),(AM414*2*база!$J$6*Таблица14[[#This Row],[коэф]]),
IF(AND(G414="4/8",AM414&gt;0.5),(AM414*2*база!$J$5*Таблица14[[#This Row],[коэф]]),
IF(OR(AND(G414="3/8",AM414&gt;0.5),AND(G414="2/8",AM414&gt;0.5)),(AM414*2*база!$J$4*Таблица14[[#This Row],[коэф]]),
(AM414*2*база!$L$5*Таблица14[[#This Row],[коэф]])))))))))))</f>
        <v>0</v>
      </c>
      <c r="AO414" s="122" t="str">
        <f>IFERROR(INDEX(база!$D$2:$D$120, MATCH(Таблица14[[#This Row],[Ф. И. О.]],база!$B$2:$B$100,0)),"")</f>
        <v/>
      </c>
    </row>
    <row r="415" spans="1:41">
      <c r="A415" s="207" t="str">
        <f t="shared" si="12"/>
        <v>январь</v>
      </c>
      <c r="B415" s="204">
        <v>2024</v>
      </c>
      <c r="C415" s="571"/>
      <c r="D415" s="205"/>
      <c r="E415" s="243"/>
      <c r="F415" s="679"/>
      <c r="G415" s="206"/>
      <c r="H415" s="49"/>
      <c r="I415" s="49"/>
      <c r="J415" s="49"/>
      <c r="K415" s="49"/>
      <c r="L415" s="49"/>
      <c r="M415" s="49"/>
      <c r="N415" s="49"/>
      <c r="O415" s="49"/>
      <c r="P415" s="49"/>
      <c r="Q415" s="49"/>
      <c r="R415" s="49"/>
      <c r="S415" s="49"/>
      <c r="T415" s="49"/>
      <c r="U415" s="49"/>
      <c r="V415" s="49"/>
      <c r="W415" s="49"/>
      <c r="X415" s="49"/>
      <c r="Y415" s="49"/>
      <c r="Z415" s="49"/>
      <c r="AA415" s="49"/>
      <c r="AB415" s="49"/>
      <c r="AC415" s="49"/>
      <c r="AD415" s="49"/>
      <c r="AE415" s="49"/>
      <c r="AF415" s="49"/>
      <c r="AG415" s="49"/>
      <c r="AH415" s="49"/>
      <c r="AI415" s="49"/>
      <c r="AJ415" s="49"/>
      <c r="AK415" s="49"/>
      <c r="AL415" s="49"/>
      <c r="AM415" s="121">
        <f t="shared" si="13"/>
        <v>0</v>
      </c>
      <c r="AN415" s="564">
        <f>IF(AO415&lt;=3,(IF(AND(G415="5/24",AM415&gt;0.5),(AM415*2*база!$M$6*Таблица14[[#This Row],[коэф]]),
IF(AND(G415="4/24",AM415&gt;0.5),(AM415*2*база!$M$5*Таблица14[[#This Row],[коэф]]),
IF(AND(G415="3/24",AM415&gt;0.5),(AM415*2*база!$M$4*Таблица14[[#This Row],[коэф]]),
IF(AND(G415="5/16",AM415&gt;0.5),(AM415*2*база!$L$6*Таблица14[[#This Row],[коэф]]),
IF(AND(G415="4/16",AM415&gt;0.5),(AM415*2*база!$L$5*Таблица14[[#This Row],[коэф]]),
IF(AND(G415="3/16",AM415&gt;0.5),(AM415*2*база!$L$4*Таблица14[[#This Row],[коэф]]),
IF(AND(G415="4/4",AM415&gt;0.5),(AM415*2*база!$I$5*Таблица14[[#This Row],[коэф]]),
IF(OR(AND(G415="3/4",AM415&gt;0.5),AND(G415="2/4",AM415&gt;0.5)),(AM415*2*база!$I$4*Таблица14[[#This Row],[коэф]]),
IF(AND(G415="5/8",AM415&gt;0.5),(AM415*2*база!$J$6*Таблица14[[#This Row],[коэф]]),
IF(AND(G415="4/8",AM415&gt;0.5),(AM415*2*база!$J$5*Таблица14[[#This Row],[коэф]]),
IF(OR(AND(G415="3/8",AM415&gt;0.5),AND(G415="2/8",AM415&gt;0.5)),(AM415*2*база!$J$4*Таблица14[[#This Row],[коэф]]),
(AM415*0.5*база!$L$4*Таблица14[[#This Row],[коэф]]))))))))))))),
(IF(AND(G415="5/24",AM415&gt;0.5),(AM415*2*база!$M$6*Таблица14[[#This Row],[коэф]]),
IF(OR(AND(G415="4/24",AM415&gt;0.5),AND(G415="3/24",AM415&gt;0.5)),(AM415*2*база!$M$5*Таблица14[[#This Row],[коэф]]),
IF(AND(G415="5/16",AM415&gt;0.5),(AM415*2*база!$L$6*Таблица14[[#This Row],[коэф]]),
IF(OR(AND(G415="4/16",AM415&gt;0.5),AND(G415="3/16",AM415&gt;0.5)),(AM415*2*база!$L$5*Таблица14[[#This Row],[коэф]]),
IF(OR(AND(G415="4/4",AM415&gt;0.5),AND(G415="3/4",AM415&gt;2)),(AM415*2*база!$I$5*Таблица14[[#This Row],[коэф]]),
IF(AND(G415="5/8",AM415&gt;0.5),(AM415*2*база!$J$6*Таблица14[[#This Row],[коэф]]),
IF(AND(G415="4/8",AM415&gt;0.5),(AM415*2*база!$J$5*Таблица14[[#This Row],[коэф]]),
IF(OR(AND(G415="3/8",AM415&gt;0.5),AND(G415="2/8",AM415&gt;0.5)),(AM415*2*база!$J$4*Таблица14[[#This Row],[коэф]]),
(AM415*2*база!$L$5*Таблица14[[#This Row],[коэф]])))))))))))</f>
        <v>0</v>
      </c>
      <c r="AO415" s="122" t="str">
        <f>IFERROR(INDEX(база!$D$2:$D$120, MATCH(Таблица14[[#This Row],[Ф. И. О.]],база!$B$2:$B$100,0)),"")</f>
        <v/>
      </c>
    </row>
    <row r="416" spans="1:41">
      <c r="A416" s="207" t="str">
        <f t="shared" si="12"/>
        <v>январь</v>
      </c>
      <c r="B416" s="240">
        <v>2024</v>
      </c>
      <c r="C416" s="648"/>
      <c r="D416" s="591"/>
      <c r="E416" s="243"/>
      <c r="F416" s="681"/>
      <c r="G416" s="242"/>
      <c r="H416" s="592"/>
      <c r="I416" s="592"/>
      <c r="J416" s="592"/>
      <c r="K416" s="592"/>
      <c r="L416" s="592"/>
      <c r="M416" s="592"/>
      <c r="N416" s="592"/>
      <c r="O416" s="592"/>
      <c r="P416" s="592"/>
      <c r="Q416" s="592"/>
      <c r="R416" s="592"/>
      <c r="S416" s="592"/>
      <c r="T416" s="592"/>
      <c r="U416" s="592"/>
      <c r="V416" s="592"/>
      <c r="W416" s="592"/>
      <c r="X416" s="592"/>
      <c r="Y416" s="592"/>
      <c r="Z416" s="592"/>
      <c r="AA416" s="592"/>
      <c r="AB416" s="592"/>
      <c r="AC416" s="592"/>
      <c r="AD416" s="592"/>
      <c r="AE416" s="592"/>
      <c r="AF416" s="592"/>
      <c r="AG416" s="592"/>
      <c r="AH416" s="592"/>
      <c r="AI416" s="592"/>
      <c r="AJ416" s="592"/>
      <c r="AK416" s="592"/>
      <c r="AL416" s="592"/>
      <c r="AM416" s="121">
        <f t="shared" si="13"/>
        <v>0</v>
      </c>
      <c r="AN416" s="564">
        <f>IF(AO416&lt;=3,(IF(AND(G416="5/24",AM416&gt;0.5),(AM416*2*база!$M$6*Таблица14[[#This Row],[коэф]]),
IF(AND(G416="4/24",AM416&gt;0.5),(AM416*2*база!$M$5*Таблица14[[#This Row],[коэф]]),
IF(AND(G416="3/24",AM416&gt;0.5),(AM416*2*база!$M$4*Таблица14[[#This Row],[коэф]]),
IF(AND(G416="5/16",AM416&gt;0.5),(AM416*2*база!$L$6*Таблица14[[#This Row],[коэф]]),
IF(AND(G416="4/16",AM416&gt;0.5),(AM416*2*база!$L$5*Таблица14[[#This Row],[коэф]]),
IF(AND(G416="3/16",AM416&gt;0.5),(AM416*2*база!$L$4*Таблица14[[#This Row],[коэф]]),
IF(AND(G416="4/4",AM416&gt;0.5),(AM416*2*база!$I$5*Таблица14[[#This Row],[коэф]]),
IF(OR(AND(G416="3/4",AM416&gt;0.5),AND(G416="2/4",AM416&gt;0.5)),(AM416*2*база!$I$4*Таблица14[[#This Row],[коэф]]),
IF(AND(G416="5/8",AM416&gt;0.5),(AM416*2*база!$J$6*Таблица14[[#This Row],[коэф]]),
IF(AND(G416="4/8",AM416&gt;0.5),(AM416*2*база!$J$5*Таблица14[[#This Row],[коэф]]),
IF(OR(AND(G416="3/8",AM416&gt;0.5),AND(G416="2/8",AM416&gt;0.5)),(AM416*2*база!$J$4*Таблица14[[#This Row],[коэф]]),
(AM416*0.5*база!$L$4*Таблица14[[#This Row],[коэф]]))))))))))))),
(IF(AND(G416="5/24",AM416&gt;0.5),(AM416*2*база!$M$6*Таблица14[[#This Row],[коэф]]),
IF(OR(AND(G416="4/24",AM416&gt;0.5),AND(G416="3/24",AM416&gt;0.5)),(AM416*2*база!$M$5*Таблица14[[#This Row],[коэф]]),
IF(AND(G416="5/16",AM416&gt;0.5),(AM416*2*база!$L$6*Таблица14[[#This Row],[коэф]]),
IF(OR(AND(G416="4/16",AM416&gt;0.5),AND(G416="3/16",AM416&gt;0.5)),(AM416*2*база!$L$5*Таблица14[[#This Row],[коэф]]),
IF(OR(AND(G416="4/4",AM416&gt;0.5),AND(G416="3/4",AM416&gt;2)),(AM416*2*база!$I$5*Таблица14[[#This Row],[коэф]]),
IF(AND(G416="5/8",AM416&gt;0.5),(AM416*2*база!$J$6*Таблица14[[#This Row],[коэф]]),
IF(AND(G416="4/8",AM416&gt;0.5),(AM416*2*база!$J$5*Таблица14[[#This Row],[коэф]]),
IF(OR(AND(G416="3/8",AM416&gt;0.5),AND(G416="2/8",AM416&gt;0.5)),(AM416*2*база!$J$4*Таблица14[[#This Row],[коэф]]),
(AM416*2*база!$L$5*Таблица14[[#This Row],[коэф]])))))))))))</f>
        <v>0</v>
      </c>
      <c r="AO416" s="122" t="str">
        <f>IFERROR(INDEX(база!$D$2:$D$120, MATCH(Таблица14[[#This Row],[Ф. И. О.]],база!$B$2:$B$100,0)),"")</f>
        <v/>
      </c>
    </row>
    <row r="417" spans="1:41">
      <c r="A417" s="207" t="str">
        <f t="shared" si="12"/>
        <v>январь</v>
      </c>
      <c r="B417" s="204">
        <v>2024</v>
      </c>
      <c r="C417" s="571"/>
      <c r="D417" s="205"/>
      <c r="E417" s="243"/>
      <c r="F417" s="681"/>
      <c r="G417" s="206"/>
      <c r="H417" s="49"/>
      <c r="I417" s="49"/>
      <c r="J417" s="49"/>
      <c r="K417" s="49"/>
      <c r="L417" s="49"/>
      <c r="M417" s="49"/>
      <c r="N417" s="49"/>
      <c r="O417" s="49"/>
      <c r="P417" s="49"/>
      <c r="Q417" s="49"/>
      <c r="R417" s="49"/>
      <c r="S417" s="49"/>
      <c r="T417" s="49"/>
      <c r="U417" s="49"/>
      <c r="V417" s="49"/>
      <c r="W417" s="49"/>
      <c r="X417" s="49"/>
      <c r="Y417" s="49"/>
      <c r="Z417" s="49"/>
      <c r="AA417" s="49"/>
      <c r="AB417" s="49"/>
      <c r="AC417" s="49"/>
      <c r="AD417" s="49"/>
      <c r="AE417" s="49"/>
      <c r="AF417" s="49"/>
      <c r="AG417" s="49"/>
      <c r="AH417" s="49"/>
      <c r="AI417" s="49"/>
      <c r="AJ417" s="49"/>
      <c r="AK417" s="49"/>
      <c r="AL417" s="49"/>
      <c r="AM417" s="121">
        <f t="shared" si="13"/>
        <v>0</v>
      </c>
      <c r="AN417" s="564">
        <f>IF(AO417&lt;=3,(IF(AND(G417="5/24",AM417&gt;0.5),(AM417*2*база!$M$6*Таблица14[[#This Row],[коэф]]),
IF(AND(G417="4/24",AM417&gt;0.5),(AM417*2*база!$M$5*Таблица14[[#This Row],[коэф]]),
IF(AND(G417="3/24",AM417&gt;0.5),(AM417*2*база!$M$4*Таблица14[[#This Row],[коэф]]),
IF(AND(G417="5/16",AM417&gt;0.5),(AM417*2*база!$L$6*Таблица14[[#This Row],[коэф]]),
IF(AND(G417="4/16",AM417&gt;0.5),(AM417*2*база!$L$5*Таблица14[[#This Row],[коэф]]),
IF(AND(G417="3/16",AM417&gt;0.5),(AM417*2*база!$L$4*Таблица14[[#This Row],[коэф]]),
IF(AND(G417="4/4",AM417&gt;0.5),(AM417*2*база!$I$5*Таблица14[[#This Row],[коэф]]),
IF(OR(AND(G417="3/4",AM417&gt;0.5),AND(G417="2/4",AM417&gt;0.5)),(AM417*2*база!$I$4*Таблица14[[#This Row],[коэф]]),
IF(AND(G417="5/8",AM417&gt;0.5),(AM417*2*база!$J$6*Таблица14[[#This Row],[коэф]]),
IF(AND(G417="4/8",AM417&gt;0.5),(AM417*2*база!$J$5*Таблица14[[#This Row],[коэф]]),
IF(OR(AND(G417="3/8",AM417&gt;0.5),AND(G417="2/8",AM417&gt;0.5)),(AM417*2*база!$J$4*Таблица14[[#This Row],[коэф]]),
(AM417*0.5*база!$L$4*Таблица14[[#This Row],[коэф]]))))))))))))),
(IF(AND(G417="5/24",AM417&gt;0.5),(AM417*2*база!$M$6*Таблица14[[#This Row],[коэф]]),
IF(OR(AND(G417="4/24",AM417&gt;0.5),AND(G417="3/24",AM417&gt;0.5)),(AM417*2*база!$M$5*Таблица14[[#This Row],[коэф]]),
IF(AND(G417="5/16",AM417&gt;0.5),(AM417*2*база!$L$6*Таблица14[[#This Row],[коэф]]),
IF(OR(AND(G417="4/16",AM417&gt;0.5),AND(G417="3/16",AM417&gt;0.5)),(AM417*2*база!$L$5*Таблица14[[#This Row],[коэф]]),
IF(OR(AND(G417="4/4",AM417&gt;0.5),AND(G417="3/4",AM417&gt;2)),(AM417*2*база!$I$5*Таблица14[[#This Row],[коэф]]),
IF(AND(G417="5/8",AM417&gt;0.5),(AM417*2*база!$J$6*Таблица14[[#This Row],[коэф]]),
IF(AND(G417="4/8",AM417&gt;0.5),(AM417*2*база!$J$5*Таблица14[[#This Row],[коэф]]),
IF(OR(AND(G417="3/8",AM417&gt;0.5),AND(G417="2/8",AM417&gt;0.5)),(AM417*2*база!$J$4*Таблица14[[#This Row],[коэф]]),
(AM417*2*база!$L$5*Таблица14[[#This Row],[коэф]])))))))))))</f>
        <v>0</v>
      </c>
      <c r="AO417" s="122" t="str">
        <f>IFERROR(INDEX(база!$D$2:$D$120, MATCH(Таблица14[[#This Row],[Ф. И. О.]],база!$B$2:$B$100,0)),"")</f>
        <v/>
      </c>
    </row>
    <row r="418" spans="1:41">
      <c r="A418" s="207" t="str">
        <f t="shared" si="12"/>
        <v>январь</v>
      </c>
      <c r="B418" s="240">
        <v>2024</v>
      </c>
      <c r="C418" s="648"/>
      <c r="D418" s="591"/>
      <c r="E418" s="243"/>
      <c r="F418" s="681"/>
      <c r="G418" s="242"/>
      <c r="H418" s="592"/>
      <c r="I418" s="592"/>
      <c r="J418" s="592"/>
      <c r="K418" s="592"/>
      <c r="L418" s="592"/>
      <c r="M418" s="592"/>
      <c r="N418" s="592"/>
      <c r="O418" s="592"/>
      <c r="P418" s="592"/>
      <c r="Q418" s="592"/>
      <c r="R418" s="592"/>
      <c r="S418" s="592"/>
      <c r="T418" s="592"/>
      <c r="U418" s="592"/>
      <c r="V418" s="592"/>
      <c r="W418" s="592"/>
      <c r="X418" s="592"/>
      <c r="Y418" s="592"/>
      <c r="Z418" s="592"/>
      <c r="AA418" s="592"/>
      <c r="AB418" s="592"/>
      <c r="AC418" s="592"/>
      <c r="AD418" s="592"/>
      <c r="AE418" s="592"/>
      <c r="AF418" s="592"/>
      <c r="AG418" s="592"/>
      <c r="AH418" s="592"/>
      <c r="AI418" s="592"/>
      <c r="AJ418" s="592"/>
      <c r="AK418" s="592"/>
      <c r="AL418" s="592"/>
      <c r="AM418" s="121">
        <f t="shared" si="13"/>
        <v>0</v>
      </c>
      <c r="AN418" s="564">
        <f>IF(AO418&lt;=3,(IF(AND(G418="5/24",AM418&gt;0.5),(AM418*2*база!$M$6*Таблица14[[#This Row],[коэф]]),
IF(AND(G418="4/24",AM418&gt;0.5),(AM418*2*база!$M$5*Таблица14[[#This Row],[коэф]]),
IF(AND(G418="3/24",AM418&gt;0.5),(AM418*2*база!$M$4*Таблица14[[#This Row],[коэф]]),
IF(AND(G418="5/16",AM418&gt;0.5),(AM418*2*база!$L$6*Таблица14[[#This Row],[коэф]]),
IF(AND(G418="4/16",AM418&gt;0.5),(AM418*2*база!$L$5*Таблица14[[#This Row],[коэф]]),
IF(AND(G418="3/16",AM418&gt;0.5),(AM418*2*база!$L$4*Таблица14[[#This Row],[коэф]]),
IF(AND(G418="4/4",AM418&gt;0.5),(AM418*2*база!$I$5*Таблица14[[#This Row],[коэф]]),
IF(OR(AND(G418="3/4",AM418&gt;0.5),AND(G418="2/4",AM418&gt;0.5)),(AM418*2*база!$I$4*Таблица14[[#This Row],[коэф]]),
IF(AND(G418="5/8",AM418&gt;0.5),(AM418*2*база!$J$6*Таблица14[[#This Row],[коэф]]),
IF(AND(G418="4/8",AM418&gt;0.5),(AM418*2*база!$J$5*Таблица14[[#This Row],[коэф]]),
IF(OR(AND(G418="3/8",AM418&gt;0.5),AND(G418="2/8",AM418&gt;0.5)),(AM418*2*база!$J$4*Таблица14[[#This Row],[коэф]]),
(AM418*0.5*база!$L$4*Таблица14[[#This Row],[коэф]]))))))))))))),
(IF(AND(G418="5/24",AM418&gt;0.5),(AM418*2*база!$M$6*Таблица14[[#This Row],[коэф]]),
IF(OR(AND(G418="4/24",AM418&gt;0.5),AND(G418="3/24",AM418&gt;0.5)),(AM418*2*база!$M$5*Таблица14[[#This Row],[коэф]]),
IF(AND(G418="5/16",AM418&gt;0.5),(AM418*2*база!$L$6*Таблица14[[#This Row],[коэф]]),
IF(OR(AND(G418="4/16",AM418&gt;0.5),AND(G418="3/16",AM418&gt;0.5)),(AM418*2*база!$L$5*Таблица14[[#This Row],[коэф]]),
IF(OR(AND(G418="4/4",AM418&gt;0.5),AND(G418="3/4",AM418&gt;2)),(AM418*2*база!$I$5*Таблица14[[#This Row],[коэф]]),
IF(AND(G418="5/8",AM418&gt;0.5),(AM418*2*база!$J$6*Таблица14[[#This Row],[коэф]]),
IF(AND(G418="4/8",AM418&gt;0.5),(AM418*2*база!$J$5*Таблица14[[#This Row],[коэф]]),
IF(OR(AND(G418="3/8",AM418&gt;0.5),AND(G418="2/8",AM418&gt;0.5)),(AM418*2*база!$J$4*Таблица14[[#This Row],[коэф]]),
(AM418*2*база!$L$5*Таблица14[[#This Row],[коэф]])))))))))))</f>
        <v>0</v>
      </c>
      <c r="AO418" s="122" t="str">
        <f>IFERROR(INDEX(база!$D$2:$D$120, MATCH(Таблица14[[#This Row],[Ф. И. О.]],база!$B$2:$B$100,0)),"")</f>
        <v/>
      </c>
    </row>
    <row r="419" spans="1:41">
      <c r="A419" s="207" t="str">
        <f t="shared" si="12"/>
        <v>январь</v>
      </c>
      <c r="B419" s="204">
        <v>2024</v>
      </c>
      <c r="C419" s="571"/>
      <c r="D419" s="205"/>
      <c r="E419" s="243"/>
      <c r="F419" s="679"/>
      <c r="G419" s="206"/>
      <c r="H419" s="49"/>
      <c r="I419" s="49"/>
      <c r="J419" s="49"/>
      <c r="K419" s="49"/>
      <c r="L419" s="49"/>
      <c r="M419" s="49"/>
      <c r="N419" s="49"/>
      <c r="O419" s="49"/>
      <c r="P419" s="49"/>
      <c r="Q419" s="49"/>
      <c r="R419" s="49"/>
      <c r="S419" s="49"/>
      <c r="T419" s="49"/>
      <c r="U419" s="49"/>
      <c r="V419" s="49"/>
      <c r="W419" s="49"/>
      <c r="X419" s="49"/>
      <c r="Y419" s="49"/>
      <c r="Z419" s="49"/>
      <c r="AA419" s="49"/>
      <c r="AB419" s="49"/>
      <c r="AC419" s="49"/>
      <c r="AD419" s="49"/>
      <c r="AE419" s="49"/>
      <c r="AF419" s="49"/>
      <c r="AG419" s="49"/>
      <c r="AH419" s="49"/>
      <c r="AI419" s="49"/>
      <c r="AJ419" s="49"/>
      <c r="AK419" s="49"/>
      <c r="AL419" s="49"/>
      <c r="AM419" s="121">
        <f t="shared" si="13"/>
        <v>0</v>
      </c>
      <c r="AN419" s="564">
        <f>IF(AO419&lt;=3,(IF(AND(G419="5/24",AM419&gt;0.5),(AM419*2*база!$M$6*Таблица14[[#This Row],[коэф]]),
IF(AND(G419="4/24",AM419&gt;0.5),(AM419*2*база!$M$5*Таблица14[[#This Row],[коэф]]),
IF(AND(G419="3/24",AM419&gt;0.5),(AM419*2*база!$M$4*Таблица14[[#This Row],[коэф]]),
IF(AND(G419="5/16",AM419&gt;0.5),(AM419*2*база!$L$6*Таблица14[[#This Row],[коэф]]),
IF(AND(G419="4/16",AM419&gt;0.5),(AM419*2*база!$L$5*Таблица14[[#This Row],[коэф]]),
IF(AND(G419="3/16",AM419&gt;0.5),(AM419*2*база!$L$4*Таблица14[[#This Row],[коэф]]),
IF(AND(G419="4/4",AM419&gt;0.5),(AM419*2*база!$I$5*Таблица14[[#This Row],[коэф]]),
IF(OR(AND(G419="3/4",AM419&gt;0.5),AND(G419="2/4",AM419&gt;0.5)),(AM419*2*база!$I$4*Таблица14[[#This Row],[коэф]]),
IF(AND(G419="5/8",AM419&gt;0.5),(AM419*2*база!$J$6*Таблица14[[#This Row],[коэф]]),
IF(AND(G419="4/8",AM419&gt;0.5),(AM419*2*база!$J$5*Таблица14[[#This Row],[коэф]]),
IF(OR(AND(G419="3/8",AM419&gt;0.5),AND(G419="2/8",AM419&gt;0.5)),(AM419*2*база!$J$4*Таблица14[[#This Row],[коэф]]),
(AM419*0.5*база!$L$4*Таблица14[[#This Row],[коэф]]))))))))))))),
(IF(AND(G419="5/24",AM419&gt;0.5),(AM419*2*база!$M$6*Таблица14[[#This Row],[коэф]]),
IF(OR(AND(G419="4/24",AM419&gt;0.5),AND(G419="3/24",AM419&gt;0.5)),(AM419*2*база!$M$5*Таблица14[[#This Row],[коэф]]),
IF(AND(G419="5/16",AM419&gt;0.5),(AM419*2*база!$L$6*Таблица14[[#This Row],[коэф]]),
IF(OR(AND(G419="4/16",AM419&gt;0.5),AND(G419="3/16",AM419&gt;0.5)),(AM419*2*база!$L$5*Таблица14[[#This Row],[коэф]]),
IF(OR(AND(G419="4/4",AM419&gt;0.5),AND(G419="3/4",AM419&gt;2)),(AM419*2*база!$I$5*Таблица14[[#This Row],[коэф]]),
IF(AND(G419="5/8",AM419&gt;0.5),(AM419*2*база!$J$6*Таблица14[[#This Row],[коэф]]),
IF(AND(G419="4/8",AM419&gt;0.5),(AM419*2*база!$J$5*Таблица14[[#This Row],[коэф]]),
IF(OR(AND(G419="3/8",AM419&gt;0.5),AND(G419="2/8",AM419&gt;0.5)),(AM419*2*база!$J$4*Таблица14[[#This Row],[коэф]]),
(AM419*2*база!$L$5*Таблица14[[#This Row],[коэф]])))))))))))</f>
        <v>0</v>
      </c>
      <c r="AO419" s="122" t="str">
        <f>IFERROR(INDEX(база!$D$2:$D$120, MATCH(Таблица14[[#This Row],[Ф. И. О.]],база!$B$2:$B$100,0)),"")</f>
        <v/>
      </c>
    </row>
    <row r="420" spans="1:41">
      <c r="A420" s="207" t="str">
        <f t="shared" si="12"/>
        <v>январь</v>
      </c>
      <c r="B420" s="240">
        <v>2024</v>
      </c>
      <c r="C420" s="648"/>
      <c r="D420" s="591"/>
      <c r="E420" s="243"/>
      <c r="F420" s="672"/>
      <c r="G420" s="242"/>
      <c r="H420" s="592"/>
      <c r="I420" s="592"/>
      <c r="J420" s="592"/>
      <c r="K420" s="592"/>
      <c r="L420" s="592"/>
      <c r="M420" s="592"/>
      <c r="N420" s="592"/>
      <c r="O420" s="592"/>
      <c r="P420" s="592"/>
      <c r="Q420" s="592"/>
      <c r="R420" s="592"/>
      <c r="S420" s="592"/>
      <c r="T420" s="592"/>
      <c r="U420" s="592"/>
      <c r="V420" s="592"/>
      <c r="W420" s="592"/>
      <c r="X420" s="592"/>
      <c r="Y420" s="592"/>
      <c r="Z420" s="592"/>
      <c r="AA420" s="592"/>
      <c r="AB420" s="592"/>
      <c r="AC420" s="592"/>
      <c r="AD420" s="592"/>
      <c r="AE420" s="592"/>
      <c r="AF420" s="592"/>
      <c r="AG420" s="592"/>
      <c r="AH420" s="592"/>
      <c r="AI420" s="592"/>
      <c r="AJ420" s="592"/>
      <c r="AK420" s="592"/>
      <c r="AL420" s="592"/>
      <c r="AM420" s="121">
        <f t="shared" si="13"/>
        <v>0</v>
      </c>
      <c r="AN420" s="564">
        <f>IF(AO420&lt;=3,(IF(AND(G420="5/24",AM420&gt;0.5),(AM420*2*база!$M$6*Таблица14[[#This Row],[коэф]]),
IF(AND(G420="4/24",AM420&gt;0.5),(AM420*2*база!$M$5*Таблица14[[#This Row],[коэф]]),
IF(AND(G420="3/24",AM420&gt;0.5),(AM420*2*база!$M$4*Таблица14[[#This Row],[коэф]]),
IF(AND(G420="5/16",AM420&gt;0.5),(AM420*2*база!$L$6*Таблица14[[#This Row],[коэф]]),
IF(AND(G420="4/16",AM420&gt;0.5),(AM420*2*база!$L$5*Таблица14[[#This Row],[коэф]]),
IF(AND(G420="3/16",AM420&gt;0.5),(AM420*2*база!$L$4*Таблица14[[#This Row],[коэф]]),
IF(AND(G420="4/4",AM420&gt;0.5),(AM420*2*база!$I$5*Таблица14[[#This Row],[коэф]]),
IF(OR(AND(G420="3/4",AM420&gt;0.5),AND(G420="2/4",AM420&gt;0.5)),(AM420*2*база!$I$4*Таблица14[[#This Row],[коэф]]),
IF(AND(G420="5/8",AM420&gt;0.5),(AM420*2*база!$J$6*Таблица14[[#This Row],[коэф]]),
IF(AND(G420="4/8",AM420&gt;0.5),(AM420*2*база!$J$5*Таблица14[[#This Row],[коэф]]),
IF(OR(AND(G420="3/8",AM420&gt;0.5),AND(G420="2/8",AM420&gt;0.5)),(AM420*2*база!$J$4*Таблица14[[#This Row],[коэф]]),
(AM420*0.5*база!$L$4*Таблица14[[#This Row],[коэф]]))))))))))))),
(IF(AND(G420="5/24",AM420&gt;0.5),(AM420*2*база!$M$6*Таблица14[[#This Row],[коэф]]),
IF(OR(AND(G420="4/24",AM420&gt;0.5),AND(G420="3/24",AM420&gt;0.5)),(AM420*2*база!$M$5*Таблица14[[#This Row],[коэф]]),
IF(AND(G420="5/16",AM420&gt;0.5),(AM420*2*база!$L$6*Таблица14[[#This Row],[коэф]]),
IF(OR(AND(G420="4/16",AM420&gt;0.5),AND(G420="3/16",AM420&gt;0.5)),(AM420*2*база!$L$5*Таблица14[[#This Row],[коэф]]),
IF(OR(AND(G420="4/4",AM420&gt;0.5),AND(G420="3/4",AM420&gt;2)),(AM420*2*база!$I$5*Таблица14[[#This Row],[коэф]]),
IF(AND(G420="5/8",AM420&gt;0.5),(AM420*2*база!$J$6*Таблица14[[#This Row],[коэф]]),
IF(AND(G420="4/8",AM420&gt;0.5),(AM420*2*база!$J$5*Таблица14[[#This Row],[коэф]]),
IF(OR(AND(G420="3/8",AM420&gt;0.5),AND(G420="2/8",AM420&gt;0.5)),(AM420*2*база!$J$4*Таблица14[[#This Row],[коэф]]),
(AM420*2*база!$L$5*Таблица14[[#This Row],[коэф]])))))))))))</f>
        <v>0</v>
      </c>
      <c r="AO420" s="122" t="str">
        <f>IFERROR(INDEX(база!$D$2:$D$120, MATCH(Таблица14[[#This Row],[Ф. И. О.]],база!$B$2:$B$100,0)),"")</f>
        <v/>
      </c>
    </row>
    <row r="421" spans="1:41">
      <c r="A421" s="207" t="str">
        <f t="shared" si="12"/>
        <v>январь</v>
      </c>
      <c r="B421" s="204">
        <v>2024</v>
      </c>
      <c r="C421" s="571"/>
      <c r="D421" s="205"/>
      <c r="E421" s="243"/>
      <c r="F421" s="681"/>
      <c r="G421" s="206"/>
      <c r="H421" s="49"/>
      <c r="I421" s="49"/>
      <c r="J421" s="49"/>
      <c r="K421" s="49"/>
      <c r="L421" s="49"/>
      <c r="M421" s="49"/>
      <c r="N421" s="49"/>
      <c r="O421" s="49"/>
      <c r="P421" s="49"/>
      <c r="Q421" s="49"/>
      <c r="R421" s="49"/>
      <c r="S421" s="49"/>
      <c r="T421" s="49"/>
      <c r="U421" s="49"/>
      <c r="V421" s="49"/>
      <c r="W421" s="49"/>
      <c r="X421" s="49"/>
      <c r="Y421" s="49"/>
      <c r="Z421" s="49"/>
      <c r="AA421" s="49"/>
      <c r="AB421" s="49"/>
      <c r="AC421" s="49"/>
      <c r="AD421" s="49"/>
      <c r="AE421" s="49"/>
      <c r="AF421" s="49"/>
      <c r="AG421" s="49"/>
      <c r="AH421" s="49"/>
      <c r="AI421" s="49"/>
      <c r="AJ421" s="49"/>
      <c r="AK421" s="49"/>
      <c r="AL421" s="49"/>
      <c r="AM421" s="121">
        <f t="shared" si="13"/>
        <v>0</v>
      </c>
      <c r="AN421" s="564">
        <f>IF(AO421&lt;=3,(IF(AND(G421="5/24",AM421&gt;0.5),(AM421*2*база!$M$6*Таблица14[[#This Row],[коэф]]),
IF(AND(G421="4/24",AM421&gt;0.5),(AM421*2*база!$M$5*Таблица14[[#This Row],[коэф]]),
IF(AND(G421="3/24",AM421&gt;0.5),(AM421*2*база!$M$4*Таблица14[[#This Row],[коэф]]),
IF(AND(G421="5/16",AM421&gt;0.5),(AM421*2*база!$L$6*Таблица14[[#This Row],[коэф]]),
IF(AND(G421="4/16",AM421&gt;0.5),(AM421*2*база!$L$5*Таблица14[[#This Row],[коэф]]),
IF(AND(G421="3/16",AM421&gt;0.5),(AM421*2*база!$L$4*Таблица14[[#This Row],[коэф]]),
IF(AND(G421="4/4",AM421&gt;0.5),(AM421*2*база!$I$5*Таблица14[[#This Row],[коэф]]),
IF(OR(AND(G421="3/4",AM421&gt;0.5),AND(G421="2/4",AM421&gt;0.5)),(AM421*2*база!$I$4*Таблица14[[#This Row],[коэф]]),
IF(AND(G421="5/8",AM421&gt;0.5),(AM421*2*база!$J$6*Таблица14[[#This Row],[коэф]]),
IF(AND(G421="4/8",AM421&gt;0.5),(AM421*2*база!$J$5*Таблица14[[#This Row],[коэф]]),
IF(OR(AND(G421="3/8",AM421&gt;0.5),AND(G421="2/8",AM421&gt;0.5)),(AM421*2*база!$J$4*Таблица14[[#This Row],[коэф]]),
(AM421*0.5*база!$L$4*Таблица14[[#This Row],[коэф]]))))))))))))),
(IF(AND(G421="5/24",AM421&gt;0.5),(AM421*2*база!$M$6*Таблица14[[#This Row],[коэф]]),
IF(OR(AND(G421="4/24",AM421&gt;0.5),AND(G421="3/24",AM421&gt;0.5)),(AM421*2*база!$M$5*Таблица14[[#This Row],[коэф]]),
IF(AND(G421="5/16",AM421&gt;0.5),(AM421*2*база!$L$6*Таблица14[[#This Row],[коэф]]),
IF(OR(AND(G421="4/16",AM421&gt;0.5),AND(G421="3/16",AM421&gt;0.5)),(AM421*2*база!$L$5*Таблица14[[#This Row],[коэф]]),
IF(OR(AND(G421="4/4",AM421&gt;0.5),AND(G421="3/4",AM421&gt;2)),(AM421*2*база!$I$5*Таблица14[[#This Row],[коэф]]),
IF(AND(G421="5/8",AM421&gt;0.5),(AM421*2*база!$J$6*Таблица14[[#This Row],[коэф]]),
IF(AND(G421="4/8",AM421&gt;0.5),(AM421*2*база!$J$5*Таблица14[[#This Row],[коэф]]),
IF(OR(AND(G421="3/8",AM421&gt;0.5),AND(G421="2/8",AM421&gt;0.5)),(AM421*2*база!$J$4*Таблица14[[#This Row],[коэф]]),
(AM421*2*база!$L$5*Таблица14[[#This Row],[коэф]])))))))))))</f>
        <v>0</v>
      </c>
      <c r="AO421" s="122" t="str">
        <f>IFERROR(INDEX(база!$D$2:$D$120, MATCH(Таблица14[[#This Row],[Ф. И. О.]],база!$B$2:$B$100,0)),"")</f>
        <v/>
      </c>
    </row>
    <row r="422" spans="1:41">
      <c r="A422" s="207" t="str">
        <f t="shared" si="12"/>
        <v>январь</v>
      </c>
      <c r="B422" s="240">
        <v>2024</v>
      </c>
      <c r="C422" s="648"/>
      <c r="D422" s="591"/>
      <c r="E422" s="243"/>
      <c r="F422" s="681"/>
      <c r="G422" s="242"/>
      <c r="H422" s="592"/>
      <c r="I422" s="592"/>
      <c r="J422" s="592"/>
      <c r="K422" s="592"/>
      <c r="L422" s="592"/>
      <c r="M422" s="592"/>
      <c r="N422" s="592"/>
      <c r="O422" s="592"/>
      <c r="P422" s="592"/>
      <c r="Q422" s="592"/>
      <c r="R422" s="592"/>
      <c r="S422" s="592"/>
      <c r="T422" s="592"/>
      <c r="U422" s="592"/>
      <c r="V422" s="592"/>
      <c r="W422" s="592"/>
      <c r="X422" s="592"/>
      <c r="Y422" s="592"/>
      <c r="Z422" s="592"/>
      <c r="AA422" s="592"/>
      <c r="AB422" s="592"/>
      <c r="AC422" s="592"/>
      <c r="AD422" s="592"/>
      <c r="AE422" s="592"/>
      <c r="AF422" s="592"/>
      <c r="AG422" s="592"/>
      <c r="AH422" s="592"/>
      <c r="AI422" s="592"/>
      <c r="AJ422" s="592"/>
      <c r="AK422" s="592"/>
      <c r="AL422" s="592"/>
      <c r="AM422" s="121">
        <f t="shared" si="13"/>
        <v>0</v>
      </c>
      <c r="AN422" s="564">
        <f>IF(AO422&lt;=3,(IF(AND(G422="5/24",AM422&gt;0.5),(AM422*2*база!$M$6*Таблица14[[#This Row],[коэф]]),
IF(AND(G422="4/24",AM422&gt;0.5),(AM422*2*база!$M$5*Таблица14[[#This Row],[коэф]]),
IF(AND(G422="3/24",AM422&gt;0.5),(AM422*2*база!$M$4*Таблица14[[#This Row],[коэф]]),
IF(AND(G422="5/16",AM422&gt;0.5),(AM422*2*база!$L$6*Таблица14[[#This Row],[коэф]]),
IF(AND(G422="4/16",AM422&gt;0.5),(AM422*2*база!$L$5*Таблица14[[#This Row],[коэф]]),
IF(AND(G422="3/16",AM422&gt;0.5),(AM422*2*база!$L$4*Таблица14[[#This Row],[коэф]]),
IF(AND(G422="4/4",AM422&gt;0.5),(AM422*2*база!$I$5*Таблица14[[#This Row],[коэф]]),
IF(OR(AND(G422="3/4",AM422&gt;0.5),AND(G422="2/4",AM422&gt;0.5)),(AM422*2*база!$I$4*Таблица14[[#This Row],[коэф]]),
IF(AND(G422="5/8",AM422&gt;0.5),(AM422*2*база!$J$6*Таблица14[[#This Row],[коэф]]),
IF(AND(G422="4/8",AM422&gt;0.5),(AM422*2*база!$J$5*Таблица14[[#This Row],[коэф]]),
IF(OR(AND(G422="3/8",AM422&gt;0.5),AND(G422="2/8",AM422&gt;0.5)),(AM422*2*база!$J$4*Таблица14[[#This Row],[коэф]]),
(AM422*0.5*база!$L$4*Таблица14[[#This Row],[коэф]]))))))))))))),
(IF(AND(G422="5/24",AM422&gt;0.5),(AM422*2*база!$M$6*Таблица14[[#This Row],[коэф]]),
IF(OR(AND(G422="4/24",AM422&gt;0.5),AND(G422="3/24",AM422&gt;0.5)),(AM422*2*база!$M$5*Таблица14[[#This Row],[коэф]]),
IF(AND(G422="5/16",AM422&gt;0.5),(AM422*2*база!$L$6*Таблица14[[#This Row],[коэф]]),
IF(OR(AND(G422="4/16",AM422&gt;0.5),AND(G422="3/16",AM422&gt;0.5)),(AM422*2*база!$L$5*Таблица14[[#This Row],[коэф]]),
IF(OR(AND(G422="4/4",AM422&gt;0.5),AND(G422="3/4",AM422&gt;2)),(AM422*2*база!$I$5*Таблица14[[#This Row],[коэф]]),
IF(AND(G422="5/8",AM422&gt;0.5),(AM422*2*база!$J$6*Таблица14[[#This Row],[коэф]]),
IF(AND(G422="4/8",AM422&gt;0.5),(AM422*2*база!$J$5*Таблица14[[#This Row],[коэф]]),
IF(OR(AND(G422="3/8",AM422&gt;0.5),AND(G422="2/8",AM422&gt;0.5)),(AM422*2*база!$J$4*Таблица14[[#This Row],[коэф]]),
(AM422*2*база!$L$5*Таблица14[[#This Row],[коэф]])))))))))))</f>
        <v>0</v>
      </c>
      <c r="AO422" s="122" t="str">
        <f>IFERROR(INDEX(база!$D$2:$D$120, MATCH(Таблица14[[#This Row],[Ф. И. О.]],база!$B$2:$B$100,0)),"")</f>
        <v/>
      </c>
    </row>
    <row r="423" spans="1:41">
      <c r="A423" s="207" t="str">
        <f t="shared" si="12"/>
        <v>январь</v>
      </c>
      <c r="B423" s="204">
        <v>2024</v>
      </c>
      <c r="C423" s="571"/>
      <c r="D423" s="205"/>
      <c r="E423" s="243"/>
      <c r="F423" s="672"/>
      <c r="G423" s="206"/>
      <c r="H423" s="49"/>
      <c r="I423" s="49"/>
      <c r="J423" s="49"/>
      <c r="K423" s="49"/>
      <c r="L423" s="49"/>
      <c r="M423" s="49"/>
      <c r="N423" s="49"/>
      <c r="O423" s="49"/>
      <c r="P423" s="49"/>
      <c r="Q423" s="49"/>
      <c r="R423" s="49"/>
      <c r="S423" s="49"/>
      <c r="T423" s="49"/>
      <c r="U423" s="49"/>
      <c r="V423" s="49"/>
      <c r="W423" s="49"/>
      <c r="X423" s="49"/>
      <c r="Y423" s="49"/>
      <c r="Z423" s="49"/>
      <c r="AA423" s="49"/>
      <c r="AB423" s="49"/>
      <c r="AC423" s="49"/>
      <c r="AD423" s="49"/>
      <c r="AE423" s="49"/>
      <c r="AF423" s="49"/>
      <c r="AG423" s="49"/>
      <c r="AH423" s="49"/>
      <c r="AI423" s="49"/>
      <c r="AJ423" s="49"/>
      <c r="AK423" s="49"/>
      <c r="AL423" s="49"/>
      <c r="AM423" s="121">
        <f t="shared" si="13"/>
        <v>0</v>
      </c>
      <c r="AN423" s="564">
        <f>IF(AO423&lt;=3,(IF(AND(G423="5/24",AM423&gt;0.5),(AM423*2*база!$M$6*Таблица14[[#This Row],[коэф]]),
IF(AND(G423="4/24",AM423&gt;0.5),(AM423*2*база!$M$5*Таблица14[[#This Row],[коэф]]),
IF(AND(G423="3/24",AM423&gt;0.5),(AM423*2*база!$M$4*Таблица14[[#This Row],[коэф]]),
IF(AND(G423="5/16",AM423&gt;0.5),(AM423*2*база!$L$6*Таблица14[[#This Row],[коэф]]),
IF(AND(G423="4/16",AM423&gt;0.5),(AM423*2*база!$L$5*Таблица14[[#This Row],[коэф]]),
IF(AND(G423="3/16",AM423&gt;0.5),(AM423*2*база!$L$4*Таблица14[[#This Row],[коэф]]),
IF(AND(G423="4/4",AM423&gt;0.5),(AM423*2*база!$I$5*Таблица14[[#This Row],[коэф]]),
IF(OR(AND(G423="3/4",AM423&gt;0.5),AND(G423="2/4",AM423&gt;0.5)),(AM423*2*база!$I$4*Таблица14[[#This Row],[коэф]]),
IF(AND(G423="5/8",AM423&gt;0.5),(AM423*2*база!$J$6*Таблица14[[#This Row],[коэф]]),
IF(AND(G423="4/8",AM423&gt;0.5),(AM423*2*база!$J$5*Таблица14[[#This Row],[коэф]]),
IF(OR(AND(G423="3/8",AM423&gt;0.5),AND(G423="2/8",AM423&gt;0.5)),(AM423*2*база!$J$4*Таблица14[[#This Row],[коэф]]),
(AM423*0.5*база!$L$4*Таблица14[[#This Row],[коэф]]))))))))))))),
(IF(AND(G423="5/24",AM423&gt;0.5),(AM423*2*база!$M$6*Таблица14[[#This Row],[коэф]]),
IF(OR(AND(G423="4/24",AM423&gt;0.5),AND(G423="3/24",AM423&gt;0.5)),(AM423*2*база!$M$5*Таблица14[[#This Row],[коэф]]),
IF(AND(G423="5/16",AM423&gt;0.5),(AM423*2*база!$L$6*Таблица14[[#This Row],[коэф]]),
IF(OR(AND(G423="4/16",AM423&gt;0.5),AND(G423="3/16",AM423&gt;0.5)),(AM423*2*база!$L$5*Таблица14[[#This Row],[коэф]]),
IF(OR(AND(G423="4/4",AM423&gt;0.5),AND(G423="3/4",AM423&gt;2)),(AM423*2*база!$I$5*Таблица14[[#This Row],[коэф]]),
IF(AND(G423="5/8",AM423&gt;0.5),(AM423*2*база!$J$6*Таблица14[[#This Row],[коэф]]),
IF(AND(G423="4/8",AM423&gt;0.5),(AM423*2*база!$J$5*Таблица14[[#This Row],[коэф]]),
IF(OR(AND(G423="3/8",AM423&gt;0.5),AND(G423="2/8",AM423&gt;0.5)),(AM423*2*база!$J$4*Таблица14[[#This Row],[коэф]]),
(AM423*2*база!$L$5*Таблица14[[#This Row],[коэф]])))))))))))</f>
        <v>0</v>
      </c>
      <c r="AO423" s="122" t="str">
        <f>IFERROR(INDEX(база!$D$2:$D$120, MATCH(Таблица14[[#This Row],[Ф. И. О.]],база!$B$2:$B$100,0)),"")</f>
        <v/>
      </c>
    </row>
    <row r="424" spans="1:41">
      <c r="A424" s="207" t="str">
        <f t="shared" si="12"/>
        <v>январь</v>
      </c>
      <c r="B424" s="240">
        <v>2024</v>
      </c>
      <c r="C424" s="648"/>
      <c r="D424" s="591"/>
      <c r="E424" s="243"/>
      <c r="F424" s="672"/>
      <c r="G424" s="242"/>
      <c r="H424" s="592"/>
      <c r="I424" s="592"/>
      <c r="J424" s="592"/>
      <c r="K424" s="592"/>
      <c r="L424" s="592"/>
      <c r="M424" s="592"/>
      <c r="N424" s="592"/>
      <c r="O424" s="592"/>
      <c r="P424" s="592"/>
      <c r="Q424" s="592"/>
      <c r="R424" s="592"/>
      <c r="S424" s="592"/>
      <c r="T424" s="592"/>
      <c r="U424" s="592"/>
      <c r="V424" s="592"/>
      <c r="W424" s="592"/>
      <c r="X424" s="592"/>
      <c r="Y424" s="592"/>
      <c r="Z424" s="592"/>
      <c r="AA424" s="592"/>
      <c r="AB424" s="592"/>
      <c r="AC424" s="592"/>
      <c r="AD424" s="592"/>
      <c r="AE424" s="592"/>
      <c r="AF424" s="592"/>
      <c r="AG424" s="592"/>
      <c r="AH424" s="592"/>
      <c r="AI424" s="592"/>
      <c r="AJ424" s="592"/>
      <c r="AK424" s="592"/>
      <c r="AL424" s="592"/>
      <c r="AM424" s="121">
        <f t="shared" si="13"/>
        <v>0</v>
      </c>
      <c r="AN424" s="564">
        <f>IF(AO424&lt;=3,(IF(AND(G424="5/24",AM424&gt;0.5),(AM424*2*база!$M$6*Таблица14[[#This Row],[коэф]]),
IF(AND(G424="4/24",AM424&gt;0.5),(AM424*2*база!$M$5*Таблица14[[#This Row],[коэф]]),
IF(AND(G424="3/24",AM424&gt;0.5),(AM424*2*база!$M$4*Таблица14[[#This Row],[коэф]]),
IF(AND(G424="5/16",AM424&gt;0.5),(AM424*2*база!$L$6*Таблица14[[#This Row],[коэф]]),
IF(AND(G424="4/16",AM424&gt;0.5),(AM424*2*база!$L$5*Таблица14[[#This Row],[коэф]]),
IF(AND(G424="3/16",AM424&gt;0.5),(AM424*2*база!$L$4*Таблица14[[#This Row],[коэф]]),
IF(AND(G424="4/4",AM424&gt;0.5),(AM424*2*база!$I$5*Таблица14[[#This Row],[коэф]]),
IF(OR(AND(G424="3/4",AM424&gt;0.5),AND(G424="2/4",AM424&gt;0.5)),(AM424*2*база!$I$4*Таблица14[[#This Row],[коэф]]),
IF(AND(G424="5/8",AM424&gt;0.5),(AM424*2*база!$J$6*Таблица14[[#This Row],[коэф]]),
IF(AND(G424="4/8",AM424&gt;0.5),(AM424*2*база!$J$5*Таблица14[[#This Row],[коэф]]),
IF(OR(AND(G424="3/8",AM424&gt;0.5),AND(G424="2/8",AM424&gt;0.5)),(AM424*2*база!$J$4*Таблица14[[#This Row],[коэф]]),
(AM424*0.5*база!$L$4*Таблица14[[#This Row],[коэф]]))))))))))))),
(IF(AND(G424="5/24",AM424&gt;0.5),(AM424*2*база!$M$6*Таблица14[[#This Row],[коэф]]),
IF(OR(AND(G424="4/24",AM424&gt;0.5),AND(G424="3/24",AM424&gt;0.5)),(AM424*2*база!$M$5*Таблица14[[#This Row],[коэф]]),
IF(AND(G424="5/16",AM424&gt;0.5),(AM424*2*база!$L$6*Таблица14[[#This Row],[коэф]]),
IF(OR(AND(G424="4/16",AM424&gt;0.5),AND(G424="3/16",AM424&gt;0.5)),(AM424*2*база!$L$5*Таблица14[[#This Row],[коэф]]),
IF(OR(AND(G424="4/4",AM424&gt;0.5),AND(G424="3/4",AM424&gt;2)),(AM424*2*база!$I$5*Таблица14[[#This Row],[коэф]]),
IF(AND(G424="5/8",AM424&gt;0.5),(AM424*2*база!$J$6*Таблица14[[#This Row],[коэф]]),
IF(AND(G424="4/8",AM424&gt;0.5),(AM424*2*база!$J$5*Таблица14[[#This Row],[коэф]]),
IF(OR(AND(G424="3/8",AM424&gt;0.5),AND(G424="2/8",AM424&gt;0.5)),(AM424*2*база!$J$4*Таблица14[[#This Row],[коэф]]),
(AM424*2*база!$L$5*Таблица14[[#This Row],[коэф]])))))))))))</f>
        <v>0</v>
      </c>
      <c r="AO424" s="122" t="str">
        <f>IFERROR(INDEX(база!$D$2:$D$120, MATCH(Таблица14[[#This Row],[Ф. И. О.]],база!$B$2:$B$100,0)),"")</f>
        <v/>
      </c>
    </row>
    <row r="425" spans="1:41">
      <c r="A425" s="207" t="str">
        <f t="shared" si="12"/>
        <v>январь</v>
      </c>
      <c r="B425" s="204">
        <v>2024</v>
      </c>
      <c r="C425" s="571"/>
      <c r="D425" s="205"/>
      <c r="E425" s="243"/>
      <c r="F425" s="681"/>
      <c r="G425" s="206"/>
      <c r="H425" s="49"/>
      <c r="I425" s="49"/>
      <c r="J425" s="49"/>
      <c r="K425" s="49"/>
      <c r="L425" s="49"/>
      <c r="M425" s="49"/>
      <c r="N425" s="49"/>
      <c r="O425" s="49"/>
      <c r="P425" s="49"/>
      <c r="Q425" s="49"/>
      <c r="R425" s="49"/>
      <c r="S425" s="49"/>
      <c r="T425" s="49"/>
      <c r="U425" s="49"/>
      <c r="V425" s="49"/>
      <c r="W425" s="49"/>
      <c r="X425" s="49"/>
      <c r="Y425" s="49"/>
      <c r="Z425" s="49"/>
      <c r="AA425" s="49"/>
      <c r="AB425" s="49"/>
      <c r="AC425" s="49"/>
      <c r="AD425" s="49"/>
      <c r="AE425" s="49"/>
      <c r="AF425" s="49"/>
      <c r="AG425" s="49"/>
      <c r="AH425" s="49"/>
      <c r="AI425" s="49"/>
      <c r="AJ425" s="49"/>
      <c r="AK425" s="49"/>
      <c r="AL425" s="49"/>
      <c r="AM425" s="121">
        <f t="shared" si="13"/>
        <v>0</v>
      </c>
      <c r="AN425" s="564">
        <f>IF(AO425&lt;=3,(IF(AND(G425="5/24",AM425&gt;0.5),(AM425*2*база!$M$6*Таблица14[[#This Row],[коэф]]),
IF(AND(G425="4/24",AM425&gt;0.5),(AM425*2*база!$M$5*Таблица14[[#This Row],[коэф]]),
IF(AND(G425="3/24",AM425&gt;0.5),(AM425*2*база!$M$4*Таблица14[[#This Row],[коэф]]),
IF(AND(G425="5/16",AM425&gt;0.5),(AM425*2*база!$L$6*Таблица14[[#This Row],[коэф]]),
IF(AND(G425="4/16",AM425&gt;0.5),(AM425*2*база!$L$5*Таблица14[[#This Row],[коэф]]),
IF(AND(G425="3/16",AM425&gt;0.5),(AM425*2*база!$L$4*Таблица14[[#This Row],[коэф]]),
IF(AND(G425="4/4",AM425&gt;0.5),(AM425*2*база!$I$5*Таблица14[[#This Row],[коэф]]),
IF(OR(AND(G425="3/4",AM425&gt;0.5),AND(G425="2/4",AM425&gt;0.5)),(AM425*2*база!$I$4*Таблица14[[#This Row],[коэф]]),
IF(AND(G425="5/8",AM425&gt;0.5),(AM425*2*база!$J$6*Таблица14[[#This Row],[коэф]]),
IF(AND(G425="4/8",AM425&gt;0.5),(AM425*2*база!$J$5*Таблица14[[#This Row],[коэф]]),
IF(OR(AND(G425="3/8",AM425&gt;0.5),AND(G425="2/8",AM425&gt;0.5)),(AM425*2*база!$J$4*Таблица14[[#This Row],[коэф]]),
(AM425*0.5*база!$L$4*Таблица14[[#This Row],[коэф]]))))))))))))),
(IF(AND(G425="5/24",AM425&gt;0.5),(AM425*2*база!$M$6*Таблица14[[#This Row],[коэф]]),
IF(OR(AND(G425="4/24",AM425&gt;0.5),AND(G425="3/24",AM425&gt;0.5)),(AM425*2*база!$M$5*Таблица14[[#This Row],[коэф]]),
IF(AND(G425="5/16",AM425&gt;0.5),(AM425*2*база!$L$6*Таблица14[[#This Row],[коэф]]),
IF(OR(AND(G425="4/16",AM425&gt;0.5),AND(G425="3/16",AM425&gt;0.5)),(AM425*2*база!$L$5*Таблица14[[#This Row],[коэф]]),
IF(OR(AND(G425="4/4",AM425&gt;0.5),AND(G425="3/4",AM425&gt;2)),(AM425*2*база!$I$5*Таблица14[[#This Row],[коэф]]),
IF(AND(G425="5/8",AM425&gt;0.5),(AM425*2*база!$J$6*Таблица14[[#This Row],[коэф]]),
IF(AND(G425="4/8",AM425&gt;0.5),(AM425*2*база!$J$5*Таблица14[[#This Row],[коэф]]),
IF(OR(AND(G425="3/8",AM425&gt;0.5),AND(G425="2/8",AM425&gt;0.5)),(AM425*2*база!$J$4*Таблица14[[#This Row],[коэф]]),
(AM425*2*база!$L$5*Таблица14[[#This Row],[коэф]])))))))))))</f>
        <v>0</v>
      </c>
      <c r="AO425" s="122" t="str">
        <f>IFERROR(INDEX(база!$D$2:$D$120, MATCH(Таблица14[[#This Row],[Ф. И. О.]],база!$B$2:$B$100,0)),"")</f>
        <v/>
      </c>
    </row>
    <row r="426" spans="1:41">
      <c r="A426" s="207" t="str">
        <f t="shared" ref="A426:A489" si="14">A425</f>
        <v>январь</v>
      </c>
      <c r="B426" s="240">
        <v>2024</v>
      </c>
      <c r="C426" s="648"/>
      <c r="D426" s="591"/>
      <c r="E426" s="243"/>
      <c r="F426" s="679"/>
      <c r="G426" s="242"/>
      <c r="H426" s="592"/>
      <c r="I426" s="592"/>
      <c r="J426" s="592"/>
      <c r="K426" s="592"/>
      <c r="L426" s="592"/>
      <c r="M426" s="592"/>
      <c r="N426" s="592"/>
      <c r="O426" s="592"/>
      <c r="P426" s="592"/>
      <c r="Q426" s="592"/>
      <c r="R426" s="592"/>
      <c r="S426" s="592"/>
      <c r="T426" s="592"/>
      <c r="U426" s="592"/>
      <c r="V426" s="592"/>
      <c r="W426" s="592"/>
      <c r="X426" s="592"/>
      <c r="Y426" s="592"/>
      <c r="Z426" s="592"/>
      <c r="AA426" s="592"/>
      <c r="AB426" s="592"/>
      <c r="AC426" s="592"/>
      <c r="AD426" s="592"/>
      <c r="AE426" s="592"/>
      <c r="AF426" s="592"/>
      <c r="AG426" s="592"/>
      <c r="AH426" s="592"/>
      <c r="AI426" s="592"/>
      <c r="AJ426" s="592"/>
      <c r="AK426" s="592"/>
      <c r="AL426" s="592"/>
      <c r="AM426" s="121">
        <f t="shared" si="13"/>
        <v>0</v>
      </c>
      <c r="AN426" s="564">
        <f>IF(AO426&lt;=3,(IF(AND(G426="5/24",AM426&gt;0.5),(AM426*2*база!$M$6*Таблица14[[#This Row],[коэф]]),
IF(AND(G426="4/24",AM426&gt;0.5),(AM426*2*база!$M$5*Таблица14[[#This Row],[коэф]]),
IF(AND(G426="3/24",AM426&gt;0.5),(AM426*2*база!$M$4*Таблица14[[#This Row],[коэф]]),
IF(AND(G426="5/16",AM426&gt;0.5),(AM426*2*база!$L$6*Таблица14[[#This Row],[коэф]]),
IF(AND(G426="4/16",AM426&gt;0.5),(AM426*2*база!$L$5*Таблица14[[#This Row],[коэф]]),
IF(AND(G426="3/16",AM426&gt;0.5),(AM426*2*база!$L$4*Таблица14[[#This Row],[коэф]]),
IF(AND(G426="4/4",AM426&gt;0.5),(AM426*2*база!$I$5*Таблица14[[#This Row],[коэф]]),
IF(OR(AND(G426="3/4",AM426&gt;0.5),AND(G426="2/4",AM426&gt;0.5)),(AM426*2*база!$I$4*Таблица14[[#This Row],[коэф]]),
IF(AND(G426="5/8",AM426&gt;0.5),(AM426*2*база!$J$6*Таблица14[[#This Row],[коэф]]),
IF(AND(G426="4/8",AM426&gt;0.5),(AM426*2*база!$J$5*Таблица14[[#This Row],[коэф]]),
IF(OR(AND(G426="3/8",AM426&gt;0.5),AND(G426="2/8",AM426&gt;0.5)),(AM426*2*база!$J$4*Таблица14[[#This Row],[коэф]]),
(AM426*0.5*база!$L$4*Таблица14[[#This Row],[коэф]]))))))))))))),
(IF(AND(G426="5/24",AM426&gt;0.5),(AM426*2*база!$M$6*Таблица14[[#This Row],[коэф]]),
IF(OR(AND(G426="4/24",AM426&gt;0.5),AND(G426="3/24",AM426&gt;0.5)),(AM426*2*база!$M$5*Таблица14[[#This Row],[коэф]]),
IF(AND(G426="5/16",AM426&gt;0.5),(AM426*2*база!$L$6*Таблица14[[#This Row],[коэф]]),
IF(OR(AND(G426="4/16",AM426&gt;0.5),AND(G426="3/16",AM426&gt;0.5)),(AM426*2*база!$L$5*Таблица14[[#This Row],[коэф]]),
IF(OR(AND(G426="4/4",AM426&gt;0.5),AND(G426="3/4",AM426&gt;2)),(AM426*2*база!$I$5*Таблица14[[#This Row],[коэф]]),
IF(AND(G426="5/8",AM426&gt;0.5),(AM426*2*база!$J$6*Таблица14[[#This Row],[коэф]]),
IF(AND(G426="4/8",AM426&gt;0.5),(AM426*2*база!$J$5*Таблица14[[#This Row],[коэф]]),
IF(OR(AND(G426="3/8",AM426&gt;0.5),AND(G426="2/8",AM426&gt;0.5)),(AM426*2*база!$J$4*Таблица14[[#This Row],[коэф]]),
(AM426*2*база!$L$5*Таблица14[[#This Row],[коэф]])))))))))))</f>
        <v>0</v>
      </c>
      <c r="AO426" s="122" t="str">
        <f>IFERROR(INDEX(база!$D$2:$D$120, MATCH(Таблица14[[#This Row],[Ф. И. О.]],база!$B$2:$B$100,0)),"")</f>
        <v/>
      </c>
    </row>
    <row r="427" spans="1:41">
      <c r="A427" s="207" t="str">
        <f t="shared" si="14"/>
        <v>январь</v>
      </c>
      <c r="B427" s="204">
        <v>2024</v>
      </c>
      <c r="C427" s="571"/>
      <c r="D427" s="205"/>
      <c r="E427" s="243"/>
      <c r="F427" s="679"/>
      <c r="G427" s="206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  <c r="S427" s="49"/>
      <c r="T427" s="49"/>
      <c r="U427" s="49"/>
      <c r="V427" s="49"/>
      <c r="W427" s="49"/>
      <c r="X427" s="49"/>
      <c r="Y427" s="49"/>
      <c r="Z427" s="49"/>
      <c r="AA427" s="49"/>
      <c r="AB427" s="49"/>
      <c r="AC427" s="49"/>
      <c r="AD427" s="49"/>
      <c r="AE427" s="49"/>
      <c r="AF427" s="49"/>
      <c r="AG427" s="49"/>
      <c r="AH427" s="49"/>
      <c r="AI427" s="49"/>
      <c r="AJ427" s="49"/>
      <c r="AK427" s="49"/>
      <c r="AL427" s="49"/>
      <c r="AM427" s="121">
        <f t="shared" si="13"/>
        <v>0</v>
      </c>
      <c r="AN427" s="564">
        <f>IF(AO427&lt;=3,(IF(AND(G427="5/24",AM427&gt;0.5),(AM427*2*база!$M$6*Таблица14[[#This Row],[коэф]]),
IF(AND(G427="4/24",AM427&gt;0.5),(AM427*2*база!$M$5*Таблица14[[#This Row],[коэф]]),
IF(AND(G427="3/24",AM427&gt;0.5),(AM427*2*база!$M$4*Таблица14[[#This Row],[коэф]]),
IF(AND(G427="5/16",AM427&gt;0.5),(AM427*2*база!$L$6*Таблица14[[#This Row],[коэф]]),
IF(AND(G427="4/16",AM427&gt;0.5),(AM427*2*база!$L$5*Таблица14[[#This Row],[коэф]]),
IF(AND(G427="3/16",AM427&gt;0.5),(AM427*2*база!$L$4*Таблица14[[#This Row],[коэф]]),
IF(AND(G427="4/4",AM427&gt;0.5),(AM427*2*база!$I$5*Таблица14[[#This Row],[коэф]]),
IF(OR(AND(G427="3/4",AM427&gt;0.5),AND(G427="2/4",AM427&gt;0.5)),(AM427*2*база!$I$4*Таблица14[[#This Row],[коэф]]),
IF(AND(G427="5/8",AM427&gt;0.5),(AM427*2*база!$J$6*Таблица14[[#This Row],[коэф]]),
IF(AND(G427="4/8",AM427&gt;0.5),(AM427*2*база!$J$5*Таблица14[[#This Row],[коэф]]),
IF(OR(AND(G427="3/8",AM427&gt;0.5),AND(G427="2/8",AM427&gt;0.5)),(AM427*2*база!$J$4*Таблица14[[#This Row],[коэф]]),
(AM427*0.5*база!$L$4*Таблица14[[#This Row],[коэф]]))))))))))))),
(IF(AND(G427="5/24",AM427&gt;0.5),(AM427*2*база!$M$6*Таблица14[[#This Row],[коэф]]),
IF(OR(AND(G427="4/24",AM427&gt;0.5),AND(G427="3/24",AM427&gt;0.5)),(AM427*2*база!$M$5*Таблица14[[#This Row],[коэф]]),
IF(AND(G427="5/16",AM427&gt;0.5),(AM427*2*база!$L$6*Таблица14[[#This Row],[коэф]]),
IF(OR(AND(G427="4/16",AM427&gt;0.5),AND(G427="3/16",AM427&gt;0.5)),(AM427*2*база!$L$5*Таблица14[[#This Row],[коэф]]),
IF(OR(AND(G427="4/4",AM427&gt;0.5),AND(G427="3/4",AM427&gt;2)),(AM427*2*база!$I$5*Таблица14[[#This Row],[коэф]]),
IF(AND(G427="5/8",AM427&gt;0.5),(AM427*2*база!$J$6*Таблица14[[#This Row],[коэф]]),
IF(AND(G427="4/8",AM427&gt;0.5),(AM427*2*база!$J$5*Таблица14[[#This Row],[коэф]]),
IF(OR(AND(G427="3/8",AM427&gt;0.5),AND(G427="2/8",AM427&gt;0.5)),(AM427*2*база!$J$4*Таблица14[[#This Row],[коэф]]),
(AM427*2*база!$L$5*Таблица14[[#This Row],[коэф]])))))))))))</f>
        <v>0</v>
      </c>
      <c r="AO427" s="122" t="str">
        <f>IFERROR(INDEX(база!$D$2:$D$120, MATCH(Таблица14[[#This Row],[Ф. И. О.]],база!$B$2:$B$100,0)),"")</f>
        <v/>
      </c>
    </row>
    <row r="428" spans="1:41">
      <c r="A428" s="207" t="str">
        <f t="shared" si="14"/>
        <v>январь</v>
      </c>
      <c r="B428" s="240">
        <v>2024</v>
      </c>
      <c r="C428" s="648"/>
      <c r="D428" s="591"/>
      <c r="E428" s="243"/>
      <c r="F428" s="679"/>
      <c r="G428" s="242"/>
      <c r="H428" s="592"/>
      <c r="I428" s="592"/>
      <c r="J428" s="592"/>
      <c r="K428" s="592"/>
      <c r="L428" s="592"/>
      <c r="M428" s="592"/>
      <c r="N428" s="592"/>
      <c r="O428" s="592"/>
      <c r="P428" s="592"/>
      <c r="Q428" s="592"/>
      <c r="R428" s="592"/>
      <c r="S428" s="592"/>
      <c r="T428" s="592"/>
      <c r="U428" s="592"/>
      <c r="V428" s="592"/>
      <c r="W428" s="592"/>
      <c r="X428" s="592"/>
      <c r="Y428" s="592"/>
      <c r="Z428" s="592"/>
      <c r="AA428" s="592"/>
      <c r="AB428" s="592"/>
      <c r="AC428" s="592"/>
      <c r="AD428" s="592"/>
      <c r="AE428" s="592"/>
      <c r="AF428" s="592"/>
      <c r="AG428" s="592"/>
      <c r="AH428" s="592"/>
      <c r="AI428" s="592"/>
      <c r="AJ428" s="592"/>
      <c r="AK428" s="592"/>
      <c r="AL428" s="592"/>
      <c r="AM428" s="121">
        <f t="shared" si="13"/>
        <v>0</v>
      </c>
      <c r="AN428" s="564">
        <f>IF(AO428&lt;=3,(IF(AND(G428="5/24",AM428&gt;0.5),(AM428*2*база!$M$6*Таблица14[[#This Row],[коэф]]),
IF(AND(G428="4/24",AM428&gt;0.5),(AM428*2*база!$M$5*Таблица14[[#This Row],[коэф]]),
IF(AND(G428="3/24",AM428&gt;0.5),(AM428*2*база!$M$4*Таблица14[[#This Row],[коэф]]),
IF(AND(G428="5/16",AM428&gt;0.5),(AM428*2*база!$L$6*Таблица14[[#This Row],[коэф]]),
IF(AND(G428="4/16",AM428&gt;0.5),(AM428*2*база!$L$5*Таблица14[[#This Row],[коэф]]),
IF(AND(G428="3/16",AM428&gt;0.5),(AM428*2*база!$L$4*Таблица14[[#This Row],[коэф]]),
IF(AND(G428="4/4",AM428&gt;0.5),(AM428*2*база!$I$5*Таблица14[[#This Row],[коэф]]),
IF(OR(AND(G428="3/4",AM428&gt;0.5),AND(G428="2/4",AM428&gt;0.5)),(AM428*2*база!$I$4*Таблица14[[#This Row],[коэф]]),
IF(AND(G428="5/8",AM428&gt;0.5),(AM428*2*база!$J$6*Таблица14[[#This Row],[коэф]]),
IF(AND(G428="4/8",AM428&gt;0.5),(AM428*2*база!$J$5*Таблица14[[#This Row],[коэф]]),
IF(OR(AND(G428="3/8",AM428&gt;0.5),AND(G428="2/8",AM428&gt;0.5)),(AM428*2*база!$J$4*Таблица14[[#This Row],[коэф]]),
(AM428*0.5*база!$L$4*Таблица14[[#This Row],[коэф]]))))))))))))),
(IF(AND(G428="5/24",AM428&gt;0.5),(AM428*2*база!$M$6*Таблица14[[#This Row],[коэф]]),
IF(OR(AND(G428="4/24",AM428&gt;0.5),AND(G428="3/24",AM428&gt;0.5)),(AM428*2*база!$M$5*Таблица14[[#This Row],[коэф]]),
IF(AND(G428="5/16",AM428&gt;0.5),(AM428*2*база!$L$6*Таблица14[[#This Row],[коэф]]),
IF(OR(AND(G428="4/16",AM428&gt;0.5),AND(G428="3/16",AM428&gt;0.5)),(AM428*2*база!$L$5*Таблица14[[#This Row],[коэф]]),
IF(OR(AND(G428="4/4",AM428&gt;0.5),AND(G428="3/4",AM428&gt;2)),(AM428*2*база!$I$5*Таблица14[[#This Row],[коэф]]),
IF(AND(G428="5/8",AM428&gt;0.5),(AM428*2*база!$J$6*Таблица14[[#This Row],[коэф]]),
IF(AND(G428="4/8",AM428&gt;0.5),(AM428*2*база!$J$5*Таблица14[[#This Row],[коэф]]),
IF(OR(AND(G428="3/8",AM428&gt;0.5),AND(G428="2/8",AM428&gt;0.5)),(AM428*2*база!$J$4*Таблица14[[#This Row],[коэф]]),
(AM428*2*база!$L$5*Таблица14[[#This Row],[коэф]])))))))))))</f>
        <v>0</v>
      </c>
      <c r="AO428" s="122" t="str">
        <f>IFERROR(INDEX(база!$D$2:$D$120, MATCH(Таблица14[[#This Row],[Ф. И. О.]],база!$B$2:$B$100,0)),"")</f>
        <v/>
      </c>
    </row>
    <row r="429" spans="1:41">
      <c r="A429" s="207" t="str">
        <f t="shared" si="14"/>
        <v>январь</v>
      </c>
      <c r="B429" s="204">
        <v>2024</v>
      </c>
      <c r="C429" s="571"/>
      <c r="D429" s="205"/>
      <c r="E429" s="243"/>
      <c r="F429" s="679"/>
      <c r="G429" s="206"/>
      <c r="H429" s="49"/>
      <c r="I429" s="49"/>
      <c r="J429" s="49"/>
      <c r="K429" s="49"/>
      <c r="L429" s="49"/>
      <c r="M429" s="49"/>
      <c r="N429" s="49"/>
      <c r="O429" s="49"/>
      <c r="P429" s="49"/>
      <c r="Q429" s="49"/>
      <c r="R429" s="49"/>
      <c r="S429" s="49"/>
      <c r="T429" s="49"/>
      <c r="U429" s="49"/>
      <c r="V429" s="49"/>
      <c r="W429" s="49"/>
      <c r="X429" s="49"/>
      <c r="Y429" s="49"/>
      <c r="Z429" s="49"/>
      <c r="AA429" s="49"/>
      <c r="AB429" s="49"/>
      <c r="AC429" s="49"/>
      <c r="AD429" s="49"/>
      <c r="AE429" s="49"/>
      <c r="AF429" s="49"/>
      <c r="AG429" s="49"/>
      <c r="AH429" s="49"/>
      <c r="AI429" s="49"/>
      <c r="AJ429" s="49"/>
      <c r="AK429" s="49"/>
      <c r="AL429" s="49"/>
      <c r="AM429" s="121">
        <f t="shared" si="13"/>
        <v>0</v>
      </c>
      <c r="AN429" s="564">
        <f>IF(AO429&lt;=3,(IF(AND(G429="5/24",AM429&gt;0.5),(AM429*2*база!$M$6*Таблица14[[#This Row],[коэф]]),
IF(AND(G429="4/24",AM429&gt;0.5),(AM429*2*база!$M$5*Таблица14[[#This Row],[коэф]]),
IF(AND(G429="3/24",AM429&gt;0.5),(AM429*2*база!$M$4*Таблица14[[#This Row],[коэф]]),
IF(AND(G429="5/16",AM429&gt;0.5),(AM429*2*база!$L$6*Таблица14[[#This Row],[коэф]]),
IF(AND(G429="4/16",AM429&gt;0.5),(AM429*2*база!$L$5*Таблица14[[#This Row],[коэф]]),
IF(AND(G429="3/16",AM429&gt;0.5),(AM429*2*база!$L$4*Таблица14[[#This Row],[коэф]]),
IF(AND(G429="4/4",AM429&gt;0.5),(AM429*2*база!$I$5*Таблица14[[#This Row],[коэф]]),
IF(OR(AND(G429="3/4",AM429&gt;0.5),AND(G429="2/4",AM429&gt;0.5)),(AM429*2*база!$I$4*Таблица14[[#This Row],[коэф]]),
IF(AND(G429="5/8",AM429&gt;0.5),(AM429*2*база!$J$6*Таблица14[[#This Row],[коэф]]),
IF(AND(G429="4/8",AM429&gt;0.5),(AM429*2*база!$J$5*Таблица14[[#This Row],[коэф]]),
IF(OR(AND(G429="3/8",AM429&gt;0.5),AND(G429="2/8",AM429&gt;0.5)),(AM429*2*база!$J$4*Таблица14[[#This Row],[коэф]]),
(AM429*0.5*база!$L$4*Таблица14[[#This Row],[коэф]]))))))))))))),
(IF(AND(G429="5/24",AM429&gt;0.5),(AM429*2*база!$M$6*Таблица14[[#This Row],[коэф]]),
IF(OR(AND(G429="4/24",AM429&gt;0.5),AND(G429="3/24",AM429&gt;0.5)),(AM429*2*база!$M$5*Таблица14[[#This Row],[коэф]]),
IF(AND(G429="5/16",AM429&gt;0.5),(AM429*2*база!$L$6*Таблица14[[#This Row],[коэф]]),
IF(OR(AND(G429="4/16",AM429&gt;0.5),AND(G429="3/16",AM429&gt;0.5)),(AM429*2*база!$L$5*Таблица14[[#This Row],[коэф]]),
IF(OR(AND(G429="4/4",AM429&gt;0.5),AND(G429="3/4",AM429&gt;2)),(AM429*2*база!$I$5*Таблица14[[#This Row],[коэф]]),
IF(AND(G429="5/8",AM429&gt;0.5),(AM429*2*база!$J$6*Таблица14[[#This Row],[коэф]]),
IF(AND(G429="4/8",AM429&gt;0.5),(AM429*2*база!$J$5*Таблица14[[#This Row],[коэф]]),
IF(OR(AND(G429="3/8",AM429&gt;0.5),AND(G429="2/8",AM429&gt;0.5)),(AM429*2*база!$J$4*Таблица14[[#This Row],[коэф]]),
(AM429*2*база!$L$5*Таблица14[[#This Row],[коэф]])))))))))))</f>
        <v>0</v>
      </c>
      <c r="AO429" s="122" t="str">
        <f>IFERROR(INDEX(база!$D$2:$D$120, MATCH(Таблица14[[#This Row],[Ф. И. О.]],база!$B$2:$B$100,0)),"")</f>
        <v/>
      </c>
    </row>
    <row r="430" spans="1:41">
      <c r="A430" s="207" t="str">
        <f t="shared" si="14"/>
        <v>январь</v>
      </c>
      <c r="B430" s="240">
        <v>2024</v>
      </c>
      <c r="C430" s="648"/>
      <c r="D430" s="591"/>
      <c r="E430" s="243"/>
      <c r="F430" s="681"/>
      <c r="G430" s="242"/>
      <c r="H430" s="592"/>
      <c r="I430" s="592"/>
      <c r="J430" s="592"/>
      <c r="K430" s="592"/>
      <c r="L430" s="592"/>
      <c r="M430" s="592"/>
      <c r="N430" s="592"/>
      <c r="O430" s="592"/>
      <c r="P430" s="592"/>
      <c r="Q430" s="592"/>
      <c r="R430" s="592"/>
      <c r="S430" s="592"/>
      <c r="T430" s="592"/>
      <c r="U430" s="592"/>
      <c r="V430" s="592"/>
      <c r="W430" s="592"/>
      <c r="X430" s="592"/>
      <c r="Y430" s="592"/>
      <c r="Z430" s="592"/>
      <c r="AA430" s="592"/>
      <c r="AB430" s="592"/>
      <c r="AC430" s="592"/>
      <c r="AD430" s="592"/>
      <c r="AE430" s="592"/>
      <c r="AF430" s="592"/>
      <c r="AG430" s="592"/>
      <c r="AH430" s="592"/>
      <c r="AI430" s="592"/>
      <c r="AJ430" s="592"/>
      <c r="AK430" s="592"/>
      <c r="AL430" s="592"/>
      <c r="AM430" s="121">
        <f t="shared" si="13"/>
        <v>0</v>
      </c>
      <c r="AN430" s="564">
        <f>IF(AO430&lt;=3,(IF(AND(G430="5/24",AM430&gt;0.5),(AM430*2*база!$M$6*Таблица14[[#This Row],[коэф]]),
IF(AND(G430="4/24",AM430&gt;0.5),(AM430*2*база!$M$5*Таблица14[[#This Row],[коэф]]),
IF(AND(G430="3/24",AM430&gt;0.5),(AM430*2*база!$M$4*Таблица14[[#This Row],[коэф]]),
IF(AND(G430="5/16",AM430&gt;0.5),(AM430*2*база!$L$6*Таблица14[[#This Row],[коэф]]),
IF(AND(G430="4/16",AM430&gt;0.5),(AM430*2*база!$L$5*Таблица14[[#This Row],[коэф]]),
IF(AND(G430="3/16",AM430&gt;0.5),(AM430*2*база!$L$4*Таблица14[[#This Row],[коэф]]),
IF(AND(G430="4/4",AM430&gt;0.5),(AM430*2*база!$I$5*Таблица14[[#This Row],[коэф]]),
IF(OR(AND(G430="3/4",AM430&gt;0.5),AND(G430="2/4",AM430&gt;0.5)),(AM430*2*база!$I$4*Таблица14[[#This Row],[коэф]]),
IF(AND(G430="5/8",AM430&gt;0.5),(AM430*2*база!$J$6*Таблица14[[#This Row],[коэф]]),
IF(AND(G430="4/8",AM430&gt;0.5),(AM430*2*база!$J$5*Таблица14[[#This Row],[коэф]]),
IF(OR(AND(G430="3/8",AM430&gt;0.5),AND(G430="2/8",AM430&gt;0.5)),(AM430*2*база!$J$4*Таблица14[[#This Row],[коэф]]),
(AM430*0.5*база!$L$4*Таблица14[[#This Row],[коэф]]))))))))))))),
(IF(AND(G430="5/24",AM430&gt;0.5),(AM430*2*база!$M$6*Таблица14[[#This Row],[коэф]]),
IF(OR(AND(G430="4/24",AM430&gt;0.5),AND(G430="3/24",AM430&gt;0.5)),(AM430*2*база!$M$5*Таблица14[[#This Row],[коэф]]),
IF(AND(G430="5/16",AM430&gt;0.5),(AM430*2*база!$L$6*Таблица14[[#This Row],[коэф]]),
IF(OR(AND(G430="4/16",AM430&gt;0.5),AND(G430="3/16",AM430&gt;0.5)),(AM430*2*база!$L$5*Таблица14[[#This Row],[коэф]]),
IF(OR(AND(G430="4/4",AM430&gt;0.5),AND(G430="3/4",AM430&gt;2)),(AM430*2*база!$I$5*Таблица14[[#This Row],[коэф]]),
IF(AND(G430="5/8",AM430&gt;0.5),(AM430*2*база!$J$6*Таблица14[[#This Row],[коэф]]),
IF(AND(G430="4/8",AM430&gt;0.5),(AM430*2*база!$J$5*Таблица14[[#This Row],[коэф]]),
IF(OR(AND(G430="3/8",AM430&gt;0.5),AND(G430="2/8",AM430&gt;0.5)),(AM430*2*база!$J$4*Таблица14[[#This Row],[коэф]]),
(AM430*2*база!$L$5*Таблица14[[#This Row],[коэф]])))))))))))</f>
        <v>0</v>
      </c>
      <c r="AO430" s="122" t="str">
        <f>IFERROR(INDEX(база!$D$2:$D$120, MATCH(Таблица14[[#This Row],[Ф. И. О.]],база!$B$2:$B$100,0)),"")</f>
        <v/>
      </c>
    </row>
    <row r="431" spans="1:41">
      <c r="A431" s="207" t="str">
        <f t="shared" si="14"/>
        <v>январь</v>
      </c>
      <c r="B431" s="204">
        <v>2024</v>
      </c>
      <c r="C431" s="571"/>
      <c r="D431" s="205"/>
      <c r="E431" s="243"/>
      <c r="F431" s="681"/>
      <c r="G431" s="206"/>
      <c r="H431" s="49"/>
      <c r="I431" s="49"/>
      <c r="J431" s="49"/>
      <c r="K431" s="49"/>
      <c r="L431" s="49"/>
      <c r="M431" s="49"/>
      <c r="N431" s="49"/>
      <c r="O431" s="49"/>
      <c r="P431" s="49"/>
      <c r="Q431" s="49"/>
      <c r="R431" s="49"/>
      <c r="S431" s="49"/>
      <c r="T431" s="49"/>
      <c r="U431" s="49"/>
      <c r="V431" s="49"/>
      <c r="W431" s="49"/>
      <c r="X431" s="49"/>
      <c r="Y431" s="49"/>
      <c r="Z431" s="49"/>
      <c r="AA431" s="49"/>
      <c r="AB431" s="49"/>
      <c r="AC431" s="49"/>
      <c r="AD431" s="49"/>
      <c r="AE431" s="49"/>
      <c r="AF431" s="49"/>
      <c r="AG431" s="49"/>
      <c r="AH431" s="49"/>
      <c r="AI431" s="49"/>
      <c r="AJ431" s="49"/>
      <c r="AK431" s="49"/>
      <c r="AL431" s="49"/>
      <c r="AM431" s="121">
        <f t="shared" si="13"/>
        <v>0</v>
      </c>
      <c r="AN431" s="564">
        <f>IF(AO431&lt;=3,(IF(AND(G431="5/24",AM431&gt;0.5),(AM431*2*база!$M$6*Таблица14[[#This Row],[коэф]]),
IF(AND(G431="4/24",AM431&gt;0.5),(AM431*2*база!$M$5*Таблица14[[#This Row],[коэф]]),
IF(AND(G431="3/24",AM431&gt;0.5),(AM431*2*база!$M$4*Таблица14[[#This Row],[коэф]]),
IF(AND(G431="5/16",AM431&gt;0.5),(AM431*2*база!$L$6*Таблица14[[#This Row],[коэф]]),
IF(AND(G431="4/16",AM431&gt;0.5),(AM431*2*база!$L$5*Таблица14[[#This Row],[коэф]]),
IF(AND(G431="3/16",AM431&gt;0.5),(AM431*2*база!$L$4*Таблица14[[#This Row],[коэф]]),
IF(AND(G431="4/4",AM431&gt;0.5),(AM431*2*база!$I$5*Таблица14[[#This Row],[коэф]]),
IF(OR(AND(G431="3/4",AM431&gt;0.5),AND(G431="2/4",AM431&gt;0.5)),(AM431*2*база!$I$4*Таблица14[[#This Row],[коэф]]),
IF(AND(G431="5/8",AM431&gt;0.5),(AM431*2*база!$J$6*Таблица14[[#This Row],[коэф]]),
IF(AND(G431="4/8",AM431&gt;0.5),(AM431*2*база!$J$5*Таблица14[[#This Row],[коэф]]),
IF(OR(AND(G431="3/8",AM431&gt;0.5),AND(G431="2/8",AM431&gt;0.5)),(AM431*2*база!$J$4*Таблица14[[#This Row],[коэф]]),
(AM431*0.5*база!$L$4*Таблица14[[#This Row],[коэф]]))))))))))))),
(IF(AND(G431="5/24",AM431&gt;0.5),(AM431*2*база!$M$6*Таблица14[[#This Row],[коэф]]),
IF(OR(AND(G431="4/24",AM431&gt;0.5),AND(G431="3/24",AM431&gt;0.5)),(AM431*2*база!$M$5*Таблица14[[#This Row],[коэф]]),
IF(AND(G431="5/16",AM431&gt;0.5),(AM431*2*база!$L$6*Таблица14[[#This Row],[коэф]]),
IF(OR(AND(G431="4/16",AM431&gt;0.5),AND(G431="3/16",AM431&gt;0.5)),(AM431*2*база!$L$5*Таблица14[[#This Row],[коэф]]),
IF(OR(AND(G431="4/4",AM431&gt;0.5),AND(G431="3/4",AM431&gt;2)),(AM431*2*база!$I$5*Таблица14[[#This Row],[коэф]]),
IF(AND(G431="5/8",AM431&gt;0.5),(AM431*2*база!$J$6*Таблица14[[#This Row],[коэф]]),
IF(AND(G431="4/8",AM431&gt;0.5),(AM431*2*база!$J$5*Таблица14[[#This Row],[коэф]]),
IF(OR(AND(G431="3/8",AM431&gt;0.5),AND(G431="2/8",AM431&gt;0.5)),(AM431*2*база!$J$4*Таблица14[[#This Row],[коэф]]),
(AM431*2*база!$L$5*Таблица14[[#This Row],[коэф]])))))))))))</f>
        <v>0</v>
      </c>
      <c r="AO431" s="122" t="str">
        <f>IFERROR(INDEX(база!$D$2:$D$120, MATCH(Таблица14[[#This Row],[Ф. И. О.]],база!$B$2:$B$100,0)),"")</f>
        <v/>
      </c>
    </row>
    <row r="432" spans="1:41">
      <c r="A432" s="207" t="str">
        <f t="shared" si="14"/>
        <v>январь</v>
      </c>
      <c r="B432" s="240">
        <v>2024</v>
      </c>
      <c r="C432" s="648"/>
      <c r="D432" s="591"/>
      <c r="E432" s="243"/>
      <c r="F432" s="672"/>
      <c r="G432" s="242"/>
      <c r="H432" s="592"/>
      <c r="I432" s="592"/>
      <c r="J432" s="592"/>
      <c r="K432" s="592"/>
      <c r="L432" s="592"/>
      <c r="M432" s="592"/>
      <c r="N432" s="592"/>
      <c r="O432" s="592"/>
      <c r="P432" s="592"/>
      <c r="Q432" s="592"/>
      <c r="R432" s="592"/>
      <c r="S432" s="592"/>
      <c r="T432" s="592"/>
      <c r="U432" s="592"/>
      <c r="V432" s="592"/>
      <c r="W432" s="592"/>
      <c r="X432" s="592"/>
      <c r="Y432" s="592"/>
      <c r="Z432" s="592"/>
      <c r="AA432" s="592"/>
      <c r="AB432" s="592"/>
      <c r="AC432" s="592"/>
      <c r="AD432" s="592"/>
      <c r="AE432" s="592"/>
      <c r="AF432" s="592"/>
      <c r="AG432" s="592"/>
      <c r="AH432" s="592"/>
      <c r="AI432" s="592"/>
      <c r="AJ432" s="592"/>
      <c r="AK432" s="592"/>
      <c r="AL432" s="592"/>
      <c r="AM432" s="121">
        <f t="shared" si="13"/>
        <v>0</v>
      </c>
      <c r="AN432" s="564">
        <f>IF(AO432&lt;=3,(IF(AND(G432="5/24",AM432&gt;0.5),(AM432*2*база!$M$6*Таблица14[[#This Row],[коэф]]),
IF(AND(G432="4/24",AM432&gt;0.5),(AM432*2*база!$M$5*Таблица14[[#This Row],[коэф]]),
IF(AND(G432="3/24",AM432&gt;0.5),(AM432*2*база!$M$4*Таблица14[[#This Row],[коэф]]),
IF(AND(G432="5/16",AM432&gt;0.5),(AM432*2*база!$L$6*Таблица14[[#This Row],[коэф]]),
IF(AND(G432="4/16",AM432&gt;0.5),(AM432*2*база!$L$5*Таблица14[[#This Row],[коэф]]),
IF(AND(G432="3/16",AM432&gt;0.5),(AM432*2*база!$L$4*Таблица14[[#This Row],[коэф]]),
IF(AND(G432="4/4",AM432&gt;0.5),(AM432*2*база!$I$5*Таблица14[[#This Row],[коэф]]),
IF(OR(AND(G432="3/4",AM432&gt;0.5),AND(G432="2/4",AM432&gt;0.5)),(AM432*2*база!$I$4*Таблица14[[#This Row],[коэф]]),
IF(AND(G432="5/8",AM432&gt;0.5),(AM432*2*база!$J$6*Таблица14[[#This Row],[коэф]]),
IF(AND(G432="4/8",AM432&gt;0.5),(AM432*2*база!$J$5*Таблица14[[#This Row],[коэф]]),
IF(OR(AND(G432="3/8",AM432&gt;0.5),AND(G432="2/8",AM432&gt;0.5)),(AM432*2*база!$J$4*Таблица14[[#This Row],[коэф]]),
(AM432*0.5*база!$L$4*Таблица14[[#This Row],[коэф]]))))))))))))),
(IF(AND(G432="5/24",AM432&gt;0.5),(AM432*2*база!$M$6*Таблица14[[#This Row],[коэф]]),
IF(OR(AND(G432="4/24",AM432&gt;0.5),AND(G432="3/24",AM432&gt;0.5)),(AM432*2*база!$M$5*Таблица14[[#This Row],[коэф]]),
IF(AND(G432="5/16",AM432&gt;0.5),(AM432*2*база!$L$6*Таблица14[[#This Row],[коэф]]),
IF(OR(AND(G432="4/16",AM432&gt;0.5),AND(G432="3/16",AM432&gt;0.5)),(AM432*2*база!$L$5*Таблица14[[#This Row],[коэф]]),
IF(OR(AND(G432="4/4",AM432&gt;0.5),AND(G432="3/4",AM432&gt;2)),(AM432*2*база!$I$5*Таблица14[[#This Row],[коэф]]),
IF(AND(G432="5/8",AM432&gt;0.5),(AM432*2*база!$J$6*Таблица14[[#This Row],[коэф]]),
IF(AND(G432="4/8",AM432&gt;0.5),(AM432*2*база!$J$5*Таблица14[[#This Row],[коэф]]),
IF(OR(AND(G432="3/8",AM432&gt;0.5),AND(G432="2/8",AM432&gt;0.5)),(AM432*2*база!$J$4*Таблица14[[#This Row],[коэф]]),
(AM432*2*база!$L$5*Таблица14[[#This Row],[коэф]])))))))))))</f>
        <v>0</v>
      </c>
      <c r="AO432" s="122" t="str">
        <f>IFERROR(INDEX(база!$D$2:$D$120, MATCH(Таблица14[[#This Row],[Ф. И. О.]],база!$B$2:$B$100,0)),"")</f>
        <v/>
      </c>
    </row>
    <row r="433" spans="1:41">
      <c r="A433" s="207" t="str">
        <f t="shared" si="14"/>
        <v>январь</v>
      </c>
      <c r="B433" s="204">
        <v>2024</v>
      </c>
      <c r="C433" s="571"/>
      <c r="D433" s="205"/>
      <c r="E433" s="243"/>
      <c r="F433" s="681"/>
      <c r="G433" s="206"/>
      <c r="H433" s="49"/>
      <c r="I433" s="49"/>
      <c r="J433" s="49"/>
      <c r="K433" s="49"/>
      <c r="L433" s="49"/>
      <c r="M433" s="49"/>
      <c r="N433" s="49"/>
      <c r="O433" s="49"/>
      <c r="P433" s="49"/>
      <c r="Q433" s="49"/>
      <c r="R433" s="49"/>
      <c r="S433" s="49"/>
      <c r="T433" s="49"/>
      <c r="U433" s="49"/>
      <c r="V433" s="49"/>
      <c r="W433" s="49"/>
      <c r="X433" s="49"/>
      <c r="Y433" s="49"/>
      <c r="Z433" s="49"/>
      <c r="AA433" s="49"/>
      <c r="AB433" s="49"/>
      <c r="AC433" s="49"/>
      <c r="AD433" s="49"/>
      <c r="AE433" s="49"/>
      <c r="AF433" s="49"/>
      <c r="AG433" s="49"/>
      <c r="AH433" s="49"/>
      <c r="AI433" s="49"/>
      <c r="AJ433" s="49"/>
      <c r="AK433" s="49"/>
      <c r="AL433" s="49"/>
      <c r="AM433" s="121">
        <f t="shared" si="13"/>
        <v>0</v>
      </c>
      <c r="AN433" s="564">
        <f>IF(AO433&lt;=3,(IF(AND(G433="5/24",AM433&gt;0.5),(AM433*2*база!$M$6*Таблица14[[#This Row],[коэф]]),
IF(AND(G433="4/24",AM433&gt;0.5),(AM433*2*база!$M$5*Таблица14[[#This Row],[коэф]]),
IF(AND(G433="3/24",AM433&gt;0.5),(AM433*2*база!$M$4*Таблица14[[#This Row],[коэф]]),
IF(AND(G433="5/16",AM433&gt;0.5),(AM433*2*база!$L$6*Таблица14[[#This Row],[коэф]]),
IF(AND(G433="4/16",AM433&gt;0.5),(AM433*2*база!$L$5*Таблица14[[#This Row],[коэф]]),
IF(AND(G433="3/16",AM433&gt;0.5),(AM433*2*база!$L$4*Таблица14[[#This Row],[коэф]]),
IF(AND(G433="4/4",AM433&gt;0.5),(AM433*2*база!$I$5*Таблица14[[#This Row],[коэф]]),
IF(OR(AND(G433="3/4",AM433&gt;0.5),AND(G433="2/4",AM433&gt;0.5)),(AM433*2*база!$I$4*Таблица14[[#This Row],[коэф]]),
IF(AND(G433="5/8",AM433&gt;0.5),(AM433*2*база!$J$6*Таблица14[[#This Row],[коэф]]),
IF(AND(G433="4/8",AM433&gt;0.5),(AM433*2*база!$J$5*Таблица14[[#This Row],[коэф]]),
IF(OR(AND(G433="3/8",AM433&gt;0.5),AND(G433="2/8",AM433&gt;0.5)),(AM433*2*база!$J$4*Таблица14[[#This Row],[коэф]]),
(AM433*0.5*база!$L$4*Таблица14[[#This Row],[коэф]]))))))))))))),
(IF(AND(G433="5/24",AM433&gt;0.5),(AM433*2*база!$M$6*Таблица14[[#This Row],[коэф]]),
IF(OR(AND(G433="4/24",AM433&gt;0.5),AND(G433="3/24",AM433&gt;0.5)),(AM433*2*база!$M$5*Таблица14[[#This Row],[коэф]]),
IF(AND(G433="5/16",AM433&gt;0.5),(AM433*2*база!$L$6*Таблица14[[#This Row],[коэф]]),
IF(OR(AND(G433="4/16",AM433&gt;0.5),AND(G433="3/16",AM433&gt;0.5)),(AM433*2*база!$L$5*Таблица14[[#This Row],[коэф]]),
IF(OR(AND(G433="4/4",AM433&gt;0.5),AND(G433="3/4",AM433&gt;2)),(AM433*2*база!$I$5*Таблица14[[#This Row],[коэф]]),
IF(AND(G433="5/8",AM433&gt;0.5),(AM433*2*база!$J$6*Таблица14[[#This Row],[коэф]]),
IF(AND(G433="4/8",AM433&gt;0.5),(AM433*2*база!$J$5*Таблица14[[#This Row],[коэф]]),
IF(OR(AND(G433="3/8",AM433&gt;0.5),AND(G433="2/8",AM433&gt;0.5)),(AM433*2*база!$J$4*Таблица14[[#This Row],[коэф]]),
(AM433*2*база!$L$5*Таблица14[[#This Row],[коэф]])))))))))))</f>
        <v>0</v>
      </c>
      <c r="AO433" s="122" t="str">
        <f>IFERROR(INDEX(база!$D$2:$D$120, MATCH(Таблица14[[#This Row],[Ф. И. О.]],база!$B$2:$B$100,0)),"")</f>
        <v/>
      </c>
    </row>
    <row r="434" spans="1:41">
      <c r="A434" s="207" t="str">
        <f t="shared" si="14"/>
        <v>январь</v>
      </c>
      <c r="B434" s="240">
        <v>2024</v>
      </c>
      <c r="C434" s="648"/>
      <c r="D434" s="591"/>
      <c r="E434" s="243"/>
      <c r="F434" s="679"/>
      <c r="G434" s="242"/>
      <c r="H434" s="592"/>
      <c r="I434" s="592"/>
      <c r="J434" s="592"/>
      <c r="K434" s="592"/>
      <c r="L434" s="592"/>
      <c r="M434" s="592"/>
      <c r="N434" s="592"/>
      <c r="O434" s="592"/>
      <c r="P434" s="592"/>
      <c r="Q434" s="592"/>
      <c r="R434" s="592"/>
      <c r="S434" s="592"/>
      <c r="T434" s="592"/>
      <c r="U434" s="592"/>
      <c r="V434" s="592"/>
      <c r="W434" s="592"/>
      <c r="X434" s="592"/>
      <c r="Y434" s="592"/>
      <c r="Z434" s="592"/>
      <c r="AA434" s="592"/>
      <c r="AB434" s="592"/>
      <c r="AC434" s="592"/>
      <c r="AD434" s="592"/>
      <c r="AE434" s="592"/>
      <c r="AF434" s="592"/>
      <c r="AG434" s="592"/>
      <c r="AH434" s="592"/>
      <c r="AI434" s="592"/>
      <c r="AJ434" s="592"/>
      <c r="AK434" s="592"/>
      <c r="AL434" s="592"/>
      <c r="AM434" s="121">
        <f t="shared" si="13"/>
        <v>0</v>
      </c>
      <c r="AN434" s="564">
        <f>IF(AO434&lt;=3,(IF(AND(G434="5/24",AM434&gt;0.5),(AM434*2*база!$M$6*Таблица14[[#This Row],[коэф]]),
IF(AND(G434="4/24",AM434&gt;0.5),(AM434*2*база!$M$5*Таблица14[[#This Row],[коэф]]),
IF(AND(G434="3/24",AM434&gt;0.5),(AM434*2*база!$M$4*Таблица14[[#This Row],[коэф]]),
IF(AND(G434="5/16",AM434&gt;0.5),(AM434*2*база!$L$6*Таблица14[[#This Row],[коэф]]),
IF(AND(G434="4/16",AM434&gt;0.5),(AM434*2*база!$L$5*Таблица14[[#This Row],[коэф]]),
IF(AND(G434="3/16",AM434&gt;0.5),(AM434*2*база!$L$4*Таблица14[[#This Row],[коэф]]),
IF(AND(G434="4/4",AM434&gt;0.5),(AM434*2*база!$I$5*Таблица14[[#This Row],[коэф]]),
IF(OR(AND(G434="3/4",AM434&gt;0.5),AND(G434="2/4",AM434&gt;0.5)),(AM434*2*база!$I$4*Таблица14[[#This Row],[коэф]]),
IF(AND(G434="5/8",AM434&gt;0.5),(AM434*2*база!$J$6*Таблица14[[#This Row],[коэф]]),
IF(AND(G434="4/8",AM434&gt;0.5),(AM434*2*база!$J$5*Таблица14[[#This Row],[коэф]]),
IF(OR(AND(G434="3/8",AM434&gt;0.5),AND(G434="2/8",AM434&gt;0.5)),(AM434*2*база!$J$4*Таблица14[[#This Row],[коэф]]),
(AM434*0.5*база!$L$4*Таблица14[[#This Row],[коэф]]))))))))))))),
(IF(AND(G434="5/24",AM434&gt;0.5),(AM434*2*база!$M$6*Таблица14[[#This Row],[коэф]]),
IF(OR(AND(G434="4/24",AM434&gt;0.5),AND(G434="3/24",AM434&gt;0.5)),(AM434*2*база!$M$5*Таблица14[[#This Row],[коэф]]),
IF(AND(G434="5/16",AM434&gt;0.5),(AM434*2*база!$L$6*Таблица14[[#This Row],[коэф]]),
IF(OR(AND(G434="4/16",AM434&gt;0.5),AND(G434="3/16",AM434&gt;0.5)),(AM434*2*база!$L$5*Таблица14[[#This Row],[коэф]]),
IF(OR(AND(G434="4/4",AM434&gt;0.5),AND(G434="3/4",AM434&gt;2)),(AM434*2*база!$I$5*Таблица14[[#This Row],[коэф]]),
IF(AND(G434="5/8",AM434&gt;0.5),(AM434*2*база!$J$6*Таблица14[[#This Row],[коэф]]),
IF(AND(G434="4/8",AM434&gt;0.5),(AM434*2*база!$J$5*Таблица14[[#This Row],[коэф]]),
IF(OR(AND(G434="3/8",AM434&gt;0.5),AND(G434="2/8",AM434&gt;0.5)),(AM434*2*база!$J$4*Таблица14[[#This Row],[коэф]]),
(AM434*2*база!$L$5*Таблица14[[#This Row],[коэф]])))))))))))</f>
        <v>0</v>
      </c>
      <c r="AO434" s="122" t="str">
        <f>IFERROR(INDEX(база!$D$2:$D$120, MATCH(Таблица14[[#This Row],[Ф. И. О.]],база!$B$2:$B$100,0)),"")</f>
        <v/>
      </c>
    </row>
    <row r="435" spans="1:41">
      <c r="A435" s="207" t="str">
        <f t="shared" si="14"/>
        <v>январь</v>
      </c>
      <c r="B435" s="204">
        <v>2024</v>
      </c>
      <c r="C435" s="571"/>
      <c r="D435" s="205"/>
      <c r="E435" s="243"/>
      <c r="F435" s="681"/>
      <c r="G435" s="206"/>
      <c r="H435" s="49"/>
      <c r="I435" s="49"/>
      <c r="J435" s="49"/>
      <c r="K435" s="49"/>
      <c r="L435" s="49"/>
      <c r="M435" s="49"/>
      <c r="N435" s="49"/>
      <c r="O435" s="49"/>
      <c r="P435" s="49"/>
      <c r="Q435" s="49"/>
      <c r="R435" s="49"/>
      <c r="S435" s="49"/>
      <c r="T435" s="49"/>
      <c r="U435" s="49"/>
      <c r="V435" s="49"/>
      <c r="W435" s="49"/>
      <c r="X435" s="49"/>
      <c r="Y435" s="49"/>
      <c r="Z435" s="49"/>
      <c r="AA435" s="49"/>
      <c r="AB435" s="49"/>
      <c r="AC435" s="49"/>
      <c r="AD435" s="49"/>
      <c r="AE435" s="49"/>
      <c r="AF435" s="49"/>
      <c r="AG435" s="49"/>
      <c r="AH435" s="49"/>
      <c r="AI435" s="49"/>
      <c r="AJ435" s="49"/>
      <c r="AK435" s="49"/>
      <c r="AL435" s="49"/>
      <c r="AM435" s="121">
        <f t="shared" si="13"/>
        <v>0</v>
      </c>
      <c r="AN435" s="564">
        <f>IF(AO435&lt;=3,(IF(AND(G435="5/24",AM435&gt;0.5),(AM435*2*база!$M$6*Таблица14[[#This Row],[коэф]]),
IF(AND(G435="4/24",AM435&gt;0.5),(AM435*2*база!$M$5*Таблица14[[#This Row],[коэф]]),
IF(AND(G435="3/24",AM435&gt;0.5),(AM435*2*база!$M$4*Таблица14[[#This Row],[коэф]]),
IF(AND(G435="5/16",AM435&gt;0.5),(AM435*2*база!$L$6*Таблица14[[#This Row],[коэф]]),
IF(AND(G435="4/16",AM435&gt;0.5),(AM435*2*база!$L$5*Таблица14[[#This Row],[коэф]]),
IF(AND(G435="3/16",AM435&gt;0.5),(AM435*2*база!$L$4*Таблица14[[#This Row],[коэф]]),
IF(AND(G435="4/4",AM435&gt;0.5),(AM435*2*база!$I$5*Таблица14[[#This Row],[коэф]]),
IF(OR(AND(G435="3/4",AM435&gt;0.5),AND(G435="2/4",AM435&gt;0.5)),(AM435*2*база!$I$4*Таблица14[[#This Row],[коэф]]),
IF(AND(G435="5/8",AM435&gt;0.5),(AM435*2*база!$J$6*Таблица14[[#This Row],[коэф]]),
IF(AND(G435="4/8",AM435&gt;0.5),(AM435*2*база!$J$5*Таблица14[[#This Row],[коэф]]),
IF(OR(AND(G435="3/8",AM435&gt;0.5),AND(G435="2/8",AM435&gt;0.5)),(AM435*2*база!$J$4*Таблица14[[#This Row],[коэф]]),
(AM435*0.5*база!$L$4*Таблица14[[#This Row],[коэф]]))))))))))))),
(IF(AND(G435="5/24",AM435&gt;0.5),(AM435*2*база!$M$6*Таблица14[[#This Row],[коэф]]),
IF(OR(AND(G435="4/24",AM435&gt;0.5),AND(G435="3/24",AM435&gt;0.5)),(AM435*2*база!$M$5*Таблица14[[#This Row],[коэф]]),
IF(AND(G435="5/16",AM435&gt;0.5),(AM435*2*база!$L$6*Таблица14[[#This Row],[коэф]]),
IF(OR(AND(G435="4/16",AM435&gt;0.5),AND(G435="3/16",AM435&gt;0.5)),(AM435*2*база!$L$5*Таблица14[[#This Row],[коэф]]),
IF(OR(AND(G435="4/4",AM435&gt;0.5),AND(G435="3/4",AM435&gt;2)),(AM435*2*база!$I$5*Таблица14[[#This Row],[коэф]]),
IF(AND(G435="5/8",AM435&gt;0.5),(AM435*2*база!$J$6*Таблица14[[#This Row],[коэф]]),
IF(AND(G435="4/8",AM435&gt;0.5),(AM435*2*база!$J$5*Таблица14[[#This Row],[коэф]]),
IF(OR(AND(G435="3/8",AM435&gt;0.5),AND(G435="2/8",AM435&gt;0.5)),(AM435*2*база!$J$4*Таблица14[[#This Row],[коэф]]),
(AM435*2*база!$L$5*Таблица14[[#This Row],[коэф]])))))))))))</f>
        <v>0</v>
      </c>
      <c r="AO435" s="122" t="str">
        <f>IFERROR(INDEX(база!$D$2:$D$120, MATCH(Таблица14[[#This Row],[Ф. И. О.]],база!$B$2:$B$100,0)),"")</f>
        <v/>
      </c>
    </row>
    <row r="436" spans="1:41">
      <c r="A436" s="207" t="str">
        <f t="shared" si="14"/>
        <v>январь</v>
      </c>
      <c r="B436" s="240">
        <v>2024</v>
      </c>
      <c r="C436" s="648"/>
      <c r="D436" s="591"/>
      <c r="E436" s="243"/>
      <c r="F436" s="681"/>
      <c r="G436" s="242"/>
      <c r="H436" s="592"/>
      <c r="I436" s="592"/>
      <c r="J436" s="592"/>
      <c r="K436" s="592"/>
      <c r="L436" s="592"/>
      <c r="M436" s="592"/>
      <c r="N436" s="592"/>
      <c r="O436" s="592"/>
      <c r="P436" s="592"/>
      <c r="Q436" s="592"/>
      <c r="R436" s="592"/>
      <c r="S436" s="592"/>
      <c r="T436" s="592"/>
      <c r="U436" s="592"/>
      <c r="V436" s="592"/>
      <c r="W436" s="592"/>
      <c r="X436" s="592"/>
      <c r="Y436" s="592"/>
      <c r="Z436" s="592"/>
      <c r="AA436" s="592"/>
      <c r="AB436" s="592"/>
      <c r="AC436" s="592"/>
      <c r="AD436" s="592"/>
      <c r="AE436" s="592"/>
      <c r="AF436" s="592"/>
      <c r="AG436" s="592"/>
      <c r="AH436" s="592"/>
      <c r="AI436" s="592"/>
      <c r="AJ436" s="592"/>
      <c r="AK436" s="592"/>
      <c r="AL436" s="592"/>
      <c r="AM436" s="121">
        <f t="shared" si="13"/>
        <v>0</v>
      </c>
      <c r="AN436" s="564">
        <f>IF(AO436&lt;=3,(IF(AND(G436="5/24",AM436&gt;0.5),(AM436*2*база!$M$6*Таблица14[[#This Row],[коэф]]),
IF(AND(G436="4/24",AM436&gt;0.5),(AM436*2*база!$M$5*Таблица14[[#This Row],[коэф]]),
IF(AND(G436="3/24",AM436&gt;0.5),(AM436*2*база!$M$4*Таблица14[[#This Row],[коэф]]),
IF(AND(G436="5/16",AM436&gt;0.5),(AM436*2*база!$L$6*Таблица14[[#This Row],[коэф]]),
IF(AND(G436="4/16",AM436&gt;0.5),(AM436*2*база!$L$5*Таблица14[[#This Row],[коэф]]),
IF(AND(G436="3/16",AM436&gt;0.5),(AM436*2*база!$L$4*Таблица14[[#This Row],[коэф]]),
IF(AND(G436="4/4",AM436&gt;0.5),(AM436*2*база!$I$5*Таблица14[[#This Row],[коэф]]),
IF(OR(AND(G436="3/4",AM436&gt;0.5),AND(G436="2/4",AM436&gt;0.5)),(AM436*2*база!$I$4*Таблица14[[#This Row],[коэф]]),
IF(AND(G436="5/8",AM436&gt;0.5),(AM436*2*база!$J$6*Таблица14[[#This Row],[коэф]]),
IF(AND(G436="4/8",AM436&gt;0.5),(AM436*2*база!$J$5*Таблица14[[#This Row],[коэф]]),
IF(OR(AND(G436="3/8",AM436&gt;0.5),AND(G436="2/8",AM436&gt;0.5)),(AM436*2*база!$J$4*Таблица14[[#This Row],[коэф]]),
(AM436*0.5*база!$L$4*Таблица14[[#This Row],[коэф]]))))))))))))),
(IF(AND(G436="5/24",AM436&gt;0.5),(AM436*2*база!$M$6*Таблица14[[#This Row],[коэф]]),
IF(OR(AND(G436="4/24",AM436&gt;0.5),AND(G436="3/24",AM436&gt;0.5)),(AM436*2*база!$M$5*Таблица14[[#This Row],[коэф]]),
IF(AND(G436="5/16",AM436&gt;0.5),(AM436*2*база!$L$6*Таблица14[[#This Row],[коэф]]),
IF(OR(AND(G436="4/16",AM436&gt;0.5),AND(G436="3/16",AM436&gt;0.5)),(AM436*2*база!$L$5*Таблица14[[#This Row],[коэф]]),
IF(OR(AND(G436="4/4",AM436&gt;0.5),AND(G436="3/4",AM436&gt;2)),(AM436*2*база!$I$5*Таблица14[[#This Row],[коэф]]),
IF(AND(G436="5/8",AM436&gt;0.5),(AM436*2*база!$J$6*Таблица14[[#This Row],[коэф]]),
IF(AND(G436="4/8",AM436&gt;0.5),(AM436*2*база!$J$5*Таблица14[[#This Row],[коэф]]),
IF(OR(AND(G436="3/8",AM436&gt;0.5),AND(G436="2/8",AM436&gt;0.5)),(AM436*2*база!$J$4*Таблица14[[#This Row],[коэф]]),
(AM436*2*база!$L$5*Таблица14[[#This Row],[коэф]])))))))))))</f>
        <v>0</v>
      </c>
      <c r="AO436" s="122" t="str">
        <f>IFERROR(INDEX(база!$D$2:$D$120, MATCH(Таблица14[[#This Row],[Ф. И. О.]],база!$B$2:$B$100,0)),"")</f>
        <v/>
      </c>
    </row>
    <row r="437" spans="1:41">
      <c r="A437" s="207" t="str">
        <f t="shared" si="14"/>
        <v>январь</v>
      </c>
      <c r="B437" s="204">
        <v>2024</v>
      </c>
      <c r="C437" s="571"/>
      <c r="D437" s="205"/>
      <c r="E437" s="243"/>
      <c r="F437" s="679"/>
      <c r="G437" s="206"/>
      <c r="H437" s="49"/>
      <c r="I437" s="49"/>
      <c r="J437" s="49"/>
      <c r="K437" s="49"/>
      <c r="L437" s="49"/>
      <c r="M437" s="49"/>
      <c r="N437" s="49"/>
      <c r="O437" s="49"/>
      <c r="P437" s="49"/>
      <c r="Q437" s="49"/>
      <c r="R437" s="49"/>
      <c r="S437" s="49"/>
      <c r="T437" s="49"/>
      <c r="U437" s="49"/>
      <c r="V437" s="49"/>
      <c r="W437" s="49"/>
      <c r="X437" s="49"/>
      <c r="Y437" s="49"/>
      <c r="Z437" s="49"/>
      <c r="AA437" s="49"/>
      <c r="AB437" s="49"/>
      <c r="AC437" s="49"/>
      <c r="AD437" s="49"/>
      <c r="AE437" s="49"/>
      <c r="AF437" s="49"/>
      <c r="AG437" s="49"/>
      <c r="AH437" s="49"/>
      <c r="AI437" s="49"/>
      <c r="AJ437" s="49"/>
      <c r="AK437" s="49"/>
      <c r="AL437" s="49"/>
      <c r="AM437" s="121">
        <f t="shared" si="13"/>
        <v>0</v>
      </c>
      <c r="AN437" s="564">
        <f>IF(AO437&lt;=3,(IF(AND(G437="5/24",AM437&gt;0.5),(AM437*2*база!$M$6*Таблица14[[#This Row],[коэф]]),
IF(AND(G437="4/24",AM437&gt;0.5),(AM437*2*база!$M$5*Таблица14[[#This Row],[коэф]]),
IF(AND(G437="3/24",AM437&gt;0.5),(AM437*2*база!$M$4*Таблица14[[#This Row],[коэф]]),
IF(AND(G437="5/16",AM437&gt;0.5),(AM437*2*база!$L$6*Таблица14[[#This Row],[коэф]]),
IF(AND(G437="4/16",AM437&gt;0.5),(AM437*2*база!$L$5*Таблица14[[#This Row],[коэф]]),
IF(AND(G437="3/16",AM437&gt;0.5),(AM437*2*база!$L$4*Таблица14[[#This Row],[коэф]]),
IF(AND(G437="4/4",AM437&gt;0.5),(AM437*2*база!$I$5*Таблица14[[#This Row],[коэф]]),
IF(OR(AND(G437="3/4",AM437&gt;0.5),AND(G437="2/4",AM437&gt;0.5)),(AM437*2*база!$I$4*Таблица14[[#This Row],[коэф]]),
IF(AND(G437="5/8",AM437&gt;0.5),(AM437*2*база!$J$6*Таблица14[[#This Row],[коэф]]),
IF(AND(G437="4/8",AM437&gt;0.5),(AM437*2*база!$J$5*Таблица14[[#This Row],[коэф]]),
IF(OR(AND(G437="3/8",AM437&gt;0.5),AND(G437="2/8",AM437&gt;0.5)),(AM437*2*база!$J$4*Таблица14[[#This Row],[коэф]]),
(AM437*0.5*база!$L$4*Таблица14[[#This Row],[коэф]]))))))))))))),
(IF(AND(G437="5/24",AM437&gt;0.5),(AM437*2*база!$M$6*Таблица14[[#This Row],[коэф]]),
IF(OR(AND(G437="4/24",AM437&gt;0.5),AND(G437="3/24",AM437&gt;0.5)),(AM437*2*база!$M$5*Таблица14[[#This Row],[коэф]]),
IF(AND(G437="5/16",AM437&gt;0.5),(AM437*2*база!$L$6*Таблица14[[#This Row],[коэф]]),
IF(OR(AND(G437="4/16",AM437&gt;0.5),AND(G437="3/16",AM437&gt;0.5)),(AM437*2*база!$L$5*Таблица14[[#This Row],[коэф]]),
IF(OR(AND(G437="4/4",AM437&gt;0.5),AND(G437="3/4",AM437&gt;2)),(AM437*2*база!$I$5*Таблица14[[#This Row],[коэф]]),
IF(AND(G437="5/8",AM437&gt;0.5),(AM437*2*база!$J$6*Таблица14[[#This Row],[коэф]]),
IF(AND(G437="4/8",AM437&gt;0.5),(AM437*2*база!$J$5*Таблица14[[#This Row],[коэф]]),
IF(OR(AND(G437="3/8",AM437&gt;0.5),AND(G437="2/8",AM437&gt;0.5)),(AM437*2*база!$J$4*Таблица14[[#This Row],[коэф]]),
(AM437*2*база!$L$5*Таблица14[[#This Row],[коэф]])))))))))))</f>
        <v>0</v>
      </c>
      <c r="AO437" s="122" t="str">
        <f>IFERROR(INDEX(база!$D$2:$D$120, MATCH(Таблица14[[#This Row],[Ф. И. О.]],база!$B$2:$B$100,0)),"")</f>
        <v/>
      </c>
    </row>
    <row r="438" spans="1:41">
      <c r="A438" s="207" t="str">
        <f t="shared" si="14"/>
        <v>январь</v>
      </c>
      <c r="B438" s="240">
        <v>2024</v>
      </c>
      <c r="C438" s="648"/>
      <c r="D438" s="591"/>
      <c r="E438" s="243"/>
      <c r="F438" s="679"/>
      <c r="G438" s="242"/>
      <c r="H438" s="592"/>
      <c r="I438" s="592"/>
      <c r="J438" s="592"/>
      <c r="K438" s="592"/>
      <c r="L438" s="592"/>
      <c r="M438" s="592"/>
      <c r="N438" s="592"/>
      <c r="O438" s="592"/>
      <c r="P438" s="592"/>
      <c r="Q438" s="592"/>
      <c r="R438" s="592"/>
      <c r="S438" s="592"/>
      <c r="T438" s="592"/>
      <c r="U438" s="592"/>
      <c r="V438" s="592"/>
      <c r="W438" s="592"/>
      <c r="X438" s="592"/>
      <c r="Y438" s="592"/>
      <c r="Z438" s="592"/>
      <c r="AA438" s="592"/>
      <c r="AB438" s="592"/>
      <c r="AC438" s="592"/>
      <c r="AD438" s="592"/>
      <c r="AE438" s="592"/>
      <c r="AF438" s="592"/>
      <c r="AG438" s="592"/>
      <c r="AH438" s="592"/>
      <c r="AI438" s="592"/>
      <c r="AJ438" s="592"/>
      <c r="AK438" s="592"/>
      <c r="AL438" s="592"/>
      <c r="AM438" s="121">
        <f t="shared" si="13"/>
        <v>0</v>
      </c>
      <c r="AN438" s="564">
        <f>IF(AO438&lt;=3,(IF(AND(G438="5/24",AM438&gt;0.5),(AM438*2*база!$M$6*Таблица14[[#This Row],[коэф]]),
IF(AND(G438="4/24",AM438&gt;0.5),(AM438*2*база!$M$5*Таблица14[[#This Row],[коэф]]),
IF(AND(G438="3/24",AM438&gt;0.5),(AM438*2*база!$M$4*Таблица14[[#This Row],[коэф]]),
IF(AND(G438="5/16",AM438&gt;0.5),(AM438*2*база!$L$6*Таблица14[[#This Row],[коэф]]),
IF(AND(G438="4/16",AM438&gt;0.5),(AM438*2*база!$L$5*Таблица14[[#This Row],[коэф]]),
IF(AND(G438="3/16",AM438&gt;0.5),(AM438*2*база!$L$4*Таблица14[[#This Row],[коэф]]),
IF(AND(G438="4/4",AM438&gt;0.5),(AM438*2*база!$I$5*Таблица14[[#This Row],[коэф]]),
IF(OR(AND(G438="3/4",AM438&gt;0.5),AND(G438="2/4",AM438&gt;0.5)),(AM438*2*база!$I$4*Таблица14[[#This Row],[коэф]]),
IF(AND(G438="5/8",AM438&gt;0.5),(AM438*2*база!$J$6*Таблица14[[#This Row],[коэф]]),
IF(AND(G438="4/8",AM438&gt;0.5),(AM438*2*база!$J$5*Таблица14[[#This Row],[коэф]]),
IF(OR(AND(G438="3/8",AM438&gt;0.5),AND(G438="2/8",AM438&gt;0.5)),(AM438*2*база!$J$4*Таблица14[[#This Row],[коэф]]),
(AM438*0.5*база!$L$4*Таблица14[[#This Row],[коэф]]))))))))))))),
(IF(AND(G438="5/24",AM438&gt;0.5),(AM438*2*база!$M$6*Таблица14[[#This Row],[коэф]]),
IF(OR(AND(G438="4/24",AM438&gt;0.5),AND(G438="3/24",AM438&gt;0.5)),(AM438*2*база!$M$5*Таблица14[[#This Row],[коэф]]),
IF(AND(G438="5/16",AM438&gt;0.5),(AM438*2*база!$L$6*Таблица14[[#This Row],[коэф]]),
IF(OR(AND(G438="4/16",AM438&gt;0.5),AND(G438="3/16",AM438&gt;0.5)),(AM438*2*база!$L$5*Таблица14[[#This Row],[коэф]]),
IF(OR(AND(G438="4/4",AM438&gt;0.5),AND(G438="3/4",AM438&gt;2)),(AM438*2*база!$I$5*Таблица14[[#This Row],[коэф]]),
IF(AND(G438="5/8",AM438&gt;0.5),(AM438*2*база!$J$6*Таблица14[[#This Row],[коэф]]),
IF(AND(G438="4/8",AM438&gt;0.5),(AM438*2*база!$J$5*Таблица14[[#This Row],[коэф]]),
IF(OR(AND(G438="3/8",AM438&gt;0.5),AND(G438="2/8",AM438&gt;0.5)),(AM438*2*база!$J$4*Таблица14[[#This Row],[коэф]]),
(AM438*2*база!$L$5*Таблица14[[#This Row],[коэф]])))))))))))</f>
        <v>0</v>
      </c>
      <c r="AO438" s="122" t="str">
        <f>IFERROR(INDEX(база!$D$2:$D$120, MATCH(Таблица14[[#This Row],[Ф. И. О.]],база!$B$2:$B$100,0)),"")</f>
        <v/>
      </c>
    </row>
    <row r="439" spans="1:41">
      <c r="A439" s="207" t="str">
        <f t="shared" si="14"/>
        <v>январь</v>
      </c>
      <c r="B439" s="204">
        <v>2024</v>
      </c>
      <c r="C439" s="571"/>
      <c r="D439" s="205"/>
      <c r="E439" s="243"/>
      <c r="F439" s="672"/>
      <c r="G439" s="206"/>
      <c r="H439" s="49"/>
      <c r="I439" s="49"/>
      <c r="J439" s="49"/>
      <c r="K439" s="49"/>
      <c r="L439" s="49"/>
      <c r="M439" s="49"/>
      <c r="N439" s="49"/>
      <c r="O439" s="49"/>
      <c r="P439" s="49"/>
      <c r="Q439" s="49"/>
      <c r="R439" s="49"/>
      <c r="S439" s="49"/>
      <c r="T439" s="49"/>
      <c r="U439" s="49"/>
      <c r="V439" s="49"/>
      <c r="W439" s="49"/>
      <c r="X439" s="49"/>
      <c r="Y439" s="49"/>
      <c r="Z439" s="49"/>
      <c r="AA439" s="49"/>
      <c r="AB439" s="49"/>
      <c r="AC439" s="49"/>
      <c r="AD439" s="49"/>
      <c r="AE439" s="49"/>
      <c r="AF439" s="49"/>
      <c r="AG439" s="49"/>
      <c r="AH439" s="49"/>
      <c r="AI439" s="49"/>
      <c r="AJ439" s="49"/>
      <c r="AK439" s="49"/>
      <c r="AL439" s="49"/>
      <c r="AM439" s="121">
        <f t="shared" si="13"/>
        <v>0</v>
      </c>
      <c r="AN439" s="564">
        <f>IF(AO439&lt;=3,(IF(AND(G439="5/24",AM439&gt;0.5),(AM439*2*база!$M$6*Таблица14[[#This Row],[коэф]]),
IF(AND(G439="4/24",AM439&gt;0.5),(AM439*2*база!$M$5*Таблица14[[#This Row],[коэф]]),
IF(AND(G439="3/24",AM439&gt;0.5),(AM439*2*база!$M$4*Таблица14[[#This Row],[коэф]]),
IF(AND(G439="5/16",AM439&gt;0.5),(AM439*2*база!$L$6*Таблица14[[#This Row],[коэф]]),
IF(AND(G439="4/16",AM439&gt;0.5),(AM439*2*база!$L$5*Таблица14[[#This Row],[коэф]]),
IF(AND(G439="3/16",AM439&gt;0.5),(AM439*2*база!$L$4*Таблица14[[#This Row],[коэф]]),
IF(AND(G439="4/4",AM439&gt;0.5),(AM439*2*база!$I$5*Таблица14[[#This Row],[коэф]]),
IF(OR(AND(G439="3/4",AM439&gt;0.5),AND(G439="2/4",AM439&gt;0.5)),(AM439*2*база!$I$4*Таблица14[[#This Row],[коэф]]),
IF(AND(G439="5/8",AM439&gt;0.5),(AM439*2*база!$J$6*Таблица14[[#This Row],[коэф]]),
IF(AND(G439="4/8",AM439&gt;0.5),(AM439*2*база!$J$5*Таблица14[[#This Row],[коэф]]),
IF(OR(AND(G439="3/8",AM439&gt;0.5),AND(G439="2/8",AM439&gt;0.5)),(AM439*2*база!$J$4*Таблица14[[#This Row],[коэф]]),
(AM439*0.5*база!$L$4*Таблица14[[#This Row],[коэф]]))))))))))))),
(IF(AND(G439="5/24",AM439&gt;0.5),(AM439*2*база!$M$6*Таблица14[[#This Row],[коэф]]),
IF(OR(AND(G439="4/24",AM439&gt;0.5),AND(G439="3/24",AM439&gt;0.5)),(AM439*2*база!$M$5*Таблица14[[#This Row],[коэф]]),
IF(AND(G439="5/16",AM439&gt;0.5),(AM439*2*база!$L$6*Таблица14[[#This Row],[коэф]]),
IF(OR(AND(G439="4/16",AM439&gt;0.5),AND(G439="3/16",AM439&gt;0.5)),(AM439*2*база!$L$5*Таблица14[[#This Row],[коэф]]),
IF(OR(AND(G439="4/4",AM439&gt;0.5),AND(G439="3/4",AM439&gt;2)),(AM439*2*база!$I$5*Таблица14[[#This Row],[коэф]]),
IF(AND(G439="5/8",AM439&gt;0.5),(AM439*2*база!$J$6*Таблица14[[#This Row],[коэф]]),
IF(AND(G439="4/8",AM439&gt;0.5),(AM439*2*база!$J$5*Таблица14[[#This Row],[коэф]]),
IF(OR(AND(G439="3/8",AM439&gt;0.5),AND(G439="2/8",AM439&gt;0.5)),(AM439*2*база!$J$4*Таблица14[[#This Row],[коэф]]),
(AM439*2*база!$L$5*Таблица14[[#This Row],[коэф]])))))))))))</f>
        <v>0</v>
      </c>
      <c r="AO439" s="122" t="str">
        <f>IFERROR(INDEX(база!$D$2:$D$120, MATCH(Таблица14[[#This Row],[Ф. И. О.]],база!$B$2:$B$100,0)),"")</f>
        <v/>
      </c>
    </row>
    <row r="440" spans="1:41">
      <c r="A440" s="207" t="str">
        <f t="shared" si="14"/>
        <v>январь</v>
      </c>
      <c r="B440" s="240">
        <v>2024</v>
      </c>
      <c r="C440" s="648"/>
      <c r="D440" s="591"/>
      <c r="E440" s="243"/>
      <c r="F440" s="674"/>
      <c r="G440" s="242"/>
      <c r="H440" s="592"/>
      <c r="I440" s="592"/>
      <c r="J440" s="592"/>
      <c r="K440" s="592"/>
      <c r="L440" s="592"/>
      <c r="M440" s="592"/>
      <c r="N440" s="592"/>
      <c r="O440" s="592"/>
      <c r="P440" s="592"/>
      <c r="Q440" s="592"/>
      <c r="R440" s="592"/>
      <c r="S440" s="592"/>
      <c r="T440" s="592"/>
      <c r="U440" s="592"/>
      <c r="V440" s="592"/>
      <c r="W440" s="592"/>
      <c r="X440" s="592"/>
      <c r="Y440" s="592"/>
      <c r="Z440" s="592"/>
      <c r="AA440" s="592"/>
      <c r="AB440" s="592"/>
      <c r="AC440" s="592"/>
      <c r="AD440" s="592"/>
      <c r="AE440" s="592"/>
      <c r="AF440" s="592"/>
      <c r="AG440" s="592"/>
      <c r="AH440" s="592"/>
      <c r="AI440" s="592"/>
      <c r="AJ440" s="592"/>
      <c r="AK440" s="592"/>
      <c r="AL440" s="592"/>
      <c r="AM440" s="121">
        <f t="shared" si="13"/>
        <v>0</v>
      </c>
      <c r="AN440" s="564">
        <f>IF(AO440&lt;=3,(IF(AND(G440="5/24",AM440&gt;0.5),(AM440*2*база!$M$6*Таблица14[[#This Row],[коэф]]),
IF(AND(G440="4/24",AM440&gt;0.5),(AM440*2*база!$M$5*Таблица14[[#This Row],[коэф]]),
IF(AND(G440="3/24",AM440&gt;0.5),(AM440*2*база!$M$4*Таблица14[[#This Row],[коэф]]),
IF(AND(G440="5/16",AM440&gt;0.5),(AM440*2*база!$L$6*Таблица14[[#This Row],[коэф]]),
IF(AND(G440="4/16",AM440&gt;0.5),(AM440*2*база!$L$5*Таблица14[[#This Row],[коэф]]),
IF(AND(G440="3/16",AM440&gt;0.5),(AM440*2*база!$L$4*Таблица14[[#This Row],[коэф]]),
IF(AND(G440="4/4",AM440&gt;0.5),(AM440*2*база!$I$5*Таблица14[[#This Row],[коэф]]),
IF(OR(AND(G440="3/4",AM440&gt;0.5),AND(G440="2/4",AM440&gt;0.5)),(AM440*2*база!$I$4*Таблица14[[#This Row],[коэф]]),
IF(AND(G440="5/8",AM440&gt;0.5),(AM440*2*база!$J$6*Таблица14[[#This Row],[коэф]]),
IF(AND(G440="4/8",AM440&gt;0.5),(AM440*2*база!$J$5*Таблица14[[#This Row],[коэф]]),
IF(OR(AND(G440="3/8",AM440&gt;0.5),AND(G440="2/8",AM440&gt;0.5)),(AM440*2*база!$J$4*Таблица14[[#This Row],[коэф]]),
(AM440*0.5*база!$L$4*Таблица14[[#This Row],[коэф]]))))))))))))),
(IF(AND(G440="5/24",AM440&gt;0.5),(AM440*2*база!$M$6*Таблица14[[#This Row],[коэф]]),
IF(OR(AND(G440="4/24",AM440&gt;0.5),AND(G440="3/24",AM440&gt;0.5)),(AM440*2*база!$M$5*Таблица14[[#This Row],[коэф]]),
IF(AND(G440="5/16",AM440&gt;0.5),(AM440*2*база!$L$6*Таблица14[[#This Row],[коэф]]),
IF(OR(AND(G440="4/16",AM440&gt;0.5),AND(G440="3/16",AM440&gt;0.5)),(AM440*2*база!$L$5*Таблица14[[#This Row],[коэф]]),
IF(OR(AND(G440="4/4",AM440&gt;0.5),AND(G440="3/4",AM440&gt;2)),(AM440*2*база!$I$5*Таблица14[[#This Row],[коэф]]),
IF(AND(G440="5/8",AM440&gt;0.5),(AM440*2*база!$J$6*Таблица14[[#This Row],[коэф]]),
IF(AND(G440="4/8",AM440&gt;0.5),(AM440*2*база!$J$5*Таблица14[[#This Row],[коэф]]),
IF(OR(AND(G440="3/8",AM440&gt;0.5),AND(G440="2/8",AM440&gt;0.5)),(AM440*2*база!$J$4*Таблица14[[#This Row],[коэф]]),
(AM440*2*база!$L$5*Таблица14[[#This Row],[коэф]])))))))))))</f>
        <v>0</v>
      </c>
      <c r="AO440" s="122" t="str">
        <f>IFERROR(INDEX(база!$D$2:$D$120, MATCH(Таблица14[[#This Row],[Ф. И. О.]],база!$B$2:$B$100,0)),"")</f>
        <v/>
      </c>
    </row>
    <row r="441" spans="1:41">
      <c r="A441" s="207" t="str">
        <f t="shared" si="14"/>
        <v>январь</v>
      </c>
      <c r="B441" s="204">
        <v>2024</v>
      </c>
      <c r="C441" s="571"/>
      <c r="D441" s="205"/>
      <c r="E441" s="243"/>
      <c r="F441" s="672"/>
      <c r="G441" s="206"/>
      <c r="H441" s="49"/>
      <c r="I441" s="49"/>
      <c r="J441" s="49"/>
      <c r="K441" s="49"/>
      <c r="L441" s="49"/>
      <c r="M441" s="49"/>
      <c r="N441" s="49"/>
      <c r="O441" s="49"/>
      <c r="P441" s="49"/>
      <c r="Q441" s="49"/>
      <c r="R441" s="49"/>
      <c r="S441" s="49"/>
      <c r="T441" s="49"/>
      <c r="U441" s="49"/>
      <c r="V441" s="49"/>
      <c r="W441" s="49"/>
      <c r="X441" s="49"/>
      <c r="Y441" s="49"/>
      <c r="Z441" s="49"/>
      <c r="AA441" s="49"/>
      <c r="AB441" s="49"/>
      <c r="AC441" s="49"/>
      <c r="AD441" s="49"/>
      <c r="AE441" s="49"/>
      <c r="AF441" s="49"/>
      <c r="AG441" s="49"/>
      <c r="AH441" s="49"/>
      <c r="AI441" s="49"/>
      <c r="AJ441" s="49"/>
      <c r="AK441" s="49"/>
      <c r="AL441" s="49"/>
      <c r="AM441" s="121">
        <f t="shared" si="13"/>
        <v>0</v>
      </c>
      <c r="AN441" s="564">
        <f>IF(AO441&lt;=3,(IF(AND(G441="5/24",AM441&gt;0.5),(AM441*2*база!$M$6*Таблица14[[#This Row],[коэф]]),
IF(AND(G441="4/24",AM441&gt;0.5),(AM441*2*база!$M$5*Таблица14[[#This Row],[коэф]]),
IF(AND(G441="3/24",AM441&gt;0.5),(AM441*2*база!$M$4*Таблица14[[#This Row],[коэф]]),
IF(AND(G441="5/16",AM441&gt;0.5),(AM441*2*база!$L$6*Таблица14[[#This Row],[коэф]]),
IF(AND(G441="4/16",AM441&gt;0.5),(AM441*2*база!$L$5*Таблица14[[#This Row],[коэф]]),
IF(AND(G441="3/16",AM441&gt;0.5),(AM441*2*база!$L$4*Таблица14[[#This Row],[коэф]]),
IF(AND(G441="4/4",AM441&gt;0.5),(AM441*2*база!$I$5*Таблица14[[#This Row],[коэф]]),
IF(OR(AND(G441="3/4",AM441&gt;0.5),AND(G441="2/4",AM441&gt;0.5)),(AM441*2*база!$I$4*Таблица14[[#This Row],[коэф]]),
IF(AND(G441="5/8",AM441&gt;0.5),(AM441*2*база!$J$6*Таблица14[[#This Row],[коэф]]),
IF(AND(G441="4/8",AM441&gt;0.5),(AM441*2*база!$J$5*Таблица14[[#This Row],[коэф]]),
IF(OR(AND(G441="3/8",AM441&gt;0.5),AND(G441="2/8",AM441&gt;0.5)),(AM441*2*база!$J$4*Таблица14[[#This Row],[коэф]]),
(AM441*0.5*база!$L$4*Таблица14[[#This Row],[коэф]]))))))))))))),
(IF(AND(G441="5/24",AM441&gt;0.5),(AM441*2*база!$M$6*Таблица14[[#This Row],[коэф]]),
IF(OR(AND(G441="4/24",AM441&gt;0.5),AND(G441="3/24",AM441&gt;0.5)),(AM441*2*база!$M$5*Таблица14[[#This Row],[коэф]]),
IF(AND(G441="5/16",AM441&gt;0.5),(AM441*2*база!$L$6*Таблица14[[#This Row],[коэф]]),
IF(OR(AND(G441="4/16",AM441&gt;0.5),AND(G441="3/16",AM441&gt;0.5)),(AM441*2*база!$L$5*Таблица14[[#This Row],[коэф]]),
IF(OR(AND(G441="4/4",AM441&gt;0.5),AND(G441="3/4",AM441&gt;2)),(AM441*2*база!$I$5*Таблица14[[#This Row],[коэф]]),
IF(AND(G441="5/8",AM441&gt;0.5),(AM441*2*база!$J$6*Таблица14[[#This Row],[коэф]]),
IF(AND(G441="4/8",AM441&gt;0.5),(AM441*2*база!$J$5*Таблица14[[#This Row],[коэф]]),
IF(OR(AND(G441="3/8",AM441&gt;0.5),AND(G441="2/8",AM441&gt;0.5)),(AM441*2*база!$J$4*Таблица14[[#This Row],[коэф]]),
(AM441*2*база!$L$5*Таблица14[[#This Row],[коэф]])))))))))))</f>
        <v>0</v>
      </c>
      <c r="AO441" s="122" t="str">
        <f>IFERROR(INDEX(база!$D$2:$D$120, MATCH(Таблица14[[#This Row],[Ф. И. О.]],база!$B$2:$B$100,0)),"")</f>
        <v/>
      </c>
    </row>
    <row r="442" spans="1:41">
      <c r="A442" s="207" t="str">
        <f t="shared" si="14"/>
        <v>январь</v>
      </c>
      <c r="B442" s="240">
        <v>2024</v>
      </c>
      <c r="C442" s="648"/>
      <c r="D442" s="591"/>
      <c r="E442" s="243"/>
      <c r="F442" s="681"/>
      <c r="G442" s="242"/>
      <c r="H442" s="592"/>
      <c r="I442" s="592"/>
      <c r="J442" s="592"/>
      <c r="K442" s="592"/>
      <c r="L442" s="592"/>
      <c r="M442" s="592"/>
      <c r="N442" s="592"/>
      <c r="O442" s="592"/>
      <c r="P442" s="592"/>
      <c r="Q442" s="592"/>
      <c r="R442" s="592"/>
      <c r="S442" s="592"/>
      <c r="T442" s="592"/>
      <c r="U442" s="592"/>
      <c r="V442" s="592"/>
      <c r="W442" s="592"/>
      <c r="X442" s="592"/>
      <c r="Y442" s="592"/>
      <c r="Z442" s="592"/>
      <c r="AA442" s="592"/>
      <c r="AB442" s="592"/>
      <c r="AC442" s="592"/>
      <c r="AD442" s="592"/>
      <c r="AE442" s="592"/>
      <c r="AF442" s="592"/>
      <c r="AG442" s="592"/>
      <c r="AH442" s="592"/>
      <c r="AI442" s="592"/>
      <c r="AJ442" s="592"/>
      <c r="AK442" s="592"/>
      <c r="AL442" s="592"/>
      <c r="AM442" s="121">
        <f t="shared" si="13"/>
        <v>0</v>
      </c>
      <c r="AN442" s="564">
        <f>IF(AO442&lt;=3,(IF(AND(G442="5/24",AM442&gt;0.5),(AM442*2*база!$M$6*Таблица14[[#This Row],[коэф]]),
IF(AND(G442="4/24",AM442&gt;0.5),(AM442*2*база!$M$5*Таблица14[[#This Row],[коэф]]),
IF(AND(G442="3/24",AM442&gt;0.5),(AM442*2*база!$M$4*Таблица14[[#This Row],[коэф]]),
IF(AND(G442="5/16",AM442&gt;0.5),(AM442*2*база!$L$6*Таблица14[[#This Row],[коэф]]),
IF(AND(G442="4/16",AM442&gt;0.5),(AM442*2*база!$L$5*Таблица14[[#This Row],[коэф]]),
IF(AND(G442="3/16",AM442&gt;0.5),(AM442*2*база!$L$4*Таблица14[[#This Row],[коэф]]),
IF(AND(G442="4/4",AM442&gt;0.5),(AM442*2*база!$I$5*Таблица14[[#This Row],[коэф]]),
IF(OR(AND(G442="3/4",AM442&gt;0.5),AND(G442="2/4",AM442&gt;0.5)),(AM442*2*база!$I$4*Таблица14[[#This Row],[коэф]]),
IF(AND(G442="5/8",AM442&gt;0.5),(AM442*2*база!$J$6*Таблица14[[#This Row],[коэф]]),
IF(AND(G442="4/8",AM442&gt;0.5),(AM442*2*база!$J$5*Таблица14[[#This Row],[коэф]]),
IF(OR(AND(G442="3/8",AM442&gt;0.5),AND(G442="2/8",AM442&gt;0.5)),(AM442*2*база!$J$4*Таблица14[[#This Row],[коэф]]),
(AM442*0.5*база!$L$4*Таблица14[[#This Row],[коэф]]))))))))))))),
(IF(AND(G442="5/24",AM442&gt;0.5),(AM442*2*база!$M$6*Таблица14[[#This Row],[коэф]]),
IF(OR(AND(G442="4/24",AM442&gt;0.5),AND(G442="3/24",AM442&gt;0.5)),(AM442*2*база!$M$5*Таблица14[[#This Row],[коэф]]),
IF(AND(G442="5/16",AM442&gt;0.5),(AM442*2*база!$L$6*Таблица14[[#This Row],[коэф]]),
IF(OR(AND(G442="4/16",AM442&gt;0.5),AND(G442="3/16",AM442&gt;0.5)),(AM442*2*база!$L$5*Таблица14[[#This Row],[коэф]]),
IF(OR(AND(G442="4/4",AM442&gt;0.5),AND(G442="3/4",AM442&gt;2)),(AM442*2*база!$I$5*Таблица14[[#This Row],[коэф]]),
IF(AND(G442="5/8",AM442&gt;0.5),(AM442*2*база!$J$6*Таблица14[[#This Row],[коэф]]),
IF(AND(G442="4/8",AM442&gt;0.5),(AM442*2*база!$J$5*Таблица14[[#This Row],[коэф]]),
IF(OR(AND(G442="3/8",AM442&gt;0.5),AND(G442="2/8",AM442&gt;0.5)),(AM442*2*база!$J$4*Таблица14[[#This Row],[коэф]]),
(AM442*2*база!$L$5*Таблица14[[#This Row],[коэф]])))))))))))</f>
        <v>0</v>
      </c>
      <c r="AO442" s="122" t="str">
        <f>IFERROR(INDEX(база!$D$2:$D$120, MATCH(Таблица14[[#This Row],[Ф. И. О.]],база!$B$2:$B$100,0)),"")</f>
        <v/>
      </c>
    </row>
    <row r="443" spans="1:41">
      <c r="A443" s="207" t="str">
        <f t="shared" si="14"/>
        <v>январь</v>
      </c>
      <c r="B443" s="204">
        <v>2024</v>
      </c>
      <c r="C443" s="571"/>
      <c r="D443" s="205"/>
      <c r="E443" s="243"/>
      <c r="F443" s="672"/>
      <c r="G443" s="206"/>
      <c r="H443" s="49"/>
      <c r="I443" s="49"/>
      <c r="J443" s="49"/>
      <c r="K443" s="49"/>
      <c r="L443" s="49"/>
      <c r="M443" s="49"/>
      <c r="N443" s="49"/>
      <c r="O443" s="49"/>
      <c r="P443" s="49"/>
      <c r="Q443" s="49"/>
      <c r="R443" s="49"/>
      <c r="S443" s="49"/>
      <c r="T443" s="49"/>
      <c r="U443" s="49"/>
      <c r="V443" s="49"/>
      <c r="W443" s="49"/>
      <c r="X443" s="49"/>
      <c r="Y443" s="49"/>
      <c r="Z443" s="49"/>
      <c r="AA443" s="49"/>
      <c r="AB443" s="49"/>
      <c r="AC443" s="49"/>
      <c r="AD443" s="49"/>
      <c r="AE443" s="49"/>
      <c r="AF443" s="49"/>
      <c r="AG443" s="49"/>
      <c r="AH443" s="49"/>
      <c r="AI443" s="49"/>
      <c r="AJ443" s="49"/>
      <c r="AK443" s="49"/>
      <c r="AL443" s="49"/>
      <c r="AM443" s="121">
        <f t="shared" si="13"/>
        <v>0</v>
      </c>
      <c r="AN443" s="564">
        <f>IF(AO443&lt;=3,(IF(AND(G443="5/24",AM443&gt;0.5),(AM443*2*база!$M$6*Таблица14[[#This Row],[коэф]]),
IF(AND(G443="4/24",AM443&gt;0.5),(AM443*2*база!$M$5*Таблица14[[#This Row],[коэф]]),
IF(AND(G443="3/24",AM443&gt;0.5),(AM443*2*база!$M$4*Таблица14[[#This Row],[коэф]]),
IF(AND(G443="5/16",AM443&gt;0.5),(AM443*2*база!$L$6*Таблица14[[#This Row],[коэф]]),
IF(AND(G443="4/16",AM443&gt;0.5),(AM443*2*база!$L$5*Таблица14[[#This Row],[коэф]]),
IF(AND(G443="3/16",AM443&gt;0.5),(AM443*2*база!$L$4*Таблица14[[#This Row],[коэф]]),
IF(AND(G443="4/4",AM443&gt;0.5),(AM443*2*база!$I$5*Таблица14[[#This Row],[коэф]]),
IF(OR(AND(G443="3/4",AM443&gt;0.5),AND(G443="2/4",AM443&gt;0.5)),(AM443*2*база!$I$4*Таблица14[[#This Row],[коэф]]),
IF(AND(G443="5/8",AM443&gt;0.5),(AM443*2*база!$J$6*Таблица14[[#This Row],[коэф]]),
IF(AND(G443="4/8",AM443&gt;0.5),(AM443*2*база!$J$5*Таблица14[[#This Row],[коэф]]),
IF(OR(AND(G443="3/8",AM443&gt;0.5),AND(G443="2/8",AM443&gt;0.5)),(AM443*2*база!$J$4*Таблица14[[#This Row],[коэф]]),
(AM443*0.5*база!$L$4*Таблица14[[#This Row],[коэф]]))))))))))))),
(IF(AND(G443="5/24",AM443&gt;0.5),(AM443*2*база!$M$6*Таблица14[[#This Row],[коэф]]),
IF(OR(AND(G443="4/24",AM443&gt;0.5),AND(G443="3/24",AM443&gt;0.5)),(AM443*2*база!$M$5*Таблица14[[#This Row],[коэф]]),
IF(AND(G443="5/16",AM443&gt;0.5),(AM443*2*база!$L$6*Таблица14[[#This Row],[коэф]]),
IF(OR(AND(G443="4/16",AM443&gt;0.5),AND(G443="3/16",AM443&gt;0.5)),(AM443*2*база!$L$5*Таблица14[[#This Row],[коэф]]),
IF(OR(AND(G443="4/4",AM443&gt;0.5),AND(G443="3/4",AM443&gt;2)),(AM443*2*база!$I$5*Таблица14[[#This Row],[коэф]]),
IF(AND(G443="5/8",AM443&gt;0.5),(AM443*2*база!$J$6*Таблица14[[#This Row],[коэф]]),
IF(AND(G443="4/8",AM443&gt;0.5),(AM443*2*база!$J$5*Таблица14[[#This Row],[коэф]]),
IF(OR(AND(G443="3/8",AM443&gt;0.5),AND(G443="2/8",AM443&gt;0.5)),(AM443*2*база!$J$4*Таблица14[[#This Row],[коэф]]),
(AM443*2*база!$L$5*Таблица14[[#This Row],[коэф]])))))))))))</f>
        <v>0</v>
      </c>
      <c r="AO443" s="122" t="str">
        <f>IFERROR(INDEX(база!$D$2:$D$120, MATCH(Таблица14[[#This Row],[Ф. И. О.]],база!$B$2:$B$100,0)),"")</f>
        <v/>
      </c>
    </row>
    <row r="444" spans="1:41">
      <c r="A444" s="207" t="str">
        <f t="shared" si="14"/>
        <v>январь</v>
      </c>
      <c r="B444" s="240">
        <v>2024</v>
      </c>
      <c r="C444" s="648"/>
      <c r="D444" s="591"/>
      <c r="E444" s="243"/>
      <c r="F444" s="672"/>
      <c r="G444" s="242"/>
      <c r="H444" s="592"/>
      <c r="I444" s="592"/>
      <c r="J444" s="592"/>
      <c r="K444" s="592"/>
      <c r="L444" s="592"/>
      <c r="M444" s="592"/>
      <c r="N444" s="592"/>
      <c r="O444" s="592"/>
      <c r="P444" s="592"/>
      <c r="Q444" s="592"/>
      <c r="R444" s="592"/>
      <c r="S444" s="592"/>
      <c r="T444" s="592"/>
      <c r="U444" s="592"/>
      <c r="V444" s="592"/>
      <c r="W444" s="592"/>
      <c r="X444" s="592"/>
      <c r="Y444" s="592"/>
      <c r="Z444" s="592"/>
      <c r="AA444" s="592"/>
      <c r="AB444" s="592"/>
      <c r="AC444" s="592"/>
      <c r="AD444" s="592"/>
      <c r="AE444" s="592"/>
      <c r="AF444" s="592"/>
      <c r="AG444" s="592"/>
      <c r="AH444" s="592"/>
      <c r="AI444" s="592"/>
      <c r="AJ444" s="592"/>
      <c r="AK444" s="592"/>
      <c r="AL444" s="592"/>
      <c r="AM444" s="121">
        <f t="shared" si="13"/>
        <v>0</v>
      </c>
      <c r="AN444" s="564">
        <f>IF(AO444&lt;=3,(IF(AND(G444="5/24",AM444&gt;0.5),(AM444*2*база!$M$6*Таблица14[[#This Row],[коэф]]),
IF(AND(G444="4/24",AM444&gt;0.5),(AM444*2*база!$M$5*Таблица14[[#This Row],[коэф]]),
IF(AND(G444="3/24",AM444&gt;0.5),(AM444*2*база!$M$4*Таблица14[[#This Row],[коэф]]),
IF(AND(G444="5/16",AM444&gt;0.5),(AM444*2*база!$L$6*Таблица14[[#This Row],[коэф]]),
IF(AND(G444="4/16",AM444&gt;0.5),(AM444*2*база!$L$5*Таблица14[[#This Row],[коэф]]),
IF(AND(G444="3/16",AM444&gt;0.5),(AM444*2*база!$L$4*Таблица14[[#This Row],[коэф]]),
IF(AND(G444="4/4",AM444&gt;0.5),(AM444*2*база!$I$5*Таблица14[[#This Row],[коэф]]),
IF(OR(AND(G444="3/4",AM444&gt;0.5),AND(G444="2/4",AM444&gt;0.5)),(AM444*2*база!$I$4*Таблица14[[#This Row],[коэф]]),
IF(AND(G444="5/8",AM444&gt;0.5),(AM444*2*база!$J$6*Таблица14[[#This Row],[коэф]]),
IF(AND(G444="4/8",AM444&gt;0.5),(AM444*2*база!$J$5*Таблица14[[#This Row],[коэф]]),
IF(OR(AND(G444="3/8",AM444&gt;0.5),AND(G444="2/8",AM444&gt;0.5)),(AM444*2*база!$J$4*Таблица14[[#This Row],[коэф]]),
(AM444*0.5*база!$L$4*Таблица14[[#This Row],[коэф]]))))))))))))),
(IF(AND(G444="5/24",AM444&gt;0.5),(AM444*2*база!$M$6*Таблица14[[#This Row],[коэф]]),
IF(OR(AND(G444="4/24",AM444&gt;0.5),AND(G444="3/24",AM444&gt;0.5)),(AM444*2*база!$M$5*Таблица14[[#This Row],[коэф]]),
IF(AND(G444="5/16",AM444&gt;0.5),(AM444*2*база!$L$6*Таблица14[[#This Row],[коэф]]),
IF(OR(AND(G444="4/16",AM444&gt;0.5),AND(G444="3/16",AM444&gt;0.5)),(AM444*2*база!$L$5*Таблица14[[#This Row],[коэф]]),
IF(OR(AND(G444="4/4",AM444&gt;0.5),AND(G444="3/4",AM444&gt;2)),(AM444*2*база!$I$5*Таблица14[[#This Row],[коэф]]),
IF(AND(G444="5/8",AM444&gt;0.5),(AM444*2*база!$J$6*Таблица14[[#This Row],[коэф]]),
IF(AND(G444="4/8",AM444&gt;0.5),(AM444*2*база!$J$5*Таблица14[[#This Row],[коэф]]),
IF(OR(AND(G444="3/8",AM444&gt;0.5),AND(G444="2/8",AM444&gt;0.5)),(AM444*2*база!$J$4*Таблица14[[#This Row],[коэф]]),
(AM444*2*база!$L$5*Таблица14[[#This Row],[коэф]])))))))))))</f>
        <v>0</v>
      </c>
      <c r="AO444" s="122" t="str">
        <f>IFERROR(INDEX(база!$D$2:$D$120, MATCH(Таблица14[[#This Row],[Ф. И. О.]],база!$B$2:$B$100,0)),"")</f>
        <v/>
      </c>
    </row>
    <row r="445" spans="1:41">
      <c r="A445" s="207" t="str">
        <f t="shared" si="14"/>
        <v>январь</v>
      </c>
      <c r="B445" s="204">
        <v>2024</v>
      </c>
      <c r="C445" s="571"/>
      <c r="D445" s="205"/>
      <c r="E445" s="243"/>
      <c r="F445" s="672"/>
      <c r="G445" s="206"/>
      <c r="H445" s="49"/>
      <c r="I445" s="49"/>
      <c r="J445" s="49"/>
      <c r="K445" s="49"/>
      <c r="L445" s="49"/>
      <c r="M445" s="49"/>
      <c r="N445" s="49"/>
      <c r="O445" s="49"/>
      <c r="P445" s="49"/>
      <c r="Q445" s="49"/>
      <c r="R445" s="49"/>
      <c r="S445" s="49"/>
      <c r="T445" s="49"/>
      <c r="U445" s="49"/>
      <c r="V445" s="49"/>
      <c r="W445" s="49"/>
      <c r="X445" s="49"/>
      <c r="Y445" s="49"/>
      <c r="Z445" s="49"/>
      <c r="AA445" s="49"/>
      <c r="AB445" s="49"/>
      <c r="AC445" s="49"/>
      <c r="AD445" s="49"/>
      <c r="AE445" s="49"/>
      <c r="AF445" s="49"/>
      <c r="AG445" s="49"/>
      <c r="AH445" s="49"/>
      <c r="AI445" s="49"/>
      <c r="AJ445" s="49"/>
      <c r="AK445" s="49"/>
      <c r="AL445" s="49"/>
      <c r="AM445" s="121">
        <f t="shared" si="13"/>
        <v>0</v>
      </c>
      <c r="AN445" s="564">
        <f>IF(AO445&lt;=3,(IF(AND(G445="5/24",AM445&gt;0.5),(AM445*2*база!$M$6*Таблица14[[#This Row],[коэф]]),
IF(AND(G445="4/24",AM445&gt;0.5),(AM445*2*база!$M$5*Таблица14[[#This Row],[коэф]]),
IF(AND(G445="3/24",AM445&gt;0.5),(AM445*2*база!$M$4*Таблица14[[#This Row],[коэф]]),
IF(AND(G445="5/16",AM445&gt;0.5),(AM445*2*база!$L$6*Таблица14[[#This Row],[коэф]]),
IF(AND(G445="4/16",AM445&gt;0.5),(AM445*2*база!$L$5*Таблица14[[#This Row],[коэф]]),
IF(AND(G445="3/16",AM445&gt;0.5),(AM445*2*база!$L$4*Таблица14[[#This Row],[коэф]]),
IF(AND(G445="4/4",AM445&gt;0.5),(AM445*2*база!$I$5*Таблица14[[#This Row],[коэф]]),
IF(OR(AND(G445="3/4",AM445&gt;0.5),AND(G445="2/4",AM445&gt;0.5)),(AM445*2*база!$I$4*Таблица14[[#This Row],[коэф]]),
IF(AND(G445="5/8",AM445&gt;0.5),(AM445*2*база!$J$6*Таблица14[[#This Row],[коэф]]),
IF(AND(G445="4/8",AM445&gt;0.5),(AM445*2*база!$J$5*Таблица14[[#This Row],[коэф]]),
IF(OR(AND(G445="3/8",AM445&gt;0.5),AND(G445="2/8",AM445&gt;0.5)),(AM445*2*база!$J$4*Таблица14[[#This Row],[коэф]]),
(AM445*0.5*база!$L$4*Таблица14[[#This Row],[коэф]]))))))))))))),
(IF(AND(G445="5/24",AM445&gt;0.5),(AM445*2*база!$M$6*Таблица14[[#This Row],[коэф]]),
IF(OR(AND(G445="4/24",AM445&gt;0.5),AND(G445="3/24",AM445&gt;0.5)),(AM445*2*база!$M$5*Таблица14[[#This Row],[коэф]]),
IF(AND(G445="5/16",AM445&gt;0.5),(AM445*2*база!$L$6*Таблица14[[#This Row],[коэф]]),
IF(OR(AND(G445="4/16",AM445&gt;0.5),AND(G445="3/16",AM445&gt;0.5)),(AM445*2*база!$L$5*Таблица14[[#This Row],[коэф]]),
IF(OR(AND(G445="4/4",AM445&gt;0.5),AND(G445="3/4",AM445&gt;2)),(AM445*2*база!$I$5*Таблица14[[#This Row],[коэф]]),
IF(AND(G445="5/8",AM445&gt;0.5),(AM445*2*база!$J$6*Таблица14[[#This Row],[коэф]]),
IF(AND(G445="4/8",AM445&gt;0.5),(AM445*2*база!$J$5*Таблица14[[#This Row],[коэф]]),
IF(OR(AND(G445="3/8",AM445&gt;0.5),AND(G445="2/8",AM445&gt;0.5)),(AM445*2*база!$J$4*Таблица14[[#This Row],[коэф]]),
(AM445*2*база!$L$5*Таблица14[[#This Row],[коэф]])))))))))))</f>
        <v>0</v>
      </c>
      <c r="AO445" s="122" t="str">
        <f>IFERROR(INDEX(база!$D$2:$D$120, MATCH(Таблица14[[#This Row],[Ф. И. О.]],база!$B$2:$B$100,0)),"")</f>
        <v/>
      </c>
    </row>
    <row r="446" spans="1:41">
      <c r="A446" s="207" t="str">
        <f t="shared" si="14"/>
        <v>январь</v>
      </c>
      <c r="B446" s="240">
        <v>2024</v>
      </c>
      <c r="C446" s="648"/>
      <c r="D446" s="591"/>
      <c r="E446" s="243"/>
      <c r="F446" s="681"/>
      <c r="G446" s="242"/>
      <c r="H446" s="592"/>
      <c r="I446" s="592"/>
      <c r="J446" s="592"/>
      <c r="K446" s="592"/>
      <c r="L446" s="592"/>
      <c r="M446" s="592"/>
      <c r="N446" s="592"/>
      <c r="O446" s="592"/>
      <c r="P446" s="592"/>
      <c r="Q446" s="592"/>
      <c r="R446" s="592"/>
      <c r="S446" s="592"/>
      <c r="T446" s="592"/>
      <c r="U446" s="592"/>
      <c r="V446" s="592"/>
      <c r="W446" s="592"/>
      <c r="X446" s="592"/>
      <c r="Y446" s="592"/>
      <c r="Z446" s="592"/>
      <c r="AA446" s="592"/>
      <c r="AB446" s="592"/>
      <c r="AC446" s="592"/>
      <c r="AD446" s="592"/>
      <c r="AE446" s="592"/>
      <c r="AF446" s="592"/>
      <c r="AG446" s="592"/>
      <c r="AH446" s="592"/>
      <c r="AI446" s="592"/>
      <c r="AJ446" s="592"/>
      <c r="AK446" s="592"/>
      <c r="AL446" s="592"/>
      <c r="AM446" s="121">
        <f t="shared" si="13"/>
        <v>0</v>
      </c>
      <c r="AN446" s="564">
        <f>IF(AO446&lt;=3,(IF(AND(G446="5/24",AM446&gt;0.5),(AM446*2*база!$M$6*Таблица14[[#This Row],[коэф]]),
IF(AND(G446="4/24",AM446&gt;0.5),(AM446*2*база!$M$5*Таблица14[[#This Row],[коэф]]),
IF(AND(G446="3/24",AM446&gt;0.5),(AM446*2*база!$M$4*Таблица14[[#This Row],[коэф]]),
IF(AND(G446="5/16",AM446&gt;0.5),(AM446*2*база!$L$6*Таблица14[[#This Row],[коэф]]),
IF(AND(G446="4/16",AM446&gt;0.5),(AM446*2*база!$L$5*Таблица14[[#This Row],[коэф]]),
IF(AND(G446="3/16",AM446&gt;0.5),(AM446*2*база!$L$4*Таблица14[[#This Row],[коэф]]),
IF(AND(G446="4/4",AM446&gt;0.5),(AM446*2*база!$I$5*Таблица14[[#This Row],[коэф]]),
IF(OR(AND(G446="3/4",AM446&gt;0.5),AND(G446="2/4",AM446&gt;0.5)),(AM446*2*база!$I$4*Таблица14[[#This Row],[коэф]]),
IF(AND(G446="5/8",AM446&gt;0.5),(AM446*2*база!$J$6*Таблица14[[#This Row],[коэф]]),
IF(AND(G446="4/8",AM446&gt;0.5),(AM446*2*база!$J$5*Таблица14[[#This Row],[коэф]]),
IF(OR(AND(G446="3/8",AM446&gt;0.5),AND(G446="2/8",AM446&gt;0.5)),(AM446*2*база!$J$4*Таблица14[[#This Row],[коэф]]),
(AM446*0.5*база!$L$4*Таблица14[[#This Row],[коэф]]))))))))))))),
(IF(AND(G446="5/24",AM446&gt;0.5),(AM446*2*база!$M$6*Таблица14[[#This Row],[коэф]]),
IF(OR(AND(G446="4/24",AM446&gt;0.5),AND(G446="3/24",AM446&gt;0.5)),(AM446*2*база!$M$5*Таблица14[[#This Row],[коэф]]),
IF(AND(G446="5/16",AM446&gt;0.5),(AM446*2*база!$L$6*Таблица14[[#This Row],[коэф]]),
IF(OR(AND(G446="4/16",AM446&gt;0.5),AND(G446="3/16",AM446&gt;0.5)),(AM446*2*база!$L$5*Таблица14[[#This Row],[коэф]]),
IF(OR(AND(G446="4/4",AM446&gt;0.5),AND(G446="3/4",AM446&gt;2)),(AM446*2*база!$I$5*Таблица14[[#This Row],[коэф]]),
IF(AND(G446="5/8",AM446&gt;0.5),(AM446*2*база!$J$6*Таблица14[[#This Row],[коэф]]),
IF(AND(G446="4/8",AM446&gt;0.5),(AM446*2*база!$J$5*Таблица14[[#This Row],[коэф]]),
IF(OR(AND(G446="3/8",AM446&gt;0.5),AND(G446="2/8",AM446&gt;0.5)),(AM446*2*база!$J$4*Таблица14[[#This Row],[коэф]]),
(AM446*2*база!$L$5*Таблица14[[#This Row],[коэф]])))))))))))</f>
        <v>0</v>
      </c>
      <c r="AO446" s="122" t="str">
        <f>IFERROR(INDEX(база!$D$2:$D$120, MATCH(Таблица14[[#This Row],[Ф. И. О.]],база!$B$2:$B$100,0)),"")</f>
        <v/>
      </c>
    </row>
    <row r="447" spans="1:41">
      <c r="A447" s="207" t="str">
        <f t="shared" si="14"/>
        <v>январь</v>
      </c>
      <c r="B447" s="204">
        <v>2024</v>
      </c>
      <c r="C447" s="571"/>
      <c r="D447" s="205"/>
      <c r="E447" s="243"/>
      <c r="F447" s="681"/>
      <c r="G447" s="206"/>
      <c r="H447" s="49"/>
      <c r="I447" s="49"/>
      <c r="J447" s="49"/>
      <c r="K447" s="49"/>
      <c r="L447" s="49"/>
      <c r="M447" s="49"/>
      <c r="N447" s="49"/>
      <c r="O447" s="49"/>
      <c r="P447" s="49"/>
      <c r="Q447" s="49"/>
      <c r="R447" s="49"/>
      <c r="S447" s="49"/>
      <c r="T447" s="49"/>
      <c r="U447" s="49"/>
      <c r="V447" s="49"/>
      <c r="W447" s="49"/>
      <c r="X447" s="49"/>
      <c r="Y447" s="49"/>
      <c r="Z447" s="49"/>
      <c r="AA447" s="49"/>
      <c r="AB447" s="49"/>
      <c r="AC447" s="49"/>
      <c r="AD447" s="49"/>
      <c r="AE447" s="49"/>
      <c r="AF447" s="49"/>
      <c r="AG447" s="49"/>
      <c r="AH447" s="49"/>
      <c r="AI447" s="49"/>
      <c r="AJ447" s="49"/>
      <c r="AK447" s="49"/>
      <c r="AL447" s="49"/>
      <c r="AM447" s="121">
        <f t="shared" si="13"/>
        <v>0</v>
      </c>
      <c r="AN447" s="564">
        <f>IF(AO447&lt;=3,(IF(AND(G447="5/24",AM447&gt;0.5),(AM447*2*база!$M$6*Таблица14[[#This Row],[коэф]]),
IF(AND(G447="4/24",AM447&gt;0.5),(AM447*2*база!$M$5*Таблица14[[#This Row],[коэф]]),
IF(AND(G447="3/24",AM447&gt;0.5),(AM447*2*база!$M$4*Таблица14[[#This Row],[коэф]]),
IF(AND(G447="5/16",AM447&gt;0.5),(AM447*2*база!$L$6*Таблица14[[#This Row],[коэф]]),
IF(AND(G447="4/16",AM447&gt;0.5),(AM447*2*база!$L$5*Таблица14[[#This Row],[коэф]]),
IF(AND(G447="3/16",AM447&gt;0.5),(AM447*2*база!$L$4*Таблица14[[#This Row],[коэф]]),
IF(AND(G447="4/4",AM447&gt;0.5),(AM447*2*база!$I$5*Таблица14[[#This Row],[коэф]]),
IF(OR(AND(G447="3/4",AM447&gt;0.5),AND(G447="2/4",AM447&gt;0.5)),(AM447*2*база!$I$4*Таблица14[[#This Row],[коэф]]),
IF(AND(G447="5/8",AM447&gt;0.5),(AM447*2*база!$J$6*Таблица14[[#This Row],[коэф]]),
IF(AND(G447="4/8",AM447&gt;0.5),(AM447*2*база!$J$5*Таблица14[[#This Row],[коэф]]),
IF(OR(AND(G447="3/8",AM447&gt;0.5),AND(G447="2/8",AM447&gt;0.5)),(AM447*2*база!$J$4*Таблица14[[#This Row],[коэф]]),
(AM447*0.5*база!$L$4*Таблица14[[#This Row],[коэф]]))))))))))))),
(IF(AND(G447="5/24",AM447&gt;0.5),(AM447*2*база!$M$6*Таблица14[[#This Row],[коэф]]),
IF(OR(AND(G447="4/24",AM447&gt;0.5),AND(G447="3/24",AM447&gt;0.5)),(AM447*2*база!$M$5*Таблица14[[#This Row],[коэф]]),
IF(AND(G447="5/16",AM447&gt;0.5),(AM447*2*база!$L$6*Таблица14[[#This Row],[коэф]]),
IF(OR(AND(G447="4/16",AM447&gt;0.5),AND(G447="3/16",AM447&gt;0.5)),(AM447*2*база!$L$5*Таблица14[[#This Row],[коэф]]),
IF(OR(AND(G447="4/4",AM447&gt;0.5),AND(G447="3/4",AM447&gt;2)),(AM447*2*база!$I$5*Таблица14[[#This Row],[коэф]]),
IF(AND(G447="5/8",AM447&gt;0.5),(AM447*2*база!$J$6*Таблица14[[#This Row],[коэф]]),
IF(AND(G447="4/8",AM447&gt;0.5),(AM447*2*база!$J$5*Таблица14[[#This Row],[коэф]]),
IF(OR(AND(G447="3/8",AM447&gt;0.5),AND(G447="2/8",AM447&gt;0.5)),(AM447*2*база!$J$4*Таблица14[[#This Row],[коэф]]),
(AM447*2*база!$L$5*Таблица14[[#This Row],[коэф]])))))))))))</f>
        <v>0</v>
      </c>
      <c r="AO447" s="122" t="str">
        <f>IFERROR(INDEX(база!$D$2:$D$120, MATCH(Таблица14[[#This Row],[Ф. И. О.]],база!$B$2:$B$100,0)),"")</f>
        <v/>
      </c>
    </row>
    <row r="448" spans="1:41">
      <c r="A448" s="207" t="str">
        <f t="shared" si="14"/>
        <v>январь</v>
      </c>
      <c r="B448" s="240">
        <v>2024</v>
      </c>
      <c r="C448" s="648"/>
      <c r="D448" s="591"/>
      <c r="E448" s="243"/>
      <c r="F448" s="681"/>
      <c r="G448" s="242"/>
      <c r="H448" s="592"/>
      <c r="I448" s="592"/>
      <c r="J448" s="592"/>
      <c r="K448" s="592"/>
      <c r="L448" s="592"/>
      <c r="M448" s="592"/>
      <c r="N448" s="592"/>
      <c r="O448" s="592"/>
      <c r="P448" s="592"/>
      <c r="Q448" s="592"/>
      <c r="R448" s="592"/>
      <c r="S448" s="592"/>
      <c r="T448" s="592"/>
      <c r="U448" s="592"/>
      <c r="V448" s="592"/>
      <c r="W448" s="592"/>
      <c r="X448" s="592"/>
      <c r="Y448" s="592"/>
      <c r="Z448" s="592"/>
      <c r="AA448" s="592"/>
      <c r="AB448" s="592"/>
      <c r="AC448" s="592"/>
      <c r="AD448" s="592"/>
      <c r="AE448" s="592"/>
      <c r="AF448" s="592"/>
      <c r="AG448" s="592"/>
      <c r="AH448" s="592"/>
      <c r="AI448" s="592"/>
      <c r="AJ448" s="592"/>
      <c r="AK448" s="592"/>
      <c r="AL448" s="592"/>
      <c r="AM448" s="121">
        <f t="shared" si="13"/>
        <v>0</v>
      </c>
      <c r="AN448" s="564">
        <f>IF(AO448&lt;=3,(IF(AND(G448="5/24",AM448&gt;0.5),(AM448*2*база!$M$6*Таблица14[[#This Row],[коэф]]),
IF(AND(G448="4/24",AM448&gt;0.5),(AM448*2*база!$M$5*Таблица14[[#This Row],[коэф]]),
IF(AND(G448="3/24",AM448&gt;0.5),(AM448*2*база!$M$4*Таблица14[[#This Row],[коэф]]),
IF(AND(G448="5/16",AM448&gt;0.5),(AM448*2*база!$L$6*Таблица14[[#This Row],[коэф]]),
IF(AND(G448="4/16",AM448&gt;0.5),(AM448*2*база!$L$5*Таблица14[[#This Row],[коэф]]),
IF(AND(G448="3/16",AM448&gt;0.5),(AM448*2*база!$L$4*Таблица14[[#This Row],[коэф]]),
IF(AND(G448="4/4",AM448&gt;0.5),(AM448*2*база!$I$5*Таблица14[[#This Row],[коэф]]),
IF(OR(AND(G448="3/4",AM448&gt;0.5),AND(G448="2/4",AM448&gt;0.5)),(AM448*2*база!$I$4*Таблица14[[#This Row],[коэф]]),
IF(AND(G448="5/8",AM448&gt;0.5),(AM448*2*база!$J$6*Таблица14[[#This Row],[коэф]]),
IF(AND(G448="4/8",AM448&gt;0.5),(AM448*2*база!$J$5*Таблица14[[#This Row],[коэф]]),
IF(OR(AND(G448="3/8",AM448&gt;0.5),AND(G448="2/8",AM448&gt;0.5)),(AM448*2*база!$J$4*Таблица14[[#This Row],[коэф]]),
(AM448*0.5*база!$L$4*Таблица14[[#This Row],[коэф]]))))))))))))),
(IF(AND(G448="5/24",AM448&gt;0.5),(AM448*2*база!$M$6*Таблица14[[#This Row],[коэф]]),
IF(OR(AND(G448="4/24",AM448&gt;0.5),AND(G448="3/24",AM448&gt;0.5)),(AM448*2*база!$M$5*Таблица14[[#This Row],[коэф]]),
IF(AND(G448="5/16",AM448&gt;0.5),(AM448*2*база!$L$6*Таблица14[[#This Row],[коэф]]),
IF(OR(AND(G448="4/16",AM448&gt;0.5),AND(G448="3/16",AM448&gt;0.5)),(AM448*2*база!$L$5*Таблица14[[#This Row],[коэф]]),
IF(OR(AND(G448="4/4",AM448&gt;0.5),AND(G448="3/4",AM448&gt;2)),(AM448*2*база!$I$5*Таблица14[[#This Row],[коэф]]),
IF(AND(G448="5/8",AM448&gt;0.5),(AM448*2*база!$J$6*Таблица14[[#This Row],[коэф]]),
IF(AND(G448="4/8",AM448&gt;0.5),(AM448*2*база!$J$5*Таблица14[[#This Row],[коэф]]),
IF(OR(AND(G448="3/8",AM448&gt;0.5),AND(G448="2/8",AM448&gt;0.5)),(AM448*2*база!$J$4*Таблица14[[#This Row],[коэф]]),
(AM448*2*база!$L$5*Таблица14[[#This Row],[коэф]])))))))))))</f>
        <v>0</v>
      </c>
      <c r="AO448" s="122" t="str">
        <f>IFERROR(INDEX(база!$D$2:$D$120, MATCH(Таблица14[[#This Row],[Ф. И. О.]],база!$B$2:$B$100,0)),"")</f>
        <v/>
      </c>
    </row>
    <row r="449" spans="1:41">
      <c r="A449" s="207" t="str">
        <f t="shared" si="14"/>
        <v>январь</v>
      </c>
      <c r="B449" s="204">
        <v>2024</v>
      </c>
      <c r="C449" s="571"/>
      <c r="D449" s="205"/>
      <c r="E449" s="243"/>
      <c r="F449" s="681"/>
      <c r="G449" s="206"/>
      <c r="H449" s="49"/>
      <c r="I449" s="49"/>
      <c r="J449" s="49"/>
      <c r="K449" s="49"/>
      <c r="L449" s="49"/>
      <c r="M449" s="49"/>
      <c r="N449" s="49"/>
      <c r="O449" s="49"/>
      <c r="P449" s="49"/>
      <c r="Q449" s="49"/>
      <c r="R449" s="49"/>
      <c r="S449" s="49"/>
      <c r="T449" s="49"/>
      <c r="U449" s="49"/>
      <c r="V449" s="49"/>
      <c r="W449" s="49"/>
      <c r="X449" s="49"/>
      <c r="Y449" s="49"/>
      <c r="Z449" s="49"/>
      <c r="AA449" s="49"/>
      <c r="AB449" s="49"/>
      <c r="AC449" s="49"/>
      <c r="AD449" s="49"/>
      <c r="AE449" s="49"/>
      <c r="AF449" s="49"/>
      <c r="AG449" s="49"/>
      <c r="AH449" s="49"/>
      <c r="AI449" s="49"/>
      <c r="AJ449" s="49"/>
      <c r="AK449" s="49"/>
      <c r="AL449" s="49"/>
      <c r="AM449" s="121">
        <f t="shared" si="13"/>
        <v>0</v>
      </c>
      <c r="AN449" s="564">
        <f>IF(AO449&lt;=3,(IF(AND(G449="5/24",AM449&gt;0.5),(AM449*2*база!$M$6*Таблица14[[#This Row],[коэф]]),
IF(AND(G449="4/24",AM449&gt;0.5),(AM449*2*база!$M$5*Таблица14[[#This Row],[коэф]]),
IF(AND(G449="3/24",AM449&gt;0.5),(AM449*2*база!$M$4*Таблица14[[#This Row],[коэф]]),
IF(AND(G449="5/16",AM449&gt;0.5),(AM449*2*база!$L$6*Таблица14[[#This Row],[коэф]]),
IF(AND(G449="4/16",AM449&gt;0.5),(AM449*2*база!$L$5*Таблица14[[#This Row],[коэф]]),
IF(AND(G449="3/16",AM449&gt;0.5),(AM449*2*база!$L$4*Таблица14[[#This Row],[коэф]]),
IF(AND(G449="4/4",AM449&gt;0.5),(AM449*2*база!$I$5*Таблица14[[#This Row],[коэф]]),
IF(OR(AND(G449="3/4",AM449&gt;0.5),AND(G449="2/4",AM449&gt;0.5)),(AM449*2*база!$I$4*Таблица14[[#This Row],[коэф]]),
IF(AND(G449="5/8",AM449&gt;0.5),(AM449*2*база!$J$6*Таблица14[[#This Row],[коэф]]),
IF(AND(G449="4/8",AM449&gt;0.5),(AM449*2*база!$J$5*Таблица14[[#This Row],[коэф]]),
IF(OR(AND(G449="3/8",AM449&gt;0.5),AND(G449="2/8",AM449&gt;0.5)),(AM449*2*база!$J$4*Таблица14[[#This Row],[коэф]]),
(AM449*0.5*база!$L$4*Таблица14[[#This Row],[коэф]]))))))))))))),
(IF(AND(G449="5/24",AM449&gt;0.5),(AM449*2*база!$M$6*Таблица14[[#This Row],[коэф]]),
IF(OR(AND(G449="4/24",AM449&gt;0.5),AND(G449="3/24",AM449&gt;0.5)),(AM449*2*база!$M$5*Таблица14[[#This Row],[коэф]]),
IF(AND(G449="5/16",AM449&gt;0.5),(AM449*2*база!$L$6*Таблица14[[#This Row],[коэф]]),
IF(OR(AND(G449="4/16",AM449&gt;0.5),AND(G449="3/16",AM449&gt;0.5)),(AM449*2*база!$L$5*Таблица14[[#This Row],[коэф]]),
IF(OR(AND(G449="4/4",AM449&gt;0.5),AND(G449="3/4",AM449&gt;2)),(AM449*2*база!$I$5*Таблица14[[#This Row],[коэф]]),
IF(AND(G449="5/8",AM449&gt;0.5),(AM449*2*база!$J$6*Таблица14[[#This Row],[коэф]]),
IF(AND(G449="4/8",AM449&gt;0.5),(AM449*2*база!$J$5*Таблица14[[#This Row],[коэф]]),
IF(OR(AND(G449="3/8",AM449&gt;0.5),AND(G449="2/8",AM449&gt;0.5)),(AM449*2*база!$J$4*Таблица14[[#This Row],[коэф]]),
(AM449*2*база!$L$5*Таблица14[[#This Row],[коэф]])))))))))))</f>
        <v>0</v>
      </c>
      <c r="AO449" s="122" t="str">
        <f>IFERROR(INDEX(база!$D$2:$D$120, MATCH(Таблица14[[#This Row],[Ф. И. О.]],база!$B$2:$B$100,0)),"")</f>
        <v/>
      </c>
    </row>
    <row r="450" spans="1:41">
      <c r="A450" s="207" t="str">
        <f t="shared" si="14"/>
        <v>январь</v>
      </c>
      <c r="B450" s="240">
        <v>2024</v>
      </c>
      <c r="C450" s="648"/>
      <c r="D450" s="591"/>
      <c r="E450" s="243"/>
      <c r="F450" s="681"/>
      <c r="G450" s="242"/>
      <c r="H450" s="592"/>
      <c r="I450" s="592"/>
      <c r="J450" s="592"/>
      <c r="K450" s="592"/>
      <c r="L450" s="592"/>
      <c r="M450" s="592"/>
      <c r="N450" s="592"/>
      <c r="O450" s="592"/>
      <c r="P450" s="592"/>
      <c r="Q450" s="592"/>
      <c r="R450" s="592"/>
      <c r="S450" s="592"/>
      <c r="T450" s="592"/>
      <c r="U450" s="592"/>
      <c r="V450" s="592"/>
      <c r="W450" s="592"/>
      <c r="X450" s="592"/>
      <c r="Y450" s="592"/>
      <c r="Z450" s="592"/>
      <c r="AA450" s="592"/>
      <c r="AB450" s="592"/>
      <c r="AC450" s="592"/>
      <c r="AD450" s="592"/>
      <c r="AE450" s="592"/>
      <c r="AF450" s="592"/>
      <c r="AG450" s="592"/>
      <c r="AH450" s="592"/>
      <c r="AI450" s="592"/>
      <c r="AJ450" s="592"/>
      <c r="AK450" s="592"/>
      <c r="AL450" s="592"/>
      <c r="AM450" s="121">
        <f t="shared" si="13"/>
        <v>0</v>
      </c>
      <c r="AN450" s="564">
        <f>IF(AO450&lt;=3,(IF(AND(G450="5/24",AM450&gt;0.5),(AM450*2*база!$M$6*Таблица14[[#This Row],[коэф]]),
IF(AND(G450="4/24",AM450&gt;0.5),(AM450*2*база!$M$5*Таблица14[[#This Row],[коэф]]),
IF(AND(G450="3/24",AM450&gt;0.5),(AM450*2*база!$M$4*Таблица14[[#This Row],[коэф]]),
IF(AND(G450="5/16",AM450&gt;0.5),(AM450*2*база!$L$6*Таблица14[[#This Row],[коэф]]),
IF(AND(G450="4/16",AM450&gt;0.5),(AM450*2*база!$L$5*Таблица14[[#This Row],[коэф]]),
IF(AND(G450="3/16",AM450&gt;0.5),(AM450*2*база!$L$4*Таблица14[[#This Row],[коэф]]),
IF(AND(G450="4/4",AM450&gt;0.5),(AM450*2*база!$I$5*Таблица14[[#This Row],[коэф]]),
IF(OR(AND(G450="3/4",AM450&gt;0.5),AND(G450="2/4",AM450&gt;0.5)),(AM450*2*база!$I$4*Таблица14[[#This Row],[коэф]]),
IF(AND(G450="5/8",AM450&gt;0.5),(AM450*2*база!$J$6*Таблица14[[#This Row],[коэф]]),
IF(AND(G450="4/8",AM450&gt;0.5),(AM450*2*база!$J$5*Таблица14[[#This Row],[коэф]]),
IF(OR(AND(G450="3/8",AM450&gt;0.5),AND(G450="2/8",AM450&gt;0.5)),(AM450*2*база!$J$4*Таблица14[[#This Row],[коэф]]),
(AM450*0.5*база!$L$4*Таблица14[[#This Row],[коэф]]))))))))))))),
(IF(AND(G450="5/24",AM450&gt;0.5),(AM450*2*база!$M$6*Таблица14[[#This Row],[коэф]]),
IF(OR(AND(G450="4/24",AM450&gt;0.5),AND(G450="3/24",AM450&gt;0.5)),(AM450*2*база!$M$5*Таблица14[[#This Row],[коэф]]),
IF(AND(G450="5/16",AM450&gt;0.5),(AM450*2*база!$L$6*Таблица14[[#This Row],[коэф]]),
IF(OR(AND(G450="4/16",AM450&gt;0.5),AND(G450="3/16",AM450&gt;0.5)),(AM450*2*база!$L$5*Таблица14[[#This Row],[коэф]]),
IF(OR(AND(G450="4/4",AM450&gt;0.5),AND(G450="3/4",AM450&gt;2)),(AM450*2*база!$I$5*Таблица14[[#This Row],[коэф]]),
IF(AND(G450="5/8",AM450&gt;0.5),(AM450*2*база!$J$6*Таблица14[[#This Row],[коэф]]),
IF(AND(G450="4/8",AM450&gt;0.5),(AM450*2*база!$J$5*Таблица14[[#This Row],[коэф]]),
IF(OR(AND(G450="3/8",AM450&gt;0.5),AND(G450="2/8",AM450&gt;0.5)),(AM450*2*база!$J$4*Таблица14[[#This Row],[коэф]]),
(AM450*2*база!$L$5*Таблица14[[#This Row],[коэф]])))))))))))</f>
        <v>0</v>
      </c>
      <c r="AO450" s="122" t="str">
        <f>IFERROR(INDEX(база!$D$2:$D$120, MATCH(Таблица14[[#This Row],[Ф. И. О.]],база!$B$2:$B$100,0)),"")</f>
        <v/>
      </c>
    </row>
    <row r="451" spans="1:41">
      <c r="A451" s="207" t="str">
        <f t="shared" si="14"/>
        <v>январь</v>
      </c>
      <c r="B451" s="204">
        <v>2024</v>
      </c>
      <c r="C451" s="571"/>
      <c r="D451" s="205"/>
      <c r="E451" s="243"/>
      <c r="F451" s="681"/>
      <c r="G451" s="206"/>
      <c r="H451" s="49"/>
      <c r="I451" s="49"/>
      <c r="J451" s="49"/>
      <c r="K451" s="49"/>
      <c r="L451" s="49"/>
      <c r="M451" s="49"/>
      <c r="N451" s="49"/>
      <c r="O451" s="49"/>
      <c r="P451" s="49"/>
      <c r="Q451" s="49"/>
      <c r="R451" s="49"/>
      <c r="S451" s="49"/>
      <c r="T451" s="49"/>
      <c r="U451" s="49"/>
      <c r="V451" s="49"/>
      <c r="W451" s="49"/>
      <c r="X451" s="49"/>
      <c r="Y451" s="49"/>
      <c r="Z451" s="49"/>
      <c r="AA451" s="49"/>
      <c r="AB451" s="49"/>
      <c r="AC451" s="49"/>
      <c r="AD451" s="49"/>
      <c r="AE451" s="49"/>
      <c r="AF451" s="49"/>
      <c r="AG451" s="49"/>
      <c r="AH451" s="49"/>
      <c r="AI451" s="49"/>
      <c r="AJ451" s="49"/>
      <c r="AK451" s="49"/>
      <c r="AL451" s="49"/>
      <c r="AM451" s="121">
        <f t="shared" si="13"/>
        <v>0</v>
      </c>
      <c r="AN451" s="564">
        <f>IF(AO451&lt;=3,(IF(AND(G451="5/24",AM451&gt;0.5),(AM451*2*база!$M$6*Таблица14[[#This Row],[коэф]]),
IF(AND(G451="4/24",AM451&gt;0.5),(AM451*2*база!$M$5*Таблица14[[#This Row],[коэф]]),
IF(AND(G451="3/24",AM451&gt;0.5),(AM451*2*база!$M$4*Таблица14[[#This Row],[коэф]]),
IF(AND(G451="5/16",AM451&gt;0.5),(AM451*2*база!$L$6*Таблица14[[#This Row],[коэф]]),
IF(AND(G451="4/16",AM451&gt;0.5),(AM451*2*база!$L$5*Таблица14[[#This Row],[коэф]]),
IF(AND(G451="3/16",AM451&gt;0.5),(AM451*2*база!$L$4*Таблица14[[#This Row],[коэф]]),
IF(AND(G451="4/4",AM451&gt;0.5),(AM451*2*база!$I$5*Таблица14[[#This Row],[коэф]]),
IF(OR(AND(G451="3/4",AM451&gt;0.5),AND(G451="2/4",AM451&gt;0.5)),(AM451*2*база!$I$4*Таблица14[[#This Row],[коэф]]),
IF(AND(G451="5/8",AM451&gt;0.5),(AM451*2*база!$J$6*Таблица14[[#This Row],[коэф]]),
IF(AND(G451="4/8",AM451&gt;0.5),(AM451*2*база!$J$5*Таблица14[[#This Row],[коэф]]),
IF(OR(AND(G451="3/8",AM451&gt;0.5),AND(G451="2/8",AM451&gt;0.5)),(AM451*2*база!$J$4*Таблица14[[#This Row],[коэф]]),
(AM451*0.5*база!$L$4*Таблица14[[#This Row],[коэф]]))))))))))))),
(IF(AND(G451="5/24",AM451&gt;0.5),(AM451*2*база!$M$6*Таблица14[[#This Row],[коэф]]),
IF(OR(AND(G451="4/24",AM451&gt;0.5),AND(G451="3/24",AM451&gt;0.5)),(AM451*2*база!$M$5*Таблица14[[#This Row],[коэф]]),
IF(AND(G451="5/16",AM451&gt;0.5),(AM451*2*база!$L$6*Таблица14[[#This Row],[коэф]]),
IF(OR(AND(G451="4/16",AM451&gt;0.5),AND(G451="3/16",AM451&gt;0.5)),(AM451*2*база!$L$5*Таблица14[[#This Row],[коэф]]),
IF(OR(AND(G451="4/4",AM451&gt;0.5),AND(G451="3/4",AM451&gt;2)),(AM451*2*база!$I$5*Таблица14[[#This Row],[коэф]]),
IF(AND(G451="5/8",AM451&gt;0.5),(AM451*2*база!$J$6*Таблица14[[#This Row],[коэф]]),
IF(AND(G451="4/8",AM451&gt;0.5),(AM451*2*база!$J$5*Таблица14[[#This Row],[коэф]]),
IF(OR(AND(G451="3/8",AM451&gt;0.5),AND(G451="2/8",AM451&gt;0.5)),(AM451*2*база!$J$4*Таблица14[[#This Row],[коэф]]),
(AM451*2*база!$L$5*Таблица14[[#This Row],[коэф]])))))))))))</f>
        <v>0</v>
      </c>
      <c r="AO451" s="122" t="str">
        <f>IFERROR(INDEX(база!$D$2:$D$120, MATCH(Таблица14[[#This Row],[Ф. И. О.]],база!$B$2:$B$100,0)),"")</f>
        <v/>
      </c>
    </row>
    <row r="452" spans="1:41">
      <c r="A452" s="207" t="str">
        <f t="shared" si="14"/>
        <v>январь</v>
      </c>
      <c r="B452" s="240">
        <v>2024</v>
      </c>
      <c r="C452" s="648"/>
      <c r="D452" s="591"/>
      <c r="E452" s="243"/>
      <c r="F452" s="681"/>
      <c r="G452" s="242"/>
      <c r="H452" s="592"/>
      <c r="I452" s="592"/>
      <c r="J452" s="592"/>
      <c r="K452" s="592"/>
      <c r="L452" s="592"/>
      <c r="M452" s="592"/>
      <c r="N452" s="592"/>
      <c r="O452" s="592"/>
      <c r="P452" s="592"/>
      <c r="Q452" s="592"/>
      <c r="R452" s="592"/>
      <c r="S452" s="592"/>
      <c r="T452" s="592"/>
      <c r="U452" s="592"/>
      <c r="V452" s="592"/>
      <c r="W452" s="592"/>
      <c r="X452" s="592"/>
      <c r="Y452" s="592"/>
      <c r="Z452" s="592"/>
      <c r="AA452" s="592"/>
      <c r="AB452" s="592"/>
      <c r="AC452" s="592"/>
      <c r="AD452" s="592"/>
      <c r="AE452" s="592"/>
      <c r="AF452" s="592"/>
      <c r="AG452" s="592"/>
      <c r="AH452" s="592"/>
      <c r="AI452" s="592"/>
      <c r="AJ452" s="592"/>
      <c r="AK452" s="592"/>
      <c r="AL452" s="592"/>
      <c r="AM452" s="121">
        <f t="shared" ref="AM452:AM478" si="15">SUM(H452:AL452)</f>
        <v>0</v>
      </c>
      <c r="AN452" s="564">
        <f>IF(AO452&lt;=3,(IF(AND(G452="5/24",AM452&gt;0.5),(AM452*2*база!$M$6*Таблица14[[#This Row],[коэф]]),
IF(AND(G452="4/24",AM452&gt;0.5),(AM452*2*база!$M$5*Таблица14[[#This Row],[коэф]]),
IF(AND(G452="3/24",AM452&gt;0.5),(AM452*2*база!$M$4*Таблица14[[#This Row],[коэф]]),
IF(AND(G452="5/16",AM452&gt;0.5),(AM452*2*база!$L$6*Таблица14[[#This Row],[коэф]]),
IF(AND(G452="4/16",AM452&gt;0.5),(AM452*2*база!$L$5*Таблица14[[#This Row],[коэф]]),
IF(AND(G452="3/16",AM452&gt;0.5),(AM452*2*база!$L$4*Таблица14[[#This Row],[коэф]]),
IF(AND(G452="4/4",AM452&gt;0.5),(AM452*2*база!$I$5*Таблица14[[#This Row],[коэф]]),
IF(OR(AND(G452="3/4",AM452&gt;0.5),AND(G452="2/4",AM452&gt;0.5)),(AM452*2*база!$I$4*Таблица14[[#This Row],[коэф]]),
IF(AND(G452="5/8",AM452&gt;0.5),(AM452*2*база!$J$6*Таблица14[[#This Row],[коэф]]),
IF(AND(G452="4/8",AM452&gt;0.5),(AM452*2*база!$J$5*Таблица14[[#This Row],[коэф]]),
IF(OR(AND(G452="3/8",AM452&gt;0.5),AND(G452="2/8",AM452&gt;0.5)),(AM452*2*база!$J$4*Таблица14[[#This Row],[коэф]]),
(AM452*0.5*база!$L$4*Таблица14[[#This Row],[коэф]]))))))))))))),
(IF(AND(G452="5/24",AM452&gt;0.5),(AM452*2*база!$M$6*Таблица14[[#This Row],[коэф]]),
IF(OR(AND(G452="4/24",AM452&gt;0.5),AND(G452="3/24",AM452&gt;0.5)),(AM452*2*база!$M$5*Таблица14[[#This Row],[коэф]]),
IF(AND(G452="5/16",AM452&gt;0.5),(AM452*2*база!$L$6*Таблица14[[#This Row],[коэф]]),
IF(OR(AND(G452="4/16",AM452&gt;0.5),AND(G452="3/16",AM452&gt;0.5)),(AM452*2*база!$L$5*Таблица14[[#This Row],[коэф]]),
IF(OR(AND(G452="4/4",AM452&gt;0.5),AND(G452="3/4",AM452&gt;2)),(AM452*2*база!$I$5*Таблица14[[#This Row],[коэф]]),
IF(AND(G452="5/8",AM452&gt;0.5),(AM452*2*база!$J$6*Таблица14[[#This Row],[коэф]]),
IF(AND(G452="4/8",AM452&gt;0.5),(AM452*2*база!$J$5*Таблица14[[#This Row],[коэф]]),
IF(OR(AND(G452="3/8",AM452&gt;0.5),AND(G452="2/8",AM452&gt;0.5)),(AM452*2*база!$J$4*Таблица14[[#This Row],[коэф]]),
(AM452*2*база!$L$5*Таблица14[[#This Row],[коэф]])))))))))))</f>
        <v>0</v>
      </c>
      <c r="AO452" s="122" t="str">
        <f>IFERROR(INDEX(база!$D$2:$D$120, MATCH(Таблица14[[#This Row],[Ф. И. О.]],база!$B$2:$B$100,0)),"")</f>
        <v/>
      </c>
    </row>
    <row r="453" spans="1:41">
      <c r="A453" s="207" t="str">
        <f t="shared" si="14"/>
        <v>январь</v>
      </c>
      <c r="B453" s="204">
        <v>2024</v>
      </c>
      <c r="C453" s="571"/>
      <c r="D453" s="205"/>
      <c r="E453" s="243"/>
      <c r="F453" s="681"/>
      <c r="G453" s="206"/>
      <c r="H453" s="49"/>
      <c r="I453" s="49"/>
      <c r="J453" s="49"/>
      <c r="K453" s="49"/>
      <c r="L453" s="49"/>
      <c r="M453" s="49"/>
      <c r="N453" s="49"/>
      <c r="O453" s="49"/>
      <c r="P453" s="49"/>
      <c r="Q453" s="49"/>
      <c r="R453" s="49"/>
      <c r="S453" s="49"/>
      <c r="T453" s="49"/>
      <c r="U453" s="49"/>
      <c r="V453" s="49"/>
      <c r="W453" s="49"/>
      <c r="X453" s="49"/>
      <c r="Y453" s="49"/>
      <c r="Z453" s="49"/>
      <c r="AA453" s="49"/>
      <c r="AB453" s="49"/>
      <c r="AC453" s="49"/>
      <c r="AD453" s="49"/>
      <c r="AE453" s="49"/>
      <c r="AF453" s="49"/>
      <c r="AG453" s="49"/>
      <c r="AH453" s="49"/>
      <c r="AI453" s="49"/>
      <c r="AJ453" s="49"/>
      <c r="AK453" s="49"/>
      <c r="AL453" s="49"/>
      <c r="AM453" s="121">
        <f t="shared" si="15"/>
        <v>0</v>
      </c>
      <c r="AN453" s="564">
        <f>IF(AO453&lt;=3,(IF(AND(G453="5/24",AM453&gt;0.5),(AM453*2*база!$M$6*Таблица14[[#This Row],[коэф]]),
IF(AND(G453="4/24",AM453&gt;0.5),(AM453*2*база!$M$5*Таблица14[[#This Row],[коэф]]),
IF(AND(G453="3/24",AM453&gt;0.5),(AM453*2*база!$M$4*Таблица14[[#This Row],[коэф]]),
IF(AND(G453="5/16",AM453&gt;0.5),(AM453*2*база!$L$6*Таблица14[[#This Row],[коэф]]),
IF(AND(G453="4/16",AM453&gt;0.5),(AM453*2*база!$L$5*Таблица14[[#This Row],[коэф]]),
IF(AND(G453="3/16",AM453&gt;0.5),(AM453*2*база!$L$4*Таблица14[[#This Row],[коэф]]),
IF(AND(G453="4/4",AM453&gt;0.5),(AM453*2*база!$I$5*Таблица14[[#This Row],[коэф]]),
IF(OR(AND(G453="3/4",AM453&gt;0.5),AND(G453="2/4",AM453&gt;0.5)),(AM453*2*база!$I$4*Таблица14[[#This Row],[коэф]]),
IF(AND(G453="5/8",AM453&gt;0.5),(AM453*2*база!$J$6*Таблица14[[#This Row],[коэф]]),
IF(AND(G453="4/8",AM453&gt;0.5),(AM453*2*база!$J$5*Таблица14[[#This Row],[коэф]]),
IF(OR(AND(G453="3/8",AM453&gt;0.5),AND(G453="2/8",AM453&gt;0.5)),(AM453*2*база!$J$4*Таблица14[[#This Row],[коэф]]),
(AM453*0.5*база!$L$4*Таблица14[[#This Row],[коэф]]))))))))))))),
(IF(AND(G453="5/24",AM453&gt;0.5),(AM453*2*база!$M$6*Таблица14[[#This Row],[коэф]]),
IF(OR(AND(G453="4/24",AM453&gt;0.5),AND(G453="3/24",AM453&gt;0.5)),(AM453*2*база!$M$5*Таблица14[[#This Row],[коэф]]),
IF(AND(G453="5/16",AM453&gt;0.5),(AM453*2*база!$L$6*Таблица14[[#This Row],[коэф]]),
IF(OR(AND(G453="4/16",AM453&gt;0.5),AND(G453="3/16",AM453&gt;0.5)),(AM453*2*база!$L$5*Таблица14[[#This Row],[коэф]]),
IF(OR(AND(G453="4/4",AM453&gt;0.5),AND(G453="3/4",AM453&gt;2)),(AM453*2*база!$I$5*Таблица14[[#This Row],[коэф]]),
IF(AND(G453="5/8",AM453&gt;0.5),(AM453*2*база!$J$6*Таблица14[[#This Row],[коэф]]),
IF(AND(G453="4/8",AM453&gt;0.5),(AM453*2*база!$J$5*Таблица14[[#This Row],[коэф]]),
IF(OR(AND(G453="3/8",AM453&gt;0.5),AND(G453="2/8",AM453&gt;0.5)),(AM453*2*база!$J$4*Таблица14[[#This Row],[коэф]]),
(AM453*2*база!$L$5*Таблица14[[#This Row],[коэф]])))))))))))</f>
        <v>0</v>
      </c>
      <c r="AO453" s="122" t="str">
        <f>IFERROR(INDEX(база!$D$2:$D$120, MATCH(Таблица14[[#This Row],[Ф. И. О.]],база!$B$2:$B$100,0)),"")</f>
        <v/>
      </c>
    </row>
    <row r="454" spans="1:41">
      <c r="A454" s="207" t="str">
        <f t="shared" si="14"/>
        <v>январь</v>
      </c>
      <c r="B454" s="240">
        <v>2024</v>
      </c>
      <c r="C454" s="648"/>
      <c r="D454" s="591"/>
      <c r="E454" s="243"/>
      <c r="F454" s="681"/>
      <c r="G454" s="242"/>
      <c r="H454" s="592"/>
      <c r="I454" s="592"/>
      <c r="J454" s="592"/>
      <c r="K454" s="592"/>
      <c r="L454" s="592"/>
      <c r="M454" s="592"/>
      <c r="N454" s="592"/>
      <c r="O454" s="592"/>
      <c r="P454" s="592"/>
      <c r="Q454" s="592"/>
      <c r="R454" s="592"/>
      <c r="S454" s="592"/>
      <c r="T454" s="592"/>
      <c r="U454" s="592"/>
      <c r="V454" s="592"/>
      <c r="W454" s="592"/>
      <c r="X454" s="592"/>
      <c r="Y454" s="592"/>
      <c r="Z454" s="592"/>
      <c r="AA454" s="592"/>
      <c r="AB454" s="592"/>
      <c r="AC454" s="592"/>
      <c r="AD454" s="592"/>
      <c r="AE454" s="592"/>
      <c r="AF454" s="592"/>
      <c r="AG454" s="592"/>
      <c r="AH454" s="592"/>
      <c r="AI454" s="592"/>
      <c r="AJ454" s="592"/>
      <c r="AK454" s="592"/>
      <c r="AL454" s="592"/>
      <c r="AM454" s="121">
        <f t="shared" si="15"/>
        <v>0</v>
      </c>
      <c r="AN454" s="564">
        <f>IF(AO454&lt;=3,(IF(AND(G454="5/24",AM454&gt;0.5),(AM454*2*база!$M$6*Таблица14[[#This Row],[коэф]]),
IF(AND(G454="4/24",AM454&gt;0.5),(AM454*2*база!$M$5*Таблица14[[#This Row],[коэф]]),
IF(AND(G454="3/24",AM454&gt;0.5),(AM454*2*база!$M$4*Таблица14[[#This Row],[коэф]]),
IF(AND(G454="5/16",AM454&gt;0.5),(AM454*2*база!$L$6*Таблица14[[#This Row],[коэф]]),
IF(AND(G454="4/16",AM454&gt;0.5),(AM454*2*база!$L$5*Таблица14[[#This Row],[коэф]]),
IF(AND(G454="3/16",AM454&gt;0.5),(AM454*2*база!$L$4*Таблица14[[#This Row],[коэф]]),
IF(AND(G454="4/4",AM454&gt;0.5),(AM454*2*база!$I$5*Таблица14[[#This Row],[коэф]]),
IF(OR(AND(G454="3/4",AM454&gt;0.5),AND(G454="2/4",AM454&gt;0.5)),(AM454*2*база!$I$4*Таблица14[[#This Row],[коэф]]),
IF(AND(G454="5/8",AM454&gt;0.5),(AM454*2*база!$J$6*Таблица14[[#This Row],[коэф]]),
IF(AND(G454="4/8",AM454&gt;0.5),(AM454*2*база!$J$5*Таблица14[[#This Row],[коэф]]),
IF(OR(AND(G454="3/8",AM454&gt;0.5),AND(G454="2/8",AM454&gt;0.5)),(AM454*2*база!$J$4*Таблица14[[#This Row],[коэф]]),
(AM454*0.5*база!$L$4*Таблица14[[#This Row],[коэф]]))))))))))))),
(IF(AND(G454="5/24",AM454&gt;0.5),(AM454*2*база!$M$6*Таблица14[[#This Row],[коэф]]),
IF(OR(AND(G454="4/24",AM454&gt;0.5),AND(G454="3/24",AM454&gt;0.5)),(AM454*2*база!$M$5*Таблица14[[#This Row],[коэф]]),
IF(AND(G454="5/16",AM454&gt;0.5),(AM454*2*база!$L$6*Таблица14[[#This Row],[коэф]]),
IF(OR(AND(G454="4/16",AM454&gt;0.5),AND(G454="3/16",AM454&gt;0.5)),(AM454*2*база!$L$5*Таблица14[[#This Row],[коэф]]),
IF(OR(AND(G454="4/4",AM454&gt;0.5),AND(G454="3/4",AM454&gt;2)),(AM454*2*база!$I$5*Таблица14[[#This Row],[коэф]]),
IF(AND(G454="5/8",AM454&gt;0.5),(AM454*2*база!$J$6*Таблица14[[#This Row],[коэф]]),
IF(AND(G454="4/8",AM454&gt;0.5),(AM454*2*база!$J$5*Таблица14[[#This Row],[коэф]]),
IF(OR(AND(G454="3/8",AM454&gt;0.5),AND(G454="2/8",AM454&gt;0.5)),(AM454*2*база!$J$4*Таблица14[[#This Row],[коэф]]),
(AM454*2*база!$L$5*Таблица14[[#This Row],[коэф]])))))))))))</f>
        <v>0</v>
      </c>
      <c r="AO454" s="122" t="str">
        <f>IFERROR(INDEX(база!$D$2:$D$120, MATCH(Таблица14[[#This Row],[Ф. И. О.]],база!$B$2:$B$100,0)),"")</f>
        <v/>
      </c>
    </row>
    <row r="455" spans="1:41">
      <c r="A455" s="207" t="str">
        <f t="shared" si="14"/>
        <v>январь</v>
      </c>
      <c r="B455" s="204">
        <v>2024</v>
      </c>
      <c r="C455" s="571"/>
      <c r="D455" s="205"/>
      <c r="E455" s="243"/>
      <c r="F455" s="681"/>
      <c r="G455" s="206"/>
      <c r="H455" s="49"/>
      <c r="I455" s="49"/>
      <c r="J455" s="49"/>
      <c r="K455" s="49"/>
      <c r="L455" s="49"/>
      <c r="M455" s="49"/>
      <c r="N455" s="49"/>
      <c r="O455" s="49"/>
      <c r="P455" s="49"/>
      <c r="Q455" s="49"/>
      <c r="R455" s="49"/>
      <c r="S455" s="49"/>
      <c r="T455" s="49"/>
      <c r="U455" s="49"/>
      <c r="V455" s="49"/>
      <c r="W455" s="49"/>
      <c r="X455" s="49"/>
      <c r="Y455" s="49"/>
      <c r="Z455" s="49"/>
      <c r="AA455" s="49"/>
      <c r="AB455" s="49"/>
      <c r="AC455" s="49"/>
      <c r="AD455" s="49"/>
      <c r="AE455" s="49"/>
      <c r="AF455" s="49"/>
      <c r="AG455" s="49"/>
      <c r="AH455" s="49"/>
      <c r="AI455" s="49"/>
      <c r="AJ455" s="49"/>
      <c r="AK455" s="49"/>
      <c r="AL455" s="49"/>
      <c r="AM455" s="121">
        <f t="shared" si="15"/>
        <v>0</v>
      </c>
      <c r="AN455" s="564">
        <f>IF(AO455&lt;=3,(IF(AND(G455="5/24",AM455&gt;0.5),(AM455*2*база!$M$6*Таблица14[[#This Row],[коэф]]),
IF(AND(G455="4/24",AM455&gt;0.5),(AM455*2*база!$M$5*Таблица14[[#This Row],[коэф]]),
IF(AND(G455="3/24",AM455&gt;0.5),(AM455*2*база!$M$4*Таблица14[[#This Row],[коэф]]),
IF(AND(G455="5/16",AM455&gt;0.5),(AM455*2*база!$L$6*Таблица14[[#This Row],[коэф]]),
IF(AND(G455="4/16",AM455&gt;0.5),(AM455*2*база!$L$5*Таблица14[[#This Row],[коэф]]),
IF(AND(G455="3/16",AM455&gt;0.5),(AM455*2*база!$L$4*Таблица14[[#This Row],[коэф]]),
IF(AND(G455="4/4",AM455&gt;0.5),(AM455*2*база!$I$5*Таблица14[[#This Row],[коэф]]),
IF(OR(AND(G455="3/4",AM455&gt;0.5),AND(G455="2/4",AM455&gt;0.5)),(AM455*2*база!$I$4*Таблица14[[#This Row],[коэф]]),
IF(AND(G455="5/8",AM455&gt;0.5),(AM455*2*база!$J$6*Таблица14[[#This Row],[коэф]]),
IF(AND(G455="4/8",AM455&gt;0.5),(AM455*2*база!$J$5*Таблица14[[#This Row],[коэф]]),
IF(OR(AND(G455="3/8",AM455&gt;0.5),AND(G455="2/8",AM455&gt;0.5)),(AM455*2*база!$J$4*Таблица14[[#This Row],[коэф]]),
(AM455*0.5*база!$L$4*Таблица14[[#This Row],[коэф]]))))))))))))),
(IF(AND(G455="5/24",AM455&gt;0.5),(AM455*2*база!$M$6*Таблица14[[#This Row],[коэф]]),
IF(OR(AND(G455="4/24",AM455&gt;0.5),AND(G455="3/24",AM455&gt;0.5)),(AM455*2*база!$M$5*Таблица14[[#This Row],[коэф]]),
IF(AND(G455="5/16",AM455&gt;0.5),(AM455*2*база!$L$6*Таблица14[[#This Row],[коэф]]),
IF(OR(AND(G455="4/16",AM455&gt;0.5),AND(G455="3/16",AM455&gt;0.5)),(AM455*2*база!$L$5*Таблица14[[#This Row],[коэф]]),
IF(OR(AND(G455="4/4",AM455&gt;0.5),AND(G455="3/4",AM455&gt;2)),(AM455*2*база!$I$5*Таблица14[[#This Row],[коэф]]),
IF(AND(G455="5/8",AM455&gt;0.5),(AM455*2*база!$J$6*Таблица14[[#This Row],[коэф]]),
IF(AND(G455="4/8",AM455&gt;0.5),(AM455*2*база!$J$5*Таблица14[[#This Row],[коэф]]),
IF(OR(AND(G455="3/8",AM455&gt;0.5),AND(G455="2/8",AM455&gt;0.5)),(AM455*2*база!$J$4*Таблица14[[#This Row],[коэф]]),
(AM455*2*база!$L$5*Таблица14[[#This Row],[коэф]])))))))))))</f>
        <v>0</v>
      </c>
      <c r="AO455" s="122" t="str">
        <f>IFERROR(INDEX(база!$D$2:$D$120, MATCH(Таблица14[[#This Row],[Ф. И. О.]],база!$B$2:$B$100,0)),"")</f>
        <v/>
      </c>
    </row>
    <row r="456" spans="1:41">
      <c r="A456" s="207" t="str">
        <f t="shared" si="14"/>
        <v>январь</v>
      </c>
      <c r="B456" s="240">
        <v>2024</v>
      </c>
      <c r="C456" s="648"/>
      <c r="D456" s="591"/>
      <c r="E456" s="243"/>
      <c r="F456" s="673"/>
      <c r="G456" s="242"/>
      <c r="H456" s="592"/>
      <c r="I456" s="592"/>
      <c r="J456" s="592"/>
      <c r="K456" s="592"/>
      <c r="L456" s="592"/>
      <c r="M456" s="592"/>
      <c r="N456" s="592"/>
      <c r="O456" s="592"/>
      <c r="P456" s="592"/>
      <c r="Q456" s="592"/>
      <c r="R456" s="592"/>
      <c r="S456" s="592"/>
      <c r="T456" s="592"/>
      <c r="U456" s="592"/>
      <c r="V456" s="592"/>
      <c r="W456" s="592"/>
      <c r="X456" s="592"/>
      <c r="Y456" s="592"/>
      <c r="Z456" s="592"/>
      <c r="AA456" s="592"/>
      <c r="AB456" s="592"/>
      <c r="AC456" s="592"/>
      <c r="AD456" s="592"/>
      <c r="AE456" s="592"/>
      <c r="AF456" s="592"/>
      <c r="AG456" s="592"/>
      <c r="AH456" s="592"/>
      <c r="AI456" s="592"/>
      <c r="AJ456" s="592"/>
      <c r="AK456" s="592"/>
      <c r="AL456" s="592"/>
      <c r="AM456" s="121">
        <f t="shared" si="15"/>
        <v>0</v>
      </c>
      <c r="AN456" s="564">
        <f>IF(AO456&lt;=3,(IF(AND(G456="5/24",AM456&gt;0.5),(AM456*2*база!$M$6*Таблица14[[#This Row],[коэф]]),
IF(AND(G456="4/24",AM456&gt;0.5),(AM456*2*база!$M$5*Таблица14[[#This Row],[коэф]]),
IF(AND(G456="3/24",AM456&gt;0.5),(AM456*2*база!$M$4*Таблица14[[#This Row],[коэф]]),
IF(AND(G456="5/16",AM456&gt;0.5),(AM456*2*база!$L$6*Таблица14[[#This Row],[коэф]]),
IF(AND(G456="4/16",AM456&gt;0.5),(AM456*2*база!$L$5*Таблица14[[#This Row],[коэф]]),
IF(AND(G456="3/16",AM456&gt;0.5),(AM456*2*база!$L$4*Таблица14[[#This Row],[коэф]]),
IF(AND(G456="4/4",AM456&gt;0.5),(AM456*2*база!$I$5*Таблица14[[#This Row],[коэф]]),
IF(OR(AND(G456="3/4",AM456&gt;0.5),AND(G456="2/4",AM456&gt;0.5)),(AM456*2*база!$I$4*Таблица14[[#This Row],[коэф]]),
IF(AND(G456="5/8",AM456&gt;0.5),(AM456*2*база!$J$6*Таблица14[[#This Row],[коэф]]),
IF(AND(G456="4/8",AM456&gt;0.5),(AM456*2*база!$J$5*Таблица14[[#This Row],[коэф]]),
IF(OR(AND(G456="3/8",AM456&gt;0.5),AND(G456="2/8",AM456&gt;0.5)),(AM456*2*база!$J$4*Таблица14[[#This Row],[коэф]]),
(AM456*0.5*база!$L$4*Таблица14[[#This Row],[коэф]]))))))))))))),
(IF(AND(G456="5/24",AM456&gt;0.5),(AM456*2*база!$M$6*Таблица14[[#This Row],[коэф]]),
IF(OR(AND(G456="4/24",AM456&gt;0.5),AND(G456="3/24",AM456&gt;0.5)),(AM456*2*база!$M$5*Таблица14[[#This Row],[коэф]]),
IF(AND(G456="5/16",AM456&gt;0.5),(AM456*2*база!$L$6*Таблица14[[#This Row],[коэф]]),
IF(OR(AND(G456="4/16",AM456&gt;0.5),AND(G456="3/16",AM456&gt;0.5)),(AM456*2*база!$L$5*Таблица14[[#This Row],[коэф]]),
IF(OR(AND(G456="4/4",AM456&gt;0.5),AND(G456="3/4",AM456&gt;2)),(AM456*2*база!$I$5*Таблица14[[#This Row],[коэф]]),
IF(AND(G456="5/8",AM456&gt;0.5),(AM456*2*база!$J$6*Таблица14[[#This Row],[коэф]]),
IF(AND(G456="4/8",AM456&gt;0.5),(AM456*2*база!$J$5*Таблица14[[#This Row],[коэф]]),
IF(OR(AND(G456="3/8",AM456&gt;0.5),AND(G456="2/8",AM456&gt;0.5)),(AM456*2*база!$J$4*Таблица14[[#This Row],[коэф]]),
(AM456*2*база!$L$5*Таблица14[[#This Row],[коэф]])))))))))))</f>
        <v>0</v>
      </c>
      <c r="AO456" s="122" t="str">
        <f>IFERROR(INDEX(база!$D$2:$D$120, MATCH(Таблица14[[#This Row],[Ф. И. О.]],база!$B$2:$B$100,0)),"")</f>
        <v/>
      </c>
    </row>
    <row r="457" spans="1:41">
      <c r="A457" s="207" t="str">
        <f t="shared" si="14"/>
        <v>январь</v>
      </c>
      <c r="B457" s="204">
        <v>2024</v>
      </c>
      <c r="C457" s="571"/>
      <c r="D457" s="205"/>
      <c r="E457" s="243"/>
      <c r="F457" s="673"/>
      <c r="G457" s="206"/>
      <c r="H457" s="49"/>
      <c r="I457" s="49"/>
      <c r="J457" s="49"/>
      <c r="K457" s="49"/>
      <c r="L457" s="49"/>
      <c r="M457" s="49"/>
      <c r="N457" s="49"/>
      <c r="O457" s="49"/>
      <c r="P457" s="49"/>
      <c r="Q457" s="49"/>
      <c r="R457" s="49"/>
      <c r="S457" s="49"/>
      <c r="T457" s="49"/>
      <c r="U457" s="49"/>
      <c r="V457" s="49"/>
      <c r="W457" s="49"/>
      <c r="X457" s="49"/>
      <c r="Y457" s="49"/>
      <c r="Z457" s="49"/>
      <c r="AA457" s="49"/>
      <c r="AB457" s="49"/>
      <c r="AC457" s="49"/>
      <c r="AD457" s="49"/>
      <c r="AE457" s="49"/>
      <c r="AF457" s="49"/>
      <c r="AG457" s="49"/>
      <c r="AH457" s="49"/>
      <c r="AI457" s="49"/>
      <c r="AJ457" s="49"/>
      <c r="AK457" s="49"/>
      <c r="AL457" s="49"/>
      <c r="AM457" s="121">
        <f t="shared" si="15"/>
        <v>0</v>
      </c>
      <c r="AN457" s="564">
        <f>IF(AO457&lt;=3,(IF(AND(G457="5/24",AM457&gt;0.5),(AM457*2*база!$M$6*Таблица14[[#This Row],[коэф]]),
IF(AND(G457="4/24",AM457&gt;0.5),(AM457*2*база!$M$5*Таблица14[[#This Row],[коэф]]),
IF(AND(G457="3/24",AM457&gt;0.5),(AM457*2*база!$M$4*Таблица14[[#This Row],[коэф]]),
IF(AND(G457="5/16",AM457&gt;0.5),(AM457*2*база!$L$6*Таблица14[[#This Row],[коэф]]),
IF(AND(G457="4/16",AM457&gt;0.5),(AM457*2*база!$L$5*Таблица14[[#This Row],[коэф]]),
IF(AND(G457="3/16",AM457&gt;0.5),(AM457*2*база!$L$4*Таблица14[[#This Row],[коэф]]),
IF(AND(G457="4/4",AM457&gt;0.5),(AM457*2*база!$I$5*Таблица14[[#This Row],[коэф]]),
IF(OR(AND(G457="3/4",AM457&gt;0.5),AND(G457="2/4",AM457&gt;0.5)),(AM457*2*база!$I$4*Таблица14[[#This Row],[коэф]]),
IF(AND(G457="5/8",AM457&gt;0.5),(AM457*2*база!$J$6*Таблица14[[#This Row],[коэф]]),
IF(AND(G457="4/8",AM457&gt;0.5),(AM457*2*база!$J$5*Таблица14[[#This Row],[коэф]]),
IF(OR(AND(G457="3/8",AM457&gt;0.5),AND(G457="2/8",AM457&gt;0.5)),(AM457*2*база!$J$4*Таблица14[[#This Row],[коэф]]),
(AM457*0.5*база!$L$4*Таблица14[[#This Row],[коэф]]))))))))))))),
(IF(AND(G457="5/24",AM457&gt;0.5),(AM457*2*база!$M$6*Таблица14[[#This Row],[коэф]]),
IF(OR(AND(G457="4/24",AM457&gt;0.5),AND(G457="3/24",AM457&gt;0.5)),(AM457*2*база!$M$5*Таблица14[[#This Row],[коэф]]),
IF(AND(G457="5/16",AM457&gt;0.5),(AM457*2*база!$L$6*Таблица14[[#This Row],[коэф]]),
IF(OR(AND(G457="4/16",AM457&gt;0.5),AND(G457="3/16",AM457&gt;0.5)),(AM457*2*база!$L$5*Таблица14[[#This Row],[коэф]]),
IF(OR(AND(G457="4/4",AM457&gt;0.5),AND(G457="3/4",AM457&gt;2)),(AM457*2*база!$I$5*Таблица14[[#This Row],[коэф]]),
IF(AND(G457="5/8",AM457&gt;0.5),(AM457*2*база!$J$6*Таблица14[[#This Row],[коэф]]),
IF(AND(G457="4/8",AM457&gt;0.5),(AM457*2*база!$J$5*Таблица14[[#This Row],[коэф]]),
IF(OR(AND(G457="3/8",AM457&gt;0.5),AND(G457="2/8",AM457&gt;0.5)),(AM457*2*база!$J$4*Таблица14[[#This Row],[коэф]]),
(AM457*2*база!$L$5*Таблица14[[#This Row],[коэф]])))))))))))</f>
        <v>0</v>
      </c>
      <c r="AO457" s="122" t="str">
        <f>IFERROR(INDEX(база!$D$2:$D$120, MATCH(Таблица14[[#This Row],[Ф. И. О.]],база!$B$2:$B$100,0)),"")</f>
        <v/>
      </c>
    </row>
    <row r="458" spans="1:41">
      <c r="A458" s="207" t="str">
        <f t="shared" si="14"/>
        <v>январь</v>
      </c>
      <c r="B458" s="240">
        <v>2024</v>
      </c>
      <c r="C458" s="648"/>
      <c r="D458" s="591"/>
      <c r="E458" s="243"/>
      <c r="F458" s="673"/>
      <c r="G458" s="242"/>
      <c r="H458" s="592"/>
      <c r="I458" s="592"/>
      <c r="J458" s="592"/>
      <c r="K458" s="592"/>
      <c r="L458" s="592"/>
      <c r="M458" s="592"/>
      <c r="N458" s="592"/>
      <c r="O458" s="592"/>
      <c r="P458" s="592"/>
      <c r="Q458" s="592"/>
      <c r="R458" s="592"/>
      <c r="S458" s="592"/>
      <c r="T458" s="592"/>
      <c r="U458" s="592"/>
      <c r="V458" s="592"/>
      <c r="W458" s="592"/>
      <c r="X458" s="592"/>
      <c r="Y458" s="592"/>
      <c r="Z458" s="592"/>
      <c r="AA458" s="592"/>
      <c r="AB458" s="592"/>
      <c r="AC458" s="592"/>
      <c r="AD458" s="592"/>
      <c r="AE458" s="592"/>
      <c r="AF458" s="592"/>
      <c r="AG458" s="592"/>
      <c r="AH458" s="592"/>
      <c r="AI458" s="592"/>
      <c r="AJ458" s="592"/>
      <c r="AK458" s="592"/>
      <c r="AL458" s="592"/>
      <c r="AM458" s="121">
        <f t="shared" si="15"/>
        <v>0</v>
      </c>
      <c r="AN458" s="564">
        <f>IF(AO458&lt;=3,(IF(AND(G458="5/24",AM458&gt;0.5),(AM458*2*база!$M$6*Таблица14[[#This Row],[коэф]]),
IF(AND(G458="4/24",AM458&gt;0.5),(AM458*2*база!$M$5*Таблица14[[#This Row],[коэф]]),
IF(AND(G458="3/24",AM458&gt;0.5),(AM458*2*база!$M$4*Таблица14[[#This Row],[коэф]]),
IF(AND(G458="5/16",AM458&gt;0.5),(AM458*2*база!$L$6*Таблица14[[#This Row],[коэф]]),
IF(AND(G458="4/16",AM458&gt;0.5),(AM458*2*база!$L$5*Таблица14[[#This Row],[коэф]]),
IF(AND(G458="3/16",AM458&gt;0.5),(AM458*2*база!$L$4*Таблица14[[#This Row],[коэф]]),
IF(AND(G458="4/4",AM458&gt;0.5),(AM458*2*база!$I$5*Таблица14[[#This Row],[коэф]]),
IF(OR(AND(G458="3/4",AM458&gt;0.5),AND(G458="2/4",AM458&gt;0.5)),(AM458*2*база!$I$4*Таблица14[[#This Row],[коэф]]),
IF(AND(G458="5/8",AM458&gt;0.5),(AM458*2*база!$J$6*Таблица14[[#This Row],[коэф]]),
IF(AND(G458="4/8",AM458&gt;0.5),(AM458*2*база!$J$5*Таблица14[[#This Row],[коэф]]),
IF(OR(AND(G458="3/8",AM458&gt;0.5),AND(G458="2/8",AM458&gt;0.5)),(AM458*2*база!$J$4*Таблица14[[#This Row],[коэф]]),
(AM458*0.5*база!$L$4*Таблица14[[#This Row],[коэф]]))))))))))))),
(IF(AND(G458="5/24",AM458&gt;0.5),(AM458*2*база!$M$6*Таблица14[[#This Row],[коэф]]),
IF(OR(AND(G458="4/24",AM458&gt;0.5),AND(G458="3/24",AM458&gt;0.5)),(AM458*2*база!$M$5*Таблица14[[#This Row],[коэф]]),
IF(AND(G458="5/16",AM458&gt;0.5),(AM458*2*база!$L$6*Таблица14[[#This Row],[коэф]]),
IF(OR(AND(G458="4/16",AM458&gt;0.5),AND(G458="3/16",AM458&gt;0.5)),(AM458*2*база!$L$5*Таблица14[[#This Row],[коэф]]),
IF(OR(AND(G458="4/4",AM458&gt;0.5),AND(G458="3/4",AM458&gt;2)),(AM458*2*база!$I$5*Таблица14[[#This Row],[коэф]]),
IF(AND(G458="5/8",AM458&gt;0.5),(AM458*2*база!$J$6*Таблица14[[#This Row],[коэф]]),
IF(AND(G458="4/8",AM458&gt;0.5),(AM458*2*база!$J$5*Таблица14[[#This Row],[коэф]]),
IF(OR(AND(G458="3/8",AM458&gt;0.5),AND(G458="2/8",AM458&gt;0.5)),(AM458*2*база!$J$4*Таблица14[[#This Row],[коэф]]),
(AM458*2*база!$L$5*Таблица14[[#This Row],[коэф]])))))))))))</f>
        <v>0</v>
      </c>
      <c r="AO458" s="122" t="str">
        <f>IFERROR(INDEX(база!$D$2:$D$120, MATCH(Таблица14[[#This Row],[Ф. И. О.]],база!$B$2:$B$100,0)),"")</f>
        <v/>
      </c>
    </row>
    <row r="459" spans="1:41">
      <c r="A459" s="207" t="str">
        <f t="shared" si="14"/>
        <v>январь</v>
      </c>
      <c r="B459" s="204">
        <v>2024</v>
      </c>
      <c r="C459" s="571"/>
      <c r="D459" s="205"/>
      <c r="E459" s="243"/>
      <c r="F459" s="673"/>
      <c r="G459" s="206"/>
      <c r="H459" s="49"/>
      <c r="I459" s="49"/>
      <c r="J459" s="49"/>
      <c r="K459" s="49"/>
      <c r="L459" s="49"/>
      <c r="M459" s="49"/>
      <c r="N459" s="49"/>
      <c r="O459" s="49"/>
      <c r="P459" s="49"/>
      <c r="Q459" s="49"/>
      <c r="R459" s="49"/>
      <c r="S459" s="49"/>
      <c r="T459" s="49"/>
      <c r="U459" s="49"/>
      <c r="V459" s="49"/>
      <c r="W459" s="49"/>
      <c r="X459" s="49"/>
      <c r="Y459" s="49"/>
      <c r="Z459" s="49"/>
      <c r="AA459" s="49"/>
      <c r="AB459" s="49"/>
      <c r="AC459" s="49"/>
      <c r="AD459" s="49"/>
      <c r="AE459" s="49"/>
      <c r="AF459" s="49"/>
      <c r="AG459" s="49"/>
      <c r="AH459" s="49"/>
      <c r="AI459" s="49"/>
      <c r="AJ459" s="49"/>
      <c r="AK459" s="49"/>
      <c r="AL459" s="49"/>
      <c r="AM459" s="121">
        <f t="shared" si="15"/>
        <v>0</v>
      </c>
      <c r="AN459" s="564">
        <f>IF(AO459&lt;=3,(IF(AND(G459="5/24",AM459&gt;0.5),(AM459*2*база!$M$6*Таблица14[[#This Row],[коэф]]),
IF(AND(G459="4/24",AM459&gt;0.5),(AM459*2*база!$M$5*Таблица14[[#This Row],[коэф]]),
IF(AND(G459="3/24",AM459&gt;0.5),(AM459*2*база!$M$4*Таблица14[[#This Row],[коэф]]),
IF(AND(G459="5/16",AM459&gt;0.5),(AM459*2*база!$L$6*Таблица14[[#This Row],[коэф]]),
IF(AND(G459="4/16",AM459&gt;0.5),(AM459*2*база!$L$5*Таблица14[[#This Row],[коэф]]),
IF(AND(G459="3/16",AM459&gt;0.5),(AM459*2*база!$L$4*Таблица14[[#This Row],[коэф]]),
IF(AND(G459="4/4",AM459&gt;0.5),(AM459*2*база!$I$5*Таблица14[[#This Row],[коэф]]),
IF(OR(AND(G459="3/4",AM459&gt;0.5),AND(G459="2/4",AM459&gt;0.5)),(AM459*2*база!$I$4*Таблица14[[#This Row],[коэф]]),
IF(AND(G459="5/8",AM459&gt;0.5),(AM459*2*база!$J$6*Таблица14[[#This Row],[коэф]]),
IF(AND(G459="4/8",AM459&gt;0.5),(AM459*2*база!$J$5*Таблица14[[#This Row],[коэф]]),
IF(OR(AND(G459="3/8",AM459&gt;0.5),AND(G459="2/8",AM459&gt;0.5)),(AM459*2*база!$J$4*Таблица14[[#This Row],[коэф]]),
(AM459*0.5*база!$L$4*Таблица14[[#This Row],[коэф]]))))))))))))),
(IF(AND(G459="5/24",AM459&gt;0.5),(AM459*2*база!$M$6*Таблица14[[#This Row],[коэф]]),
IF(OR(AND(G459="4/24",AM459&gt;0.5),AND(G459="3/24",AM459&gt;0.5)),(AM459*2*база!$M$5*Таблица14[[#This Row],[коэф]]),
IF(AND(G459="5/16",AM459&gt;0.5),(AM459*2*база!$L$6*Таблица14[[#This Row],[коэф]]),
IF(OR(AND(G459="4/16",AM459&gt;0.5),AND(G459="3/16",AM459&gt;0.5)),(AM459*2*база!$L$5*Таблица14[[#This Row],[коэф]]),
IF(OR(AND(G459="4/4",AM459&gt;0.5),AND(G459="3/4",AM459&gt;2)),(AM459*2*база!$I$5*Таблица14[[#This Row],[коэф]]),
IF(AND(G459="5/8",AM459&gt;0.5),(AM459*2*база!$J$6*Таблица14[[#This Row],[коэф]]),
IF(AND(G459="4/8",AM459&gt;0.5),(AM459*2*база!$J$5*Таблица14[[#This Row],[коэф]]),
IF(OR(AND(G459="3/8",AM459&gt;0.5),AND(G459="2/8",AM459&gt;0.5)),(AM459*2*база!$J$4*Таблица14[[#This Row],[коэф]]),
(AM459*2*база!$L$5*Таблица14[[#This Row],[коэф]])))))))))))</f>
        <v>0</v>
      </c>
      <c r="AO459" s="122" t="str">
        <f>IFERROR(INDEX(база!$D$2:$D$120, MATCH(Таблица14[[#This Row],[Ф. И. О.]],база!$B$2:$B$100,0)),"")</f>
        <v/>
      </c>
    </row>
    <row r="460" spans="1:41">
      <c r="A460" s="207" t="str">
        <f t="shared" si="14"/>
        <v>январь</v>
      </c>
      <c r="B460" s="240">
        <v>2024</v>
      </c>
      <c r="C460" s="648"/>
      <c r="D460" s="591"/>
      <c r="E460" s="243"/>
      <c r="F460" s="673"/>
      <c r="G460" s="242"/>
      <c r="H460" s="592"/>
      <c r="I460" s="592"/>
      <c r="J460" s="592"/>
      <c r="K460" s="592"/>
      <c r="L460" s="592"/>
      <c r="M460" s="592"/>
      <c r="N460" s="592"/>
      <c r="O460" s="592"/>
      <c r="P460" s="592"/>
      <c r="Q460" s="592"/>
      <c r="R460" s="592"/>
      <c r="S460" s="592"/>
      <c r="T460" s="592"/>
      <c r="U460" s="592"/>
      <c r="V460" s="592"/>
      <c r="W460" s="592"/>
      <c r="X460" s="592"/>
      <c r="Y460" s="592"/>
      <c r="Z460" s="592"/>
      <c r="AA460" s="592"/>
      <c r="AB460" s="592"/>
      <c r="AC460" s="592"/>
      <c r="AD460" s="592"/>
      <c r="AE460" s="592"/>
      <c r="AF460" s="592"/>
      <c r="AG460" s="592"/>
      <c r="AH460" s="592"/>
      <c r="AI460" s="592"/>
      <c r="AJ460" s="592"/>
      <c r="AK460" s="592"/>
      <c r="AL460" s="592"/>
      <c r="AM460" s="121">
        <f t="shared" si="15"/>
        <v>0</v>
      </c>
      <c r="AN460" s="564">
        <f>IF(AO460&lt;=3,(IF(AND(G460="5/24",AM460&gt;0.5),(AM460*2*база!$M$6*Таблица14[[#This Row],[коэф]]),
IF(AND(G460="4/24",AM460&gt;0.5),(AM460*2*база!$M$5*Таблица14[[#This Row],[коэф]]),
IF(AND(G460="3/24",AM460&gt;0.5),(AM460*2*база!$M$4*Таблица14[[#This Row],[коэф]]),
IF(AND(G460="5/16",AM460&gt;0.5),(AM460*2*база!$L$6*Таблица14[[#This Row],[коэф]]),
IF(AND(G460="4/16",AM460&gt;0.5),(AM460*2*база!$L$5*Таблица14[[#This Row],[коэф]]),
IF(AND(G460="3/16",AM460&gt;0.5),(AM460*2*база!$L$4*Таблица14[[#This Row],[коэф]]),
IF(AND(G460="4/4",AM460&gt;0.5),(AM460*2*база!$I$5*Таблица14[[#This Row],[коэф]]),
IF(OR(AND(G460="3/4",AM460&gt;0.5),AND(G460="2/4",AM460&gt;0.5)),(AM460*2*база!$I$4*Таблица14[[#This Row],[коэф]]),
IF(AND(G460="5/8",AM460&gt;0.5),(AM460*2*база!$J$6*Таблица14[[#This Row],[коэф]]),
IF(AND(G460="4/8",AM460&gt;0.5),(AM460*2*база!$J$5*Таблица14[[#This Row],[коэф]]),
IF(OR(AND(G460="3/8",AM460&gt;0.5),AND(G460="2/8",AM460&gt;0.5)),(AM460*2*база!$J$4*Таблица14[[#This Row],[коэф]]),
(AM460*0.5*база!$L$4*Таблица14[[#This Row],[коэф]]))))))))))))),
(IF(AND(G460="5/24",AM460&gt;0.5),(AM460*2*база!$M$6*Таблица14[[#This Row],[коэф]]),
IF(OR(AND(G460="4/24",AM460&gt;0.5),AND(G460="3/24",AM460&gt;0.5)),(AM460*2*база!$M$5*Таблица14[[#This Row],[коэф]]),
IF(AND(G460="5/16",AM460&gt;0.5),(AM460*2*база!$L$6*Таблица14[[#This Row],[коэф]]),
IF(OR(AND(G460="4/16",AM460&gt;0.5),AND(G460="3/16",AM460&gt;0.5)),(AM460*2*база!$L$5*Таблица14[[#This Row],[коэф]]),
IF(OR(AND(G460="4/4",AM460&gt;0.5),AND(G460="3/4",AM460&gt;2)),(AM460*2*база!$I$5*Таблица14[[#This Row],[коэф]]),
IF(AND(G460="5/8",AM460&gt;0.5),(AM460*2*база!$J$6*Таблица14[[#This Row],[коэф]]),
IF(AND(G460="4/8",AM460&gt;0.5),(AM460*2*база!$J$5*Таблица14[[#This Row],[коэф]]),
IF(OR(AND(G460="3/8",AM460&gt;0.5),AND(G460="2/8",AM460&gt;0.5)),(AM460*2*база!$J$4*Таблица14[[#This Row],[коэф]]),
(AM460*2*база!$L$5*Таблица14[[#This Row],[коэф]])))))))))))</f>
        <v>0</v>
      </c>
      <c r="AO460" s="122" t="str">
        <f>IFERROR(INDEX(база!$D$2:$D$120, MATCH(Таблица14[[#This Row],[Ф. И. О.]],база!$B$2:$B$100,0)),"")</f>
        <v/>
      </c>
    </row>
    <row r="461" spans="1:41">
      <c r="A461" s="207" t="str">
        <f t="shared" si="14"/>
        <v>январь</v>
      </c>
      <c r="B461" s="204">
        <v>2024</v>
      </c>
      <c r="C461" s="571"/>
      <c r="D461" s="205"/>
      <c r="E461" s="243"/>
      <c r="F461" s="673"/>
      <c r="G461" s="206"/>
      <c r="H461" s="49"/>
      <c r="I461" s="49"/>
      <c r="J461" s="49"/>
      <c r="K461" s="49"/>
      <c r="L461" s="49"/>
      <c r="M461" s="49"/>
      <c r="N461" s="49"/>
      <c r="O461" s="49"/>
      <c r="P461" s="49"/>
      <c r="Q461" s="49"/>
      <c r="R461" s="49"/>
      <c r="S461" s="49"/>
      <c r="T461" s="49"/>
      <c r="U461" s="49"/>
      <c r="V461" s="49"/>
      <c r="W461" s="49"/>
      <c r="X461" s="49"/>
      <c r="Y461" s="49"/>
      <c r="Z461" s="49"/>
      <c r="AA461" s="49"/>
      <c r="AB461" s="49"/>
      <c r="AC461" s="49"/>
      <c r="AD461" s="49"/>
      <c r="AE461" s="49"/>
      <c r="AF461" s="49"/>
      <c r="AG461" s="49"/>
      <c r="AH461" s="49"/>
      <c r="AI461" s="49"/>
      <c r="AJ461" s="49"/>
      <c r="AK461" s="49"/>
      <c r="AL461" s="49"/>
      <c r="AM461" s="121">
        <f t="shared" si="15"/>
        <v>0</v>
      </c>
      <c r="AN461" s="564">
        <f>IF(AO461&lt;=3,(IF(AND(G461="5/24",AM461&gt;0.5),(AM461*2*база!$M$6*Таблица14[[#This Row],[коэф]]),
IF(AND(G461="4/24",AM461&gt;0.5),(AM461*2*база!$M$5*Таблица14[[#This Row],[коэф]]),
IF(AND(G461="3/24",AM461&gt;0.5),(AM461*2*база!$M$4*Таблица14[[#This Row],[коэф]]),
IF(AND(G461="5/16",AM461&gt;0.5),(AM461*2*база!$L$6*Таблица14[[#This Row],[коэф]]),
IF(AND(G461="4/16",AM461&gt;0.5),(AM461*2*база!$L$5*Таблица14[[#This Row],[коэф]]),
IF(AND(G461="3/16",AM461&gt;0.5),(AM461*2*база!$L$4*Таблица14[[#This Row],[коэф]]),
IF(AND(G461="4/4",AM461&gt;0.5),(AM461*2*база!$I$5*Таблица14[[#This Row],[коэф]]),
IF(OR(AND(G461="3/4",AM461&gt;0.5),AND(G461="2/4",AM461&gt;0.5)),(AM461*2*база!$I$4*Таблица14[[#This Row],[коэф]]),
IF(AND(G461="5/8",AM461&gt;0.5),(AM461*2*база!$J$6*Таблица14[[#This Row],[коэф]]),
IF(AND(G461="4/8",AM461&gt;0.5),(AM461*2*база!$J$5*Таблица14[[#This Row],[коэф]]),
IF(OR(AND(G461="3/8",AM461&gt;0.5),AND(G461="2/8",AM461&gt;0.5)),(AM461*2*база!$J$4*Таблица14[[#This Row],[коэф]]),
(AM461*0.5*база!$L$4*Таблица14[[#This Row],[коэф]]))))))))))))),
(IF(AND(G461="5/24",AM461&gt;0.5),(AM461*2*база!$M$6*Таблица14[[#This Row],[коэф]]),
IF(OR(AND(G461="4/24",AM461&gt;0.5),AND(G461="3/24",AM461&gt;0.5)),(AM461*2*база!$M$5*Таблица14[[#This Row],[коэф]]),
IF(AND(G461="5/16",AM461&gt;0.5),(AM461*2*база!$L$6*Таблица14[[#This Row],[коэф]]),
IF(OR(AND(G461="4/16",AM461&gt;0.5),AND(G461="3/16",AM461&gt;0.5)),(AM461*2*база!$L$5*Таблица14[[#This Row],[коэф]]),
IF(OR(AND(G461="4/4",AM461&gt;0.5),AND(G461="3/4",AM461&gt;2)),(AM461*2*база!$I$5*Таблица14[[#This Row],[коэф]]),
IF(AND(G461="5/8",AM461&gt;0.5),(AM461*2*база!$J$6*Таблица14[[#This Row],[коэф]]),
IF(AND(G461="4/8",AM461&gt;0.5),(AM461*2*база!$J$5*Таблица14[[#This Row],[коэф]]),
IF(OR(AND(G461="3/8",AM461&gt;0.5),AND(G461="2/8",AM461&gt;0.5)),(AM461*2*база!$J$4*Таблица14[[#This Row],[коэф]]),
(AM461*2*база!$L$5*Таблица14[[#This Row],[коэф]])))))))))))</f>
        <v>0</v>
      </c>
      <c r="AO461" s="122" t="str">
        <f>IFERROR(INDEX(база!$D$2:$D$120, MATCH(Таблица14[[#This Row],[Ф. И. О.]],база!$B$2:$B$100,0)),"")</f>
        <v/>
      </c>
    </row>
    <row r="462" spans="1:41">
      <c r="A462" s="207" t="str">
        <f t="shared" si="14"/>
        <v>январь</v>
      </c>
      <c r="B462" s="240">
        <v>2024</v>
      </c>
      <c r="C462" s="648"/>
      <c r="D462" s="591"/>
      <c r="E462" s="243"/>
      <c r="F462" s="673"/>
      <c r="G462" s="242"/>
      <c r="H462" s="592"/>
      <c r="I462" s="592"/>
      <c r="J462" s="592"/>
      <c r="K462" s="592"/>
      <c r="L462" s="592"/>
      <c r="M462" s="592"/>
      <c r="N462" s="592"/>
      <c r="O462" s="592"/>
      <c r="P462" s="592"/>
      <c r="Q462" s="592"/>
      <c r="R462" s="592"/>
      <c r="S462" s="592"/>
      <c r="T462" s="592"/>
      <c r="U462" s="592"/>
      <c r="V462" s="592"/>
      <c r="W462" s="592"/>
      <c r="X462" s="592"/>
      <c r="Y462" s="592"/>
      <c r="Z462" s="592"/>
      <c r="AA462" s="592"/>
      <c r="AB462" s="592"/>
      <c r="AC462" s="592"/>
      <c r="AD462" s="592"/>
      <c r="AE462" s="592"/>
      <c r="AF462" s="592"/>
      <c r="AG462" s="592"/>
      <c r="AH462" s="592"/>
      <c r="AI462" s="592"/>
      <c r="AJ462" s="592"/>
      <c r="AK462" s="592"/>
      <c r="AL462" s="592"/>
      <c r="AM462" s="121">
        <f t="shared" si="15"/>
        <v>0</v>
      </c>
      <c r="AN462" s="564">
        <f>IF(AO462&lt;=3,(IF(AND(G462="5/24",AM462&gt;0.5),(AM462*2*база!$M$6*Таблица14[[#This Row],[коэф]]),
IF(AND(G462="4/24",AM462&gt;0.5),(AM462*2*база!$M$5*Таблица14[[#This Row],[коэф]]),
IF(AND(G462="3/24",AM462&gt;0.5),(AM462*2*база!$M$4*Таблица14[[#This Row],[коэф]]),
IF(AND(G462="5/16",AM462&gt;0.5),(AM462*2*база!$L$6*Таблица14[[#This Row],[коэф]]),
IF(AND(G462="4/16",AM462&gt;0.5),(AM462*2*база!$L$5*Таблица14[[#This Row],[коэф]]),
IF(AND(G462="3/16",AM462&gt;0.5),(AM462*2*база!$L$4*Таблица14[[#This Row],[коэф]]),
IF(AND(G462="4/4",AM462&gt;0.5),(AM462*2*база!$I$5*Таблица14[[#This Row],[коэф]]),
IF(OR(AND(G462="3/4",AM462&gt;0.5),AND(G462="2/4",AM462&gt;0.5)),(AM462*2*база!$I$4*Таблица14[[#This Row],[коэф]]),
IF(AND(G462="5/8",AM462&gt;0.5),(AM462*2*база!$J$6*Таблица14[[#This Row],[коэф]]),
IF(AND(G462="4/8",AM462&gt;0.5),(AM462*2*база!$J$5*Таблица14[[#This Row],[коэф]]),
IF(OR(AND(G462="3/8",AM462&gt;0.5),AND(G462="2/8",AM462&gt;0.5)),(AM462*2*база!$J$4*Таблица14[[#This Row],[коэф]]),
(AM462*0.5*база!$L$4*Таблица14[[#This Row],[коэф]]))))))))))))),
(IF(AND(G462="5/24",AM462&gt;0.5),(AM462*2*база!$M$6*Таблица14[[#This Row],[коэф]]),
IF(OR(AND(G462="4/24",AM462&gt;0.5),AND(G462="3/24",AM462&gt;0.5)),(AM462*2*база!$M$5*Таблица14[[#This Row],[коэф]]),
IF(AND(G462="5/16",AM462&gt;0.5),(AM462*2*база!$L$6*Таблица14[[#This Row],[коэф]]),
IF(OR(AND(G462="4/16",AM462&gt;0.5),AND(G462="3/16",AM462&gt;0.5)),(AM462*2*база!$L$5*Таблица14[[#This Row],[коэф]]),
IF(OR(AND(G462="4/4",AM462&gt;0.5),AND(G462="3/4",AM462&gt;2)),(AM462*2*база!$I$5*Таблица14[[#This Row],[коэф]]),
IF(AND(G462="5/8",AM462&gt;0.5),(AM462*2*база!$J$6*Таблица14[[#This Row],[коэф]]),
IF(AND(G462="4/8",AM462&gt;0.5),(AM462*2*база!$J$5*Таблица14[[#This Row],[коэф]]),
IF(OR(AND(G462="3/8",AM462&gt;0.5),AND(G462="2/8",AM462&gt;0.5)),(AM462*2*база!$J$4*Таблица14[[#This Row],[коэф]]),
(AM462*2*база!$L$5*Таблица14[[#This Row],[коэф]])))))))))))</f>
        <v>0</v>
      </c>
      <c r="AO462" s="122" t="str">
        <f>IFERROR(INDEX(база!$D$2:$D$120, MATCH(Таблица14[[#This Row],[Ф. И. О.]],база!$B$2:$B$100,0)),"")</f>
        <v/>
      </c>
    </row>
    <row r="463" spans="1:41">
      <c r="A463" s="207" t="str">
        <f t="shared" si="14"/>
        <v>январь</v>
      </c>
      <c r="B463" s="204">
        <v>2024</v>
      </c>
      <c r="C463" s="649"/>
      <c r="D463" s="646"/>
      <c r="E463" s="243"/>
      <c r="F463" s="673"/>
      <c r="G463" s="206"/>
      <c r="H463" s="647"/>
      <c r="I463" s="647"/>
      <c r="J463" s="647"/>
      <c r="K463" s="647"/>
      <c r="L463" s="647"/>
      <c r="M463" s="647"/>
      <c r="N463" s="647"/>
      <c r="O463" s="647"/>
      <c r="P463" s="647"/>
      <c r="Q463" s="647"/>
      <c r="R463" s="647"/>
      <c r="S463" s="647"/>
      <c r="T463" s="647"/>
      <c r="U463" s="647"/>
      <c r="V463" s="647"/>
      <c r="W463" s="647"/>
      <c r="X463" s="647"/>
      <c r="Y463" s="647"/>
      <c r="Z463" s="647"/>
      <c r="AA463" s="647"/>
      <c r="AB463" s="647"/>
      <c r="AC463" s="647"/>
      <c r="AD463" s="647"/>
      <c r="AE463" s="647"/>
      <c r="AF463" s="647"/>
      <c r="AG463" s="647"/>
      <c r="AH463" s="647"/>
      <c r="AI463" s="647"/>
      <c r="AJ463" s="647"/>
      <c r="AK463" s="647"/>
      <c r="AL463" s="647"/>
      <c r="AM463" s="121">
        <f t="shared" si="15"/>
        <v>0</v>
      </c>
      <c r="AN463" s="564">
        <f>IF(AO463&lt;=3,(IF(AND(G463="5/24",AM463&gt;0.5),(AM463*2*база!$M$6*Таблица14[[#This Row],[коэф]]),
IF(AND(G463="4/24",AM463&gt;0.5),(AM463*2*база!$M$5*Таблица14[[#This Row],[коэф]]),
IF(AND(G463="3/24",AM463&gt;0.5),(AM463*2*база!$M$4*Таблица14[[#This Row],[коэф]]),
IF(AND(G463="5/16",AM463&gt;0.5),(AM463*2*база!$L$6*Таблица14[[#This Row],[коэф]]),
IF(AND(G463="4/16",AM463&gt;0.5),(AM463*2*база!$L$5*Таблица14[[#This Row],[коэф]]),
IF(AND(G463="3/16",AM463&gt;0.5),(AM463*2*база!$L$4*Таблица14[[#This Row],[коэф]]),
IF(AND(G463="4/4",AM463&gt;0.5),(AM463*2*база!$I$5*Таблица14[[#This Row],[коэф]]),
IF(OR(AND(G463="3/4",AM463&gt;0.5),AND(G463="2/4",AM463&gt;0.5)),(AM463*2*база!$I$4*Таблица14[[#This Row],[коэф]]),
IF(AND(G463="5/8",AM463&gt;0.5),(AM463*2*база!$J$6*Таблица14[[#This Row],[коэф]]),
IF(AND(G463="4/8",AM463&gt;0.5),(AM463*2*база!$J$5*Таблица14[[#This Row],[коэф]]),
IF(OR(AND(G463="3/8",AM463&gt;0.5),AND(G463="2/8",AM463&gt;0.5)),(AM463*2*база!$J$4*Таблица14[[#This Row],[коэф]]),
(AM463*0.5*база!$L$4*Таблица14[[#This Row],[коэф]]))))))))))))),
(IF(AND(G463="5/24",AM463&gt;0.5),(AM463*2*база!$M$6*Таблица14[[#This Row],[коэф]]),
IF(OR(AND(G463="4/24",AM463&gt;0.5),AND(G463="3/24",AM463&gt;0.5)),(AM463*2*база!$M$5*Таблица14[[#This Row],[коэф]]),
IF(AND(G463="5/16",AM463&gt;0.5),(AM463*2*база!$L$6*Таблица14[[#This Row],[коэф]]),
IF(OR(AND(G463="4/16",AM463&gt;0.5),AND(G463="3/16",AM463&gt;0.5)),(AM463*2*база!$L$5*Таблица14[[#This Row],[коэф]]),
IF(OR(AND(G463="4/4",AM463&gt;0.5),AND(G463="3/4",AM463&gt;2)),(AM463*2*база!$I$5*Таблица14[[#This Row],[коэф]]),
IF(AND(G463="5/8",AM463&gt;0.5),(AM463*2*база!$J$6*Таблица14[[#This Row],[коэф]]),
IF(AND(G463="4/8",AM463&gt;0.5),(AM463*2*база!$J$5*Таблица14[[#This Row],[коэф]]),
IF(OR(AND(G463="3/8",AM463&gt;0.5),AND(G463="2/8",AM463&gt;0.5)),(AM463*2*база!$J$4*Таблица14[[#This Row],[коэф]]),
(AM463*2*база!$L$5*Таблица14[[#This Row],[коэф]])))))))))))</f>
        <v>0</v>
      </c>
      <c r="AO463" s="122" t="str">
        <f>IFERROR(INDEX(база!$D$2:$D$120, MATCH(Таблица14[[#This Row],[Ф. И. О.]],база!$B$2:$B$100,0)),"")</f>
        <v/>
      </c>
    </row>
    <row r="464" spans="1:41">
      <c r="A464" s="207" t="str">
        <f t="shared" si="14"/>
        <v>январь</v>
      </c>
      <c r="B464" s="240">
        <v>2024</v>
      </c>
      <c r="C464" s="649"/>
      <c r="D464" s="682"/>
      <c r="E464" s="243"/>
      <c r="F464" s="685"/>
      <c r="G464" s="242"/>
      <c r="H464" s="683"/>
      <c r="I464" s="683"/>
      <c r="J464" s="683"/>
      <c r="K464" s="683"/>
      <c r="L464" s="683"/>
      <c r="M464" s="683"/>
      <c r="N464" s="683"/>
      <c r="O464" s="683"/>
      <c r="P464" s="683"/>
      <c r="Q464" s="683"/>
      <c r="R464" s="683"/>
      <c r="S464" s="683"/>
      <c r="T464" s="683"/>
      <c r="U464" s="683"/>
      <c r="V464" s="683"/>
      <c r="W464" s="683"/>
      <c r="X464" s="683"/>
      <c r="Y464" s="683"/>
      <c r="Z464" s="683"/>
      <c r="AA464" s="683"/>
      <c r="AB464" s="683"/>
      <c r="AC464" s="683"/>
      <c r="AD464" s="683"/>
      <c r="AE464" s="683"/>
      <c r="AF464" s="683"/>
      <c r="AG464" s="683"/>
      <c r="AH464" s="683"/>
      <c r="AI464" s="683"/>
      <c r="AJ464" s="683"/>
      <c r="AK464" s="683"/>
      <c r="AL464" s="683"/>
      <c r="AM464" s="121">
        <f t="shared" si="15"/>
        <v>0</v>
      </c>
      <c r="AN464" s="564">
        <f>IF(AO464&lt;=3,(IF(AND(G464="5/24",AM464&gt;0.5),(AM464*2*база!$M$6*Таблица14[[#This Row],[коэф]]),
IF(AND(G464="4/24",AM464&gt;0.5),(AM464*2*база!$M$5*Таблица14[[#This Row],[коэф]]),
IF(AND(G464="3/24",AM464&gt;0.5),(AM464*2*база!$M$4*Таблица14[[#This Row],[коэф]]),
IF(AND(G464="5/16",AM464&gt;0.5),(AM464*2*база!$L$6*Таблица14[[#This Row],[коэф]]),
IF(AND(G464="4/16",AM464&gt;0.5),(AM464*2*база!$L$5*Таблица14[[#This Row],[коэф]]),
IF(AND(G464="3/16",AM464&gt;0.5),(AM464*2*база!$L$4*Таблица14[[#This Row],[коэф]]),
IF(AND(G464="4/4",AM464&gt;0.5),(AM464*2*база!$I$5*Таблица14[[#This Row],[коэф]]),
IF(OR(AND(G464="3/4",AM464&gt;0.5),AND(G464="2/4",AM464&gt;0.5)),(AM464*2*база!$I$4*Таблица14[[#This Row],[коэф]]),
IF(AND(G464="5/8",AM464&gt;0.5),(AM464*2*база!$J$6*Таблица14[[#This Row],[коэф]]),
IF(AND(G464="4/8",AM464&gt;0.5),(AM464*2*база!$J$5*Таблица14[[#This Row],[коэф]]),
IF(OR(AND(G464="3/8",AM464&gt;0.5),AND(G464="2/8",AM464&gt;0.5)),(AM464*2*база!$J$4*Таблица14[[#This Row],[коэф]]),
(AM464*0.5*база!$L$4*Таблица14[[#This Row],[коэф]]))))))))))))),
(IF(AND(G464="5/24",AM464&gt;0.5),(AM464*2*база!$M$6*Таблица14[[#This Row],[коэф]]),
IF(OR(AND(G464="4/24",AM464&gt;0.5),AND(G464="3/24",AM464&gt;0.5)),(AM464*2*база!$M$5*Таблица14[[#This Row],[коэф]]),
IF(AND(G464="5/16",AM464&gt;0.5),(AM464*2*база!$L$6*Таблица14[[#This Row],[коэф]]),
IF(OR(AND(G464="4/16",AM464&gt;0.5),AND(G464="3/16",AM464&gt;0.5)),(AM464*2*база!$L$5*Таблица14[[#This Row],[коэф]]),
IF(OR(AND(G464="4/4",AM464&gt;0.5),AND(G464="3/4",AM464&gt;2)),(AM464*2*база!$I$5*Таблица14[[#This Row],[коэф]]),
IF(AND(G464="5/8",AM464&gt;0.5),(AM464*2*база!$J$6*Таблица14[[#This Row],[коэф]]),
IF(AND(G464="4/8",AM464&gt;0.5),(AM464*2*база!$J$5*Таблица14[[#This Row],[коэф]]),
IF(OR(AND(G464="3/8",AM464&gt;0.5),AND(G464="2/8",AM464&gt;0.5)),(AM464*2*база!$J$4*Таблица14[[#This Row],[коэф]]),
(AM464*2*база!$L$5*Таблица14[[#This Row],[коэф]])))))))))))</f>
        <v>0</v>
      </c>
      <c r="AO464" s="684" t="str">
        <f>IFERROR(INDEX(база!$D$2:$D$120, MATCH(Таблица14[[#This Row],[Ф. И. О.]],база!$B$2:$B$100,0)),"")</f>
        <v/>
      </c>
    </row>
    <row r="465" spans="1:41">
      <c r="A465" s="207" t="str">
        <f t="shared" si="14"/>
        <v>январь</v>
      </c>
      <c r="B465" s="204">
        <v>2024</v>
      </c>
      <c r="C465" s="649"/>
      <c r="D465" s="682"/>
      <c r="E465" s="243"/>
      <c r="F465" s="685"/>
      <c r="G465" s="206"/>
      <c r="H465" s="683"/>
      <c r="I465" s="683"/>
      <c r="J465" s="683"/>
      <c r="K465" s="683"/>
      <c r="L465" s="683"/>
      <c r="M465" s="683"/>
      <c r="N465" s="683"/>
      <c r="O465" s="683"/>
      <c r="P465" s="683"/>
      <c r="Q465" s="683"/>
      <c r="R465" s="683"/>
      <c r="S465" s="683"/>
      <c r="T465" s="683"/>
      <c r="U465" s="683"/>
      <c r="V465" s="683"/>
      <c r="W465" s="683"/>
      <c r="X465" s="683"/>
      <c r="Y465" s="683"/>
      <c r="Z465" s="683"/>
      <c r="AA465" s="683"/>
      <c r="AB465" s="683"/>
      <c r="AC465" s="683"/>
      <c r="AD465" s="683"/>
      <c r="AE465" s="683"/>
      <c r="AF465" s="683"/>
      <c r="AG465" s="683"/>
      <c r="AH465" s="683"/>
      <c r="AI465" s="683"/>
      <c r="AJ465" s="683"/>
      <c r="AK465" s="683"/>
      <c r="AL465" s="683"/>
      <c r="AM465" s="121">
        <f t="shared" si="15"/>
        <v>0</v>
      </c>
      <c r="AN465" s="564">
        <f>IF(AO465&lt;=3,(IF(AND(G465="5/24",AM465&gt;0.5),(AM465*2*база!$M$6*Таблица14[[#This Row],[коэф]]),
IF(AND(G465="4/24",AM465&gt;0.5),(AM465*2*база!$M$5*Таблица14[[#This Row],[коэф]]),
IF(AND(G465="3/24",AM465&gt;0.5),(AM465*2*база!$M$4*Таблица14[[#This Row],[коэф]]),
IF(AND(G465="5/16",AM465&gt;0.5),(AM465*2*база!$L$6*Таблица14[[#This Row],[коэф]]),
IF(AND(G465="4/16",AM465&gt;0.5),(AM465*2*база!$L$5*Таблица14[[#This Row],[коэф]]),
IF(AND(G465="3/16",AM465&gt;0.5),(AM465*2*база!$L$4*Таблица14[[#This Row],[коэф]]),
IF(AND(G465="4/4",AM465&gt;0.5),(AM465*2*база!$I$5*Таблица14[[#This Row],[коэф]]),
IF(OR(AND(G465="3/4",AM465&gt;0.5),AND(G465="2/4",AM465&gt;0.5)),(AM465*2*база!$I$4*Таблица14[[#This Row],[коэф]]),
IF(AND(G465="5/8",AM465&gt;0.5),(AM465*2*база!$J$6*Таблица14[[#This Row],[коэф]]),
IF(AND(G465="4/8",AM465&gt;0.5),(AM465*2*база!$J$5*Таблица14[[#This Row],[коэф]]),
IF(OR(AND(G465="3/8",AM465&gt;0.5),AND(G465="2/8",AM465&gt;0.5)),(AM465*2*база!$J$4*Таблица14[[#This Row],[коэф]]),
(AM465*0.5*база!$L$4*Таблица14[[#This Row],[коэф]]))))))))))))),
(IF(AND(G465="5/24",AM465&gt;0.5),(AM465*2*база!$M$6*Таблица14[[#This Row],[коэф]]),
IF(OR(AND(G465="4/24",AM465&gt;0.5),AND(G465="3/24",AM465&gt;0.5)),(AM465*2*база!$M$5*Таблица14[[#This Row],[коэф]]),
IF(AND(G465="5/16",AM465&gt;0.5),(AM465*2*база!$L$6*Таблица14[[#This Row],[коэф]]),
IF(OR(AND(G465="4/16",AM465&gt;0.5),AND(G465="3/16",AM465&gt;0.5)),(AM465*2*база!$L$5*Таблица14[[#This Row],[коэф]]),
IF(OR(AND(G465="4/4",AM465&gt;0.5),AND(G465="3/4",AM465&gt;2)),(AM465*2*база!$I$5*Таблица14[[#This Row],[коэф]]),
IF(AND(G465="5/8",AM465&gt;0.5),(AM465*2*база!$J$6*Таблица14[[#This Row],[коэф]]),
IF(AND(G465="4/8",AM465&gt;0.5),(AM465*2*база!$J$5*Таблица14[[#This Row],[коэф]]),
IF(OR(AND(G465="3/8",AM465&gt;0.5),AND(G465="2/8",AM465&gt;0.5)),(AM465*2*база!$J$4*Таблица14[[#This Row],[коэф]]),
(AM465*2*база!$L$5*Таблица14[[#This Row],[коэф]])))))))))))</f>
        <v>0</v>
      </c>
      <c r="AO465" s="684" t="str">
        <f>IFERROR(INDEX(база!$D$2:$D$120, MATCH(Таблица14[[#This Row],[Ф. И. О.]],база!$B$2:$B$100,0)),"")</f>
        <v/>
      </c>
    </row>
    <row r="466" spans="1:41">
      <c r="A466" s="207" t="str">
        <f t="shared" si="14"/>
        <v>январь</v>
      </c>
      <c r="B466" s="240">
        <v>2024</v>
      </c>
      <c r="C466" s="649"/>
      <c r="D466" s="682"/>
      <c r="E466" s="243"/>
      <c r="F466" s="685"/>
      <c r="G466" s="242"/>
      <c r="H466" s="683"/>
      <c r="I466" s="683"/>
      <c r="J466" s="683"/>
      <c r="K466" s="683"/>
      <c r="L466" s="683"/>
      <c r="M466" s="683"/>
      <c r="N466" s="683"/>
      <c r="O466" s="683"/>
      <c r="P466" s="683"/>
      <c r="Q466" s="683"/>
      <c r="R466" s="683"/>
      <c r="S466" s="683"/>
      <c r="T466" s="683"/>
      <c r="U466" s="683"/>
      <c r="V466" s="683"/>
      <c r="W466" s="683"/>
      <c r="X466" s="683"/>
      <c r="Y466" s="683"/>
      <c r="Z466" s="683"/>
      <c r="AA466" s="683"/>
      <c r="AB466" s="683"/>
      <c r="AC466" s="683"/>
      <c r="AD466" s="683"/>
      <c r="AE466" s="683"/>
      <c r="AF466" s="683"/>
      <c r="AG466" s="683"/>
      <c r="AH466" s="683"/>
      <c r="AI466" s="683"/>
      <c r="AJ466" s="683"/>
      <c r="AK466" s="683"/>
      <c r="AL466" s="683"/>
      <c r="AM466" s="121">
        <f t="shared" si="15"/>
        <v>0</v>
      </c>
      <c r="AN466" s="564">
        <f>IF(AO466&lt;=3,(IF(AND(G466="5/24",AM466&gt;0.5),(AM466*2*база!$M$6*Таблица14[[#This Row],[коэф]]),
IF(AND(G466="4/24",AM466&gt;0.5),(AM466*2*база!$M$5*Таблица14[[#This Row],[коэф]]),
IF(AND(G466="3/24",AM466&gt;0.5),(AM466*2*база!$M$4*Таблица14[[#This Row],[коэф]]),
IF(AND(G466="5/16",AM466&gt;0.5),(AM466*2*база!$L$6*Таблица14[[#This Row],[коэф]]),
IF(AND(G466="4/16",AM466&gt;0.5),(AM466*2*база!$L$5*Таблица14[[#This Row],[коэф]]),
IF(AND(G466="3/16",AM466&gt;0.5),(AM466*2*база!$L$4*Таблица14[[#This Row],[коэф]]),
IF(AND(G466="4/4",AM466&gt;0.5),(AM466*2*база!$I$5*Таблица14[[#This Row],[коэф]]),
IF(OR(AND(G466="3/4",AM466&gt;0.5),AND(G466="2/4",AM466&gt;0.5)),(AM466*2*база!$I$4*Таблица14[[#This Row],[коэф]]),
IF(AND(G466="5/8",AM466&gt;0.5),(AM466*2*база!$J$6*Таблица14[[#This Row],[коэф]]),
IF(AND(G466="4/8",AM466&gt;0.5),(AM466*2*база!$J$5*Таблица14[[#This Row],[коэф]]),
IF(OR(AND(G466="3/8",AM466&gt;0.5),AND(G466="2/8",AM466&gt;0.5)),(AM466*2*база!$J$4*Таблица14[[#This Row],[коэф]]),
(AM466*0.5*база!$L$4*Таблица14[[#This Row],[коэф]]))))))))))))),
(IF(AND(G466="5/24",AM466&gt;0.5),(AM466*2*база!$M$6*Таблица14[[#This Row],[коэф]]),
IF(OR(AND(G466="4/24",AM466&gt;0.5),AND(G466="3/24",AM466&gt;0.5)),(AM466*2*база!$M$5*Таблица14[[#This Row],[коэф]]),
IF(AND(G466="5/16",AM466&gt;0.5),(AM466*2*база!$L$6*Таблица14[[#This Row],[коэф]]),
IF(OR(AND(G466="4/16",AM466&gt;0.5),AND(G466="3/16",AM466&gt;0.5)),(AM466*2*база!$L$5*Таблица14[[#This Row],[коэф]]),
IF(OR(AND(G466="4/4",AM466&gt;0.5),AND(G466="3/4",AM466&gt;2)),(AM466*2*база!$I$5*Таблица14[[#This Row],[коэф]]),
IF(AND(G466="5/8",AM466&gt;0.5),(AM466*2*база!$J$6*Таблица14[[#This Row],[коэф]]),
IF(AND(G466="4/8",AM466&gt;0.5),(AM466*2*база!$J$5*Таблица14[[#This Row],[коэф]]),
IF(OR(AND(G466="3/8",AM466&gt;0.5),AND(G466="2/8",AM466&gt;0.5)),(AM466*2*база!$J$4*Таблица14[[#This Row],[коэф]]),
(AM466*2*база!$L$5*Таблица14[[#This Row],[коэф]])))))))))))</f>
        <v>0</v>
      </c>
      <c r="AO466" s="684" t="str">
        <f>IFERROR(INDEX(база!$D$2:$D$120, MATCH(Таблица14[[#This Row],[Ф. И. О.]],база!$B$2:$B$100,0)),"")</f>
        <v/>
      </c>
    </row>
    <row r="467" spans="1:41">
      <c r="A467" s="207" t="str">
        <f t="shared" si="14"/>
        <v>январь</v>
      </c>
      <c r="B467" s="204">
        <v>2024</v>
      </c>
      <c r="C467" s="649"/>
      <c r="D467" s="682"/>
      <c r="E467" s="243"/>
      <c r="F467" s="685"/>
      <c r="G467" s="206"/>
      <c r="H467" s="683"/>
      <c r="I467" s="683"/>
      <c r="J467" s="683"/>
      <c r="K467" s="683"/>
      <c r="L467" s="683"/>
      <c r="M467" s="683"/>
      <c r="N467" s="683"/>
      <c r="O467" s="683"/>
      <c r="P467" s="683"/>
      <c r="Q467" s="683"/>
      <c r="R467" s="683"/>
      <c r="S467" s="683"/>
      <c r="T467" s="683"/>
      <c r="U467" s="683"/>
      <c r="V467" s="683"/>
      <c r="W467" s="683"/>
      <c r="X467" s="683"/>
      <c r="Y467" s="683"/>
      <c r="Z467" s="683"/>
      <c r="AA467" s="683"/>
      <c r="AB467" s="683"/>
      <c r="AC467" s="683"/>
      <c r="AD467" s="683"/>
      <c r="AE467" s="683"/>
      <c r="AF467" s="683"/>
      <c r="AG467" s="683"/>
      <c r="AH467" s="683"/>
      <c r="AI467" s="683"/>
      <c r="AJ467" s="683"/>
      <c r="AK467" s="683"/>
      <c r="AL467" s="683"/>
      <c r="AM467" s="121">
        <f t="shared" si="15"/>
        <v>0</v>
      </c>
      <c r="AN467" s="564">
        <f>IF(AO467&lt;=3,(IF(AND(G467="5/24",AM467&gt;0.5),(AM467*2*база!$M$6*Таблица14[[#This Row],[коэф]]),
IF(AND(G467="4/24",AM467&gt;0.5),(AM467*2*база!$M$5*Таблица14[[#This Row],[коэф]]),
IF(AND(G467="3/24",AM467&gt;0.5),(AM467*2*база!$M$4*Таблица14[[#This Row],[коэф]]),
IF(AND(G467="5/16",AM467&gt;0.5),(AM467*2*база!$L$6*Таблица14[[#This Row],[коэф]]),
IF(AND(G467="4/16",AM467&gt;0.5),(AM467*2*база!$L$5*Таблица14[[#This Row],[коэф]]),
IF(AND(G467="3/16",AM467&gt;0.5),(AM467*2*база!$L$4*Таблица14[[#This Row],[коэф]]),
IF(AND(G467="4/4",AM467&gt;0.5),(AM467*2*база!$I$5*Таблица14[[#This Row],[коэф]]),
IF(OR(AND(G467="3/4",AM467&gt;0.5),AND(G467="2/4",AM467&gt;0.5)),(AM467*2*база!$I$4*Таблица14[[#This Row],[коэф]]),
IF(AND(G467="5/8",AM467&gt;0.5),(AM467*2*база!$J$6*Таблица14[[#This Row],[коэф]]),
IF(AND(G467="4/8",AM467&gt;0.5),(AM467*2*база!$J$5*Таблица14[[#This Row],[коэф]]),
IF(OR(AND(G467="3/8",AM467&gt;0.5),AND(G467="2/8",AM467&gt;0.5)),(AM467*2*база!$J$4*Таблица14[[#This Row],[коэф]]),
(AM467*0.5*база!$L$4*Таблица14[[#This Row],[коэф]]))))))))))))),
(IF(AND(G467="5/24",AM467&gt;0.5),(AM467*2*база!$M$6*Таблица14[[#This Row],[коэф]]),
IF(OR(AND(G467="4/24",AM467&gt;0.5),AND(G467="3/24",AM467&gt;0.5)),(AM467*2*база!$M$5*Таблица14[[#This Row],[коэф]]),
IF(AND(G467="5/16",AM467&gt;0.5),(AM467*2*база!$L$6*Таблица14[[#This Row],[коэф]]),
IF(OR(AND(G467="4/16",AM467&gt;0.5),AND(G467="3/16",AM467&gt;0.5)),(AM467*2*база!$L$5*Таблица14[[#This Row],[коэф]]),
IF(OR(AND(G467="4/4",AM467&gt;0.5),AND(G467="3/4",AM467&gt;2)),(AM467*2*база!$I$5*Таблица14[[#This Row],[коэф]]),
IF(AND(G467="5/8",AM467&gt;0.5),(AM467*2*база!$J$6*Таблица14[[#This Row],[коэф]]),
IF(AND(G467="4/8",AM467&gt;0.5),(AM467*2*база!$J$5*Таблица14[[#This Row],[коэф]]),
IF(OR(AND(G467="3/8",AM467&gt;0.5),AND(G467="2/8",AM467&gt;0.5)),(AM467*2*база!$J$4*Таблица14[[#This Row],[коэф]]),
(AM467*2*база!$L$5*Таблица14[[#This Row],[коэф]])))))))))))</f>
        <v>0</v>
      </c>
      <c r="AO467" s="684" t="str">
        <f>IFERROR(INDEX(база!$D$2:$D$120, MATCH(Таблица14[[#This Row],[Ф. И. О.]],база!$B$2:$B$100,0)),"")</f>
        <v/>
      </c>
    </row>
    <row r="468" spans="1:41">
      <c r="A468" s="207" t="str">
        <f t="shared" si="14"/>
        <v>январь</v>
      </c>
      <c r="B468" s="240">
        <v>2024</v>
      </c>
      <c r="C468" s="649"/>
      <c r="D468" s="682"/>
      <c r="E468" s="243"/>
      <c r="F468" s="685"/>
      <c r="G468" s="242"/>
      <c r="H468" s="683"/>
      <c r="I468" s="683"/>
      <c r="J468" s="683"/>
      <c r="K468" s="683"/>
      <c r="L468" s="683"/>
      <c r="M468" s="683"/>
      <c r="N468" s="683"/>
      <c r="O468" s="683"/>
      <c r="P468" s="683"/>
      <c r="Q468" s="683"/>
      <c r="R468" s="683"/>
      <c r="S468" s="683"/>
      <c r="T468" s="683"/>
      <c r="U468" s="683"/>
      <c r="V468" s="683"/>
      <c r="W468" s="683"/>
      <c r="X468" s="683"/>
      <c r="Y468" s="683"/>
      <c r="Z468" s="683"/>
      <c r="AA468" s="683"/>
      <c r="AB468" s="683"/>
      <c r="AC468" s="683"/>
      <c r="AD468" s="683"/>
      <c r="AE468" s="683"/>
      <c r="AF468" s="683"/>
      <c r="AG468" s="683"/>
      <c r="AH468" s="683"/>
      <c r="AI468" s="683"/>
      <c r="AJ468" s="683"/>
      <c r="AK468" s="683"/>
      <c r="AL468" s="683"/>
      <c r="AM468" s="121">
        <f t="shared" si="15"/>
        <v>0</v>
      </c>
      <c r="AN468" s="564">
        <f>IF(AO468&lt;=3,(IF(AND(G468="5/24",AM468&gt;0.5),(AM468*2*база!$M$6*Таблица14[[#This Row],[коэф]]),
IF(AND(G468="4/24",AM468&gt;0.5),(AM468*2*база!$M$5*Таблица14[[#This Row],[коэф]]),
IF(AND(G468="3/24",AM468&gt;0.5),(AM468*2*база!$M$4*Таблица14[[#This Row],[коэф]]),
IF(AND(G468="5/16",AM468&gt;0.5),(AM468*2*база!$L$6*Таблица14[[#This Row],[коэф]]),
IF(AND(G468="4/16",AM468&gt;0.5),(AM468*2*база!$L$5*Таблица14[[#This Row],[коэф]]),
IF(AND(G468="3/16",AM468&gt;0.5),(AM468*2*база!$L$4*Таблица14[[#This Row],[коэф]]),
IF(AND(G468="4/4",AM468&gt;0.5),(AM468*2*база!$I$5*Таблица14[[#This Row],[коэф]]),
IF(OR(AND(G468="3/4",AM468&gt;0.5),AND(G468="2/4",AM468&gt;0.5)),(AM468*2*база!$I$4*Таблица14[[#This Row],[коэф]]),
IF(AND(G468="5/8",AM468&gt;0.5),(AM468*2*база!$J$6*Таблица14[[#This Row],[коэф]]),
IF(AND(G468="4/8",AM468&gt;0.5),(AM468*2*база!$J$5*Таблица14[[#This Row],[коэф]]),
IF(OR(AND(G468="3/8",AM468&gt;0.5),AND(G468="2/8",AM468&gt;0.5)),(AM468*2*база!$J$4*Таблица14[[#This Row],[коэф]]),
(AM468*0.5*база!$L$4*Таблица14[[#This Row],[коэф]]))))))))))))),
(IF(AND(G468="5/24",AM468&gt;0.5),(AM468*2*база!$M$6*Таблица14[[#This Row],[коэф]]),
IF(OR(AND(G468="4/24",AM468&gt;0.5),AND(G468="3/24",AM468&gt;0.5)),(AM468*2*база!$M$5*Таблица14[[#This Row],[коэф]]),
IF(AND(G468="5/16",AM468&gt;0.5),(AM468*2*база!$L$6*Таблица14[[#This Row],[коэф]]),
IF(OR(AND(G468="4/16",AM468&gt;0.5),AND(G468="3/16",AM468&gt;0.5)),(AM468*2*база!$L$5*Таблица14[[#This Row],[коэф]]),
IF(OR(AND(G468="4/4",AM468&gt;0.5),AND(G468="3/4",AM468&gt;2)),(AM468*2*база!$I$5*Таблица14[[#This Row],[коэф]]),
IF(AND(G468="5/8",AM468&gt;0.5),(AM468*2*база!$J$6*Таблица14[[#This Row],[коэф]]),
IF(AND(G468="4/8",AM468&gt;0.5),(AM468*2*база!$J$5*Таблица14[[#This Row],[коэф]]),
IF(OR(AND(G468="3/8",AM468&gt;0.5),AND(G468="2/8",AM468&gt;0.5)),(AM468*2*база!$J$4*Таблица14[[#This Row],[коэф]]),
(AM468*2*база!$L$5*Таблица14[[#This Row],[коэф]])))))))))))</f>
        <v>0</v>
      </c>
      <c r="AO468" s="684" t="str">
        <f>IFERROR(INDEX(база!$D$2:$D$120, MATCH(Таблица14[[#This Row],[Ф. И. О.]],база!$B$2:$B$100,0)),"")</f>
        <v/>
      </c>
    </row>
    <row r="469" spans="1:41">
      <c r="A469" s="207" t="str">
        <f t="shared" si="14"/>
        <v>январь</v>
      </c>
      <c r="B469" s="204">
        <v>2024</v>
      </c>
      <c r="C469" s="649"/>
      <c r="D469" s="682"/>
      <c r="E469" s="243"/>
      <c r="F469" s="685"/>
      <c r="G469" s="206"/>
      <c r="H469" s="683"/>
      <c r="I469" s="683"/>
      <c r="J469" s="683"/>
      <c r="K469" s="683"/>
      <c r="L469" s="683"/>
      <c r="M469" s="683"/>
      <c r="N469" s="683"/>
      <c r="O469" s="683"/>
      <c r="P469" s="683"/>
      <c r="Q469" s="683"/>
      <c r="R469" s="683"/>
      <c r="S469" s="683"/>
      <c r="T469" s="683"/>
      <c r="U469" s="683"/>
      <c r="V469" s="683"/>
      <c r="W469" s="683"/>
      <c r="X469" s="683"/>
      <c r="Y469" s="683"/>
      <c r="Z469" s="683"/>
      <c r="AA469" s="683"/>
      <c r="AB469" s="683"/>
      <c r="AC469" s="683"/>
      <c r="AD469" s="683"/>
      <c r="AE469" s="683"/>
      <c r="AF469" s="683"/>
      <c r="AG469" s="683"/>
      <c r="AH469" s="683"/>
      <c r="AI469" s="683"/>
      <c r="AJ469" s="683"/>
      <c r="AK469" s="683"/>
      <c r="AL469" s="683"/>
      <c r="AM469" s="121">
        <f t="shared" si="15"/>
        <v>0</v>
      </c>
      <c r="AN469" s="564">
        <f>IF(AO469&lt;=3,(IF(AND(G469="5/24",AM469&gt;0.5),(AM469*2*база!$M$6*Таблица14[[#This Row],[коэф]]),
IF(AND(G469="4/24",AM469&gt;0.5),(AM469*2*база!$M$5*Таблица14[[#This Row],[коэф]]),
IF(AND(G469="3/24",AM469&gt;0.5),(AM469*2*база!$M$4*Таблица14[[#This Row],[коэф]]),
IF(AND(G469="5/16",AM469&gt;0.5),(AM469*2*база!$L$6*Таблица14[[#This Row],[коэф]]),
IF(AND(G469="4/16",AM469&gt;0.5),(AM469*2*база!$L$5*Таблица14[[#This Row],[коэф]]),
IF(AND(G469="3/16",AM469&gt;0.5),(AM469*2*база!$L$4*Таблица14[[#This Row],[коэф]]),
IF(AND(G469="4/4",AM469&gt;0.5),(AM469*2*база!$I$5*Таблица14[[#This Row],[коэф]]),
IF(OR(AND(G469="3/4",AM469&gt;0.5),AND(G469="2/4",AM469&gt;0.5)),(AM469*2*база!$I$4*Таблица14[[#This Row],[коэф]]),
IF(AND(G469="5/8",AM469&gt;0.5),(AM469*2*база!$J$6*Таблица14[[#This Row],[коэф]]),
IF(AND(G469="4/8",AM469&gt;0.5),(AM469*2*база!$J$5*Таблица14[[#This Row],[коэф]]),
IF(OR(AND(G469="3/8",AM469&gt;0.5),AND(G469="2/8",AM469&gt;0.5)),(AM469*2*база!$J$4*Таблица14[[#This Row],[коэф]]),
(AM469*0.5*база!$L$4*Таблица14[[#This Row],[коэф]]))))))))))))),
(IF(AND(G469="5/24",AM469&gt;0.5),(AM469*2*база!$M$6*Таблица14[[#This Row],[коэф]]),
IF(OR(AND(G469="4/24",AM469&gt;0.5),AND(G469="3/24",AM469&gt;0.5)),(AM469*2*база!$M$5*Таблица14[[#This Row],[коэф]]),
IF(AND(G469="5/16",AM469&gt;0.5),(AM469*2*база!$L$6*Таблица14[[#This Row],[коэф]]),
IF(OR(AND(G469="4/16",AM469&gt;0.5),AND(G469="3/16",AM469&gt;0.5)),(AM469*2*база!$L$5*Таблица14[[#This Row],[коэф]]),
IF(OR(AND(G469="4/4",AM469&gt;0.5),AND(G469="3/4",AM469&gt;2)),(AM469*2*база!$I$5*Таблица14[[#This Row],[коэф]]),
IF(AND(G469="5/8",AM469&gt;0.5),(AM469*2*база!$J$6*Таблица14[[#This Row],[коэф]]),
IF(AND(G469="4/8",AM469&gt;0.5),(AM469*2*база!$J$5*Таблица14[[#This Row],[коэф]]),
IF(OR(AND(G469="3/8",AM469&gt;0.5),AND(G469="2/8",AM469&gt;0.5)),(AM469*2*база!$J$4*Таблица14[[#This Row],[коэф]]),
(AM469*2*база!$L$5*Таблица14[[#This Row],[коэф]])))))))))))</f>
        <v>0</v>
      </c>
      <c r="AO469" s="684" t="str">
        <f>IFERROR(INDEX(база!$D$2:$D$120, MATCH(Таблица14[[#This Row],[Ф. И. О.]],база!$B$2:$B$100,0)),"")</f>
        <v/>
      </c>
    </row>
    <row r="470" spans="1:41">
      <c r="A470" s="207" t="str">
        <f t="shared" si="14"/>
        <v>январь</v>
      </c>
      <c r="B470" s="240">
        <v>2024</v>
      </c>
      <c r="C470" s="649"/>
      <c r="D470" s="682"/>
      <c r="E470" s="243"/>
      <c r="F470" s="685"/>
      <c r="G470" s="242"/>
      <c r="H470" s="683"/>
      <c r="I470" s="683"/>
      <c r="J470" s="683"/>
      <c r="K470" s="683"/>
      <c r="L470" s="683"/>
      <c r="M470" s="683"/>
      <c r="N470" s="683"/>
      <c r="O470" s="683"/>
      <c r="P470" s="683"/>
      <c r="Q470" s="683"/>
      <c r="R470" s="683"/>
      <c r="S470" s="683"/>
      <c r="T470" s="683"/>
      <c r="U470" s="683"/>
      <c r="V470" s="683"/>
      <c r="W470" s="683"/>
      <c r="X470" s="683"/>
      <c r="Y470" s="683"/>
      <c r="Z470" s="683"/>
      <c r="AA470" s="683"/>
      <c r="AB470" s="683"/>
      <c r="AC470" s="683"/>
      <c r="AD470" s="683"/>
      <c r="AE470" s="683"/>
      <c r="AF470" s="683"/>
      <c r="AG470" s="683"/>
      <c r="AH470" s="683"/>
      <c r="AI470" s="683"/>
      <c r="AJ470" s="683"/>
      <c r="AK470" s="683"/>
      <c r="AL470" s="683"/>
      <c r="AM470" s="121">
        <f t="shared" si="15"/>
        <v>0</v>
      </c>
      <c r="AN470" s="564">
        <f>IF(AO470&lt;=3,(IF(AND(G470="5/24",AM470&gt;0.5),(AM470*2*база!$M$6*Таблица14[[#This Row],[коэф]]),
IF(AND(G470="4/24",AM470&gt;0.5),(AM470*2*база!$M$5*Таблица14[[#This Row],[коэф]]),
IF(AND(G470="3/24",AM470&gt;0.5),(AM470*2*база!$M$4*Таблица14[[#This Row],[коэф]]),
IF(AND(G470="5/16",AM470&gt;0.5),(AM470*2*база!$L$6*Таблица14[[#This Row],[коэф]]),
IF(AND(G470="4/16",AM470&gt;0.5),(AM470*2*база!$L$5*Таблица14[[#This Row],[коэф]]),
IF(AND(G470="3/16",AM470&gt;0.5),(AM470*2*база!$L$4*Таблица14[[#This Row],[коэф]]),
IF(AND(G470="4/4",AM470&gt;0.5),(AM470*2*база!$I$5*Таблица14[[#This Row],[коэф]]),
IF(OR(AND(G470="3/4",AM470&gt;0.5),AND(G470="2/4",AM470&gt;0.5)),(AM470*2*база!$I$4*Таблица14[[#This Row],[коэф]]),
IF(AND(G470="5/8",AM470&gt;0.5),(AM470*2*база!$J$6*Таблица14[[#This Row],[коэф]]),
IF(AND(G470="4/8",AM470&gt;0.5),(AM470*2*база!$J$5*Таблица14[[#This Row],[коэф]]),
IF(OR(AND(G470="3/8",AM470&gt;0.5),AND(G470="2/8",AM470&gt;0.5)),(AM470*2*база!$J$4*Таблица14[[#This Row],[коэф]]),
(AM470*0.5*база!$L$4*Таблица14[[#This Row],[коэф]]))))))))))))),
(IF(AND(G470="5/24",AM470&gt;0.5),(AM470*2*база!$M$6*Таблица14[[#This Row],[коэф]]),
IF(OR(AND(G470="4/24",AM470&gt;0.5),AND(G470="3/24",AM470&gt;0.5)),(AM470*2*база!$M$5*Таблица14[[#This Row],[коэф]]),
IF(AND(G470="5/16",AM470&gt;0.5),(AM470*2*база!$L$6*Таблица14[[#This Row],[коэф]]),
IF(OR(AND(G470="4/16",AM470&gt;0.5),AND(G470="3/16",AM470&gt;0.5)),(AM470*2*база!$L$5*Таблица14[[#This Row],[коэф]]),
IF(OR(AND(G470="4/4",AM470&gt;0.5),AND(G470="3/4",AM470&gt;2)),(AM470*2*база!$I$5*Таблица14[[#This Row],[коэф]]),
IF(AND(G470="5/8",AM470&gt;0.5),(AM470*2*база!$J$6*Таблица14[[#This Row],[коэф]]),
IF(AND(G470="4/8",AM470&gt;0.5),(AM470*2*база!$J$5*Таблица14[[#This Row],[коэф]]),
IF(OR(AND(G470="3/8",AM470&gt;0.5),AND(G470="2/8",AM470&gt;0.5)),(AM470*2*база!$J$4*Таблица14[[#This Row],[коэф]]),
(AM470*2*база!$L$5*Таблица14[[#This Row],[коэф]])))))))))))</f>
        <v>0</v>
      </c>
      <c r="AO470" s="684" t="str">
        <f>IFERROR(INDEX(база!$D$2:$D$120, MATCH(Таблица14[[#This Row],[Ф. И. О.]],база!$B$2:$B$100,0)),"")</f>
        <v/>
      </c>
    </row>
    <row r="471" spans="1:41">
      <c r="A471" s="207" t="str">
        <f t="shared" si="14"/>
        <v>январь</v>
      </c>
      <c r="B471" s="204">
        <v>2024</v>
      </c>
      <c r="C471" s="649"/>
      <c r="D471" s="682"/>
      <c r="E471" s="243"/>
      <c r="F471" s="685"/>
      <c r="G471" s="206"/>
      <c r="H471" s="683"/>
      <c r="I471" s="683"/>
      <c r="J471" s="683"/>
      <c r="K471" s="683"/>
      <c r="L471" s="683"/>
      <c r="M471" s="683"/>
      <c r="N471" s="683"/>
      <c r="O471" s="683"/>
      <c r="P471" s="683"/>
      <c r="Q471" s="683"/>
      <c r="R471" s="683"/>
      <c r="S471" s="683"/>
      <c r="T471" s="683"/>
      <c r="U471" s="683"/>
      <c r="V471" s="683"/>
      <c r="W471" s="683"/>
      <c r="X471" s="683"/>
      <c r="Y471" s="683"/>
      <c r="Z471" s="683"/>
      <c r="AA471" s="683"/>
      <c r="AB471" s="683"/>
      <c r="AC471" s="683"/>
      <c r="AD471" s="683"/>
      <c r="AE471" s="683"/>
      <c r="AF471" s="683"/>
      <c r="AG471" s="683"/>
      <c r="AH471" s="683"/>
      <c r="AI471" s="683"/>
      <c r="AJ471" s="683"/>
      <c r="AK471" s="683"/>
      <c r="AL471" s="683"/>
      <c r="AM471" s="121">
        <f t="shared" si="15"/>
        <v>0</v>
      </c>
      <c r="AN471" s="564">
        <f>IF(AO471&lt;=3,(IF(AND(G471="5/24",AM471&gt;0.5),(AM471*2*база!$M$6*Таблица14[[#This Row],[коэф]]),
IF(AND(G471="4/24",AM471&gt;0.5),(AM471*2*база!$M$5*Таблица14[[#This Row],[коэф]]),
IF(AND(G471="3/24",AM471&gt;0.5),(AM471*2*база!$M$4*Таблица14[[#This Row],[коэф]]),
IF(AND(G471="5/16",AM471&gt;0.5),(AM471*2*база!$L$6*Таблица14[[#This Row],[коэф]]),
IF(AND(G471="4/16",AM471&gt;0.5),(AM471*2*база!$L$5*Таблица14[[#This Row],[коэф]]),
IF(AND(G471="3/16",AM471&gt;0.5),(AM471*2*база!$L$4*Таблица14[[#This Row],[коэф]]),
IF(AND(G471="4/4",AM471&gt;0.5),(AM471*2*база!$I$5*Таблица14[[#This Row],[коэф]]),
IF(OR(AND(G471="3/4",AM471&gt;0.5),AND(G471="2/4",AM471&gt;0.5)),(AM471*2*база!$I$4*Таблица14[[#This Row],[коэф]]),
IF(AND(G471="5/8",AM471&gt;0.5),(AM471*2*база!$J$6*Таблица14[[#This Row],[коэф]]),
IF(AND(G471="4/8",AM471&gt;0.5),(AM471*2*база!$J$5*Таблица14[[#This Row],[коэф]]),
IF(OR(AND(G471="3/8",AM471&gt;0.5),AND(G471="2/8",AM471&gt;0.5)),(AM471*2*база!$J$4*Таблица14[[#This Row],[коэф]]),
(AM471*0.5*база!$L$4*Таблица14[[#This Row],[коэф]]))))))))))))),
(IF(AND(G471="5/24",AM471&gt;0.5),(AM471*2*база!$M$6*Таблица14[[#This Row],[коэф]]),
IF(OR(AND(G471="4/24",AM471&gt;0.5),AND(G471="3/24",AM471&gt;0.5)),(AM471*2*база!$M$5*Таблица14[[#This Row],[коэф]]),
IF(AND(G471="5/16",AM471&gt;0.5),(AM471*2*база!$L$6*Таблица14[[#This Row],[коэф]]),
IF(OR(AND(G471="4/16",AM471&gt;0.5),AND(G471="3/16",AM471&gt;0.5)),(AM471*2*база!$L$5*Таблица14[[#This Row],[коэф]]),
IF(OR(AND(G471="4/4",AM471&gt;0.5),AND(G471="3/4",AM471&gt;2)),(AM471*2*база!$I$5*Таблица14[[#This Row],[коэф]]),
IF(AND(G471="5/8",AM471&gt;0.5),(AM471*2*база!$J$6*Таблица14[[#This Row],[коэф]]),
IF(AND(G471="4/8",AM471&gt;0.5),(AM471*2*база!$J$5*Таблица14[[#This Row],[коэф]]),
IF(OR(AND(G471="3/8",AM471&gt;0.5),AND(G471="2/8",AM471&gt;0.5)),(AM471*2*база!$J$4*Таблица14[[#This Row],[коэф]]),
(AM471*2*база!$L$5*Таблица14[[#This Row],[коэф]])))))))))))</f>
        <v>0</v>
      </c>
      <c r="AO471" s="684" t="str">
        <f>IFERROR(INDEX(база!$D$2:$D$120, MATCH(Таблица14[[#This Row],[Ф. И. О.]],база!$B$2:$B$100,0)),"")</f>
        <v/>
      </c>
    </row>
    <row r="472" spans="1:41">
      <c r="A472" s="207" t="str">
        <f t="shared" si="14"/>
        <v>январь</v>
      </c>
      <c r="B472" s="240">
        <v>2024</v>
      </c>
      <c r="C472" s="649"/>
      <c r="D472" s="682"/>
      <c r="E472" s="243"/>
      <c r="F472" s="685"/>
      <c r="G472" s="242"/>
      <c r="H472" s="683"/>
      <c r="I472" s="683"/>
      <c r="J472" s="683"/>
      <c r="K472" s="683"/>
      <c r="L472" s="683"/>
      <c r="M472" s="683"/>
      <c r="N472" s="683"/>
      <c r="O472" s="683"/>
      <c r="P472" s="683"/>
      <c r="Q472" s="683"/>
      <c r="R472" s="683"/>
      <c r="S472" s="683"/>
      <c r="T472" s="683"/>
      <c r="U472" s="683"/>
      <c r="V472" s="683"/>
      <c r="W472" s="683"/>
      <c r="X472" s="683"/>
      <c r="Y472" s="683"/>
      <c r="Z472" s="683"/>
      <c r="AA472" s="683"/>
      <c r="AB472" s="683"/>
      <c r="AC472" s="683"/>
      <c r="AD472" s="683"/>
      <c r="AE472" s="683"/>
      <c r="AF472" s="683"/>
      <c r="AG472" s="683"/>
      <c r="AH472" s="683"/>
      <c r="AI472" s="683"/>
      <c r="AJ472" s="683"/>
      <c r="AK472" s="683"/>
      <c r="AL472" s="683"/>
      <c r="AM472" s="121">
        <f t="shared" si="15"/>
        <v>0</v>
      </c>
      <c r="AN472" s="564">
        <f>IF(AO472&lt;=3,(IF(AND(G472="5/24",AM472&gt;0.5),(AM472*2*база!$M$6*Таблица14[[#This Row],[коэф]]),
IF(AND(G472="4/24",AM472&gt;0.5),(AM472*2*база!$M$5*Таблица14[[#This Row],[коэф]]),
IF(AND(G472="3/24",AM472&gt;0.5),(AM472*2*база!$M$4*Таблица14[[#This Row],[коэф]]),
IF(AND(G472="5/16",AM472&gt;0.5),(AM472*2*база!$L$6*Таблица14[[#This Row],[коэф]]),
IF(AND(G472="4/16",AM472&gt;0.5),(AM472*2*база!$L$5*Таблица14[[#This Row],[коэф]]),
IF(AND(G472="3/16",AM472&gt;0.5),(AM472*2*база!$L$4*Таблица14[[#This Row],[коэф]]),
IF(AND(G472="4/4",AM472&gt;0.5),(AM472*2*база!$I$5*Таблица14[[#This Row],[коэф]]),
IF(OR(AND(G472="3/4",AM472&gt;0.5),AND(G472="2/4",AM472&gt;0.5)),(AM472*2*база!$I$4*Таблица14[[#This Row],[коэф]]),
IF(AND(G472="5/8",AM472&gt;0.5),(AM472*2*база!$J$6*Таблица14[[#This Row],[коэф]]),
IF(AND(G472="4/8",AM472&gt;0.5),(AM472*2*база!$J$5*Таблица14[[#This Row],[коэф]]),
IF(OR(AND(G472="3/8",AM472&gt;0.5),AND(G472="2/8",AM472&gt;0.5)),(AM472*2*база!$J$4*Таблица14[[#This Row],[коэф]]),
(AM472*0.5*база!$L$4*Таблица14[[#This Row],[коэф]]))))))))))))),
(IF(AND(G472="5/24",AM472&gt;0.5),(AM472*2*база!$M$6*Таблица14[[#This Row],[коэф]]),
IF(OR(AND(G472="4/24",AM472&gt;0.5),AND(G472="3/24",AM472&gt;0.5)),(AM472*2*база!$M$5*Таблица14[[#This Row],[коэф]]),
IF(AND(G472="5/16",AM472&gt;0.5),(AM472*2*база!$L$6*Таблица14[[#This Row],[коэф]]),
IF(OR(AND(G472="4/16",AM472&gt;0.5),AND(G472="3/16",AM472&gt;0.5)),(AM472*2*база!$L$5*Таблица14[[#This Row],[коэф]]),
IF(OR(AND(G472="4/4",AM472&gt;0.5),AND(G472="3/4",AM472&gt;2)),(AM472*2*база!$I$5*Таблица14[[#This Row],[коэф]]),
IF(AND(G472="5/8",AM472&gt;0.5),(AM472*2*база!$J$6*Таблица14[[#This Row],[коэф]]),
IF(AND(G472="4/8",AM472&gt;0.5),(AM472*2*база!$J$5*Таблица14[[#This Row],[коэф]]),
IF(OR(AND(G472="3/8",AM472&gt;0.5),AND(G472="2/8",AM472&gt;0.5)),(AM472*2*база!$J$4*Таблица14[[#This Row],[коэф]]),
(AM472*2*база!$L$5*Таблица14[[#This Row],[коэф]])))))))))))</f>
        <v>0</v>
      </c>
      <c r="AO472" s="684" t="str">
        <f>IFERROR(INDEX(база!$D$2:$D$120, MATCH(Таблица14[[#This Row],[Ф. И. О.]],база!$B$2:$B$100,0)),"")</f>
        <v/>
      </c>
    </row>
    <row r="473" spans="1:41">
      <c r="A473" s="207" t="str">
        <f t="shared" si="14"/>
        <v>январь</v>
      </c>
      <c r="B473" s="204">
        <v>2024</v>
      </c>
      <c r="C473" s="649"/>
      <c r="D473" s="682"/>
      <c r="E473" s="243"/>
      <c r="F473" s="685"/>
      <c r="G473" s="206"/>
      <c r="H473" s="683"/>
      <c r="I473" s="683"/>
      <c r="J473" s="683"/>
      <c r="K473" s="683"/>
      <c r="L473" s="683"/>
      <c r="M473" s="683"/>
      <c r="N473" s="683"/>
      <c r="O473" s="683"/>
      <c r="P473" s="683"/>
      <c r="Q473" s="683"/>
      <c r="R473" s="683"/>
      <c r="S473" s="683"/>
      <c r="T473" s="683"/>
      <c r="U473" s="683"/>
      <c r="V473" s="683"/>
      <c r="W473" s="683"/>
      <c r="X473" s="683"/>
      <c r="Y473" s="683"/>
      <c r="Z473" s="683"/>
      <c r="AA473" s="683"/>
      <c r="AB473" s="683"/>
      <c r="AC473" s="683"/>
      <c r="AD473" s="683"/>
      <c r="AE473" s="683"/>
      <c r="AF473" s="683"/>
      <c r="AG473" s="683"/>
      <c r="AH473" s="683"/>
      <c r="AI473" s="683"/>
      <c r="AJ473" s="683"/>
      <c r="AK473" s="683"/>
      <c r="AL473" s="683"/>
      <c r="AM473" s="121">
        <f t="shared" si="15"/>
        <v>0</v>
      </c>
      <c r="AN473" s="564">
        <f>IF(AO473&lt;=3,(IF(AND(G473="5/24",AM473&gt;0.5),(AM473*2*база!$M$6*Таблица14[[#This Row],[коэф]]),
IF(AND(G473="4/24",AM473&gt;0.5),(AM473*2*база!$M$5*Таблица14[[#This Row],[коэф]]),
IF(AND(G473="3/24",AM473&gt;0.5),(AM473*2*база!$M$4*Таблица14[[#This Row],[коэф]]),
IF(AND(G473="5/16",AM473&gt;0.5),(AM473*2*база!$L$6*Таблица14[[#This Row],[коэф]]),
IF(AND(G473="4/16",AM473&gt;0.5),(AM473*2*база!$L$5*Таблица14[[#This Row],[коэф]]),
IF(AND(G473="3/16",AM473&gt;0.5),(AM473*2*база!$L$4*Таблица14[[#This Row],[коэф]]),
IF(AND(G473="4/4",AM473&gt;0.5),(AM473*2*база!$I$5*Таблица14[[#This Row],[коэф]]),
IF(OR(AND(G473="3/4",AM473&gt;0.5),AND(G473="2/4",AM473&gt;0.5)),(AM473*2*база!$I$4*Таблица14[[#This Row],[коэф]]),
IF(AND(G473="5/8",AM473&gt;0.5),(AM473*2*база!$J$6*Таблица14[[#This Row],[коэф]]),
IF(AND(G473="4/8",AM473&gt;0.5),(AM473*2*база!$J$5*Таблица14[[#This Row],[коэф]]),
IF(OR(AND(G473="3/8",AM473&gt;0.5),AND(G473="2/8",AM473&gt;0.5)),(AM473*2*база!$J$4*Таблица14[[#This Row],[коэф]]),
(AM473*0.5*база!$L$4*Таблица14[[#This Row],[коэф]]))))))))))))),
(IF(AND(G473="5/24",AM473&gt;0.5),(AM473*2*база!$M$6*Таблица14[[#This Row],[коэф]]),
IF(OR(AND(G473="4/24",AM473&gt;0.5),AND(G473="3/24",AM473&gt;0.5)),(AM473*2*база!$M$5*Таблица14[[#This Row],[коэф]]),
IF(AND(G473="5/16",AM473&gt;0.5),(AM473*2*база!$L$6*Таблица14[[#This Row],[коэф]]),
IF(OR(AND(G473="4/16",AM473&gt;0.5),AND(G473="3/16",AM473&gt;0.5)),(AM473*2*база!$L$5*Таблица14[[#This Row],[коэф]]),
IF(OR(AND(G473="4/4",AM473&gt;0.5),AND(G473="3/4",AM473&gt;2)),(AM473*2*база!$I$5*Таблица14[[#This Row],[коэф]]),
IF(AND(G473="5/8",AM473&gt;0.5),(AM473*2*база!$J$6*Таблица14[[#This Row],[коэф]]),
IF(AND(G473="4/8",AM473&gt;0.5),(AM473*2*база!$J$5*Таблица14[[#This Row],[коэф]]),
IF(OR(AND(G473="3/8",AM473&gt;0.5),AND(G473="2/8",AM473&gt;0.5)),(AM473*2*база!$J$4*Таблица14[[#This Row],[коэф]]),
(AM473*2*база!$L$5*Таблица14[[#This Row],[коэф]])))))))))))</f>
        <v>0</v>
      </c>
      <c r="AO473" s="684" t="str">
        <f>IFERROR(INDEX(база!$D$2:$D$120, MATCH(Таблица14[[#This Row],[Ф. И. О.]],база!$B$2:$B$100,0)),"")</f>
        <v/>
      </c>
    </row>
    <row r="474" spans="1:41">
      <c r="A474" s="207" t="str">
        <f t="shared" si="14"/>
        <v>январь</v>
      </c>
      <c r="B474" s="240">
        <v>2024</v>
      </c>
      <c r="C474" s="649"/>
      <c r="D474" s="682"/>
      <c r="E474" s="243"/>
      <c r="F474" s="685"/>
      <c r="G474" s="242"/>
      <c r="H474" s="683"/>
      <c r="I474" s="683"/>
      <c r="J474" s="683"/>
      <c r="K474" s="683"/>
      <c r="L474" s="683"/>
      <c r="M474" s="683"/>
      <c r="N474" s="683"/>
      <c r="O474" s="683"/>
      <c r="P474" s="683"/>
      <c r="Q474" s="683"/>
      <c r="R474" s="683"/>
      <c r="S474" s="683"/>
      <c r="T474" s="683"/>
      <c r="U474" s="683"/>
      <c r="V474" s="683"/>
      <c r="W474" s="683"/>
      <c r="X474" s="683"/>
      <c r="Y474" s="683"/>
      <c r="Z474" s="683"/>
      <c r="AA474" s="683"/>
      <c r="AB474" s="683"/>
      <c r="AC474" s="683"/>
      <c r="AD474" s="683"/>
      <c r="AE474" s="683"/>
      <c r="AF474" s="683"/>
      <c r="AG474" s="683"/>
      <c r="AH474" s="683"/>
      <c r="AI474" s="683"/>
      <c r="AJ474" s="683"/>
      <c r="AK474" s="683"/>
      <c r="AL474" s="683"/>
      <c r="AM474" s="121">
        <f t="shared" si="15"/>
        <v>0</v>
      </c>
      <c r="AN474" s="564">
        <f>IF(AO474&lt;=3,(IF(AND(G474="5/24",AM474&gt;0.5),(AM474*2*база!$M$6*Таблица14[[#This Row],[коэф]]),
IF(AND(G474="4/24",AM474&gt;0.5),(AM474*2*база!$M$5*Таблица14[[#This Row],[коэф]]),
IF(AND(G474="3/24",AM474&gt;0.5),(AM474*2*база!$M$4*Таблица14[[#This Row],[коэф]]),
IF(AND(G474="5/16",AM474&gt;0.5),(AM474*2*база!$L$6*Таблица14[[#This Row],[коэф]]),
IF(AND(G474="4/16",AM474&gt;0.5),(AM474*2*база!$L$5*Таблица14[[#This Row],[коэф]]),
IF(AND(G474="3/16",AM474&gt;0.5),(AM474*2*база!$L$4*Таблица14[[#This Row],[коэф]]),
IF(AND(G474="4/4",AM474&gt;0.5),(AM474*2*база!$I$5*Таблица14[[#This Row],[коэф]]),
IF(OR(AND(G474="3/4",AM474&gt;0.5),AND(G474="2/4",AM474&gt;0.5)),(AM474*2*база!$I$4*Таблица14[[#This Row],[коэф]]),
IF(AND(G474="5/8",AM474&gt;0.5),(AM474*2*база!$J$6*Таблица14[[#This Row],[коэф]]),
IF(AND(G474="4/8",AM474&gt;0.5),(AM474*2*база!$J$5*Таблица14[[#This Row],[коэф]]),
IF(OR(AND(G474="3/8",AM474&gt;0.5),AND(G474="2/8",AM474&gt;0.5)),(AM474*2*база!$J$4*Таблица14[[#This Row],[коэф]]),
(AM474*0.5*база!$L$4*Таблица14[[#This Row],[коэф]]))))))))))))),
(IF(AND(G474="5/24",AM474&gt;0.5),(AM474*2*база!$M$6*Таблица14[[#This Row],[коэф]]),
IF(OR(AND(G474="4/24",AM474&gt;0.5),AND(G474="3/24",AM474&gt;0.5)),(AM474*2*база!$M$5*Таблица14[[#This Row],[коэф]]),
IF(AND(G474="5/16",AM474&gt;0.5),(AM474*2*база!$L$6*Таблица14[[#This Row],[коэф]]),
IF(OR(AND(G474="4/16",AM474&gt;0.5),AND(G474="3/16",AM474&gt;0.5)),(AM474*2*база!$L$5*Таблица14[[#This Row],[коэф]]),
IF(OR(AND(G474="4/4",AM474&gt;0.5),AND(G474="3/4",AM474&gt;2)),(AM474*2*база!$I$5*Таблица14[[#This Row],[коэф]]),
IF(AND(G474="5/8",AM474&gt;0.5),(AM474*2*база!$J$6*Таблица14[[#This Row],[коэф]]),
IF(AND(G474="4/8",AM474&gt;0.5),(AM474*2*база!$J$5*Таблица14[[#This Row],[коэф]]),
IF(OR(AND(G474="3/8",AM474&gt;0.5),AND(G474="2/8",AM474&gt;0.5)),(AM474*2*база!$J$4*Таблица14[[#This Row],[коэф]]),
(AM474*2*база!$L$5*Таблица14[[#This Row],[коэф]])))))))))))</f>
        <v>0</v>
      </c>
      <c r="AO474" s="684" t="str">
        <f>IFERROR(INDEX(база!$D$2:$D$120, MATCH(Таблица14[[#This Row],[Ф. И. О.]],база!$B$2:$B$100,0)),"")</f>
        <v/>
      </c>
    </row>
    <row r="475" spans="1:41">
      <c r="A475" s="207" t="str">
        <f t="shared" si="14"/>
        <v>январь</v>
      </c>
      <c r="B475" s="204">
        <v>2024</v>
      </c>
      <c r="C475" s="649"/>
      <c r="D475" s="682"/>
      <c r="E475" s="243"/>
      <c r="F475" s="685"/>
      <c r="G475" s="206"/>
      <c r="H475" s="683"/>
      <c r="I475" s="683"/>
      <c r="J475" s="683"/>
      <c r="K475" s="683"/>
      <c r="L475" s="683"/>
      <c r="M475" s="683"/>
      <c r="N475" s="683"/>
      <c r="O475" s="683"/>
      <c r="P475" s="683"/>
      <c r="Q475" s="683"/>
      <c r="R475" s="683"/>
      <c r="S475" s="683"/>
      <c r="T475" s="683"/>
      <c r="U475" s="683"/>
      <c r="V475" s="683"/>
      <c r="W475" s="683"/>
      <c r="X475" s="683"/>
      <c r="Y475" s="683"/>
      <c r="Z475" s="683"/>
      <c r="AA475" s="683"/>
      <c r="AB475" s="683"/>
      <c r="AC475" s="683"/>
      <c r="AD475" s="683"/>
      <c r="AE475" s="683"/>
      <c r="AF475" s="683"/>
      <c r="AG475" s="683"/>
      <c r="AH475" s="683"/>
      <c r="AI475" s="683"/>
      <c r="AJ475" s="683"/>
      <c r="AK475" s="683"/>
      <c r="AL475" s="683"/>
      <c r="AM475" s="121">
        <f t="shared" si="15"/>
        <v>0</v>
      </c>
      <c r="AN475" s="564">
        <f>IF(AO475&lt;=3,(IF(AND(G475="5/24",AM475&gt;0.5),(AM475*2*база!$M$6*Таблица14[[#This Row],[коэф]]),
IF(AND(G475="4/24",AM475&gt;0.5),(AM475*2*база!$M$5*Таблица14[[#This Row],[коэф]]),
IF(AND(G475="3/24",AM475&gt;0.5),(AM475*2*база!$M$4*Таблица14[[#This Row],[коэф]]),
IF(AND(G475="5/16",AM475&gt;0.5),(AM475*2*база!$L$6*Таблица14[[#This Row],[коэф]]),
IF(AND(G475="4/16",AM475&gt;0.5),(AM475*2*база!$L$5*Таблица14[[#This Row],[коэф]]),
IF(AND(G475="3/16",AM475&gt;0.5),(AM475*2*база!$L$4*Таблица14[[#This Row],[коэф]]),
IF(AND(G475="4/4",AM475&gt;0.5),(AM475*2*база!$I$5*Таблица14[[#This Row],[коэф]]),
IF(OR(AND(G475="3/4",AM475&gt;0.5),AND(G475="2/4",AM475&gt;0.5)),(AM475*2*база!$I$4*Таблица14[[#This Row],[коэф]]),
IF(AND(G475="5/8",AM475&gt;0.5),(AM475*2*база!$J$6*Таблица14[[#This Row],[коэф]]),
IF(AND(G475="4/8",AM475&gt;0.5),(AM475*2*база!$J$5*Таблица14[[#This Row],[коэф]]),
IF(OR(AND(G475="3/8",AM475&gt;0.5),AND(G475="2/8",AM475&gt;0.5)),(AM475*2*база!$J$4*Таблица14[[#This Row],[коэф]]),
(AM475*0.5*база!$L$4*Таблица14[[#This Row],[коэф]]))))))))))))),
(IF(AND(G475="5/24",AM475&gt;0.5),(AM475*2*база!$M$6*Таблица14[[#This Row],[коэф]]),
IF(OR(AND(G475="4/24",AM475&gt;0.5),AND(G475="3/24",AM475&gt;0.5)),(AM475*2*база!$M$5*Таблица14[[#This Row],[коэф]]),
IF(AND(G475="5/16",AM475&gt;0.5),(AM475*2*база!$L$6*Таблица14[[#This Row],[коэф]]),
IF(OR(AND(G475="4/16",AM475&gt;0.5),AND(G475="3/16",AM475&gt;0.5)),(AM475*2*база!$L$5*Таблица14[[#This Row],[коэф]]),
IF(OR(AND(G475="4/4",AM475&gt;0.5),AND(G475="3/4",AM475&gt;2)),(AM475*2*база!$I$5*Таблица14[[#This Row],[коэф]]),
IF(AND(G475="5/8",AM475&gt;0.5),(AM475*2*база!$J$6*Таблица14[[#This Row],[коэф]]),
IF(AND(G475="4/8",AM475&gt;0.5),(AM475*2*база!$J$5*Таблица14[[#This Row],[коэф]]),
IF(OR(AND(G475="3/8",AM475&gt;0.5),AND(G475="2/8",AM475&gt;0.5)),(AM475*2*база!$J$4*Таблица14[[#This Row],[коэф]]),
(AM475*2*база!$L$5*Таблица14[[#This Row],[коэф]])))))))))))</f>
        <v>0</v>
      </c>
      <c r="AO475" s="684" t="str">
        <f>IFERROR(INDEX(база!$D$2:$D$120, MATCH(Таблица14[[#This Row],[Ф. И. О.]],база!$B$2:$B$100,0)),"")</f>
        <v/>
      </c>
    </row>
    <row r="476" spans="1:41">
      <c r="A476" s="207" t="str">
        <f t="shared" si="14"/>
        <v>январь</v>
      </c>
      <c r="B476" s="240">
        <v>2024</v>
      </c>
      <c r="C476" s="649"/>
      <c r="D476" s="682"/>
      <c r="E476" s="243"/>
      <c r="F476" s="685"/>
      <c r="G476" s="242"/>
      <c r="H476" s="683"/>
      <c r="I476" s="683"/>
      <c r="J476" s="683"/>
      <c r="K476" s="683"/>
      <c r="L476" s="683"/>
      <c r="M476" s="683"/>
      <c r="N476" s="683"/>
      <c r="O476" s="683"/>
      <c r="P476" s="683"/>
      <c r="Q476" s="683"/>
      <c r="R476" s="683"/>
      <c r="S476" s="683"/>
      <c r="T476" s="683"/>
      <c r="U476" s="683"/>
      <c r="V476" s="683"/>
      <c r="W476" s="683"/>
      <c r="X476" s="683"/>
      <c r="Y476" s="683"/>
      <c r="Z476" s="683"/>
      <c r="AA476" s="683"/>
      <c r="AB476" s="683"/>
      <c r="AC476" s="683"/>
      <c r="AD476" s="683"/>
      <c r="AE476" s="683"/>
      <c r="AF476" s="683"/>
      <c r="AG476" s="683"/>
      <c r="AH476" s="683"/>
      <c r="AI476" s="683"/>
      <c r="AJ476" s="683"/>
      <c r="AK476" s="683"/>
      <c r="AL476" s="683"/>
      <c r="AM476" s="121">
        <f t="shared" si="15"/>
        <v>0</v>
      </c>
      <c r="AN476" s="564">
        <f>IF(AO476&lt;=3,(IF(AND(G476="5/24",AM476&gt;0.5),(AM476*2*база!$M$6*Таблица14[[#This Row],[коэф]]),
IF(AND(G476="4/24",AM476&gt;0.5),(AM476*2*база!$M$5*Таблица14[[#This Row],[коэф]]),
IF(AND(G476="3/24",AM476&gt;0.5),(AM476*2*база!$M$4*Таблица14[[#This Row],[коэф]]),
IF(AND(G476="5/16",AM476&gt;0.5),(AM476*2*база!$L$6*Таблица14[[#This Row],[коэф]]),
IF(AND(G476="4/16",AM476&gt;0.5),(AM476*2*база!$L$5*Таблица14[[#This Row],[коэф]]),
IF(AND(G476="3/16",AM476&gt;0.5),(AM476*2*база!$L$4*Таблица14[[#This Row],[коэф]]),
IF(AND(G476="4/4",AM476&gt;0.5),(AM476*2*база!$I$5*Таблица14[[#This Row],[коэф]]),
IF(OR(AND(G476="3/4",AM476&gt;0.5),AND(G476="2/4",AM476&gt;0.5)),(AM476*2*база!$I$4*Таблица14[[#This Row],[коэф]]),
IF(AND(G476="5/8",AM476&gt;0.5),(AM476*2*база!$J$6*Таблица14[[#This Row],[коэф]]),
IF(AND(G476="4/8",AM476&gt;0.5),(AM476*2*база!$J$5*Таблица14[[#This Row],[коэф]]),
IF(OR(AND(G476="3/8",AM476&gt;0.5),AND(G476="2/8",AM476&gt;0.5)),(AM476*2*база!$J$4*Таблица14[[#This Row],[коэф]]),
(AM476*0.5*база!$L$4*Таблица14[[#This Row],[коэф]]))))))))))))),
(IF(AND(G476="5/24",AM476&gt;0.5),(AM476*2*база!$M$6*Таблица14[[#This Row],[коэф]]),
IF(OR(AND(G476="4/24",AM476&gt;0.5),AND(G476="3/24",AM476&gt;0.5)),(AM476*2*база!$M$5*Таблица14[[#This Row],[коэф]]),
IF(AND(G476="5/16",AM476&gt;0.5),(AM476*2*база!$L$6*Таблица14[[#This Row],[коэф]]),
IF(OR(AND(G476="4/16",AM476&gt;0.5),AND(G476="3/16",AM476&gt;0.5)),(AM476*2*база!$L$5*Таблица14[[#This Row],[коэф]]),
IF(OR(AND(G476="4/4",AM476&gt;0.5),AND(G476="3/4",AM476&gt;2)),(AM476*2*база!$I$5*Таблица14[[#This Row],[коэф]]),
IF(AND(G476="5/8",AM476&gt;0.5),(AM476*2*база!$J$6*Таблица14[[#This Row],[коэф]]),
IF(AND(G476="4/8",AM476&gt;0.5),(AM476*2*база!$J$5*Таблица14[[#This Row],[коэф]]),
IF(OR(AND(G476="3/8",AM476&gt;0.5),AND(G476="2/8",AM476&gt;0.5)),(AM476*2*база!$J$4*Таблица14[[#This Row],[коэф]]),
(AM476*2*база!$L$5*Таблица14[[#This Row],[коэф]])))))))))))</f>
        <v>0</v>
      </c>
      <c r="AO476" s="684" t="str">
        <f>IFERROR(INDEX(база!$D$2:$D$120, MATCH(Таблица14[[#This Row],[Ф. И. О.]],база!$B$2:$B$100,0)),"")</f>
        <v/>
      </c>
    </row>
    <row r="477" spans="1:41">
      <c r="A477" s="207" t="str">
        <f t="shared" si="14"/>
        <v>январь</v>
      </c>
      <c r="B477" s="204">
        <v>2024</v>
      </c>
      <c r="C477" s="649"/>
      <c r="D477" s="682"/>
      <c r="E477" s="243"/>
      <c r="F477" s="685"/>
      <c r="G477" s="206"/>
      <c r="H477" s="683"/>
      <c r="I477" s="683"/>
      <c r="J477" s="683"/>
      <c r="K477" s="683"/>
      <c r="L477" s="683"/>
      <c r="M477" s="683"/>
      <c r="N477" s="683"/>
      <c r="O477" s="683"/>
      <c r="P477" s="683"/>
      <c r="Q477" s="683"/>
      <c r="R477" s="683"/>
      <c r="S477" s="683"/>
      <c r="T477" s="683"/>
      <c r="U477" s="683"/>
      <c r="V477" s="683"/>
      <c r="W477" s="683"/>
      <c r="X477" s="683"/>
      <c r="Y477" s="683"/>
      <c r="Z477" s="683"/>
      <c r="AA477" s="683"/>
      <c r="AB477" s="683"/>
      <c r="AC477" s="683"/>
      <c r="AD477" s="683"/>
      <c r="AE477" s="683"/>
      <c r="AF477" s="683"/>
      <c r="AG477" s="683"/>
      <c r="AH477" s="683"/>
      <c r="AI477" s="683"/>
      <c r="AJ477" s="683"/>
      <c r="AK477" s="683"/>
      <c r="AL477" s="683"/>
      <c r="AM477" s="121">
        <f t="shared" si="15"/>
        <v>0</v>
      </c>
      <c r="AN477" s="564">
        <f>IF(AO477&lt;=3,(IF(AND(G477="5/24",AM477&gt;0.5),(AM477*2*база!$M$6*Таблица14[[#This Row],[коэф]]),
IF(AND(G477="4/24",AM477&gt;0.5),(AM477*2*база!$M$5*Таблица14[[#This Row],[коэф]]),
IF(AND(G477="3/24",AM477&gt;0.5),(AM477*2*база!$M$4*Таблица14[[#This Row],[коэф]]),
IF(AND(G477="5/16",AM477&gt;0.5),(AM477*2*база!$L$6*Таблица14[[#This Row],[коэф]]),
IF(AND(G477="4/16",AM477&gt;0.5),(AM477*2*база!$L$5*Таблица14[[#This Row],[коэф]]),
IF(AND(G477="3/16",AM477&gt;0.5),(AM477*2*база!$L$4*Таблица14[[#This Row],[коэф]]),
IF(AND(G477="4/4",AM477&gt;0.5),(AM477*2*база!$I$5*Таблица14[[#This Row],[коэф]]),
IF(OR(AND(G477="3/4",AM477&gt;0.5),AND(G477="2/4",AM477&gt;0.5)),(AM477*2*база!$I$4*Таблица14[[#This Row],[коэф]]),
IF(AND(G477="5/8",AM477&gt;0.5),(AM477*2*база!$J$6*Таблица14[[#This Row],[коэф]]),
IF(AND(G477="4/8",AM477&gt;0.5),(AM477*2*база!$J$5*Таблица14[[#This Row],[коэф]]),
IF(OR(AND(G477="3/8",AM477&gt;0.5),AND(G477="2/8",AM477&gt;0.5)),(AM477*2*база!$J$4*Таблица14[[#This Row],[коэф]]),
(AM477*0.5*база!$L$4*Таблица14[[#This Row],[коэф]]))))))))))))),
(IF(AND(G477="5/24",AM477&gt;0.5),(AM477*2*база!$M$6*Таблица14[[#This Row],[коэф]]),
IF(OR(AND(G477="4/24",AM477&gt;0.5),AND(G477="3/24",AM477&gt;0.5)),(AM477*2*база!$M$5*Таблица14[[#This Row],[коэф]]),
IF(AND(G477="5/16",AM477&gt;0.5),(AM477*2*база!$L$6*Таблица14[[#This Row],[коэф]]),
IF(OR(AND(G477="4/16",AM477&gt;0.5),AND(G477="3/16",AM477&gt;0.5)),(AM477*2*база!$L$5*Таблица14[[#This Row],[коэф]]),
IF(OR(AND(G477="4/4",AM477&gt;0.5),AND(G477="3/4",AM477&gt;2)),(AM477*2*база!$I$5*Таблица14[[#This Row],[коэф]]),
IF(AND(G477="5/8",AM477&gt;0.5),(AM477*2*база!$J$6*Таблица14[[#This Row],[коэф]]),
IF(AND(G477="4/8",AM477&gt;0.5),(AM477*2*база!$J$5*Таблица14[[#This Row],[коэф]]),
IF(OR(AND(G477="3/8",AM477&gt;0.5),AND(G477="2/8",AM477&gt;0.5)),(AM477*2*база!$J$4*Таблица14[[#This Row],[коэф]]),
(AM477*2*база!$L$5*Таблица14[[#This Row],[коэф]])))))))))))</f>
        <v>0</v>
      </c>
      <c r="AO477" s="684" t="str">
        <f>IFERROR(INDEX(база!$D$2:$D$120, MATCH(Таблица14[[#This Row],[Ф. И. О.]],база!$B$2:$B$100,0)),"")</f>
        <v/>
      </c>
    </row>
    <row r="478" spans="1:41">
      <c r="A478" s="207" t="str">
        <f t="shared" si="14"/>
        <v>январь</v>
      </c>
      <c r="B478" s="240">
        <v>2024</v>
      </c>
      <c r="C478" s="649"/>
      <c r="D478" s="682"/>
      <c r="E478" s="243"/>
      <c r="F478" s="685"/>
      <c r="G478" s="242"/>
      <c r="H478" s="683"/>
      <c r="I478" s="683"/>
      <c r="J478" s="683"/>
      <c r="K478" s="683"/>
      <c r="L478" s="683"/>
      <c r="M478" s="683"/>
      <c r="N478" s="683"/>
      <c r="O478" s="683"/>
      <c r="P478" s="683"/>
      <c r="Q478" s="683"/>
      <c r="R478" s="683"/>
      <c r="S478" s="683"/>
      <c r="T478" s="683"/>
      <c r="U478" s="683"/>
      <c r="V478" s="683"/>
      <c r="W478" s="683"/>
      <c r="X478" s="683"/>
      <c r="Y478" s="683"/>
      <c r="Z478" s="683"/>
      <c r="AA478" s="683"/>
      <c r="AB478" s="683"/>
      <c r="AC478" s="683"/>
      <c r="AD478" s="683"/>
      <c r="AE478" s="683"/>
      <c r="AF478" s="683"/>
      <c r="AG478" s="683"/>
      <c r="AH478" s="683"/>
      <c r="AI478" s="683"/>
      <c r="AJ478" s="683"/>
      <c r="AK478" s="683"/>
      <c r="AL478" s="683"/>
      <c r="AM478" s="121">
        <f t="shared" si="15"/>
        <v>0</v>
      </c>
      <c r="AN478" s="564">
        <f>IF(AO478&lt;=3,(IF(AND(G478="5/24",AM478&gt;0.5),(AM478*2*база!$M$6*Таблица14[[#This Row],[коэф]]),
IF(AND(G478="4/24",AM478&gt;0.5),(AM478*2*база!$M$5*Таблица14[[#This Row],[коэф]]),
IF(AND(G478="3/24",AM478&gt;0.5),(AM478*2*база!$M$4*Таблица14[[#This Row],[коэф]]),
IF(AND(G478="5/16",AM478&gt;0.5),(AM478*2*база!$L$6*Таблица14[[#This Row],[коэф]]),
IF(AND(G478="4/16",AM478&gt;0.5),(AM478*2*база!$L$5*Таблица14[[#This Row],[коэф]]),
IF(AND(G478="3/16",AM478&gt;0.5),(AM478*2*база!$L$4*Таблица14[[#This Row],[коэф]]),
IF(AND(G478="4/4",AM478&gt;0.5),(AM478*2*база!$I$5*Таблица14[[#This Row],[коэф]]),
IF(OR(AND(G478="3/4",AM478&gt;0.5),AND(G478="2/4",AM478&gt;0.5)),(AM478*2*база!$I$4*Таблица14[[#This Row],[коэф]]),
IF(AND(G478="5/8",AM478&gt;0.5),(AM478*2*база!$J$6*Таблица14[[#This Row],[коэф]]),
IF(AND(G478="4/8",AM478&gt;0.5),(AM478*2*база!$J$5*Таблица14[[#This Row],[коэф]]),
IF(OR(AND(G478="3/8",AM478&gt;0.5),AND(G478="2/8",AM478&gt;0.5)),(AM478*2*база!$J$4*Таблица14[[#This Row],[коэф]]),
(AM478*0.5*база!$L$4*Таблица14[[#This Row],[коэф]]))))))))))))),
(IF(AND(G478="5/24",AM478&gt;0.5),(AM478*2*база!$M$6*Таблица14[[#This Row],[коэф]]),
IF(OR(AND(G478="4/24",AM478&gt;0.5),AND(G478="3/24",AM478&gt;0.5)),(AM478*2*база!$M$5*Таблица14[[#This Row],[коэф]]),
IF(AND(G478="5/16",AM478&gt;0.5),(AM478*2*база!$L$6*Таблица14[[#This Row],[коэф]]),
IF(OR(AND(G478="4/16",AM478&gt;0.5),AND(G478="3/16",AM478&gt;0.5)),(AM478*2*база!$L$5*Таблица14[[#This Row],[коэф]]),
IF(OR(AND(G478="4/4",AM478&gt;0.5),AND(G478="3/4",AM478&gt;2)),(AM478*2*база!$I$5*Таблица14[[#This Row],[коэф]]),
IF(AND(G478="5/8",AM478&gt;0.5),(AM478*2*база!$J$6*Таблица14[[#This Row],[коэф]]),
IF(AND(G478="4/8",AM478&gt;0.5),(AM478*2*база!$J$5*Таблица14[[#This Row],[коэф]]),
IF(OR(AND(G478="3/8",AM478&gt;0.5),AND(G478="2/8",AM478&gt;0.5)),(AM478*2*база!$J$4*Таблица14[[#This Row],[коэф]]),
(AM478*2*база!$L$5*Таблица14[[#This Row],[коэф]])))))))))))</f>
        <v>0</v>
      </c>
      <c r="AO478" s="684" t="str">
        <f>IFERROR(INDEX(база!$D$2:$D$120, MATCH(Таблица14[[#This Row],[Ф. И. О.]],база!$B$2:$B$100,0)),"")</f>
        <v/>
      </c>
    </row>
    <row r="479" spans="1:41">
      <c r="A479" s="207" t="str">
        <f t="shared" si="14"/>
        <v>январь</v>
      </c>
      <c r="B479" s="204">
        <v>2024</v>
      </c>
      <c r="C479" s="649"/>
      <c r="D479" s="742"/>
      <c r="E479" s="743"/>
      <c r="F479" s="748"/>
      <c r="G479" s="744"/>
      <c r="H479" s="745"/>
      <c r="I479" s="745"/>
      <c r="J479" s="745"/>
      <c r="K479" s="745"/>
      <c r="L479" s="745"/>
      <c r="M479" s="745"/>
      <c r="N479" s="745"/>
      <c r="O479" s="745"/>
      <c r="P479" s="745"/>
      <c r="Q479" s="745"/>
      <c r="R479" s="745"/>
      <c r="S479" s="745"/>
      <c r="T479" s="745"/>
      <c r="U479" s="745"/>
      <c r="V479" s="745"/>
      <c r="W479" s="745"/>
      <c r="X479" s="745"/>
      <c r="Y479" s="745"/>
      <c r="Z479" s="745"/>
      <c r="AA479" s="745"/>
      <c r="AB479" s="745"/>
      <c r="AC479" s="745"/>
      <c r="AD479" s="745"/>
      <c r="AE479" s="745"/>
      <c r="AF479" s="745"/>
      <c r="AG479" s="745"/>
      <c r="AH479" s="745"/>
      <c r="AI479" s="745"/>
      <c r="AJ479" s="745"/>
      <c r="AK479" s="745"/>
      <c r="AL479" s="745"/>
      <c r="AM479" s="746">
        <f t="shared" ref="AM479:AM493" si="16">SUM(H479:AL479)</f>
        <v>0</v>
      </c>
      <c r="AN479" s="564">
        <f>IF(AO479&lt;=3,(IF(AND(G479="5/24",AM479&gt;0.5),(AM479*2*база!$M$6*Таблица14[[#This Row],[коэф]]),
IF(AND(G479="4/24",AM479&gt;0.5),(AM479*2*база!$M$5*Таблица14[[#This Row],[коэф]]),
IF(AND(G479="3/24",AM479&gt;0.5),(AM479*2*база!$M$4*Таблица14[[#This Row],[коэф]]),
IF(AND(G479="5/16",AM479&gt;0.5),(AM479*2*база!$L$6*Таблица14[[#This Row],[коэф]]),
IF(AND(G479="4/16",AM479&gt;0.5),(AM479*2*база!$L$5*Таблица14[[#This Row],[коэф]]),
IF(AND(G479="3/16",AM479&gt;0.5),(AM479*2*база!$L$4*Таблица14[[#This Row],[коэф]]),
IF(AND(G479="4/4",AM479&gt;0.5),(AM479*2*база!$I$5*Таблица14[[#This Row],[коэф]]),
IF(OR(AND(G479="3/4",AM479&gt;0.5),AND(G479="2/4",AM479&gt;0.5)),(AM479*2*база!$I$4*Таблица14[[#This Row],[коэф]]),
IF(AND(G479="5/8",AM479&gt;0.5),(AM479*2*база!$J$6*Таблица14[[#This Row],[коэф]]),
IF(AND(G479="4/8",AM479&gt;0.5),(AM479*2*база!$J$5*Таблица14[[#This Row],[коэф]]),
IF(OR(AND(G479="3/8",AM479&gt;0.5),AND(G479="2/8",AM479&gt;0.5)),(AM479*2*база!$J$4*Таблица14[[#This Row],[коэф]]),
(AM479*0.5*база!$L$4*Таблица14[[#This Row],[коэф]]))))))))))))),
(IF(AND(G479="5/24",AM479&gt;0.5),(AM479*2*база!$M$6*Таблица14[[#This Row],[коэф]]),
IF(OR(AND(G479="4/24",AM479&gt;0.5),AND(G479="3/24",AM479&gt;0.5)),(AM479*2*база!$M$5*Таблица14[[#This Row],[коэф]]),
IF(AND(G479="5/16",AM479&gt;0.5),(AM479*2*база!$L$6*Таблица14[[#This Row],[коэф]]),
IF(OR(AND(G479="4/16",AM479&gt;0.5),AND(G479="3/16",AM479&gt;0.5)),(AM479*2*база!$L$5*Таблица14[[#This Row],[коэф]]),
IF(OR(AND(G479="4/4",AM479&gt;0.5),AND(G479="3/4",AM479&gt;2)),(AM479*2*база!$I$5*Таблица14[[#This Row],[коэф]]),
IF(AND(G479="5/8",AM479&gt;0.5),(AM479*2*база!$J$6*Таблица14[[#This Row],[коэф]]),
IF(AND(G479="4/8",AM479&gt;0.5),(AM479*2*база!$J$5*Таблица14[[#This Row],[коэф]]),
IF(OR(AND(G479="3/8",AM479&gt;0.5),AND(G479="2/8",AM479&gt;0.5)),(AM479*2*база!$J$4*Таблица14[[#This Row],[коэф]]),
(AM479*2*база!$L$5*Таблица14[[#This Row],[коэф]])))))))))))</f>
        <v>0</v>
      </c>
      <c r="AO479" s="747" t="str">
        <f>IFERROR(INDEX(база!$D$2:$D$120, MATCH(Таблица14[[#This Row],[Ф. И. О.]],база!$B$2:$B$100,0)),"")</f>
        <v/>
      </c>
    </row>
    <row r="480" spans="1:41">
      <c r="A480" s="207" t="str">
        <f t="shared" si="14"/>
        <v>январь</v>
      </c>
      <c r="B480" s="240">
        <v>2024</v>
      </c>
      <c r="C480" s="649"/>
      <c r="D480" s="742"/>
      <c r="E480" s="743"/>
      <c r="F480" s="748"/>
      <c r="G480" s="744"/>
      <c r="H480" s="745"/>
      <c r="I480" s="745"/>
      <c r="J480" s="745"/>
      <c r="K480" s="745"/>
      <c r="L480" s="745"/>
      <c r="M480" s="745"/>
      <c r="N480" s="745"/>
      <c r="O480" s="745"/>
      <c r="P480" s="745"/>
      <c r="Q480" s="745"/>
      <c r="R480" s="745"/>
      <c r="S480" s="745"/>
      <c r="T480" s="745"/>
      <c r="U480" s="745"/>
      <c r="V480" s="745"/>
      <c r="W480" s="745"/>
      <c r="X480" s="745"/>
      <c r="Y480" s="745"/>
      <c r="Z480" s="745"/>
      <c r="AA480" s="745"/>
      <c r="AB480" s="745"/>
      <c r="AC480" s="745"/>
      <c r="AD480" s="745"/>
      <c r="AE480" s="745"/>
      <c r="AF480" s="745"/>
      <c r="AG480" s="745"/>
      <c r="AH480" s="745"/>
      <c r="AI480" s="745"/>
      <c r="AJ480" s="745"/>
      <c r="AK480" s="745"/>
      <c r="AL480" s="745"/>
      <c r="AM480" s="746">
        <f t="shared" si="16"/>
        <v>0</v>
      </c>
      <c r="AN480" s="564">
        <f>IF(AO480&lt;=3,(IF(AND(G480="5/24",AM480&gt;0.5),(AM480*2*база!$M$6*Таблица14[[#This Row],[коэф]]),
IF(AND(G480="4/24",AM480&gt;0.5),(AM480*2*база!$M$5*Таблица14[[#This Row],[коэф]]),
IF(AND(G480="3/24",AM480&gt;0.5),(AM480*2*база!$M$4*Таблица14[[#This Row],[коэф]]),
IF(AND(G480="5/16",AM480&gt;0.5),(AM480*2*база!$L$6*Таблица14[[#This Row],[коэф]]),
IF(AND(G480="4/16",AM480&gt;0.5),(AM480*2*база!$L$5*Таблица14[[#This Row],[коэф]]),
IF(AND(G480="3/16",AM480&gt;0.5),(AM480*2*база!$L$4*Таблица14[[#This Row],[коэф]]),
IF(AND(G480="4/4",AM480&gt;0.5),(AM480*2*база!$I$5*Таблица14[[#This Row],[коэф]]),
IF(OR(AND(G480="3/4",AM480&gt;0.5),AND(G480="2/4",AM480&gt;0.5)),(AM480*2*база!$I$4*Таблица14[[#This Row],[коэф]]),
IF(AND(G480="5/8",AM480&gt;0.5),(AM480*2*база!$J$6*Таблица14[[#This Row],[коэф]]),
IF(AND(G480="4/8",AM480&gt;0.5),(AM480*2*база!$J$5*Таблица14[[#This Row],[коэф]]),
IF(OR(AND(G480="3/8",AM480&gt;0.5),AND(G480="2/8",AM480&gt;0.5)),(AM480*2*база!$J$4*Таблица14[[#This Row],[коэф]]),
(AM480*0.5*база!$L$4*Таблица14[[#This Row],[коэф]]))))))))))))),
(IF(AND(G480="5/24",AM480&gt;0.5),(AM480*2*база!$M$6*Таблица14[[#This Row],[коэф]]),
IF(OR(AND(G480="4/24",AM480&gt;0.5),AND(G480="3/24",AM480&gt;0.5)),(AM480*2*база!$M$5*Таблица14[[#This Row],[коэф]]),
IF(AND(G480="5/16",AM480&gt;0.5),(AM480*2*база!$L$6*Таблица14[[#This Row],[коэф]]),
IF(OR(AND(G480="4/16",AM480&gt;0.5),AND(G480="3/16",AM480&gt;0.5)),(AM480*2*база!$L$5*Таблица14[[#This Row],[коэф]]),
IF(OR(AND(G480="4/4",AM480&gt;0.5),AND(G480="3/4",AM480&gt;2)),(AM480*2*база!$I$5*Таблица14[[#This Row],[коэф]]),
IF(AND(G480="5/8",AM480&gt;0.5),(AM480*2*база!$J$6*Таблица14[[#This Row],[коэф]]),
IF(AND(G480="4/8",AM480&gt;0.5),(AM480*2*база!$J$5*Таблица14[[#This Row],[коэф]]),
IF(OR(AND(G480="3/8",AM480&gt;0.5),AND(G480="2/8",AM480&gt;0.5)),(AM480*2*база!$J$4*Таблица14[[#This Row],[коэф]]),
(AM480*2*база!$L$5*Таблица14[[#This Row],[коэф]])))))))))))</f>
        <v>0</v>
      </c>
      <c r="AO480" s="747" t="str">
        <f>IFERROR(INDEX(база!$D$2:$D$120, MATCH(Таблица14[[#This Row],[Ф. И. О.]],база!$B$2:$B$100,0)),"")</f>
        <v/>
      </c>
    </row>
    <row r="481" spans="1:41">
      <c r="A481" s="207" t="str">
        <f t="shared" si="14"/>
        <v>январь</v>
      </c>
      <c r="B481" s="204">
        <v>2024</v>
      </c>
      <c r="C481" s="649"/>
      <c r="D481" s="742"/>
      <c r="E481" s="743"/>
      <c r="F481" s="748"/>
      <c r="G481" s="744"/>
      <c r="H481" s="745"/>
      <c r="I481" s="745"/>
      <c r="J481" s="745"/>
      <c r="K481" s="745"/>
      <c r="L481" s="745"/>
      <c r="M481" s="745"/>
      <c r="N481" s="745"/>
      <c r="O481" s="745"/>
      <c r="P481" s="745"/>
      <c r="Q481" s="745"/>
      <c r="R481" s="745"/>
      <c r="S481" s="745"/>
      <c r="T481" s="745"/>
      <c r="U481" s="745"/>
      <c r="V481" s="745"/>
      <c r="W481" s="745"/>
      <c r="X481" s="745"/>
      <c r="Y481" s="745"/>
      <c r="Z481" s="745"/>
      <c r="AA481" s="745"/>
      <c r="AB481" s="745"/>
      <c r="AC481" s="745"/>
      <c r="AD481" s="745"/>
      <c r="AE481" s="745"/>
      <c r="AF481" s="745"/>
      <c r="AG481" s="745"/>
      <c r="AH481" s="745"/>
      <c r="AI481" s="745"/>
      <c r="AJ481" s="745"/>
      <c r="AK481" s="745"/>
      <c r="AL481" s="745"/>
      <c r="AM481" s="746">
        <f t="shared" si="16"/>
        <v>0</v>
      </c>
      <c r="AN481" s="564">
        <f>IF(AO481&lt;=3,(IF(AND(G481="5/24",AM481&gt;0.5),(AM481*2*база!$M$6*Таблица14[[#This Row],[коэф]]),
IF(AND(G481="4/24",AM481&gt;0.5),(AM481*2*база!$M$5*Таблица14[[#This Row],[коэф]]),
IF(AND(G481="3/24",AM481&gt;0.5),(AM481*2*база!$M$4*Таблица14[[#This Row],[коэф]]),
IF(AND(G481="5/16",AM481&gt;0.5),(AM481*2*база!$L$6*Таблица14[[#This Row],[коэф]]),
IF(AND(G481="4/16",AM481&gt;0.5),(AM481*2*база!$L$5*Таблица14[[#This Row],[коэф]]),
IF(AND(G481="3/16",AM481&gt;0.5),(AM481*2*база!$L$4*Таблица14[[#This Row],[коэф]]),
IF(AND(G481="4/4",AM481&gt;0.5),(AM481*2*база!$I$5*Таблица14[[#This Row],[коэф]]),
IF(OR(AND(G481="3/4",AM481&gt;0.5),AND(G481="2/4",AM481&gt;0.5)),(AM481*2*база!$I$4*Таблица14[[#This Row],[коэф]]),
IF(AND(G481="5/8",AM481&gt;0.5),(AM481*2*база!$J$6*Таблица14[[#This Row],[коэф]]),
IF(AND(G481="4/8",AM481&gt;0.5),(AM481*2*база!$J$5*Таблица14[[#This Row],[коэф]]),
IF(OR(AND(G481="3/8",AM481&gt;0.5),AND(G481="2/8",AM481&gt;0.5)),(AM481*2*база!$J$4*Таблица14[[#This Row],[коэф]]),
(AM481*0.5*база!$L$4*Таблица14[[#This Row],[коэф]]))))))))))))),
(IF(AND(G481="5/24",AM481&gt;0.5),(AM481*2*база!$M$6*Таблица14[[#This Row],[коэф]]),
IF(OR(AND(G481="4/24",AM481&gt;0.5),AND(G481="3/24",AM481&gt;0.5)),(AM481*2*база!$M$5*Таблица14[[#This Row],[коэф]]),
IF(AND(G481="5/16",AM481&gt;0.5),(AM481*2*база!$L$6*Таблица14[[#This Row],[коэф]]),
IF(OR(AND(G481="4/16",AM481&gt;0.5),AND(G481="3/16",AM481&gt;0.5)),(AM481*2*база!$L$5*Таблица14[[#This Row],[коэф]]),
IF(OR(AND(G481="4/4",AM481&gt;0.5),AND(G481="3/4",AM481&gt;2)),(AM481*2*база!$I$5*Таблица14[[#This Row],[коэф]]),
IF(AND(G481="5/8",AM481&gt;0.5),(AM481*2*база!$J$6*Таблица14[[#This Row],[коэф]]),
IF(AND(G481="4/8",AM481&gt;0.5),(AM481*2*база!$J$5*Таблица14[[#This Row],[коэф]]),
IF(OR(AND(G481="3/8",AM481&gt;0.5),AND(G481="2/8",AM481&gt;0.5)),(AM481*2*база!$J$4*Таблица14[[#This Row],[коэф]]),
(AM481*2*база!$L$5*Таблица14[[#This Row],[коэф]])))))))))))</f>
        <v>0</v>
      </c>
      <c r="AO481" s="747" t="str">
        <f>IFERROR(INDEX(база!$D$2:$D$120, MATCH(Таблица14[[#This Row],[Ф. И. О.]],база!$B$2:$B$100,0)),"")</f>
        <v/>
      </c>
    </row>
    <row r="482" spans="1:41">
      <c r="A482" s="207" t="str">
        <f t="shared" si="14"/>
        <v>январь</v>
      </c>
      <c r="B482" s="240">
        <v>2024</v>
      </c>
      <c r="C482" s="649"/>
      <c r="D482" s="742"/>
      <c r="E482" s="743"/>
      <c r="F482" s="748"/>
      <c r="G482" s="744"/>
      <c r="H482" s="745"/>
      <c r="I482" s="745"/>
      <c r="J482" s="745"/>
      <c r="K482" s="745"/>
      <c r="L482" s="745"/>
      <c r="M482" s="745"/>
      <c r="N482" s="745"/>
      <c r="O482" s="745"/>
      <c r="P482" s="745"/>
      <c r="Q482" s="745"/>
      <c r="R482" s="745"/>
      <c r="S482" s="745"/>
      <c r="T482" s="745"/>
      <c r="U482" s="745"/>
      <c r="V482" s="745"/>
      <c r="W482" s="745"/>
      <c r="X482" s="745"/>
      <c r="Y482" s="745"/>
      <c r="Z482" s="745"/>
      <c r="AA482" s="745"/>
      <c r="AB482" s="745"/>
      <c r="AC482" s="745"/>
      <c r="AD482" s="745"/>
      <c r="AE482" s="745"/>
      <c r="AF482" s="745"/>
      <c r="AG482" s="745"/>
      <c r="AH482" s="745"/>
      <c r="AI482" s="745"/>
      <c r="AJ482" s="745"/>
      <c r="AK482" s="745"/>
      <c r="AL482" s="745"/>
      <c r="AM482" s="746">
        <f t="shared" si="16"/>
        <v>0</v>
      </c>
      <c r="AN482" s="564">
        <f>IF(AO482&lt;=3,(IF(AND(G482="5/24",AM482&gt;0.5),(AM482*2*база!$M$6*Таблица14[[#This Row],[коэф]]),
IF(AND(G482="4/24",AM482&gt;0.5),(AM482*2*база!$M$5*Таблица14[[#This Row],[коэф]]),
IF(AND(G482="3/24",AM482&gt;0.5),(AM482*2*база!$M$4*Таблица14[[#This Row],[коэф]]),
IF(AND(G482="5/16",AM482&gt;0.5),(AM482*2*база!$L$6*Таблица14[[#This Row],[коэф]]),
IF(AND(G482="4/16",AM482&gt;0.5),(AM482*2*база!$L$5*Таблица14[[#This Row],[коэф]]),
IF(AND(G482="3/16",AM482&gt;0.5),(AM482*2*база!$L$4*Таблица14[[#This Row],[коэф]]),
IF(AND(G482="4/4",AM482&gt;0.5),(AM482*2*база!$I$5*Таблица14[[#This Row],[коэф]]),
IF(OR(AND(G482="3/4",AM482&gt;0.5),AND(G482="2/4",AM482&gt;0.5)),(AM482*2*база!$I$4*Таблица14[[#This Row],[коэф]]),
IF(AND(G482="5/8",AM482&gt;0.5),(AM482*2*база!$J$6*Таблица14[[#This Row],[коэф]]),
IF(AND(G482="4/8",AM482&gt;0.5),(AM482*2*база!$J$5*Таблица14[[#This Row],[коэф]]),
IF(OR(AND(G482="3/8",AM482&gt;0.5),AND(G482="2/8",AM482&gt;0.5)),(AM482*2*база!$J$4*Таблица14[[#This Row],[коэф]]),
(AM482*0.5*база!$L$4*Таблица14[[#This Row],[коэф]]))))))))))))),
(IF(AND(G482="5/24",AM482&gt;0.5),(AM482*2*база!$M$6*Таблица14[[#This Row],[коэф]]),
IF(OR(AND(G482="4/24",AM482&gt;0.5),AND(G482="3/24",AM482&gt;0.5)),(AM482*2*база!$M$5*Таблица14[[#This Row],[коэф]]),
IF(AND(G482="5/16",AM482&gt;0.5),(AM482*2*база!$L$6*Таблица14[[#This Row],[коэф]]),
IF(OR(AND(G482="4/16",AM482&gt;0.5),AND(G482="3/16",AM482&gt;0.5)),(AM482*2*база!$L$5*Таблица14[[#This Row],[коэф]]),
IF(OR(AND(G482="4/4",AM482&gt;0.5),AND(G482="3/4",AM482&gt;2)),(AM482*2*база!$I$5*Таблица14[[#This Row],[коэф]]),
IF(AND(G482="5/8",AM482&gt;0.5),(AM482*2*база!$J$6*Таблица14[[#This Row],[коэф]]),
IF(AND(G482="4/8",AM482&gt;0.5),(AM482*2*база!$J$5*Таблица14[[#This Row],[коэф]]),
IF(OR(AND(G482="3/8",AM482&gt;0.5),AND(G482="2/8",AM482&gt;0.5)),(AM482*2*база!$J$4*Таблица14[[#This Row],[коэф]]),
(AM482*2*база!$L$5*Таблица14[[#This Row],[коэф]])))))))))))</f>
        <v>0</v>
      </c>
      <c r="AO482" s="747" t="str">
        <f>IFERROR(INDEX(база!$D$2:$D$120, MATCH(Таблица14[[#This Row],[Ф. И. О.]],база!$B$2:$B$100,0)),"")</f>
        <v/>
      </c>
    </row>
    <row r="483" spans="1:41">
      <c r="A483" s="207" t="str">
        <f t="shared" si="14"/>
        <v>январь</v>
      </c>
      <c r="B483" s="204">
        <v>2024</v>
      </c>
      <c r="C483" s="649"/>
      <c r="D483" s="742"/>
      <c r="E483" s="743"/>
      <c r="F483" s="748"/>
      <c r="G483" s="744"/>
      <c r="H483" s="745"/>
      <c r="I483" s="745"/>
      <c r="J483" s="745"/>
      <c r="K483" s="745"/>
      <c r="L483" s="745"/>
      <c r="M483" s="745"/>
      <c r="N483" s="745"/>
      <c r="O483" s="745"/>
      <c r="P483" s="745"/>
      <c r="Q483" s="745"/>
      <c r="R483" s="745"/>
      <c r="S483" s="745"/>
      <c r="T483" s="745"/>
      <c r="U483" s="745"/>
      <c r="V483" s="745"/>
      <c r="W483" s="745"/>
      <c r="X483" s="745"/>
      <c r="Y483" s="745"/>
      <c r="Z483" s="745"/>
      <c r="AA483" s="745"/>
      <c r="AB483" s="745"/>
      <c r="AC483" s="745"/>
      <c r="AD483" s="745"/>
      <c r="AE483" s="745"/>
      <c r="AF483" s="745"/>
      <c r="AG483" s="745"/>
      <c r="AH483" s="745"/>
      <c r="AI483" s="745"/>
      <c r="AJ483" s="745"/>
      <c r="AK483" s="745"/>
      <c r="AL483" s="745"/>
      <c r="AM483" s="746">
        <f t="shared" si="16"/>
        <v>0</v>
      </c>
      <c r="AN483" s="564">
        <f>IF(AO483&lt;=3,(IF(AND(G483="5/24",AM483&gt;0.5),(AM483*2*база!$M$6*Таблица14[[#This Row],[коэф]]),
IF(AND(G483="4/24",AM483&gt;0.5),(AM483*2*база!$M$5*Таблица14[[#This Row],[коэф]]),
IF(AND(G483="3/24",AM483&gt;0.5),(AM483*2*база!$M$4*Таблица14[[#This Row],[коэф]]),
IF(AND(G483="5/16",AM483&gt;0.5),(AM483*2*база!$L$6*Таблица14[[#This Row],[коэф]]),
IF(AND(G483="4/16",AM483&gt;0.5),(AM483*2*база!$L$5*Таблица14[[#This Row],[коэф]]),
IF(AND(G483="3/16",AM483&gt;0.5),(AM483*2*база!$L$4*Таблица14[[#This Row],[коэф]]),
IF(AND(G483="4/4",AM483&gt;0.5),(AM483*2*база!$I$5*Таблица14[[#This Row],[коэф]]),
IF(OR(AND(G483="3/4",AM483&gt;0.5),AND(G483="2/4",AM483&gt;0.5)),(AM483*2*база!$I$4*Таблица14[[#This Row],[коэф]]),
IF(AND(G483="5/8",AM483&gt;0.5),(AM483*2*база!$J$6*Таблица14[[#This Row],[коэф]]),
IF(AND(G483="4/8",AM483&gt;0.5),(AM483*2*база!$J$5*Таблица14[[#This Row],[коэф]]),
IF(OR(AND(G483="3/8",AM483&gt;0.5),AND(G483="2/8",AM483&gt;0.5)),(AM483*2*база!$J$4*Таблица14[[#This Row],[коэф]]),
(AM483*0.5*база!$L$4*Таблица14[[#This Row],[коэф]]))))))))))))),
(IF(AND(G483="5/24",AM483&gt;0.5),(AM483*2*база!$M$6*Таблица14[[#This Row],[коэф]]),
IF(OR(AND(G483="4/24",AM483&gt;0.5),AND(G483="3/24",AM483&gt;0.5)),(AM483*2*база!$M$5*Таблица14[[#This Row],[коэф]]),
IF(AND(G483="5/16",AM483&gt;0.5),(AM483*2*база!$L$6*Таблица14[[#This Row],[коэф]]),
IF(OR(AND(G483="4/16",AM483&gt;0.5),AND(G483="3/16",AM483&gt;0.5)),(AM483*2*база!$L$5*Таблица14[[#This Row],[коэф]]),
IF(OR(AND(G483="4/4",AM483&gt;0.5),AND(G483="3/4",AM483&gt;2)),(AM483*2*база!$I$5*Таблица14[[#This Row],[коэф]]),
IF(AND(G483="5/8",AM483&gt;0.5),(AM483*2*база!$J$6*Таблица14[[#This Row],[коэф]]),
IF(AND(G483="4/8",AM483&gt;0.5),(AM483*2*база!$J$5*Таблица14[[#This Row],[коэф]]),
IF(OR(AND(G483="3/8",AM483&gt;0.5),AND(G483="2/8",AM483&gt;0.5)),(AM483*2*база!$J$4*Таблица14[[#This Row],[коэф]]),
(AM483*2*база!$L$5*Таблица14[[#This Row],[коэф]])))))))))))</f>
        <v>0</v>
      </c>
      <c r="AO483" s="747" t="str">
        <f>IFERROR(INDEX(база!$D$2:$D$120, MATCH(Таблица14[[#This Row],[Ф. И. О.]],база!$B$2:$B$100,0)),"")</f>
        <v/>
      </c>
    </row>
    <row r="484" spans="1:41">
      <c r="A484" s="207" t="str">
        <f t="shared" si="14"/>
        <v>январь</v>
      </c>
      <c r="B484" s="240">
        <v>2024</v>
      </c>
      <c r="C484" s="649"/>
      <c r="D484" s="742"/>
      <c r="E484" s="743"/>
      <c r="F484" s="748"/>
      <c r="G484" s="744"/>
      <c r="H484" s="745"/>
      <c r="I484" s="745"/>
      <c r="J484" s="745"/>
      <c r="K484" s="745"/>
      <c r="L484" s="745"/>
      <c r="M484" s="745"/>
      <c r="N484" s="745"/>
      <c r="O484" s="745"/>
      <c r="P484" s="745"/>
      <c r="Q484" s="745"/>
      <c r="R484" s="745"/>
      <c r="S484" s="745"/>
      <c r="T484" s="745"/>
      <c r="U484" s="745"/>
      <c r="V484" s="745"/>
      <c r="W484" s="745"/>
      <c r="X484" s="745"/>
      <c r="Y484" s="745"/>
      <c r="Z484" s="745"/>
      <c r="AA484" s="745"/>
      <c r="AB484" s="745"/>
      <c r="AC484" s="745"/>
      <c r="AD484" s="745"/>
      <c r="AE484" s="745"/>
      <c r="AF484" s="745"/>
      <c r="AG484" s="745"/>
      <c r="AH484" s="745"/>
      <c r="AI484" s="745"/>
      <c r="AJ484" s="745"/>
      <c r="AK484" s="745"/>
      <c r="AL484" s="745"/>
      <c r="AM484" s="746">
        <f t="shared" si="16"/>
        <v>0</v>
      </c>
      <c r="AN484" s="564">
        <f>IF(AO484&lt;=3,(IF(AND(G484="5/24",AM484&gt;0.5),(AM484*2*база!$M$6*Таблица14[[#This Row],[коэф]]),
IF(AND(G484="4/24",AM484&gt;0.5),(AM484*2*база!$M$5*Таблица14[[#This Row],[коэф]]),
IF(AND(G484="3/24",AM484&gt;0.5),(AM484*2*база!$M$4*Таблица14[[#This Row],[коэф]]),
IF(AND(G484="5/16",AM484&gt;0.5),(AM484*2*база!$L$6*Таблица14[[#This Row],[коэф]]),
IF(AND(G484="4/16",AM484&gt;0.5),(AM484*2*база!$L$5*Таблица14[[#This Row],[коэф]]),
IF(AND(G484="3/16",AM484&gt;0.5),(AM484*2*база!$L$4*Таблица14[[#This Row],[коэф]]),
IF(AND(G484="4/4",AM484&gt;0.5),(AM484*2*база!$I$5*Таблица14[[#This Row],[коэф]]),
IF(OR(AND(G484="3/4",AM484&gt;0.5),AND(G484="2/4",AM484&gt;0.5)),(AM484*2*база!$I$4*Таблица14[[#This Row],[коэф]]),
IF(AND(G484="5/8",AM484&gt;0.5),(AM484*2*база!$J$6*Таблица14[[#This Row],[коэф]]),
IF(AND(G484="4/8",AM484&gt;0.5),(AM484*2*база!$J$5*Таблица14[[#This Row],[коэф]]),
IF(OR(AND(G484="3/8",AM484&gt;0.5),AND(G484="2/8",AM484&gt;0.5)),(AM484*2*база!$J$4*Таблица14[[#This Row],[коэф]]),
(AM484*0.5*база!$L$4*Таблица14[[#This Row],[коэф]]))))))))))))),
(IF(AND(G484="5/24",AM484&gt;0.5),(AM484*2*база!$M$6*Таблица14[[#This Row],[коэф]]),
IF(OR(AND(G484="4/24",AM484&gt;0.5),AND(G484="3/24",AM484&gt;0.5)),(AM484*2*база!$M$5*Таблица14[[#This Row],[коэф]]),
IF(AND(G484="5/16",AM484&gt;0.5),(AM484*2*база!$L$6*Таблица14[[#This Row],[коэф]]),
IF(OR(AND(G484="4/16",AM484&gt;0.5),AND(G484="3/16",AM484&gt;0.5)),(AM484*2*база!$L$5*Таблица14[[#This Row],[коэф]]),
IF(OR(AND(G484="4/4",AM484&gt;0.5),AND(G484="3/4",AM484&gt;2)),(AM484*2*база!$I$5*Таблица14[[#This Row],[коэф]]),
IF(AND(G484="5/8",AM484&gt;0.5),(AM484*2*база!$J$6*Таблица14[[#This Row],[коэф]]),
IF(AND(G484="4/8",AM484&gt;0.5),(AM484*2*база!$J$5*Таблица14[[#This Row],[коэф]]),
IF(OR(AND(G484="3/8",AM484&gt;0.5),AND(G484="2/8",AM484&gt;0.5)),(AM484*2*база!$J$4*Таблица14[[#This Row],[коэф]]),
(AM484*2*база!$L$5*Таблица14[[#This Row],[коэф]])))))))))))</f>
        <v>0</v>
      </c>
      <c r="AO484" s="747" t="str">
        <f>IFERROR(INDEX(база!$D$2:$D$120, MATCH(Таблица14[[#This Row],[Ф. И. О.]],база!$B$2:$B$100,0)),"")</f>
        <v/>
      </c>
    </row>
    <row r="485" spans="1:41">
      <c r="A485" s="207" t="str">
        <f t="shared" si="14"/>
        <v>январь</v>
      </c>
      <c r="B485" s="204">
        <v>2024</v>
      </c>
      <c r="C485" s="649"/>
      <c r="D485" s="742"/>
      <c r="E485" s="743"/>
      <c r="F485" s="748"/>
      <c r="G485" s="744"/>
      <c r="H485" s="745"/>
      <c r="I485" s="745"/>
      <c r="J485" s="745"/>
      <c r="K485" s="745"/>
      <c r="L485" s="745"/>
      <c r="M485" s="745"/>
      <c r="N485" s="745"/>
      <c r="O485" s="745"/>
      <c r="P485" s="745"/>
      <c r="Q485" s="745"/>
      <c r="R485" s="745"/>
      <c r="S485" s="745"/>
      <c r="T485" s="745"/>
      <c r="U485" s="745"/>
      <c r="V485" s="745"/>
      <c r="W485" s="745"/>
      <c r="X485" s="745"/>
      <c r="Y485" s="745"/>
      <c r="Z485" s="745"/>
      <c r="AA485" s="745"/>
      <c r="AB485" s="745"/>
      <c r="AC485" s="745"/>
      <c r="AD485" s="745"/>
      <c r="AE485" s="745"/>
      <c r="AF485" s="745"/>
      <c r="AG485" s="745"/>
      <c r="AH485" s="745"/>
      <c r="AI485" s="745"/>
      <c r="AJ485" s="745"/>
      <c r="AK485" s="745"/>
      <c r="AL485" s="745"/>
      <c r="AM485" s="746">
        <f t="shared" si="16"/>
        <v>0</v>
      </c>
      <c r="AN485" s="564">
        <f>IF(AO485&lt;=3,(IF(AND(G485="5/24",AM485&gt;0.5),(AM485*2*база!$M$6*Таблица14[[#This Row],[коэф]]),
IF(AND(G485="4/24",AM485&gt;0.5),(AM485*2*база!$M$5*Таблица14[[#This Row],[коэф]]),
IF(AND(G485="3/24",AM485&gt;0.5),(AM485*2*база!$M$4*Таблица14[[#This Row],[коэф]]),
IF(AND(G485="5/16",AM485&gt;0.5),(AM485*2*база!$L$6*Таблица14[[#This Row],[коэф]]),
IF(AND(G485="4/16",AM485&gt;0.5),(AM485*2*база!$L$5*Таблица14[[#This Row],[коэф]]),
IF(AND(G485="3/16",AM485&gt;0.5),(AM485*2*база!$L$4*Таблица14[[#This Row],[коэф]]),
IF(AND(G485="4/4",AM485&gt;0.5),(AM485*2*база!$I$5*Таблица14[[#This Row],[коэф]]),
IF(OR(AND(G485="3/4",AM485&gt;0.5),AND(G485="2/4",AM485&gt;0.5)),(AM485*2*база!$I$4*Таблица14[[#This Row],[коэф]]),
IF(AND(G485="5/8",AM485&gt;0.5),(AM485*2*база!$J$6*Таблица14[[#This Row],[коэф]]),
IF(AND(G485="4/8",AM485&gt;0.5),(AM485*2*база!$J$5*Таблица14[[#This Row],[коэф]]),
IF(OR(AND(G485="3/8",AM485&gt;0.5),AND(G485="2/8",AM485&gt;0.5)),(AM485*2*база!$J$4*Таблица14[[#This Row],[коэф]]),
(AM485*0.5*база!$L$4*Таблица14[[#This Row],[коэф]]))))))))))))),
(IF(AND(G485="5/24",AM485&gt;0.5),(AM485*2*база!$M$6*Таблица14[[#This Row],[коэф]]),
IF(OR(AND(G485="4/24",AM485&gt;0.5),AND(G485="3/24",AM485&gt;0.5)),(AM485*2*база!$M$5*Таблица14[[#This Row],[коэф]]),
IF(AND(G485="5/16",AM485&gt;0.5),(AM485*2*база!$L$6*Таблица14[[#This Row],[коэф]]),
IF(OR(AND(G485="4/16",AM485&gt;0.5),AND(G485="3/16",AM485&gt;0.5)),(AM485*2*база!$L$5*Таблица14[[#This Row],[коэф]]),
IF(OR(AND(G485="4/4",AM485&gt;0.5),AND(G485="3/4",AM485&gt;2)),(AM485*2*база!$I$5*Таблица14[[#This Row],[коэф]]),
IF(AND(G485="5/8",AM485&gt;0.5),(AM485*2*база!$J$6*Таблица14[[#This Row],[коэф]]),
IF(AND(G485="4/8",AM485&gt;0.5),(AM485*2*база!$J$5*Таблица14[[#This Row],[коэф]]),
IF(OR(AND(G485="3/8",AM485&gt;0.5),AND(G485="2/8",AM485&gt;0.5)),(AM485*2*база!$J$4*Таблица14[[#This Row],[коэф]]),
(AM485*2*база!$L$5*Таблица14[[#This Row],[коэф]])))))))))))</f>
        <v>0</v>
      </c>
      <c r="AO485" s="747" t="str">
        <f>IFERROR(INDEX(база!$D$2:$D$120, MATCH(Таблица14[[#This Row],[Ф. И. О.]],база!$B$2:$B$100,0)),"")</f>
        <v/>
      </c>
    </row>
    <row r="486" spans="1:41">
      <c r="A486" s="207" t="str">
        <f t="shared" si="14"/>
        <v>январь</v>
      </c>
      <c r="B486" s="240">
        <v>2024</v>
      </c>
      <c r="C486" s="649"/>
      <c r="D486" s="742"/>
      <c r="E486" s="743"/>
      <c r="F486" s="748"/>
      <c r="G486" s="744"/>
      <c r="H486" s="745"/>
      <c r="I486" s="745"/>
      <c r="J486" s="745"/>
      <c r="K486" s="745"/>
      <c r="L486" s="745"/>
      <c r="M486" s="745"/>
      <c r="N486" s="745"/>
      <c r="O486" s="745"/>
      <c r="P486" s="745"/>
      <c r="Q486" s="745"/>
      <c r="R486" s="745"/>
      <c r="S486" s="745"/>
      <c r="T486" s="745"/>
      <c r="U486" s="745"/>
      <c r="V486" s="745"/>
      <c r="W486" s="745"/>
      <c r="X486" s="745"/>
      <c r="Y486" s="745"/>
      <c r="Z486" s="745"/>
      <c r="AA486" s="745"/>
      <c r="AB486" s="745"/>
      <c r="AC486" s="745"/>
      <c r="AD486" s="745"/>
      <c r="AE486" s="745"/>
      <c r="AF486" s="745"/>
      <c r="AG486" s="745"/>
      <c r="AH486" s="745"/>
      <c r="AI486" s="745"/>
      <c r="AJ486" s="745"/>
      <c r="AK486" s="745"/>
      <c r="AL486" s="745"/>
      <c r="AM486" s="746">
        <f t="shared" si="16"/>
        <v>0</v>
      </c>
      <c r="AN486" s="564">
        <f>IF(AO486&lt;=3,(IF(AND(G486="5/24",AM486&gt;0.5),(AM486*2*база!$M$6*Таблица14[[#This Row],[коэф]]),
IF(AND(G486="4/24",AM486&gt;0.5),(AM486*2*база!$M$5*Таблица14[[#This Row],[коэф]]),
IF(AND(G486="3/24",AM486&gt;0.5),(AM486*2*база!$M$4*Таблица14[[#This Row],[коэф]]),
IF(AND(G486="5/16",AM486&gt;0.5),(AM486*2*база!$L$6*Таблица14[[#This Row],[коэф]]),
IF(AND(G486="4/16",AM486&gt;0.5),(AM486*2*база!$L$5*Таблица14[[#This Row],[коэф]]),
IF(AND(G486="3/16",AM486&gt;0.5),(AM486*2*база!$L$4*Таблица14[[#This Row],[коэф]]),
IF(AND(G486="4/4",AM486&gt;0.5),(AM486*2*база!$I$5*Таблица14[[#This Row],[коэф]]),
IF(OR(AND(G486="3/4",AM486&gt;0.5),AND(G486="2/4",AM486&gt;0.5)),(AM486*2*база!$I$4*Таблица14[[#This Row],[коэф]]),
IF(AND(G486="5/8",AM486&gt;0.5),(AM486*2*база!$J$6*Таблица14[[#This Row],[коэф]]),
IF(AND(G486="4/8",AM486&gt;0.5),(AM486*2*база!$J$5*Таблица14[[#This Row],[коэф]]),
IF(OR(AND(G486="3/8",AM486&gt;0.5),AND(G486="2/8",AM486&gt;0.5)),(AM486*2*база!$J$4*Таблица14[[#This Row],[коэф]]),
(AM486*0.5*база!$L$4*Таблица14[[#This Row],[коэф]]))))))))))))),
(IF(AND(G486="5/24",AM486&gt;0.5),(AM486*2*база!$M$6*Таблица14[[#This Row],[коэф]]),
IF(OR(AND(G486="4/24",AM486&gt;0.5),AND(G486="3/24",AM486&gt;0.5)),(AM486*2*база!$M$5*Таблица14[[#This Row],[коэф]]),
IF(AND(G486="5/16",AM486&gt;0.5),(AM486*2*база!$L$6*Таблица14[[#This Row],[коэф]]),
IF(OR(AND(G486="4/16",AM486&gt;0.5),AND(G486="3/16",AM486&gt;0.5)),(AM486*2*база!$L$5*Таблица14[[#This Row],[коэф]]),
IF(OR(AND(G486="4/4",AM486&gt;0.5),AND(G486="3/4",AM486&gt;2)),(AM486*2*база!$I$5*Таблица14[[#This Row],[коэф]]),
IF(AND(G486="5/8",AM486&gt;0.5),(AM486*2*база!$J$6*Таблица14[[#This Row],[коэф]]),
IF(AND(G486="4/8",AM486&gt;0.5),(AM486*2*база!$J$5*Таблица14[[#This Row],[коэф]]),
IF(OR(AND(G486="3/8",AM486&gt;0.5),AND(G486="2/8",AM486&gt;0.5)),(AM486*2*база!$J$4*Таблица14[[#This Row],[коэф]]),
(AM486*2*база!$L$5*Таблица14[[#This Row],[коэф]])))))))))))</f>
        <v>0</v>
      </c>
      <c r="AO486" s="747" t="str">
        <f>IFERROR(INDEX(база!$D$2:$D$120, MATCH(Таблица14[[#This Row],[Ф. И. О.]],база!$B$2:$B$100,0)),"")</f>
        <v/>
      </c>
    </row>
    <row r="487" spans="1:41">
      <c r="A487" s="207" t="str">
        <f t="shared" si="14"/>
        <v>январь</v>
      </c>
      <c r="B487" s="204">
        <v>2024</v>
      </c>
      <c r="C487" s="649"/>
      <c r="D487" s="742"/>
      <c r="E487" s="743"/>
      <c r="F487" s="748"/>
      <c r="G487" s="744"/>
      <c r="H487" s="745"/>
      <c r="I487" s="745"/>
      <c r="J487" s="745"/>
      <c r="K487" s="745"/>
      <c r="L487" s="745"/>
      <c r="M487" s="745"/>
      <c r="N487" s="745"/>
      <c r="O487" s="745"/>
      <c r="P487" s="745"/>
      <c r="Q487" s="745"/>
      <c r="R487" s="745"/>
      <c r="S487" s="745"/>
      <c r="T487" s="745"/>
      <c r="U487" s="745"/>
      <c r="V487" s="745"/>
      <c r="W487" s="745"/>
      <c r="X487" s="745"/>
      <c r="Y487" s="745"/>
      <c r="Z487" s="745"/>
      <c r="AA487" s="745"/>
      <c r="AB487" s="745"/>
      <c r="AC487" s="745"/>
      <c r="AD487" s="745"/>
      <c r="AE487" s="745"/>
      <c r="AF487" s="745"/>
      <c r="AG487" s="745"/>
      <c r="AH487" s="745"/>
      <c r="AI487" s="745"/>
      <c r="AJ487" s="745"/>
      <c r="AK487" s="745"/>
      <c r="AL487" s="745"/>
      <c r="AM487" s="746">
        <f t="shared" si="16"/>
        <v>0</v>
      </c>
      <c r="AN487" s="564">
        <f>IF(AO487&lt;=3,(IF(AND(G487="5/24",AM487&gt;0.5),(AM487*2*база!$M$6*Таблица14[[#This Row],[коэф]]),
IF(AND(G487="4/24",AM487&gt;0.5),(AM487*2*база!$M$5*Таблица14[[#This Row],[коэф]]),
IF(AND(G487="3/24",AM487&gt;0.5),(AM487*2*база!$M$4*Таблица14[[#This Row],[коэф]]),
IF(AND(G487="5/16",AM487&gt;0.5),(AM487*2*база!$L$6*Таблица14[[#This Row],[коэф]]),
IF(AND(G487="4/16",AM487&gt;0.5),(AM487*2*база!$L$5*Таблица14[[#This Row],[коэф]]),
IF(AND(G487="3/16",AM487&gt;0.5),(AM487*2*база!$L$4*Таблица14[[#This Row],[коэф]]),
IF(AND(G487="4/4",AM487&gt;0.5),(AM487*2*база!$I$5*Таблица14[[#This Row],[коэф]]),
IF(OR(AND(G487="3/4",AM487&gt;0.5),AND(G487="2/4",AM487&gt;0.5)),(AM487*2*база!$I$4*Таблица14[[#This Row],[коэф]]),
IF(AND(G487="5/8",AM487&gt;0.5),(AM487*2*база!$J$6*Таблица14[[#This Row],[коэф]]),
IF(AND(G487="4/8",AM487&gt;0.5),(AM487*2*база!$J$5*Таблица14[[#This Row],[коэф]]),
IF(OR(AND(G487="3/8",AM487&gt;0.5),AND(G487="2/8",AM487&gt;0.5)),(AM487*2*база!$J$4*Таблица14[[#This Row],[коэф]]),
(AM487*0.5*база!$L$4*Таблица14[[#This Row],[коэф]]))))))))))))),
(IF(AND(G487="5/24",AM487&gt;0.5),(AM487*2*база!$M$6*Таблица14[[#This Row],[коэф]]),
IF(OR(AND(G487="4/24",AM487&gt;0.5),AND(G487="3/24",AM487&gt;0.5)),(AM487*2*база!$M$5*Таблица14[[#This Row],[коэф]]),
IF(AND(G487="5/16",AM487&gt;0.5),(AM487*2*база!$L$6*Таблица14[[#This Row],[коэф]]),
IF(OR(AND(G487="4/16",AM487&gt;0.5),AND(G487="3/16",AM487&gt;0.5)),(AM487*2*база!$L$5*Таблица14[[#This Row],[коэф]]),
IF(OR(AND(G487="4/4",AM487&gt;0.5),AND(G487="3/4",AM487&gt;2)),(AM487*2*база!$I$5*Таблица14[[#This Row],[коэф]]),
IF(AND(G487="5/8",AM487&gt;0.5),(AM487*2*база!$J$6*Таблица14[[#This Row],[коэф]]),
IF(AND(G487="4/8",AM487&gt;0.5),(AM487*2*база!$J$5*Таблица14[[#This Row],[коэф]]),
IF(OR(AND(G487="3/8",AM487&gt;0.5),AND(G487="2/8",AM487&gt;0.5)),(AM487*2*база!$J$4*Таблица14[[#This Row],[коэф]]),
(AM487*2*база!$L$5*Таблица14[[#This Row],[коэф]])))))))))))</f>
        <v>0</v>
      </c>
      <c r="AO487" s="747" t="str">
        <f>IFERROR(INDEX(база!$D$2:$D$120, MATCH(Таблица14[[#This Row],[Ф. И. О.]],база!$B$2:$B$100,0)),"")</f>
        <v/>
      </c>
    </row>
    <row r="488" spans="1:41">
      <c r="A488" s="207" t="str">
        <f t="shared" si="14"/>
        <v>январь</v>
      </c>
      <c r="B488" s="240">
        <v>2024</v>
      </c>
      <c r="C488" s="649"/>
      <c r="D488" s="742"/>
      <c r="E488" s="743"/>
      <c r="F488" s="748"/>
      <c r="G488" s="744"/>
      <c r="H488" s="745"/>
      <c r="I488" s="745"/>
      <c r="J488" s="745"/>
      <c r="K488" s="745"/>
      <c r="L488" s="745"/>
      <c r="M488" s="745"/>
      <c r="N488" s="745"/>
      <c r="O488" s="745"/>
      <c r="P488" s="745"/>
      <c r="Q488" s="745"/>
      <c r="R488" s="745"/>
      <c r="S488" s="745"/>
      <c r="T488" s="745"/>
      <c r="U488" s="745"/>
      <c r="V488" s="745"/>
      <c r="W488" s="745"/>
      <c r="X488" s="745"/>
      <c r="Y488" s="745"/>
      <c r="Z488" s="745"/>
      <c r="AA488" s="745"/>
      <c r="AB488" s="745"/>
      <c r="AC488" s="745"/>
      <c r="AD488" s="745"/>
      <c r="AE488" s="745"/>
      <c r="AF488" s="745"/>
      <c r="AG488" s="745"/>
      <c r="AH488" s="745"/>
      <c r="AI488" s="745"/>
      <c r="AJ488" s="745"/>
      <c r="AK488" s="745"/>
      <c r="AL488" s="745"/>
      <c r="AM488" s="746">
        <f t="shared" si="16"/>
        <v>0</v>
      </c>
      <c r="AN488" s="564">
        <f>IF(AO488&lt;=3,(IF(AND(G488="5/24",AM488&gt;0.5),(AM488*2*база!$M$6*Таблица14[[#This Row],[коэф]]),
IF(AND(G488="4/24",AM488&gt;0.5),(AM488*2*база!$M$5*Таблица14[[#This Row],[коэф]]),
IF(AND(G488="3/24",AM488&gt;0.5),(AM488*2*база!$M$4*Таблица14[[#This Row],[коэф]]),
IF(AND(G488="5/16",AM488&gt;0.5),(AM488*2*база!$L$6*Таблица14[[#This Row],[коэф]]),
IF(AND(G488="4/16",AM488&gt;0.5),(AM488*2*база!$L$5*Таблица14[[#This Row],[коэф]]),
IF(AND(G488="3/16",AM488&gt;0.5),(AM488*2*база!$L$4*Таблица14[[#This Row],[коэф]]),
IF(AND(G488="4/4",AM488&gt;0.5),(AM488*2*база!$I$5*Таблица14[[#This Row],[коэф]]),
IF(OR(AND(G488="3/4",AM488&gt;0.5),AND(G488="2/4",AM488&gt;0.5)),(AM488*2*база!$I$4*Таблица14[[#This Row],[коэф]]),
IF(AND(G488="5/8",AM488&gt;0.5),(AM488*2*база!$J$6*Таблица14[[#This Row],[коэф]]),
IF(AND(G488="4/8",AM488&gt;0.5),(AM488*2*база!$J$5*Таблица14[[#This Row],[коэф]]),
IF(OR(AND(G488="3/8",AM488&gt;0.5),AND(G488="2/8",AM488&gt;0.5)),(AM488*2*база!$J$4*Таблица14[[#This Row],[коэф]]),
(AM488*0.5*база!$L$4*Таблица14[[#This Row],[коэф]]))))))))))))),
(IF(AND(G488="5/24",AM488&gt;0.5),(AM488*2*база!$M$6*Таблица14[[#This Row],[коэф]]),
IF(OR(AND(G488="4/24",AM488&gt;0.5),AND(G488="3/24",AM488&gt;0.5)),(AM488*2*база!$M$5*Таблица14[[#This Row],[коэф]]),
IF(AND(G488="5/16",AM488&gt;0.5),(AM488*2*база!$L$6*Таблица14[[#This Row],[коэф]]),
IF(OR(AND(G488="4/16",AM488&gt;0.5),AND(G488="3/16",AM488&gt;0.5)),(AM488*2*база!$L$5*Таблица14[[#This Row],[коэф]]),
IF(OR(AND(G488="4/4",AM488&gt;0.5),AND(G488="3/4",AM488&gt;2)),(AM488*2*база!$I$5*Таблица14[[#This Row],[коэф]]),
IF(AND(G488="5/8",AM488&gt;0.5),(AM488*2*база!$J$6*Таблица14[[#This Row],[коэф]]),
IF(AND(G488="4/8",AM488&gt;0.5),(AM488*2*база!$J$5*Таблица14[[#This Row],[коэф]]),
IF(OR(AND(G488="3/8",AM488&gt;0.5),AND(G488="2/8",AM488&gt;0.5)),(AM488*2*база!$J$4*Таблица14[[#This Row],[коэф]]),
(AM488*2*база!$L$5*Таблица14[[#This Row],[коэф]])))))))))))</f>
        <v>0</v>
      </c>
      <c r="AO488" s="747" t="str">
        <f>IFERROR(INDEX(база!$D$2:$D$120, MATCH(Таблица14[[#This Row],[Ф. И. О.]],база!$B$2:$B$100,0)),"")</f>
        <v/>
      </c>
    </row>
    <row r="489" spans="1:41">
      <c r="A489" s="207" t="str">
        <f t="shared" si="14"/>
        <v>январь</v>
      </c>
      <c r="B489" s="204">
        <v>2024</v>
      </c>
      <c r="C489" s="649"/>
      <c r="D489" s="742"/>
      <c r="E489" s="743"/>
      <c r="F489" s="748"/>
      <c r="G489" s="744"/>
      <c r="H489" s="745"/>
      <c r="I489" s="745"/>
      <c r="J489" s="745"/>
      <c r="K489" s="745"/>
      <c r="L489" s="745"/>
      <c r="M489" s="745"/>
      <c r="N489" s="745"/>
      <c r="O489" s="745"/>
      <c r="P489" s="745"/>
      <c r="Q489" s="745"/>
      <c r="R489" s="745"/>
      <c r="S489" s="745"/>
      <c r="T489" s="745"/>
      <c r="U489" s="745"/>
      <c r="V489" s="745"/>
      <c r="W489" s="745"/>
      <c r="X489" s="745"/>
      <c r="Y489" s="745"/>
      <c r="Z489" s="745"/>
      <c r="AA489" s="745"/>
      <c r="AB489" s="745"/>
      <c r="AC489" s="745"/>
      <c r="AD489" s="745"/>
      <c r="AE489" s="745"/>
      <c r="AF489" s="745"/>
      <c r="AG489" s="745"/>
      <c r="AH489" s="745"/>
      <c r="AI489" s="745"/>
      <c r="AJ489" s="745"/>
      <c r="AK489" s="745"/>
      <c r="AL489" s="745"/>
      <c r="AM489" s="746">
        <f t="shared" si="16"/>
        <v>0</v>
      </c>
      <c r="AN489" s="564">
        <f>IF(AO489&lt;=3,(IF(AND(G489="5/24",AM489&gt;0.5),(AM489*2*база!$M$6*Таблица14[[#This Row],[коэф]]),
IF(AND(G489="4/24",AM489&gt;0.5),(AM489*2*база!$M$5*Таблица14[[#This Row],[коэф]]),
IF(AND(G489="3/24",AM489&gt;0.5),(AM489*2*база!$M$4*Таблица14[[#This Row],[коэф]]),
IF(AND(G489="5/16",AM489&gt;0.5),(AM489*2*база!$L$6*Таблица14[[#This Row],[коэф]]),
IF(AND(G489="4/16",AM489&gt;0.5),(AM489*2*база!$L$5*Таблица14[[#This Row],[коэф]]),
IF(AND(G489="3/16",AM489&gt;0.5),(AM489*2*база!$L$4*Таблица14[[#This Row],[коэф]]),
IF(AND(G489="4/4",AM489&gt;0.5),(AM489*2*база!$I$5*Таблица14[[#This Row],[коэф]]),
IF(OR(AND(G489="3/4",AM489&gt;0.5),AND(G489="2/4",AM489&gt;0.5)),(AM489*2*база!$I$4*Таблица14[[#This Row],[коэф]]),
IF(AND(G489="5/8",AM489&gt;0.5),(AM489*2*база!$J$6*Таблица14[[#This Row],[коэф]]),
IF(AND(G489="4/8",AM489&gt;0.5),(AM489*2*база!$J$5*Таблица14[[#This Row],[коэф]]),
IF(OR(AND(G489="3/8",AM489&gt;0.5),AND(G489="2/8",AM489&gt;0.5)),(AM489*2*база!$J$4*Таблица14[[#This Row],[коэф]]),
(AM489*0.5*база!$L$4*Таблица14[[#This Row],[коэф]]))))))))))))),
(IF(AND(G489="5/24",AM489&gt;0.5),(AM489*2*база!$M$6*Таблица14[[#This Row],[коэф]]),
IF(OR(AND(G489="4/24",AM489&gt;0.5),AND(G489="3/24",AM489&gt;0.5)),(AM489*2*база!$M$5*Таблица14[[#This Row],[коэф]]),
IF(AND(G489="5/16",AM489&gt;0.5),(AM489*2*база!$L$6*Таблица14[[#This Row],[коэф]]),
IF(OR(AND(G489="4/16",AM489&gt;0.5),AND(G489="3/16",AM489&gt;0.5)),(AM489*2*база!$L$5*Таблица14[[#This Row],[коэф]]),
IF(OR(AND(G489="4/4",AM489&gt;0.5),AND(G489="3/4",AM489&gt;2)),(AM489*2*база!$I$5*Таблица14[[#This Row],[коэф]]),
IF(AND(G489="5/8",AM489&gt;0.5),(AM489*2*база!$J$6*Таблица14[[#This Row],[коэф]]),
IF(AND(G489="4/8",AM489&gt;0.5),(AM489*2*база!$J$5*Таблица14[[#This Row],[коэф]]),
IF(OR(AND(G489="3/8",AM489&gt;0.5),AND(G489="2/8",AM489&gt;0.5)),(AM489*2*база!$J$4*Таблица14[[#This Row],[коэф]]),
(AM489*2*база!$L$5*Таблица14[[#This Row],[коэф]])))))))))))</f>
        <v>0</v>
      </c>
      <c r="AO489" s="747" t="str">
        <f>IFERROR(INDEX(база!$D$2:$D$120, MATCH(Таблица14[[#This Row],[Ф. И. О.]],база!$B$2:$B$100,0)),"")</f>
        <v/>
      </c>
    </row>
    <row r="490" spans="1:41">
      <c r="A490" s="207" t="str">
        <f t="shared" ref="A490:A493" si="17">A489</f>
        <v>январь</v>
      </c>
      <c r="B490" s="240">
        <v>2024</v>
      </c>
      <c r="C490" s="649"/>
      <c r="D490" s="742"/>
      <c r="E490" s="743"/>
      <c r="F490" s="748"/>
      <c r="G490" s="744"/>
      <c r="H490" s="745"/>
      <c r="I490" s="745"/>
      <c r="J490" s="745"/>
      <c r="K490" s="745"/>
      <c r="L490" s="745"/>
      <c r="M490" s="745"/>
      <c r="N490" s="745"/>
      <c r="O490" s="745"/>
      <c r="P490" s="745"/>
      <c r="Q490" s="745"/>
      <c r="R490" s="745"/>
      <c r="S490" s="745"/>
      <c r="T490" s="745"/>
      <c r="U490" s="745"/>
      <c r="V490" s="745"/>
      <c r="W490" s="745"/>
      <c r="X490" s="745"/>
      <c r="Y490" s="745"/>
      <c r="Z490" s="745"/>
      <c r="AA490" s="745"/>
      <c r="AB490" s="745"/>
      <c r="AC490" s="745"/>
      <c r="AD490" s="745"/>
      <c r="AE490" s="745"/>
      <c r="AF490" s="745"/>
      <c r="AG490" s="745"/>
      <c r="AH490" s="745"/>
      <c r="AI490" s="745"/>
      <c r="AJ490" s="745"/>
      <c r="AK490" s="745"/>
      <c r="AL490" s="745"/>
      <c r="AM490" s="746">
        <f t="shared" si="16"/>
        <v>0</v>
      </c>
      <c r="AN490" s="564">
        <f>IF(AO490&lt;=3,(IF(AND(G490="5/24",AM490&gt;0.5),(AM490*2*база!$M$6*Таблица14[[#This Row],[коэф]]),
IF(AND(G490="4/24",AM490&gt;0.5),(AM490*2*база!$M$5*Таблица14[[#This Row],[коэф]]),
IF(AND(G490="3/24",AM490&gt;0.5),(AM490*2*база!$M$4*Таблица14[[#This Row],[коэф]]),
IF(AND(G490="5/16",AM490&gt;0.5),(AM490*2*база!$L$6*Таблица14[[#This Row],[коэф]]),
IF(AND(G490="4/16",AM490&gt;0.5),(AM490*2*база!$L$5*Таблица14[[#This Row],[коэф]]),
IF(AND(G490="3/16",AM490&gt;0.5),(AM490*2*база!$L$4*Таблица14[[#This Row],[коэф]]),
IF(AND(G490="4/4",AM490&gt;0.5),(AM490*2*база!$I$5*Таблица14[[#This Row],[коэф]]),
IF(OR(AND(G490="3/4",AM490&gt;0.5),AND(G490="2/4",AM490&gt;0.5)),(AM490*2*база!$I$4*Таблица14[[#This Row],[коэф]]),
IF(AND(G490="5/8",AM490&gt;0.5),(AM490*2*база!$J$6*Таблица14[[#This Row],[коэф]]),
IF(AND(G490="4/8",AM490&gt;0.5),(AM490*2*база!$J$5*Таблица14[[#This Row],[коэф]]),
IF(OR(AND(G490="3/8",AM490&gt;0.5),AND(G490="2/8",AM490&gt;0.5)),(AM490*2*база!$J$4*Таблица14[[#This Row],[коэф]]),
(AM490*0.5*база!$L$4*Таблица14[[#This Row],[коэф]]))))))))))))),
(IF(AND(G490="5/24",AM490&gt;0.5),(AM490*2*база!$M$6*Таблица14[[#This Row],[коэф]]),
IF(OR(AND(G490="4/24",AM490&gt;0.5),AND(G490="3/24",AM490&gt;0.5)),(AM490*2*база!$M$5*Таблица14[[#This Row],[коэф]]),
IF(AND(G490="5/16",AM490&gt;0.5),(AM490*2*база!$L$6*Таблица14[[#This Row],[коэф]]),
IF(OR(AND(G490="4/16",AM490&gt;0.5),AND(G490="3/16",AM490&gt;0.5)),(AM490*2*база!$L$5*Таблица14[[#This Row],[коэф]]),
IF(OR(AND(G490="4/4",AM490&gt;0.5),AND(G490="3/4",AM490&gt;2)),(AM490*2*база!$I$5*Таблица14[[#This Row],[коэф]]),
IF(AND(G490="5/8",AM490&gt;0.5),(AM490*2*база!$J$6*Таблица14[[#This Row],[коэф]]),
IF(AND(G490="4/8",AM490&gt;0.5),(AM490*2*база!$J$5*Таблица14[[#This Row],[коэф]]),
IF(OR(AND(G490="3/8",AM490&gt;0.5),AND(G490="2/8",AM490&gt;0.5)),(AM490*2*база!$J$4*Таблица14[[#This Row],[коэф]]),
(AM490*2*база!$L$5*Таблица14[[#This Row],[коэф]])))))))))))</f>
        <v>0</v>
      </c>
      <c r="AO490" s="747" t="str">
        <f>IFERROR(INDEX(база!$D$2:$D$120, MATCH(Таблица14[[#This Row],[Ф. И. О.]],база!$B$2:$B$100,0)),"")</f>
        <v/>
      </c>
    </row>
    <row r="491" spans="1:41">
      <c r="A491" s="207" t="str">
        <f t="shared" si="17"/>
        <v>январь</v>
      </c>
      <c r="B491" s="204">
        <v>2024</v>
      </c>
      <c r="C491" s="649"/>
      <c r="D491" s="742"/>
      <c r="E491" s="743"/>
      <c r="F491" s="748"/>
      <c r="G491" s="744"/>
      <c r="H491" s="745"/>
      <c r="I491" s="745"/>
      <c r="J491" s="745"/>
      <c r="K491" s="745"/>
      <c r="L491" s="745"/>
      <c r="M491" s="745"/>
      <c r="N491" s="745"/>
      <c r="O491" s="745"/>
      <c r="P491" s="745"/>
      <c r="Q491" s="745"/>
      <c r="R491" s="745"/>
      <c r="S491" s="745"/>
      <c r="T491" s="745"/>
      <c r="U491" s="745"/>
      <c r="V491" s="745"/>
      <c r="W491" s="745"/>
      <c r="X491" s="745"/>
      <c r="Y491" s="745"/>
      <c r="Z491" s="745"/>
      <c r="AA491" s="745"/>
      <c r="AB491" s="745"/>
      <c r="AC491" s="745"/>
      <c r="AD491" s="745"/>
      <c r="AE491" s="745"/>
      <c r="AF491" s="745"/>
      <c r="AG491" s="745"/>
      <c r="AH491" s="745"/>
      <c r="AI491" s="745"/>
      <c r="AJ491" s="745"/>
      <c r="AK491" s="745"/>
      <c r="AL491" s="745"/>
      <c r="AM491" s="746">
        <f t="shared" si="16"/>
        <v>0</v>
      </c>
      <c r="AN491" s="564">
        <f>IF(AO491&lt;=3,(IF(AND(G491="5/24",AM491&gt;0.5),(AM491*2*база!$M$6*Таблица14[[#This Row],[коэф]]),
IF(AND(G491="4/24",AM491&gt;0.5),(AM491*2*база!$M$5*Таблица14[[#This Row],[коэф]]),
IF(AND(G491="3/24",AM491&gt;0.5),(AM491*2*база!$M$4*Таблица14[[#This Row],[коэф]]),
IF(AND(G491="5/16",AM491&gt;0.5),(AM491*2*база!$L$6*Таблица14[[#This Row],[коэф]]),
IF(AND(G491="4/16",AM491&gt;0.5),(AM491*2*база!$L$5*Таблица14[[#This Row],[коэф]]),
IF(AND(G491="3/16",AM491&gt;0.5),(AM491*2*база!$L$4*Таблица14[[#This Row],[коэф]]),
IF(AND(G491="4/4",AM491&gt;0.5),(AM491*2*база!$I$5*Таблица14[[#This Row],[коэф]]),
IF(OR(AND(G491="3/4",AM491&gt;0.5),AND(G491="2/4",AM491&gt;0.5)),(AM491*2*база!$I$4*Таблица14[[#This Row],[коэф]]),
IF(AND(G491="5/8",AM491&gt;0.5),(AM491*2*база!$J$6*Таблица14[[#This Row],[коэф]]),
IF(AND(G491="4/8",AM491&gt;0.5),(AM491*2*база!$J$5*Таблица14[[#This Row],[коэф]]),
IF(OR(AND(G491="3/8",AM491&gt;0.5),AND(G491="2/8",AM491&gt;0.5)),(AM491*2*база!$J$4*Таблица14[[#This Row],[коэф]]),
(AM491*0.5*база!$L$4*Таблица14[[#This Row],[коэф]]))))))))))))),
(IF(AND(G491="5/24",AM491&gt;0.5),(AM491*2*база!$M$6*Таблица14[[#This Row],[коэф]]),
IF(OR(AND(G491="4/24",AM491&gt;0.5),AND(G491="3/24",AM491&gt;0.5)),(AM491*2*база!$M$5*Таблица14[[#This Row],[коэф]]),
IF(AND(G491="5/16",AM491&gt;0.5),(AM491*2*база!$L$6*Таблица14[[#This Row],[коэф]]),
IF(OR(AND(G491="4/16",AM491&gt;0.5),AND(G491="3/16",AM491&gt;0.5)),(AM491*2*база!$L$5*Таблица14[[#This Row],[коэф]]),
IF(OR(AND(G491="4/4",AM491&gt;0.5),AND(G491="3/4",AM491&gt;2)),(AM491*2*база!$I$5*Таблица14[[#This Row],[коэф]]),
IF(AND(G491="5/8",AM491&gt;0.5),(AM491*2*база!$J$6*Таблица14[[#This Row],[коэф]]),
IF(AND(G491="4/8",AM491&gt;0.5),(AM491*2*база!$J$5*Таблица14[[#This Row],[коэф]]),
IF(OR(AND(G491="3/8",AM491&gt;0.5),AND(G491="2/8",AM491&gt;0.5)),(AM491*2*база!$J$4*Таблица14[[#This Row],[коэф]]),
(AM491*2*база!$L$5*Таблица14[[#This Row],[коэф]])))))))))))</f>
        <v>0</v>
      </c>
      <c r="AO491" s="747" t="str">
        <f>IFERROR(INDEX(база!$D$2:$D$120, MATCH(Таблица14[[#This Row],[Ф. И. О.]],база!$B$2:$B$100,0)),"")</f>
        <v/>
      </c>
    </row>
    <row r="492" spans="1:41">
      <c r="A492" s="207" t="str">
        <f t="shared" si="17"/>
        <v>январь</v>
      </c>
      <c r="B492" s="240">
        <v>2024</v>
      </c>
      <c r="C492" s="649"/>
      <c r="D492" s="742"/>
      <c r="E492" s="743"/>
      <c r="F492" s="748"/>
      <c r="G492" s="744"/>
      <c r="H492" s="745"/>
      <c r="I492" s="745"/>
      <c r="J492" s="745"/>
      <c r="K492" s="745"/>
      <c r="L492" s="745"/>
      <c r="M492" s="745"/>
      <c r="N492" s="745"/>
      <c r="O492" s="745"/>
      <c r="P492" s="745"/>
      <c r="Q492" s="745"/>
      <c r="R492" s="745"/>
      <c r="S492" s="745"/>
      <c r="T492" s="745"/>
      <c r="U492" s="745"/>
      <c r="V492" s="745"/>
      <c r="W492" s="745"/>
      <c r="X492" s="745"/>
      <c r="Y492" s="745"/>
      <c r="Z492" s="745"/>
      <c r="AA492" s="745"/>
      <c r="AB492" s="745"/>
      <c r="AC492" s="745"/>
      <c r="AD492" s="745"/>
      <c r="AE492" s="745"/>
      <c r="AF492" s="745"/>
      <c r="AG492" s="745"/>
      <c r="AH492" s="745"/>
      <c r="AI492" s="745"/>
      <c r="AJ492" s="745"/>
      <c r="AK492" s="745"/>
      <c r="AL492" s="745"/>
      <c r="AM492" s="746">
        <f t="shared" si="16"/>
        <v>0</v>
      </c>
      <c r="AN492" s="564">
        <f>IF(AO492&lt;=3,(IF(AND(G492="5/24",AM492&gt;0.5),(AM492*2*база!$M$6*Таблица14[[#This Row],[коэф]]),
IF(AND(G492="4/24",AM492&gt;0.5),(AM492*2*база!$M$5*Таблица14[[#This Row],[коэф]]),
IF(AND(G492="3/24",AM492&gt;0.5),(AM492*2*база!$M$4*Таблица14[[#This Row],[коэф]]),
IF(AND(G492="5/16",AM492&gt;0.5),(AM492*2*база!$L$6*Таблица14[[#This Row],[коэф]]),
IF(AND(G492="4/16",AM492&gt;0.5),(AM492*2*база!$L$5*Таблица14[[#This Row],[коэф]]),
IF(AND(G492="3/16",AM492&gt;0.5),(AM492*2*база!$L$4*Таблица14[[#This Row],[коэф]]),
IF(AND(G492="4/4",AM492&gt;0.5),(AM492*2*база!$I$5*Таблица14[[#This Row],[коэф]]),
IF(OR(AND(G492="3/4",AM492&gt;0.5),AND(G492="2/4",AM492&gt;0.5)),(AM492*2*база!$I$4*Таблица14[[#This Row],[коэф]]),
IF(AND(G492="5/8",AM492&gt;0.5),(AM492*2*база!$J$6*Таблица14[[#This Row],[коэф]]),
IF(AND(G492="4/8",AM492&gt;0.5),(AM492*2*база!$J$5*Таблица14[[#This Row],[коэф]]),
IF(OR(AND(G492="3/8",AM492&gt;0.5),AND(G492="2/8",AM492&gt;0.5)),(AM492*2*база!$J$4*Таблица14[[#This Row],[коэф]]),
(AM492*0.5*база!$L$4*Таблица14[[#This Row],[коэф]]))))))))))))),
(IF(AND(G492="5/24",AM492&gt;0.5),(AM492*2*база!$M$6*Таблица14[[#This Row],[коэф]]),
IF(OR(AND(G492="4/24",AM492&gt;0.5),AND(G492="3/24",AM492&gt;0.5)),(AM492*2*база!$M$5*Таблица14[[#This Row],[коэф]]),
IF(AND(G492="5/16",AM492&gt;0.5),(AM492*2*база!$L$6*Таблица14[[#This Row],[коэф]]),
IF(OR(AND(G492="4/16",AM492&gt;0.5),AND(G492="3/16",AM492&gt;0.5)),(AM492*2*база!$L$5*Таблица14[[#This Row],[коэф]]),
IF(OR(AND(G492="4/4",AM492&gt;0.5),AND(G492="3/4",AM492&gt;2)),(AM492*2*база!$I$5*Таблица14[[#This Row],[коэф]]),
IF(AND(G492="5/8",AM492&gt;0.5),(AM492*2*база!$J$6*Таблица14[[#This Row],[коэф]]),
IF(AND(G492="4/8",AM492&gt;0.5),(AM492*2*база!$J$5*Таблица14[[#This Row],[коэф]]),
IF(OR(AND(G492="3/8",AM492&gt;0.5),AND(G492="2/8",AM492&gt;0.5)),(AM492*2*база!$J$4*Таблица14[[#This Row],[коэф]]),
(AM492*2*база!$L$5*Таблица14[[#This Row],[коэф]])))))))))))</f>
        <v>0</v>
      </c>
      <c r="AO492" s="747" t="str">
        <f>IFERROR(INDEX(база!$D$2:$D$120, MATCH(Таблица14[[#This Row],[Ф. И. О.]],база!$B$2:$B$100,0)),"")</f>
        <v/>
      </c>
    </row>
    <row r="493" spans="1:41">
      <c r="A493" s="207" t="str">
        <f t="shared" si="17"/>
        <v>январь</v>
      </c>
      <c r="B493" s="204">
        <v>2024</v>
      </c>
      <c r="C493" s="649"/>
      <c r="D493" s="742"/>
      <c r="E493" s="743"/>
      <c r="F493" s="748"/>
      <c r="G493" s="744"/>
      <c r="H493" s="745"/>
      <c r="I493" s="745"/>
      <c r="J493" s="745"/>
      <c r="K493" s="745"/>
      <c r="L493" s="745"/>
      <c r="M493" s="745"/>
      <c r="N493" s="745"/>
      <c r="O493" s="745"/>
      <c r="P493" s="745"/>
      <c r="Q493" s="745"/>
      <c r="R493" s="745"/>
      <c r="S493" s="745"/>
      <c r="T493" s="745"/>
      <c r="U493" s="745"/>
      <c r="V493" s="745"/>
      <c r="W493" s="745"/>
      <c r="X493" s="745"/>
      <c r="Y493" s="745"/>
      <c r="Z493" s="745"/>
      <c r="AA493" s="745"/>
      <c r="AB493" s="745"/>
      <c r="AC493" s="745"/>
      <c r="AD493" s="745"/>
      <c r="AE493" s="745"/>
      <c r="AF493" s="745"/>
      <c r="AG493" s="745"/>
      <c r="AH493" s="745"/>
      <c r="AI493" s="745"/>
      <c r="AJ493" s="745"/>
      <c r="AK493" s="745"/>
      <c r="AL493" s="745"/>
      <c r="AM493" s="746">
        <f t="shared" si="16"/>
        <v>0</v>
      </c>
      <c r="AN493" s="564">
        <f>IF(AO493&lt;=3,(IF(AND(G493="5/24",AM493&gt;0.5),(AM493*2*база!$M$6*Таблица14[[#This Row],[коэф]]),
IF(AND(G493="4/24",AM493&gt;0.5),(AM493*2*база!$M$5*Таблица14[[#This Row],[коэф]]),
IF(AND(G493="3/24",AM493&gt;0.5),(AM493*2*база!$M$4*Таблица14[[#This Row],[коэф]]),
IF(AND(G493="5/16",AM493&gt;0.5),(AM493*2*база!$L$6*Таблица14[[#This Row],[коэф]]),
IF(AND(G493="4/16",AM493&gt;0.5),(AM493*2*база!$L$5*Таблица14[[#This Row],[коэф]]),
IF(AND(G493="3/16",AM493&gt;0.5),(AM493*2*база!$L$4*Таблица14[[#This Row],[коэф]]),
IF(AND(G493="4/4",AM493&gt;0.5),(AM493*2*база!$I$5*Таблица14[[#This Row],[коэф]]),
IF(OR(AND(G493="3/4",AM493&gt;0.5),AND(G493="2/4",AM493&gt;0.5)),(AM493*2*база!$I$4*Таблица14[[#This Row],[коэф]]),
IF(AND(G493="5/8",AM493&gt;0.5),(AM493*2*база!$J$6*Таблица14[[#This Row],[коэф]]),
IF(AND(G493="4/8",AM493&gt;0.5),(AM493*2*база!$J$5*Таблица14[[#This Row],[коэф]]),
IF(OR(AND(G493="3/8",AM493&gt;0.5),AND(G493="2/8",AM493&gt;0.5)),(AM493*2*база!$J$4*Таблица14[[#This Row],[коэф]]),
(AM493*0.5*база!$L$4*Таблица14[[#This Row],[коэф]]))))))))))))),
(IF(AND(G493="5/24",AM493&gt;0.5),(AM493*2*база!$M$6*Таблица14[[#This Row],[коэф]]),
IF(OR(AND(G493="4/24",AM493&gt;0.5),AND(G493="3/24",AM493&gt;0.5)),(AM493*2*база!$M$5*Таблица14[[#This Row],[коэф]]),
IF(AND(G493="5/16",AM493&gt;0.5),(AM493*2*база!$L$6*Таблица14[[#This Row],[коэф]]),
IF(OR(AND(G493="4/16",AM493&gt;0.5),AND(G493="3/16",AM493&gt;0.5)),(AM493*2*база!$L$5*Таблица14[[#This Row],[коэф]]),
IF(OR(AND(G493="4/4",AM493&gt;0.5),AND(G493="3/4",AM493&gt;2)),(AM493*2*база!$I$5*Таблица14[[#This Row],[коэф]]),
IF(AND(G493="5/8",AM493&gt;0.5),(AM493*2*база!$J$6*Таблица14[[#This Row],[коэф]]),
IF(AND(G493="4/8",AM493&gt;0.5),(AM493*2*база!$J$5*Таблица14[[#This Row],[коэф]]),
IF(OR(AND(G493="3/8",AM493&gt;0.5),AND(G493="2/8",AM493&gt;0.5)),(AM493*2*база!$J$4*Таблица14[[#This Row],[коэф]]),
(AM493*2*база!$L$5*Таблица14[[#This Row],[коэф]])))))))))))</f>
        <v>0</v>
      </c>
      <c r="AO493" s="747" t="str">
        <f>IFERROR(INDEX(база!$D$2:$D$120, MATCH(Таблица14[[#This Row],[Ф. И. О.]],база!$B$2:$B$100,0)),"")</f>
        <v/>
      </c>
    </row>
    <row r="494" spans="1:41" ht="15">
      <c r="A494" s="768" t="s">
        <v>247</v>
      </c>
      <c r="B494" s="769"/>
      <c r="C494" s="770"/>
      <c r="D494" s="771"/>
      <c r="E494" s="772"/>
      <c r="F494" s="773"/>
      <c r="G494" s="774">
        <f>SUBTOTAL(109,Таблица14[р/р])</f>
        <v>0</v>
      </c>
      <c r="H494" s="774">
        <f>SUBTOTAL(109,Таблица14[1])</f>
        <v>0</v>
      </c>
      <c r="I494" s="774">
        <f>SUBTOTAL(109,Таблица14[2])</f>
        <v>0</v>
      </c>
      <c r="J494" s="774">
        <f>SUBTOTAL(109,Таблица14[3])</f>
        <v>0</v>
      </c>
      <c r="K494" s="774">
        <f>SUBTOTAL(109,Таблица14[4])</f>
        <v>0</v>
      </c>
      <c r="L494" s="774">
        <f>SUBTOTAL(109,Таблица14[5])</f>
        <v>0</v>
      </c>
      <c r="M494" s="774">
        <f>SUBTOTAL(109,Таблица14[6])</f>
        <v>0</v>
      </c>
      <c r="N494" s="774">
        <f>SUBTOTAL(109,Таблица14[7])</f>
        <v>0</v>
      </c>
      <c r="O494" s="774">
        <f>SUBTOTAL(109,Таблица14[8])</f>
        <v>0</v>
      </c>
      <c r="P494" s="774">
        <f>SUBTOTAL(109,Таблица14[9])</f>
        <v>0</v>
      </c>
      <c r="Q494" s="774">
        <f>SUBTOTAL(109,Таблица14[10])</f>
        <v>0</v>
      </c>
      <c r="R494" s="774">
        <f>SUBTOTAL(109,Таблица14[11])</f>
        <v>0</v>
      </c>
      <c r="S494" s="774">
        <f>SUBTOTAL(109,Таблица14[12])</f>
        <v>0</v>
      </c>
      <c r="T494" s="774">
        <f>SUBTOTAL(109,Таблица14[13])</f>
        <v>0</v>
      </c>
      <c r="U494" s="774">
        <f>SUBTOTAL(109,Таблица14[14])</f>
        <v>0</v>
      </c>
      <c r="V494" s="774">
        <f>SUBTOTAL(109,Таблица14[15])</f>
        <v>0</v>
      </c>
      <c r="W494" s="774">
        <f>SUBTOTAL(109,Таблица14[16])</f>
        <v>0</v>
      </c>
      <c r="X494" s="774">
        <f>SUBTOTAL(109,Таблица14[17])</f>
        <v>0</v>
      </c>
      <c r="Y494" s="774">
        <f>SUBTOTAL(109,Таблица14[18])</f>
        <v>0</v>
      </c>
      <c r="Z494" s="774">
        <f>SUBTOTAL(109,Таблица14[19])</f>
        <v>0</v>
      </c>
      <c r="AA494" s="774">
        <f>SUBTOTAL(109,Таблица14[20])</f>
        <v>0</v>
      </c>
      <c r="AB494" s="774">
        <f>SUBTOTAL(109,Таблица14[21])</f>
        <v>0</v>
      </c>
      <c r="AC494" s="774">
        <f>SUBTOTAL(109,Таблица14[22])</f>
        <v>0</v>
      </c>
      <c r="AD494" s="774">
        <f>SUBTOTAL(109,Таблица14[23])</f>
        <v>0</v>
      </c>
      <c r="AE494" s="774">
        <f>SUBTOTAL(109,Таблица14[24])</f>
        <v>0</v>
      </c>
      <c r="AF494" s="774">
        <f>SUBTOTAL(109,Таблица14[25])</f>
        <v>0</v>
      </c>
      <c r="AG494" s="774">
        <f>SUBTOTAL(109,Таблица14[26])</f>
        <v>0</v>
      </c>
      <c r="AH494" s="774">
        <f>SUBTOTAL(109,Таблица14[27])</f>
        <v>0</v>
      </c>
      <c r="AI494" s="774">
        <f>SUBTOTAL(109,Таблица14[28])</f>
        <v>0</v>
      </c>
      <c r="AJ494" s="774">
        <f>SUBTOTAL(109,Таблица14[29])</f>
        <v>0</v>
      </c>
      <c r="AK494" s="774"/>
      <c r="AL494" s="774">
        <f>SUBTOTAL(109,Таблица14[31])</f>
        <v>0</v>
      </c>
      <c r="AM494" s="775">
        <f>SUM(сверхур!$AM$2:$AM$493)</f>
        <v>0</v>
      </c>
      <c r="AN494" s="776">
        <f>SUM(Таблица14[Столбец2])</f>
        <v>0</v>
      </c>
      <c r="AO494" s="777"/>
    </row>
    <row r="501" spans="27:27">
      <c r="AA501" s="46" t="s">
        <v>350</v>
      </c>
    </row>
  </sheetData>
  <sheetProtection formatCells="0" formatColumns="0" formatRows="0" insertColumns="0" insertRows="0" insertHyperlinks="0" deleteColumns="0" deleteRows="0" sort="0" autoFilter="0" pivotTables="0"/>
  <phoneticPr fontId="3" type="noConversion"/>
  <pageMargins left="0.23622047244094491" right="0.23622047244094491" top="0.35433070866141736" bottom="0.35433070866141736" header="0" footer="0"/>
  <pageSetup paperSize="9" scale="45" fitToHeight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E48"/>
  <sheetViews>
    <sheetView workbookViewId="0">
      <selection activeCell="E12" sqref="E12"/>
    </sheetView>
  </sheetViews>
  <sheetFormatPr defaultRowHeight="15"/>
  <cols>
    <col min="1" max="1" style="45" width="9.140625"/>
    <col min="2" max="2" customWidth="true" width="30.42578125"/>
  </cols>
  <sheetData>
    <row r="3" spans="1:5">
      <c r="A3" s="45">
        <v>1</v>
      </c>
      <c r="B3" t="str" s="0">
        <f>расчет!B6</f>
        <v>Авдокушина Елена Николаевна</v>
      </c>
      <c r="C3" s="0">
        <f>расчет!C6</f>
        <v>15118</v>
      </c>
      <c r="D3" s="0">
        <f>расчет!Y6</f>
        <v>0</v>
      </c>
      <c r="E3" s="586">
        <f>расчет!Z6</f>
        <v>0</v>
      </c>
    </row>
    <row r="4" spans="1:5">
      <c r="A4" s="45">
        <v>2</v>
      </c>
      <c r="B4" s="45" t="str">
        <f>расчет!B17</f>
        <v>Аксенов Александр Юрьевич</v>
      </c>
      <c r="C4" s="45">
        <f>расчет!C17</f>
        <v>15799</v>
      </c>
      <c r="D4" s="45">
        <f>расчет!Y17</f>
        <v>0</v>
      </c>
      <c r="E4" s="586">
        <f>расчет!Z17</f>
        <v>0</v>
      </c>
    </row>
    <row r="5" spans="1:5">
      <c r="A5" s="45">
        <v>3</v>
      </c>
      <c r="B5" s="45" t="str">
        <f>расчет!B33</f>
        <v>Аксенова Диана Владимировна</v>
      </c>
      <c r="C5" s="45">
        <f>расчет!C28</f>
        <v>15791</v>
      </c>
      <c r="D5" s="45">
        <f>расчет!Y28</f>
        <v>0</v>
      </c>
      <c r="E5" s="586">
        <f>расчет!Z28</f>
        <v>0</v>
      </c>
    </row>
    <row r="6" spans="1:5">
      <c r="A6" s="45">
        <v>4</v>
      </c>
      <c r="B6" s="45" t="str">
        <f>расчет!B44</f>
        <v>Александрович Екатерина Сергеевна</v>
      </c>
      <c r="C6" s="45">
        <f>расчет!C39</f>
        <v>15816</v>
      </c>
      <c r="D6" s="45">
        <f>расчет!Y39</f>
        <v>0</v>
      </c>
      <c r="E6" s="586">
        <f>расчет!Z39</f>
        <v>0</v>
      </c>
    </row>
    <row r="7" spans="1:5">
      <c r="A7" s="45">
        <v>5</v>
      </c>
      <c r="B7" s="45" t="str">
        <f>расчет!B55</f>
        <v>Алиева Диана Арифовна</v>
      </c>
      <c r="C7" s="45">
        <f>расчет!C50</f>
        <v>16475</v>
      </c>
      <c r="D7" s="45">
        <f>расчет!Y40</f>
        <v>0</v>
      </c>
      <c r="E7" s="586">
        <f>расчет!Z40</f>
        <v>0</v>
      </c>
    </row>
    <row r="8" spans="1:5">
      <c r="A8" s="45">
        <v>6</v>
      </c>
      <c r="B8" s="45" t="str">
        <f>расчет!B66</f>
        <v>Аполосова Ольга Николаевна</v>
      </c>
      <c r="C8" s="45">
        <f>расчет!C61</f>
        <v>17290</v>
      </c>
      <c r="D8" s="45">
        <f>расчет!Y61</f>
        <v>0</v>
      </c>
      <c r="E8" s="586">
        <f>расчет!Z61</f>
        <v>0</v>
      </c>
    </row>
    <row r="9" spans="1:5">
      <c r="A9" s="45">
        <v>7</v>
      </c>
      <c r="B9" s="45"/>
      <c r="C9" s="45"/>
      <c r="D9" s="45"/>
      <c r="E9" s="586"/>
    </row>
    <row r="10" spans="1:5">
      <c r="A10" s="45">
        <v>8</v>
      </c>
      <c r="B10" s="45"/>
      <c r="C10" s="45"/>
      <c r="D10" s="45"/>
      <c r="E10" s="586"/>
    </row>
    <row r="11" spans="1:5">
      <c r="A11" s="45">
        <v>9</v>
      </c>
      <c r="B11" s="45"/>
      <c r="C11" s="45"/>
      <c r="D11" s="45"/>
      <c r="E11" s="586"/>
    </row>
    <row r="12" spans="1:5">
      <c r="A12" s="45">
        <v>10</v>
      </c>
    </row>
    <row r="13" spans="1:5">
      <c r="A13" s="45">
        <v>11</v>
      </c>
    </row>
    <row r="14" spans="1:5">
      <c r="A14" s="45">
        <v>12</v>
      </c>
    </row>
    <row r="15" spans="1:5">
      <c r="A15" s="45">
        <v>13</v>
      </c>
    </row>
    <row r="16" spans="1:5">
      <c r="A16" s="45">
        <v>14</v>
      </c>
    </row>
    <row r="17" spans="1:1">
      <c r="A17" s="45">
        <v>15</v>
      </c>
    </row>
    <row r="18" spans="1:1">
      <c r="A18" s="45">
        <v>16</v>
      </c>
    </row>
    <row r="19" spans="1:1">
      <c r="A19" s="45">
        <v>17</v>
      </c>
    </row>
    <row r="20" spans="1:1">
      <c r="A20" s="45">
        <v>18</v>
      </c>
    </row>
    <row r="21" spans="1:1">
      <c r="A21" s="45">
        <v>19</v>
      </c>
    </row>
    <row r="22" spans="1:1">
      <c r="A22" s="45">
        <v>20</v>
      </c>
    </row>
    <row r="23" spans="1:1">
      <c r="A23" s="45">
        <v>21</v>
      </c>
    </row>
    <row r="24" spans="1:1">
      <c r="A24" s="45">
        <v>22</v>
      </c>
    </row>
    <row r="25" spans="1:1">
      <c r="A25" s="45">
        <v>23</v>
      </c>
    </row>
    <row r="26" spans="1:1">
      <c r="A26" s="45">
        <v>24</v>
      </c>
    </row>
    <row r="27" spans="1:1">
      <c r="A27" s="45">
        <v>25</v>
      </c>
    </row>
    <row r="28" spans="1:1">
      <c r="A28" s="45">
        <v>26</v>
      </c>
    </row>
    <row r="29" spans="1:1">
      <c r="A29" s="45">
        <v>27</v>
      </c>
    </row>
    <row r="30" spans="1:1">
      <c r="A30" s="45">
        <v>28</v>
      </c>
    </row>
    <row r="31" spans="1:1">
      <c r="A31" s="45">
        <v>29</v>
      </c>
    </row>
    <row r="32" spans="1:1">
      <c r="A32" s="45">
        <v>30</v>
      </c>
    </row>
    <row r="33" spans="1:1">
      <c r="A33" s="45">
        <v>31</v>
      </c>
    </row>
    <row r="34" spans="1:1">
      <c r="A34" s="45">
        <v>32</v>
      </c>
    </row>
    <row r="35" spans="1:1">
      <c r="A35" s="45">
        <v>33</v>
      </c>
    </row>
    <row r="36" spans="1:1">
      <c r="A36" s="45">
        <v>34</v>
      </c>
    </row>
    <row r="37" spans="1:1">
      <c r="A37" s="45">
        <v>35</v>
      </c>
    </row>
    <row r="38" spans="1:1">
      <c r="A38" s="45">
        <v>36</v>
      </c>
    </row>
    <row r="39" spans="1:1">
      <c r="A39" s="45">
        <v>37</v>
      </c>
    </row>
    <row r="40" spans="1:1">
      <c r="A40" s="45">
        <v>38</v>
      </c>
    </row>
    <row r="41" spans="1:1">
      <c r="A41" s="45">
        <v>39</v>
      </c>
    </row>
    <row r="42" spans="1:1">
      <c r="A42" s="45">
        <v>40</v>
      </c>
    </row>
    <row r="43" spans="1:1">
      <c r="A43" s="45">
        <v>41</v>
      </c>
    </row>
    <row r="44" spans="1:1">
      <c r="A44" s="45">
        <v>42</v>
      </c>
    </row>
    <row r="45" spans="1:1">
      <c r="A45" s="45">
        <v>43</v>
      </c>
    </row>
    <row r="46" spans="1:1">
      <c r="A46" s="45">
        <v>44</v>
      </c>
    </row>
    <row r="47" spans="1:1">
      <c r="A47" s="45">
        <v>45</v>
      </c>
    </row>
    <row r="48" spans="1:1">
      <c r="A48" s="45">
        <v>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C987"/>
  <sheetViews>
    <sheetView showZeros="0" view="pageBreakPreview" topLeftCell="A912" zoomScale="70" zoomScaleNormal="60" zoomScaleSheetLayoutView="70" workbookViewId="0">
      <selection activeCell="B936" sqref="B936"/>
    </sheetView>
  </sheetViews>
  <sheetFormatPr defaultColWidth="10.28515625" defaultRowHeight="15.75"/>
  <cols>
    <col min="1" max="1" customWidth="true" style="180" width="4.0"/>
    <col min="2" max="2" customWidth="true" style="180" width="46.42578125"/>
    <col min="3" max="3" customWidth="true" style="181" width="7.7109375"/>
    <col min="4" max="4" customWidth="true" style="182" width="6.7109375"/>
    <col min="5" max="5" customWidth="true" style="183" width="8.140625"/>
    <col min="6" max="6" customWidth="true" style="184" width="7.0"/>
    <col min="7" max="7" customWidth="true" style="184" width="9.140625"/>
    <col min="8" max="8" customWidth="true" style="183" width="13.140625"/>
    <col min="9" max="9" customWidth="true" style="183" width="8.0"/>
    <col min="10" max="10" customWidth="true" style="180" width="7.0"/>
    <col min="11" max="11" customWidth="true" style="184" width="7.0"/>
    <col min="12" max="12" customWidth="true" style="183" width="11.140625"/>
    <col min="13" max="13" customWidth="true" hidden="true" style="183" width="7.0"/>
    <col min="14" max="14" customWidth="true" hidden="true" style="184" width="7.0"/>
    <col min="15" max="15" customWidth="true" hidden="true" style="184" width="7.42578125"/>
    <col min="16" max="16" customWidth="true" hidden="true" style="183" width="8.85546875"/>
    <col min="17" max="17" customWidth="true" style="183" width="8.5703125"/>
    <col min="18" max="18" customWidth="true" style="184" width="7.0"/>
    <col min="19" max="19" bestFit="true" customWidth="true" style="184" width="9.42578125"/>
    <col min="20" max="20" bestFit="true" customWidth="true" style="183" width="13.0"/>
    <col min="21" max="21" bestFit="true" customWidth="true" style="183" width="8.140625"/>
    <col min="22" max="22" customWidth="true" style="184" width="7.0"/>
    <col min="23" max="23" bestFit="true" customWidth="true" style="184" width="9.42578125"/>
    <col min="24" max="24" bestFit="true" customWidth="true" style="185" width="13.0"/>
    <col min="25" max="25" customWidth="true" style="180" width="13.0"/>
    <col min="26" max="26" customWidth="true" style="183" width="15.28515625"/>
    <col min="27" max="27" customWidth="true" style="186" width="24.7109375"/>
    <col min="28" max="28" style="180" width="10.28515625"/>
    <col min="29" max="29" bestFit="true" customWidth="true" style="727" width="14.42578125"/>
    <col min="30" max="168" style="180" width="10.28515625"/>
    <col min="169" max="169" bestFit="true" customWidth="true" style="180" width="3.42578125"/>
    <col min="170" max="170" customWidth="true" style="180" width="23.28515625"/>
    <col min="171" max="171" bestFit="true" customWidth="true" style="180" width="7.0"/>
    <col min="172" max="172" customWidth="true" style="180" width="5.7109375"/>
    <col min="173" max="192" customWidth="true" style="180" width="7.0"/>
    <col min="193" max="193" bestFit="true" customWidth="true" style="180" width="7.42578125"/>
    <col min="194" max="194" bestFit="true" customWidth="true" style="180" width="14.28515625"/>
    <col min="195" max="195" customWidth="true" style="180" width="20.42578125"/>
    <col min="196" max="16384" style="180" width="10.28515625"/>
  </cols>
  <sheetData>
    <row r="1" spans="1:29" s="171" customFormat="1" ht="27" customHeight="1">
      <c r="A1" s="298"/>
      <c r="B1" s="298"/>
      <c r="C1" s="298"/>
      <c r="D1" s="298"/>
      <c r="E1" s="298"/>
      <c r="F1" s="298"/>
      <c r="G1" s="298"/>
      <c r="H1" s="803" t="str">
        <f>INDEX(база!AO:AO, MATCH(Data_Tech!AU7,база!AN:AN,0))</f>
        <v>Производственный цех №3, мастерская 39</v>
      </c>
      <c r="I1" s="803"/>
      <c r="J1" s="803"/>
      <c r="K1" s="803"/>
      <c r="L1" s="803"/>
      <c r="M1" s="803"/>
      <c r="N1" s="803"/>
      <c r="O1" s="803"/>
      <c r="P1" s="803"/>
      <c r="Q1" s="803"/>
      <c r="R1" s="803"/>
      <c r="S1" s="803"/>
      <c r="T1" s="803"/>
      <c r="U1" s="803"/>
      <c r="V1" s="298"/>
      <c r="W1" s="298"/>
      <c r="X1" s="298"/>
      <c r="Y1" s="298"/>
      <c r="Z1" s="298"/>
      <c r="AA1" s="298"/>
      <c r="AC1" s="724"/>
    </row>
    <row r="2" spans="1:29" s="171" customFormat="1">
      <c r="A2" s="168"/>
      <c r="B2" s="168"/>
      <c r="C2" s="168"/>
      <c r="D2" s="168"/>
      <c r="E2" s="169"/>
      <c r="F2" s="170"/>
      <c r="G2" s="170"/>
      <c r="H2" s="169"/>
      <c r="I2" s="169"/>
      <c r="L2" s="171" t="s">
        <v>43</v>
      </c>
      <c r="N2" s="170" t="s">
        <v>43</v>
      </c>
      <c r="Q2" s="172" t="str">
        <f>Data_Tech!$A$3</f>
        <v>январь</v>
      </c>
      <c r="R2" s="170"/>
      <c r="S2" s="170"/>
      <c r="T2" s="173">
        <v>2023</v>
      </c>
      <c r="U2" s="169"/>
      <c r="V2" s="170"/>
      <c r="W2" s="170"/>
      <c r="X2" s="174"/>
      <c r="Y2" s="168"/>
      <c r="Z2" s="169"/>
      <c r="AA2" s="175"/>
      <c r="AC2" s="724"/>
    </row>
    <row r="3" spans="1:29" s="179" customFormat="1" ht="16.5" thickBot="1">
      <c r="A3" s="176"/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8"/>
      <c r="Q3" s="176"/>
      <c r="R3" s="177"/>
      <c r="S3" s="177"/>
      <c r="T3" s="177"/>
      <c r="U3" s="177"/>
      <c r="V3" s="177"/>
      <c r="W3" s="177"/>
      <c r="X3" s="177"/>
      <c r="Y3" s="177"/>
      <c r="Z3" s="177"/>
      <c r="AA3" s="177"/>
      <c r="AC3" s="725"/>
    </row>
    <row r="4" spans="1:29" s="371" customFormat="1" ht="16.5" thickBot="1">
      <c r="A4" s="804"/>
      <c r="B4" s="806" t="s">
        <v>33</v>
      </c>
      <c r="C4" s="808" t="s">
        <v>34</v>
      </c>
      <c r="D4" s="810" t="s">
        <v>35</v>
      </c>
      <c r="E4" s="812">
        <v>0.04</v>
      </c>
      <c r="F4" s="813"/>
      <c r="G4" s="813"/>
      <c r="H4" s="814"/>
      <c r="I4" s="812">
        <v>0.08</v>
      </c>
      <c r="J4" s="813"/>
      <c r="K4" s="813"/>
      <c r="L4" s="814"/>
      <c r="M4" s="812">
        <v>0.12</v>
      </c>
      <c r="N4" s="813"/>
      <c r="O4" s="813"/>
      <c r="P4" s="814"/>
      <c r="Q4" s="815">
        <v>0.16</v>
      </c>
      <c r="R4" s="816"/>
      <c r="S4" s="816"/>
      <c r="T4" s="817"/>
      <c r="U4" s="815">
        <v>0.24</v>
      </c>
      <c r="V4" s="816"/>
      <c r="W4" s="816"/>
      <c r="X4" s="817"/>
      <c r="Y4" s="818" t="s">
        <v>36</v>
      </c>
      <c r="Z4" s="820" t="s">
        <v>269</v>
      </c>
      <c r="AA4" s="822" t="s">
        <v>38</v>
      </c>
      <c r="AC4" s="726"/>
    </row>
    <row r="5" spans="1:29" ht="42.75" thickBot="1">
      <c r="A5" s="805"/>
      <c r="B5" s="807"/>
      <c r="C5" s="809"/>
      <c r="D5" s="811"/>
      <c r="E5" s="372" t="s">
        <v>39</v>
      </c>
      <c r="F5" s="373" t="s">
        <v>40</v>
      </c>
      <c r="G5" s="373" t="s">
        <v>41</v>
      </c>
      <c r="H5" s="374" t="s">
        <v>70</v>
      </c>
      <c r="I5" s="375" t="s">
        <v>39</v>
      </c>
      <c r="J5" s="373" t="s">
        <v>40</v>
      </c>
      <c r="K5" s="373" t="s">
        <v>41</v>
      </c>
      <c r="L5" s="374" t="s">
        <v>70</v>
      </c>
      <c r="M5" s="375" t="s">
        <v>39</v>
      </c>
      <c r="N5" s="373" t="s">
        <v>40</v>
      </c>
      <c r="O5" s="373" t="s">
        <v>41</v>
      </c>
      <c r="P5" s="374" t="s">
        <v>70</v>
      </c>
      <c r="Q5" s="375" t="s">
        <v>39</v>
      </c>
      <c r="R5" s="373" t="s">
        <v>40</v>
      </c>
      <c r="S5" s="373" t="s">
        <v>41</v>
      </c>
      <c r="T5" s="374" t="s">
        <v>70</v>
      </c>
      <c r="U5" s="375" t="s">
        <v>39</v>
      </c>
      <c r="V5" s="373" t="s">
        <v>40</v>
      </c>
      <c r="W5" s="373" t="s">
        <v>41</v>
      </c>
      <c r="X5" s="376" t="s">
        <v>70</v>
      </c>
      <c r="Y5" s="819"/>
      <c r="Z5" s="821"/>
      <c r="AA5" s="823"/>
    </row>
    <row r="6" spans="1:29" ht="18.75">
      <c r="A6" s="785">
        <v>1</v>
      </c>
      <c r="B6" s="238"/>
      <c r="C6" s="788">
        <f>INDEX(база!$E$2:$E$81, MATCH(B11,база!$B$2:$B$50,0))</f>
        <v>15118</v>
      </c>
      <c r="D6" s="791">
        <f>INDEX(база!$D$2:$D$89, MATCH(B11,база!$B$2:$B$50,0))</f>
        <v>4</v>
      </c>
      <c r="E6" s="377">
        <f>IF(D6&lt;=3,база!$I$4,
IF(D6=4,база!$I$5,
IF(D6=5,база!$I$6)))</f>
        <v>207.5112</v>
      </c>
      <c r="F6" s="378">
        <v>1</v>
      </c>
      <c r="G6" s="379">
        <f>SUMIFS(Таблица1[Столбец1],Таблица1[коэф],"1",Таблица1[р/р],"2/4",Таблица1[Ф. И. О.],B11)</f>
        <v>0</v>
      </c>
      <c r="H6" s="380">
        <f>ROUND(E6*F6*G6*2,2)</f>
        <v>0</v>
      </c>
      <c r="I6" s="381">
        <f>IF(D6&lt;=3,база!$J$4,
IF(D6=4,база!$J$5,
IF(D6=5,база!$J$6)))</f>
        <v>215.4924</v>
      </c>
      <c r="J6" s="378">
        <v>1</v>
      </c>
      <c r="K6" s="382">
        <f>SUMIFS(Таблица1[Столбец1],Таблица1[коэф],"1",Таблица1[р/р],"2/8",Таблица1[Ф. И. О.],B11)</f>
        <v>0</v>
      </c>
      <c r="L6" s="516">
        <f>ROUND(I6*J6*K6*2,2)</f>
        <v>0</v>
      </c>
      <c r="M6" s="384"/>
      <c r="N6" s="382">
        <v>1</v>
      </c>
      <c r="O6" s="382">
        <f>SUMIFS(Data_Tech!$AM$3:$AM$67,Data_Tech!$E$3:$E$67,"1",Data_Tech!$G$3:$G$67,"3/12",Data_Tech!$F$3:$F$67,B11)</f>
        <v>0</v>
      </c>
      <c r="P6" s="385">
        <f>ROUND(M6*N6*O6,2)</f>
        <v>0</v>
      </c>
      <c r="Q6" s="386">
        <f>IF(D6&lt;=3,база!$L$4,
IF(D6=4,база!$L$5,
IF(D6=5,база!$L$6)))</f>
        <v>231.45480000000001</v>
      </c>
      <c r="R6" s="378">
        <v>1</v>
      </c>
      <c r="S6" s="489">
        <f>SUMIFS(Таблица1[Столбец1],Таблица1[коэф],"1",Таблица1[р/р],"3/16",Таблица1[Ф. И. О.],B11)</f>
        <v>0</v>
      </c>
      <c r="T6" s="490">
        <f>ROUND(Q6*R6*S6*2,2)</f>
        <v>0</v>
      </c>
      <c r="U6" s="388">
        <f>IF(D6&lt;=3,база!$M$4,
IF(D6=4,база!$M$5,
IF(D6=5,база!$M$6)))</f>
        <v>247.41720000000001</v>
      </c>
      <c r="V6" s="378">
        <v>1</v>
      </c>
      <c r="W6" s="489">
        <f>SUMIFS(Таблица1[Столбец1],Таблица1[коэф],"1",Таблица1[р/р],"3/24",Таблица1[Ф. И. О.],B11)</f>
        <v>0</v>
      </c>
      <c r="X6" s="490">
        <f>ROUND(U6*V6*W6*2,2)</f>
        <v>0</v>
      </c>
      <c r="Y6" s="794">
        <f>SUM(G6:G16,K6:K16,O6:O16,S6:S16,W6:W16)</f>
        <v>0</v>
      </c>
      <c r="Z6" s="799">
        <f>IFERROR(SUM(H6:H16,L6:L16,T6:T16,X6:X16),"")</f>
        <v>0</v>
      </c>
      <c r="AA6" s="785"/>
    </row>
    <row r="7" spans="1:29" ht="18.75">
      <c r="A7" s="786"/>
      <c r="C7" s="789"/>
      <c r="D7" s="792"/>
      <c r="E7" s="389">
        <f>IF(D6&lt;=3,база!$I$4,
IF(D6=4,база!$I$5,
IF(D6=5,база!$I$6)))</f>
        <v>207.5112</v>
      </c>
      <c r="F7" s="390">
        <v>1</v>
      </c>
      <c r="G7" s="391">
        <f>SUMIFS(Таблица1[Столбец1],Таблица1[коэф],"1",Таблица1[р/р],"3/4",Таблица1[Ф. И. О.],B11)</f>
        <v>0</v>
      </c>
      <c r="H7" s="392">
        <f t="shared" ref="H7:H70" si="0">ROUND(E7*F7*G7*2,2)</f>
        <v>0</v>
      </c>
      <c r="I7" s="393">
        <f>IF(D6&lt;=3,база!$J$4,
IF(D6=4,база!$J$5,
IF(D6=5,база!$J$6)))</f>
        <v>215.4924</v>
      </c>
      <c r="J7" s="390">
        <v>1</v>
      </c>
      <c r="K7" s="394">
        <f>SUMIFS(Таблица1[Столбец1],Таблица1[коэф],"1",Таблица1[р/р],"3/8",Таблица1[Ф. И. О.],B11)</f>
        <v>0</v>
      </c>
      <c r="L7" s="395">
        <f t="shared" ref="L7:L70" si="1">ROUND(I7*J7*K7*2,2)</f>
        <v>0</v>
      </c>
      <c r="M7" s="405"/>
      <c r="N7" s="394">
        <v>1</v>
      </c>
      <c r="O7" s="394">
        <f>SUMIFS(Data_Tech!$AM$3:$AM$67,Data_Tech!$E$3:$E$67,"1",Data_Tech!$G$3:$G$67,"4/12",Data_Tech!$F$3:$F$67,B11)</f>
        <v>0</v>
      </c>
      <c r="P7" s="406">
        <f>ROUND(M7*O7,2)</f>
        <v>0</v>
      </c>
      <c r="Q7" s="399">
        <f>база!$L$5</f>
        <v>231.45480000000001</v>
      </c>
      <c r="R7" s="390">
        <v>1</v>
      </c>
      <c r="S7" s="491">
        <f>SUMIFS(Таблица1[Столбец1],Таблица1[коэф],"1",Таблица1[р/р],"4/16",Таблица1[Ф. И. О.],B11)</f>
        <v>0</v>
      </c>
      <c r="T7" s="493">
        <f t="shared" ref="T7:T70" si="2">ROUND(Q7*R7*S7*2,2)</f>
        <v>0</v>
      </c>
      <c r="U7" s="401">
        <f>база!$M$5</f>
        <v>247.41720000000001</v>
      </c>
      <c r="V7" s="390">
        <v>1</v>
      </c>
      <c r="W7" s="491">
        <f>SUMIFS(Таблица1[Столбец1],Таблица1[коэф],"1",Таблица1[р/р],"4/24",Таблица1[Ф. И. О.],B11)</f>
        <v>0</v>
      </c>
      <c r="X7" s="493">
        <f t="shared" ref="X7:X70" si="3">ROUND(U7*V7*W7*2,2)</f>
        <v>0</v>
      </c>
      <c r="Y7" s="795"/>
      <c r="Z7" s="797"/>
      <c r="AA7" s="786"/>
    </row>
    <row r="8" spans="1:29" ht="18.75">
      <c r="A8" s="786"/>
      <c r="C8" s="789"/>
      <c r="D8" s="792"/>
      <c r="E8" s="389"/>
      <c r="F8" s="390"/>
      <c r="G8" s="391"/>
      <c r="H8" s="440">
        <f t="shared" si="0"/>
        <v>0</v>
      </c>
      <c r="I8" s="393"/>
      <c r="J8" s="390"/>
      <c r="K8" s="394"/>
      <c r="L8" s="395">
        <f t="shared" si="1"/>
        <v>0</v>
      </c>
      <c r="M8" s="405"/>
      <c r="N8" s="394"/>
      <c r="O8" s="394"/>
      <c r="P8" s="406"/>
      <c r="Q8" s="399">
        <f>база!$L$6</f>
        <v>261.04640000000001</v>
      </c>
      <c r="R8" s="390">
        <v>1</v>
      </c>
      <c r="S8" s="491">
        <f>SUMIFS(Таблица1[Столбец1],Таблица1[коэф],"1",Таблица1[р/р],"5/16",Таблица1[Ф. И. О.],B11)</f>
        <v>0</v>
      </c>
      <c r="T8" s="493"/>
      <c r="U8" s="401">
        <f>база!$M$6</f>
        <v>279.0496</v>
      </c>
      <c r="V8" s="390">
        <v>1</v>
      </c>
      <c r="W8" s="491">
        <f>SUMIFS(Таблица1[Столбец1],Таблица1[коэф],"1",Таблица1[р/р],"5/24",Таблица1[Ф. И. О.],B11)</f>
        <v>0</v>
      </c>
      <c r="X8" s="493">
        <f t="shared" si="3"/>
        <v>0</v>
      </c>
      <c r="Y8" s="795"/>
      <c r="Z8" s="797"/>
      <c r="AA8" s="786"/>
    </row>
    <row r="9" spans="1:29" ht="18.75">
      <c r="A9" s="786"/>
      <c r="B9" s="216"/>
      <c r="C9" s="789"/>
      <c r="D9" s="792"/>
      <c r="E9" s="389"/>
      <c r="F9" s="390"/>
      <c r="G9" s="391"/>
      <c r="H9" s="409">
        <f t="shared" si="0"/>
        <v>0</v>
      </c>
      <c r="I9" s="393">
        <f>база!$J$5</f>
        <v>215.4924</v>
      </c>
      <c r="J9" s="390">
        <v>1.5</v>
      </c>
      <c r="K9" s="394">
        <f>SUMIFS(Таблица1[Столбец1],Таблица1[коэф],"1,5",Таблица1[р/р],"4/8",Таблица1[Ф. И. О.],B11)</f>
        <v>0</v>
      </c>
      <c r="L9" s="395">
        <f t="shared" si="1"/>
        <v>0</v>
      </c>
      <c r="M9" s="405"/>
      <c r="N9" s="394"/>
      <c r="O9" s="394"/>
      <c r="P9" s="406"/>
      <c r="Q9" s="399">
        <f>IF(D6&lt;=3,база!$L$4,
IF(D6=4,база!$L$5,
IF(D6=5,база!$L$6)))</f>
        <v>231.45480000000001</v>
      </c>
      <c r="R9" s="390">
        <v>1.2</v>
      </c>
      <c r="S9" s="491">
        <f>SUMIFS(Таблица1[Столбец1],Таблица1[коэф],"1,2",Таблица1[р/р],"3/16",Таблица1[Ф. И. О.],B11)</f>
        <v>0</v>
      </c>
      <c r="T9" s="493">
        <f t="shared" si="2"/>
        <v>0</v>
      </c>
      <c r="U9" s="401">
        <f>IF(D6&lt;=3,база!$M$4,
IF(D6=4,база!$M$5,
IF(D6=5,база!$M$6)))</f>
        <v>247.41720000000001</v>
      </c>
      <c r="V9" s="390">
        <v>1.2</v>
      </c>
      <c r="W9" s="491">
        <f>SUMIFS(Таблица1[Столбец1],Таблица1[коэф],"1,2",Таблица1[р/р],"3/24",Таблица1[Ф. И. О.],B11)</f>
        <v>0</v>
      </c>
      <c r="X9" s="493">
        <f t="shared" si="3"/>
        <v>0</v>
      </c>
      <c r="Y9" s="795"/>
      <c r="Z9" s="797"/>
      <c r="AA9" s="786"/>
    </row>
    <row r="10" spans="1:29" ht="18.75">
      <c r="A10" s="786"/>
      <c r="B10" s="216"/>
      <c r="C10" s="789"/>
      <c r="D10" s="792"/>
      <c r="E10" s="389"/>
      <c r="F10" s="390"/>
      <c r="G10" s="391"/>
      <c r="H10" s="409">
        <f t="shared" si="0"/>
        <v>0</v>
      </c>
      <c r="I10" s="393">
        <f>база!$J$6</f>
        <v>243.04319999999998</v>
      </c>
      <c r="J10" s="390">
        <v>1.5</v>
      </c>
      <c r="K10" s="394">
        <f>SUMIFS(Таблица1[Столбец1],Таблица1[коэф],"1,5",Таблица1[р/р],"5/8",Таблица1[Ф. И. О.],B11)</f>
        <v>0</v>
      </c>
      <c r="L10" s="424">
        <f t="shared" si="1"/>
        <v>0</v>
      </c>
      <c r="M10" s="405"/>
      <c r="N10" s="394"/>
      <c r="O10" s="394"/>
      <c r="P10" s="406"/>
      <c r="Q10" s="399">
        <f>база!$L$5</f>
        <v>231.45480000000001</v>
      </c>
      <c r="R10" s="403">
        <v>1.2</v>
      </c>
      <c r="S10" s="491">
        <f>SUMIFS(Таблица1[Столбец1],Таблица1[коэф],"1,2",Таблица1[р/р],"4/16",Таблица1[Ф. И. О.],B11)</f>
        <v>0</v>
      </c>
      <c r="T10" s="508"/>
      <c r="U10" s="401">
        <f>база!$M$5</f>
        <v>247.41720000000001</v>
      </c>
      <c r="V10" s="403">
        <v>1.2</v>
      </c>
      <c r="W10" s="491">
        <f>SUMIFS(Таблица1[Столбец1],Таблица1[коэф],"1,2",Таблица1[р/р],"4/24",Таблица1[Ф. И. О.],B11)</f>
        <v>0</v>
      </c>
      <c r="X10" s="508">
        <f t="shared" si="3"/>
        <v>0</v>
      </c>
      <c r="Y10" s="795"/>
      <c r="Z10" s="797"/>
      <c r="AA10" s="786"/>
    </row>
    <row r="11" spans="1:29" ht="18.75">
      <c r="A11" s="786"/>
      <c r="B11" s="216" t="str">
        <f>база!B2</f>
        <v>Авдокушина Елена Николаевна</v>
      </c>
      <c r="C11" s="789"/>
      <c r="D11" s="792"/>
      <c r="E11" s="389"/>
      <c r="F11" s="390"/>
      <c r="G11" s="391"/>
      <c r="H11" s="392">
        <f t="shared" si="0"/>
        <v>0</v>
      </c>
      <c r="I11" s="393"/>
      <c r="J11" s="390"/>
      <c r="K11" s="394"/>
      <c r="L11" s="395">
        <f t="shared" si="1"/>
        <v>0</v>
      </c>
      <c r="M11" s="396"/>
      <c r="N11" s="397"/>
      <c r="O11" s="397"/>
      <c r="P11" s="398"/>
      <c r="Q11" s="399">
        <f>база!$L$6</f>
        <v>261.04640000000001</v>
      </c>
      <c r="R11" s="390">
        <v>1.2</v>
      </c>
      <c r="S11" s="491">
        <f>SUMIFS(Таблица1[Столбец1],Таблица1[коэф],"1,2",Таблица1[р/р],"5/16",Таблица1[Ф. И. О.],B11)</f>
        <v>0</v>
      </c>
      <c r="T11" s="493">
        <f t="shared" si="2"/>
        <v>0</v>
      </c>
      <c r="U11" s="404">
        <f>база!$M$6</f>
        <v>279.0496</v>
      </c>
      <c r="V11" s="390">
        <v>1.2</v>
      </c>
      <c r="W11" s="491">
        <f>SUMIFS(Таблица1[Столбец1],Таблица1[коэф],"1,2",Таблица1[р/р],"5/24",Таблица1[Ф. И. О.],B11)</f>
        <v>0</v>
      </c>
      <c r="X11" s="493">
        <f t="shared" si="3"/>
        <v>0</v>
      </c>
      <c r="Y11" s="795"/>
      <c r="Z11" s="797"/>
      <c r="AA11" s="786"/>
      <c r="AC11" s="727" t="str">
        <f>IF(SUMIFS(Таблица1[Столбец3],Таблица1[Ф. И. О.],B11)-Z6=0,"",SUMIFS(Таблица1[Столбец3],Таблица1[Ф. И. О.],B11)-Z6)</f>
        <v/>
      </c>
    </row>
    <row r="12" spans="1:29" ht="18.75">
      <c r="A12" s="786"/>
      <c r="C12" s="789"/>
      <c r="D12" s="792"/>
      <c r="E12" s="389"/>
      <c r="F12" s="390"/>
      <c r="G12" s="391"/>
      <c r="H12" s="392">
        <f t="shared" si="0"/>
        <v>0</v>
      </c>
      <c r="I12" s="451"/>
      <c r="J12" s="417"/>
      <c r="K12" s="397"/>
      <c r="L12" s="395">
        <f t="shared" si="1"/>
        <v>0</v>
      </c>
      <c r="M12" s="396"/>
      <c r="N12" s="397"/>
      <c r="O12" s="397"/>
      <c r="P12" s="398"/>
      <c r="Q12" s="443">
        <f>IF(D6&lt;=3,база!$L$4,
IF(D6=4,база!$L$5,
IF(D6=5,база!$L$6)))</f>
        <v>231.45480000000001</v>
      </c>
      <c r="R12" s="438">
        <v>1.3</v>
      </c>
      <c r="S12" s="509">
        <f>SUMIFS(Таблица1[Столбец1],Таблица1[коэф],"1,3",Таблица1[р/р],"3/16",Таблица1[Ф. И. О.],B11)</f>
        <v>0</v>
      </c>
      <c r="T12" s="493"/>
      <c r="U12" s="454">
        <f>IF(D6&lt;=3,база!$M$4,
IF(D6=4,база!$M$5,
IF(D6=5,база!$M$6)))</f>
        <v>247.41720000000001</v>
      </c>
      <c r="V12" s="517">
        <v>1.3</v>
      </c>
      <c r="W12" s="500">
        <f>SUMIFS(Таблица1[Столбец1],Таблица1[коэф],"1,3",Таблица1[р/р],"3/24",Таблица1[Ф. И. О.],B11)</f>
        <v>0</v>
      </c>
      <c r="X12" s="493">
        <f t="shared" si="3"/>
        <v>0</v>
      </c>
      <c r="Y12" s="801"/>
      <c r="Z12" s="797"/>
      <c r="AA12" s="786"/>
      <c r="AC12" s="727" t="str">
        <f>IF(SUMIFS(Таблица1[Столбец1],Таблица1[Ф. И. О.],B11)=Y6,"",B11&amp;"  часы не верны")</f>
        <v/>
      </c>
    </row>
    <row r="13" spans="1:29" ht="18.75">
      <c r="A13" s="786"/>
      <c r="B13" s="216"/>
      <c r="C13" s="789"/>
      <c r="D13" s="792"/>
      <c r="E13" s="389"/>
      <c r="F13" s="390"/>
      <c r="G13" s="391"/>
      <c r="H13" s="392">
        <f t="shared" si="0"/>
        <v>0</v>
      </c>
      <c r="I13" s="393"/>
      <c r="J13" s="390"/>
      <c r="K13" s="394"/>
      <c r="L13" s="395">
        <f t="shared" si="1"/>
        <v>0</v>
      </c>
      <c r="M13" s="413"/>
      <c r="N13" s="414"/>
      <c r="O13" s="414"/>
      <c r="P13" s="415"/>
      <c r="Q13" s="399">
        <f>база!$L$5</f>
        <v>231.45480000000001</v>
      </c>
      <c r="R13" s="390">
        <v>1.3</v>
      </c>
      <c r="S13" s="491">
        <f>SUMIFS(Таблица1[Столбец1],Таблица1[коэф],"1,3",Таблица1[р/р],"4/16",Таблица1[Ф. И. О.],B11)</f>
        <v>0</v>
      </c>
      <c r="T13" s="493"/>
      <c r="U13" s="410">
        <f>база!$M$5</f>
        <v>247.41720000000001</v>
      </c>
      <c r="V13" s="411">
        <v>1.3</v>
      </c>
      <c r="W13" s="494">
        <f>SUMIFS(Таблица1[Столбец1],Таблица1[коэф],"1,3",Таблица1[р/р],"4/24",Таблица1[Ф. И. О.],B11)</f>
        <v>0</v>
      </c>
      <c r="X13" s="493">
        <f t="shared" si="3"/>
        <v>0</v>
      </c>
      <c r="Y13" s="801"/>
      <c r="Z13" s="797"/>
      <c r="AA13" s="786"/>
    </row>
    <row r="14" spans="1:29" ht="18.75">
      <c r="A14" s="786"/>
      <c r="B14" s="216"/>
      <c r="C14" s="789"/>
      <c r="D14" s="792"/>
      <c r="E14" s="389"/>
      <c r="F14" s="390"/>
      <c r="G14" s="391"/>
      <c r="H14" s="392">
        <f t="shared" si="0"/>
        <v>0</v>
      </c>
      <c r="I14" s="393"/>
      <c r="J14" s="390"/>
      <c r="K14" s="394"/>
      <c r="L14" s="395">
        <f t="shared" si="1"/>
        <v>0</v>
      </c>
      <c r="M14" s="413"/>
      <c r="N14" s="414"/>
      <c r="O14" s="414"/>
      <c r="P14" s="415"/>
      <c r="Q14" s="416">
        <f>IF(D6&lt;=3,база!$L$4,
IF(D6=4,база!$L$5,
IF(D6=5,база!$L$6)))</f>
        <v>231.45480000000001</v>
      </c>
      <c r="R14" s="417">
        <v>1.4</v>
      </c>
      <c r="S14" s="495">
        <f>SUMIFS(Таблица1[Столбец1],Таблица1[коэф],"1,4",Таблица1[р/р],"3/16",Таблица1[Ф. И. О.],B11)</f>
        <v>0</v>
      </c>
      <c r="T14" s="493">
        <f t="shared" si="2"/>
        <v>0</v>
      </c>
      <c r="U14" s="419">
        <f>IF(D6&lt;=3,база!$M$4,
IF(D6=4,база!$M$5,
IF(D6=5,база!$M$6)))</f>
        <v>247.41720000000001</v>
      </c>
      <c r="V14" s="417">
        <v>1.4</v>
      </c>
      <c r="W14" s="495">
        <f>SUMIFS(Таблица1[Столбец1],Таблица1[коэф],"1,4",Таблица1[р/р],"3/24",Таблица1[Ф. И. О.],B11)</f>
        <v>0</v>
      </c>
      <c r="X14" s="493">
        <f t="shared" si="3"/>
        <v>0</v>
      </c>
      <c r="Y14" s="801"/>
      <c r="Z14" s="797"/>
      <c r="AA14" s="786"/>
    </row>
    <row r="15" spans="1:29" ht="18.75">
      <c r="A15" s="786"/>
      <c r="B15" s="216"/>
      <c r="C15" s="789"/>
      <c r="D15" s="792"/>
      <c r="E15" s="420"/>
      <c r="F15" s="403"/>
      <c r="G15" s="421"/>
      <c r="H15" s="392">
        <f t="shared" si="0"/>
        <v>0</v>
      </c>
      <c r="I15" s="422"/>
      <c r="J15" s="403"/>
      <c r="K15" s="423"/>
      <c r="L15" s="395">
        <f t="shared" si="1"/>
        <v>0</v>
      </c>
      <c r="M15" s="413"/>
      <c r="N15" s="414"/>
      <c r="O15" s="414"/>
      <c r="P15" s="415"/>
      <c r="Q15" s="399">
        <f>база!$L$5</f>
        <v>231.45480000000001</v>
      </c>
      <c r="R15" s="390">
        <v>1.4</v>
      </c>
      <c r="S15" s="491">
        <f>SUMIFS(Таблица1[Столбец1],Таблица1[коэф],"1,4",Таблица1[р/р],"4/16",Таблица1[Ф. И. О.],B11)</f>
        <v>0</v>
      </c>
      <c r="T15" s="493">
        <f t="shared" si="2"/>
        <v>0</v>
      </c>
      <c r="U15" s="401">
        <f>база!$M$5</f>
        <v>247.41720000000001</v>
      </c>
      <c r="V15" s="390">
        <v>1.4</v>
      </c>
      <c r="W15" s="491">
        <f>SUMIFS(Таблица1[Столбец1],Таблица1[коэф],"1,4",Таблица1[р/р],"4/24",Таблица1[Ф. И. О.],B11)</f>
        <v>0</v>
      </c>
      <c r="X15" s="493">
        <f t="shared" si="3"/>
        <v>0</v>
      </c>
      <c r="Y15" s="801"/>
      <c r="Z15" s="797"/>
      <c r="AA15" s="786"/>
    </row>
    <row r="16" spans="1:29" ht="19.5" thickBot="1">
      <c r="A16" s="787"/>
      <c r="B16" s="203"/>
      <c r="C16" s="790"/>
      <c r="D16" s="793"/>
      <c r="E16" s="420"/>
      <c r="F16" s="403"/>
      <c r="G16" s="421"/>
      <c r="H16" s="402">
        <f t="shared" si="0"/>
        <v>0</v>
      </c>
      <c r="I16" s="514"/>
      <c r="J16" s="403"/>
      <c r="K16" s="423"/>
      <c r="L16" s="484">
        <f t="shared" si="1"/>
        <v>0</v>
      </c>
      <c r="M16" s="413"/>
      <c r="N16" s="414"/>
      <c r="O16" s="414"/>
      <c r="P16" s="415"/>
      <c r="Q16" s="407">
        <f>база!$L$6</f>
        <v>261.04640000000001</v>
      </c>
      <c r="R16" s="403">
        <v>1.4</v>
      </c>
      <c r="S16" s="507">
        <f>SUMIFS(Таблица1[Столбец1],Таблица1[коэф],"1,4",Таблица1[р/р],"5/16",Таблица1[Ф. И. О.],B11)</f>
        <v>0</v>
      </c>
      <c r="T16" s="492">
        <f t="shared" si="2"/>
        <v>0</v>
      </c>
      <c r="U16" s="425">
        <f>база!$M$6</f>
        <v>279.0496</v>
      </c>
      <c r="V16" s="403">
        <v>1.4</v>
      </c>
      <c r="W16" s="496">
        <f>SUMIFS(Таблица1[Столбец1],Таблица1[коэф],"1,4",Таблица1[р/р],"5/24",Таблица1[Ф. И. О.],B11)</f>
        <v>0</v>
      </c>
      <c r="X16" s="492">
        <f t="shared" si="3"/>
        <v>0</v>
      </c>
      <c r="Y16" s="802"/>
      <c r="Z16" s="798"/>
      <c r="AA16" s="787"/>
    </row>
    <row r="17" spans="1:29" ht="20.25" customHeight="1">
      <c r="A17" s="785">
        <v>2</v>
      </c>
      <c r="B17" s="216"/>
      <c r="C17" s="788">
        <f>INDEX(база!$E$2:$E$81, MATCH(B22,база!$B$2:$B$50,0))</f>
        <v>15799</v>
      </c>
      <c r="D17" s="791">
        <f>INDEX(база!$D$2:$D$89, MATCH(B22,база!$B$2:$B$50,0))</f>
        <v>3</v>
      </c>
      <c r="E17" s="377">
        <f>IF(D17&lt;=3,база!$I$4,
IF(D17=4,база!$I$5,
IF(D17=5,база!$I$6)))</f>
        <v>188.7912</v>
      </c>
      <c r="F17" s="378">
        <v>1</v>
      </c>
      <c r="G17" s="387">
        <f>SUMIFS(Таблица1[Столбец1],Таблица1[коэф],"1",Таблица1[р/р],"2/4",Таблица1[Ф. И. О.],B22)</f>
        <v>0</v>
      </c>
      <c r="H17" s="518">
        <f t="shared" si="0"/>
        <v>0</v>
      </c>
      <c r="I17" s="381">
        <f>IF(D17&lt;=3,база!$J$4,
IF(D17=4,база!$J$5,
IF(D17=5,база!$J$6)))</f>
        <v>196.05240000000001</v>
      </c>
      <c r="J17" s="378">
        <v>1</v>
      </c>
      <c r="K17" s="428">
        <f>SUMIFS(Таблица1[Столбец1],Таблица1[коэф],"1",Таблица1[р/р],"2/8",Таблица1[Ф. И. О.],B22)</f>
        <v>0</v>
      </c>
      <c r="L17" s="383">
        <f t="shared" si="1"/>
        <v>0</v>
      </c>
      <c r="M17" s="426"/>
      <c r="N17" s="428">
        <v>1</v>
      </c>
      <c r="O17" s="428">
        <f>SUMIFS(Data_Tech!$AM$3:$AM$67,Data_Tech!$E$3:$E$67,"1",Data_Tech!$G$3:$G$67,"3/12",Data_Tech!$F$3:$F$67,B22)</f>
        <v>0</v>
      </c>
      <c r="P17" s="385">
        <f>ROUND(M17*N17*O17,2)</f>
        <v>0</v>
      </c>
      <c r="Q17" s="429">
        <f>IF(D17&lt;=3,база!$L$4,
IF(D17=4,база!$L$5,
IF(D17=5,база!$L$6)))</f>
        <v>210.57480000000001</v>
      </c>
      <c r="R17" s="429">
        <v>1</v>
      </c>
      <c r="S17" s="497">
        <f>SUMIFS(Таблица1[Столбец1],Таблица1[коэф],"1",Таблица1[р/р],"3/16",Таблица1[Ф. И. О.],B22)</f>
        <v>0</v>
      </c>
      <c r="T17" s="490">
        <f t="shared" si="2"/>
        <v>0</v>
      </c>
      <c r="U17" s="431">
        <f>IF(D17&lt;=3,база!$M$4,
IF(D17=4,база!$M$5,
IF(D17=5,база!$M$6)))</f>
        <v>225.09719999999999</v>
      </c>
      <c r="V17" s="378">
        <v>1</v>
      </c>
      <c r="W17" s="497">
        <f>SUMIFS(Таблица1[Столбец1],Таблица1[коэф],"1",Таблица1[р/р],"3/24",Таблица1[Ф. И. О.],B22)</f>
        <v>0</v>
      </c>
      <c r="X17" s="490">
        <f t="shared" si="3"/>
        <v>0</v>
      </c>
      <c r="Y17" s="795">
        <f>SUM(G17:G27,K17:K27,O17:O27,S17:S27,W17:W27)</f>
        <v>0</v>
      </c>
      <c r="Z17" s="797">
        <f>IFERROR(SUM(H17:H27,L17:L27,T17:T27,X17:X27),"")</f>
        <v>0</v>
      </c>
      <c r="AA17" s="786"/>
    </row>
    <row r="18" spans="1:29" ht="20.25" customHeight="1">
      <c r="A18" s="786"/>
      <c r="B18" s="216"/>
      <c r="C18" s="789"/>
      <c r="D18" s="792"/>
      <c r="E18" s="389">
        <f>IF(D17&lt;=3,база!$I$4,
IF(D17=4,база!$I$5,
IF(D17=5,база!$I$6)))</f>
        <v>188.7912</v>
      </c>
      <c r="F18" s="390">
        <v>1</v>
      </c>
      <c r="G18" s="400">
        <f>SUMIFS(Таблица1[Столбец1],Таблица1[коэф],"1",Таблица1[р/р],"3/4",Таблица1[Ф. И. О.],B22)</f>
        <v>0</v>
      </c>
      <c r="H18" s="392">
        <f t="shared" si="0"/>
        <v>0</v>
      </c>
      <c r="I18" s="393">
        <f>IF(D17&lt;=3,база!$J$4,
IF(D17=4,база!$J$5,
IF(D17=5,база!$J$6)))</f>
        <v>196.05240000000001</v>
      </c>
      <c r="J18" s="390">
        <v>1</v>
      </c>
      <c r="K18" s="434">
        <f>SUMIFS(Таблица1[Столбец1],Таблица1[коэф],"1",Таблица1[р/р],"3/8",Таблица1[Ф. И. О.],B22)</f>
        <v>0</v>
      </c>
      <c r="L18" s="395">
        <f t="shared" si="1"/>
        <v>0</v>
      </c>
      <c r="M18" s="432"/>
      <c r="N18" s="434">
        <v>1</v>
      </c>
      <c r="O18" s="434">
        <f>SUMIFS(Data_Tech!$AM$3:$AM$67,Data_Tech!$E$3:$E$67,"1",Data_Tech!$G$3:$G$67,"4/12",Data_Tech!$F$3:$F$67,B22)</f>
        <v>0</v>
      </c>
      <c r="P18" s="406">
        <f>ROUND(M18*O18,2)</f>
        <v>0</v>
      </c>
      <c r="Q18" s="435">
        <f>база!$L$5</f>
        <v>231.45480000000001</v>
      </c>
      <c r="R18" s="435">
        <v>1</v>
      </c>
      <c r="S18" s="494">
        <f>SUMIFS(Таблица1[Столбец1],Таблица1[коэф],"1",Таблица1[р/р],"4/16",Таблица1[Ф. И. О.],B22)</f>
        <v>0</v>
      </c>
      <c r="T18" s="493">
        <f t="shared" si="2"/>
        <v>0</v>
      </c>
      <c r="U18" s="436">
        <f>база!$M$5</f>
        <v>247.41720000000001</v>
      </c>
      <c r="V18" s="390">
        <v>1</v>
      </c>
      <c r="W18" s="494">
        <f>SUMIFS(Таблица1[Столбец1],Таблица1[коэф],"1",Таблица1[р/р],"4/24",Таблица1[Ф. И. О.],B22)</f>
        <v>0</v>
      </c>
      <c r="X18" s="493">
        <f t="shared" si="3"/>
        <v>0</v>
      </c>
      <c r="Y18" s="795"/>
      <c r="Z18" s="797"/>
      <c r="AA18" s="786"/>
    </row>
    <row r="19" spans="1:29" ht="20.25" customHeight="1">
      <c r="A19" s="786"/>
      <c r="B19" s="216"/>
      <c r="C19" s="789"/>
      <c r="D19" s="792"/>
      <c r="E19" s="389"/>
      <c r="F19" s="390"/>
      <c r="G19" s="400"/>
      <c r="H19" s="392">
        <f t="shared" si="0"/>
        <v>0</v>
      </c>
      <c r="I19" s="393"/>
      <c r="J19" s="390"/>
      <c r="K19" s="434"/>
      <c r="L19" s="395">
        <f t="shared" si="1"/>
        <v>0</v>
      </c>
      <c r="M19" s="432"/>
      <c r="N19" s="434"/>
      <c r="O19" s="434"/>
      <c r="P19" s="406"/>
      <c r="Q19" s="399">
        <f>база!$L$6</f>
        <v>261.04640000000001</v>
      </c>
      <c r="R19" s="390">
        <v>1</v>
      </c>
      <c r="S19" s="491">
        <f>SUMIFS(Таблица1[Столбец1],Таблица1[коэф],"1",Таблица1[р/р],"5/16",Таблица1[Ф. И. О.],B22)</f>
        <v>0</v>
      </c>
      <c r="T19" s="492">
        <f t="shared" si="2"/>
        <v>0</v>
      </c>
      <c r="U19" s="436">
        <f>база!$M$6</f>
        <v>279.0496</v>
      </c>
      <c r="V19" s="390">
        <v>1</v>
      </c>
      <c r="W19" s="494">
        <f>SUMIFS(Таблица1[Столбец1],Таблица1[коэф],"1",Таблица1[р/р],"5/24",Таблица1[Ф. И. О.],B22)</f>
        <v>0</v>
      </c>
      <c r="X19" s="493">
        <f t="shared" si="3"/>
        <v>0</v>
      </c>
      <c r="Y19" s="795"/>
      <c r="Z19" s="797"/>
      <c r="AA19" s="786"/>
    </row>
    <row r="20" spans="1:29" ht="20.25" customHeight="1">
      <c r="A20" s="786"/>
      <c r="B20" s="216"/>
      <c r="C20" s="789"/>
      <c r="D20" s="792"/>
      <c r="E20" s="437"/>
      <c r="F20" s="438"/>
      <c r="G20" s="439"/>
      <c r="H20" s="392">
        <f t="shared" si="0"/>
        <v>0</v>
      </c>
      <c r="I20" s="515">
        <f>база!$J$5</f>
        <v>215.4924</v>
      </c>
      <c r="J20" s="438">
        <v>1.5</v>
      </c>
      <c r="K20" s="442">
        <f>SUMIFS(Таблица1[Столбец1],Таблица1[коэф],"1,5",Таблица1[р/р],"4/8",Таблица1[Ф. И. О.],B22)</f>
        <v>0</v>
      </c>
      <c r="L20" s="395">
        <f t="shared" si="1"/>
        <v>0</v>
      </c>
      <c r="M20" s="441"/>
      <c r="N20" s="442"/>
      <c r="O20" s="442"/>
      <c r="P20" s="415"/>
      <c r="Q20" s="443">
        <f>IF(D17&lt;=3,база!$L$4,
IF(D17=4,база!$L$5,
IF(D17=5,база!$L$6)))</f>
        <v>210.57480000000001</v>
      </c>
      <c r="R20" s="438">
        <v>1.2</v>
      </c>
      <c r="S20" s="509">
        <f>SUMIFS(Таблица1[Столбец1],Таблица1[коэф],"1,2",Таблица1[р/р],"3/16",Таблица1[Ф. И. О.],B22)</f>
        <v>0</v>
      </c>
      <c r="T20" s="493">
        <f t="shared" si="2"/>
        <v>0</v>
      </c>
      <c r="U20" s="444">
        <f>IF(D17&lt;=3,база!$M$4,
IF(D17=4,база!$M$5,
IF(D17=5,база!$M$6)))</f>
        <v>225.09719999999999</v>
      </c>
      <c r="V20" s="438">
        <v>1.2</v>
      </c>
      <c r="W20" s="498">
        <f>SUMIFS(Таблица1[Столбец1],Таблица1[коэф],"1,2",Таблица1[р/р],"3/24",Таблица1[Ф. И. О.],B22)</f>
        <v>0</v>
      </c>
      <c r="X20" s="493">
        <f t="shared" si="3"/>
        <v>0</v>
      </c>
      <c r="Y20" s="795"/>
      <c r="Z20" s="797"/>
      <c r="AA20" s="786"/>
    </row>
    <row r="21" spans="1:29" ht="20.25" customHeight="1">
      <c r="A21" s="786"/>
      <c r="B21" s="216"/>
      <c r="C21" s="789"/>
      <c r="D21" s="792"/>
      <c r="E21" s="389"/>
      <c r="F21" s="390"/>
      <c r="G21" s="400"/>
      <c r="H21" s="392">
        <f t="shared" si="0"/>
        <v>0</v>
      </c>
      <c r="I21" s="393">
        <f>база!$J$6</f>
        <v>243.04319999999998</v>
      </c>
      <c r="J21" s="390">
        <v>1.5</v>
      </c>
      <c r="K21" s="434">
        <f>SUMIFS(Таблица1[Столбец1],Таблица1[коэф],"1,5",Таблица1[р/р],"5/8",Таблица1[Ф. И. О.],B22)</f>
        <v>0</v>
      </c>
      <c r="L21" s="395">
        <f t="shared" si="1"/>
        <v>0</v>
      </c>
      <c r="M21" s="432"/>
      <c r="N21" s="434"/>
      <c r="O21" s="434"/>
      <c r="P21" s="406"/>
      <c r="Q21" s="399">
        <f>база!$L$5</f>
        <v>231.45480000000001</v>
      </c>
      <c r="R21" s="390">
        <v>1.2</v>
      </c>
      <c r="S21" s="491">
        <f>SUMIFS(Таблица1[Столбец1],Таблица1[коэф],"1,2",Таблица1[р/р],"4/16",Таблица1[Ф. И. О.],B22)</f>
        <v>0</v>
      </c>
      <c r="T21" s="493">
        <f t="shared" si="2"/>
        <v>0</v>
      </c>
      <c r="U21" s="436">
        <f>база!$M$5</f>
        <v>247.41720000000001</v>
      </c>
      <c r="V21" s="390">
        <v>1.2</v>
      </c>
      <c r="W21" s="494">
        <f>SUMIFS(Таблица1[Столбец1],Таблица1[коэф],"1,2",Таблица1[р/р],"4/24",Таблица1[Ф. И. О.],B22)</f>
        <v>0</v>
      </c>
      <c r="X21" s="493">
        <f t="shared" si="3"/>
        <v>0</v>
      </c>
      <c r="Y21" s="795"/>
      <c r="Z21" s="797"/>
      <c r="AA21" s="786"/>
    </row>
    <row r="22" spans="1:29" ht="20.25" customHeight="1">
      <c r="A22" s="786"/>
      <c r="B22" s="216" t="str">
        <f>база!B3</f>
        <v>Аксенов Александр Юрьевич</v>
      </c>
      <c r="C22" s="789"/>
      <c r="D22" s="792"/>
      <c r="E22" s="437"/>
      <c r="F22" s="438"/>
      <c r="G22" s="439"/>
      <c r="H22" s="392">
        <f t="shared" si="0"/>
        <v>0</v>
      </c>
      <c r="I22" s="515"/>
      <c r="J22" s="438"/>
      <c r="K22" s="442"/>
      <c r="L22" s="395">
        <f t="shared" si="1"/>
        <v>0</v>
      </c>
      <c r="M22" s="441"/>
      <c r="N22" s="442"/>
      <c r="O22" s="442"/>
      <c r="P22" s="415"/>
      <c r="Q22" s="443">
        <f>база!$L$6</f>
        <v>261.04640000000001</v>
      </c>
      <c r="R22" s="438">
        <v>1.2</v>
      </c>
      <c r="S22" s="509">
        <f>SUMIFS(Таблица1[Столбец1],Таблица1[коэф],"1,2",Таблица1[р/р],"5/16",Таблица1[Ф. И. О.],B22)</f>
        <v>0</v>
      </c>
      <c r="T22" s="493">
        <f t="shared" si="2"/>
        <v>0</v>
      </c>
      <c r="U22" s="444">
        <f>база!$M$6</f>
        <v>279.0496</v>
      </c>
      <c r="V22" s="438">
        <v>1.2</v>
      </c>
      <c r="W22" s="498">
        <f>SUMIFS(Таблица1[Столбец1],Таблица1[коэф],"1,2",Таблица1[р/р],"5/24",Таблица1[Ф. И. О.],B22)</f>
        <v>0</v>
      </c>
      <c r="X22" s="493">
        <f t="shared" si="3"/>
        <v>0</v>
      </c>
      <c r="Y22" s="795"/>
      <c r="Z22" s="797"/>
      <c r="AA22" s="786"/>
      <c r="AC22" s="727" t="str">
        <f>IF(SUMIFS(Таблица1[Столбец3],Таблица1[Ф. И. О.],B22)-Z17=0,"",SUMIFS(Таблица1[Столбец3],Таблица1[Ф. И. О.],B22)-Z17)</f>
        <v/>
      </c>
    </row>
    <row r="23" spans="1:29" ht="20.25" customHeight="1">
      <c r="A23" s="786"/>
      <c r="B23" s="216"/>
      <c r="C23" s="789"/>
      <c r="D23" s="792"/>
      <c r="E23" s="389"/>
      <c r="F23" s="390"/>
      <c r="G23" s="400"/>
      <c r="H23" s="392">
        <f t="shared" si="0"/>
        <v>0</v>
      </c>
      <c r="I23" s="393"/>
      <c r="J23" s="390"/>
      <c r="K23" s="434"/>
      <c r="L23" s="395">
        <f t="shared" si="1"/>
        <v>0</v>
      </c>
      <c r="M23" s="432"/>
      <c r="N23" s="434"/>
      <c r="O23" s="434"/>
      <c r="P23" s="406"/>
      <c r="Q23" s="399">
        <f>IF(D17&lt;=3,база!$L$4,
IF(D17=4,база!$L$5,
IF(D17=5,база!$L$6)))</f>
        <v>210.57480000000001</v>
      </c>
      <c r="R23" s="390">
        <v>1.3</v>
      </c>
      <c r="S23" s="491">
        <f>SUMIFS(Таблица1[Столбец1],Таблица1[коэф],"1,3",Таблица1[р/р],"3/16",Таблица1[Ф. И. О.],B22)</f>
        <v>0</v>
      </c>
      <c r="T23" s="492">
        <f t="shared" si="2"/>
        <v>0</v>
      </c>
      <c r="U23" s="436">
        <f>IF(D17&lt;=3,база!$M$4,
IF(D17=4,база!$M$5,
IF(D17=5,база!$M$6)))</f>
        <v>225.09719999999999</v>
      </c>
      <c r="V23" s="390">
        <v>1.3</v>
      </c>
      <c r="W23" s="494">
        <f>SUMIFS(Таблица1[Столбец1],Таблица1[коэф],"1,3",Таблица1[р/р],"3/24",Таблица1[Ф. И. О.],B22)</f>
        <v>0</v>
      </c>
      <c r="X23" s="493">
        <f t="shared" si="3"/>
        <v>0</v>
      </c>
      <c r="Y23" s="795"/>
      <c r="Z23" s="797"/>
      <c r="AA23" s="786"/>
      <c r="AC23" s="727" t="str">
        <f>IF(SUMIFS(Таблица1[Столбец1],Таблица1[Ф. И. О.],B22)=Y17,"",B22&amp;"  часы не верны")</f>
        <v/>
      </c>
    </row>
    <row r="24" spans="1:29" ht="20.25" customHeight="1">
      <c r="A24" s="786"/>
      <c r="B24" s="216"/>
      <c r="C24" s="789"/>
      <c r="D24" s="792"/>
      <c r="E24" s="389"/>
      <c r="F24" s="390"/>
      <c r="G24" s="400"/>
      <c r="H24" s="392">
        <f t="shared" si="0"/>
        <v>0</v>
      </c>
      <c r="I24" s="393"/>
      <c r="J24" s="390"/>
      <c r="K24" s="434"/>
      <c r="L24" s="395">
        <f t="shared" si="1"/>
        <v>0</v>
      </c>
      <c r="M24" s="432"/>
      <c r="N24" s="434"/>
      <c r="O24" s="434"/>
      <c r="P24" s="406"/>
      <c r="Q24" s="399">
        <f>база!$L$5</f>
        <v>231.45480000000001</v>
      </c>
      <c r="R24" s="390">
        <v>1.3</v>
      </c>
      <c r="S24" s="491">
        <f>SUMIFS(Таблица1[Столбец1],Таблица1[коэф],"1,3",Таблица1[р/р],"4/16",Таблица1[Ф. И. О.],B22)</f>
        <v>0</v>
      </c>
      <c r="T24" s="493">
        <f t="shared" si="2"/>
        <v>0</v>
      </c>
      <c r="U24" s="436">
        <f>база!$M$5</f>
        <v>247.41720000000001</v>
      </c>
      <c r="V24" s="390">
        <v>1.3</v>
      </c>
      <c r="W24" s="494">
        <f>SUMIFS(Таблица1[Столбец1],Таблица1[коэф],"1,3",Таблица1[р/р],"4/24",Таблица1[Ф. И. О.],B22)</f>
        <v>0</v>
      </c>
      <c r="X24" s="493">
        <f t="shared" si="3"/>
        <v>0</v>
      </c>
      <c r="Y24" s="795"/>
      <c r="Z24" s="797"/>
      <c r="AA24" s="786"/>
    </row>
    <row r="25" spans="1:29" ht="20.25" customHeight="1">
      <c r="A25" s="786"/>
      <c r="B25" s="216"/>
      <c r="C25" s="789"/>
      <c r="D25" s="792"/>
      <c r="E25" s="437"/>
      <c r="F25" s="438"/>
      <c r="G25" s="439"/>
      <c r="H25" s="392">
        <f t="shared" si="0"/>
        <v>0</v>
      </c>
      <c r="I25" s="515"/>
      <c r="J25" s="438"/>
      <c r="K25" s="442"/>
      <c r="L25" s="395">
        <f t="shared" si="1"/>
        <v>0</v>
      </c>
      <c r="M25" s="441"/>
      <c r="N25" s="442"/>
      <c r="O25" s="442"/>
      <c r="P25" s="415"/>
      <c r="Q25" s="443">
        <f>IF(D17&lt;=3,база!$L$4,
IF(D17=4,база!$L$5,
IF(D17=5,база!$L$6)))</f>
        <v>210.57480000000001</v>
      </c>
      <c r="R25" s="438">
        <v>1.4</v>
      </c>
      <c r="S25" s="509">
        <f>SUMIFS(Таблица1[Столбец1],Таблица1[коэф],"1,4",Таблица1[р/р],"3/16",Таблица1[Ф. И. О.],B22)</f>
        <v>0</v>
      </c>
      <c r="T25" s="493">
        <f t="shared" si="2"/>
        <v>0</v>
      </c>
      <c r="U25" s="444">
        <f>IF(D17&lt;=3,база!$M$4,
IF(D17=4,база!$M$5,
IF(D17=5,база!$M$6)))</f>
        <v>225.09719999999999</v>
      </c>
      <c r="V25" s="438">
        <v>1.4</v>
      </c>
      <c r="W25" s="498">
        <f>SUMIFS(Таблица1[Столбец1],Таблица1[коэф],"1,4",Таблица1[р/р],"3/24",Таблица1[Ф. И. О.],B22)</f>
        <v>0</v>
      </c>
      <c r="X25" s="493">
        <f t="shared" si="3"/>
        <v>0</v>
      </c>
      <c r="Y25" s="795"/>
      <c r="Z25" s="797"/>
      <c r="AA25" s="786"/>
    </row>
    <row r="26" spans="1:29" ht="20.25" customHeight="1">
      <c r="A26" s="786"/>
      <c r="B26" s="216"/>
      <c r="C26" s="789"/>
      <c r="D26" s="792"/>
      <c r="E26" s="389"/>
      <c r="F26" s="390"/>
      <c r="G26" s="400"/>
      <c r="H26" s="402">
        <f t="shared" si="0"/>
        <v>0</v>
      </c>
      <c r="I26" s="393"/>
      <c r="J26" s="390"/>
      <c r="K26" s="434"/>
      <c r="L26" s="395">
        <f t="shared" si="1"/>
        <v>0</v>
      </c>
      <c r="M26" s="432"/>
      <c r="N26" s="434"/>
      <c r="O26" s="434"/>
      <c r="P26" s="406"/>
      <c r="Q26" s="399">
        <f>база!$L$5</f>
        <v>231.45480000000001</v>
      </c>
      <c r="R26" s="390">
        <v>1.4</v>
      </c>
      <c r="S26" s="491">
        <f>SUMIFS(Таблица1[Столбец1],Таблица1[коэф],"1,4",Таблица1[р/р],"4/16",Таблица1[Ф. И. О.],B22)</f>
        <v>0</v>
      </c>
      <c r="T26" s="493">
        <f t="shared" si="2"/>
        <v>0</v>
      </c>
      <c r="U26" s="436">
        <f>база!$M$5</f>
        <v>247.41720000000001</v>
      </c>
      <c r="V26" s="390">
        <v>1.4</v>
      </c>
      <c r="W26" s="494">
        <f>SUMIFS(Таблица1[Столбец1],Таблица1[коэф],"1,4",Таблица1[р/р],"4/24",Таблица1[Ф. И. О.],B22)</f>
        <v>0</v>
      </c>
      <c r="X26" s="493">
        <f t="shared" si="3"/>
        <v>0</v>
      </c>
      <c r="Y26" s="795"/>
      <c r="Z26" s="797"/>
      <c r="AA26" s="786"/>
    </row>
    <row r="27" spans="1:29" ht="20.25" customHeight="1" thickBot="1">
      <c r="A27" s="787"/>
      <c r="B27" s="203"/>
      <c r="C27" s="790"/>
      <c r="D27" s="793"/>
      <c r="E27" s="445"/>
      <c r="F27" s="446"/>
      <c r="G27" s="447"/>
      <c r="H27" s="468">
        <f t="shared" si="0"/>
        <v>0</v>
      </c>
      <c r="I27" s="463"/>
      <c r="J27" s="464"/>
      <c r="K27" s="457"/>
      <c r="L27" s="458">
        <f t="shared" si="1"/>
        <v>0</v>
      </c>
      <c r="M27" s="466"/>
      <c r="N27" s="457"/>
      <c r="O27" s="457"/>
      <c r="P27" s="476"/>
      <c r="Q27" s="467">
        <f>база!$L$6</f>
        <v>261.04640000000001</v>
      </c>
      <c r="R27" s="464">
        <v>1.4</v>
      </c>
      <c r="S27" s="512">
        <f>SUMIFS(Таблица1[Столбец1],Таблица1[коэф],"1,4",Таблица1[р/р],"5/16",Таблица1[Ф. И. О.],B22)</f>
        <v>0</v>
      </c>
      <c r="T27" s="513">
        <f t="shared" si="2"/>
        <v>0</v>
      </c>
      <c r="U27" s="521">
        <f>база!$M$6</f>
        <v>279.0496</v>
      </c>
      <c r="V27" s="464">
        <v>1.4</v>
      </c>
      <c r="W27" s="501">
        <f>SUMIFS(Таблица1[Столбец1],Таблица1[коэф],"1,4",Таблица1[р/р],"5/24",Таблица1[Ф. И. О.],B22)</f>
        <v>0</v>
      </c>
      <c r="X27" s="513">
        <f t="shared" si="3"/>
        <v>0</v>
      </c>
      <c r="Y27" s="796"/>
      <c r="Z27" s="798"/>
      <c r="AA27" s="787"/>
    </row>
    <row r="28" spans="1:29" ht="18.75">
      <c r="A28" s="785">
        <v>3</v>
      </c>
      <c r="B28" s="216"/>
      <c r="C28" s="788">
        <f>INDEX(база!$E$2:$E$81, MATCH(B33,база!$B$2:$B$50,0))</f>
        <v>15791</v>
      </c>
      <c r="D28" s="791">
        <f>INDEX(база!$D$2:$D$89, MATCH(B33,база!$B$2:$B$50,0))</f>
        <v>4</v>
      </c>
      <c r="E28" s="451">
        <f>IF(D28&lt;=3,база!$I$4,
IF(D28=4,база!$I$5,
IF(D28=5,база!$I$6)))</f>
        <v>207.5112</v>
      </c>
      <c r="F28" s="417">
        <v>1</v>
      </c>
      <c r="G28" s="418">
        <f>SUMIFS(Таблица1[Столбец1],Таблица1[коэф],"1",Таблица1[р/р],"2/4",Таблица1[Ф. И. О.],B33)</f>
        <v>0</v>
      </c>
      <c r="H28" s="402">
        <f t="shared" si="0"/>
        <v>0</v>
      </c>
      <c r="I28" s="481">
        <f>IF(D28&lt;=3,база!$J$4,
IF(D28=4,база!$J$5,
IF(D28=5,база!$J$6)))</f>
        <v>215.4924</v>
      </c>
      <c r="J28" s="417">
        <v>1</v>
      </c>
      <c r="K28" s="453">
        <f>SUMIFS(Таблица1[Столбец1],Таблица1[коэф],"1",Таблица1[р/р],"2/8",Таблица1[Ф. И. О.],B33)</f>
        <v>0</v>
      </c>
      <c r="L28" s="484">
        <f t="shared" si="1"/>
        <v>0</v>
      </c>
      <c r="M28" s="452"/>
      <c r="N28" s="453">
        <v>1</v>
      </c>
      <c r="O28" s="453">
        <f>SUMIFS(Data_Tech!$AM$3:$AM$67,Data_Tech!$E$3:$E$67,"1",Data_Tech!$G$3:$G$67,"3/12",Data_Tech!$F$3:$F$67,B33)</f>
        <v>0</v>
      </c>
      <c r="P28" s="453">
        <f>ROUND(M28*N28*O28,2)</f>
        <v>0</v>
      </c>
      <c r="Q28" s="416">
        <f>IF(D28&lt;=3,база!$L$4,
IF(D28=4,база!$L$5,
IF(D28=5,база!$L$6)))</f>
        <v>231.45480000000001</v>
      </c>
      <c r="R28" s="417">
        <v>1</v>
      </c>
      <c r="S28" s="495">
        <f>SUMIFS(Таблица1[Столбец1],Таблица1[коэф],"1",Таблица1[р/р],"3/16",Таблица1[Ф. И. О.],B33)</f>
        <v>0</v>
      </c>
      <c r="T28" s="492">
        <f t="shared" si="2"/>
        <v>0</v>
      </c>
      <c r="U28" s="454">
        <f>IF(D28&lt;=3,база!$M$4,
IF(D28=4,база!$M$5,
IF(D28=5,база!$M$6)))</f>
        <v>247.41720000000001</v>
      </c>
      <c r="V28" s="417">
        <v>1</v>
      </c>
      <c r="W28" s="500">
        <f>SUMIFS(Таблица1[Столбец1],Таблица1[коэф],"1",Таблица1[р/р],"3/24",Таблица1[Ф. И. О.],B33)</f>
        <v>0</v>
      </c>
      <c r="X28" s="492">
        <f t="shared" si="3"/>
        <v>0</v>
      </c>
      <c r="Y28" s="795">
        <f>SUM(G28:G38,K28:K38,O28:O38,S28:S38,W28:W38)</f>
        <v>0</v>
      </c>
      <c r="Z28" s="797">
        <f>IFERROR(SUM(H28:H38,L28:L38,T28:T38,X28:X38),"")</f>
        <v>0</v>
      </c>
      <c r="AA28" s="785"/>
    </row>
    <row r="29" spans="1:29" ht="18.75">
      <c r="A29" s="786"/>
      <c r="B29" s="216"/>
      <c r="C29" s="789"/>
      <c r="D29" s="792"/>
      <c r="E29" s="393">
        <f>IF(D28&lt;=3,база!$I$4,
IF(D28=4,база!$I$5,
IF(D28=5,база!$I$6)))</f>
        <v>207.5112</v>
      </c>
      <c r="F29" s="390">
        <v>1</v>
      </c>
      <c r="G29" s="400">
        <f>SUMIFS(Таблица1[Столбец1],Таблица1[коэф],"1",Таблица1[р/р],"3/4",Таблица1[Ф. И. О.],B33)</f>
        <v>0</v>
      </c>
      <c r="H29" s="392">
        <f t="shared" si="0"/>
        <v>0</v>
      </c>
      <c r="I29" s="389">
        <f>IF(D28&lt;=3,база!$J$4,
IF(D28=4,база!$J$5,
IF(D28=5,база!$J$6)))</f>
        <v>215.4924</v>
      </c>
      <c r="J29" s="390">
        <v>1</v>
      </c>
      <c r="K29" s="434">
        <f>SUMIFS(Таблица1[Столбец1],Таблица1[коэф],"1",Таблица1[р/р],"3/8",Таблица1[Ф. И. О.],B33)</f>
        <v>0</v>
      </c>
      <c r="L29" s="395">
        <f t="shared" si="1"/>
        <v>0</v>
      </c>
      <c r="M29" s="432"/>
      <c r="N29" s="434">
        <v>1</v>
      </c>
      <c r="O29" s="434">
        <f>SUMIFS(Data_Tech!$AM$3:$AM$67,Data_Tech!$E$3:$E$67,"1",Data_Tech!$G$3:$G$67,"4/12",Data_Tech!$F$3:$F$67,B33)</f>
        <v>0</v>
      </c>
      <c r="P29" s="434">
        <f>ROUND(M29*O29,2)</f>
        <v>0</v>
      </c>
      <c r="Q29" s="399">
        <f>база!$L$5</f>
        <v>231.45480000000001</v>
      </c>
      <c r="R29" s="390">
        <v>1</v>
      </c>
      <c r="S29" s="491">
        <f>SUMIFS(Таблица1[Столбец1],Таблица1[коэф],"1",Таблица1[р/р],"4/16",Таблица1[Ф. И. О.],B33)</f>
        <v>0</v>
      </c>
      <c r="T29" s="493">
        <f t="shared" si="2"/>
        <v>0</v>
      </c>
      <c r="U29" s="410">
        <f>база!$M$5</f>
        <v>247.41720000000001</v>
      </c>
      <c r="V29" s="390">
        <v>1</v>
      </c>
      <c r="W29" s="494">
        <f>SUMIFS(Таблица1[Столбец1],Таблица1[коэф],"1",Таблица1[р/р],"4/24",Таблица1[Ф. И. О.],B33)</f>
        <v>0</v>
      </c>
      <c r="X29" s="493">
        <f t="shared" si="3"/>
        <v>0</v>
      </c>
      <c r="Y29" s="795"/>
      <c r="Z29" s="797"/>
      <c r="AA29" s="786"/>
    </row>
    <row r="30" spans="1:29" ht="18.75">
      <c r="A30" s="786"/>
      <c r="B30" s="216"/>
      <c r="C30" s="789"/>
      <c r="D30" s="792"/>
      <c r="E30" s="393"/>
      <c r="F30" s="390"/>
      <c r="G30" s="400"/>
      <c r="H30" s="392">
        <f t="shared" si="0"/>
        <v>0</v>
      </c>
      <c r="I30" s="389"/>
      <c r="J30" s="390"/>
      <c r="K30" s="434"/>
      <c r="L30" s="395">
        <f t="shared" si="1"/>
        <v>0</v>
      </c>
      <c r="M30" s="432"/>
      <c r="N30" s="434"/>
      <c r="O30" s="434"/>
      <c r="P30" s="434"/>
      <c r="Q30" s="399">
        <f>база!$L$6</f>
        <v>261.04640000000001</v>
      </c>
      <c r="R30" s="390">
        <v>1</v>
      </c>
      <c r="S30" s="491">
        <f>SUMIFS(Таблица1[Столбец1],Таблица1[коэф],"1",Таблица1[р/р],"5/16",Таблица1[Ф. И. О.],B33)</f>
        <v>0</v>
      </c>
      <c r="T30" s="493">
        <f t="shared" si="2"/>
        <v>0</v>
      </c>
      <c r="U30" s="410">
        <f>база!$M$6</f>
        <v>279.0496</v>
      </c>
      <c r="V30" s="390">
        <v>1</v>
      </c>
      <c r="W30" s="494">
        <f>SUMIFS(Таблица1[Столбец1],Таблица1[коэф],"1",Таблица1[р/р],"5/24",Таблица1[Ф. И. О.],B33)</f>
        <v>0</v>
      </c>
      <c r="X30" s="493">
        <f t="shared" si="3"/>
        <v>0</v>
      </c>
      <c r="Y30" s="795"/>
      <c r="Z30" s="797"/>
      <c r="AA30" s="786"/>
    </row>
    <row r="31" spans="1:29" ht="18.75">
      <c r="A31" s="786"/>
      <c r="B31" s="216"/>
      <c r="C31" s="789"/>
      <c r="D31" s="792"/>
      <c r="E31" s="393"/>
      <c r="F31" s="390"/>
      <c r="G31" s="400"/>
      <c r="H31" s="392">
        <f t="shared" si="0"/>
        <v>0</v>
      </c>
      <c r="I31" s="389">
        <f>база!$J$5</f>
        <v>215.4924</v>
      </c>
      <c r="J31" s="390">
        <v>1.5</v>
      </c>
      <c r="K31" s="434">
        <f>SUMIFS(Таблица1[Столбец1],Таблица1[коэф],"1,5",Таблица1[р/р],"4/8",Таблица1[Ф. И. О.],B33)</f>
        <v>0</v>
      </c>
      <c r="L31" s="395">
        <f t="shared" si="1"/>
        <v>0</v>
      </c>
      <c r="M31" s="432"/>
      <c r="N31" s="434"/>
      <c r="O31" s="434"/>
      <c r="P31" s="434"/>
      <c r="Q31" s="399">
        <f>IF(D28&lt;=3,база!$L$4,
IF(D28=4,база!$L$5,
IF(D28=5,база!$L$6)))</f>
        <v>231.45480000000001</v>
      </c>
      <c r="R31" s="390">
        <v>1.2</v>
      </c>
      <c r="S31" s="491">
        <f>SUMIFS(Таблица1[Столбец1],Таблица1[коэф],"1,2",Таблица1[р/р],"3/16",Таблица1[Ф. И. О.],B33)</f>
        <v>0</v>
      </c>
      <c r="T31" s="493">
        <f t="shared" si="2"/>
        <v>0</v>
      </c>
      <c r="U31" s="410">
        <f>IF(D28&lt;=3,база!$M$4,
IF(D28=4,база!$M$5,
IF(D28=5,база!$M$6)))</f>
        <v>247.41720000000001</v>
      </c>
      <c r="V31" s="390">
        <v>1.2</v>
      </c>
      <c r="W31" s="494">
        <f>SUMIFS(Таблица1[Столбец1],Таблица1[коэф],"1,2",Таблица1[р/р],"3/24",Таблица1[Ф. И. О.],B33)</f>
        <v>0</v>
      </c>
      <c r="X31" s="493">
        <f t="shared" si="3"/>
        <v>0</v>
      </c>
      <c r="Y31" s="795"/>
      <c r="Z31" s="797"/>
      <c r="AA31" s="786"/>
    </row>
    <row r="32" spans="1:29" ht="18.75">
      <c r="A32" s="786"/>
      <c r="B32" s="216"/>
      <c r="C32" s="789"/>
      <c r="D32" s="792"/>
      <c r="E32" s="393"/>
      <c r="F32" s="390"/>
      <c r="G32" s="400"/>
      <c r="H32" s="402">
        <f t="shared" si="0"/>
        <v>0</v>
      </c>
      <c r="I32" s="481">
        <f>база!$J$6</f>
        <v>243.04319999999998</v>
      </c>
      <c r="J32" s="417">
        <v>1.5</v>
      </c>
      <c r="K32" s="453">
        <f>SUMIFS(Таблица1[Столбец1],Таблица1[коэф],"1,5",Таблица1[р/р],"5/8",Таблица1[Ф. И. О.],B33)</f>
        <v>0</v>
      </c>
      <c r="L32" s="484">
        <f t="shared" si="1"/>
        <v>0</v>
      </c>
      <c r="M32" s="452"/>
      <c r="N32" s="453"/>
      <c r="O32" s="453"/>
      <c r="P32" s="453"/>
      <c r="Q32" s="416">
        <f>база!$L$5</f>
        <v>231.45480000000001</v>
      </c>
      <c r="R32" s="417">
        <v>1.2</v>
      </c>
      <c r="S32" s="495">
        <f>SUMIFS(Таблица1[Столбец1],Таблица1[коэф],"1,2",Таблица1[р/р],"4/16",Таблица1[Ф. И. О.],B33)</f>
        <v>0</v>
      </c>
      <c r="T32" s="492">
        <f t="shared" si="2"/>
        <v>0</v>
      </c>
      <c r="U32" s="454">
        <f>база!$M$5</f>
        <v>247.41720000000001</v>
      </c>
      <c r="V32" s="417">
        <v>1.2</v>
      </c>
      <c r="W32" s="500">
        <f>SUMIFS(Таблица1[Столбец1],Таблица1[коэф],"1,2",Таблица1[р/р],"4/24",Таблица1[Ф. И. О.],B33)</f>
        <v>0</v>
      </c>
      <c r="X32" s="492">
        <f t="shared" si="3"/>
        <v>0</v>
      </c>
      <c r="Y32" s="795"/>
      <c r="Z32" s="797"/>
      <c r="AA32" s="786"/>
    </row>
    <row r="33" spans="1:29" ht="20.25" customHeight="1">
      <c r="A33" s="786"/>
      <c r="B33" s="216" t="str">
        <f>база!B4</f>
        <v>Аксенова Диана Владимировна</v>
      </c>
      <c r="C33" s="789"/>
      <c r="D33" s="792"/>
      <c r="E33" s="393"/>
      <c r="F33" s="390"/>
      <c r="G33" s="400"/>
      <c r="H33" s="392">
        <f t="shared" si="0"/>
        <v>0</v>
      </c>
      <c r="I33" s="389"/>
      <c r="J33" s="390"/>
      <c r="K33" s="434"/>
      <c r="L33" s="395">
        <f t="shared" si="1"/>
        <v>0</v>
      </c>
      <c r="M33" s="432"/>
      <c r="N33" s="434"/>
      <c r="O33" s="434"/>
      <c r="P33" s="434"/>
      <c r="Q33" s="399">
        <f>база!$L$6</f>
        <v>261.04640000000001</v>
      </c>
      <c r="R33" s="390">
        <v>1.2</v>
      </c>
      <c r="S33" s="491">
        <f>SUMIFS(Таблица1[Столбец1],Таблица1[коэф],"1,2",Таблица1[р/р],"5/16",Таблица1[Ф. И. О.],B33)</f>
        <v>0</v>
      </c>
      <c r="T33" s="493">
        <f t="shared" si="2"/>
        <v>0</v>
      </c>
      <c r="U33" s="410">
        <f>база!$M$6</f>
        <v>279.0496</v>
      </c>
      <c r="V33" s="390">
        <v>1.2</v>
      </c>
      <c r="W33" s="494">
        <f>SUMIFS(Таблица1[Столбец1],Таблица1[коэф],"1,2",Таблица1[р/р],"5/24",Таблица1[Ф. И. О.],B33)</f>
        <v>0</v>
      </c>
      <c r="X33" s="493">
        <f t="shared" si="3"/>
        <v>0</v>
      </c>
      <c r="Y33" s="795"/>
      <c r="Z33" s="797"/>
      <c r="AA33" s="786"/>
      <c r="AC33" s="727" t="str">
        <f>IF(SUMIFS(Таблица1[Столбец3],Таблица1[Ф. И. О.],B33)-Z28=0,"",SUMIFS(Таблица1[Столбец3],Таблица1[Ф. И. О.],B33)-Z28)</f>
        <v/>
      </c>
    </row>
    <row r="34" spans="1:29" ht="18.75">
      <c r="A34" s="786"/>
      <c r="B34" s="216"/>
      <c r="C34" s="789"/>
      <c r="D34" s="792"/>
      <c r="E34" s="393"/>
      <c r="F34" s="390"/>
      <c r="G34" s="400"/>
      <c r="H34" s="392">
        <f t="shared" si="0"/>
        <v>0</v>
      </c>
      <c r="I34" s="389"/>
      <c r="J34" s="390"/>
      <c r="K34" s="434"/>
      <c r="L34" s="395">
        <f t="shared" si="1"/>
        <v>0</v>
      </c>
      <c r="M34" s="432"/>
      <c r="N34" s="434"/>
      <c r="O34" s="434"/>
      <c r="P34" s="434"/>
      <c r="Q34" s="399">
        <f>IF(D28&lt;=3,база!$L$4,
IF(D28=4,база!$L$5,
IF(D28=5,база!$L$6)))</f>
        <v>231.45480000000001</v>
      </c>
      <c r="R34" s="390">
        <v>1.3</v>
      </c>
      <c r="S34" s="491">
        <f>SUMIFS(Таблица1[Столбец1],Таблица1[коэф],"1,3",Таблица1[р/р],"3/16",Таблица1[Ф. И. О.],B33)</f>
        <v>0</v>
      </c>
      <c r="T34" s="493">
        <f t="shared" si="2"/>
        <v>0</v>
      </c>
      <c r="U34" s="410">
        <f>IF(D28&lt;=3,база!$M$4,
IF(D28=4,база!$M$5,
IF(D28=5,база!$M$6)))</f>
        <v>247.41720000000001</v>
      </c>
      <c r="V34" s="390">
        <v>1.3</v>
      </c>
      <c r="W34" s="494">
        <f>SUMIFS(Таблица1[Столбец1],Таблица1[коэф],"1,3",Таблица1[р/р],"3/24",Таблица1[Ф. И. О.],B33)</f>
        <v>0</v>
      </c>
      <c r="X34" s="493">
        <f t="shared" si="3"/>
        <v>0</v>
      </c>
      <c r="Y34" s="795"/>
      <c r="Z34" s="797"/>
      <c r="AA34" s="786"/>
      <c r="AC34" s="727" t="str">
        <f>IF(SUMIFS(Таблица1[Столбец1],Таблица1[Ф. И. О.],B33)=Y28,"",B33&amp;"  часы не верны")</f>
        <v/>
      </c>
    </row>
    <row r="35" spans="1:29" ht="18.75">
      <c r="A35" s="786"/>
      <c r="B35" s="216"/>
      <c r="C35" s="789"/>
      <c r="D35" s="792"/>
      <c r="E35" s="393"/>
      <c r="F35" s="390"/>
      <c r="G35" s="400"/>
      <c r="H35" s="392">
        <f t="shared" si="0"/>
        <v>0</v>
      </c>
      <c r="I35" s="389"/>
      <c r="J35" s="390"/>
      <c r="K35" s="434"/>
      <c r="L35" s="395">
        <f t="shared" si="1"/>
        <v>0</v>
      </c>
      <c r="M35" s="432"/>
      <c r="N35" s="434"/>
      <c r="O35" s="434"/>
      <c r="P35" s="434"/>
      <c r="Q35" s="399">
        <f>база!$L$5</f>
        <v>231.45480000000001</v>
      </c>
      <c r="R35" s="390">
        <v>1.3</v>
      </c>
      <c r="S35" s="491">
        <f>SUMIFS(Таблица1[Столбец1],Таблица1[коэф],"1,3",Таблица1[р/р],"4/16",Таблица1[Ф. И. О.],B33)</f>
        <v>0</v>
      </c>
      <c r="T35" s="493">
        <f t="shared" si="2"/>
        <v>0</v>
      </c>
      <c r="U35" s="410">
        <f>база!$M$5</f>
        <v>247.41720000000001</v>
      </c>
      <c r="V35" s="390">
        <v>1.3</v>
      </c>
      <c r="W35" s="494">
        <f>SUMIFS(Таблица1[Столбец1],Таблица1[коэф],"1,3",Таблица1[р/р],"4/24",Таблица1[Ф. И. О.],B33)</f>
        <v>0</v>
      </c>
      <c r="X35" s="493">
        <f t="shared" si="3"/>
        <v>0</v>
      </c>
      <c r="Y35" s="795"/>
      <c r="Z35" s="797"/>
      <c r="AA35" s="786"/>
    </row>
    <row r="36" spans="1:29" ht="18.75">
      <c r="A36" s="786"/>
      <c r="B36" s="216"/>
      <c r="C36" s="789"/>
      <c r="D36" s="792"/>
      <c r="E36" s="393"/>
      <c r="F36" s="390"/>
      <c r="G36" s="400"/>
      <c r="H36" s="392">
        <f t="shared" si="0"/>
        <v>0</v>
      </c>
      <c r="I36" s="389"/>
      <c r="J36" s="390"/>
      <c r="K36" s="434"/>
      <c r="L36" s="395">
        <f t="shared" si="1"/>
        <v>0</v>
      </c>
      <c r="M36" s="432"/>
      <c r="N36" s="434"/>
      <c r="O36" s="434"/>
      <c r="P36" s="434"/>
      <c r="Q36" s="399">
        <f>IF(D28&lt;=3,база!$L$4,
IF(D28=4,база!$L$5,
IF(D28=5,база!$L$6)))</f>
        <v>231.45480000000001</v>
      </c>
      <c r="R36" s="390">
        <v>1.4</v>
      </c>
      <c r="S36" s="491">
        <f>SUMIFS(Таблица1[Столбец1],Таблица1[коэф],"1,4",Таблица1[р/р],"3/16",Таблица1[Ф. И. О.],B33)</f>
        <v>0</v>
      </c>
      <c r="T36" s="493">
        <f t="shared" si="2"/>
        <v>0</v>
      </c>
      <c r="U36" s="410">
        <f>IF(D28&lt;=3,база!$M$4,
IF(D28=4,база!$M$5,
IF(D28=5,база!$M$6)))</f>
        <v>247.41720000000001</v>
      </c>
      <c r="V36" s="390">
        <v>1.4</v>
      </c>
      <c r="W36" s="494">
        <f>SUMIFS(Таблица1[Столбец1],Таблица1[коэф],"1,4",Таблица1[р/р],"3/24",Таблица1[Ф. И. О.],B33)</f>
        <v>0</v>
      </c>
      <c r="X36" s="493">
        <f t="shared" si="3"/>
        <v>0</v>
      </c>
      <c r="Y36" s="795"/>
      <c r="Z36" s="797"/>
      <c r="AA36" s="786"/>
    </row>
    <row r="37" spans="1:29" ht="18.75">
      <c r="A37" s="786"/>
      <c r="B37" s="216"/>
      <c r="C37" s="789"/>
      <c r="D37" s="792"/>
      <c r="E37" s="393"/>
      <c r="F37" s="390"/>
      <c r="G37" s="400"/>
      <c r="H37" s="392">
        <f t="shared" si="0"/>
        <v>0</v>
      </c>
      <c r="I37" s="389"/>
      <c r="J37" s="390"/>
      <c r="K37" s="434"/>
      <c r="L37" s="395">
        <f t="shared" si="1"/>
        <v>0</v>
      </c>
      <c r="M37" s="432"/>
      <c r="N37" s="434"/>
      <c r="O37" s="434"/>
      <c r="P37" s="434"/>
      <c r="Q37" s="399">
        <f>база!$L$5</f>
        <v>231.45480000000001</v>
      </c>
      <c r="R37" s="390">
        <v>1.4</v>
      </c>
      <c r="S37" s="491">
        <f>SUMIFS(Таблица1[Столбец1],Таблица1[коэф],"1,4",Таблица1[р/р],"4/16",Таблица1[Ф. И. О.],B33)</f>
        <v>0</v>
      </c>
      <c r="T37" s="493">
        <f t="shared" si="2"/>
        <v>0</v>
      </c>
      <c r="U37" s="410">
        <f>база!$M$5</f>
        <v>247.41720000000001</v>
      </c>
      <c r="V37" s="390">
        <v>1.4</v>
      </c>
      <c r="W37" s="494">
        <f>SUMIFS(Таблица1[Столбец1],Таблица1[коэф],"1,4",Таблица1[р/р],"4/24",Таблица1[Ф. И. О.],B33)</f>
        <v>0</v>
      </c>
      <c r="X37" s="493">
        <f t="shared" si="3"/>
        <v>0</v>
      </c>
      <c r="Y37" s="795"/>
      <c r="Z37" s="797"/>
      <c r="AA37" s="786"/>
    </row>
    <row r="38" spans="1:29" ht="19.5" thickBot="1">
      <c r="A38" s="787"/>
      <c r="B38" s="216"/>
      <c r="C38" s="790"/>
      <c r="D38" s="793"/>
      <c r="E38" s="422"/>
      <c r="F38" s="403"/>
      <c r="G38" s="408"/>
      <c r="H38" s="402">
        <f t="shared" si="0"/>
        <v>0</v>
      </c>
      <c r="I38" s="445"/>
      <c r="J38" s="446"/>
      <c r="K38" s="449"/>
      <c r="L38" s="484">
        <f t="shared" si="1"/>
        <v>0</v>
      </c>
      <c r="M38" s="441"/>
      <c r="N38" s="442"/>
      <c r="O38" s="442"/>
      <c r="P38" s="442"/>
      <c r="Q38" s="443">
        <f>база!$L$6</f>
        <v>261.04640000000001</v>
      </c>
      <c r="R38" s="438">
        <v>1.4</v>
      </c>
      <c r="S38" s="509">
        <f>SUMIFS(Таблица1[Столбец1],Таблица1[коэф],"1,4",Таблица1[р/р],"5/16",Таблица1[Ф. И. О.],B33)</f>
        <v>0</v>
      </c>
      <c r="T38" s="492">
        <f t="shared" si="2"/>
        <v>0</v>
      </c>
      <c r="U38" s="519">
        <f>база!$M$6</f>
        <v>279.0496</v>
      </c>
      <c r="V38" s="438">
        <v>1.4</v>
      </c>
      <c r="W38" s="498">
        <f>SUMIFS(Таблица1[Столбец1],Таблица1[коэф],"1,4",Таблица1[р/р],"5/24",Таблица1[Ф. И. О.],B33)</f>
        <v>0</v>
      </c>
      <c r="X38" s="492">
        <f t="shared" si="3"/>
        <v>0</v>
      </c>
      <c r="Y38" s="796"/>
      <c r="Z38" s="798"/>
      <c r="AA38" s="787"/>
    </row>
    <row r="39" spans="1:29" ht="18.75">
      <c r="A39" s="785">
        <v>4</v>
      </c>
      <c r="B39" s="236"/>
      <c r="C39" s="788">
        <f>INDEX(база!$E$2:$E$81, MATCH(B44,база!$B$2:$B$50,0))</f>
        <v>15816</v>
      </c>
      <c r="D39" s="791">
        <f>INDEX(база!$D$2:$D$89, MATCH(B44,база!$B$2:$B$50,0))</f>
        <v>3</v>
      </c>
      <c r="E39" s="381">
        <f>IF(D39&lt;=3,база!$I$4,
IF(D39=4,база!$I$5,
IF(D39=5,база!$I$6)))</f>
        <v>188.7912</v>
      </c>
      <c r="F39" s="378">
        <v>1</v>
      </c>
      <c r="G39" s="387">
        <f>SUMIFS(Таблица1[Столбец1],Таблица1[коэф],"1",Таблица1[р/р],"2/4",Таблица1[Ф. И. О.],B44)</f>
        <v>0</v>
      </c>
      <c r="H39" s="380">
        <f t="shared" si="0"/>
        <v>0</v>
      </c>
      <c r="I39" s="377">
        <f>IF(D39&lt;=3,база!$J$4,
IF(D39=4,база!$J$5,
IF(D39=5,база!$J$6)))</f>
        <v>196.05240000000001</v>
      </c>
      <c r="J39" s="378">
        <v>1</v>
      </c>
      <c r="K39" s="428">
        <f>SUMIFS(Таблица1[Столбец1],Таблица1[коэф],"1",Таблица1[р/р],"2/8",Таблица1[Ф. И. О.],B44)</f>
        <v>0</v>
      </c>
      <c r="L39" s="383">
        <f t="shared" si="1"/>
        <v>0</v>
      </c>
      <c r="M39" s="426"/>
      <c r="N39" s="428">
        <v>1</v>
      </c>
      <c r="O39" s="428">
        <f>SUMIFS(Data_Tech!$AM$3:$AM$67,Data_Tech!$E$3:$E$67,"1",Data_Tech!$G$3:$G$67,"3/12",Data_Tech!$F$3:$F$67,B44)</f>
        <v>0</v>
      </c>
      <c r="P39" s="428">
        <f>ROUND(M39*N39*O39,2)</f>
        <v>0</v>
      </c>
      <c r="Q39" s="386">
        <f>IF(D39&lt;=3,база!$L$4,
IF(D39=4,база!$L$5,
IF(D39=5,база!$L$6)))</f>
        <v>210.57480000000001</v>
      </c>
      <c r="R39" s="378">
        <v>1</v>
      </c>
      <c r="S39" s="489">
        <f>SUMIFS(Таблица1[Столбец1],Таблица1[коэф],"1",Таблица1[р/р],"3/16",Таблица1[Ф. И. О.],B44)</f>
        <v>0</v>
      </c>
      <c r="T39" s="490">
        <f t="shared" si="2"/>
        <v>0</v>
      </c>
      <c r="U39" s="462">
        <f>IF(D39&lt;=3,база!$M$4,
IF(D39=4,база!$M$5,
IF(D39=5,база!$M$6)))</f>
        <v>225.09719999999999</v>
      </c>
      <c r="V39" s="378">
        <v>1</v>
      </c>
      <c r="W39" s="497">
        <f>SUMIFS(Таблица1[Столбец1],Таблица1[коэф],"1",Таблица1[р/р],"3/24",Таблица1[Ф. И. О.],B44)</f>
        <v>0</v>
      </c>
      <c r="X39" s="490">
        <f t="shared" si="3"/>
        <v>0</v>
      </c>
      <c r="Y39" s="795">
        <f>SUM(G39:G49,K39:K49,O39:O49,S39:S49,W39:W49)</f>
        <v>0</v>
      </c>
      <c r="Z39" s="797">
        <f>IFERROR(SUM(H39:H49,L39:L49,T39:T49,X39:X49),"")</f>
        <v>0</v>
      </c>
      <c r="AA39" s="786"/>
    </row>
    <row r="40" spans="1:29" ht="18.75">
      <c r="A40" s="786"/>
      <c r="B40" s="216"/>
      <c r="C40" s="789"/>
      <c r="D40" s="792"/>
      <c r="E40" s="393">
        <f>IF(D39&lt;=3,база!$I$4,
IF(D39=4,база!$I$5,
IF(D39=5,база!$I$6)))</f>
        <v>188.7912</v>
      </c>
      <c r="F40" s="390">
        <v>1</v>
      </c>
      <c r="G40" s="400">
        <f>SUMIFS(Таблица1[Столбец1],Таблица1[коэф],"1",Таблица1[р/р],"3/4",Таблица1[Ф. И. О.],B44)</f>
        <v>0</v>
      </c>
      <c r="H40" s="392">
        <f t="shared" si="0"/>
        <v>0</v>
      </c>
      <c r="I40" s="389">
        <f>IF(D39&lt;=3,база!$J$4,
IF(D39=4,база!$J$5,
IF(D39=5,база!$J$6)))</f>
        <v>196.05240000000001</v>
      </c>
      <c r="J40" s="390">
        <v>1</v>
      </c>
      <c r="K40" s="434">
        <f>SUMIFS(Таблица1[Столбец1],Таблица1[коэф],"1",Таблица1[р/р],"3/8",Таблица1[Ф. И. О.],B44)</f>
        <v>0</v>
      </c>
      <c r="L40" s="395">
        <f t="shared" si="1"/>
        <v>0</v>
      </c>
      <c r="M40" s="432"/>
      <c r="N40" s="434">
        <v>1</v>
      </c>
      <c r="O40" s="434">
        <f>SUMIFS(Data_Tech!$AM$3:$AM$67,Data_Tech!$E$3:$E$67,"1",Data_Tech!$G$3:$G$67,"4/12",Data_Tech!$F$3:$F$67,B44)</f>
        <v>0</v>
      </c>
      <c r="P40" s="434">
        <f>ROUND(M40*O40,2)</f>
        <v>0</v>
      </c>
      <c r="Q40" s="399">
        <f>база!$L$5</f>
        <v>231.45480000000001</v>
      </c>
      <c r="R40" s="390">
        <v>1</v>
      </c>
      <c r="S40" s="491">
        <f>SUMIFS(Таблица1[Столбец1],Таблица1[коэф],"1",Таблица1[р/р],"4/16",Таблица1[Ф. И. О.],B44)</f>
        <v>0</v>
      </c>
      <c r="T40" s="493">
        <f t="shared" si="2"/>
        <v>0</v>
      </c>
      <c r="U40" s="410">
        <f>база!$M$5</f>
        <v>247.41720000000001</v>
      </c>
      <c r="V40" s="390">
        <v>1</v>
      </c>
      <c r="W40" s="494">
        <f>SUMIFS(Таблица1[Столбец1],Таблица1[коэф],"1",Таблица1[р/р],"4/24",Таблица1[Ф. И. О.],B44)</f>
        <v>0</v>
      </c>
      <c r="X40" s="493">
        <f t="shared" si="3"/>
        <v>0</v>
      </c>
      <c r="Y40" s="795"/>
      <c r="Z40" s="797"/>
      <c r="AA40" s="786"/>
    </row>
    <row r="41" spans="1:29" ht="18.75">
      <c r="A41" s="786"/>
      <c r="B41" s="216"/>
      <c r="C41" s="789"/>
      <c r="D41" s="792"/>
      <c r="E41" s="393"/>
      <c r="F41" s="390"/>
      <c r="G41" s="400"/>
      <c r="H41" s="392">
        <f t="shared" si="0"/>
        <v>0</v>
      </c>
      <c r="I41" s="389"/>
      <c r="J41" s="390"/>
      <c r="K41" s="434"/>
      <c r="L41" s="395">
        <f t="shared" si="1"/>
        <v>0</v>
      </c>
      <c r="M41" s="432"/>
      <c r="N41" s="434"/>
      <c r="O41" s="434"/>
      <c r="P41" s="434"/>
      <c r="Q41" s="399">
        <f>база!$L$6</f>
        <v>261.04640000000001</v>
      </c>
      <c r="R41" s="390">
        <v>1</v>
      </c>
      <c r="S41" s="491">
        <f>SUMIFS(Таблица1[Столбец1],Таблица1[коэф],"1",Таблица1[р/р],"5/16",Таблица1[Ф. И. О.],B44)</f>
        <v>0</v>
      </c>
      <c r="T41" s="493">
        <f t="shared" si="2"/>
        <v>0</v>
      </c>
      <c r="U41" s="410">
        <f>база!$M$6</f>
        <v>279.0496</v>
      </c>
      <c r="V41" s="390">
        <v>1</v>
      </c>
      <c r="W41" s="494">
        <f>SUMIFS(Таблица1[Столбец1],Таблица1[коэф],"1",Таблица1[р/р],"5/24",Таблица1[Ф. И. О.],B44)</f>
        <v>0</v>
      </c>
      <c r="X41" s="493">
        <f t="shared" si="3"/>
        <v>0</v>
      </c>
      <c r="Y41" s="795"/>
      <c r="Z41" s="797"/>
      <c r="AA41" s="786"/>
    </row>
    <row r="42" spans="1:29" ht="18.75">
      <c r="A42" s="786"/>
      <c r="B42" s="216"/>
      <c r="C42" s="789"/>
      <c r="D42" s="792"/>
      <c r="E42" s="393"/>
      <c r="F42" s="390"/>
      <c r="G42" s="400"/>
      <c r="H42" s="392">
        <f t="shared" si="0"/>
        <v>0</v>
      </c>
      <c r="I42" s="389">
        <f>база!$J$5</f>
        <v>215.4924</v>
      </c>
      <c r="J42" s="390">
        <v>1.5</v>
      </c>
      <c r="K42" s="434">
        <f>SUMIFS(Таблица1[Столбец1],Таблица1[коэф],"1,5",Таблица1[р/р],"4/8",Таблица1[Ф. И. О.],B44)</f>
        <v>0</v>
      </c>
      <c r="L42" s="395">
        <f t="shared" si="1"/>
        <v>0</v>
      </c>
      <c r="M42" s="432"/>
      <c r="N42" s="434"/>
      <c r="O42" s="434"/>
      <c r="P42" s="434"/>
      <c r="Q42" s="399">
        <f>IF(D39&lt;=3,база!$L$4,
IF(D39=4,база!$L$5,
IF(D39=5,база!$L$6)))</f>
        <v>210.57480000000001</v>
      </c>
      <c r="R42" s="390">
        <v>1.2</v>
      </c>
      <c r="S42" s="491">
        <f>SUMIFS(Таблица1[Столбец1],Таблица1[коэф],"1,2",Таблица1[р/р],"3/16",Таблица1[Ф. И. О.],B44)</f>
        <v>0</v>
      </c>
      <c r="T42" s="493">
        <f t="shared" si="2"/>
        <v>0</v>
      </c>
      <c r="U42" s="410">
        <f>IF(D39&lt;=3,база!$M$4,
IF(D39=4,база!$M$5,
IF(D39=5,база!$M$6)))</f>
        <v>225.09719999999999</v>
      </c>
      <c r="V42" s="390">
        <v>1.2</v>
      </c>
      <c r="W42" s="494">
        <f>SUMIFS(Таблица1[Столбец1],Таблица1[коэф],"1,2",Таблица1[р/р],"3/24",Таблица1[Ф. И. О.],B44)</f>
        <v>0</v>
      </c>
      <c r="X42" s="493">
        <f t="shared" si="3"/>
        <v>0</v>
      </c>
      <c r="Y42" s="795"/>
      <c r="Z42" s="797"/>
      <c r="AA42" s="786"/>
    </row>
    <row r="43" spans="1:29" ht="18.75">
      <c r="A43" s="786"/>
      <c r="B43" s="216"/>
      <c r="C43" s="789"/>
      <c r="D43" s="792"/>
      <c r="E43" s="393"/>
      <c r="F43" s="390"/>
      <c r="G43" s="400"/>
      <c r="H43" s="392">
        <f t="shared" si="0"/>
        <v>0</v>
      </c>
      <c r="I43" s="389">
        <f>база!$J$6</f>
        <v>243.04319999999998</v>
      </c>
      <c r="J43" s="390">
        <v>1.5</v>
      </c>
      <c r="K43" s="434">
        <f>SUMIFS(Таблица1[Столбец1],Таблица1[коэф],"1,5",Таблица1[р/р],"5/8",Таблица1[Ф. И. О.],B44)</f>
        <v>0</v>
      </c>
      <c r="L43" s="395">
        <f t="shared" si="1"/>
        <v>0</v>
      </c>
      <c r="M43" s="432"/>
      <c r="N43" s="434"/>
      <c r="O43" s="434"/>
      <c r="P43" s="434"/>
      <c r="Q43" s="399">
        <f>база!$L$5</f>
        <v>231.45480000000001</v>
      </c>
      <c r="R43" s="390">
        <v>1.2</v>
      </c>
      <c r="S43" s="491">
        <f>SUMIFS(Таблица1[Столбец1],Таблица1[коэф],"1,2",Таблица1[р/р],"4/16",Таблица1[Ф. И. О.],B44)</f>
        <v>0</v>
      </c>
      <c r="T43" s="493">
        <f t="shared" si="2"/>
        <v>0</v>
      </c>
      <c r="U43" s="410">
        <f>база!$M$5</f>
        <v>247.41720000000001</v>
      </c>
      <c r="V43" s="390">
        <v>1.2</v>
      </c>
      <c r="W43" s="494">
        <f>SUMIFS(Таблица1[Столбец1],Таблица1[коэф],"1,2",Таблица1[р/р],"4/24",Таблица1[Ф. И. О.],B44)</f>
        <v>0</v>
      </c>
      <c r="X43" s="493">
        <f t="shared" si="3"/>
        <v>0</v>
      </c>
      <c r="Y43" s="795"/>
      <c r="Z43" s="797"/>
      <c r="AA43" s="786"/>
    </row>
    <row r="44" spans="1:29" ht="18.75">
      <c r="A44" s="786"/>
      <c r="B44" s="216" t="str">
        <f>база!B5</f>
        <v>Александрович Екатерина Сергеевна</v>
      </c>
      <c r="C44" s="789"/>
      <c r="D44" s="792"/>
      <c r="E44" s="393"/>
      <c r="F44" s="390"/>
      <c r="G44" s="400"/>
      <c r="H44" s="392">
        <f t="shared" si="0"/>
        <v>0</v>
      </c>
      <c r="I44" s="389"/>
      <c r="J44" s="390"/>
      <c r="K44" s="434"/>
      <c r="L44" s="395">
        <f t="shared" si="1"/>
        <v>0</v>
      </c>
      <c r="M44" s="432"/>
      <c r="N44" s="434"/>
      <c r="O44" s="434"/>
      <c r="P44" s="434"/>
      <c r="Q44" s="399">
        <f>база!$L$6</f>
        <v>261.04640000000001</v>
      </c>
      <c r="R44" s="390">
        <v>1.2</v>
      </c>
      <c r="S44" s="491">
        <f>SUMIFS(Таблица1[Столбец1],Таблица1[коэф],"1,2",Таблица1[р/р],"5/16",Таблица1[Ф. И. О.],B44)</f>
        <v>0</v>
      </c>
      <c r="T44" s="493">
        <f t="shared" si="2"/>
        <v>0</v>
      </c>
      <c r="U44" s="410">
        <f>база!$M$6</f>
        <v>279.0496</v>
      </c>
      <c r="V44" s="390">
        <v>1.2</v>
      </c>
      <c r="W44" s="494">
        <f>SUMIFS(Таблица1[Столбец1],Таблица1[коэф],"1,2",Таблица1[р/р],"5/24",Таблица1[Ф. И. О.],B44)</f>
        <v>0</v>
      </c>
      <c r="X44" s="493">
        <f t="shared" si="3"/>
        <v>0</v>
      </c>
      <c r="Y44" s="795"/>
      <c r="Z44" s="797"/>
      <c r="AA44" s="786"/>
      <c r="AC44" s="727" t="str">
        <f>IF(SUMIFS(Таблица1[Столбец3],Таблица1[Ф. И. О.],B44)-Z39=0,"",SUMIFS(Таблица1[Столбец3],Таблица1[Ф. И. О.],B44)-Z39)</f>
        <v/>
      </c>
    </row>
    <row r="45" spans="1:29" ht="18.75">
      <c r="A45" s="786"/>
      <c r="B45" s="216"/>
      <c r="C45" s="789"/>
      <c r="D45" s="792"/>
      <c r="E45" s="393"/>
      <c r="F45" s="390"/>
      <c r="G45" s="400"/>
      <c r="H45" s="392">
        <f t="shared" si="0"/>
        <v>0</v>
      </c>
      <c r="I45" s="389"/>
      <c r="J45" s="390"/>
      <c r="K45" s="434"/>
      <c r="L45" s="395">
        <f t="shared" si="1"/>
        <v>0</v>
      </c>
      <c r="M45" s="432"/>
      <c r="N45" s="434"/>
      <c r="O45" s="434"/>
      <c r="P45" s="434"/>
      <c r="Q45" s="399">
        <f>IF(D39&lt;=3,база!$L$4,
IF(D39=4,база!$L$5,
IF(D39=5,база!$L$6)))</f>
        <v>210.57480000000001</v>
      </c>
      <c r="R45" s="390">
        <v>1.3</v>
      </c>
      <c r="S45" s="491">
        <f>SUMIFS(Таблица1[Столбец1],Таблица1[коэф],"1,3",Таблица1[р/р],"3/16",Таблица1[Ф. И. О.],B44)</f>
        <v>0</v>
      </c>
      <c r="T45" s="493">
        <f t="shared" si="2"/>
        <v>0</v>
      </c>
      <c r="U45" s="410">
        <f>IF(D39&lt;=3,база!$M$4,
IF(D39=4,база!$M$5,
IF(D39=5,база!$M$6)))</f>
        <v>225.09719999999999</v>
      </c>
      <c r="V45" s="390">
        <v>1.3</v>
      </c>
      <c r="W45" s="494">
        <f>SUMIFS(Таблица1[Столбец1],Таблица1[коэф],"1,3",Таблица1[р/р],"3/24",Таблица1[Ф. И. О.],B44)</f>
        <v>0</v>
      </c>
      <c r="X45" s="493">
        <f t="shared" si="3"/>
        <v>0</v>
      </c>
      <c r="Y45" s="795"/>
      <c r="Z45" s="797"/>
      <c r="AA45" s="786"/>
      <c r="AC45" s="727" t="str">
        <f>IF(SUMIFS(Таблица1[Столбец1],Таблица1[Ф. И. О.],B44)=Y39,"",B44&amp;"  часы не верны")</f>
        <v/>
      </c>
    </row>
    <row r="46" spans="1:29" ht="18.75">
      <c r="A46" s="786"/>
      <c r="B46" s="216"/>
      <c r="C46" s="789"/>
      <c r="D46" s="792"/>
      <c r="E46" s="393"/>
      <c r="F46" s="390"/>
      <c r="G46" s="400"/>
      <c r="H46" s="392">
        <f t="shared" si="0"/>
        <v>0</v>
      </c>
      <c r="I46" s="389"/>
      <c r="J46" s="390"/>
      <c r="K46" s="434"/>
      <c r="L46" s="395">
        <f t="shared" si="1"/>
        <v>0</v>
      </c>
      <c r="M46" s="432"/>
      <c r="N46" s="434"/>
      <c r="O46" s="434"/>
      <c r="P46" s="434"/>
      <c r="Q46" s="399">
        <f>база!$L$5</f>
        <v>231.45480000000001</v>
      </c>
      <c r="R46" s="390">
        <v>1.3</v>
      </c>
      <c r="S46" s="491">
        <f>SUMIFS(Таблица1[Столбец1],Таблица1[коэф],"1,3",Таблица1[р/р],"4/16",Таблица1[Ф. И. О.],B44)</f>
        <v>0</v>
      </c>
      <c r="T46" s="493">
        <f t="shared" si="2"/>
        <v>0</v>
      </c>
      <c r="U46" s="410">
        <f>база!$M$5</f>
        <v>247.41720000000001</v>
      </c>
      <c r="V46" s="390">
        <v>1.3</v>
      </c>
      <c r="W46" s="494">
        <f>SUMIFS(Таблица1[Столбец1],Таблица1[коэф],"1,3",Таблица1[р/р],"4/24",Таблица1[Ф. И. О.],B44)</f>
        <v>0</v>
      </c>
      <c r="X46" s="493">
        <f t="shared" si="3"/>
        <v>0</v>
      </c>
      <c r="Y46" s="795"/>
      <c r="Z46" s="797"/>
      <c r="AA46" s="786"/>
    </row>
    <row r="47" spans="1:29" ht="18.75">
      <c r="A47" s="786"/>
      <c r="B47" s="216"/>
      <c r="C47" s="789"/>
      <c r="D47" s="792"/>
      <c r="E47" s="393"/>
      <c r="F47" s="390"/>
      <c r="G47" s="400"/>
      <c r="H47" s="392">
        <f t="shared" si="0"/>
        <v>0</v>
      </c>
      <c r="I47" s="389"/>
      <c r="J47" s="390"/>
      <c r="K47" s="434"/>
      <c r="L47" s="395">
        <f t="shared" si="1"/>
        <v>0</v>
      </c>
      <c r="M47" s="432"/>
      <c r="N47" s="434"/>
      <c r="O47" s="434"/>
      <c r="P47" s="434"/>
      <c r="Q47" s="399">
        <f>IF(D39&lt;=3,база!$L$4,
IF(D39=4,база!$L$5,
IF(D39=5,база!$L$6)))</f>
        <v>210.57480000000001</v>
      </c>
      <c r="R47" s="390">
        <v>1.4</v>
      </c>
      <c r="S47" s="491">
        <f>SUMIFS(Таблица1[Столбец1],Таблица1[коэф],"1,4",Таблица1[р/р],"3/16",Таблица1[Ф. И. О.],B44)</f>
        <v>0</v>
      </c>
      <c r="T47" s="493">
        <f t="shared" si="2"/>
        <v>0</v>
      </c>
      <c r="U47" s="410">
        <f>IF(D39&lt;=3,база!$M$4,
IF(D39=4,база!$M$5,
IF(D39=5,база!$M$6)))</f>
        <v>225.09719999999999</v>
      </c>
      <c r="V47" s="390">
        <v>1.4</v>
      </c>
      <c r="W47" s="494">
        <f>SUMIFS(Таблица1[Столбец1],Таблица1[коэф],"1,4",Таблица1[р/р],"3/24",Таблица1[Ф. И. О.],B44)</f>
        <v>0</v>
      </c>
      <c r="X47" s="493">
        <f t="shared" si="3"/>
        <v>0</v>
      </c>
      <c r="Y47" s="795"/>
      <c r="Z47" s="797"/>
      <c r="AA47" s="786"/>
    </row>
    <row r="48" spans="1:29" ht="18.75">
      <c r="A48" s="786"/>
      <c r="B48" s="216"/>
      <c r="C48" s="789"/>
      <c r="D48" s="792"/>
      <c r="E48" s="393"/>
      <c r="F48" s="390"/>
      <c r="G48" s="400"/>
      <c r="H48" s="392">
        <f t="shared" si="0"/>
        <v>0</v>
      </c>
      <c r="I48" s="389"/>
      <c r="J48" s="390"/>
      <c r="K48" s="434"/>
      <c r="L48" s="395">
        <f t="shared" si="1"/>
        <v>0</v>
      </c>
      <c r="M48" s="432"/>
      <c r="N48" s="434"/>
      <c r="O48" s="434"/>
      <c r="P48" s="434"/>
      <c r="Q48" s="399">
        <f>база!$L$5</f>
        <v>231.45480000000001</v>
      </c>
      <c r="R48" s="390">
        <v>1.4</v>
      </c>
      <c r="S48" s="491">
        <f>SUMIFS(Таблица1[Столбец1],Таблица1[коэф],"1,4",Таблица1[р/р],"4/16",Таблица1[Ф. И. О.],B44)</f>
        <v>0</v>
      </c>
      <c r="T48" s="493">
        <f t="shared" si="2"/>
        <v>0</v>
      </c>
      <c r="U48" s="410">
        <f>база!$M$5</f>
        <v>247.41720000000001</v>
      </c>
      <c r="V48" s="390">
        <v>1.4</v>
      </c>
      <c r="W48" s="494">
        <f>SUMIFS(Таблица1[Столбец1],Таблица1[коэф],"1,4",Таблица1[р/р],"4/24",Таблица1[Ф. И. О.],B44)</f>
        <v>0</v>
      </c>
      <c r="X48" s="493">
        <f t="shared" si="3"/>
        <v>0</v>
      </c>
      <c r="Y48" s="795"/>
      <c r="Z48" s="797"/>
      <c r="AA48" s="786"/>
    </row>
    <row r="49" spans="1:29" ht="19.5" thickBot="1">
      <c r="A49" s="787"/>
      <c r="B49" s="203"/>
      <c r="C49" s="790"/>
      <c r="D49" s="793"/>
      <c r="E49" s="463"/>
      <c r="F49" s="464"/>
      <c r="G49" s="465"/>
      <c r="H49" s="402">
        <f t="shared" si="0"/>
        <v>0</v>
      </c>
      <c r="I49" s="445"/>
      <c r="J49" s="446"/>
      <c r="K49" s="449"/>
      <c r="L49" s="484">
        <f t="shared" si="1"/>
        <v>0</v>
      </c>
      <c r="M49" s="448"/>
      <c r="N49" s="449"/>
      <c r="O49" s="449"/>
      <c r="P49" s="449"/>
      <c r="Q49" s="450">
        <f>база!$L$6</f>
        <v>261.04640000000001</v>
      </c>
      <c r="R49" s="446">
        <v>1.4</v>
      </c>
      <c r="S49" s="511">
        <f>SUMIFS(Таблица1[Столбец1],Таблица1[коэф],"1,4",Таблица1[р/р],"5/16",Таблица1[Ф. И. О.],B44)</f>
        <v>0</v>
      </c>
      <c r="T49" s="492">
        <f t="shared" si="2"/>
        <v>0</v>
      </c>
      <c r="U49" s="520">
        <f>база!$M$6</f>
        <v>279.0496</v>
      </c>
      <c r="V49" s="446">
        <v>1.4</v>
      </c>
      <c r="W49" s="499">
        <f>SUMIFS(Таблица1[Столбец1],Таблица1[коэф],"1,4",Таблица1[р/р],"5/24",Таблица1[Ф. И. О.],B44)</f>
        <v>0</v>
      </c>
      <c r="X49" s="492">
        <f t="shared" si="3"/>
        <v>0</v>
      </c>
      <c r="Y49" s="796"/>
      <c r="Z49" s="798"/>
      <c r="AA49" s="787"/>
    </row>
    <row r="50" spans="1:29" ht="18.75">
      <c r="A50" s="785">
        <v>5</v>
      </c>
      <c r="B50" s="216"/>
      <c r="C50" s="824">
        <f>INDEX(база!$E$2:$E$81, MATCH(B55,база!$B$2:$B$50,0))</f>
        <v>16475</v>
      </c>
      <c r="D50" s="824">
        <f>INDEX(база!$D$2:$D$89, MATCH(B55,база!$B$2:$B$50,0))</f>
        <v>3</v>
      </c>
      <c r="E50" s="377">
        <f>IF(D50&lt;=3,база!$I$4,
IF(D50=4,база!$I$5,
IF(D50=5,база!$I$6)))</f>
        <v>188.7912</v>
      </c>
      <c r="F50" s="378">
        <v>1</v>
      </c>
      <c r="G50" s="387">
        <f>SUMIFS(Таблица1[Столбец1],Таблица1[коэф],"1",Таблица1[р/р],"2/4",Таблица1[Ф. И. О.],B55)</f>
        <v>0</v>
      </c>
      <c r="H50" s="380">
        <f t="shared" si="0"/>
        <v>0</v>
      </c>
      <c r="I50" s="381">
        <f>IF(D50&lt;=3,база!$J$4,
IF(D50=4,база!$J$5,
IF(D50=5,база!$J$6)))</f>
        <v>196.05240000000001</v>
      </c>
      <c r="J50" s="378">
        <v>1</v>
      </c>
      <c r="K50" s="428">
        <f>SUMIFS(Таблица1[Столбец1],Таблица1[коэф],"1",Таблица1[р/р],"2/8",Таблица1[Ф. И. О.],B55)</f>
        <v>0</v>
      </c>
      <c r="L50" s="383">
        <f t="shared" si="1"/>
        <v>0</v>
      </c>
      <c r="M50" s="426"/>
      <c r="N50" s="428">
        <v>1</v>
      </c>
      <c r="O50" s="428">
        <f>SUMIFS(Data_Tech!$AM$3:$AM$67,Data_Tech!$E$3:$E$67,"1",Data_Tech!$G$3:$G$67,"3/12",Data_Tech!$F$3:$F$67,B55)</f>
        <v>0</v>
      </c>
      <c r="P50" s="428">
        <f>ROUND(M50*N50*O50,2)</f>
        <v>0</v>
      </c>
      <c r="Q50" s="386">
        <f>IF(D50&lt;=3,база!$L$4,
IF(D50=4,база!$L$5,
IF(D50=5,база!$L$6)))</f>
        <v>210.57480000000001</v>
      </c>
      <c r="R50" s="378">
        <v>1</v>
      </c>
      <c r="S50" s="489">
        <f>SUMIFS(Таблица1[Столбец1],Таблица1[коэф],"1",Таблица1[р/р],"3/16",Таблица1[Ф. И. О.],B55)</f>
        <v>0</v>
      </c>
      <c r="T50" s="490">
        <f t="shared" si="2"/>
        <v>0</v>
      </c>
      <c r="U50" s="471">
        <f>IF(D50&lt;=3,база!$M$4,
IF(D50=4,база!$M$5,
IF(D50=5,база!$M$6)))</f>
        <v>225.09719999999999</v>
      </c>
      <c r="V50" s="378">
        <v>1</v>
      </c>
      <c r="W50" s="497">
        <f>SUMIFS(Таблица1[Столбец1],Таблица1[коэф],"1",Таблица1[р/р],"3/24",Таблица1[Ф. И. О.],B55)</f>
        <v>0</v>
      </c>
      <c r="X50" s="490">
        <f t="shared" si="3"/>
        <v>0</v>
      </c>
      <c r="Y50" s="795">
        <f>SUM(G50:G60,K50:K60,O50:O60,S50:S60,W50:W60)</f>
        <v>0</v>
      </c>
      <c r="Z50" s="797">
        <f>IFERROR(SUM(H50:H60,L50:L60,T50:T60,X50:X60),"")</f>
        <v>0</v>
      </c>
      <c r="AA50" s="785"/>
    </row>
    <row r="51" spans="1:29" ht="18.75">
      <c r="A51" s="786"/>
      <c r="B51" s="216"/>
      <c r="C51" s="825"/>
      <c r="D51" s="825"/>
      <c r="E51" s="389">
        <f>IF(D50&lt;=3,база!$I$4,
IF(D50=4,база!$I$5,
IF(D50=5,база!$I$6)))</f>
        <v>188.7912</v>
      </c>
      <c r="F51" s="390">
        <v>1</v>
      </c>
      <c r="G51" s="400">
        <f>SUMIFS(Таблица1[Столбец1],Таблица1[коэф],"1",Таблица1[р/р],"3/4",Таблица1[Ф. И. О.],B55)</f>
        <v>0</v>
      </c>
      <c r="H51" s="392">
        <f t="shared" si="0"/>
        <v>0</v>
      </c>
      <c r="I51" s="451">
        <f>IF(D50&lt;=3,база!$J$4,
IF(D50=4,база!$J$5,
IF(D50=5,база!$J$6)))</f>
        <v>196.05240000000001</v>
      </c>
      <c r="J51" s="417">
        <v>1</v>
      </c>
      <c r="K51" s="453">
        <f>SUMIFS(Таблица1[Столбец1],Таблица1[коэф],"1",Таблица1[р/р],"3/8",Таблица1[Ф. И. О.],B55)</f>
        <v>0</v>
      </c>
      <c r="L51" s="395">
        <f t="shared" si="1"/>
        <v>0</v>
      </c>
      <c r="M51" s="452"/>
      <c r="N51" s="453">
        <v>1</v>
      </c>
      <c r="O51" s="453">
        <f>SUMIFS(Data_Tech!$AM$3:$AM$67,Data_Tech!$E$3:$E$67,"1",Data_Tech!$G$3:$G$67,"4/12",Data_Tech!$F$3:$F$67,B55)</f>
        <v>0</v>
      </c>
      <c r="P51" s="453">
        <f>ROUND(M51*O51,2)</f>
        <v>0</v>
      </c>
      <c r="Q51" s="416">
        <f>база!$L$5</f>
        <v>231.45480000000001</v>
      </c>
      <c r="R51" s="417">
        <v>1</v>
      </c>
      <c r="S51" s="495">
        <f>SUMIFS(Таблица1[Столбец1],Таблица1[коэф],"1",Таблица1[р/р],"4/16",Таблица1[Ф. И. О.],B55)</f>
        <v>0</v>
      </c>
      <c r="T51" s="493">
        <f t="shared" si="2"/>
        <v>0</v>
      </c>
      <c r="U51" s="485">
        <f>база!$M$5</f>
        <v>247.41720000000001</v>
      </c>
      <c r="V51" s="417">
        <v>1</v>
      </c>
      <c r="W51" s="500">
        <f>SUMIFS(Таблица1[Столбец1],Таблица1[коэф],"1",Таблица1[р/р],"4/24",Таблица1[Ф. И. О.],B55)</f>
        <v>0</v>
      </c>
      <c r="X51" s="493">
        <f t="shared" si="3"/>
        <v>0</v>
      </c>
      <c r="Y51" s="795"/>
      <c r="Z51" s="797"/>
      <c r="AA51" s="786"/>
    </row>
    <row r="52" spans="1:29" ht="18.75">
      <c r="A52" s="786"/>
      <c r="B52" s="216"/>
      <c r="C52" s="825"/>
      <c r="D52" s="825"/>
      <c r="E52" s="389"/>
      <c r="F52" s="390"/>
      <c r="G52" s="400"/>
      <c r="H52" s="392">
        <f t="shared" si="0"/>
        <v>0</v>
      </c>
      <c r="I52" s="393"/>
      <c r="J52" s="390"/>
      <c r="K52" s="434"/>
      <c r="L52" s="395">
        <f t="shared" si="1"/>
        <v>0</v>
      </c>
      <c r="M52" s="432"/>
      <c r="N52" s="434"/>
      <c r="O52" s="434"/>
      <c r="P52" s="434"/>
      <c r="Q52" s="399">
        <f>база!$L$6</f>
        <v>261.04640000000001</v>
      </c>
      <c r="R52" s="390">
        <v>1</v>
      </c>
      <c r="S52" s="491">
        <f>SUMIFS(Таблица1[Столбец1],Таблица1[коэф],"1",Таблица1[р/р],"5/16",Таблица1[Ф. И. О.],B55)</f>
        <v>0</v>
      </c>
      <c r="T52" s="493">
        <f t="shared" si="2"/>
        <v>0</v>
      </c>
      <c r="U52" s="472">
        <f>база!$M$6</f>
        <v>279.0496</v>
      </c>
      <c r="V52" s="390">
        <v>1</v>
      </c>
      <c r="W52" s="494">
        <f>SUMIFS(Таблица1[Столбец1],Таблица1[коэф],"1",Таблица1[р/р],"5/24",Таблица1[Ф. И. О.],B55)</f>
        <v>0</v>
      </c>
      <c r="X52" s="493">
        <f t="shared" si="3"/>
        <v>0</v>
      </c>
      <c r="Y52" s="795"/>
      <c r="Z52" s="797"/>
      <c r="AA52" s="786"/>
    </row>
    <row r="53" spans="1:29" ht="18.75">
      <c r="A53" s="786"/>
      <c r="B53" s="216"/>
      <c r="C53" s="825"/>
      <c r="D53" s="825"/>
      <c r="E53" s="389"/>
      <c r="F53" s="390"/>
      <c r="G53" s="400"/>
      <c r="H53" s="392">
        <f t="shared" si="0"/>
        <v>0</v>
      </c>
      <c r="I53" s="393">
        <f>база!$J$5</f>
        <v>215.4924</v>
      </c>
      <c r="J53" s="390">
        <v>1.5</v>
      </c>
      <c r="K53" s="434">
        <f>SUMIFS(Таблица1[Столбец1],Таблица1[коэф],"1,5",Таблица1[р/р],"4/8",Таблица1[Ф. И. О.],B55)</f>
        <v>0</v>
      </c>
      <c r="L53" s="484">
        <f t="shared" si="1"/>
        <v>0</v>
      </c>
      <c r="M53" s="432"/>
      <c r="N53" s="434"/>
      <c r="O53" s="434"/>
      <c r="P53" s="434"/>
      <c r="Q53" s="399">
        <f>IF(D50&lt;=3,база!$L$4,
IF(D50=4,база!$L$5,
IF(D50=5,база!$L$6)))</f>
        <v>210.57480000000001</v>
      </c>
      <c r="R53" s="390">
        <v>1.2</v>
      </c>
      <c r="S53" s="491">
        <f>SUMIFS(Таблица1[Столбец1],Таблица1[коэф],"1,2",Таблица1[р/р],"3/16",Таблица1[Ф. И. О.],B55)</f>
        <v>0</v>
      </c>
      <c r="T53" s="493">
        <f t="shared" si="2"/>
        <v>0</v>
      </c>
      <c r="U53" s="472">
        <f>IF(D50&lt;=3,база!$M$4,
IF(D50=4,база!$M$5,
IF(D50=5,база!$M$6)))</f>
        <v>225.09719999999999</v>
      </c>
      <c r="V53" s="390">
        <v>1.2</v>
      </c>
      <c r="W53" s="494">
        <f>SUMIFS(Таблица1[Столбец1],Таблица1[коэф],"1,2",Таблица1[р/р],"3/24",Таблица1[Ф. И. О.],B55)</f>
        <v>0</v>
      </c>
      <c r="X53" s="493">
        <f t="shared" si="3"/>
        <v>0</v>
      </c>
      <c r="Y53" s="795"/>
      <c r="Z53" s="797"/>
      <c r="AA53" s="786"/>
    </row>
    <row r="54" spans="1:29" ht="18.75">
      <c r="A54" s="786"/>
      <c r="B54" s="216"/>
      <c r="C54" s="825"/>
      <c r="D54" s="825"/>
      <c r="E54" s="389"/>
      <c r="F54" s="390"/>
      <c r="G54" s="400"/>
      <c r="H54" s="392">
        <f t="shared" si="0"/>
        <v>0</v>
      </c>
      <c r="I54" s="393">
        <f>база!$J$6</f>
        <v>243.04319999999998</v>
      </c>
      <c r="J54" s="390">
        <v>1.5</v>
      </c>
      <c r="K54" s="434">
        <f>SUMIFS(Таблица1[Столбец1],Таблица1[коэф],"1,5",Таблица1[р/р],"5/8",Таблица1[Ф. И. О.],B55)</f>
        <v>0</v>
      </c>
      <c r="L54" s="395">
        <f t="shared" si="1"/>
        <v>0</v>
      </c>
      <c r="M54" s="432"/>
      <c r="N54" s="434"/>
      <c r="O54" s="434"/>
      <c r="P54" s="434"/>
      <c r="Q54" s="399">
        <f>база!$L$5</f>
        <v>231.45480000000001</v>
      </c>
      <c r="R54" s="390">
        <v>1.2</v>
      </c>
      <c r="S54" s="491">
        <f>SUMIFS(Таблица1[Столбец1],Таблица1[коэф],"1,2",Таблица1[р/р],"4/16",Таблица1[Ф. И. О.],B55)</f>
        <v>0</v>
      </c>
      <c r="T54" s="493">
        <f t="shared" si="2"/>
        <v>0</v>
      </c>
      <c r="U54" s="472">
        <f>база!$M$5</f>
        <v>247.41720000000001</v>
      </c>
      <c r="V54" s="390">
        <v>1.2</v>
      </c>
      <c r="W54" s="494">
        <f>SUMIFS(Таблица1[Столбец1],Таблица1[коэф],"1,2",Таблица1[р/р],"4/24",Таблица1[Ф. И. О.],B55)</f>
        <v>0</v>
      </c>
      <c r="X54" s="493">
        <f t="shared" si="3"/>
        <v>0</v>
      </c>
      <c r="Y54" s="795"/>
      <c r="Z54" s="797"/>
      <c r="AA54" s="786"/>
    </row>
    <row r="55" spans="1:29" ht="18.75">
      <c r="A55" s="786"/>
      <c r="B55" s="216" t="str">
        <f>база!B6</f>
        <v>Алиева Диана Арифовна</v>
      </c>
      <c r="C55" s="825"/>
      <c r="D55" s="825"/>
      <c r="E55" s="389"/>
      <c r="F55" s="390"/>
      <c r="G55" s="400"/>
      <c r="H55" s="392">
        <f t="shared" si="0"/>
        <v>0</v>
      </c>
      <c r="I55" s="393"/>
      <c r="J55" s="390"/>
      <c r="K55" s="434"/>
      <c r="L55" s="395">
        <f t="shared" si="1"/>
        <v>0</v>
      </c>
      <c r="M55" s="432"/>
      <c r="N55" s="434"/>
      <c r="O55" s="434"/>
      <c r="P55" s="434"/>
      <c r="Q55" s="399">
        <f>база!$L$6</f>
        <v>261.04640000000001</v>
      </c>
      <c r="R55" s="390">
        <v>1.2</v>
      </c>
      <c r="S55" s="491">
        <f>SUMIFS(Таблица1[Столбец1],Таблица1[коэф],"1,2",Таблица1[р/р],"5/16",Таблица1[Ф. И. О.],B55)</f>
        <v>0</v>
      </c>
      <c r="T55" s="493">
        <f t="shared" si="2"/>
        <v>0</v>
      </c>
      <c r="U55" s="472">
        <f>база!$M$6</f>
        <v>279.0496</v>
      </c>
      <c r="V55" s="390">
        <v>1.2</v>
      </c>
      <c r="W55" s="494">
        <f>SUMIFS(Таблица1[Столбец1],Таблица1[коэф],"1,2",Таблица1[р/р],"5/24",Таблица1[Ф. И. О.],B55)</f>
        <v>0</v>
      </c>
      <c r="X55" s="493">
        <f t="shared" si="3"/>
        <v>0</v>
      </c>
      <c r="Y55" s="795"/>
      <c r="Z55" s="797"/>
      <c r="AA55" s="786"/>
      <c r="AC55" s="727" t="str">
        <f>IF(SUMIFS(Таблица1[Столбец3],Таблица1[Ф. И. О.],B55)-Z50=0,"",SUMIFS(Таблица1[Столбец3],Таблица1[Ф. И. О.],B55)-Z50)</f>
        <v/>
      </c>
    </row>
    <row r="56" spans="1:29" ht="18.75">
      <c r="A56" s="786"/>
      <c r="B56" s="216"/>
      <c r="C56" s="825"/>
      <c r="D56" s="825"/>
      <c r="E56" s="389"/>
      <c r="F56" s="390"/>
      <c r="G56" s="400"/>
      <c r="H56" s="392">
        <f t="shared" si="0"/>
        <v>0</v>
      </c>
      <c r="I56" s="393"/>
      <c r="J56" s="390"/>
      <c r="K56" s="434"/>
      <c r="L56" s="395">
        <f t="shared" si="1"/>
        <v>0</v>
      </c>
      <c r="M56" s="432"/>
      <c r="N56" s="434"/>
      <c r="O56" s="434"/>
      <c r="P56" s="434"/>
      <c r="Q56" s="399">
        <f>IF(D50&lt;=3,база!$L$4,
IF(D50=4,база!$L$5,
IF(D50=5,база!$L$6)))</f>
        <v>210.57480000000001</v>
      </c>
      <c r="R56" s="390">
        <v>1.3</v>
      </c>
      <c r="S56" s="491">
        <f>SUMIFS(Таблица1[Столбец1],Таблица1[коэф],"1,3",Таблица1[р/р],"3/16",Таблица1[Ф. И. О.],B55)</f>
        <v>0</v>
      </c>
      <c r="T56" s="493">
        <f t="shared" si="2"/>
        <v>0</v>
      </c>
      <c r="U56" s="472">
        <f>IF(D50&lt;=3,база!$M$4,
IF(D50=4,база!$M$5,
IF(D50=5,база!$M$6)))</f>
        <v>225.09719999999999</v>
      </c>
      <c r="V56" s="390">
        <v>1.3</v>
      </c>
      <c r="W56" s="494">
        <f>SUMIFS(Таблица1[Столбец1],Таблица1[коэф],"1,3",Таблица1[р/р],"3/24",Таблица1[Ф. И. О.],B55)</f>
        <v>0</v>
      </c>
      <c r="X56" s="493">
        <f t="shared" si="3"/>
        <v>0</v>
      </c>
      <c r="Y56" s="795"/>
      <c r="Z56" s="797"/>
      <c r="AA56" s="786"/>
      <c r="AC56" s="727" t="str">
        <f>IF(SUMIFS(Таблица1[Столбец1],Таблица1[Ф. И. О.],B55)=Y50,"",B55&amp;"  часы не верны")</f>
        <v/>
      </c>
    </row>
    <row r="57" spans="1:29" ht="18.75">
      <c r="A57" s="786"/>
      <c r="B57" s="216"/>
      <c r="C57" s="825"/>
      <c r="D57" s="825"/>
      <c r="E57" s="389"/>
      <c r="F57" s="390"/>
      <c r="G57" s="400"/>
      <c r="H57" s="392">
        <f t="shared" si="0"/>
        <v>0</v>
      </c>
      <c r="I57" s="393"/>
      <c r="J57" s="390"/>
      <c r="K57" s="434"/>
      <c r="L57" s="395">
        <f t="shared" si="1"/>
        <v>0</v>
      </c>
      <c r="M57" s="432"/>
      <c r="N57" s="434"/>
      <c r="O57" s="434"/>
      <c r="P57" s="434"/>
      <c r="Q57" s="399">
        <f>база!$L$5</f>
        <v>231.45480000000001</v>
      </c>
      <c r="R57" s="390">
        <v>1.3</v>
      </c>
      <c r="S57" s="491">
        <f>SUMIFS(Таблица1[Столбец1],Таблица1[коэф],"1,3",Таблица1[р/р],"4/16",Таблица1[Ф. И. О.],B55)</f>
        <v>0</v>
      </c>
      <c r="T57" s="493">
        <f t="shared" si="2"/>
        <v>0</v>
      </c>
      <c r="U57" s="472">
        <f>база!$M$5</f>
        <v>247.41720000000001</v>
      </c>
      <c r="V57" s="390">
        <v>1.3</v>
      </c>
      <c r="W57" s="494">
        <f>SUMIFS(Таблица1[Столбец1],Таблица1[коэф],"1,3",Таблица1[р/р],"4/24",Таблица1[Ф. И. О.],B55)</f>
        <v>0</v>
      </c>
      <c r="X57" s="493">
        <f t="shared" si="3"/>
        <v>0</v>
      </c>
      <c r="Y57" s="795"/>
      <c r="Z57" s="797"/>
      <c r="AA57" s="786"/>
    </row>
    <row r="58" spans="1:29" ht="18.75">
      <c r="A58" s="786"/>
      <c r="B58" s="216"/>
      <c r="C58" s="825"/>
      <c r="D58" s="825"/>
      <c r="E58" s="389"/>
      <c r="F58" s="390"/>
      <c r="G58" s="400"/>
      <c r="H58" s="392">
        <f t="shared" si="0"/>
        <v>0</v>
      </c>
      <c r="I58" s="393"/>
      <c r="J58" s="390"/>
      <c r="K58" s="434"/>
      <c r="L58" s="395">
        <f t="shared" si="1"/>
        <v>0</v>
      </c>
      <c r="M58" s="432"/>
      <c r="N58" s="434"/>
      <c r="O58" s="434"/>
      <c r="P58" s="434"/>
      <c r="Q58" s="399">
        <f>IF(D50&lt;=3,база!$L$4,
IF(D50=4,база!$L$5,
IF(D50=5,база!$L$6)))</f>
        <v>210.57480000000001</v>
      </c>
      <c r="R58" s="390">
        <v>1.4</v>
      </c>
      <c r="S58" s="491">
        <f>SUMIFS(Таблица1[Столбец1],Таблица1[коэф],"1,4",Таблица1[р/р],"3/16",Таблица1[Ф. И. О.],B55)</f>
        <v>0</v>
      </c>
      <c r="T58" s="493">
        <f t="shared" si="2"/>
        <v>0</v>
      </c>
      <c r="U58" s="472">
        <f>IF(D50&lt;=3,база!$M$4,
IF(D50=4,база!$M$5,
IF(D50=5,база!$M$6)))</f>
        <v>225.09719999999999</v>
      </c>
      <c r="V58" s="390">
        <v>1.4</v>
      </c>
      <c r="W58" s="494">
        <f>SUMIFS(Таблица1[Столбец1],Таблица1[коэф],"1,4",Таблица1[р/р],"3/24",Таблица1[Ф. И. О.],B55)</f>
        <v>0</v>
      </c>
      <c r="X58" s="492">
        <f t="shared" si="3"/>
        <v>0</v>
      </c>
      <c r="Y58" s="795"/>
      <c r="Z58" s="797"/>
      <c r="AA58" s="786"/>
    </row>
    <row r="59" spans="1:29" ht="18.75">
      <c r="A59" s="786"/>
      <c r="B59" s="216"/>
      <c r="C59" s="825"/>
      <c r="D59" s="825"/>
      <c r="E59" s="389"/>
      <c r="F59" s="390"/>
      <c r="G59" s="400"/>
      <c r="H59" s="392">
        <f t="shared" si="0"/>
        <v>0</v>
      </c>
      <c r="I59" s="393"/>
      <c r="J59" s="390"/>
      <c r="K59" s="434"/>
      <c r="L59" s="395">
        <f t="shared" si="1"/>
        <v>0</v>
      </c>
      <c r="M59" s="432"/>
      <c r="N59" s="434"/>
      <c r="O59" s="434"/>
      <c r="P59" s="434"/>
      <c r="Q59" s="399">
        <f>база!$L$5</f>
        <v>231.45480000000001</v>
      </c>
      <c r="R59" s="390">
        <v>1.4</v>
      </c>
      <c r="S59" s="491">
        <f>SUMIFS(Таблица1[Столбец1],Таблица1[коэф],"1,4",Таблица1[р/р],"4/16",Таблица1[Ф. И. О.],B55)</f>
        <v>0</v>
      </c>
      <c r="T59" s="492">
        <f t="shared" si="2"/>
        <v>0</v>
      </c>
      <c r="U59" s="472">
        <f>база!$M$5</f>
        <v>247.41720000000001</v>
      </c>
      <c r="V59" s="390">
        <v>1.4</v>
      </c>
      <c r="W59" s="494">
        <f>SUMIFS(Таблица1[Столбец1],Таблица1[коэф],"1,4",Таблица1[р/р],"4/24",Таблица1[Ф. И. О.],B55)</f>
        <v>0</v>
      </c>
      <c r="X59" s="493">
        <f t="shared" si="3"/>
        <v>0</v>
      </c>
      <c r="Y59" s="795"/>
      <c r="Z59" s="797"/>
      <c r="AA59" s="786"/>
    </row>
    <row r="60" spans="1:29" ht="19.5" thickBot="1">
      <c r="A60" s="787"/>
      <c r="B60" s="203"/>
      <c r="C60" s="826"/>
      <c r="D60" s="826"/>
      <c r="E60" s="473"/>
      <c r="F60" s="464"/>
      <c r="G60" s="465"/>
      <c r="H60" s="402">
        <f t="shared" si="0"/>
        <v>0</v>
      </c>
      <c r="I60" s="463"/>
      <c r="J60" s="464"/>
      <c r="K60" s="457"/>
      <c r="L60" s="484">
        <f t="shared" si="1"/>
        <v>0</v>
      </c>
      <c r="M60" s="432"/>
      <c r="N60" s="434"/>
      <c r="O60" s="434"/>
      <c r="P60" s="434"/>
      <c r="Q60" s="467">
        <f>база!$L$6</f>
        <v>261.04640000000001</v>
      </c>
      <c r="R60" s="464">
        <v>1.4</v>
      </c>
      <c r="S60" s="512">
        <f>SUMIFS(Таблица1[Столбец1],Таблица1[коэф],"1,4",Таблица1[р/р],"5/16",Таблица1[Ф. И. О.],B55)</f>
        <v>0</v>
      </c>
      <c r="T60" s="492">
        <f t="shared" si="2"/>
        <v>0</v>
      </c>
      <c r="U60" s="474">
        <f>база!$M$6</f>
        <v>279.0496</v>
      </c>
      <c r="V60" s="464">
        <v>1.4</v>
      </c>
      <c r="W60" s="501">
        <f>SUMIFS(Таблица1[Столбец1],Таблица1[коэф],"1,4",Таблица1[р/р],"5/24",Таблица1[Ф. И. О.],B55)</f>
        <v>0</v>
      </c>
      <c r="X60" s="508">
        <f t="shared" si="3"/>
        <v>0</v>
      </c>
      <c r="Y60" s="796"/>
      <c r="Z60" s="798"/>
      <c r="AA60" s="787"/>
    </row>
    <row r="61" spans="1:29" ht="18.75">
      <c r="A61" s="785">
        <v>6</v>
      </c>
      <c r="B61" s="216"/>
      <c r="C61" s="824">
        <f>INDEX(база!$E$2:$E$81, MATCH(B66,база!$B$2:$B$50,0))</f>
        <v>17290</v>
      </c>
      <c r="D61" s="824">
        <f>INDEX(база!$D$2:$D$89, MATCH(B66,база!$B$2:$B$50,0))</f>
        <v>3</v>
      </c>
      <c r="E61" s="377">
        <f>IF(D61&lt;=3,база!$I$4,
IF(D61=4,база!$I$5,
IF(D61=5,база!$I$6)))</f>
        <v>188.7912</v>
      </c>
      <c r="F61" s="378">
        <v>1</v>
      </c>
      <c r="G61" s="387">
        <f>SUMIFS(Таблица1[Столбец1],Таблица1[коэф],"1",Таблица1[р/р],"2/4",Таблица1[Ф. И. О.],B66)</f>
        <v>0</v>
      </c>
      <c r="H61" s="380">
        <f t="shared" si="0"/>
        <v>0</v>
      </c>
      <c r="I61" s="451">
        <f>IF(D61&lt;=3,база!$J$4,
IF(D61=4,база!$J$5,
IF(D61=5,база!$J$6)))</f>
        <v>196.05240000000001</v>
      </c>
      <c r="J61" s="417">
        <v>1</v>
      </c>
      <c r="K61" s="453">
        <f>SUMIFS(Таблица1[Столбец1],Таблица1[коэф],"1",Таблица1[р/р],"2/8",Таблица1[Ф. И. О.],B66)</f>
        <v>0</v>
      </c>
      <c r="L61" s="383">
        <f t="shared" si="1"/>
        <v>0</v>
      </c>
      <c r="M61" s="434"/>
      <c r="N61" s="434">
        <v>1</v>
      </c>
      <c r="O61" s="434">
        <f>SUMIFS(Data_Tech!$AM$3:$AM$67,Data_Tech!$E$3:$E$67,"1",Data_Tech!$G$3:$G$67,"3/12",Data_Tech!$F$3:$F$67,B66)</f>
        <v>0</v>
      </c>
      <c r="P61" s="406">
        <f>ROUND(M61*N61*O61,2)</f>
        <v>0</v>
      </c>
      <c r="Q61" s="377">
        <f>IF(D61&lt;=3,база!$L$4,
IF(D61=4,база!$L$5,
IF(D61=5,база!$L$6)))</f>
        <v>210.57480000000001</v>
      </c>
      <c r="R61" s="378">
        <v>1</v>
      </c>
      <c r="S61" s="489">
        <f>SUMIFS(Таблица1[Столбец1],Таблица1[коэф],"1",Таблица1[р/р],"3/16",Таблица1[Ф. И. О.],B66)</f>
        <v>0</v>
      </c>
      <c r="T61" s="490">
        <f t="shared" si="2"/>
        <v>0</v>
      </c>
      <c r="U61" s="454">
        <f>IF(D61&lt;=3,база!$M$4,
IF(D61=4,база!$M$5,
IF(D61=5,база!$M$6)))</f>
        <v>225.09719999999999</v>
      </c>
      <c r="V61" s="417">
        <v>1</v>
      </c>
      <c r="W61" s="500">
        <f>SUMIFS(Таблица1[Столбец1],Таблица1[коэф],"1",Таблица1[р/р],"3/24",Таблица1[Ф. И. О.],B66)</f>
        <v>0</v>
      </c>
      <c r="X61" s="490">
        <f t="shared" si="3"/>
        <v>0</v>
      </c>
      <c r="Y61" s="795">
        <f>SUM(G61:G71,K61:K71,O61:O71,S61:S71,W61:W71)</f>
        <v>0</v>
      </c>
      <c r="Z61" s="797">
        <f>IFERROR(SUM(H61:H71,L61:L71,T61:T71,X61:X71),"")</f>
        <v>0</v>
      </c>
      <c r="AA61" s="786"/>
    </row>
    <row r="62" spans="1:29" ht="18.75">
      <c r="A62" s="786"/>
      <c r="B62" s="216"/>
      <c r="C62" s="825"/>
      <c r="D62" s="825"/>
      <c r="E62" s="389">
        <f>IF(D61&lt;=3,база!$I$4,
IF(D61=4,база!$I$5,
IF(D61=5,база!$I$6)))</f>
        <v>188.7912</v>
      </c>
      <c r="F62" s="390">
        <v>1</v>
      </c>
      <c r="G62" s="400">
        <f>SUMIFS(Таблица1[Столбец1],Таблица1[коэф],"1",Таблица1[р/р],"3/4",Таблица1[Ф. И. О.],B66)</f>
        <v>0</v>
      </c>
      <c r="H62" s="392">
        <f t="shared" si="0"/>
        <v>0</v>
      </c>
      <c r="I62" s="393">
        <f>IF(D61&lt;=3,база!$J$4,
IF(D61=4,база!$J$5,
IF(D61=5,база!$J$6)))</f>
        <v>196.05240000000001</v>
      </c>
      <c r="J62" s="390">
        <v>1</v>
      </c>
      <c r="K62" s="434">
        <f>SUMIFS(Таблица1[Столбец1],Таблица1[коэф],"1",Таблица1[р/р],"3/8",Таблица1[Ф. И. О.],B66)</f>
        <v>0</v>
      </c>
      <c r="L62" s="395">
        <f t="shared" si="1"/>
        <v>0</v>
      </c>
      <c r="M62" s="434"/>
      <c r="N62" s="434">
        <v>1</v>
      </c>
      <c r="O62" s="434">
        <f>SUMIFS(Data_Tech!$AM$3:$AM$67,Data_Tech!$E$3:$E$67,"1",Data_Tech!$G$3:$G$67,"4/12",Data_Tech!$F$3:$F$67,B66)</f>
        <v>0</v>
      </c>
      <c r="P62" s="406">
        <f>ROUND(M62*O62,2)</f>
        <v>0</v>
      </c>
      <c r="Q62" s="389">
        <f>база!$L$5</f>
        <v>231.45480000000001</v>
      </c>
      <c r="R62" s="390">
        <v>1</v>
      </c>
      <c r="S62" s="491">
        <f>SUMIFS(Таблица1[Столбец1],Таблица1[коэф],"1",Таблица1[р/р],"4/16",Таблица1[Ф. И. О.],B66)</f>
        <v>0</v>
      </c>
      <c r="T62" s="493">
        <f t="shared" si="2"/>
        <v>0</v>
      </c>
      <c r="U62" s="410">
        <f>база!$M$5</f>
        <v>247.41720000000001</v>
      </c>
      <c r="V62" s="390">
        <v>1</v>
      </c>
      <c r="W62" s="494">
        <f>SUMIFS(Таблица1[Столбец1],Таблица1[коэф],"1",Таблица1[р/р],"4/24",Таблица1[Ф. И. О.],B66)</f>
        <v>0</v>
      </c>
      <c r="X62" s="493">
        <f t="shared" si="3"/>
        <v>0</v>
      </c>
      <c r="Y62" s="795"/>
      <c r="Z62" s="797"/>
      <c r="AA62" s="786"/>
    </row>
    <row r="63" spans="1:29" ht="18.75">
      <c r="A63" s="786"/>
      <c r="B63" s="216"/>
      <c r="C63" s="825"/>
      <c r="D63" s="825"/>
      <c r="E63" s="389"/>
      <c r="F63" s="390"/>
      <c r="G63" s="400"/>
      <c r="H63" s="392">
        <f t="shared" si="0"/>
        <v>0</v>
      </c>
      <c r="I63" s="393"/>
      <c r="J63" s="390"/>
      <c r="K63" s="434"/>
      <c r="L63" s="395">
        <f t="shared" si="1"/>
        <v>0</v>
      </c>
      <c r="M63" s="434"/>
      <c r="N63" s="434"/>
      <c r="O63" s="434"/>
      <c r="P63" s="406"/>
      <c r="Q63" s="389">
        <f>база!$L$6</f>
        <v>261.04640000000001</v>
      </c>
      <c r="R63" s="390">
        <v>1</v>
      </c>
      <c r="S63" s="491">
        <f>SUMIFS(Таблица1[Столбец1],Таблица1[коэф],"1",Таблица1[р/р],"5/16",Таблица1[Ф. И. О.],B66)</f>
        <v>0</v>
      </c>
      <c r="T63" s="493">
        <f t="shared" si="2"/>
        <v>0</v>
      </c>
      <c r="U63" s="410">
        <f>база!$M$6</f>
        <v>279.0496</v>
      </c>
      <c r="V63" s="390">
        <v>1</v>
      </c>
      <c r="W63" s="494">
        <f>SUMIFS(Таблица1[Столбец1],Таблица1[коэф],"1",Таблица1[р/р],"5/24",Таблица1[Ф. И. О.],B66)</f>
        <v>0</v>
      </c>
      <c r="X63" s="493">
        <f t="shared" si="3"/>
        <v>0</v>
      </c>
      <c r="Y63" s="795"/>
      <c r="Z63" s="797"/>
      <c r="AA63" s="786"/>
    </row>
    <row r="64" spans="1:29" ht="18.75">
      <c r="A64" s="786"/>
      <c r="B64" s="216"/>
      <c r="C64" s="825"/>
      <c r="D64" s="825"/>
      <c r="E64" s="389"/>
      <c r="F64" s="390"/>
      <c r="G64" s="400"/>
      <c r="H64" s="392">
        <f t="shared" si="0"/>
        <v>0</v>
      </c>
      <c r="I64" s="393">
        <f>база!$J$5</f>
        <v>215.4924</v>
      </c>
      <c r="J64" s="390">
        <v>1.5</v>
      </c>
      <c r="K64" s="434">
        <f>SUMIFS(Таблица1[Столбец1],Таблица1[коэф],"1,5",Таблица1[р/р],"4/8",Таблица1[Ф. И. О.],B66)</f>
        <v>0</v>
      </c>
      <c r="L64" s="395">
        <f t="shared" si="1"/>
        <v>0</v>
      </c>
      <c r="M64" s="434"/>
      <c r="N64" s="434"/>
      <c r="O64" s="434"/>
      <c r="P64" s="406"/>
      <c r="Q64" s="389">
        <f>IF(D61&lt;=3,база!$L$4,
IF(D61=4,база!$L$5,
IF(D61=5,база!$L$6)))</f>
        <v>210.57480000000001</v>
      </c>
      <c r="R64" s="390">
        <v>1.2</v>
      </c>
      <c r="S64" s="491">
        <f>SUMIFS(Таблица1[Столбец1],Таблица1[коэф],"1,2",Таблица1[р/р],"3/16",Таблица1[Ф. И. О.],B66)</f>
        <v>0</v>
      </c>
      <c r="T64" s="493">
        <f t="shared" si="2"/>
        <v>0</v>
      </c>
      <c r="U64" s="410">
        <f>IF(D61&lt;=3,база!$M$4,
IF(D61=4,база!$M$5,
IF(D61=5,база!$M$6)))</f>
        <v>225.09719999999999</v>
      </c>
      <c r="V64" s="390">
        <v>1.2</v>
      </c>
      <c r="W64" s="494">
        <f>SUMIFS(Таблица1[Столбец1],Таблица1[коэф],"1,2",Таблица1[р/р],"3/24",Таблица1[Ф. И. О.],B66)</f>
        <v>0</v>
      </c>
      <c r="X64" s="493">
        <f t="shared" si="3"/>
        <v>0</v>
      </c>
      <c r="Y64" s="795"/>
      <c r="Z64" s="797"/>
      <c r="AA64" s="786"/>
    </row>
    <row r="65" spans="1:29" ht="18.75">
      <c r="A65" s="786"/>
      <c r="B65" s="216"/>
      <c r="C65" s="825"/>
      <c r="D65" s="825"/>
      <c r="E65" s="389"/>
      <c r="F65" s="390"/>
      <c r="G65" s="400"/>
      <c r="H65" s="392">
        <f t="shared" si="0"/>
        <v>0</v>
      </c>
      <c r="I65" s="393">
        <f>база!$J$6</f>
        <v>243.04319999999998</v>
      </c>
      <c r="J65" s="390">
        <v>1.5</v>
      </c>
      <c r="K65" s="434">
        <f>SUMIFS(Таблица1[Столбец1],Таблица1[коэф],"1,5",Таблица1[р/р],"5/8",Таблица1[Ф. И. О.],B66)</f>
        <v>0</v>
      </c>
      <c r="L65" s="395">
        <f t="shared" si="1"/>
        <v>0</v>
      </c>
      <c r="M65" s="434"/>
      <c r="N65" s="434"/>
      <c r="O65" s="434"/>
      <c r="P65" s="406"/>
      <c r="Q65" s="389">
        <f>база!$L$5</f>
        <v>231.45480000000001</v>
      </c>
      <c r="R65" s="390">
        <v>1.2</v>
      </c>
      <c r="S65" s="491">
        <f>SUMIFS(Таблица1[Столбец1],Таблица1[коэф],"1,2",Таблица1[р/р],"4/16",Таблица1[Ф. И. О.],B66)</f>
        <v>0</v>
      </c>
      <c r="T65" s="493">
        <f t="shared" si="2"/>
        <v>0</v>
      </c>
      <c r="U65" s="410">
        <f>база!$M$5</f>
        <v>247.41720000000001</v>
      </c>
      <c r="V65" s="390">
        <v>1.2</v>
      </c>
      <c r="W65" s="494">
        <f>SUMIFS(Таблица1[Столбец1],Таблица1[коэф],"1,2",Таблица1[р/р],"4/24",Таблица1[Ф. И. О.],B66)</f>
        <v>0</v>
      </c>
      <c r="X65" s="493">
        <f t="shared" si="3"/>
        <v>0</v>
      </c>
      <c r="Y65" s="795"/>
      <c r="Z65" s="797"/>
      <c r="AA65" s="786"/>
    </row>
    <row r="66" spans="1:29" ht="18.75">
      <c r="A66" s="786"/>
      <c r="B66" s="216" t="str">
        <f>база!B7</f>
        <v>Аполосова Ольга Николаевна</v>
      </c>
      <c r="C66" s="825"/>
      <c r="D66" s="825"/>
      <c r="E66" s="389"/>
      <c r="F66" s="390"/>
      <c r="G66" s="400"/>
      <c r="H66" s="392">
        <f t="shared" si="0"/>
        <v>0</v>
      </c>
      <c r="I66" s="393"/>
      <c r="J66" s="390"/>
      <c r="K66" s="434"/>
      <c r="L66" s="395">
        <f t="shared" si="1"/>
        <v>0</v>
      </c>
      <c r="M66" s="434"/>
      <c r="N66" s="434"/>
      <c r="O66" s="434"/>
      <c r="P66" s="406"/>
      <c r="Q66" s="389">
        <f>база!$L$6</f>
        <v>261.04640000000001</v>
      </c>
      <c r="R66" s="390">
        <v>1.2</v>
      </c>
      <c r="S66" s="491">
        <f>SUMIFS(Таблица1[Столбец1],Таблица1[коэф],"1,2",Таблица1[р/р],"5/16",Таблица1[Ф. И. О.],B66)</f>
        <v>0</v>
      </c>
      <c r="T66" s="493">
        <f t="shared" si="2"/>
        <v>0</v>
      </c>
      <c r="U66" s="410">
        <f>база!$M$6</f>
        <v>279.0496</v>
      </c>
      <c r="V66" s="390">
        <v>1.2</v>
      </c>
      <c r="W66" s="494">
        <f>SUMIFS(Таблица1[Столбец1],Таблица1[коэф],"1,2",Таблица1[р/р],"5/24",Таблица1[Ф. И. О.],B66)</f>
        <v>0</v>
      </c>
      <c r="X66" s="493">
        <f t="shared" si="3"/>
        <v>0</v>
      </c>
      <c r="Y66" s="795"/>
      <c r="Z66" s="797"/>
      <c r="AA66" s="786"/>
      <c r="AC66" s="727" t="str">
        <f>IF(SUMIFS(Таблица1[Столбец3],Таблица1[Ф. И. О.],B66)-Z61=0,"",SUMIFS(Таблица1[Столбец3],Таблица1[Ф. И. О.],B66)-Z61)</f>
        <v/>
      </c>
    </row>
    <row r="67" spans="1:29" ht="18.75">
      <c r="A67" s="786"/>
      <c r="B67" s="216"/>
      <c r="C67" s="825"/>
      <c r="D67" s="825"/>
      <c r="E67" s="389"/>
      <c r="F67" s="390"/>
      <c r="G67" s="400"/>
      <c r="H67" s="392">
        <f t="shared" si="0"/>
        <v>0</v>
      </c>
      <c r="I67" s="393"/>
      <c r="J67" s="390"/>
      <c r="K67" s="434"/>
      <c r="L67" s="395">
        <f t="shared" si="1"/>
        <v>0</v>
      </c>
      <c r="M67" s="434"/>
      <c r="N67" s="434"/>
      <c r="O67" s="434"/>
      <c r="P67" s="406"/>
      <c r="Q67" s="389">
        <f>IF(D61&lt;=3,база!$L$4,
IF(D61=4,база!$L$5,
IF(D61=5,база!$L$6)))</f>
        <v>210.57480000000001</v>
      </c>
      <c r="R67" s="390">
        <v>1.3</v>
      </c>
      <c r="S67" s="491">
        <f>SUMIFS(Таблица1[Столбец1],Таблица1[коэф],"1,3",Таблица1[р/р],"3/16",Таблица1[Ф. И. О.],B66)</f>
        <v>0</v>
      </c>
      <c r="T67" s="492">
        <f t="shared" si="2"/>
        <v>0</v>
      </c>
      <c r="U67" s="410">
        <f>IF(D61&lt;=3,база!$M$4,
IF(D61=4,база!$M$5,
IF(D61=5,база!$M$6)))</f>
        <v>225.09719999999999</v>
      </c>
      <c r="V67" s="390">
        <v>1.3</v>
      </c>
      <c r="W67" s="494">
        <f>SUMIFS(Таблица1[Столбец1],Таблица1[коэф],"1,3",Таблица1[р/р],"3/24",Таблица1[Ф. И. О.],B66)</f>
        <v>0</v>
      </c>
      <c r="X67" s="493">
        <f t="shared" si="3"/>
        <v>0</v>
      </c>
      <c r="Y67" s="795"/>
      <c r="Z67" s="797"/>
      <c r="AA67" s="786"/>
      <c r="AC67" s="727" t="str">
        <f>IF(SUMIFS(Таблица1[Столбец1],Таблица1[Ф. И. О.],B66)=Y61,"",B66&amp;"  часы не верны")</f>
        <v/>
      </c>
    </row>
    <row r="68" spans="1:29" ht="18.75">
      <c r="A68" s="786"/>
      <c r="B68" s="216"/>
      <c r="C68" s="825"/>
      <c r="D68" s="825"/>
      <c r="E68" s="389"/>
      <c r="F68" s="390"/>
      <c r="G68" s="400"/>
      <c r="H68" s="402">
        <f t="shared" si="0"/>
        <v>0</v>
      </c>
      <c r="I68" s="393"/>
      <c r="J68" s="390"/>
      <c r="K68" s="434"/>
      <c r="L68" s="395">
        <f t="shared" si="1"/>
        <v>0</v>
      </c>
      <c r="M68" s="434"/>
      <c r="N68" s="434"/>
      <c r="O68" s="434"/>
      <c r="P68" s="406"/>
      <c r="Q68" s="389">
        <f>база!$L$5</f>
        <v>231.45480000000001</v>
      </c>
      <c r="R68" s="390">
        <v>1.3</v>
      </c>
      <c r="S68" s="491">
        <f>SUMIFS(Таблица1[Столбец1],Таблица1[коэф],"1,3",Таблица1[р/р],"4/16",Таблица1[Ф. И. О.],B66)</f>
        <v>0</v>
      </c>
      <c r="T68" s="493">
        <f t="shared" si="2"/>
        <v>0</v>
      </c>
      <c r="U68" s="410">
        <f>база!$M$5</f>
        <v>247.41720000000001</v>
      </c>
      <c r="V68" s="390">
        <v>1.3</v>
      </c>
      <c r="W68" s="494">
        <f>SUMIFS(Таблица1[Столбец1],Таблица1[коэф],"1,3",Таблица1[р/р],"4/24",Таблица1[Ф. И. О.],B66)</f>
        <v>0</v>
      </c>
      <c r="X68" s="493">
        <f t="shared" si="3"/>
        <v>0</v>
      </c>
      <c r="Y68" s="795"/>
      <c r="Z68" s="797"/>
      <c r="AA68" s="786"/>
    </row>
    <row r="69" spans="1:29" ht="18.75">
      <c r="A69" s="786"/>
      <c r="B69" s="216"/>
      <c r="C69" s="825"/>
      <c r="D69" s="825"/>
      <c r="E69" s="389"/>
      <c r="F69" s="390"/>
      <c r="G69" s="400"/>
      <c r="H69" s="392">
        <f t="shared" si="0"/>
        <v>0</v>
      </c>
      <c r="I69" s="393"/>
      <c r="J69" s="390"/>
      <c r="K69" s="434"/>
      <c r="L69" s="395">
        <f t="shared" si="1"/>
        <v>0</v>
      </c>
      <c r="M69" s="434"/>
      <c r="N69" s="434"/>
      <c r="O69" s="434"/>
      <c r="P69" s="406"/>
      <c r="Q69" s="389">
        <f>IF(D61&lt;=3,база!$L$4,
IF(D61=4,база!$L$5,
IF(D61=5,база!$L$6)))</f>
        <v>210.57480000000001</v>
      </c>
      <c r="R69" s="390">
        <v>1.4</v>
      </c>
      <c r="S69" s="491">
        <f>SUMIFS(Таблица1[Столбец1],Таблица1[коэф],"1,4",Таблица1[р/р],"3/16",Таблица1[Ф. И. О.],B66)</f>
        <v>0</v>
      </c>
      <c r="T69" s="493">
        <f t="shared" si="2"/>
        <v>0</v>
      </c>
      <c r="U69" s="410">
        <f>IF(D61&lt;=3,база!$M$4,
IF(D61=4,база!$M$5,
IF(D61=5,база!$M$6)))</f>
        <v>225.09719999999999</v>
      </c>
      <c r="V69" s="390">
        <v>1.4</v>
      </c>
      <c r="W69" s="494">
        <f>SUMIFS(Таблица1[Столбец1],Таблица1[коэф],"1,4",Таблица1[р/р],"3/24",Таблица1[Ф. И. О.],B66)</f>
        <v>0</v>
      </c>
      <c r="X69" s="493">
        <f t="shared" si="3"/>
        <v>0</v>
      </c>
      <c r="Y69" s="795"/>
      <c r="Z69" s="797"/>
      <c r="AA69" s="786"/>
    </row>
    <row r="70" spans="1:29" ht="18.75">
      <c r="A70" s="786"/>
      <c r="B70" s="216"/>
      <c r="C70" s="825"/>
      <c r="D70" s="825"/>
      <c r="E70" s="389"/>
      <c r="F70" s="390"/>
      <c r="G70" s="400"/>
      <c r="H70" s="392">
        <f t="shared" si="0"/>
        <v>0</v>
      </c>
      <c r="I70" s="393"/>
      <c r="J70" s="390"/>
      <c r="K70" s="434"/>
      <c r="L70" s="395">
        <f t="shared" si="1"/>
        <v>0</v>
      </c>
      <c r="M70" s="434"/>
      <c r="N70" s="434"/>
      <c r="O70" s="434"/>
      <c r="P70" s="406"/>
      <c r="Q70" s="389">
        <f>база!$L$5</f>
        <v>231.45480000000001</v>
      </c>
      <c r="R70" s="390">
        <v>1.4</v>
      </c>
      <c r="S70" s="491">
        <f>SUMIFS(Таблица1[Столбец1],Таблица1[коэф],"1,4",Таблица1[р/р],"4/16",Таблица1[Ф. И. О.],B66)</f>
        <v>0</v>
      </c>
      <c r="T70" s="493">
        <f t="shared" si="2"/>
        <v>0</v>
      </c>
      <c r="U70" s="410">
        <f>база!$M$5</f>
        <v>247.41720000000001</v>
      </c>
      <c r="V70" s="390">
        <v>1.4</v>
      </c>
      <c r="W70" s="494">
        <f>SUMIFS(Таблица1[Столбец1],Таблица1[коэф],"1,4",Таблица1[р/р],"4/24",Таблица1[Ф. И. О.],B66)</f>
        <v>0</v>
      </c>
      <c r="X70" s="493">
        <f t="shared" si="3"/>
        <v>0</v>
      </c>
      <c r="Y70" s="795"/>
      <c r="Z70" s="797"/>
      <c r="AA70" s="786"/>
    </row>
    <row r="71" spans="1:29" ht="19.5" thickBot="1">
      <c r="A71" s="787"/>
      <c r="B71" s="203"/>
      <c r="C71" s="826"/>
      <c r="D71" s="826"/>
      <c r="E71" s="473"/>
      <c r="F71" s="464"/>
      <c r="G71" s="465"/>
      <c r="H71" s="468">
        <f t="shared" ref="H71:H134" si="4">ROUND(E71*F71*G71*2,2)</f>
        <v>0</v>
      </c>
      <c r="I71" s="463"/>
      <c r="J71" s="464"/>
      <c r="K71" s="457"/>
      <c r="L71" s="424">
        <f t="shared" ref="L71:L134" si="5">ROUND(I71*J71*K71*2,2)</f>
        <v>0</v>
      </c>
      <c r="M71" s="457"/>
      <c r="N71" s="457"/>
      <c r="O71" s="457"/>
      <c r="P71" s="476"/>
      <c r="Q71" s="473">
        <f>база!$L$6</f>
        <v>261.04640000000001</v>
      </c>
      <c r="R71" s="464">
        <v>1.4</v>
      </c>
      <c r="S71" s="512">
        <f>SUMIFS(Таблица1[Столбец1],Таблица1[коэф],"1,4",Таблица1[р/р],"5/16",Таблица1[Ф. И. О.],B66)</f>
        <v>0</v>
      </c>
      <c r="T71" s="493">
        <f t="shared" ref="T71:T134" si="6">ROUND(Q71*R71*S71*2,2)</f>
        <v>0</v>
      </c>
      <c r="U71" s="469">
        <f>база!$M$6</f>
        <v>279.0496</v>
      </c>
      <c r="V71" s="464">
        <v>1.4</v>
      </c>
      <c r="W71" s="501">
        <f>SUMIFS(Таблица1[Столбец1],Таблица1[коэф],"1,4",Таблица1[р/р],"5/24",Таблица1[Ф. И. О.],B66)</f>
        <v>0</v>
      </c>
      <c r="X71" s="510">
        <f t="shared" ref="X71:X134" si="7">ROUND(U71*V71*W71*2,2)</f>
        <v>0</v>
      </c>
      <c r="Y71" s="796"/>
      <c r="Z71" s="798"/>
      <c r="AA71" s="787"/>
    </row>
    <row r="72" spans="1:29" ht="18.75">
      <c r="A72" s="785">
        <v>7</v>
      </c>
      <c r="B72" s="216"/>
      <c r="C72" s="824">
        <f>INDEX(база!$E$2:$E$81, MATCH(B77,база!$B$2:$B$50,0))</f>
        <v>17296</v>
      </c>
      <c r="D72" s="824">
        <f>INDEX(база!$D$2:$D$89, MATCH(B77,база!$B$2:$B$50,0))</f>
        <v>3</v>
      </c>
      <c r="E72" s="377">
        <f>IF(D72&lt;=3,база!$I$4,
IF(D72=4,база!$I$5,
IF(D72=5,база!$I$6)))</f>
        <v>188.7912</v>
      </c>
      <c r="F72" s="378">
        <v>1</v>
      </c>
      <c r="G72" s="387">
        <f>SUMIFS(Таблица1[Столбец1],Таблица1[коэф],"1",Таблица1[р/р],"2/4",Таблица1[Ф. И. О.],B77)</f>
        <v>0</v>
      </c>
      <c r="H72" s="402">
        <f t="shared" si="4"/>
        <v>0</v>
      </c>
      <c r="I72" s="377">
        <f>IF(D72&lt;=3,база!$J$4,
IF(D72=4,база!$J$5,
IF(D72=5,база!$J$6)))</f>
        <v>196.05240000000001</v>
      </c>
      <c r="J72" s="378">
        <v>1</v>
      </c>
      <c r="K72" s="428">
        <f>SUMIFS(Таблица1[Столбец1],Таблица1[коэф],"1",Таблица1[р/р],"2/8",Таблица1[Ф. И. О.],B77)</f>
        <v>0</v>
      </c>
      <c r="L72" s="383">
        <f t="shared" si="5"/>
        <v>0</v>
      </c>
      <c r="M72" s="426"/>
      <c r="N72" s="428">
        <v>1</v>
      </c>
      <c r="O72" s="428">
        <f>SUMIFS(Data_Tech!$AM$3:$AM$67,Data_Tech!$E$3:$E$67,"1",Data_Tech!$G$3:$G$67,"3/12",Data_Tech!$F$3:$F$67,B77)</f>
        <v>0</v>
      </c>
      <c r="P72" s="383">
        <f>ROUND(M72*N72*O72,2)</f>
        <v>0</v>
      </c>
      <c r="Q72" s="381">
        <f>IF(D72&lt;=3,база!$L$4,
IF(D72=4,база!$L$5,
IF(D72=5,база!$L$6)))</f>
        <v>210.57480000000001</v>
      </c>
      <c r="R72" s="378">
        <v>1</v>
      </c>
      <c r="S72" s="489">
        <f>SUMIFS(Таблица1[Столбец1],Таблица1[коэф],"1",Таблица1[р/р],"3/16",Таблица1[Ф. И. О.],B77)</f>
        <v>0</v>
      </c>
      <c r="T72" s="493">
        <f t="shared" si="6"/>
        <v>0</v>
      </c>
      <c r="U72" s="462">
        <f>IF(D72&lt;=3,база!$M$4,
IF(D72=4,база!$M$5,
IF(D72=5,база!$M$6)))</f>
        <v>225.09719999999999</v>
      </c>
      <c r="V72" s="378">
        <v>1</v>
      </c>
      <c r="W72" s="497">
        <f>SUMIFS(Таблица1[Столбец1],Таблица1[коэф],"1",Таблица1[р/р],"3/24",Таблица1[Ф. И. О.],B77)</f>
        <v>0</v>
      </c>
      <c r="X72" s="490">
        <f t="shared" si="7"/>
        <v>0</v>
      </c>
      <c r="Y72" s="795">
        <f>SUM(G72:G82,K72:K82,O72:O82,S72:S82,W72:W82)</f>
        <v>0</v>
      </c>
      <c r="Z72" s="797">
        <f>IFERROR(SUM(H72:H82,L72:L82,T72:T82,X72:X82),"")</f>
        <v>0</v>
      </c>
      <c r="AA72" s="786"/>
    </row>
    <row r="73" spans="1:29" ht="18.75">
      <c r="A73" s="786"/>
      <c r="B73" s="216"/>
      <c r="C73" s="825"/>
      <c r="D73" s="825"/>
      <c r="E73" s="389">
        <f>IF(D72&lt;=3,база!$I$4,
IF(D72=4,база!$I$5,
IF(D72=5,база!$I$6)))</f>
        <v>188.7912</v>
      </c>
      <c r="F73" s="390">
        <v>1</v>
      </c>
      <c r="G73" s="400">
        <f>SUMIFS(Таблица1[Столбец1],Таблица1[коэф],"1",Таблица1[р/р],"3/4",Таблица1[Ф. И. О.],B77)</f>
        <v>0</v>
      </c>
      <c r="H73" s="392">
        <f t="shared" si="4"/>
        <v>0</v>
      </c>
      <c r="I73" s="389">
        <f>IF(D72&lt;=3,база!$J$4,
IF(D72=4,база!$J$5,
IF(D72=5,база!$J$6)))</f>
        <v>196.05240000000001</v>
      </c>
      <c r="J73" s="390">
        <v>1</v>
      </c>
      <c r="K73" s="434">
        <f>SUMIFS(Таблица1[Столбец1],Таблица1[коэф],"1",Таблица1[р/р],"3/8",Таблица1[Ф. И. О.],B77)</f>
        <v>0</v>
      </c>
      <c r="L73" s="395">
        <f t="shared" si="5"/>
        <v>0</v>
      </c>
      <c r="M73" s="432"/>
      <c r="N73" s="434">
        <v>1</v>
      </c>
      <c r="O73" s="434">
        <f>SUMIFS(Data_Tech!$AM$3:$AM$67,Data_Tech!$E$3:$E$67,"1",Data_Tech!$G$3:$G$67,"4/12",Data_Tech!$F$3:$F$67,B77)</f>
        <v>0</v>
      </c>
      <c r="P73" s="395">
        <f>ROUND(M73*O73,2)</f>
        <v>0</v>
      </c>
      <c r="Q73" s="393">
        <f>база!$L$5</f>
        <v>231.45480000000001</v>
      </c>
      <c r="R73" s="390">
        <v>1</v>
      </c>
      <c r="S73" s="491">
        <f>SUMIFS(Таблица1[Столбец1],Таблица1[коэф],"1",Таблица1[р/р],"4/16",Таблица1[Ф. И. О.],B77)</f>
        <v>0</v>
      </c>
      <c r="T73" s="493">
        <f t="shared" si="6"/>
        <v>0</v>
      </c>
      <c r="U73" s="410">
        <f>база!$M$5</f>
        <v>247.41720000000001</v>
      </c>
      <c r="V73" s="390">
        <v>1</v>
      </c>
      <c r="W73" s="494">
        <f>SUMIFS(Таблица1[Столбец1],Таблица1[коэф],"1",Таблица1[р/р],"4/24",Таблица1[Ф. И. О.],B77)</f>
        <v>0</v>
      </c>
      <c r="X73" s="493">
        <f t="shared" si="7"/>
        <v>0</v>
      </c>
      <c r="Y73" s="795"/>
      <c r="Z73" s="797"/>
      <c r="AA73" s="786"/>
    </row>
    <row r="74" spans="1:29" ht="18.75">
      <c r="A74" s="786"/>
      <c r="B74" s="216"/>
      <c r="C74" s="825"/>
      <c r="D74" s="825"/>
      <c r="E74" s="389"/>
      <c r="F74" s="390"/>
      <c r="G74" s="400"/>
      <c r="H74" s="392">
        <f t="shared" si="4"/>
        <v>0</v>
      </c>
      <c r="I74" s="389"/>
      <c r="J74" s="390"/>
      <c r="K74" s="434"/>
      <c r="L74" s="395">
        <f t="shared" si="5"/>
        <v>0</v>
      </c>
      <c r="M74" s="432"/>
      <c r="N74" s="434"/>
      <c r="O74" s="434"/>
      <c r="P74" s="395"/>
      <c r="Q74" s="393">
        <f>база!$L$6</f>
        <v>261.04640000000001</v>
      </c>
      <c r="R74" s="390">
        <v>1</v>
      </c>
      <c r="S74" s="491">
        <f>SUMIFS(Таблица1[Столбец1],Таблица1[коэф],"1",Таблица1[р/р],"5/16",Таблица1[Ф. И. О.],B77)</f>
        <v>0</v>
      </c>
      <c r="T74" s="493">
        <f t="shared" si="6"/>
        <v>0</v>
      </c>
      <c r="U74" s="410">
        <f>база!$M$6</f>
        <v>279.0496</v>
      </c>
      <c r="V74" s="390">
        <v>1</v>
      </c>
      <c r="W74" s="494">
        <f>SUMIFS(Таблица1[Столбец1],Таблица1[коэф],"1",Таблица1[р/р],"5/24",Таблица1[Ф. И. О.],B77)</f>
        <v>0</v>
      </c>
      <c r="X74" s="493">
        <f t="shared" si="7"/>
        <v>0</v>
      </c>
      <c r="Y74" s="795"/>
      <c r="Z74" s="797"/>
      <c r="AA74" s="786"/>
    </row>
    <row r="75" spans="1:29" ht="18.75">
      <c r="A75" s="786"/>
      <c r="B75" s="216"/>
      <c r="C75" s="825"/>
      <c r="D75" s="825"/>
      <c r="E75" s="389"/>
      <c r="F75" s="390"/>
      <c r="G75" s="400"/>
      <c r="H75" s="392">
        <f t="shared" si="4"/>
        <v>0</v>
      </c>
      <c r="I75" s="389">
        <f>база!$J$5</f>
        <v>215.4924</v>
      </c>
      <c r="J75" s="390">
        <v>1.5</v>
      </c>
      <c r="K75" s="434">
        <f>SUMIFS(Таблица1[Столбец1],Таблица1[коэф],"1,5",Таблица1[р/р],"4/8",Таблица1[Ф. И. О.],B77)</f>
        <v>0</v>
      </c>
      <c r="L75" s="395">
        <f t="shared" si="5"/>
        <v>0</v>
      </c>
      <c r="M75" s="432"/>
      <c r="N75" s="434"/>
      <c r="O75" s="434"/>
      <c r="P75" s="395"/>
      <c r="Q75" s="393">
        <f>IF(D72&lt;=3,база!$L$4,
IF(D72=4,база!$L$5,
IF(D72=5,база!$L$6)))</f>
        <v>210.57480000000001</v>
      </c>
      <c r="R75" s="390">
        <v>1.2</v>
      </c>
      <c r="S75" s="491">
        <f>SUMIFS(Таблица1[Столбец1],Таблица1[коэф],"1,2",Таблица1[р/р],"3/16",Таблица1[Ф. И. О.],B77)</f>
        <v>0</v>
      </c>
      <c r="T75" s="493">
        <f t="shared" si="6"/>
        <v>0</v>
      </c>
      <c r="U75" s="410">
        <f>IF(D72&lt;=3,база!$M$4,
IF(D72=4,база!$M$5,
IF(D72=5,база!$M$6)))</f>
        <v>225.09719999999999</v>
      </c>
      <c r="V75" s="390">
        <v>1.2</v>
      </c>
      <c r="W75" s="494">
        <f>SUMIFS(Таблица1[Столбец1],Таблица1[коэф],"1,2",Таблица1[р/р],"3/24",Таблица1[Ф. И. О.],B77)</f>
        <v>0</v>
      </c>
      <c r="X75" s="493">
        <f t="shared" si="7"/>
        <v>0</v>
      </c>
      <c r="Y75" s="795"/>
      <c r="Z75" s="797"/>
      <c r="AA75" s="786"/>
    </row>
    <row r="76" spans="1:29" ht="18.75">
      <c r="A76" s="786"/>
      <c r="B76" s="216"/>
      <c r="C76" s="825"/>
      <c r="D76" s="825"/>
      <c r="E76" s="389"/>
      <c r="F76" s="390"/>
      <c r="G76" s="400"/>
      <c r="H76" s="392">
        <f t="shared" si="4"/>
        <v>0</v>
      </c>
      <c r="I76" s="389">
        <f>база!$J$6</f>
        <v>243.04319999999998</v>
      </c>
      <c r="J76" s="390">
        <v>1.5</v>
      </c>
      <c r="K76" s="434">
        <f>SUMIFS(Таблица1[Столбец1],Таблица1[коэф],"1,5",Таблица1[р/р],"5/8",Таблица1[Ф. И. О.],B77)</f>
        <v>0</v>
      </c>
      <c r="L76" s="484">
        <f t="shared" si="5"/>
        <v>0</v>
      </c>
      <c r="M76" s="432"/>
      <c r="N76" s="434"/>
      <c r="O76" s="434"/>
      <c r="P76" s="395"/>
      <c r="Q76" s="393">
        <f>база!$L$5</f>
        <v>231.45480000000001</v>
      </c>
      <c r="R76" s="390">
        <v>1.2</v>
      </c>
      <c r="S76" s="491">
        <f>SUMIFS(Таблица1[Столбец1],Таблица1[коэф],"1,2",Таблица1[р/р],"4/16",Таблица1[Ф. И. О.],B77)</f>
        <v>0</v>
      </c>
      <c r="T76" s="493">
        <f t="shared" si="6"/>
        <v>0</v>
      </c>
      <c r="U76" s="410">
        <f>база!$M$5</f>
        <v>247.41720000000001</v>
      </c>
      <c r="V76" s="390">
        <v>1.2</v>
      </c>
      <c r="W76" s="494">
        <f>SUMIFS(Таблица1[Столбец1],Таблица1[коэф],"1,2",Таблица1[р/р],"4/24",Таблица1[Ф. И. О.],B77)</f>
        <v>0</v>
      </c>
      <c r="X76" s="493">
        <f t="shared" si="7"/>
        <v>0</v>
      </c>
      <c r="Y76" s="795"/>
      <c r="Z76" s="797"/>
      <c r="AA76" s="786"/>
    </row>
    <row r="77" spans="1:29" ht="18.75">
      <c r="A77" s="786"/>
      <c r="B77" s="216" t="str">
        <f>база!B8</f>
        <v>Аполосова Юлиана Александровна</v>
      </c>
      <c r="C77" s="825"/>
      <c r="D77" s="825"/>
      <c r="E77" s="389"/>
      <c r="F77" s="390"/>
      <c r="G77" s="400"/>
      <c r="H77" s="392">
        <f t="shared" si="4"/>
        <v>0</v>
      </c>
      <c r="I77" s="389"/>
      <c r="J77" s="390"/>
      <c r="K77" s="434"/>
      <c r="L77" s="395">
        <f t="shared" si="5"/>
        <v>0</v>
      </c>
      <c r="M77" s="432"/>
      <c r="N77" s="434"/>
      <c r="O77" s="434"/>
      <c r="P77" s="395"/>
      <c r="Q77" s="393">
        <f>база!$L$6</f>
        <v>261.04640000000001</v>
      </c>
      <c r="R77" s="390">
        <v>1.2</v>
      </c>
      <c r="S77" s="491">
        <f>SUMIFS(Таблица1[Столбец1],Таблица1[коэф],"1,2",Таблица1[р/р],"5/16",Таблица1[Ф. И. О.],B77)</f>
        <v>0</v>
      </c>
      <c r="T77" s="493">
        <f t="shared" si="6"/>
        <v>0</v>
      </c>
      <c r="U77" s="410">
        <f>база!$M$6</f>
        <v>279.0496</v>
      </c>
      <c r="V77" s="390">
        <v>1.2</v>
      </c>
      <c r="W77" s="494">
        <f>SUMIFS(Таблица1[Столбец1],Таблица1[коэф],"1,2",Таблица1[р/р],"5/24",Таблица1[Ф. И. О.],B77)</f>
        <v>0</v>
      </c>
      <c r="X77" s="493">
        <f t="shared" si="7"/>
        <v>0</v>
      </c>
      <c r="Y77" s="795"/>
      <c r="Z77" s="797"/>
      <c r="AA77" s="786"/>
      <c r="AC77" s="727" t="str">
        <f>IF(SUMIFS(Таблица1[Столбец3],Таблица1[Ф. И. О.],B77)-Z72=0,"",SUMIFS(Таблица1[Столбец3],Таблица1[Ф. И. О.],B77)-Z72)</f>
        <v/>
      </c>
    </row>
    <row r="78" spans="1:29" ht="18.75">
      <c r="A78" s="786"/>
      <c r="B78" s="216"/>
      <c r="C78" s="825"/>
      <c r="D78" s="825"/>
      <c r="E78" s="389"/>
      <c r="F78" s="390"/>
      <c r="G78" s="400"/>
      <c r="H78" s="392">
        <f t="shared" si="4"/>
        <v>0</v>
      </c>
      <c r="I78" s="389"/>
      <c r="J78" s="390"/>
      <c r="K78" s="434"/>
      <c r="L78" s="395">
        <f t="shared" si="5"/>
        <v>0</v>
      </c>
      <c r="M78" s="432"/>
      <c r="N78" s="434"/>
      <c r="O78" s="434"/>
      <c r="P78" s="395"/>
      <c r="Q78" s="393">
        <f>IF(D72&lt;=3,база!$L$4,
IF(D72=4,база!$L$5,
IF(D72=5,база!$L$6)))</f>
        <v>210.57480000000001</v>
      </c>
      <c r="R78" s="390">
        <v>1.3</v>
      </c>
      <c r="S78" s="491">
        <f>SUMIFS(Таблица1[Столбец1],Таблица1[коэф],"1,3",Таблица1[р/р],"3/16",Таблица1[Ф. И. О.],B77)</f>
        <v>0</v>
      </c>
      <c r="T78" s="493">
        <f t="shared" si="6"/>
        <v>0</v>
      </c>
      <c r="U78" s="410">
        <f>IF(D72&lt;=3,база!$M$4,
IF(D72=4,база!$M$5,
IF(D72=5,база!$M$6)))</f>
        <v>225.09719999999999</v>
      </c>
      <c r="V78" s="390">
        <v>1.3</v>
      </c>
      <c r="W78" s="494">
        <f>SUMIFS(Таблица1[Столбец1],Таблица1[коэф],"1,3",Таблица1[р/р],"3/24",Таблица1[Ф. И. О.],B77)</f>
        <v>0</v>
      </c>
      <c r="X78" s="493">
        <f t="shared" si="7"/>
        <v>0</v>
      </c>
      <c r="Y78" s="795"/>
      <c r="Z78" s="797"/>
      <c r="AA78" s="786"/>
      <c r="AC78" s="727" t="str">
        <f>IF(SUMIFS(Таблица1[Столбец1],Таблица1[Ф. И. О.],B77)=Y72,"",B77&amp;"  часы не верны")</f>
        <v/>
      </c>
    </row>
    <row r="79" spans="1:29" ht="18.75">
      <c r="A79" s="786"/>
      <c r="B79" s="216"/>
      <c r="C79" s="825"/>
      <c r="D79" s="825"/>
      <c r="E79" s="389"/>
      <c r="F79" s="390"/>
      <c r="G79" s="400"/>
      <c r="H79" s="402">
        <f t="shared" si="4"/>
        <v>0</v>
      </c>
      <c r="I79" s="389"/>
      <c r="J79" s="390"/>
      <c r="K79" s="434"/>
      <c r="L79" s="395">
        <f t="shared" si="5"/>
        <v>0</v>
      </c>
      <c r="M79" s="432"/>
      <c r="N79" s="434"/>
      <c r="O79" s="434"/>
      <c r="P79" s="395"/>
      <c r="Q79" s="393">
        <f>база!$L$5</f>
        <v>231.45480000000001</v>
      </c>
      <c r="R79" s="390">
        <v>1.3</v>
      </c>
      <c r="S79" s="491">
        <f>SUMIFS(Таблица1[Столбец1],Таблица1[коэф],"1,3",Таблица1[р/р],"4/16",Таблица1[Ф. И. О.],B77)</f>
        <v>0</v>
      </c>
      <c r="T79" s="493">
        <f t="shared" si="6"/>
        <v>0</v>
      </c>
      <c r="U79" s="410">
        <f>база!$M$5</f>
        <v>247.41720000000001</v>
      </c>
      <c r="V79" s="390">
        <v>1.3</v>
      </c>
      <c r="W79" s="494">
        <f>SUMIFS(Таблица1[Столбец1],Таблица1[коэф],"1,3",Таблица1[р/р],"4/24",Таблица1[Ф. И. О.],B77)</f>
        <v>0</v>
      </c>
      <c r="X79" s="493">
        <f t="shared" si="7"/>
        <v>0</v>
      </c>
      <c r="Y79" s="795"/>
      <c r="Z79" s="797"/>
      <c r="AA79" s="786"/>
    </row>
    <row r="80" spans="1:29" ht="18.75">
      <c r="A80" s="786"/>
      <c r="B80" s="216"/>
      <c r="C80" s="825"/>
      <c r="D80" s="825"/>
      <c r="E80" s="389"/>
      <c r="F80" s="390"/>
      <c r="G80" s="400"/>
      <c r="H80" s="392">
        <f t="shared" si="4"/>
        <v>0</v>
      </c>
      <c r="I80" s="389"/>
      <c r="J80" s="390"/>
      <c r="K80" s="434"/>
      <c r="L80" s="395">
        <f t="shared" si="5"/>
        <v>0</v>
      </c>
      <c r="M80" s="432"/>
      <c r="N80" s="434"/>
      <c r="O80" s="434"/>
      <c r="P80" s="395"/>
      <c r="Q80" s="393">
        <f>IF(D72&lt;=3,база!$L$4,
IF(D72=4,база!$L$5,
IF(D72=5,база!$L$6)))</f>
        <v>210.57480000000001</v>
      </c>
      <c r="R80" s="390">
        <v>1.4</v>
      </c>
      <c r="S80" s="491">
        <f>SUMIFS(Таблица1[Столбец1],Таблица1[коэф],"1,4",Таблица1[р/р],"3/16",Таблица1[Ф. И. О.],B77)</f>
        <v>0</v>
      </c>
      <c r="T80" s="493">
        <f t="shared" si="6"/>
        <v>0</v>
      </c>
      <c r="U80" s="410">
        <f>IF(D72&lt;=3,база!$M$4,
IF(D72=4,база!$M$5,
IF(D72=5,база!$M$6)))</f>
        <v>225.09719999999999</v>
      </c>
      <c r="V80" s="390">
        <v>1.4</v>
      </c>
      <c r="W80" s="494">
        <f>SUMIFS(Таблица1[Столбец1],Таблица1[коэф],"1,4",Таблица1[р/р],"3/24",Таблица1[Ф. И. О.],B77)</f>
        <v>0</v>
      </c>
      <c r="X80" s="493">
        <f t="shared" si="7"/>
        <v>0</v>
      </c>
      <c r="Y80" s="795"/>
      <c r="Z80" s="797"/>
      <c r="AA80" s="786"/>
    </row>
    <row r="81" spans="1:29" ht="18.75">
      <c r="A81" s="786"/>
      <c r="B81" s="216"/>
      <c r="C81" s="825"/>
      <c r="D81" s="825"/>
      <c r="E81" s="389"/>
      <c r="F81" s="390"/>
      <c r="G81" s="400"/>
      <c r="H81" s="392">
        <f t="shared" si="4"/>
        <v>0</v>
      </c>
      <c r="I81" s="389"/>
      <c r="J81" s="390"/>
      <c r="K81" s="434"/>
      <c r="L81" s="395">
        <f t="shared" si="5"/>
        <v>0</v>
      </c>
      <c r="M81" s="432"/>
      <c r="N81" s="434"/>
      <c r="O81" s="434"/>
      <c r="P81" s="395"/>
      <c r="Q81" s="393">
        <f>база!$L$5</f>
        <v>231.45480000000001</v>
      </c>
      <c r="R81" s="390">
        <v>1.4</v>
      </c>
      <c r="S81" s="491">
        <f>SUMIFS(Таблица1[Столбец1],Таблица1[коэф],"1,4",Таблица1[р/р],"4/16",Таблица1[Ф. И. О.],B77)</f>
        <v>0</v>
      </c>
      <c r="T81" s="493">
        <f t="shared" si="6"/>
        <v>0</v>
      </c>
      <c r="U81" s="410">
        <f>база!$M$5</f>
        <v>247.41720000000001</v>
      </c>
      <c r="V81" s="390">
        <v>1.4</v>
      </c>
      <c r="W81" s="494">
        <f>SUMIFS(Таблица1[Столбец1],Таблица1[коэф],"1,4",Таблица1[р/р],"4/24",Таблица1[Ф. И. О.],B77)</f>
        <v>0</v>
      </c>
      <c r="X81" s="493">
        <f t="shared" si="7"/>
        <v>0</v>
      </c>
      <c r="Y81" s="795"/>
      <c r="Z81" s="797"/>
      <c r="AA81" s="786"/>
    </row>
    <row r="82" spans="1:29" ht="19.5" thickBot="1">
      <c r="A82" s="787"/>
      <c r="B82" s="203"/>
      <c r="C82" s="826"/>
      <c r="D82" s="826"/>
      <c r="E82" s="473"/>
      <c r="F82" s="464"/>
      <c r="G82" s="465"/>
      <c r="H82" s="409">
        <f t="shared" si="4"/>
        <v>0</v>
      </c>
      <c r="I82" s="473"/>
      <c r="J82" s="464"/>
      <c r="K82" s="457"/>
      <c r="L82" s="424">
        <f t="shared" si="5"/>
        <v>0</v>
      </c>
      <c r="M82" s="466"/>
      <c r="N82" s="457"/>
      <c r="O82" s="457"/>
      <c r="P82" s="458"/>
      <c r="Q82" s="463">
        <f>база!$L$6</f>
        <v>261.04640000000001</v>
      </c>
      <c r="R82" s="464">
        <v>1.4</v>
      </c>
      <c r="S82" s="512">
        <f>SUMIFS(Таблица1[Столбец1],Таблица1[коэф],"1,4",Таблица1[р/р],"5/16",Таблица1[Ф. И. О.],B77)</f>
        <v>0</v>
      </c>
      <c r="T82" s="508">
        <f t="shared" si="6"/>
        <v>0</v>
      </c>
      <c r="U82" s="469">
        <f>база!$M$6</f>
        <v>279.0496</v>
      </c>
      <c r="V82" s="464">
        <v>1.4</v>
      </c>
      <c r="W82" s="501">
        <f>SUMIFS(Таблица1[Столбец1],Таблица1[коэф],"1,4",Таблица1[р/р],"5/24",Таблица1[Ф. И. О.],B77)</f>
        <v>0</v>
      </c>
      <c r="X82" s="508">
        <f t="shared" si="7"/>
        <v>0</v>
      </c>
      <c r="Y82" s="796"/>
      <c r="Z82" s="798"/>
      <c r="AA82" s="787"/>
    </row>
    <row r="83" spans="1:29" ht="18.75">
      <c r="A83" s="785">
        <v>8</v>
      </c>
      <c r="B83" s="216"/>
      <c r="C83" s="824">
        <f>INDEX(база!$E$2:$E$81, MATCH(B88,база!$B$2:$B$50,0))</f>
        <v>16809</v>
      </c>
      <c r="D83" s="824">
        <f>INDEX(база!$D$2:$D$89, MATCH(B88,база!$B$2:$B$50,0))</f>
        <v>3</v>
      </c>
      <c r="E83" s="377">
        <f>IF(D83&lt;=3,база!$I$4,
IF(D83=4,база!$I$5,
IF(D83=5,база!$I$6)))</f>
        <v>188.7912</v>
      </c>
      <c r="F83" s="378">
        <v>1</v>
      </c>
      <c r="G83" s="387">
        <f>SUMIFS(Таблица1[Столбец1],Таблица1[коэф],"1",Таблица1[р/р],"2/4",Таблица1[Ф. И. О.],B88)</f>
        <v>0</v>
      </c>
      <c r="H83" s="380">
        <f t="shared" si="4"/>
        <v>0</v>
      </c>
      <c r="I83" s="451">
        <f>IF(D83&lt;=3,база!$J$4,
IF(D83=4,база!$J$5,
IF(D83=5,база!$J$6)))</f>
        <v>196.05240000000001</v>
      </c>
      <c r="J83" s="417">
        <v>1</v>
      </c>
      <c r="K83" s="453">
        <f>SUMIFS(Таблица1[Столбец1],Таблица1[коэф],"1",Таблица1[р/р],"2/8",Таблица1[Ф. И. О.],B88)</f>
        <v>0</v>
      </c>
      <c r="L83" s="383">
        <f t="shared" si="5"/>
        <v>0</v>
      </c>
      <c r="M83" s="453"/>
      <c r="N83" s="453">
        <v>1</v>
      </c>
      <c r="O83" s="453">
        <f>SUMIFS(Data_Tech!$AM$3:$AM$67,Data_Tech!$E$3:$E$67,"1",Data_Tech!$G$3:$G$67,"3/12",Data_Tech!$F$3:$F$67,B88)</f>
        <v>0</v>
      </c>
      <c r="P83" s="398">
        <f>ROUND(M83*N83*O83,2)</f>
        <v>0</v>
      </c>
      <c r="Q83" s="377">
        <f>IF(D83&lt;=3,база!$L$4,
IF(D83=4,база!$L$5,
IF(D83=5,база!$L$6)))</f>
        <v>210.57480000000001</v>
      </c>
      <c r="R83" s="378">
        <v>1</v>
      </c>
      <c r="S83" s="489">
        <f>SUMIFS(Таблица1[Столбец1],Таблица1[коэф],"1",Таблица1[р/р],"3/16",Таблица1[Ф. И. О.],B88)</f>
        <v>0</v>
      </c>
      <c r="T83" s="490">
        <f t="shared" si="6"/>
        <v>0</v>
      </c>
      <c r="U83" s="454">
        <f>IF(D83&lt;=3,база!$M$4,
IF(D83=4,база!$M$5,
IF(D83=5,база!$M$6)))</f>
        <v>225.09719999999999</v>
      </c>
      <c r="V83" s="417">
        <v>1</v>
      </c>
      <c r="W83" s="500">
        <f>SUMIFS(Таблица1[Столбец1],Таблица1[коэф],"1",Таблица1[р/р],"3/24",Таблица1[Ф. И. О.],B88)</f>
        <v>0</v>
      </c>
      <c r="X83" s="490">
        <f t="shared" si="7"/>
        <v>0</v>
      </c>
      <c r="Y83" s="795">
        <f>SUM(G83:G93,K83:K93,O83:O93,S83:S93,W83:W93)</f>
        <v>0</v>
      </c>
      <c r="Z83" s="797">
        <f>IFERROR(SUM(H83:H93,L83:L93,T83:T93,X83:X93),"")</f>
        <v>0</v>
      </c>
      <c r="AA83" s="786"/>
    </row>
    <row r="84" spans="1:29" ht="18.75">
      <c r="A84" s="786"/>
      <c r="B84" s="216"/>
      <c r="C84" s="825"/>
      <c r="D84" s="825"/>
      <c r="E84" s="389">
        <f>IF(D83&lt;=3,база!$I$4,
IF(D83=4,база!$I$5,
IF(D83=5,база!$I$6)))</f>
        <v>188.7912</v>
      </c>
      <c r="F84" s="390">
        <v>1</v>
      </c>
      <c r="G84" s="400">
        <f>SUMIFS(Таблица1[Столбец1],Таблица1[коэф],"1",Таблица1[р/р],"3/4",Таблица1[Ф. И. О.],B88)</f>
        <v>0</v>
      </c>
      <c r="H84" s="392">
        <f t="shared" si="4"/>
        <v>0</v>
      </c>
      <c r="I84" s="393">
        <f>IF(D83&lt;=3,база!$J$4,
IF(D83=4,база!$J$5,
IF(D83=5,база!$J$6)))</f>
        <v>196.05240000000001</v>
      </c>
      <c r="J84" s="390">
        <v>1</v>
      </c>
      <c r="K84" s="434">
        <f>SUMIFS(Таблица1[Столбец1],Таблица1[коэф],"1",Таблица1[р/р],"3/8",Таблица1[Ф. И. О.],B88)</f>
        <v>0</v>
      </c>
      <c r="L84" s="395">
        <f t="shared" si="5"/>
        <v>0</v>
      </c>
      <c r="M84" s="434"/>
      <c r="N84" s="434">
        <v>1</v>
      </c>
      <c r="O84" s="434">
        <f>SUMIFS(Data_Tech!$AM$3:$AM$67,Data_Tech!$E$3:$E$67,"1",Data_Tech!$G$3:$G$67,"4/12",Data_Tech!$F$3:$F$67,B88)</f>
        <v>0</v>
      </c>
      <c r="P84" s="406">
        <f>ROUND(M84*O84,2)</f>
        <v>0</v>
      </c>
      <c r="Q84" s="389">
        <f>база!$L$5</f>
        <v>231.45480000000001</v>
      </c>
      <c r="R84" s="390">
        <v>1</v>
      </c>
      <c r="S84" s="491">
        <f>SUMIFS(Таблица1[Столбец1],Таблица1[коэф],"1",Таблица1[р/р],"4/16",Таблица1[Ф. И. О.],B88)</f>
        <v>0</v>
      </c>
      <c r="T84" s="493">
        <f t="shared" si="6"/>
        <v>0</v>
      </c>
      <c r="U84" s="410">
        <f>база!$M$5</f>
        <v>247.41720000000001</v>
      </c>
      <c r="V84" s="390">
        <v>1</v>
      </c>
      <c r="W84" s="494">
        <f>SUMIFS(Таблица1[Столбец1],Таблица1[коэф],"1",Таблица1[р/р],"4/24",Таблица1[Ф. И. О.],B88)</f>
        <v>0</v>
      </c>
      <c r="X84" s="493">
        <f t="shared" si="7"/>
        <v>0</v>
      </c>
      <c r="Y84" s="795"/>
      <c r="Z84" s="797"/>
      <c r="AA84" s="786"/>
    </row>
    <row r="85" spans="1:29" ht="18.75">
      <c r="A85" s="786"/>
      <c r="B85" s="216"/>
      <c r="C85" s="825"/>
      <c r="D85" s="825"/>
      <c r="E85" s="389"/>
      <c r="F85" s="390"/>
      <c r="G85" s="400"/>
      <c r="H85" s="392">
        <f t="shared" si="4"/>
        <v>0</v>
      </c>
      <c r="I85" s="393"/>
      <c r="J85" s="390"/>
      <c r="K85" s="434"/>
      <c r="L85" s="395">
        <f t="shared" si="5"/>
        <v>0</v>
      </c>
      <c r="M85" s="434"/>
      <c r="N85" s="434"/>
      <c r="O85" s="434"/>
      <c r="P85" s="406"/>
      <c r="Q85" s="389">
        <f>база!$L$6</f>
        <v>261.04640000000001</v>
      </c>
      <c r="R85" s="390">
        <v>1</v>
      </c>
      <c r="S85" s="491">
        <f>SUMIFS(Таблица1[Столбец1],Таблица1[коэф],"1",Таблица1[р/р],"5/16",Таблица1[Ф. И. О.],B88)</f>
        <v>0</v>
      </c>
      <c r="T85" s="493">
        <f t="shared" si="6"/>
        <v>0</v>
      </c>
      <c r="U85" s="410">
        <f>база!$M$6</f>
        <v>279.0496</v>
      </c>
      <c r="V85" s="390">
        <v>1</v>
      </c>
      <c r="W85" s="494">
        <f>SUMIFS(Таблица1[Столбец1],Таблица1[коэф],"1",Таблица1[р/р],"5/24",Таблица1[Ф. И. О.],B88)</f>
        <v>0</v>
      </c>
      <c r="X85" s="493">
        <f t="shared" si="7"/>
        <v>0</v>
      </c>
      <c r="Y85" s="795"/>
      <c r="Z85" s="797"/>
      <c r="AA85" s="786"/>
    </row>
    <row r="86" spans="1:29" ht="18.75">
      <c r="A86" s="786"/>
      <c r="B86" s="216"/>
      <c r="C86" s="825"/>
      <c r="D86" s="825"/>
      <c r="E86" s="389"/>
      <c r="F86" s="390"/>
      <c r="G86" s="400"/>
      <c r="H86" s="392">
        <f t="shared" si="4"/>
        <v>0</v>
      </c>
      <c r="I86" s="393">
        <f>база!$J$5</f>
        <v>215.4924</v>
      </c>
      <c r="J86" s="390">
        <v>1.5</v>
      </c>
      <c r="K86" s="434">
        <f>SUMIFS(Таблица1[Столбец1],Таблица1[коэф],"1,5",Таблица1[р/р],"4/8",Таблица1[Ф. И. О.],B88)</f>
        <v>0</v>
      </c>
      <c r="L86" s="395">
        <f t="shared" si="5"/>
        <v>0</v>
      </c>
      <c r="M86" s="434"/>
      <c r="N86" s="434"/>
      <c r="O86" s="434"/>
      <c r="P86" s="406"/>
      <c r="Q86" s="389">
        <f>IF(D83&lt;=3,база!$L$4,
IF(D83=4,база!$L$5,
IF(D83=5,база!$L$6)))</f>
        <v>210.57480000000001</v>
      </c>
      <c r="R86" s="390">
        <v>1.2</v>
      </c>
      <c r="S86" s="491">
        <f>SUMIFS(Таблица1[Столбец1],Таблица1[коэф],"1,2",Таблица1[р/р],"3/16",Таблица1[Ф. И. О.],B88)</f>
        <v>0</v>
      </c>
      <c r="T86" s="493">
        <f t="shared" si="6"/>
        <v>0</v>
      </c>
      <c r="U86" s="410">
        <f>IF(D83&lt;=3,база!$M$4,
IF(D83=4,база!$M$5,
IF(D83=5,база!$M$6)))</f>
        <v>225.09719999999999</v>
      </c>
      <c r="V86" s="390">
        <v>1.2</v>
      </c>
      <c r="W86" s="494">
        <f>SUMIFS(Таблица1[Столбец1],Таблица1[коэф],"1,2",Таблица1[р/р],"3/24",Таблица1[Ф. И. О.],B88)</f>
        <v>0</v>
      </c>
      <c r="X86" s="493">
        <f t="shared" si="7"/>
        <v>0</v>
      </c>
      <c r="Y86" s="795"/>
      <c r="Z86" s="797"/>
      <c r="AA86" s="786"/>
    </row>
    <row r="87" spans="1:29" ht="18.75">
      <c r="A87" s="786"/>
      <c r="B87" s="216"/>
      <c r="C87" s="825"/>
      <c r="D87" s="825"/>
      <c r="E87" s="389"/>
      <c r="F87" s="390"/>
      <c r="G87" s="400"/>
      <c r="H87" s="392">
        <f t="shared" si="4"/>
        <v>0</v>
      </c>
      <c r="I87" s="393">
        <f>база!$J$6</f>
        <v>243.04319999999998</v>
      </c>
      <c r="J87" s="390">
        <v>1.5</v>
      </c>
      <c r="K87" s="434">
        <f>SUMIFS(Таблица1[Столбец1],Таблица1[коэф],"1,5",Таблица1[р/р],"5/8",Таблица1[Ф. И. О.],B88)</f>
        <v>0</v>
      </c>
      <c r="L87" s="395">
        <f t="shared" si="5"/>
        <v>0</v>
      </c>
      <c r="M87" s="434"/>
      <c r="N87" s="434"/>
      <c r="O87" s="434"/>
      <c r="P87" s="406"/>
      <c r="Q87" s="389">
        <f>база!$L$5</f>
        <v>231.45480000000001</v>
      </c>
      <c r="R87" s="390">
        <v>1.2</v>
      </c>
      <c r="S87" s="491">
        <f>SUMIFS(Таблица1[Столбец1],Таблица1[коэф],"1,2",Таблица1[р/р],"4/16",Таблица1[Ф. И. О.],B88)</f>
        <v>0</v>
      </c>
      <c r="T87" s="493">
        <f t="shared" si="6"/>
        <v>0</v>
      </c>
      <c r="U87" s="410">
        <f>база!$M$5</f>
        <v>247.41720000000001</v>
      </c>
      <c r="V87" s="390">
        <v>1.2</v>
      </c>
      <c r="W87" s="494">
        <f>SUMIFS(Таблица1[Столбец1],Таблица1[коэф],"1,2",Таблица1[р/р],"4/24",Таблица1[Ф. И. О.],B88)</f>
        <v>0</v>
      </c>
      <c r="X87" s="493">
        <f t="shared" si="7"/>
        <v>0</v>
      </c>
      <c r="Y87" s="795"/>
      <c r="Z87" s="797"/>
      <c r="AA87" s="786"/>
    </row>
    <row r="88" spans="1:29" ht="18.75">
      <c r="A88" s="786"/>
      <c r="B88" s="216" t="str">
        <f>база!B9</f>
        <v>Бадьялова Елена Сергеевна</v>
      </c>
      <c r="C88" s="825"/>
      <c r="D88" s="825"/>
      <c r="E88" s="389"/>
      <c r="F88" s="390"/>
      <c r="G88" s="400"/>
      <c r="H88" s="392">
        <f t="shared" si="4"/>
        <v>0</v>
      </c>
      <c r="I88" s="393"/>
      <c r="J88" s="390"/>
      <c r="K88" s="434"/>
      <c r="L88" s="395">
        <f t="shared" si="5"/>
        <v>0</v>
      </c>
      <c r="M88" s="434"/>
      <c r="N88" s="434"/>
      <c r="O88" s="434"/>
      <c r="P88" s="406"/>
      <c r="Q88" s="389">
        <f>база!$L$6</f>
        <v>261.04640000000001</v>
      </c>
      <c r="R88" s="390">
        <v>1.2</v>
      </c>
      <c r="S88" s="491">
        <f>SUMIFS(Таблица1[Столбец1],Таблица1[коэф],"1,2",Таблица1[р/р],"5/16",Таблица1[Ф. И. О.],B88)</f>
        <v>0</v>
      </c>
      <c r="T88" s="493">
        <f t="shared" si="6"/>
        <v>0</v>
      </c>
      <c r="U88" s="410">
        <f>база!$M$6</f>
        <v>279.0496</v>
      </c>
      <c r="V88" s="390">
        <v>1.2</v>
      </c>
      <c r="W88" s="494">
        <f>SUMIFS(Таблица1[Столбец1],Таблица1[коэф],"1,2",Таблица1[р/р],"5/24",Таблица1[Ф. И. О.],B88)</f>
        <v>0</v>
      </c>
      <c r="X88" s="493">
        <f t="shared" si="7"/>
        <v>0</v>
      </c>
      <c r="Y88" s="795"/>
      <c r="Z88" s="797"/>
      <c r="AA88" s="786"/>
      <c r="AC88" s="727" t="str">
        <f>IF(SUMIFS(Таблица1[Столбец3],Таблица1[Ф. И. О.],B88)-Z83=0,"",SUMIFS(Таблица1[Столбец3],Таблица1[Ф. И. О.],B88)-Z83)</f>
        <v/>
      </c>
    </row>
    <row r="89" spans="1:29" ht="18.75">
      <c r="A89" s="786"/>
      <c r="B89" s="216"/>
      <c r="C89" s="825"/>
      <c r="D89" s="825"/>
      <c r="E89" s="389"/>
      <c r="F89" s="390"/>
      <c r="G89" s="400"/>
      <c r="H89" s="392">
        <f t="shared" si="4"/>
        <v>0</v>
      </c>
      <c r="I89" s="393"/>
      <c r="J89" s="390"/>
      <c r="K89" s="434"/>
      <c r="L89" s="395">
        <f t="shared" si="5"/>
        <v>0</v>
      </c>
      <c r="M89" s="434"/>
      <c r="N89" s="434"/>
      <c r="O89" s="434"/>
      <c r="P89" s="406"/>
      <c r="Q89" s="389">
        <f>IF(D83&lt;=3,база!$L$4,
IF(D83=4,база!$L$5,
IF(D83=5,база!$L$6)))</f>
        <v>210.57480000000001</v>
      </c>
      <c r="R89" s="390">
        <v>1.3</v>
      </c>
      <c r="S89" s="491">
        <f>SUMIFS(Таблица1[Столбец1],Таблица1[коэф],"1,3",Таблица1[р/р],"3/16",Таблица1[Ф. И. О.],B88)</f>
        <v>0</v>
      </c>
      <c r="T89" s="493">
        <f t="shared" si="6"/>
        <v>0</v>
      </c>
      <c r="U89" s="410">
        <f>IF(D83&lt;=3,база!$M$4,
IF(D83=4,база!$M$5,
IF(D83=5,база!$M$6)))</f>
        <v>225.09719999999999</v>
      </c>
      <c r="V89" s="390">
        <v>1.3</v>
      </c>
      <c r="W89" s="494">
        <f>SUMIFS(Таблица1[Столбец1],Таблица1[коэф],"1,3",Таблица1[р/р],"3/24",Таблица1[Ф. И. О.],B88)</f>
        <v>0</v>
      </c>
      <c r="X89" s="493">
        <f t="shared" si="7"/>
        <v>0</v>
      </c>
      <c r="Y89" s="795"/>
      <c r="Z89" s="797"/>
      <c r="AA89" s="786"/>
      <c r="AC89" s="727" t="str">
        <f>IF(SUMIFS(Таблица1[Столбец1],Таблица1[Ф. И. О.],B88)=Y83,"",B88&amp;"  часы не верны")</f>
        <v/>
      </c>
    </row>
    <row r="90" spans="1:29" ht="18.75">
      <c r="A90" s="786"/>
      <c r="B90" s="216"/>
      <c r="C90" s="825"/>
      <c r="D90" s="825"/>
      <c r="E90" s="389"/>
      <c r="F90" s="390"/>
      <c r="G90" s="400"/>
      <c r="H90" s="392">
        <f t="shared" si="4"/>
        <v>0</v>
      </c>
      <c r="I90" s="393"/>
      <c r="J90" s="390"/>
      <c r="K90" s="434"/>
      <c r="L90" s="395">
        <f t="shared" si="5"/>
        <v>0</v>
      </c>
      <c r="M90" s="434"/>
      <c r="N90" s="434"/>
      <c r="O90" s="434"/>
      <c r="P90" s="406"/>
      <c r="Q90" s="389">
        <f>база!$L$5</f>
        <v>231.45480000000001</v>
      </c>
      <c r="R90" s="390">
        <v>1.3</v>
      </c>
      <c r="S90" s="491">
        <f>SUMIFS(Таблица1[Столбец1],Таблица1[коэф],"1,3",Таблица1[р/р],"4/16",Таблица1[Ф. И. О.],B88)</f>
        <v>0</v>
      </c>
      <c r="T90" s="493">
        <f t="shared" si="6"/>
        <v>0</v>
      </c>
      <c r="U90" s="410">
        <f>база!$M$5</f>
        <v>247.41720000000001</v>
      </c>
      <c r="V90" s="390">
        <v>1.3</v>
      </c>
      <c r="W90" s="494">
        <f>SUMIFS(Таблица1[Столбец1],Таблица1[коэф],"1,3",Таблица1[р/р],"4/24",Таблица1[Ф. И. О.],B88)</f>
        <v>0</v>
      </c>
      <c r="X90" s="493">
        <f t="shared" si="7"/>
        <v>0</v>
      </c>
      <c r="Y90" s="795"/>
      <c r="Z90" s="797"/>
      <c r="AA90" s="786"/>
    </row>
    <row r="91" spans="1:29" ht="18.75">
      <c r="A91" s="786"/>
      <c r="B91" s="216"/>
      <c r="C91" s="825"/>
      <c r="D91" s="825"/>
      <c r="E91" s="389"/>
      <c r="F91" s="390"/>
      <c r="G91" s="400"/>
      <c r="H91" s="392">
        <f t="shared" si="4"/>
        <v>0</v>
      </c>
      <c r="I91" s="393"/>
      <c r="J91" s="390"/>
      <c r="K91" s="434"/>
      <c r="L91" s="395">
        <f t="shared" si="5"/>
        <v>0</v>
      </c>
      <c r="M91" s="434"/>
      <c r="N91" s="434"/>
      <c r="O91" s="434"/>
      <c r="P91" s="406"/>
      <c r="Q91" s="389">
        <f>IF(D83&lt;=3,база!$L$4,
IF(D83=4,база!$L$5,
IF(D83=5,база!$L$6)))</f>
        <v>210.57480000000001</v>
      </c>
      <c r="R91" s="390">
        <v>1.4</v>
      </c>
      <c r="S91" s="491">
        <f>SUMIFS(Таблица1[Столбец1],Таблица1[коэф],"1,4",Таблица1[р/р],"3/16",Таблица1[Ф. И. О.],B88)</f>
        <v>0</v>
      </c>
      <c r="T91" s="493">
        <f t="shared" si="6"/>
        <v>0</v>
      </c>
      <c r="U91" s="410">
        <f>IF(D83&lt;=3,база!$M$4,
IF(D83=4,база!$M$5,
IF(D83=5,база!$M$6)))</f>
        <v>225.09719999999999</v>
      </c>
      <c r="V91" s="390">
        <v>1.4</v>
      </c>
      <c r="W91" s="494">
        <f>SUMIFS(Таблица1[Столбец1],Таблица1[коэф],"1,4",Таблица1[р/р],"3/24",Таблица1[Ф. И. О.],B88)</f>
        <v>0</v>
      </c>
      <c r="X91" s="493">
        <f t="shared" si="7"/>
        <v>0</v>
      </c>
      <c r="Y91" s="795"/>
      <c r="Z91" s="797"/>
      <c r="AA91" s="786"/>
    </row>
    <row r="92" spans="1:29" ht="18.75">
      <c r="A92" s="786"/>
      <c r="B92" s="216"/>
      <c r="C92" s="825"/>
      <c r="D92" s="825"/>
      <c r="E92" s="389"/>
      <c r="F92" s="390"/>
      <c r="G92" s="400"/>
      <c r="H92" s="392">
        <f t="shared" si="4"/>
        <v>0</v>
      </c>
      <c r="I92" s="393"/>
      <c r="J92" s="390"/>
      <c r="K92" s="434"/>
      <c r="L92" s="395">
        <f t="shared" si="5"/>
        <v>0</v>
      </c>
      <c r="M92" s="434"/>
      <c r="N92" s="434"/>
      <c r="O92" s="434"/>
      <c r="P92" s="406"/>
      <c r="Q92" s="389">
        <f>база!$L$5</f>
        <v>231.45480000000001</v>
      </c>
      <c r="R92" s="390">
        <v>1.4</v>
      </c>
      <c r="S92" s="491">
        <f>SUMIFS(Таблица1[Столбец1],Таблица1[коэф],"1,4",Таблица1[р/р],"4/16",Таблица1[Ф. И. О.],B88)</f>
        <v>0</v>
      </c>
      <c r="T92" s="493">
        <f t="shared" si="6"/>
        <v>0</v>
      </c>
      <c r="U92" s="410">
        <f>база!$M$5</f>
        <v>247.41720000000001</v>
      </c>
      <c r="V92" s="390">
        <v>1.4</v>
      </c>
      <c r="W92" s="494">
        <f>SUMIFS(Таблица1[Столбец1],Таблица1[коэф],"1,4",Таблица1[р/р],"4/24",Таблица1[Ф. И. О.],B88)</f>
        <v>0</v>
      </c>
      <c r="X92" s="493">
        <f t="shared" si="7"/>
        <v>0</v>
      </c>
      <c r="Y92" s="795"/>
      <c r="Z92" s="797"/>
      <c r="AA92" s="786"/>
    </row>
    <row r="93" spans="1:29" ht="19.5" thickBot="1">
      <c r="A93" s="787"/>
      <c r="B93" s="203"/>
      <c r="C93" s="826"/>
      <c r="D93" s="826"/>
      <c r="E93" s="473"/>
      <c r="F93" s="464"/>
      <c r="G93" s="465"/>
      <c r="H93" s="468">
        <f t="shared" si="4"/>
        <v>0</v>
      </c>
      <c r="I93" s="463"/>
      <c r="J93" s="464"/>
      <c r="K93" s="457"/>
      <c r="L93" s="458">
        <f t="shared" si="5"/>
        <v>0</v>
      </c>
      <c r="M93" s="457"/>
      <c r="N93" s="457"/>
      <c r="O93" s="457"/>
      <c r="P93" s="476"/>
      <c r="Q93" s="473">
        <f>база!$L$6</f>
        <v>261.04640000000001</v>
      </c>
      <c r="R93" s="464">
        <v>1.4</v>
      </c>
      <c r="S93" s="512">
        <f>SUMIFS(Таблица1[Столбец1],Таблица1[коэф],"1,4",Таблица1[р/р],"5/16",Таблица1[Ф. И. О.],B88)</f>
        <v>0</v>
      </c>
      <c r="T93" s="492">
        <f t="shared" si="6"/>
        <v>0</v>
      </c>
      <c r="U93" s="469">
        <f>база!$M$6</f>
        <v>279.0496</v>
      </c>
      <c r="V93" s="464">
        <v>1.4</v>
      </c>
      <c r="W93" s="501">
        <f>SUMIFS(Таблица1[Столбец1],Таблица1[коэф],"1,4",Таблица1[р/р],"5/24",Таблица1[Ф. И. О.],B88)</f>
        <v>0</v>
      </c>
      <c r="X93" s="492">
        <f t="shared" si="7"/>
        <v>0</v>
      </c>
      <c r="Y93" s="796"/>
      <c r="Z93" s="798"/>
      <c r="AA93" s="787"/>
    </row>
    <row r="94" spans="1:29" ht="18.75">
      <c r="A94" s="785">
        <v>9</v>
      </c>
      <c r="B94" s="216"/>
      <c r="C94" s="824">
        <f>INDEX(база!$E$2:$E$81, MATCH(B99,база!$B$2:$B$50,0))</f>
        <v>17169</v>
      </c>
      <c r="D94" s="824">
        <f>INDEX(база!$D$2:$D$89, MATCH(B99,база!$B$2:$B$50,0))</f>
        <v>3</v>
      </c>
      <c r="E94" s="377">
        <f>IF(D94&lt;=3,база!$I$4,
IF(D94=4,база!$I$5,
IF(D94=5,база!$I$6)))</f>
        <v>188.7912</v>
      </c>
      <c r="F94" s="378">
        <v>1</v>
      </c>
      <c r="G94" s="387">
        <f>SUMIFS(Таблица1[Столбец1],Таблица1[коэф],"1",Таблица1[р/р],"2/4",Таблица1[Ф. И. О.],B99)</f>
        <v>0</v>
      </c>
      <c r="H94" s="402">
        <f t="shared" si="4"/>
        <v>0</v>
      </c>
      <c r="I94" s="451">
        <f>IF(D94&lt;=3,база!$J$4,
IF(D94=4,база!$J$5,
IF(D94=5,база!$J$6)))</f>
        <v>196.05240000000001</v>
      </c>
      <c r="J94" s="417">
        <v>1</v>
      </c>
      <c r="K94" s="453">
        <f>SUMIFS(Таблица1[Столбец1],Таблица1[коэф],"1",Таблица1[р/р],"2/8",Таблица1[Ф. И. О.],B99)</f>
        <v>0</v>
      </c>
      <c r="L94" s="484">
        <f t="shared" si="5"/>
        <v>0</v>
      </c>
      <c r="M94" s="453"/>
      <c r="N94" s="453">
        <v>1</v>
      </c>
      <c r="O94" s="453">
        <f>SUMIFS(Data_Tech!$AM$3:$AM$67,Data_Tech!$E$3:$E$67,"1",Data_Tech!$G$3:$G$67,"3/12",Data_Tech!$F$3:$F$67,B99)</f>
        <v>0</v>
      </c>
      <c r="P94" s="398">
        <f>ROUND(M94*N94*O94,2)</f>
        <v>0</v>
      </c>
      <c r="Q94" s="377">
        <f>IF(D94&lt;=3,база!$L$4,
IF(D94=4,база!$L$5,
IF(D94=5,база!$L$6)))</f>
        <v>210.57480000000001</v>
      </c>
      <c r="R94" s="378">
        <v>1</v>
      </c>
      <c r="S94" s="489">
        <f>SUMIFS(Таблица1[Столбец1],Таблица1[коэф],"1",Таблица1[р/р],"3/16",Таблица1[Ф. И. О.],B99)</f>
        <v>0</v>
      </c>
      <c r="T94" s="490">
        <f t="shared" si="6"/>
        <v>0</v>
      </c>
      <c r="U94" s="471">
        <f>IF(D94&lt;=3,база!$M$4,
IF(D94=4,база!$M$5,
IF(D94=5,база!$M$6)))</f>
        <v>225.09719999999999</v>
      </c>
      <c r="V94" s="378">
        <v>1</v>
      </c>
      <c r="W94" s="502">
        <f>SUMIFS(Таблица1[Столбец1],Таблица1[коэф],"1",Таблица1[р/р],"3/24",Таблица1[Ф. И. О.],B99)</f>
        <v>0</v>
      </c>
      <c r="X94" s="490">
        <f t="shared" si="7"/>
        <v>0</v>
      </c>
      <c r="Y94" s="795">
        <f t="shared" ref="Y94" si="8">SUM(G94:G104,K94:K104,O94:O104,S94:S104,W94:W104)</f>
        <v>0</v>
      </c>
      <c r="Z94" s="797">
        <f t="shared" ref="Z94" si="9">IFERROR(SUM(H94:H104,L94:L104,T94:T104,X94:X104),"")</f>
        <v>0</v>
      </c>
      <c r="AA94" s="786"/>
    </row>
    <row r="95" spans="1:29" ht="18.75">
      <c r="A95" s="786"/>
      <c r="B95" s="216"/>
      <c r="C95" s="825"/>
      <c r="D95" s="825"/>
      <c r="E95" s="389">
        <f>IF(D94&lt;=3,база!$I$4,
IF(D94=4,база!$I$5,
IF(D94=5,база!$I$6)))</f>
        <v>188.7912</v>
      </c>
      <c r="F95" s="390">
        <v>1</v>
      </c>
      <c r="G95" s="400">
        <f>SUMIFS(Таблица1[Столбец1],Таблица1[коэф],"1",Таблица1[р/р],"3/4",Таблица1[Ф. И. О.],B99)</f>
        <v>0</v>
      </c>
      <c r="H95" s="392">
        <f t="shared" si="4"/>
        <v>0</v>
      </c>
      <c r="I95" s="393">
        <f>IF(D94&lt;=3,база!$J$4,
IF(D94=4,база!$J$5,
IF(D94=5,база!$J$6)))</f>
        <v>196.05240000000001</v>
      </c>
      <c r="J95" s="390">
        <v>1</v>
      </c>
      <c r="K95" s="434">
        <f>SUMIFS(Таблица1[Столбец1],Таблица1[коэф],"1",Таблица1[р/р],"3/8",Таблица1[Ф. И. О.],B99)</f>
        <v>0</v>
      </c>
      <c r="L95" s="395">
        <f t="shared" si="5"/>
        <v>0</v>
      </c>
      <c r="M95" s="434"/>
      <c r="N95" s="434">
        <v>1</v>
      </c>
      <c r="O95" s="434">
        <f>SUMIFS(Data_Tech!$AM$3:$AM$67,Data_Tech!$E$3:$E$67,"1",Data_Tech!$G$3:$G$67,"4/12",Data_Tech!$F$3:$F$67,B99)</f>
        <v>0</v>
      </c>
      <c r="P95" s="406">
        <f>ROUND(M95*O95,2)</f>
        <v>0</v>
      </c>
      <c r="Q95" s="389">
        <f>база!$L$5</f>
        <v>231.45480000000001</v>
      </c>
      <c r="R95" s="390">
        <v>1</v>
      </c>
      <c r="S95" s="491">
        <f>SUMIFS(Таблица1[Столбец1],Таблица1[коэф],"1",Таблица1[р/р],"4/16",Таблица1[Ф. И. О.],B99)</f>
        <v>0</v>
      </c>
      <c r="T95" s="493">
        <f t="shared" si="6"/>
        <v>0</v>
      </c>
      <c r="U95" s="472">
        <f>база!$M$5</f>
        <v>247.41720000000001</v>
      </c>
      <c r="V95" s="390">
        <v>1</v>
      </c>
      <c r="W95" s="503">
        <f>SUMIFS(Таблица1[Столбец1],Таблица1[коэф],"1",Таблица1[р/р],"4/24",Таблица1[Ф. И. О.],B99)</f>
        <v>0</v>
      </c>
      <c r="X95" s="493">
        <f t="shared" si="7"/>
        <v>0</v>
      </c>
      <c r="Y95" s="795"/>
      <c r="Z95" s="797"/>
      <c r="AA95" s="786"/>
    </row>
    <row r="96" spans="1:29" ht="18.75">
      <c r="A96" s="786"/>
      <c r="B96" s="216"/>
      <c r="C96" s="825"/>
      <c r="D96" s="825"/>
      <c r="E96" s="389"/>
      <c r="F96" s="390"/>
      <c r="G96" s="400"/>
      <c r="H96" s="392">
        <f t="shared" si="4"/>
        <v>0</v>
      </c>
      <c r="I96" s="393"/>
      <c r="J96" s="390"/>
      <c r="K96" s="434"/>
      <c r="L96" s="395">
        <f t="shared" si="5"/>
        <v>0</v>
      </c>
      <c r="M96" s="434"/>
      <c r="N96" s="434"/>
      <c r="O96" s="434"/>
      <c r="P96" s="406"/>
      <c r="Q96" s="389">
        <f>база!$L$6</f>
        <v>261.04640000000001</v>
      </c>
      <c r="R96" s="390">
        <v>1</v>
      </c>
      <c r="S96" s="491">
        <f>SUMIFS(Таблица1[Столбец1],Таблица1[коэф],"1",Таблица1[р/р],"5/16",Таблица1[Ф. И. О.],B99)</f>
        <v>0</v>
      </c>
      <c r="T96" s="493">
        <f t="shared" si="6"/>
        <v>0</v>
      </c>
      <c r="U96" s="472">
        <f>база!$M$6</f>
        <v>279.0496</v>
      </c>
      <c r="V96" s="390">
        <v>1</v>
      </c>
      <c r="W96" s="503">
        <f>SUMIFS(Таблица1[Столбец1],Таблица1[коэф],"1",Таблица1[р/р],"5/24",Таблица1[Ф. И. О.],B99)</f>
        <v>0</v>
      </c>
      <c r="X96" s="493">
        <f t="shared" si="7"/>
        <v>0</v>
      </c>
      <c r="Y96" s="795"/>
      <c r="Z96" s="797"/>
      <c r="AA96" s="786"/>
    </row>
    <row r="97" spans="1:29" ht="18.75">
      <c r="A97" s="786"/>
      <c r="B97" s="216"/>
      <c r="C97" s="825"/>
      <c r="D97" s="825"/>
      <c r="E97" s="389"/>
      <c r="F97" s="390"/>
      <c r="G97" s="400"/>
      <c r="H97" s="392">
        <f t="shared" si="4"/>
        <v>0</v>
      </c>
      <c r="I97" s="393">
        <f>база!$J$5</f>
        <v>215.4924</v>
      </c>
      <c r="J97" s="390">
        <v>1.5</v>
      </c>
      <c r="K97" s="434">
        <f>SUMIFS(Таблица1[Столбец1],Таблица1[коэф],"1,5",Таблица1[р/р],"4/8",Таблица1[Ф. И. О.],B99)</f>
        <v>0</v>
      </c>
      <c r="L97" s="395">
        <f t="shared" si="5"/>
        <v>0</v>
      </c>
      <c r="M97" s="434"/>
      <c r="N97" s="434"/>
      <c r="O97" s="434"/>
      <c r="P97" s="406"/>
      <c r="Q97" s="389">
        <f>IF(D94&lt;=3,база!$L$4,
IF(D94=4,база!$L$5,
IF(D94=5,база!$L$6)))</f>
        <v>210.57480000000001</v>
      </c>
      <c r="R97" s="390">
        <v>1.2</v>
      </c>
      <c r="S97" s="491">
        <f>SUMIFS(Таблица1[Столбец1],Таблица1[коэф],"1,2",Таблица1[р/р],"3/16",Таблица1[Ф. И. О.],B99)</f>
        <v>0</v>
      </c>
      <c r="T97" s="493">
        <f t="shared" si="6"/>
        <v>0</v>
      </c>
      <c r="U97" s="472">
        <f>IF(D94&lt;=3,база!$M$4,
IF(D94=4,база!$M$5,
IF(D94=5,база!$M$6)))</f>
        <v>225.09719999999999</v>
      </c>
      <c r="V97" s="390">
        <v>1.2</v>
      </c>
      <c r="W97" s="503">
        <f>SUMIFS(Таблица1[Столбец1],Таблица1[коэф],"1,2",Таблица1[р/р],"3/24",Таблица1[Ф. И. О.],B99)</f>
        <v>0</v>
      </c>
      <c r="X97" s="493">
        <f t="shared" si="7"/>
        <v>0</v>
      </c>
      <c r="Y97" s="795"/>
      <c r="Z97" s="797"/>
      <c r="AA97" s="786"/>
    </row>
    <row r="98" spans="1:29" ht="18.75">
      <c r="A98" s="786"/>
      <c r="B98" s="216"/>
      <c r="C98" s="825"/>
      <c r="D98" s="825"/>
      <c r="E98" s="389"/>
      <c r="F98" s="390"/>
      <c r="G98" s="400"/>
      <c r="H98" s="392">
        <f t="shared" si="4"/>
        <v>0</v>
      </c>
      <c r="I98" s="451">
        <f>база!$J$6</f>
        <v>243.04319999999998</v>
      </c>
      <c r="J98" s="417">
        <v>1.5</v>
      </c>
      <c r="K98" s="453">
        <f>SUMIFS(Таблица1[Столбец1],Таблица1[коэф],"1,5",Таблица1[р/р],"5/8",Таблица1[Ф. И. О.],B99)</f>
        <v>0</v>
      </c>
      <c r="L98" s="395">
        <f t="shared" si="5"/>
        <v>0</v>
      </c>
      <c r="M98" s="453"/>
      <c r="N98" s="453"/>
      <c r="O98" s="453"/>
      <c r="P98" s="398"/>
      <c r="Q98" s="481">
        <f>база!$L$5</f>
        <v>231.45480000000001</v>
      </c>
      <c r="R98" s="417">
        <v>1.2</v>
      </c>
      <c r="S98" s="495">
        <f>SUMIFS(Таблица1[Столбец1],Таблица1[коэф],"1,2",Таблица1[р/р],"4/16",Таблица1[Ф. И. О.],B99)</f>
        <v>0</v>
      </c>
      <c r="T98" s="493">
        <f t="shared" si="6"/>
        <v>0</v>
      </c>
      <c r="U98" s="485">
        <f>база!$M$5</f>
        <v>247.41720000000001</v>
      </c>
      <c r="V98" s="417">
        <v>1.2</v>
      </c>
      <c r="W98" s="505">
        <f>SUMIFS(Таблица1[Столбец1],Таблица1[коэф],"1,2",Таблица1[р/р],"4/24",Таблица1[Ф. И. О.],B99)</f>
        <v>0</v>
      </c>
      <c r="X98" s="493">
        <f t="shared" si="7"/>
        <v>0</v>
      </c>
      <c r="Y98" s="795"/>
      <c r="Z98" s="797"/>
      <c r="AA98" s="786"/>
    </row>
    <row r="99" spans="1:29" ht="18.75">
      <c r="A99" s="786"/>
      <c r="B99" s="216" t="str">
        <f>база!B10</f>
        <v>Бекетова Надежда Ильинична</v>
      </c>
      <c r="C99" s="825"/>
      <c r="D99" s="825"/>
      <c r="E99" s="389"/>
      <c r="F99" s="390"/>
      <c r="G99" s="400"/>
      <c r="H99" s="392">
        <f t="shared" si="4"/>
        <v>0</v>
      </c>
      <c r="I99" s="393"/>
      <c r="J99" s="390"/>
      <c r="K99" s="434"/>
      <c r="L99" s="395">
        <f t="shared" si="5"/>
        <v>0</v>
      </c>
      <c r="M99" s="434"/>
      <c r="N99" s="434"/>
      <c r="O99" s="434"/>
      <c r="P99" s="406"/>
      <c r="Q99" s="389">
        <f>база!$L$6</f>
        <v>261.04640000000001</v>
      </c>
      <c r="R99" s="390">
        <v>1.2</v>
      </c>
      <c r="S99" s="491">
        <f>SUMIFS(Таблица1[Столбец1],Таблица1[коэф],"1,2",Таблица1[р/р],"5/16",Таблица1[Ф. И. О.],B99)</f>
        <v>0</v>
      </c>
      <c r="T99" s="493">
        <f t="shared" si="6"/>
        <v>0</v>
      </c>
      <c r="U99" s="472">
        <f>база!$M$6</f>
        <v>279.0496</v>
      </c>
      <c r="V99" s="390">
        <v>1.2</v>
      </c>
      <c r="W99" s="503">
        <f>SUMIFS(Таблица1[Столбец1],Таблица1[коэф],"1,2",Таблица1[р/р],"5/24",Таблица1[Ф. И. О.],B99)</f>
        <v>0</v>
      </c>
      <c r="X99" s="492">
        <f t="shared" si="7"/>
        <v>0</v>
      </c>
      <c r="Y99" s="795"/>
      <c r="Z99" s="797"/>
      <c r="AA99" s="786"/>
      <c r="AC99" s="727" t="str">
        <f>IF(SUMIFS(Таблица1[Столбец3],Таблица1[Ф. И. О.],B99)-Z94=0,"",SUMIFS(Таблица1[Столбец3],Таблица1[Ф. И. О.],B99)-Z94)</f>
        <v/>
      </c>
    </row>
    <row r="100" spans="1:29" ht="18.75">
      <c r="A100" s="786"/>
      <c r="B100" s="216"/>
      <c r="C100" s="825"/>
      <c r="D100" s="825"/>
      <c r="E100" s="389"/>
      <c r="F100" s="390"/>
      <c r="G100" s="400"/>
      <c r="H100" s="392">
        <f t="shared" si="4"/>
        <v>0</v>
      </c>
      <c r="I100" s="393"/>
      <c r="J100" s="390"/>
      <c r="K100" s="434"/>
      <c r="L100" s="395">
        <f t="shared" si="5"/>
        <v>0</v>
      </c>
      <c r="M100" s="434"/>
      <c r="N100" s="434"/>
      <c r="O100" s="434"/>
      <c r="P100" s="406"/>
      <c r="Q100" s="389">
        <f>IF(D94&lt;=3,база!$L$4,
IF(D94=4,база!$L$5,
IF(D94=5,база!$L$6)))</f>
        <v>210.57480000000001</v>
      </c>
      <c r="R100" s="390">
        <v>1.3</v>
      </c>
      <c r="S100" s="491">
        <f>SUMIFS(Таблица1[Столбец1],Таблица1[коэф],"1,3",Таблица1[р/р],"3/16",Таблица1[Ф. И. О.],B99)</f>
        <v>0</v>
      </c>
      <c r="T100" s="493">
        <f t="shared" si="6"/>
        <v>0</v>
      </c>
      <c r="U100" s="472">
        <f>IF(D94&lt;=3,база!$M$4,
IF(D94=4,база!$M$5,
IF(D94=5,база!$M$6)))</f>
        <v>225.09719999999999</v>
      </c>
      <c r="V100" s="390">
        <v>1.3</v>
      </c>
      <c r="W100" s="503">
        <f>SUMIFS(Таблица1[Столбец1],Таблица1[коэф],"1,3",Таблица1[р/р],"3/24",Таблица1[Ф. И. О.],B99)</f>
        <v>0</v>
      </c>
      <c r="X100" s="492">
        <f t="shared" si="7"/>
        <v>0</v>
      </c>
      <c r="Y100" s="795"/>
      <c r="Z100" s="797"/>
      <c r="AA100" s="786"/>
      <c r="AC100" s="727" t="str">
        <f>IF(SUMIFS(Таблица1[Столбец1],Таблица1[Ф. И. О.],B99)=Y94,"",B99&amp;"  часы не верны")</f>
        <v/>
      </c>
    </row>
    <row r="101" spans="1:29" ht="18.75">
      <c r="A101" s="786"/>
      <c r="B101" s="216"/>
      <c r="C101" s="825"/>
      <c r="D101" s="825"/>
      <c r="E101" s="389"/>
      <c r="F101" s="390"/>
      <c r="G101" s="400"/>
      <c r="H101" s="392">
        <f t="shared" si="4"/>
        <v>0</v>
      </c>
      <c r="I101" s="393"/>
      <c r="J101" s="390"/>
      <c r="K101" s="434"/>
      <c r="L101" s="395">
        <f t="shared" si="5"/>
        <v>0</v>
      </c>
      <c r="M101" s="434"/>
      <c r="N101" s="434"/>
      <c r="O101" s="434"/>
      <c r="P101" s="406"/>
      <c r="Q101" s="389">
        <f>база!$L$5</f>
        <v>231.45480000000001</v>
      </c>
      <c r="R101" s="390">
        <v>1.3</v>
      </c>
      <c r="S101" s="491">
        <f>SUMIFS(Таблица1[Столбец1],Таблица1[коэф],"1,3",Таблица1[р/р],"4/16",Таблица1[Ф. И. О.],B99)</f>
        <v>0</v>
      </c>
      <c r="T101" s="493">
        <f t="shared" si="6"/>
        <v>0</v>
      </c>
      <c r="U101" s="472">
        <f>база!$M$5</f>
        <v>247.41720000000001</v>
      </c>
      <c r="V101" s="390">
        <v>1.3</v>
      </c>
      <c r="W101" s="503">
        <f>SUMIFS(Таблица1[Столбец1],Таблица1[коэф],"1,3",Таблица1[р/р],"4/24",Таблица1[Ф. И. О.],B99)</f>
        <v>0</v>
      </c>
      <c r="X101" s="492">
        <f t="shared" si="7"/>
        <v>0</v>
      </c>
      <c r="Y101" s="795"/>
      <c r="Z101" s="797"/>
      <c r="AA101" s="786"/>
    </row>
    <row r="102" spans="1:29" ht="18.75">
      <c r="A102" s="786"/>
      <c r="B102" s="216"/>
      <c r="C102" s="825"/>
      <c r="D102" s="825"/>
      <c r="E102" s="389"/>
      <c r="F102" s="390"/>
      <c r="G102" s="400"/>
      <c r="H102" s="392">
        <f t="shared" si="4"/>
        <v>0</v>
      </c>
      <c r="I102" s="393"/>
      <c r="J102" s="390"/>
      <c r="K102" s="434"/>
      <c r="L102" s="395">
        <f t="shared" si="5"/>
        <v>0</v>
      </c>
      <c r="M102" s="434"/>
      <c r="N102" s="434"/>
      <c r="O102" s="434"/>
      <c r="P102" s="406"/>
      <c r="Q102" s="389">
        <f>IF(D94&lt;=3,база!$L$4,
IF(D94=4,база!$L$5,
IF(D94=5,база!$L$6)))</f>
        <v>210.57480000000001</v>
      </c>
      <c r="R102" s="390">
        <v>1.4</v>
      </c>
      <c r="S102" s="491">
        <f>SUMIFS(Таблица1[Столбец1],Таблица1[коэф],"1,4",Таблица1[р/р],"3/16",Таблица1[Ф. И. О.],B99)</f>
        <v>0</v>
      </c>
      <c r="T102" s="493">
        <f t="shared" si="6"/>
        <v>0</v>
      </c>
      <c r="U102" s="472">
        <f>IF(D94&lt;=3,база!$M$4,
IF(D94=4,база!$M$5,
IF(D94=5,база!$M$6)))</f>
        <v>225.09719999999999</v>
      </c>
      <c r="V102" s="390">
        <v>1.4</v>
      </c>
      <c r="W102" s="503">
        <f>SUMIFS(Таблица1[Столбец1],Таблица1[коэф],"1,4",Таблица1[р/р],"3/24",Таблица1[Ф. И. О.],B99)</f>
        <v>0</v>
      </c>
      <c r="X102" s="492">
        <f t="shared" si="7"/>
        <v>0</v>
      </c>
      <c r="Y102" s="795"/>
      <c r="Z102" s="797"/>
      <c r="AA102" s="786"/>
    </row>
    <row r="103" spans="1:29" ht="18.75">
      <c r="A103" s="786"/>
      <c r="B103" s="216"/>
      <c r="C103" s="825"/>
      <c r="D103" s="825"/>
      <c r="E103" s="389"/>
      <c r="F103" s="390"/>
      <c r="G103" s="400"/>
      <c r="H103" s="392">
        <f t="shared" si="4"/>
        <v>0</v>
      </c>
      <c r="I103" s="393"/>
      <c r="J103" s="390"/>
      <c r="K103" s="434"/>
      <c r="L103" s="395">
        <f t="shared" si="5"/>
        <v>0</v>
      </c>
      <c r="M103" s="434"/>
      <c r="N103" s="434"/>
      <c r="O103" s="434"/>
      <c r="P103" s="406"/>
      <c r="Q103" s="389">
        <f>база!$L$5</f>
        <v>231.45480000000001</v>
      </c>
      <c r="R103" s="390">
        <v>1.4</v>
      </c>
      <c r="S103" s="491">
        <f>SUMIFS(Таблица1[Столбец1],Таблица1[коэф],"1,4",Таблица1[р/р],"4/16",Таблица1[Ф. И. О.],B99)</f>
        <v>0</v>
      </c>
      <c r="T103" s="493">
        <f t="shared" si="6"/>
        <v>0</v>
      </c>
      <c r="U103" s="472">
        <f>база!$M$5</f>
        <v>247.41720000000001</v>
      </c>
      <c r="V103" s="390">
        <v>1.4</v>
      </c>
      <c r="W103" s="503">
        <f>SUMIFS(Таблица1[Столбец1],Таблица1[коэф],"1,4",Таблица1[р/р],"4/24",Таблица1[Ф. И. О.],B99)</f>
        <v>0</v>
      </c>
      <c r="X103" s="492">
        <f t="shared" si="7"/>
        <v>0</v>
      </c>
      <c r="Y103" s="795"/>
      <c r="Z103" s="797"/>
      <c r="AA103" s="786"/>
    </row>
    <row r="104" spans="1:29" ht="19.5" thickBot="1">
      <c r="A104" s="787"/>
      <c r="B104" s="216"/>
      <c r="C104" s="826"/>
      <c r="D104" s="826"/>
      <c r="E104" s="420"/>
      <c r="F104" s="403"/>
      <c r="G104" s="408"/>
      <c r="H104" s="402">
        <f t="shared" si="4"/>
        <v>0</v>
      </c>
      <c r="I104" s="422"/>
      <c r="J104" s="403"/>
      <c r="K104" s="460"/>
      <c r="L104" s="458">
        <f t="shared" si="5"/>
        <v>0</v>
      </c>
      <c r="M104" s="460"/>
      <c r="N104" s="460"/>
      <c r="O104" s="460"/>
      <c r="P104" s="479"/>
      <c r="Q104" s="420">
        <f>база!$L$6</f>
        <v>261.04640000000001</v>
      </c>
      <c r="R104" s="403">
        <v>1.4</v>
      </c>
      <c r="S104" s="507">
        <f>SUMIFS(Таблица1[Столбец1],Таблица1[коэф],"1,4",Таблица1[р/р],"5/16",Таблица1[Ф. И. О.],B99)</f>
        <v>0</v>
      </c>
      <c r="T104" s="513">
        <f t="shared" si="6"/>
        <v>0</v>
      </c>
      <c r="U104" s="474">
        <f>база!$M$6</f>
        <v>279.0496</v>
      </c>
      <c r="V104" s="464">
        <v>1.4</v>
      </c>
      <c r="W104" s="504">
        <f>SUMIFS(Таблица1[Столбец1],Таблица1[коэф],"1,4",Таблица1[р/р],"5/24",Таблица1[Ф. И. О.],B99)</f>
        <v>0</v>
      </c>
      <c r="X104" s="492">
        <f t="shared" si="7"/>
        <v>0</v>
      </c>
      <c r="Y104" s="796"/>
      <c r="Z104" s="798"/>
      <c r="AA104" s="787"/>
    </row>
    <row r="105" spans="1:29" ht="18.75">
      <c r="A105" s="785">
        <v>10</v>
      </c>
      <c r="B105" s="236"/>
      <c r="C105" s="824">
        <f>INDEX(база!$E$2:$E$81, MATCH(B110,база!$B$2:$B$50,0))</f>
        <v>16250</v>
      </c>
      <c r="D105" s="824">
        <f>INDEX(база!$D$2:$D$89, MATCH(B110,база!$B$2:$B$50,0))</f>
        <v>3</v>
      </c>
      <c r="E105" s="377">
        <f>IF(D105&lt;=3,база!$I$4,
IF(D105=4,база!$I$5,
IF(D105=5,база!$I$6)))</f>
        <v>188.7912</v>
      </c>
      <c r="F105" s="378">
        <v>1</v>
      </c>
      <c r="G105" s="387">
        <f>SUMIFS(Таблица1[Столбец1],Таблица1[коэф],"1",Таблица1[р/р],"2/4",Таблица1[Ф. И. О.],B110)</f>
        <v>0</v>
      </c>
      <c r="H105" s="380">
        <f t="shared" si="4"/>
        <v>0</v>
      </c>
      <c r="I105" s="381">
        <f>IF(D105&lt;=3,база!$J$4,
IF(D105=4,база!$J$5,
IF(D105=5,база!$J$6)))</f>
        <v>196.05240000000001</v>
      </c>
      <c r="J105" s="378">
        <v>1</v>
      </c>
      <c r="K105" s="428">
        <f>SUMIFS(Таблица1[Столбец1],Таблица1[коэф],"1",Таблица1[р/р],"2/8",Таблица1[Ф. И. О.],B110)</f>
        <v>0</v>
      </c>
      <c r="L105" s="484">
        <f t="shared" si="5"/>
        <v>0</v>
      </c>
      <c r="M105" s="428"/>
      <c r="N105" s="428">
        <v>1</v>
      </c>
      <c r="O105" s="428">
        <f>SUMIFS(Data_Tech!$AM$3:$AM$67,Data_Tech!$E$3:$E$67,"1",Data_Tech!$G$3:$G$67,"3/12",Data_Tech!$F$3:$F$67,B110)</f>
        <v>0</v>
      </c>
      <c r="P105" s="385">
        <f>ROUND(M105*N105*O105,2)</f>
        <v>0</v>
      </c>
      <c r="Q105" s="377">
        <f>IF(D105&lt;=3,база!$L$4,
IF(D105=4,база!$L$5,
IF(D105=5,база!$L$6)))</f>
        <v>210.57480000000001</v>
      </c>
      <c r="R105" s="378">
        <v>1</v>
      </c>
      <c r="S105" s="489">
        <f>SUMIFS(Таблица1[Столбец1],Таблица1[коэф],"1",Таблица1[р/р],"3/16",Таблица1[Ф. И. О.],B110)</f>
        <v>0</v>
      </c>
      <c r="T105" s="492">
        <f t="shared" si="6"/>
        <v>0</v>
      </c>
      <c r="U105" s="462">
        <f>IF(D105&lt;=3,база!$M$4,
IF(D105=4,база!$M$5,
IF(D105=5,база!$M$6)))</f>
        <v>225.09719999999999</v>
      </c>
      <c r="V105" s="378">
        <v>1</v>
      </c>
      <c r="W105" s="502">
        <f>SUMIFS(Таблица1[Столбец1],Таблица1[коэф],"1",Таблица1[р/р],"3/24",Таблица1[Ф. И. О.],B110)</f>
        <v>0</v>
      </c>
      <c r="X105" s="490">
        <f t="shared" si="7"/>
        <v>0</v>
      </c>
      <c r="Y105" s="795">
        <f t="shared" ref="Y105" si="10">SUM(G105:G115,K105:K115,O105:O115,S105:S115,W105:W115)</f>
        <v>0</v>
      </c>
      <c r="Z105" s="797">
        <f t="shared" ref="Z105" si="11">IFERROR(SUM(H105:H115,L105:L115,T105:T115,X105:X115),"")</f>
        <v>0</v>
      </c>
      <c r="AA105" s="786"/>
    </row>
    <row r="106" spans="1:29" ht="18.75">
      <c r="A106" s="786"/>
      <c r="B106" s="216"/>
      <c r="C106" s="825"/>
      <c r="D106" s="825"/>
      <c r="E106" s="389">
        <f>IF(D105&lt;=3,база!$I$4,
IF(D105=4,база!$I$5,
IF(D105=5,база!$I$6)))</f>
        <v>188.7912</v>
      </c>
      <c r="F106" s="390">
        <v>1</v>
      </c>
      <c r="G106" s="400">
        <f>SUMIFS(Таблица1[Столбец1],Таблица1[коэф],"1",Таблица1[р/р],"3/4",Таблица1[Ф. И. О.],B110)</f>
        <v>0</v>
      </c>
      <c r="H106" s="392">
        <f t="shared" si="4"/>
        <v>0</v>
      </c>
      <c r="I106" s="393">
        <f>IF(D105&lt;=3,база!$J$4,
IF(D105=4,база!$J$5,
IF(D105=5,база!$J$6)))</f>
        <v>196.05240000000001</v>
      </c>
      <c r="J106" s="390">
        <v>1</v>
      </c>
      <c r="K106" s="434">
        <f>SUMIFS(Таблица1[Столбец1],Таблица1[коэф],"1",Таблица1[р/р],"3/8",Таблица1[Ф. И. О.],B110)</f>
        <v>0</v>
      </c>
      <c r="L106" s="395">
        <f t="shared" si="5"/>
        <v>0</v>
      </c>
      <c r="M106" s="434"/>
      <c r="N106" s="434">
        <v>1</v>
      </c>
      <c r="O106" s="434">
        <f>SUMIFS(Data_Tech!$AM$3:$AM$67,Data_Tech!$E$3:$E$67,"1",Data_Tech!$G$3:$G$67,"4/12",Data_Tech!$F$3:$F$67,B110)</f>
        <v>0</v>
      </c>
      <c r="P106" s="406">
        <f>ROUND(M106*O106,2)</f>
        <v>0</v>
      </c>
      <c r="Q106" s="389">
        <f>база!$L$5</f>
        <v>231.45480000000001</v>
      </c>
      <c r="R106" s="390">
        <v>1</v>
      </c>
      <c r="S106" s="491">
        <f>SUMIFS(Таблица1[Столбец1],Таблица1[коэф],"1",Таблица1[р/р],"4/16",Таблица1[Ф. И. О.],B110)</f>
        <v>0</v>
      </c>
      <c r="T106" s="493">
        <f t="shared" si="6"/>
        <v>0</v>
      </c>
      <c r="U106" s="410">
        <f>база!$M$5</f>
        <v>247.41720000000001</v>
      </c>
      <c r="V106" s="390">
        <v>1</v>
      </c>
      <c r="W106" s="503">
        <f>SUMIFS(Таблица1[Столбец1],Таблица1[коэф],"1",Таблица1[р/р],"4/24",Таблица1[Ф. И. О.],B110)</f>
        <v>0</v>
      </c>
      <c r="X106" s="492">
        <f t="shared" si="7"/>
        <v>0</v>
      </c>
      <c r="Y106" s="795"/>
      <c r="Z106" s="797"/>
      <c r="AA106" s="786"/>
    </row>
    <row r="107" spans="1:29" ht="18.75">
      <c r="A107" s="786"/>
      <c r="B107" s="216"/>
      <c r="C107" s="825"/>
      <c r="D107" s="825"/>
      <c r="E107" s="389"/>
      <c r="F107" s="390"/>
      <c r="G107" s="400"/>
      <c r="H107" s="392">
        <f t="shared" si="4"/>
        <v>0</v>
      </c>
      <c r="I107" s="393"/>
      <c r="J107" s="390"/>
      <c r="K107" s="434"/>
      <c r="L107" s="484">
        <f t="shared" si="5"/>
        <v>0</v>
      </c>
      <c r="M107" s="434"/>
      <c r="N107" s="434"/>
      <c r="O107" s="434"/>
      <c r="P107" s="406"/>
      <c r="Q107" s="389">
        <f>база!$L$6</f>
        <v>261.04640000000001</v>
      </c>
      <c r="R107" s="390">
        <v>1</v>
      </c>
      <c r="S107" s="491">
        <f>SUMIFS(Таблица1[Столбец1],Таблица1[коэф],"1",Таблица1[р/р],"5/16",Таблица1[Ф. И. О.],B110)</f>
        <v>0</v>
      </c>
      <c r="T107" s="493">
        <f t="shared" si="6"/>
        <v>0</v>
      </c>
      <c r="U107" s="410">
        <f>база!$M$6</f>
        <v>279.0496</v>
      </c>
      <c r="V107" s="390">
        <v>1</v>
      </c>
      <c r="W107" s="503">
        <f>SUMIFS(Таблица1[Столбец1],Таблица1[коэф],"1",Таблица1[р/р],"5/24",Таблица1[Ф. И. О.],B110)</f>
        <v>0</v>
      </c>
      <c r="X107" s="492">
        <f t="shared" si="7"/>
        <v>0</v>
      </c>
      <c r="Y107" s="795"/>
      <c r="Z107" s="797"/>
      <c r="AA107" s="786"/>
    </row>
    <row r="108" spans="1:29" ht="18.75">
      <c r="A108" s="786"/>
      <c r="B108" s="216"/>
      <c r="C108" s="825"/>
      <c r="D108" s="825"/>
      <c r="E108" s="389"/>
      <c r="F108" s="390"/>
      <c r="G108" s="400"/>
      <c r="H108" s="392">
        <f t="shared" si="4"/>
        <v>0</v>
      </c>
      <c r="I108" s="393">
        <f>база!$J$5</f>
        <v>215.4924</v>
      </c>
      <c r="J108" s="390">
        <v>1.5</v>
      </c>
      <c r="K108" s="434">
        <f>SUMIFS(Таблица1[Столбец1],Таблица1[коэф],"1,5",Таблица1[р/р],"4/8",Таблица1[Ф. И. О.],B110)</f>
        <v>0</v>
      </c>
      <c r="L108" s="484">
        <f t="shared" si="5"/>
        <v>0</v>
      </c>
      <c r="M108" s="434"/>
      <c r="N108" s="434"/>
      <c r="O108" s="434"/>
      <c r="P108" s="406"/>
      <c r="Q108" s="389">
        <f>IF(D105&lt;=3,база!$L$4,
IF(D105=4,база!$L$5,
IF(D105=5,база!$L$6)))</f>
        <v>210.57480000000001</v>
      </c>
      <c r="R108" s="390">
        <v>1.2</v>
      </c>
      <c r="S108" s="491">
        <f>SUMIFS(Таблица1[Столбец1],Таблица1[коэф],"1,2",Таблица1[р/р],"3/16",Таблица1[Ф. И. О.],B110)</f>
        <v>0</v>
      </c>
      <c r="T108" s="493">
        <f t="shared" si="6"/>
        <v>0</v>
      </c>
      <c r="U108" s="410">
        <f>IF(D105&lt;=3,база!$M$4,
IF(D105=4,база!$M$5,
IF(D105=5,база!$M$6)))</f>
        <v>225.09719999999999</v>
      </c>
      <c r="V108" s="390">
        <v>1.2</v>
      </c>
      <c r="W108" s="503">
        <f>SUMIFS(Таблица1[Столбец1],Таблица1[коэф],"1,2",Таблица1[р/р],"3/24",Таблица1[Ф. И. О.],B110)</f>
        <v>0</v>
      </c>
      <c r="X108" s="492">
        <f t="shared" si="7"/>
        <v>0</v>
      </c>
      <c r="Y108" s="795"/>
      <c r="Z108" s="797"/>
      <c r="AA108" s="786"/>
    </row>
    <row r="109" spans="1:29" ht="18.75">
      <c r="A109" s="786"/>
      <c r="B109" s="216"/>
      <c r="C109" s="825"/>
      <c r="D109" s="825"/>
      <c r="E109" s="389"/>
      <c r="F109" s="390"/>
      <c r="G109" s="400"/>
      <c r="H109" s="392">
        <f t="shared" si="4"/>
        <v>0</v>
      </c>
      <c r="I109" s="393">
        <f>база!$J$6</f>
        <v>243.04319999999998</v>
      </c>
      <c r="J109" s="390">
        <v>1.5</v>
      </c>
      <c r="K109" s="434">
        <f>SUMIFS(Таблица1[Столбец1],Таблица1[коэф],"1,5",Таблица1[р/р],"5/8",Таблица1[Ф. И. О.],B110)</f>
        <v>0</v>
      </c>
      <c r="L109" s="484">
        <f t="shared" si="5"/>
        <v>0</v>
      </c>
      <c r="M109" s="434"/>
      <c r="N109" s="434"/>
      <c r="O109" s="434"/>
      <c r="P109" s="406"/>
      <c r="Q109" s="389">
        <f>база!$L$5</f>
        <v>231.45480000000001</v>
      </c>
      <c r="R109" s="390">
        <v>1.2</v>
      </c>
      <c r="S109" s="491">
        <f>SUMIFS(Таблица1[Столбец1],Таблица1[коэф],"1,2",Таблица1[р/р],"4/16",Таблица1[Ф. И. О.],B110)</f>
        <v>0</v>
      </c>
      <c r="T109" s="493">
        <f t="shared" si="6"/>
        <v>0</v>
      </c>
      <c r="U109" s="410">
        <f>база!$M$5</f>
        <v>247.41720000000001</v>
      </c>
      <c r="V109" s="390">
        <v>1.2</v>
      </c>
      <c r="W109" s="503">
        <f>SUMIFS(Таблица1[Столбец1],Таблица1[коэф],"1,2",Таблица1[р/р],"4/24",Таблица1[Ф. И. О.],B110)</f>
        <v>0</v>
      </c>
      <c r="X109" s="492">
        <f t="shared" si="7"/>
        <v>0</v>
      </c>
      <c r="Y109" s="795"/>
      <c r="Z109" s="797"/>
      <c r="AA109" s="786"/>
    </row>
    <row r="110" spans="1:29" ht="18.75">
      <c r="A110" s="786"/>
      <c r="B110" s="216" t="str">
        <f>база!B11</f>
        <v>Бородицкая Ирина Борисовна</v>
      </c>
      <c r="C110" s="825"/>
      <c r="D110" s="825"/>
      <c r="E110" s="389"/>
      <c r="F110" s="390"/>
      <c r="G110" s="400"/>
      <c r="H110" s="392">
        <f t="shared" si="4"/>
        <v>0</v>
      </c>
      <c r="I110" s="393"/>
      <c r="J110" s="390"/>
      <c r="K110" s="434"/>
      <c r="L110" s="484">
        <f t="shared" si="5"/>
        <v>0</v>
      </c>
      <c r="M110" s="434"/>
      <c r="N110" s="434"/>
      <c r="O110" s="434"/>
      <c r="P110" s="406"/>
      <c r="Q110" s="389">
        <f>база!$L$6</f>
        <v>261.04640000000001</v>
      </c>
      <c r="R110" s="390">
        <v>1.2</v>
      </c>
      <c r="S110" s="491">
        <f>SUMIFS(Таблица1[Столбец1],Таблица1[коэф],"1,2",Таблица1[р/р],"5/16",Таблица1[Ф. И. О.],B110)</f>
        <v>0</v>
      </c>
      <c r="T110" s="493">
        <f t="shared" si="6"/>
        <v>0</v>
      </c>
      <c r="U110" s="410">
        <f>база!$M$6</f>
        <v>279.0496</v>
      </c>
      <c r="V110" s="390">
        <v>1.2</v>
      </c>
      <c r="W110" s="503">
        <f>SUMIFS(Таблица1[Столбец1],Таблица1[коэф],"1,2",Таблица1[р/р],"5/24",Таблица1[Ф. И. О.],B110)</f>
        <v>0</v>
      </c>
      <c r="X110" s="492">
        <f t="shared" si="7"/>
        <v>0</v>
      </c>
      <c r="Y110" s="795"/>
      <c r="Z110" s="797"/>
      <c r="AA110" s="786"/>
      <c r="AC110" s="727" t="str">
        <f>IF(SUMIFS(Таблица1[Столбец3],Таблица1[Ф. И. О.],B110)-Z105=0,"",SUMIFS(Таблица1[Столбец3],Таблица1[Ф. И. О.],B110)-Z105)</f>
        <v/>
      </c>
    </row>
    <row r="111" spans="1:29" ht="18.75">
      <c r="A111" s="786"/>
      <c r="B111" s="216"/>
      <c r="C111" s="825"/>
      <c r="D111" s="825"/>
      <c r="E111" s="389"/>
      <c r="F111" s="390"/>
      <c r="G111" s="400"/>
      <c r="H111" s="392">
        <f t="shared" si="4"/>
        <v>0</v>
      </c>
      <c r="I111" s="393"/>
      <c r="J111" s="390"/>
      <c r="K111" s="434"/>
      <c r="L111" s="484">
        <f t="shared" si="5"/>
        <v>0</v>
      </c>
      <c r="M111" s="434"/>
      <c r="N111" s="434"/>
      <c r="O111" s="434"/>
      <c r="P111" s="406"/>
      <c r="Q111" s="389">
        <f>IF(D105&lt;=3,база!$L$4,
IF(D105=4,база!$L$5,
IF(D105=5,база!$L$6)))</f>
        <v>210.57480000000001</v>
      </c>
      <c r="R111" s="390">
        <v>1.3</v>
      </c>
      <c r="S111" s="491">
        <f>SUMIFS(Таблица1[Столбец1],Таблица1[коэф],"1,3",Таблица1[р/р],"3/16",Таблица1[Ф. И. О.],B110)</f>
        <v>0</v>
      </c>
      <c r="T111" s="493">
        <f t="shared" si="6"/>
        <v>0</v>
      </c>
      <c r="U111" s="410">
        <f>IF(D105&lt;=3,база!$M$4,
IF(D105=4,база!$M$5,
IF(D105=5,база!$M$6)))</f>
        <v>225.09719999999999</v>
      </c>
      <c r="V111" s="390">
        <v>1.3</v>
      </c>
      <c r="W111" s="503">
        <f>SUMIFS(Таблица1[Столбец1],Таблица1[коэф],"1,3",Таблица1[р/р],"3/24",Таблица1[Ф. И. О.],B110)</f>
        <v>0</v>
      </c>
      <c r="X111" s="493">
        <f t="shared" si="7"/>
        <v>0</v>
      </c>
      <c r="Y111" s="795"/>
      <c r="Z111" s="797"/>
      <c r="AA111" s="786"/>
      <c r="AC111" s="727" t="str">
        <f>IF(SUMIFS(Таблица1[Столбец1],Таблица1[Ф. И. О.],B110)=Y105,"",B110&amp;"  часы не верны")</f>
        <v/>
      </c>
    </row>
    <row r="112" spans="1:29" ht="18.75">
      <c r="A112" s="786"/>
      <c r="B112" s="216"/>
      <c r="C112" s="825"/>
      <c r="D112" s="825"/>
      <c r="E112" s="389"/>
      <c r="F112" s="390"/>
      <c r="G112" s="400"/>
      <c r="H112" s="392">
        <f t="shared" si="4"/>
        <v>0</v>
      </c>
      <c r="I112" s="393"/>
      <c r="J112" s="390"/>
      <c r="K112" s="434"/>
      <c r="L112" s="484">
        <f t="shared" si="5"/>
        <v>0</v>
      </c>
      <c r="M112" s="434"/>
      <c r="N112" s="434"/>
      <c r="O112" s="434"/>
      <c r="P112" s="406"/>
      <c r="Q112" s="389">
        <f>база!$L$5</f>
        <v>231.45480000000001</v>
      </c>
      <c r="R112" s="390">
        <v>1.3</v>
      </c>
      <c r="S112" s="491">
        <f>SUMIFS(Таблица1[Столбец1],Таблица1[коэф],"1,3",Таблица1[р/р],"4/16",Таблица1[Ф. И. О.],B110)</f>
        <v>0</v>
      </c>
      <c r="T112" s="493">
        <f t="shared" si="6"/>
        <v>0</v>
      </c>
      <c r="U112" s="410">
        <f>база!$M$5</f>
        <v>247.41720000000001</v>
      </c>
      <c r="V112" s="390">
        <v>1.3</v>
      </c>
      <c r="W112" s="503">
        <f>SUMIFS(Таблица1[Столбец1],Таблица1[коэф],"1,3",Таблица1[р/р],"4/24",Таблица1[Ф. И. О.],B110)</f>
        <v>0</v>
      </c>
      <c r="X112" s="492">
        <f t="shared" si="7"/>
        <v>0</v>
      </c>
      <c r="Y112" s="795"/>
      <c r="Z112" s="797"/>
      <c r="AA112" s="786"/>
    </row>
    <row r="113" spans="1:29" ht="18.75">
      <c r="A113" s="786"/>
      <c r="B113" s="216"/>
      <c r="C113" s="825"/>
      <c r="D113" s="825"/>
      <c r="E113" s="389"/>
      <c r="F113" s="390"/>
      <c r="G113" s="400"/>
      <c r="H113" s="392">
        <f t="shared" si="4"/>
        <v>0</v>
      </c>
      <c r="I113" s="393"/>
      <c r="J113" s="390"/>
      <c r="K113" s="434"/>
      <c r="L113" s="484">
        <f t="shared" si="5"/>
        <v>0</v>
      </c>
      <c r="M113" s="434"/>
      <c r="N113" s="434"/>
      <c r="O113" s="434"/>
      <c r="P113" s="406"/>
      <c r="Q113" s="389">
        <f>IF(D105&lt;=3,база!$L$4,
IF(D105=4,база!$L$5,
IF(D105=5,база!$L$6)))</f>
        <v>210.57480000000001</v>
      </c>
      <c r="R113" s="390">
        <v>1.4</v>
      </c>
      <c r="S113" s="491">
        <f>SUMIFS(Таблица1[Столбец1],Таблица1[коэф],"1,4",Таблица1[р/р],"3/16",Таблица1[Ф. И. О.],B110)</f>
        <v>0</v>
      </c>
      <c r="T113" s="493">
        <f t="shared" si="6"/>
        <v>0</v>
      </c>
      <c r="U113" s="410">
        <f>IF(D105&lt;=3,база!$M$4,
IF(D105=4,база!$M$5,
IF(D105=5,база!$M$6)))</f>
        <v>225.09719999999999</v>
      </c>
      <c r="V113" s="390">
        <v>1.4</v>
      </c>
      <c r="W113" s="503">
        <f>SUMIFS(Таблица1[Столбец1],Таблица1[коэф],"1,4",Таблица1[р/р],"3/24",Таблица1[Ф. И. О.],B110)</f>
        <v>0</v>
      </c>
      <c r="X113" s="492">
        <f t="shared" si="7"/>
        <v>0</v>
      </c>
      <c r="Y113" s="795"/>
      <c r="Z113" s="797"/>
      <c r="AA113" s="786"/>
    </row>
    <row r="114" spans="1:29" ht="18.75">
      <c r="A114" s="786"/>
      <c r="B114" s="216"/>
      <c r="C114" s="825"/>
      <c r="D114" s="825"/>
      <c r="E114" s="389"/>
      <c r="F114" s="390"/>
      <c r="G114" s="400"/>
      <c r="H114" s="392">
        <f t="shared" si="4"/>
        <v>0</v>
      </c>
      <c r="I114" s="393"/>
      <c r="J114" s="390"/>
      <c r="K114" s="434"/>
      <c r="L114" s="484">
        <f t="shared" si="5"/>
        <v>0</v>
      </c>
      <c r="M114" s="434"/>
      <c r="N114" s="434"/>
      <c r="O114" s="434"/>
      <c r="P114" s="406"/>
      <c r="Q114" s="389">
        <f>база!$L$5</f>
        <v>231.45480000000001</v>
      </c>
      <c r="R114" s="390">
        <v>1.4</v>
      </c>
      <c r="S114" s="491">
        <f>SUMIFS(Таблица1[Столбец1],Таблица1[коэф],"1,4",Таблица1[р/р],"4/16",Таблица1[Ф. И. О.],B110)</f>
        <v>0</v>
      </c>
      <c r="T114" s="493">
        <f t="shared" si="6"/>
        <v>0</v>
      </c>
      <c r="U114" s="410">
        <f>база!$M$5</f>
        <v>247.41720000000001</v>
      </c>
      <c r="V114" s="390">
        <v>1.4</v>
      </c>
      <c r="W114" s="503">
        <f>SUMIFS(Таблица1[Столбец1],Таблица1[коэф],"1,4",Таблица1[р/р],"4/24",Таблица1[Ф. И. О.],B110)</f>
        <v>0</v>
      </c>
      <c r="X114" s="492">
        <f t="shared" si="7"/>
        <v>0</v>
      </c>
      <c r="Y114" s="795"/>
      <c r="Z114" s="797"/>
      <c r="AA114" s="786"/>
    </row>
    <row r="115" spans="1:29" ht="19.5" thickBot="1">
      <c r="A115" s="787"/>
      <c r="B115" s="203"/>
      <c r="C115" s="826"/>
      <c r="D115" s="826"/>
      <c r="E115" s="473"/>
      <c r="F115" s="464"/>
      <c r="G115" s="465"/>
      <c r="H115" s="468">
        <f t="shared" si="4"/>
        <v>0</v>
      </c>
      <c r="I115" s="463"/>
      <c r="J115" s="464"/>
      <c r="K115" s="457"/>
      <c r="L115" s="458">
        <f t="shared" si="5"/>
        <v>0</v>
      </c>
      <c r="M115" s="457"/>
      <c r="N115" s="457"/>
      <c r="O115" s="457"/>
      <c r="P115" s="476"/>
      <c r="Q115" s="473">
        <f>база!$L$6</f>
        <v>261.04640000000001</v>
      </c>
      <c r="R115" s="464">
        <v>1.4</v>
      </c>
      <c r="S115" s="512">
        <f>SUMIFS(Таблица1[Столбец1],Таблица1[коэф],"1,4",Таблица1[р/р],"5/16",Таблица1[Ф. И. О.],B110)</f>
        <v>0</v>
      </c>
      <c r="T115" s="513">
        <f t="shared" si="6"/>
        <v>0</v>
      </c>
      <c r="U115" s="469">
        <f>база!$M$6</f>
        <v>279.0496</v>
      </c>
      <c r="V115" s="464">
        <v>1.4</v>
      </c>
      <c r="W115" s="504">
        <f>SUMIFS(Таблица1[Столбец1],Таблица1[коэф],"1,4",Таблица1[р/р],"5/24",Таблица1[Ф. И. О.],B110)</f>
        <v>0</v>
      </c>
      <c r="X115" s="492">
        <f t="shared" si="7"/>
        <v>0</v>
      </c>
      <c r="Y115" s="796"/>
      <c r="Z115" s="798"/>
      <c r="AA115" s="787"/>
    </row>
    <row r="116" spans="1:29" ht="18.75">
      <c r="A116" s="785">
        <v>11</v>
      </c>
      <c r="B116" s="216"/>
      <c r="C116" s="788">
        <f>INDEX(база!$E$2:$E$81, MATCH(B121,база!$B$2:$B$50,0))</f>
        <v>16960</v>
      </c>
      <c r="D116" s="791">
        <f>INDEX(база!$D$2:$D$89, MATCH(B121,база!$B$2:$B$50,0))</f>
        <v>3</v>
      </c>
      <c r="E116" s="451">
        <f>IF(D116&lt;=3,база!$I$4,
IF(D116=4,база!$I$5,
IF(D116=5,база!$I$6)))</f>
        <v>188.7912</v>
      </c>
      <c r="F116" s="417">
        <v>1</v>
      </c>
      <c r="G116" s="418">
        <f>SUMIFS(Таблица1[Столбец1],Таблица1[коэф],"1",Таблица1[р/р],"2/4",Таблица1[Ф. И. О.],B121)</f>
        <v>0</v>
      </c>
      <c r="H116" s="402">
        <f t="shared" si="4"/>
        <v>0</v>
      </c>
      <c r="I116" s="377">
        <f>IF(D116&lt;=3,база!$J$4,
IF(D116=4,база!$J$5,
IF(D116=5,база!$J$6)))</f>
        <v>196.05240000000001</v>
      </c>
      <c r="J116" s="378">
        <v>1</v>
      </c>
      <c r="K116" s="428">
        <f>SUMIFS(Таблица1[Столбец1],Таблица1[коэф],"1",Таблица1[р/р],"2/8",Таблица1[Ф. И. О.],B121)</f>
        <v>0</v>
      </c>
      <c r="L116" s="484">
        <f t="shared" si="5"/>
        <v>0</v>
      </c>
      <c r="M116" s="428"/>
      <c r="N116" s="428">
        <v>1</v>
      </c>
      <c r="O116" s="428">
        <f>SUMIFS(Data_Tech!$AM$3:$AM$67,Data_Tech!$E$3:$E$67,"1",Data_Tech!$G$3:$G$67,"3/12",Data_Tech!$F$3:$F$67,B121)</f>
        <v>0</v>
      </c>
      <c r="P116" s="383">
        <f>ROUND(M116*N116*O116,2)</f>
        <v>0</v>
      </c>
      <c r="Q116" s="481">
        <f>IF(D116&lt;=3,база!$L$4,
IF(D116=4,база!$L$5,
IF(D116=5,база!$L$6)))</f>
        <v>210.57480000000001</v>
      </c>
      <c r="R116" s="417">
        <v>1</v>
      </c>
      <c r="S116" s="495">
        <f>SUMIFS(Таблица1[Столбец1],Таблица1[коэф],"1",Таблица1[р/р],"3/16",Таблица1[Ф. И. О.],B121)</f>
        <v>0</v>
      </c>
      <c r="T116" s="492">
        <f t="shared" si="6"/>
        <v>0</v>
      </c>
      <c r="U116" s="471">
        <f>IF(D116&lt;=3,база!$M$4,
IF(D116=4,база!$M$5,
IF(D116=5,база!$M$6)))</f>
        <v>225.09719999999999</v>
      </c>
      <c r="V116" s="378">
        <v>1</v>
      </c>
      <c r="W116" s="497">
        <f>SUMIFS(Таблица1[Столбец1],Таблица1[коэф],"1",Таблица1[р/р],"3/24",Таблица1[Ф. И. О.],B121)</f>
        <v>0</v>
      </c>
      <c r="X116" s="490">
        <f t="shared" si="7"/>
        <v>0</v>
      </c>
      <c r="Y116" s="795">
        <f t="shared" ref="Y116" si="12">SUM(G116:G126,K116:K126,O116:O126,S116:S126,W116:W126)</f>
        <v>0</v>
      </c>
      <c r="Z116" s="797">
        <f t="shared" ref="Z116" si="13">IFERROR(SUM(H116:H126,L116:L126,T116:T126,X116:X126),"")</f>
        <v>0</v>
      </c>
      <c r="AA116" s="786"/>
    </row>
    <row r="117" spans="1:29" ht="18.75">
      <c r="A117" s="786"/>
      <c r="B117" s="216"/>
      <c r="C117" s="789"/>
      <c r="D117" s="792"/>
      <c r="E117" s="393">
        <f>IF(D116&lt;=3,база!$I$4,
IF(D116=4,база!$I$5,
IF(D116=5,база!$I$6)))</f>
        <v>188.7912</v>
      </c>
      <c r="F117" s="390">
        <v>1</v>
      </c>
      <c r="G117" s="400">
        <f>SUMIFS(Таблица1[Столбец1],Таблица1[коэф],"1",Таблица1[р/р],"3/4",Таблица1[Ф. И. О.],B121)</f>
        <v>0</v>
      </c>
      <c r="H117" s="392">
        <f t="shared" si="4"/>
        <v>0</v>
      </c>
      <c r="I117" s="389">
        <f>IF(D116&lt;=3,база!$J$4,
IF(D116=4,база!$J$5,
IF(D116=5,база!$J$6)))</f>
        <v>196.05240000000001</v>
      </c>
      <c r="J117" s="390">
        <v>1</v>
      </c>
      <c r="K117" s="434">
        <f>SUMIFS(Таблица1[Столбец1],Таблица1[коэф],"1",Таблица1[р/р],"3/8",Таблица1[Ф. И. О.],B121)</f>
        <v>0</v>
      </c>
      <c r="L117" s="484">
        <f t="shared" si="5"/>
        <v>0</v>
      </c>
      <c r="M117" s="434"/>
      <c r="N117" s="434">
        <v>1</v>
      </c>
      <c r="O117" s="434">
        <f>SUMIFS(Data_Tech!$AM$3:$AM$67,Data_Tech!$E$3:$E$67,"1",Data_Tech!$G$3:$G$67,"4/12",Data_Tech!$F$3:$F$67,B121)</f>
        <v>0</v>
      </c>
      <c r="P117" s="395">
        <f>ROUND(M117*O117,2)</f>
        <v>0</v>
      </c>
      <c r="Q117" s="389">
        <f>база!$L$5</f>
        <v>231.45480000000001</v>
      </c>
      <c r="R117" s="390">
        <v>1</v>
      </c>
      <c r="S117" s="491">
        <f>SUMIFS(Таблица1[Столбец1],Таблица1[коэф],"1",Таблица1[р/р],"4/16",Таблица1[Ф. И. О.],B121)</f>
        <v>0</v>
      </c>
      <c r="T117" s="493">
        <f t="shared" si="6"/>
        <v>0</v>
      </c>
      <c r="U117" s="472">
        <f>база!$M$5</f>
        <v>247.41720000000001</v>
      </c>
      <c r="V117" s="390">
        <v>1</v>
      </c>
      <c r="W117" s="494">
        <f>SUMIFS(Таблица1[Столбец1],Таблица1[коэф],"1",Таблица1[р/р],"4/24",Таблица1[Ф. И. О.],B121)</f>
        <v>0</v>
      </c>
      <c r="X117" s="492">
        <f t="shared" si="7"/>
        <v>0</v>
      </c>
      <c r="Y117" s="795"/>
      <c r="Z117" s="797"/>
      <c r="AA117" s="786"/>
    </row>
    <row r="118" spans="1:29" ht="18.75">
      <c r="A118" s="786"/>
      <c r="B118" s="216"/>
      <c r="C118" s="789"/>
      <c r="D118" s="792"/>
      <c r="E118" s="393"/>
      <c r="F118" s="390"/>
      <c r="G118" s="400"/>
      <c r="H118" s="392">
        <f t="shared" si="4"/>
        <v>0</v>
      </c>
      <c r="I118" s="389"/>
      <c r="J118" s="390"/>
      <c r="K118" s="434"/>
      <c r="L118" s="484">
        <f t="shared" si="5"/>
        <v>0</v>
      </c>
      <c r="M118" s="434"/>
      <c r="N118" s="434"/>
      <c r="O118" s="434"/>
      <c r="P118" s="395"/>
      <c r="Q118" s="389">
        <f>база!$L$6</f>
        <v>261.04640000000001</v>
      </c>
      <c r="R118" s="390">
        <v>1</v>
      </c>
      <c r="S118" s="491">
        <f>SUMIFS(Таблица1[Столбец1],Таблица1[коэф],"1",Таблица1[р/р],"5/16",Таблица1[Ф. И. О.],B121)</f>
        <v>0</v>
      </c>
      <c r="T118" s="493">
        <f t="shared" si="6"/>
        <v>0</v>
      </c>
      <c r="U118" s="472">
        <f>база!$M$6</f>
        <v>279.0496</v>
      </c>
      <c r="V118" s="390">
        <v>1</v>
      </c>
      <c r="W118" s="494">
        <f>SUMIFS(Таблица1[Столбец1],Таблица1[коэф],"1",Таблица1[р/р],"5/24",Таблица1[Ф. И. О.],B121)</f>
        <v>0</v>
      </c>
      <c r="X118" s="492">
        <f t="shared" si="7"/>
        <v>0</v>
      </c>
      <c r="Y118" s="795"/>
      <c r="Z118" s="797"/>
      <c r="AA118" s="786"/>
    </row>
    <row r="119" spans="1:29" ht="18.75">
      <c r="A119" s="786"/>
      <c r="B119" s="216"/>
      <c r="C119" s="789"/>
      <c r="D119" s="792"/>
      <c r="E119" s="393"/>
      <c r="F119" s="390"/>
      <c r="G119" s="400"/>
      <c r="H119" s="392">
        <f t="shared" si="4"/>
        <v>0</v>
      </c>
      <c r="I119" s="389">
        <f>база!$J$5</f>
        <v>215.4924</v>
      </c>
      <c r="J119" s="390">
        <v>1.5</v>
      </c>
      <c r="K119" s="434">
        <f>SUMIFS(Таблица1[Столбец1],Таблица1[коэф],"1,5",Таблица1[р/р],"4/8",Таблица1[Ф. И. О.],B121)</f>
        <v>0</v>
      </c>
      <c r="L119" s="484">
        <f t="shared" si="5"/>
        <v>0</v>
      </c>
      <c r="M119" s="434"/>
      <c r="N119" s="434"/>
      <c r="O119" s="434"/>
      <c r="P119" s="395"/>
      <c r="Q119" s="389">
        <f>IF(D116&lt;=3,база!$L$4,
IF(D116=4,база!$L$5,
IF(D116=5,база!$L$6)))</f>
        <v>210.57480000000001</v>
      </c>
      <c r="R119" s="390">
        <v>1.2</v>
      </c>
      <c r="S119" s="491">
        <f>SUMIFS(Таблица1[Столбец1],Таблица1[коэф],"1,2",Таблица1[р/р],"3/16",Таблица1[Ф. И. О.],B121)</f>
        <v>0</v>
      </c>
      <c r="T119" s="493">
        <f t="shared" si="6"/>
        <v>0</v>
      </c>
      <c r="U119" s="472">
        <f>IF(D116&lt;=3,база!$M$4,
IF(D116=4,база!$M$5,
IF(D116=5,база!$M$6)))</f>
        <v>225.09719999999999</v>
      </c>
      <c r="V119" s="390">
        <v>1.2</v>
      </c>
      <c r="W119" s="494">
        <f>SUMIFS(Таблица1[Столбец1],Таблица1[коэф],"1,2",Таблица1[р/р],"3/24",Таблица1[Ф. И. О.],B121)</f>
        <v>0</v>
      </c>
      <c r="X119" s="492">
        <f t="shared" si="7"/>
        <v>0</v>
      </c>
      <c r="Y119" s="795"/>
      <c r="Z119" s="797"/>
      <c r="AA119" s="786"/>
    </row>
    <row r="120" spans="1:29" ht="18.75">
      <c r="A120" s="786"/>
      <c r="B120" s="216"/>
      <c r="C120" s="789"/>
      <c r="D120" s="792"/>
      <c r="E120" s="393"/>
      <c r="F120" s="390"/>
      <c r="G120" s="400"/>
      <c r="H120" s="392">
        <f t="shared" si="4"/>
        <v>0</v>
      </c>
      <c r="I120" s="389">
        <f>база!$J$6</f>
        <v>243.04319999999998</v>
      </c>
      <c r="J120" s="390">
        <v>1.5</v>
      </c>
      <c r="K120" s="434">
        <f>SUMIFS(Таблица1[Столбец1],Таблица1[коэф],"1,5",Таблица1[р/р],"5/8",Таблица1[Ф. И. О.],B121)</f>
        <v>0</v>
      </c>
      <c r="L120" s="484">
        <f t="shared" si="5"/>
        <v>0</v>
      </c>
      <c r="M120" s="434"/>
      <c r="N120" s="434"/>
      <c r="O120" s="434"/>
      <c r="P120" s="395"/>
      <c r="Q120" s="389">
        <f>база!$L$5</f>
        <v>231.45480000000001</v>
      </c>
      <c r="R120" s="390">
        <v>1.2</v>
      </c>
      <c r="S120" s="491">
        <f>SUMIFS(Таблица1[Столбец1],Таблица1[коэф],"1,2",Таблица1[р/р],"4/16",Таблица1[Ф. И. О.],B121)</f>
        <v>0</v>
      </c>
      <c r="T120" s="493">
        <f t="shared" si="6"/>
        <v>0</v>
      </c>
      <c r="U120" s="472">
        <f>база!$M$5</f>
        <v>247.41720000000001</v>
      </c>
      <c r="V120" s="390">
        <v>1.2</v>
      </c>
      <c r="W120" s="494">
        <f>SUMIFS(Таблица1[Столбец1],Таблица1[коэф],"1,2",Таблица1[р/р],"4/24",Таблица1[Ф. И. О.],B121)</f>
        <v>0</v>
      </c>
      <c r="X120" s="492">
        <f t="shared" si="7"/>
        <v>0</v>
      </c>
      <c r="Y120" s="795"/>
      <c r="Z120" s="797"/>
      <c r="AA120" s="786"/>
    </row>
    <row r="121" spans="1:29" ht="18.75">
      <c r="A121" s="786"/>
      <c r="B121" s="216" t="str">
        <f>база!B12</f>
        <v>Бунчук Виктория Ивановна</v>
      </c>
      <c r="C121" s="789"/>
      <c r="D121" s="792"/>
      <c r="E121" s="393"/>
      <c r="F121" s="390"/>
      <c r="G121" s="400"/>
      <c r="H121" s="392">
        <f t="shared" si="4"/>
        <v>0</v>
      </c>
      <c r="I121" s="389"/>
      <c r="J121" s="390"/>
      <c r="K121" s="434"/>
      <c r="L121" s="484">
        <f t="shared" si="5"/>
        <v>0</v>
      </c>
      <c r="M121" s="434"/>
      <c r="N121" s="434"/>
      <c r="O121" s="434"/>
      <c r="P121" s="395"/>
      <c r="Q121" s="389">
        <f>база!$L$6</f>
        <v>261.04640000000001</v>
      </c>
      <c r="R121" s="390">
        <v>1.2</v>
      </c>
      <c r="S121" s="491">
        <f>SUMIFS(Таблица1[Столбец1],Таблица1[коэф],"1,2",Таблица1[р/р],"5/16",Таблица1[Ф. И. О.],B121)</f>
        <v>0</v>
      </c>
      <c r="T121" s="493">
        <f t="shared" si="6"/>
        <v>0</v>
      </c>
      <c r="U121" s="472">
        <f>база!$M$6</f>
        <v>279.0496</v>
      </c>
      <c r="V121" s="390">
        <v>1.2</v>
      </c>
      <c r="W121" s="494">
        <f>SUMIFS(Таблица1[Столбец1],Таблица1[коэф],"1,2",Таблица1[р/р],"5/24",Таблица1[Ф. И. О.],B121)</f>
        <v>0</v>
      </c>
      <c r="X121" s="492">
        <f t="shared" si="7"/>
        <v>0</v>
      </c>
      <c r="Y121" s="795"/>
      <c r="Z121" s="797"/>
      <c r="AA121" s="786"/>
      <c r="AC121" s="727" t="str">
        <f>IF(SUMIFS(Таблица1[Столбец3],Таблица1[Ф. И. О.],B121)-Z116=0,"",SUMIFS(Таблица1[Столбец3],Таблица1[Ф. И. О.],B121)-Z116)</f>
        <v/>
      </c>
    </row>
    <row r="122" spans="1:29" ht="18.75">
      <c r="A122" s="786"/>
      <c r="B122" s="216"/>
      <c r="C122" s="789"/>
      <c r="D122" s="792"/>
      <c r="E122" s="393"/>
      <c r="F122" s="390"/>
      <c r="G122" s="400"/>
      <c r="H122" s="392">
        <f t="shared" si="4"/>
        <v>0</v>
      </c>
      <c r="I122" s="389"/>
      <c r="J122" s="390"/>
      <c r="K122" s="434"/>
      <c r="L122" s="484">
        <f t="shared" si="5"/>
        <v>0</v>
      </c>
      <c r="M122" s="434"/>
      <c r="N122" s="434"/>
      <c r="O122" s="434"/>
      <c r="P122" s="395"/>
      <c r="Q122" s="389">
        <f>IF(D116&lt;=3,база!$L$4,
IF(D116=4,база!$L$5,
IF(D116=5,база!$L$6)))</f>
        <v>210.57480000000001</v>
      </c>
      <c r="R122" s="390">
        <v>1.3</v>
      </c>
      <c r="S122" s="491">
        <f>SUMIFS(Таблица1[Столбец1],Таблица1[коэф],"1,3",Таблица1[р/р],"3/16",Таблица1[Ф. И. О.],B121)</f>
        <v>0</v>
      </c>
      <c r="T122" s="493">
        <f t="shared" si="6"/>
        <v>0</v>
      </c>
      <c r="U122" s="472">
        <f>IF(D116&lt;=3,база!$M$4,
IF(D116=4,база!$M$5,
IF(D116=5,база!$M$6)))</f>
        <v>225.09719999999999</v>
      </c>
      <c r="V122" s="390">
        <v>1.3</v>
      </c>
      <c r="W122" s="494">
        <f>SUMIFS(Таблица1[Столбец1],Таблица1[коэф],"1,3",Таблица1[р/р],"3/24",Таблица1[Ф. И. О.],B121)</f>
        <v>0</v>
      </c>
      <c r="X122" s="492">
        <f t="shared" si="7"/>
        <v>0</v>
      </c>
      <c r="Y122" s="795"/>
      <c r="Z122" s="797"/>
      <c r="AA122" s="786"/>
      <c r="AC122" s="727" t="str">
        <f>IF(SUMIFS(Таблица1[Столбец1],Таблица1[Ф. И. О.],B121)=Y116,"",B121&amp;"  часы не верны")</f>
        <v/>
      </c>
    </row>
    <row r="123" spans="1:29" ht="18.75">
      <c r="A123" s="786"/>
      <c r="B123" s="216"/>
      <c r="C123" s="789"/>
      <c r="D123" s="792"/>
      <c r="E123" s="393"/>
      <c r="F123" s="390"/>
      <c r="G123" s="400"/>
      <c r="H123" s="392">
        <f t="shared" si="4"/>
        <v>0</v>
      </c>
      <c r="I123" s="389"/>
      <c r="J123" s="390"/>
      <c r="K123" s="434"/>
      <c r="L123" s="484">
        <f t="shared" si="5"/>
        <v>0</v>
      </c>
      <c r="M123" s="434"/>
      <c r="N123" s="434"/>
      <c r="O123" s="434"/>
      <c r="P123" s="395"/>
      <c r="Q123" s="389">
        <f>база!$L$5</f>
        <v>231.45480000000001</v>
      </c>
      <c r="R123" s="390">
        <v>1.3</v>
      </c>
      <c r="S123" s="491">
        <f>SUMIFS(Таблица1[Столбец1],Таблица1[коэф],"1,3",Таблица1[р/р],"4/16",Таблица1[Ф. И. О.],B121)</f>
        <v>0</v>
      </c>
      <c r="T123" s="493">
        <f t="shared" si="6"/>
        <v>0</v>
      </c>
      <c r="U123" s="472">
        <f>база!$M$5</f>
        <v>247.41720000000001</v>
      </c>
      <c r="V123" s="390">
        <v>1.3</v>
      </c>
      <c r="W123" s="494">
        <f>SUMIFS(Таблица1[Столбец1],Таблица1[коэф],"1,3",Таблица1[р/р],"4/24",Таблица1[Ф. И. О.],B121)</f>
        <v>0</v>
      </c>
      <c r="X123" s="492">
        <f t="shared" si="7"/>
        <v>0</v>
      </c>
      <c r="Y123" s="795"/>
      <c r="Z123" s="797"/>
      <c r="AA123" s="786"/>
    </row>
    <row r="124" spans="1:29" ht="18.75">
      <c r="A124" s="786"/>
      <c r="B124" s="216"/>
      <c r="C124" s="789"/>
      <c r="D124" s="792"/>
      <c r="E124" s="393"/>
      <c r="F124" s="390"/>
      <c r="G124" s="400"/>
      <c r="H124" s="392">
        <f t="shared" si="4"/>
        <v>0</v>
      </c>
      <c r="I124" s="389"/>
      <c r="J124" s="390"/>
      <c r="K124" s="434"/>
      <c r="L124" s="484">
        <f t="shared" si="5"/>
        <v>0</v>
      </c>
      <c r="M124" s="434"/>
      <c r="N124" s="434"/>
      <c r="O124" s="434"/>
      <c r="P124" s="395"/>
      <c r="Q124" s="389">
        <f>IF(D116&lt;=3,база!$L$4,
IF(D116=4,база!$L$5,
IF(D116=5,база!$L$6)))</f>
        <v>210.57480000000001</v>
      </c>
      <c r="R124" s="390">
        <v>1.4</v>
      </c>
      <c r="S124" s="491">
        <f>SUMIFS(Таблица1[Столбец1],Таблица1[коэф],"1,4",Таблица1[р/р],"3/16",Таблица1[Ф. И. О.],B121)</f>
        <v>0</v>
      </c>
      <c r="T124" s="493">
        <f t="shared" si="6"/>
        <v>0</v>
      </c>
      <c r="U124" s="472">
        <f>IF(D116&lt;=3,база!$M$4,
IF(D116=4,база!$M$5,
IF(D116=5,база!$M$6)))</f>
        <v>225.09719999999999</v>
      </c>
      <c r="V124" s="390">
        <v>1.4</v>
      </c>
      <c r="W124" s="494">
        <f>SUMIFS(Таблица1[Столбец1],Таблица1[коэф],"1,4",Таблица1[р/р],"3/24",Таблица1[Ф. И. О.],B121)</f>
        <v>0</v>
      </c>
      <c r="X124" s="492">
        <f t="shared" si="7"/>
        <v>0</v>
      </c>
      <c r="Y124" s="795"/>
      <c r="Z124" s="797"/>
      <c r="AA124" s="786"/>
    </row>
    <row r="125" spans="1:29" ht="18.75">
      <c r="A125" s="786"/>
      <c r="B125" s="216"/>
      <c r="C125" s="789"/>
      <c r="D125" s="792"/>
      <c r="E125" s="393"/>
      <c r="F125" s="390"/>
      <c r="G125" s="400"/>
      <c r="H125" s="392">
        <f t="shared" si="4"/>
        <v>0</v>
      </c>
      <c r="I125" s="389"/>
      <c r="J125" s="390"/>
      <c r="K125" s="434"/>
      <c r="L125" s="484">
        <f t="shared" si="5"/>
        <v>0</v>
      </c>
      <c r="M125" s="434"/>
      <c r="N125" s="434"/>
      <c r="O125" s="434"/>
      <c r="P125" s="395"/>
      <c r="Q125" s="389">
        <f>база!$L$5</f>
        <v>231.45480000000001</v>
      </c>
      <c r="R125" s="390">
        <v>1.4</v>
      </c>
      <c r="S125" s="491">
        <f>SUMIFS(Таблица1[Столбец1],Таблица1[коэф],"1,4",Таблица1[р/р],"4/16",Таблица1[Ф. И. О.],B121)</f>
        <v>0</v>
      </c>
      <c r="T125" s="493">
        <f t="shared" si="6"/>
        <v>0</v>
      </c>
      <c r="U125" s="472">
        <f>база!$M$5</f>
        <v>247.41720000000001</v>
      </c>
      <c r="V125" s="390">
        <v>1.4</v>
      </c>
      <c r="W125" s="494">
        <f>SUMIFS(Таблица1[Столбец1],Таблица1[коэф],"1,4",Таблица1[р/р],"4/24",Таблица1[Ф. И. О.],B121)</f>
        <v>0</v>
      </c>
      <c r="X125" s="492">
        <f t="shared" si="7"/>
        <v>0</v>
      </c>
      <c r="Y125" s="795"/>
      <c r="Z125" s="797"/>
      <c r="AA125" s="786"/>
    </row>
    <row r="126" spans="1:29" ht="19.5" thickBot="1">
      <c r="A126" s="787"/>
      <c r="B126" s="216"/>
      <c r="C126" s="790"/>
      <c r="D126" s="793"/>
      <c r="E126" s="422"/>
      <c r="F126" s="403"/>
      <c r="G126" s="408"/>
      <c r="H126" s="468">
        <f t="shared" si="4"/>
        <v>0</v>
      </c>
      <c r="I126" s="420"/>
      <c r="J126" s="403"/>
      <c r="K126" s="460"/>
      <c r="L126" s="458">
        <f t="shared" si="5"/>
        <v>0</v>
      </c>
      <c r="M126" s="460"/>
      <c r="N126" s="460"/>
      <c r="O126" s="460"/>
      <c r="P126" s="424"/>
      <c r="Q126" s="420">
        <f>база!$L$6</f>
        <v>261.04640000000001</v>
      </c>
      <c r="R126" s="403">
        <v>1.4</v>
      </c>
      <c r="S126" s="507">
        <f>SUMIFS(Таблица1[Столбец1],Таблица1[коэф],"1,4",Таблица1[р/р],"5/16",Таблица1[Ф. И. О.],B121)</f>
        <v>0</v>
      </c>
      <c r="T126" s="513">
        <f t="shared" si="6"/>
        <v>0</v>
      </c>
      <c r="U126" s="482">
        <f>база!$M$6</f>
        <v>279.0496</v>
      </c>
      <c r="V126" s="403">
        <v>1.4</v>
      </c>
      <c r="W126" s="496">
        <f>SUMIFS(Таблица1[Столбец1],Таблица1[коэф],"1,4",Таблица1[р/р],"5/24",Таблица1[Ф. И. О.],B121)</f>
        <v>0</v>
      </c>
      <c r="X126" s="492">
        <f t="shared" si="7"/>
        <v>0</v>
      </c>
      <c r="Y126" s="796"/>
      <c r="Z126" s="798"/>
      <c r="AA126" s="787"/>
    </row>
    <row r="127" spans="1:29" ht="18.75">
      <c r="A127" s="785">
        <v>12</v>
      </c>
      <c r="B127" s="318"/>
      <c r="C127" s="788">
        <f>INDEX(база!$E$2:$E$81, MATCH(B132,база!$B$2:$B$50,0))</f>
        <v>17350</v>
      </c>
      <c r="D127" s="791">
        <f>INDEX(база!$D$2:$D$89, MATCH(B132,база!$B$2:$B$50,0))</f>
        <v>3</v>
      </c>
      <c r="E127" s="381">
        <f>IF(D127&lt;=3,база!$I$4,
IF(D127=4,база!$I$5,
IF(D127=5,база!$I$6)))</f>
        <v>188.7912</v>
      </c>
      <c r="F127" s="378">
        <v>1</v>
      </c>
      <c r="G127" s="387">
        <f>SUMIFS(Таблица1[Столбец1],Таблица1[коэф],"1",Таблица1[р/р],"2/4",Таблица1[Ф. И. О.],B132)</f>
        <v>0</v>
      </c>
      <c r="H127" s="402">
        <f t="shared" si="4"/>
        <v>0</v>
      </c>
      <c r="I127" s="377">
        <f>IF(D127&lt;=3,база!$J$4,
IF(D127=4,база!$J$5,
IF(D127=5,база!$J$6)))</f>
        <v>196.05240000000001</v>
      </c>
      <c r="J127" s="378">
        <v>1</v>
      </c>
      <c r="K127" s="428">
        <f>SUMIFS(Таблица1[Столбец1],Таблица1[коэф],"1",Таблица1[р/р],"2/8",Таблица1[Ф. И. О.],B132)</f>
        <v>0</v>
      </c>
      <c r="L127" s="484">
        <f t="shared" si="5"/>
        <v>0</v>
      </c>
      <c r="M127" s="428"/>
      <c r="N127" s="428">
        <v>1</v>
      </c>
      <c r="O127" s="428">
        <f>SUMIFS(Data_Tech!$AM$3:$AM$67,Data_Tech!$E$3:$E$67,"1",Data_Tech!$G$3:$G$67,"3/12",Data_Tech!$F$3:$F$67,B132)</f>
        <v>0</v>
      </c>
      <c r="P127" s="383">
        <f>ROUND(M127*N127*O127,2)</f>
        <v>0</v>
      </c>
      <c r="Q127" s="377">
        <f>IF(D127&lt;=3,база!$L$4,
IF(D127=4,база!$L$5,
IF(D127=5,база!$L$6)))</f>
        <v>210.57480000000001</v>
      </c>
      <c r="R127" s="378">
        <v>1</v>
      </c>
      <c r="S127" s="489">
        <f>SUMIFS(Таблица1[Столбец1],Таблица1[коэф],"1",Таблица1[р/р],"3/16",Таблица1[Ф. И. О.],B132)</f>
        <v>0</v>
      </c>
      <c r="T127" s="492">
        <f t="shared" si="6"/>
        <v>0</v>
      </c>
      <c r="U127" s="471">
        <f>IF(D127&lt;=3,база!$M$4,
IF(D127=4,база!$M$5,
IF(D127=5,база!$M$6)))</f>
        <v>225.09719999999999</v>
      </c>
      <c r="V127" s="378">
        <v>1</v>
      </c>
      <c r="W127" s="497">
        <f>SUMIFS(Таблица1[Столбец1],Таблица1[коэф],"1",Таблица1[р/р],"3/24",Таблица1[Ф. И. О.],B132)</f>
        <v>0</v>
      </c>
      <c r="X127" s="490">
        <f t="shared" si="7"/>
        <v>0</v>
      </c>
      <c r="Y127" s="795">
        <f t="shared" ref="Y127" si="14">SUM(G127:G137,K127:K137,O127:O137,S127:S137,W127:W137)</f>
        <v>0</v>
      </c>
      <c r="Z127" s="797">
        <f t="shared" ref="Z127" si="15">IFERROR(SUM(H127:H137,L127:L137,T127:T137,X127:X137),"")</f>
        <v>0</v>
      </c>
      <c r="AA127" s="786"/>
    </row>
    <row r="128" spans="1:29" ht="18.75">
      <c r="A128" s="786"/>
      <c r="B128" s="216"/>
      <c r="C128" s="789"/>
      <c r="D128" s="792"/>
      <c r="E128" s="393">
        <f>IF(D127&lt;=3,база!$I$4,
IF(D127=4,база!$I$5,
IF(D127=5,база!$I$6)))</f>
        <v>188.7912</v>
      </c>
      <c r="F128" s="390">
        <v>1</v>
      </c>
      <c r="G128" s="400">
        <f>SUMIFS(Таблица1[Столбец1],Таблица1[коэф],"1",Таблица1[р/р],"3/4",Таблица1[Ф. И. О.],B132)</f>
        <v>0</v>
      </c>
      <c r="H128" s="392">
        <f t="shared" si="4"/>
        <v>0</v>
      </c>
      <c r="I128" s="389">
        <f>IF(D127&lt;=3,база!$J$4,
IF(D127=4,база!$J$5,
IF(D127=5,база!$J$6)))</f>
        <v>196.05240000000001</v>
      </c>
      <c r="J128" s="390">
        <v>1</v>
      </c>
      <c r="K128" s="434">
        <f>SUMIFS(Таблица1[Столбец1],Таблица1[коэф],"1",Таблица1[р/р],"3/8",Таблица1[Ф. И. О.],B132)</f>
        <v>0</v>
      </c>
      <c r="L128" s="484">
        <f t="shared" si="5"/>
        <v>0</v>
      </c>
      <c r="M128" s="434"/>
      <c r="N128" s="434">
        <v>1</v>
      </c>
      <c r="O128" s="434">
        <f>SUMIFS(Data_Tech!$AM$3:$AM$67,Data_Tech!$E$3:$E$67,"1",Data_Tech!$G$3:$G$67,"4/12",Data_Tech!$F$3:$F$67,B132)</f>
        <v>0</v>
      </c>
      <c r="P128" s="395">
        <f>ROUND(M128*O128,2)</f>
        <v>0</v>
      </c>
      <c r="Q128" s="389">
        <f>база!$L$5</f>
        <v>231.45480000000001</v>
      </c>
      <c r="R128" s="390">
        <v>1</v>
      </c>
      <c r="S128" s="491">
        <f>SUMIFS(Таблица1[Столбец1],Таблица1[коэф],"1",Таблица1[р/р],"4/16",Таблица1[Ф. И. О.],B132)</f>
        <v>0</v>
      </c>
      <c r="T128" s="493">
        <f t="shared" si="6"/>
        <v>0</v>
      </c>
      <c r="U128" s="472">
        <f>база!$M$5</f>
        <v>247.41720000000001</v>
      </c>
      <c r="V128" s="390">
        <v>1</v>
      </c>
      <c r="W128" s="494">
        <f>SUMIFS(Таблица1[Столбец1],Таблица1[коэф],"1",Таблица1[р/р],"4/24",Таблица1[Ф. И. О.],B132)</f>
        <v>0</v>
      </c>
      <c r="X128" s="492">
        <f t="shared" si="7"/>
        <v>0</v>
      </c>
      <c r="Y128" s="795"/>
      <c r="Z128" s="797"/>
      <c r="AA128" s="786"/>
    </row>
    <row r="129" spans="1:29" ht="18.75">
      <c r="A129" s="786"/>
      <c r="B129" s="216"/>
      <c r="C129" s="789"/>
      <c r="D129" s="792"/>
      <c r="E129" s="393"/>
      <c r="F129" s="390"/>
      <c r="G129" s="400"/>
      <c r="H129" s="392">
        <f t="shared" si="4"/>
        <v>0</v>
      </c>
      <c r="I129" s="389"/>
      <c r="J129" s="390"/>
      <c r="K129" s="434"/>
      <c r="L129" s="484">
        <f t="shared" si="5"/>
        <v>0</v>
      </c>
      <c r="M129" s="434"/>
      <c r="N129" s="434"/>
      <c r="O129" s="434"/>
      <c r="P129" s="395"/>
      <c r="Q129" s="389">
        <f>база!$L$6</f>
        <v>261.04640000000001</v>
      </c>
      <c r="R129" s="390">
        <v>1</v>
      </c>
      <c r="S129" s="491">
        <f>SUMIFS(Таблица1[Столбец1],Таблица1[коэф],"1",Таблица1[р/р],"5/16",Таблица1[Ф. И. О.],B132)</f>
        <v>0</v>
      </c>
      <c r="T129" s="493">
        <f t="shared" si="6"/>
        <v>0</v>
      </c>
      <c r="U129" s="472">
        <f>база!$M$6</f>
        <v>279.0496</v>
      </c>
      <c r="V129" s="390">
        <v>1</v>
      </c>
      <c r="W129" s="494">
        <f>SUMIFS(Таблица1[Столбец1],Таблица1[коэф],"1",Таблица1[р/р],"5/24",Таблица1[Ф. И. О.],B132)</f>
        <v>0</v>
      </c>
      <c r="X129" s="492">
        <f t="shared" si="7"/>
        <v>0</v>
      </c>
      <c r="Y129" s="795"/>
      <c r="Z129" s="797"/>
      <c r="AA129" s="786"/>
    </row>
    <row r="130" spans="1:29" ht="18.75">
      <c r="A130" s="786"/>
      <c r="B130" s="216"/>
      <c r="C130" s="789"/>
      <c r="D130" s="792"/>
      <c r="E130" s="393"/>
      <c r="F130" s="390"/>
      <c r="G130" s="400"/>
      <c r="H130" s="392">
        <f t="shared" si="4"/>
        <v>0</v>
      </c>
      <c r="I130" s="389">
        <f>база!$J$5</f>
        <v>215.4924</v>
      </c>
      <c r="J130" s="390">
        <v>1.5</v>
      </c>
      <c r="K130" s="434">
        <f>SUMIFS(Таблица1[Столбец1],Таблица1[коэф],"1,5",Таблица1[р/р],"4/8",Таблица1[Ф. И. О.],B132)</f>
        <v>0</v>
      </c>
      <c r="L130" s="484">
        <f t="shared" si="5"/>
        <v>0</v>
      </c>
      <c r="M130" s="434"/>
      <c r="N130" s="434"/>
      <c r="O130" s="434"/>
      <c r="P130" s="395"/>
      <c r="Q130" s="389">
        <f>IF(D127&lt;=3,база!$L$4,
IF(D127=4,база!$L$5,
IF(D127=5,база!$L$6)))</f>
        <v>210.57480000000001</v>
      </c>
      <c r="R130" s="390">
        <v>1.2</v>
      </c>
      <c r="S130" s="491">
        <f>SUMIFS(Таблица1[Столбец1],Таблица1[коэф],"1,2",Таблица1[р/р],"3/16",Таблица1[Ф. И. О.],B132)</f>
        <v>0</v>
      </c>
      <c r="T130" s="493">
        <f t="shared" si="6"/>
        <v>0</v>
      </c>
      <c r="U130" s="472">
        <f>IF(D127&lt;=3,база!$M$4,
IF(D127=4,база!$M$5,
IF(D127=5,база!$M$6)))</f>
        <v>225.09719999999999</v>
      </c>
      <c r="V130" s="390">
        <v>1.2</v>
      </c>
      <c r="W130" s="494">
        <f>SUMIFS(Таблица1[Столбец1],Таблица1[коэф],"1,2",Таблица1[р/р],"3/24",Таблица1[Ф. И. О.],B132)</f>
        <v>0</v>
      </c>
      <c r="X130" s="492">
        <f t="shared" si="7"/>
        <v>0</v>
      </c>
      <c r="Y130" s="795"/>
      <c r="Z130" s="797"/>
      <c r="AA130" s="786"/>
    </row>
    <row r="131" spans="1:29" ht="18.75">
      <c r="A131" s="786"/>
      <c r="B131" s="216"/>
      <c r="C131" s="789"/>
      <c r="D131" s="792"/>
      <c r="E131" s="393"/>
      <c r="F131" s="390"/>
      <c r="G131" s="400"/>
      <c r="H131" s="392">
        <f t="shared" si="4"/>
        <v>0</v>
      </c>
      <c r="I131" s="389">
        <f>база!$J$6</f>
        <v>243.04319999999998</v>
      </c>
      <c r="J131" s="390">
        <v>1.5</v>
      </c>
      <c r="K131" s="434">
        <f>SUMIFS(Таблица1[Столбец1],Таблица1[коэф],"1,5",Таблица1[р/р],"5/8",Таблица1[Ф. И. О.],B132)</f>
        <v>0</v>
      </c>
      <c r="L131" s="484">
        <f t="shared" si="5"/>
        <v>0</v>
      </c>
      <c r="M131" s="434"/>
      <c r="N131" s="434"/>
      <c r="O131" s="434"/>
      <c r="P131" s="395"/>
      <c r="Q131" s="389">
        <f>база!$L$5</f>
        <v>231.45480000000001</v>
      </c>
      <c r="R131" s="390">
        <v>1.2</v>
      </c>
      <c r="S131" s="491">
        <f>SUMIFS(Таблица1[Столбец1],Таблица1[коэф],"1,2",Таблица1[р/р],"4/16",Таблица1[Ф. И. О.],B132)</f>
        <v>0</v>
      </c>
      <c r="T131" s="493">
        <f t="shared" si="6"/>
        <v>0</v>
      </c>
      <c r="U131" s="472">
        <f>база!$M$5</f>
        <v>247.41720000000001</v>
      </c>
      <c r="V131" s="390">
        <v>1.2</v>
      </c>
      <c r="W131" s="494">
        <f>SUMIFS(Таблица1[Столбец1],Таблица1[коэф],"1,2",Таблица1[р/р],"4/24",Таблица1[Ф. И. О.],B132)</f>
        <v>0</v>
      </c>
      <c r="X131" s="492">
        <f t="shared" si="7"/>
        <v>0</v>
      </c>
      <c r="Y131" s="795"/>
      <c r="Z131" s="797"/>
      <c r="AA131" s="786"/>
    </row>
    <row r="132" spans="1:29" ht="22.5" customHeight="1">
      <c r="A132" s="786"/>
      <c r="B132" s="216" t="str">
        <f>база!B13</f>
        <v>Бутова Юлия Сергеевна</v>
      </c>
      <c r="C132" s="789"/>
      <c r="D132" s="792"/>
      <c r="E132" s="393"/>
      <c r="F132" s="390"/>
      <c r="G132" s="400"/>
      <c r="H132" s="392">
        <f t="shared" si="4"/>
        <v>0</v>
      </c>
      <c r="I132" s="389"/>
      <c r="J132" s="390"/>
      <c r="K132" s="434"/>
      <c r="L132" s="484">
        <f t="shared" si="5"/>
        <v>0</v>
      </c>
      <c r="M132" s="434"/>
      <c r="N132" s="434"/>
      <c r="O132" s="434"/>
      <c r="P132" s="395"/>
      <c r="Q132" s="389">
        <f>база!$L$6</f>
        <v>261.04640000000001</v>
      </c>
      <c r="R132" s="390">
        <v>1.2</v>
      </c>
      <c r="S132" s="491">
        <f>SUMIFS(Таблица1[Столбец1],Таблица1[коэф],"1,2",Таблица1[р/р],"5/16",Таблица1[Ф. И. О.],B132)</f>
        <v>0</v>
      </c>
      <c r="T132" s="493">
        <f t="shared" si="6"/>
        <v>0</v>
      </c>
      <c r="U132" s="472">
        <f>база!$M$6</f>
        <v>279.0496</v>
      </c>
      <c r="V132" s="390">
        <v>1.2</v>
      </c>
      <c r="W132" s="494">
        <f>SUMIFS(Таблица1[Столбец1],Таблица1[коэф],"1,2",Таблица1[р/р],"5/24",Таблица1[Ф. И. О.],B132)</f>
        <v>0</v>
      </c>
      <c r="X132" s="492">
        <f t="shared" si="7"/>
        <v>0</v>
      </c>
      <c r="Y132" s="795"/>
      <c r="Z132" s="797"/>
      <c r="AA132" s="786"/>
      <c r="AC132" s="727" t="str">
        <f>IF(SUMIFS(Таблица1[Столбец3],Таблица1[Ф. И. О.],B132)-Z127=0,"",SUMIFS(Таблица1[Столбец3],Таблица1[Ф. И. О.],B132)-Z127)</f>
        <v/>
      </c>
    </row>
    <row r="133" spans="1:29" ht="18.75">
      <c r="A133" s="786"/>
      <c r="B133" s="216"/>
      <c r="C133" s="789"/>
      <c r="D133" s="792"/>
      <c r="E133" s="393"/>
      <c r="F133" s="390"/>
      <c r="G133" s="400"/>
      <c r="H133" s="392">
        <f t="shared" si="4"/>
        <v>0</v>
      </c>
      <c r="I133" s="389"/>
      <c r="J133" s="390"/>
      <c r="K133" s="434"/>
      <c r="L133" s="484">
        <f t="shared" si="5"/>
        <v>0</v>
      </c>
      <c r="M133" s="434"/>
      <c r="N133" s="434"/>
      <c r="O133" s="434"/>
      <c r="P133" s="395"/>
      <c r="Q133" s="389">
        <f>IF(D127&lt;=3,база!$L$4,
IF(D127=4,база!$L$5,
IF(D127=5,база!$L$6)))</f>
        <v>210.57480000000001</v>
      </c>
      <c r="R133" s="390">
        <v>1.3</v>
      </c>
      <c r="S133" s="491">
        <f>SUMIFS(Таблица1[Столбец1],Таблица1[коэф],"1,3",Таблица1[р/р],"3/16",Таблица1[Ф. И. О.],B132)</f>
        <v>0</v>
      </c>
      <c r="T133" s="493">
        <f t="shared" si="6"/>
        <v>0</v>
      </c>
      <c r="U133" s="472">
        <f>IF(D127&lt;=3,база!$M$4,
IF(D127=4,база!$M$5,
IF(D127=5,база!$M$6)))</f>
        <v>225.09719999999999</v>
      </c>
      <c r="V133" s="390">
        <v>1.3</v>
      </c>
      <c r="W133" s="494">
        <f>SUMIFS(Таблица1[Столбец1],Таблица1[коэф],"1,3",Таблица1[р/р],"3/24",Таблица1[Ф. И. О.],B132)</f>
        <v>0</v>
      </c>
      <c r="X133" s="492">
        <f t="shared" si="7"/>
        <v>0</v>
      </c>
      <c r="Y133" s="795"/>
      <c r="Z133" s="797"/>
      <c r="AA133" s="786"/>
      <c r="AC133" s="727" t="str">
        <f>IF(SUMIFS(Таблица1[Столбец1],Таблица1[Ф. И. О.],B132)=Y127,"",B132&amp;"  часы не верны")</f>
        <v/>
      </c>
    </row>
    <row r="134" spans="1:29" ht="18.75">
      <c r="A134" s="786"/>
      <c r="B134" s="216"/>
      <c r="C134" s="789"/>
      <c r="D134" s="792"/>
      <c r="E134" s="393"/>
      <c r="F134" s="390"/>
      <c r="G134" s="400"/>
      <c r="H134" s="392">
        <f t="shared" si="4"/>
        <v>0</v>
      </c>
      <c r="I134" s="389"/>
      <c r="J134" s="390"/>
      <c r="K134" s="434"/>
      <c r="L134" s="484">
        <f t="shared" si="5"/>
        <v>0</v>
      </c>
      <c r="M134" s="434"/>
      <c r="N134" s="434"/>
      <c r="O134" s="434"/>
      <c r="P134" s="395"/>
      <c r="Q134" s="389">
        <f>база!$L$5</f>
        <v>231.45480000000001</v>
      </c>
      <c r="R134" s="390">
        <v>1.3</v>
      </c>
      <c r="S134" s="491">
        <f>SUMIFS(Таблица1[Столбец1],Таблица1[коэф],"1,3",Таблица1[р/р],"4/16",Таблица1[Ф. И. О.],B132)</f>
        <v>0</v>
      </c>
      <c r="T134" s="493">
        <f t="shared" si="6"/>
        <v>0</v>
      </c>
      <c r="U134" s="472">
        <f>база!$M$5</f>
        <v>247.41720000000001</v>
      </c>
      <c r="V134" s="390">
        <v>1.3</v>
      </c>
      <c r="W134" s="494">
        <f>SUMIFS(Таблица1[Столбец1],Таблица1[коэф],"1,3",Таблица1[р/р],"4/24",Таблица1[Ф. И. О.],B132)</f>
        <v>0</v>
      </c>
      <c r="X134" s="492">
        <f t="shared" si="7"/>
        <v>0</v>
      </c>
      <c r="Y134" s="795"/>
      <c r="Z134" s="797"/>
      <c r="AA134" s="786"/>
    </row>
    <row r="135" spans="1:29" ht="18.75">
      <c r="A135" s="786"/>
      <c r="B135" s="216"/>
      <c r="C135" s="789"/>
      <c r="D135" s="792"/>
      <c r="E135" s="393"/>
      <c r="F135" s="390"/>
      <c r="G135" s="400"/>
      <c r="H135" s="392">
        <f t="shared" ref="H135:H198" si="16">ROUND(E135*F135*G135*2,2)</f>
        <v>0</v>
      </c>
      <c r="I135" s="389"/>
      <c r="J135" s="390"/>
      <c r="K135" s="434"/>
      <c r="L135" s="484">
        <f t="shared" ref="L135:L198" si="17">ROUND(I135*J135*K135*2,2)</f>
        <v>0</v>
      </c>
      <c r="M135" s="434"/>
      <c r="N135" s="434"/>
      <c r="O135" s="434"/>
      <c r="P135" s="395"/>
      <c r="Q135" s="389">
        <f>IF(D127&lt;=3,база!$L$4,
IF(D127=4,база!$L$5,
IF(D127=5,база!$L$6)))</f>
        <v>210.57480000000001</v>
      </c>
      <c r="R135" s="390">
        <v>1.4</v>
      </c>
      <c r="S135" s="491">
        <f>SUMIFS(Таблица1[Столбец1],Таблица1[коэф],"1,4",Таблица1[р/р],"3/16",Таблица1[Ф. И. О.],B132)</f>
        <v>0</v>
      </c>
      <c r="T135" s="493">
        <f t="shared" ref="T135:T198" si="18">ROUND(Q135*R135*S135*2,2)</f>
        <v>0</v>
      </c>
      <c r="U135" s="472">
        <f>IF(D127&lt;=3,база!$M$4,
IF(D127=4,база!$M$5,
IF(D127=5,база!$M$6)))</f>
        <v>225.09719999999999</v>
      </c>
      <c r="V135" s="390">
        <v>1.4</v>
      </c>
      <c r="W135" s="494">
        <f>SUMIFS(Таблица1[Столбец1],Таблица1[коэф],"1,4",Таблица1[р/р],"3/24",Таблица1[Ф. И. О.],B132)</f>
        <v>0</v>
      </c>
      <c r="X135" s="492">
        <f t="shared" ref="X135:X198" si="19">ROUND(U135*V135*W135*2,2)</f>
        <v>0</v>
      </c>
      <c r="Y135" s="795"/>
      <c r="Z135" s="797"/>
      <c r="AA135" s="786"/>
    </row>
    <row r="136" spans="1:29" ht="18.75">
      <c r="A136" s="786"/>
      <c r="B136" s="216"/>
      <c r="C136" s="789"/>
      <c r="D136" s="792"/>
      <c r="E136" s="393"/>
      <c r="F136" s="390"/>
      <c r="G136" s="400"/>
      <c r="H136" s="392">
        <f t="shared" si="16"/>
        <v>0</v>
      </c>
      <c r="I136" s="389"/>
      <c r="J136" s="390"/>
      <c r="K136" s="434"/>
      <c r="L136" s="484">
        <f t="shared" si="17"/>
        <v>0</v>
      </c>
      <c r="M136" s="434"/>
      <c r="N136" s="434"/>
      <c r="O136" s="434"/>
      <c r="P136" s="395"/>
      <c r="Q136" s="389">
        <f>база!$L$5</f>
        <v>231.45480000000001</v>
      </c>
      <c r="R136" s="390">
        <v>1.4</v>
      </c>
      <c r="S136" s="491">
        <f>SUMIFS(Таблица1[Столбец1],Таблица1[коэф],"1,4",Таблица1[р/р],"4/16",Таблица1[Ф. И. О.],B132)</f>
        <v>0</v>
      </c>
      <c r="T136" s="493">
        <f t="shared" si="18"/>
        <v>0</v>
      </c>
      <c r="U136" s="472">
        <f>база!$M$5</f>
        <v>247.41720000000001</v>
      </c>
      <c r="V136" s="390">
        <v>1.4</v>
      </c>
      <c r="W136" s="494">
        <f>SUMIFS(Таблица1[Столбец1],Таблица1[коэф],"1,4",Таблица1[р/р],"4/24",Таблица1[Ф. И. О.],B132)</f>
        <v>0</v>
      </c>
      <c r="X136" s="492">
        <f t="shared" si="19"/>
        <v>0</v>
      </c>
      <c r="Y136" s="795"/>
      <c r="Z136" s="797"/>
      <c r="AA136" s="786"/>
    </row>
    <row r="137" spans="1:29" ht="19.5" thickBot="1">
      <c r="A137" s="787"/>
      <c r="B137" s="203"/>
      <c r="C137" s="790"/>
      <c r="D137" s="793"/>
      <c r="E137" s="463"/>
      <c r="F137" s="464"/>
      <c r="G137" s="465"/>
      <c r="H137" s="468">
        <f t="shared" si="16"/>
        <v>0</v>
      </c>
      <c r="I137" s="473"/>
      <c r="J137" s="464"/>
      <c r="K137" s="457"/>
      <c r="L137" s="458">
        <f t="shared" si="17"/>
        <v>0</v>
      </c>
      <c r="M137" s="457"/>
      <c r="N137" s="457"/>
      <c r="O137" s="457"/>
      <c r="P137" s="458"/>
      <c r="Q137" s="473">
        <f>база!$L$6</f>
        <v>261.04640000000001</v>
      </c>
      <c r="R137" s="464">
        <v>1.4</v>
      </c>
      <c r="S137" s="512">
        <f>SUMIFS(Таблица1[Столбец1],Таблица1[коэф],"1,4",Таблица1[р/р],"5/16",Таблица1[Ф. И. О.],B132)</f>
        <v>0</v>
      </c>
      <c r="T137" s="513">
        <f t="shared" si="18"/>
        <v>0</v>
      </c>
      <c r="U137" s="474">
        <f>база!$M$6</f>
        <v>279.0496</v>
      </c>
      <c r="V137" s="464">
        <v>1.4</v>
      </c>
      <c r="W137" s="501">
        <f>SUMIFS(Таблица1[Столбец1],Таблица1[коэф],"1,4",Таблица1[р/р],"5/24",Таблица1[Ф. И. О.],B132)</f>
        <v>0</v>
      </c>
      <c r="X137" s="492">
        <f t="shared" si="19"/>
        <v>0</v>
      </c>
      <c r="Y137" s="796"/>
      <c r="Z137" s="798"/>
      <c r="AA137" s="787"/>
    </row>
    <row r="138" spans="1:29" ht="18.75">
      <c r="A138" s="785">
        <v>13</v>
      </c>
      <c r="B138" s="216"/>
      <c r="C138" s="788">
        <f>INDEX(база!$E$2:$E$81, MATCH(B143,база!$B$2:$B$50,0))</f>
        <v>17332</v>
      </c>
      <c r="D138" s="791">
        <f>INDEX(база!$D$2:$D$89, MATCH(B143,база!$B$2:$B$50,0))</f>
        <v>3</v>
      </c>
      <c r="E138" s="377">
        <f>IF(D138&lt;=3,база!$I$4,
IF(D138=4,база!$I$5,
IF(D138=5,база!$I$6)))</f>
        <v>188.7912</v>
      </c>
      <c r="F138" s="378">
        <v>1</v>
      </c>
      <c r="G138" s="387">
        <f>SUMIFS(Таблица1[Столбец1],Таблица1[коэф],"1",Таблица1[р/р],"2/4",Таблица1[Ф. И. О.],B143)</f>
        <v>0</v>
      </c>
      <c r="H138" s="402">
        <f t="shared" si="16"/>
        <v>0</v>
      </c>
      <c r="I138" s="451">
        <f>IF(D138&lt;=3,база!$J$4,
IF(D138=4,база!$J$5,
IF(D138=5,база!$J$6)))</f>
        <v>196.05240000000001</v>
      </c>
      <c r="J138" s="417">
        <v>1</v>
      </c>
      <c r="K138" s="453">
        <f>SUMIFS(Таблица1[Столбец1],Таблица1[коэф],"1",Таблица1[р/р],"2/8",Таблица1[Ф. И. О.],B143)</f>
        <v>0</v>
      </c>
      <c r="L138" s="484">
        <f t="shared" si="17"/>
        <v>0</v>
      </c>
      <c r="M138" s="453"/>
      <c r="N138" s="453">
        <v>1</v>
      </c>
      <c r="O138" s="453">
        <f>SUMIFS(Data_Tech!$AM$3:$AM$67,Data_Tech!$E$3:$E$67,"1",Data_Tech!$G$3:$G$67,"3/12",Data_Tech!$F$3:$F$67,B143)</f>
        <v>0</v>
      </c>
      <c r="P138" s="398">
        <f>ROUND(M138*N138*O138,2)</f>
        <v>0</v>
      </c>
      <c r="Q138" s="481">
        <f>IF(D138&lt;=3,база!$L$4,
IF(D138=4,база!$L$5,
IF(D138=5,база!$L$6)))</f>
        <v>210.57480000000001</v>
      </c>
      <c r="R138" s="417">
        <v>1</v>
      </c>
      <c r="S138" s="495">
        <f>SUMIFS(Таблица1[Столбец1],Таблица1[коэф],"1",Таблица1[р/р],"3/16",Таблица1[Ф. И. О.],B143)</f>
        <v>0</v>
      </c>
      <c r="T138" s="492">
        <f t="shared" si="18"/>
        <v>0</v>
      </c>
      <c r="U138" s="454">
        <f>IF(D138&lt;=3,база!$M$4,
IF(D138=4,база!$M$5,
IF(D138=5,база!$M$6)))</f>
        <v>225.09719999999999</v>
      </c>
      <c r="V138" s="378">
        <v>1</v>
      </c>
      <c r="W138" s="505">
        <f>SUMIFS(Таблица1[Столбец1],Таблица1[коэф],"1",Таблица1[р/р],"3/24",Таблица1[Ф. И. О.],B143)</f>
        <v>0</v>
      </c>
      <c r="X138" s="490">
        <f t="shared" si="19"/>
        <v>0</v>
      </c>
      <c r="Y138" s="795">
        <f t="shared" ref="Y138" si="20">SUM(G138:G148,K138:K148,O138:O148,S138:S148,W138:W148)</f>
        <v>0</v>
      </c>
      <c r="Z138" s="797">
        <f t="shared" ref="Z138" si="21">IFERROR(SUM(H138:H148,L138:L148,T138:T148,X138:X148),"")</f>
        <v>0</v>
      </c>
      <c r="AA138" s="786"/>
    </row>
    <row r="139" spans="1:29" ht="18.75">
      <c r="A139" s="786"/>
      <c r="B139" s="216"/>
      <c r="C139" s="789"/>
      <c r="D139" s="792"/>
      <c r="E139" s="389">
        <f>IF(D138&lt;=3,база!$I$4,
IF(D138=4,база!$I$5,
IF(D138=5,база!$I$6)))</f>
        <v>188.7912</v>
      </c>
      <c r="F139" s="390">
        <v>1</v>
      </c>
      <c r="G139" s="400">
        <f>SUMIFS(Таблица1[Столбец1],Таблица1[коэф],"1",Таблица1[р/р],"3/4",Таблица1[Ф. И. О.],B143)</f>
        <v>0</v>
      </c>
      <c r="H139" s="392">
        <f t="shared" si="16"/>
        <v>0</v>
      </c>
      <c r="I139" s="393">
        <f>IF(D138&lt;=3,база!$J$4,
IF(D138=4,база!$J$5,
IF(D138=5,база!$J$6)))</f>
        <v>196.05240000000001</v>
      </c>
      <c r="J139" s="390">
        <v>1</v>
      </c>
      <c r="K139" s="434">
        <f>SUMIFS(Таблица1[Столбец1],Таблица1[коэф],"1",Таблица1[р/р],"3/8",Таблица1[Ф. И. О.],B143)</f>
        <v>0</v>
      </c>
      <c r="L139" s="484">
        <f t="shared" si="17"/>
        <v>0</v>
      </c>
      <c r="M139" s="434"/>
      <c r="N139" s="434">
        <v>1</v>
      </c>
      <c r="O139" s="434">
        <f>SUMIFS(Data_Tech!$AM$3:$AM$67,Data_Tech!$E$3:$E$67,"1",Data_Tech!$G$3:$G$67,"4/12",Data_Tech!$F$3:$F$67,B143)</f>
        <v>0</v>
      </c>
      <c r="P139" s="406">
        <f>ROUND(M139*O139,2)</f>
        <v>0</v>
      </c>
      <c r="Q139" s="389">
        <f>база!$L$5</f>
        <v>231.45480000000001</v>
      </c>
      <c r="R139" s="390">
        <v>1</v>
      </c>
      <c r="S139" s="491">
        <f>SUMIFS(Таблица1[Столбец1],Таблица1[коэф],"1",Таблица1[р/р],"4/16",Таблица1[Ф. И. О.],B143)</f>
        <v>0</v>
      </c>
      <c r="T139" s="493">
        <f t="shared" si="18"/>
        <v>0</v>
      </c>
      <c r="U139" s="410">
        <f>база!$M$5</f>
        <v>247.41720000000001</v>
      </c>
      <c r="V139" s="390">
        <v>1</v>
      </c>
      <c r="W139" s="503">
        <f>SUMIFS(Таблица1[Столбец1],Таблица1[коэф],"1",Таблица1[р/р],"4/24",Таблица1[Ф. И. О.],B143)</f>
        <v>0</v>
      </c>
      <c r="X139" s="492">
        <f t="shared" si="19"/>
        <v>0</v>
      </c>
      <c r="Y139" s="795"/>
      <c r="Z139" s="797"/>
      <c r="AA139" s="786"/>
    </row>
    <row r="140" spans="1:29" ht="18.75">
      <c r="A140" s="786"/>
      <c r="B140" s="216"/>
      <c r="C140" s="789"/>
      <c r="D140" s="792"/>
      <c r="E140" s="389"/>
      <c r="F140" s="390"/>
      <c r="G140" s="400"/>
      <c r="H140" s="392">
        <f t="shared" si="16"/>
        <v>0</v>
      </c>
      <c r="I140" s="393"/>
      <c r="J140" s="390"/>
      <c r="K140" s="434"/>
      <c r="L140" s="484">
        <f t="shared" si="17"/>
        <v>0</v>
      </c>
      <c r="M140" s="434"/>
      <c r="N140" s="434"/>
      <c r="O140" s="434"/>
      <c r="P140" s="406"/>
      <c r="Q140" s="389">
        <f>база!$L$6</f>
        <v>261.04640000000001</v>
      </c>
      <c r="R140" s="390">
        <v>1</v>
      </c>
      <c r="S140" s="491">
        <f>SUMIFS(Таблица1[Столбец1],Таблица1[коэф],"1",Таблица1[р/р],"5/16",Таблица1[Ф. И. О.],B143)</f>
        <v>0</v>
      </c>
      <c r="T140" s="493">
        <f t="shared" si="18"/>
        <v>0</v>
      </c>
      <c r="U140" s="410">
        <f>база!$M$6</f>
        <v>279.0496</v>
      </c>
      <c r="V140" s="390">
        <v>1</v>
      </c>
      <c r="W140" s="503">
        <f>SUMIFS(Таблица1[Столбец1],Таблица1[коэф],"1",Таблица1[р/р],"5/24",Таблица1[Ф. И. О.],B143)</f>
        <v>0</v>
      </c>
      <c r="X140" s="492">
        <f t="shared" si="19"/>
        <v>0</v>
      </c>
      <c r="Y140" s="795"/>
      <c r="Z140" s="797"/>
      <c r="AA140" s="786"/>
    </row>
    <row r="141" spans="1:29" ht="18.75">
      <c r="A141" s="786"/>
      <c r="B141" s="216"/>
      <c r="C141" s="789"/>
      <c r="D141" s="792"/>
      <c r="E141" s="389"/>
      <c r="F141" s="390"/>
      <c r="G141" s="400"/>
      <c r="H141" s="392">
        <f t="shared" si="16"/>
        <v>0</v>
      </c>
      <c r="I141" s="393">
        <f>база!$J$5</f>
        <v>215.4924</v>
      </c>
      <c r="J141" s="390">
        <v>1.5</v>
      </c>
      <c r="K141" s="434">
        <f>SUMIFS(Таблица1[Столбец1],Таблица1[коэф],"1,5",Таблица1[р/р],"4/8",Таблица1[Ф. И. О.],B143)</f>
        <v>0</v>
      </c>
      <c r="L141" s="484">
        <f t="shared" si="17"/>
        <v>0</v>
      </c>
      <c r="M141" s="434"/>
      <c r="N141" s="434"/>
      <c r="O141" s="434"/>
      <c r="P141" s="406"/>
      <c r="Q141" s="389">
        <f>IF(D138&lt;=3,база!$L$4,
IF(D138=4,база!$L$5,
IF(D138=5,база!$L$6)))</f>
        <v>210.57480000000001</v>
      </c>
      <c r="R141" s="390">
        <v>1.2</v>
      </c>
      <c r="S141" s="491">
        <f>SUMIFS(Таблица1[Столбец1],Таблица1[коэф],"1,2",Таблица1[р/р],"3/16",Таблица1[Ф. И. О.],B143)</f>
        <v>0</v>
      </c>
      <c r="T141" s="493">
        <f t="shared" si="18"/>
        <v>0</v>
      </c>
      <c r="U141" s="410">
        <f>IF(D138&lt;=3,база!$M$4,
IF(D138=4,база!$M$5,
IF(D138=5,база!$M$6)))</f>
        <v>225.09719999999999</v>
      </c>
      <c r="V141" s="390">
        <v>1.2</v>
      </c>
      <c r="W141" s="503">
        <f>SUMIFS(Таблица1[Столбец1],Таблица1[коэф],"1,2",Таблица1[р/р],"3/24",Таблица1[Ф. И. О.],B143)</f>
        <v>0</v>
      </c>
      <c r="X141" s="492">
        <f t="shared" si="19"/>
        <v>0</v>
      </c>
      <c r="Y141" s="795"/>
      <c r="Z141" s="797"/>
      <c r="AA141" s="786"/>
    </row>
    <row r="142" spans="1:29" ht="18.75">
      <c r="A142" s="786"/>
      <c r="B142" s="216"/>
      <c r="C142" s="789"/>
      <c r="D142" s="792"/>
      <c r="E142" s="389"/>
      <c r="F142" s="390"/>
      <c r="G142" s="400"/>
      <c r="H142" s="392">
        <f t="shared" si="16"/>
        <v>0</v>
      </c>
      <c r="I142" s="393">
        <f>база!$J$6</f>
        <v>243.04319999999998</v>
      </c>
      <c r="J142" s="390">
        <v>1.5</v>
      </c>
      <c r="K142" s="434">
        <f>SUMIFS(Таблица1[Столбец1],Таблица1[коэф],"1,5",Таблица1[р/р],"5/8",Таблица1[Ф. И. О.],B143)</f>
        <v>0</v>
      </c>
      <c r="L142" s="484">
        <f t="shared" si="17"/>
        <v>0</v>
      </c>
      <c r="M142" s="434"/>
      <c r="N142" s="434"/>
      <c r="O142" s="434"/>
      <c r="P142" s="406"/>
      <c r="Q142" s="389">
        <f>база!$L$5</f>
        <v>231.45480000000001</v>
      </c>
      <c r="R142" s="390">
        <v>1.2</v>
      </c>
      <c r="S142" s="491">
        <f>SUMIFS(Таблица1[Столбец1],Таблица1[коэф],"1,2",Таблица1[р/р],"4/16",Таблица1[Ф. И. О.],B143)</f>
        <v>0</v>
      </c>
      <c r="T142" s="493">
        <f t="shared" si="18"/>
        <v>0</v>
      </c>
      <c r="U142" s="410">
        <f>база!$M$5</f>
        <v>247.41720000000001</v>
      </c>
      <c r="V142" s="390">
        <v>1.2</v>
      </c>
      <c r="W142" s="503">
        <f>SUMIFS(Таблица1[Столбец1],Таблица1[коэф],"1,2",Таблица1[р/р],"4/24",Таблица1[Ф. И. О.],B143)</f>
        <v>0</v>
      </c>
      <c r="X142" s="492">
        <f t="shared" si="19"/>
        <v>0</v>
      </c>
      <c r="Y142" s="795"/>
      <c r="Z142" s="797"/>
      <c r="AA142" s="786"/>
    </row>
    <row r="143" spans="1:29" ht="18.75">
      <c r="A143" s="786"/>
      <c r="B143" s="216" t="str">
        <f>база!B14</f>
        <v>Васильева Марина Витальевна</v>
      </c>
      <c r="C143" s="789"/>
      <c r="D143" s="792"/>
      <c r="E143" s="389"/>
      <c r="F143" s="390"/>
      <c r="G143" s="400"/>
      <c r="H143" s="392">
        <f t="shared" si="16"/>
        <v>0</v>
      </c>
      <c r="I143" s="393"/>
      <c r="J143" s="390"/>
      <c r="K143" s="434"/>
      <c r="L143" s="484">
        <f t="shared" si="17"/>
        <v>0</v>
      </c>
      <c r="M143" s="434"/>
      <c r="N143" s="434"/>
      <c r="O143" s="434"/>
      <c r="P143" s="406"/>
      <c r="Q143" s="389">
        <f>база!$L$6</f>
        <v>261.04640000000001</v>
      </c>
      <c r="R143" s="390">
        <v>1.2</v>
      </c>
      <c r="S143" s="491">
        <f>SUMIFS(Таблица1[Столбец1],Таблица1[коэф],"1,2",Таблица1[р/р],"5/16",Таблица1[Ф. И. О.],B143)</f>
        <v>0</v>
      </c>
      <c r="T143" s="493">
        <f t="shared" si="18"/>
        <v>0</v>
      </c>
      <c r="U143" s="410">
        <f>база!$M$6</f>
        <v>279.0496</v>
      </c>
      <c r="V143" s="390">
        <v>1.2</v>
      </c>
      <c r="W143" s="503">
        <f>SUMIFS(Таблица1[Столбец1],Таблица1[коэф],"1,2",Таблица1[р/р],"5/24",Таблица1[Ф. И. О.],B143)</f>
        <v>0</v>
      </c>
      <c r="X143" s="492">
        <f t="shared" si="19"/>
        <v>0</v>
      </c>
      <c r="Y143" s="795"/>
      <c r="Z143" s="797"/>
      <c r="AA143" s="786"/>
      <c r="AC143" s="727" t="str">
        <f>IF(SUMIFS(Таблица1[Столбец3],Таблица1[Ф. И. О.],B143)-Z138=0,"",SUMIFS(Таблица1[Столбец3],Таблица1[Ф. И. О.],B143)-Z138)</f>
        <v/>
      </c>
    </row>
    <row r="144" spans="1:29" ht="18.75">
      <c r="A144" s="786"/>
      <c r="B144" s="216"/>
      <c r="C144" s="789"/>
      <c r="D144" s="792"/>
      <c r="E144" s="389"/>
      <c r="F144" s="390"/>
      <c r="G144" s="400"/>
      <c r="H144" s="392">
        <f t="shared" si="16"/>
        <v>0</v>
      </c>
      <c r="I144" s="393"/>
      <c r="J144" s="390"/>
      <c r="K144" s="434"/>
      <c r="L144" s="484">
        <f t="shared" si="17"/>
        <v>0</v>
      </c>
      <c r="M144" s="434"/>
      <c r="N144" s="434"/>
      <c r="O144" s="434"/>
      <c r="P144" s="406"/>
      <c r="Q144" s="389">
        <f>IF(D138&lt;=3,база!$L$4,
IF(D138=4,база!$L$5,
IF(D138=5,база!$L$6)))</f>
        <v>210.57480000000001</v>
      </c>
      <c r="R144" s="390">
        <v>1.3</v>
      </c>
      <c r="S144" s="491">
        <f>SUMIFS(Таблица1[Столбец1],Таблица1[коэф],"1,3",Таблица1[р/р],"3/16",Таблица1[Ф. И. О.],B143)</f>
        <v>0</v>
      </c>
      <c r="T144" s="493">
        <f t="shared" si="18"/>
        <v>0</v>
      </c>
      <c r="U144" s="410">
        <f>IF(D138&lt;=3,база!$M$4,
IF(D138=4,база!$M$5,
IF(D138=5,база!$M$6)))</f>
        <v>225.09719999999999</v>
      </c>
      <c r="V144" s="390">
        <v>1.3</v>
      </c>
      <c r="W144" s="503">
        <f>SUMIFS(Таблица1[Столбец1],Таблица1[коэф],"1,3",Таблица1[р/р],"3/24",Таблица1[Ф. И. О.],B143)</f>
        <v>0</v>
      </c>
      <c r="X144" s="492">
        <f t="shared" si="19"/>
        <v>0</v>
      </c>
      <c r="Y144" s="795"/>
      <c r="Z144" s="797"/>
      <c r="AA144" s="786"/>
      <c r="AC144" s="727" t="str">
        <f>IF(SUMIFS(Таблица1[Столбец1],Таблица1[Ф. И. О.],B143)=Y138,"",B143&amp;"  часы не верны")</f>
        <v/>
      </c>
    </row>
    <row r="145" spans="1:29" ht="18.75">
      <c r="A145" s="786"/>
      <c r="B145" s="216"/>
      <c r="C145" s="789"/>
      <c r="D145" s="792"/>
      <c r="E145" s="389"/>
      <c r="F145" s="390"/>
      <c r="G145" s="400"/>
      <c r="H145" s="392">
        <f t="shared" si="16"/>
        <v>0</v>
      </c>
      <c r="I145" s="393"/>
      <c r="J145" s="390"/>
      <c r="K145" s="434"/>
      <c r="L145" s="484">
        <f t="shared" si="17"/>
        <v>0</v>
      </c>
      <c r="M145" s="434"/>
      <c r="N145" s="434"/>
      <c r="O145" s="434"/>
      <c r="P145" s="406"/>
      <c r="Q145" s="389">
        <f>база!$L$5</f>
        <v>231.45480000000001</v>
      </c>
      <c r="R145" s="390">
        <v>1.3</v>
      </c>
      <c r="S145" s="491">
        <f>SUMIFS(Таблица1[Столбец1],Таблица1[коэф],"1,3",Таблица1[р/р],"4/16",Таблица1[Ф. И. О.],B143)</f>
        <v>0</v>
      </c>
      <c r="T145" s="493">
        <f t="shared" si="18"/>
        <v>0</v>
      </c>
      <c r="U145" s="410">
        <f>база!$M$5</f>
        <v>247.41720000000001</v>
      </c>
      <c r="V145" s="390">
        <v>1.3</v>
      </c>
      <c r="W145" s="503">
        <f>SUMIFS(Таблица1[Столбец1],Таблица1[коэф],"1,3",Таблица1[р/р],"4/24",Таблица1[Ф. И. О.],B143)</f>
        <v>0</v>
      </c>
      <c r="X145" s="492">
        <f t="shared" si="19"/>
        <v>0</v>
      </c>
      <c r="Y145" s="795"/>
      <c r="Z145" s="797"/>
      <c r="AA145" s="786"/>
    </row>
    <row r="146" spans="1:29" ht="18.75">
      <c r="A146" s="786"/>
      <c r="B146" s="216"/>
      <c r="C146" s="789"/>
      <c r="D146" s="792"/>
      <c r="E146" s="389"/>
      <c r="F146" s="390"/>
      <c r="G146" s="400"/>
      <c r="H146" s="392">
        <f t="shared" si="16"/>
        <v>0</v>
      </c>
      <c r="I146" s="393"/>
      <c r="J146" s="390"/>
      <c r="K146" s="434"/>
      <c r="L146" s="484">
        <f t="shared" si="17"/>
        <v>0</v>
      </c>
      <c r="M146" s="434"/>
      <c r="N146" s="434"/>
      <c r="O146" s="434"/>
      <c r="P146" s="406"/>
      <c r="Q146" s="389">
        <f>IF(D138&lt;=3,база!$L$4,
IF(D138=4,база!$L$5,
IF(D138=5,база!$L$6)))</f>
        <v>210.57480000000001</v>
      </c>
      <c r="R146" s="390">
        <v>1.4</v>
      </c>
      <c r="S146" s="491">
        <f>SUMIFS(Таблица1[Столбец1],Таблица1[коэф],"1,4",Таблица1[р/р],"3/16",Таблица1[Ф. И. О.],B143)</f>
        <v>0</v>
      </c>
      <c r="T146" s="493">
        <f t="shared" si="18"/>
        <v>0</v>
      </c>
      <c r="U146" s="410">
        <f>IF(D138&lt;=3,база!$M$4,
IF(D138=4,база!$M$5,
IF(D138=5,база!$M$6)))</f>
        <v>225.09719999999999</v>
      </c>
      <c r="V146" s="390">
        <v>1.4</v>
      </c>
      <c r="W146" s="503">
        <f>SUMIFS(Таблица1[Столбец1],Таблица1[коэф],"1,4",Таблица1[р/р],"3/24",Таблица1[Ф. И. О.],B143)</f>
        <v>0</v>
      </c>
      <c r="X146" s="492">
        <f t="shared" si="19"/>
        <v>0</v>
      </c>
      <c r="Y146" s="795"/>
      <c r="Z146" s="797"/>
      <c r="AA146" s="786"/>
    </row>
    <row r="147" spans="1:29" ht="18.75">
      <c r="A147" s="786"/>
      <c r="B147" s="216"/>
      <c r="C147" s="789"/>
      <c r="D147" s="792"/>
      <c r="E147" s="389"/>
      <c r="F147" s="390"/>
      <c r="G147" s="400"/>
      <c r="H147" s="392">
        <f t="shared" si="16"/>
        <v>0</v>
      </c>
      <c r="I147" s="393"/>
      <c r="J147" s="390"/>
      <c r="K147" s="434"/>
      <c r="L147" s="484">
        <f t="shared" si="17"/>
        <v>0</v>
      </c>
      <c r="M147" s="434"/>
      <c r="N147" s="434"/>
      <c r="O147" s="434"/>
      <c r="P147" s="406"/>
      <c r="Q147" s="389">
        <f>база!$L$5</f>
        <v>231.45480000000001</v>
      </c>
      <c r="R147" s="390">
        <v>1.4</v>
      </c>
      <c r="S147" s="491">
        <f>SUMIFS(Таблица1[Столбец1],Таблица1[коэф],"1,4",Таблица1[р/р],"4/16",Таблица1[Ф. И. О.],B143)</f>
        <v>0</v>
      </c>
      <c r="T147" s="493">
        <f t="shared" si="18"/>
        <v>0</v>
      </c>
      <c r="U147" s="410">
        <f>база!$M$5</f>
        <v>247.41720000000001</v>
      </c>
      <c r="V147" s="390">
        <v>1.4</v>
      </c>
      <c r="W147" s="503">
        <f>SUMIFS(Таблица1[Столбец1],Таблица1[коэф],"1,4",Таблица1[р/р],"4/24",Таблица1[Ф. И. О.],B143)</f>
        <v>0</v>
      </c>
      <c r="X147" s="492">
        <f t="shared" si="19"/>
        <v>0</v>
      </c>
      <c r="Y147" s="795"/>
      <c r="Z147" s="797"/>
      <c r="AA147" s="786"/>
    </row>
    <row r="148" spans="1:29" ht="19.5" thickBot="1">
      <c r="A148" s="787"/>
      <c r="B148" s="216"/>
      <c r="C148" s="790"/>
      <c r="D148" s="793"/>
      <c r="E148" s="420"/>
      <c r="F148" s="403"/>
      <c r="G148" s="408"/>
      <c r="H148" s="468">
        <f t="shared" si="16"/>
        <v>0</v>
      </c>
      <c r="I148" s="463"/>
      <c r="J148" s="464"/>
      <c r="K148" s="457"/>
      <c r="L148" s="458">
        <f t="shared" si="17"/>
        <v>0</v>
      </c>
      <c r="M148" s="457"/>
      <c r="N148" s="457"/>
      <c r="O148" s="457"/>
      <c r="P148" s="476"/>
      <c r="Q148" s="473">
        <f>база!$L$6</f>
        <v>261.04640000000001</v>
      </c>
      <c r="R148" s="464">
        <v>1.4</v>
      </c>
      <c r="S148" s="512">
        <f>SUMIFS(Таблица1[Столбец1],Таблица1[коэф],"1,4",Таблица1[р/р],"5/16",Таблица1[Ф. И. О.],B143)</f>
        <v>0</v>
      </c>
      <c r="T148" s="513">
        <f t="shared" si="18"/>
        <v>0</v>
      </c>
      <c r="U148" s="469">
        <f>база!$M$6</f>
        <v>279.0496</v>
      </c>
      <c r="V148" s="403">
        <v>1.4</v>
      </c>
      <c r="W148" s="506">
        <f>SUMIFS(Таблица1[Столбец1],Таблица1[коэф],"1,4",Таблица1[р/р],"5/24",Таблица1[Ф. И. О.],B143)</f>
        <v>0</v>
      </c>
      <c r="X148" s="492">
        <f t="shared" si="19"/>
        <v>0</v>
      </c>
      <c r="Y148" s="796"/>
      <c r="Z148" s="798"/>
      <c r="AA148" s="787"/>
    </row>
    <row r="149" spans="1:29" ht="18.75">
      <c r="A149" s="785">
        <v>14</v>
      </c>
      <c r="B149" s="236"/>
      <c r="C149" s="788">
        <f>INDEX(база!$E$2:$E$81, MATCH(B154,база!$B$2:$B$50,0))</f>
        <v>17198</v>
      </c>
      <c r="D149" s="791">
        <f>INDEX(база!$D$2:$D$89, MATCH(B154,база!$B$2:$B$50,0))</f>
        <v>3</v>
      </c>
      <c r="E149" s="377">
        <f>IF(D149&lt;=3,база!$I$4,
IF(D149=4,база!$I$5,
IF(D149=5,база!$I$6)))</f>
        <v>188.7912</v>
      </c>
      <c r="F149" s="378">
        <v>1</v>
      </c>
      <c r="G149" s="387">
        <f>SUMIFS(Таблица1[Столбец1],Таблица1[коэф],"1",Таблица1[р/р],"2/4",Таблица1[Ф. И. О.],B154)</f>
        <v>0</v>
      </c>
      <c r="H149" s="402">
        <f t="shared" si="16"/>
        <v>0</v>
      </c>
      <c r="I149" s="451">
        <f>IF(D149&lt;=3,база!$J$4,
IF(D149=4,база!$J$5,
IF(D149=5,база!$J$6)))</f>
        <v>196.05240000000001</v>
      </c>
      <c r="J149" s="417">
        <v>1</v>
      </c>
      <c r="K149" s="453">
        <f>SUMIFS(Таблица1[Столбец1],Таблица1[коэф],"1",Таблица1[р/р],"2/8",Таблица1[Ф. И. О.],B154)</f>
        <v>0</v>
      </c>
      <c r="L149" s="484">
        <f t="shared" si="17"/>
        <v>0</v>
      </c>
      <c r="M149" s="453"/>
      <c r="N149" s="453">
        <v>1</v>
      </c>
      <c r="O149" s="453">
        <f>SUMIFS(Data_Tech!$AM$3:$AM$67,Data_Tech!$E$3:$E$67,"1",Data_Tech!$G$3:$G$67,"3/12",Data_Tech!$F$3:$F$67,B154)</f>
        <v>0</v>
      </c>
      <c r="P149" s="398">
        <f>ROUND(M149*N149*O149,2)</f>
        <v>0</v>
      </c>
      <c r="Q149" s="481">
        <f>IF(D149&lt;=3,база!$L$4,
IF(D149=4,база!$L$5,
IF(D149=5,база!$L$6)))</f>
        <v>210.57480000000001</v>
      </c>
      <c r="R149" s="417">
        <v>1</v>
      </c>
      <c r="S149" s="495">
        <f>SUMIFS(Таблица1[Столбец1],Таблица1[коэф],"1",Таблица1[р/р],"3/16",Таблица1[Ф. И. О.],B154)</f>
        <v>0</v>
      </c>
      <c r="T149" s="492">
        <f t="shared" si="18"/>
        <v>0</v>
      </c>
      <c r="U149" s="454">
        <f>IF(D149&lt;=3,база!$M$4,
IF(D149=4,база!$M$5,
IF(D149=5,база!$M$6)))</f>
        <v>225.09719999999999</v>
      </c>
      <c r="V149" s="378">
        <v>1</v>
      </c>
      <c r="W149" s="502">
        <f>SUMIFS(Таблица1[Столбец1],Таблица1[коэф],"1",Таблица1[р/р],"3/24",Таблица1[Ф. И. О.],B154)</f>
        <v>0</v>
      </c>
      <c r="X149" s="490">
        <f t="shared" si="19"/>
        <v>0</v>
      </c>
      <c r="Y149" s="795">
        <f t="shared" ref="Y149" si="22">SUM(G149:G159,K149:K159,O149:O159,S149:S159,W149:W159)</f>
        <v>0</v>
      </c>
      <c r="Z149" s="797">
        <f t="shared" ref="Z149" si="23">IFERROR(SUM(H149:H159,L149:L159,T149:T159,X149:X159),"")</f>
        <v>0</v>
      </c>
      <c r="AA149" s="786"/>
    </row>
    <row r="150" spans="1:29" ht="18.75">
      <c r="A150" s="786"/>
      <c r="B150" s="216"/>
      <c r="C150" s="789"/>
      <c r="D150" s="792"/>
      <c r="E150" s="389">
        <f>IF(D149&lt;=3,база!$I$4,
IF(D149=4,база!$I$5,
IF(D149=5,база!$I$6)))</f>
        <v>188.7912</v>
      </c>
      <c r="F150" s="390">
        <v>1</v>
      </c>
      <c r="G150" s="400">
        <f>SUMIFS(Таблица1[Столбец1],Таблица1[коэф],"1",Таблица1[р/р],"3/4",Таблица1[Ф. И. О.],B154)</f>
        <v>0</v>
      </c>
      <c r="H150" s="392">
        <f t="shared" si="16"/>
        <v>0</v>
      </c>
      <c r="I150" s="393">
        <f>IF(D149&lt;=3,база!$J$4,
IF(D149=4,база!$J$5,
IF(D149=5,база!$J$6)))</f>
        <v>196.05240000000001</v>
      </c>
      <c r="J150" s="390">
        <v>1</v>
      </c>
      <c r="K150" s="434">
        <f>SUMIFS(Таблица1[Столбец1],Таблица1[коэф],"1",Таблица1[р/р],"3/8",Таблица1[Ф. И. О.],B154)</f>
        <v>0</v>
      </c>
      <c r="L150" s="484">
        <f t="shared" si="17"/>
        <v>0</v>
      </c>
      <c r="M150" s="434"/>
      <c r="N150" s="434">
        <v>1</v>
      </c>
      <c r="O150" s="434">
        <f>SUMIFS(Data_Tech!$AM$3:$AM$67,Data_Tech!$E$3:$E$67,"1",Data_Tech!$G$3:$G$67,"4/12",Data_Tech!$F$3:$F$67,B154)</f>
        <v>0</v>
      </c>
      <c r="P150" s="406">
        <f>ROUND(M150*O150,2)</f>
        <v>0</v>
      </c>
      <c r="Q150" s="389">
        <f>база!$L$5</f>
        <v>231.45480000000001</v>
      </c>
      <c r="R150" s="390">
        <v>1</v>
      </c>
      <c r="S150" s="491">
        <f>SUMIFS(Таблица1[Столбец1],Таблица1[коэф],"1",Таблица1[р/р],"4/16",Таблица1[Ф. И. О.],B154)</f>
        <v>0</v>
      </c>
      <c r="T150" s="493">
        <f t="shared" si="18"/>
        <v>0</v>
      </c>
      <c r="U150" s="410">
        <f>база!$M$5</f>
        <v>247.41720000000001</v>
      </c>
      <c r="V150" s="390">
        <v>1</v>
      </c>
      <c r="W150" s="503">
        <f>SUMIFS(Таблица1[Столбец1],Таблица1[коэф],"1",Таблица1[р/р],"4/24",Таблица1[Ф. И. О.],B154)</f>
        <v>0</v>
      </c>
      <c r="X150" s="492">
        <f t="shared" si="19"/>
        <v>0</v>
      </c>
      <c r="Y150" s="795"/>
      <c r="Z150" s="797"/>
      <c r="AA150" s="786"/>
    </row>
    <row r="151" spans="1:29" ht="18.75">
      <c r="A151" s="786"/>
      <c r="B151" s="216"/>
      <c r="C151" s="789"/>
      <c r="D151" s="792"/>
      <c r="E151" s="389"/>
      <c r="F151" s="390"/>
      <c r="G151" s="400"/>
      <c r="H151" s="392">
        <f t="shared" si="16"/>
        <v>0</v>
      </c>
      <c r="I151" s="393"/>
      <c r="J151" s="390"/>
      <c r="K151" s="434"/>
      <c r="L151" s="484">
        <f t="shared" si="17"/>
        <v>0</v>
      </c>
      <c r="M151" s="434"/>
      <c r="N151" s="434"/>
      <c r="O151" s="434"/>
      <c r="P151" s="406"/>
      <c r="Q151" s="389">
        <f>база!$L$6</f>
        <v>261.04640000000001</v>
      </c>
      <c r="R151" s="390">
        <v>1</v>
      </c>
      <c r="S151" s="491">
        <f>SUMIFS(Таблица1[Столбец1],Таблица1[коэф],"1",Таблица1[р/р],"5/16",Таблица1[Ф. И. О.],B154)</f>
        <v>0</v>
      </c>
      <c r="T151" s="493">
        <f t="shared" si="18"/>
        <v>0</v>
      </c>
      <c r="U151" s="410">
        <f>база!$M$6</f>
        <v>279.0496</v>
      </c>
      <c r="V151" s="390">
        <v>1</v>
      </c>
      <c r="W151" s="503">
        <f>SUMIFS(Таблица1[Столбец1],Таблица1[коэф],"1",Таблица1[р/р],"5/24",Таблица1[Ф. И. О.],B154)</f>
        <v>0</v>
      </c>
      <c r="X151" s="492">
        <f t="shared" si="19"/>
        <v>0</v>
      </c>
      <c r="Y151" s="795"/>
      <c r="Z151" s="797"/>
      <c r="AA151" s="786"/>
    </row>
    <row r="152" spans="1:29" ht="18.75">
      <c r="A152" s="786"/>
      <c r="B152" s="216"/>
      <c r="C152" s="789"/>
      <c r="D152" s="792"/>
      <c r="E152" s="389"/>
      <c r="F152" s="390"/>
      <c r="G152" s="400"/>
      <c r="H152" s="392">
        <f t="shared" si="16"/>
        <v>0</v>
      </c>
      <c r="I152" s="393">
        <f>база!$J$5</f>
        <v>215.4924</v>
      </c>
      <c r="J152" s="390">
        <v>1.5</v>
      </c>
      <c r="K152" s="434">
        <f>SUMIFS(Таблица1[Столбец1],Таблица1[коэф],"1,5",Таблица1[р/р],"4/8",Таблица1[Ф. И. О.],B154)</f>
        <v>0</v>
      </c>
      <c r="L152" s="484">
        <f t="shared" si="17"/>
        <v>0</v>
      </c>
      <c r="M152" s="434"/>
      <c r="N152" s="434"/>
      <c r="O152" s="434"/>
      <c r="P152" s="406"/>
      <c r="Q152" s="389">
        <f>IF(D149&lt;=3,база!$L$4,
IF(D149=4,база!$L$5,
IF(D149=5,база!$L$6)))</f>
        <v>210.57480000000001</v>
      </c>
      <c r="R152" s="390">
        <v>1.2</v>
      </c>
      <c r="S152" s="491">
        <f>SUMIFS(Таблица1[Столбец1],Таблица1[коэф],"1,2",Таблица1[р/р],"3/16",Таблица1[Ф. И. О.],B154)</f>
        <v>0</v>
      </c>
      <c r="T152" s="493">
        <f t="shared" si="18"/>
        <v>0</v>
      </c>
      <c r="U152" s="410">
        <f>IF(D149&lt;=3,база!$M$4,
IF(D149=4,база!$M$5,
IF(D149=5,база!$M$6)))</f>
        <v>225.09719999999999</v>
      </c>
      <c r="V152" s="390">
        <v>1.2</v>
      </c>
      <c r="W152" s="503">
        <f>SUMIFS(Таблица1[Столбец1],Таблица1[коэф],"1,2",Таблица1[р/р],"3/24",Таблица1[Ф. И. О.],B154)</f>
        <v>0</v>
      </c>
      <c r="X152" s="492">
        <f t="shared" si="19"/>
        <v>0</v>
      </c>
      <c r="Y152" s="795"/>
      <c r="Z152" s="797"/>
      <c r="AA152" s="786"/>
    </row>
    <row r="153" spans="1:29" ht="18.75">
      <c r="A153" s="786"/>
      <c r="B153" s="216"/>
      <c r="C153" s="789"/>
      <c r="D153" s="792"/>
      <c r="E153" s="389"/>
      <c r="F153" s="390"/>
      <c r="G153" s="400"/>
      <c r="H153" s="392">
        <f t="shared" si="16"/>
        <v>0</v>
      </c>
      <c r="I153" s="393">
        <f>база!$J$6</f>
        <v>243.04319999999998</v>
      </c>
      <c r="J153" s="390">
        <v>1.5</v>
      </c>
      <c r="K153" s="434">
        <f>SUMIFS(Таблица1[Столбец1],Таблица1[коэф],"1,5",Таблица1[р/р],"5/8",Таблица1[Ф. И. О.],B154)</f>
        <v>0</v>
      </c>
      <c r="L153" s="484">
        <f t="shared" si="17"/>
        <v>0</v>
      </c>
      <c r="M153" s="434"/>
      <c r="N153" s="434"/>
      <c r="O153" s="434"/>
      <c r="P153" s="406"/>
      <c r="Q153" s="389">
        <f>база!$L$5</f>
        <v>231.45480000000001</v>
      </c>
      <c r="R153" s="390">
        <v>1.2</v>
      </c>
      <c r="S153" s="491">
        <f>SUMIFS(Таблица1[Столбец1],Таблица1[коэф],"1,2",Таблица1[р/р],"4/16",Таблица1[Ф. И. О.],B154)</f>
        <v>0</v>
      </c>
      <c r="T153" s="493">
        <f t="shared" si="18"/>
        <v>0</v>
      </c>
      <c r="U153" s="410">
        <f>база!$M$5</f>
        <v>247.41720000000001</v>
      </c>
      <c r="V153" s="390">
        <v>1.2</v>
      </c>
      <c r="W153" s="503">
        <f>SUMIFS(Таблица1[Столбец1],Таблица1[коэф],"1,2",Таблица1[р/р],"4/24",Таблица1[Ф. И. О.],B154)</f>
        <v>0</v>
      </c>
      <c r="X153" s="492">
        <f t="shared" si="19"/>
        <v>0</v>
      </c>
      <c r="Y153" s="795"/>
      <c r="Z153" s="797"/>
      <c r="AA153" s="786"/>
    </row>
    <row r="154" spans="1:29" ht="18.75">
      <c r="A154" s="786"/>
      <c r="B154" s="216" t="str">
        <f>база!B15</f>
        <v>Волошина Светлана Владимировна</v>
      </c>
      <c r="C154" s="789"/>
      <c r="D154" s="792"/>
      <c r="E154" s="389"/>
      <c r="F154" s="390"/>
      <c r="G154" s="400"/>
      <c r="H154" s="392">
        <f t="shared" si="16"/>
        <v>0</v>
      </c>
      <c r="I154" s="393"/>
      <c r="J154" s="390"/>
      <c r="K154" s="434"/>
      <c r="L154" s="484">
        <f t="shared" si="17"/>
        <v>0</v>
      </c>
      <c r="M154" s="434"/>
      <c r="N154" s="434"/>
      <c r="O154" s="434"/>
      <c r="P154" s="406"/>
      <c r="Q154" s="389">
        <f>база!$L$6</f>
        <v>261.04640000000001</v>
      </c>
      <c r="R154" s="390">
        <v>1.2</v>
      </c>
      <c r="S154" s="491">
        <f>SUMIFS(Таблица1[Столбец1],Таблица1[коэф],"1,2",Таблица1[р/р],"5/16",Таблица1[Ф. И. О.],B154)</f>
        <v>0</v>
      </c>
      <c r="T154" s="493">
        <f t="shared" si="18"/>
        <v>0</v>
      </c>
      <c r="U154" s="410">
        <f>база!$M$6</f>
        <v>279.0496</v>
      </c>
      <c r="V154" s="390">
        <v>1.2</v>
      </c>
      <c r="W154" s="503">
        <f>SUMIFS(Таблица1[Столбец1],Таблица1[коэф],"1,2",Таблица1[р/р],"5/24",Таблица1[Ф. И. О.],B154)</f>
        <v>0</v>
      </c>
      <c r="X154" s="492">
        <f t="shared" si="19"/>
        <v>0</v>
      </c>
      <c r="Y154" s="795"/>
      <c r="Z154" s="797"/>
      <c r="AA154" s="786"/>
      <c r="AC154" s="727" t="str">
        <f>IF(SUMIFS(Таблица1[Столбец3],Таблица1[Ф. И. О.],B154)-Z149=0,"",SUMIFS(Таблица1[Столбец3],Таблица1[Ф. И. О.],B154)-Z149)</f>
        <v/>
      </c>
    </row>
    <row r="155" spans="1:29" ht="18.75">
      <c r="A155" s="786"/>
      <c r="B155" s="216"/>
      <c r="C155" s="789"/>
      <c r="D155" s="792"/>
      <c r="E155" s="389"/>
      <c r="F155" s="390"/>
      <c r="G155" s="400"/>
      <c r="H155" s="392">
        <f t="shared" si="16"/>
        <v>0</v>
      </c>
      <c r="I155" s="393"/>
      <c r="J155" s="390"/>
      <c r="K155" s="434"/>
      <c r="L155" s="484">
        <f t="shared" si="17"/>
        <v>0</v>
      </c>
      <c r="M155" s="434"/>
      <c r="N155" s="434"/>
      <c r="O155" s="434"/>
      <c r="P155" s="406"/>
      <c r="Q155" s="389">
        <f>IF(D149&lt;=3,база!$L$4,
IF(D149=4,база!$L$5,
IF(D149=5,база!$L$6)))</f>
        <v>210.57480000000001</v>
      </c>
      <c r="R155" s="390">
        <v>1.3</v>
      </c>
      <c r="S155" s="491">
        <f>SUMIFS(Таблица1[Столбец1],Таблица1[коэф],"1,3",Таблица1[р/р],"3/16",Таблица1[Ф. И. О.],B154)</f>
        <v>0</v>
      </c>
      <c r="T155" s="493">
        <f t="shared" si="18"/>
        <v>0</v>
      </c>
      <c r="U155" s="410">
        <f>IF(D149&lt;=3,база!$M$4,
IF(D149=4,база!$M$5,
IF(D149=5,база!$M$6)))</f>
        <v>225.09719999999999</v>
      </c>
      <c r="V155" s="390">
        <v>1.3</v>
      </c>
      <c r="W155" s="503">
        <f>SUMIFS(Таблица1[Столбец1],Таблица1[коэф],"1,3",Таблица1[р/р],"3/24",Таблица1[Ф. И. О.],B154)</f>
        <v>0</v>
      </c>
      <c r="X155" s="492">
        <f t="shared" si="19"/>
        <v>0</v>
      </c>
      <c r="Y155" s="795"/>
      <c r="Z155" s="797"/>
      <c r="AA155" s="786"/>
      <c r="AC155" s="727" t="str">
        <f>IF(SUMIFS(Таблица1[Столбец1],Таблица1[Ф. И. О.],B154)=Y149,"",B154&amp;"  часы не верны")</f>
        <v/>
      </c>
    </row>
    <row r="156" spans="1:29" ht="18.75">
      <c r="A156" s="786"/>
      <c r="B156" s="216"/>
      <c r="C156" s="789"/>
      <c r="D156" s="792"/>
      <c r="E156" s="389"/>
      <c r="F156" s="390"/>
      <c r="G156" s="400"/>
      <c r="H156" s="392">
        <f t="shared" si="16"/>
        <v>0</v>
      </c>
      <c r="I156" s="393"/>
      <c r="J156" s="390"/>
      <c r="K156" s="434"/>
      <c r="L156" s="484">
        <f t="shared" si="17"/>
        <v>0</v>
      </c>
      <c r="M156" s="434"/>
      <c r="N156" s="434"/>
      <c r="O156" s="434"/>
      <c r="P156" s="406"/>
      <c r="Q156" s="389">
        <f>база!$L$5</f>
        <v>231.45480000000001</v>
      </c>
      <c r="R156" s="390">
        <v>1.3</v>
      </c>
      <c r="S156" s="491">
        <f>SUMIFS(Таблица1[Столбец1],Таблица1[коэф],"1,3",Таблица1[р/р],"4/16",Таблица1[Ф. И. О.],B154)</f>
        <v>0</v>
      </c>
      <c r="T156" s="493">
        <f t="shared" si="18"/>
        <v>0</v>
      </c>
      <c r="U156" s="410">
        <f>база!$M$5</f>
        <v>247.41720000000001</v>
      </c>
      <c r="V156" s="390">
        <v>1.3</v>
      </c>
      <c r="W156" s="503">
        <f>SUMIFS(Таблица1[Столбец1],Таблица1[коэф],"1,3",Таблица1[р/р],"4/24",Таблица1[Ф. И. О.],B154)</f>
        <v>0</v>
      </c>
      <c r="X156" s="492">
        <f t="shared" si="19"/>
        <v>0</v>
      </c>
      <c r="Y156" s="795"/>
      <c r="Z156" s="797"/>
      <c r="AA156" s="786"/>
    </row>
    <row r="157" spans="1:29" ht="18.75">
      <c r="A157" s="786"/>
      <c r="B157" s="216"/>
      <c r="C157" s="789"/>
      <c r="D157" s="792"/>
      <c r="E157" s="389"/>
      <c r="F157" s="390"/>
      <c r="G157" s="400"/>
      <c r="H157" s="392">
        <f t="shared" si="16"/>
        <v>0</v>
      </c>
      <c r="I157" s="393"/>
      <c r="J157" s="390"/>
      <c r="K157" s="434"/>
      <c r="L157" s="484">
        <f t="shared" si="17"/>
        <v>0</v>
      </c>
      <c r="M157" s="434"/>
      <c r="N157" s="434"/>
      <c r="O157" s="434"/>
      <c r="P157" s="406"/>
      <c r="Q157" s="389">
        <f>IF(D149&lt;=3,база!$L$4,
IF(D149=4,база!$L$5,
IF(D149=5,база!$L$6)))</f>
        <v>210.57480000000001</v>
      </c>
      <c r="R157" s="390">
        <v>1.4</v>
      </c>
      <c r="S157" s="491">
        <f>SUMIFS(Таблица1[Столбец1],Таблица1[коэф],"1,4",Таблица1[р/р],"3/16",Таблица1[Ф. И. О.],B154)</f>
        <v>0</v>
      </c>
      <c r="T157" s="492">
        <f t="shared" si="18"/>
        <v>0</v>
      </c>
      <c r="U157" s="410">
        <f>IF(D149&lt;=3,база!$M$4,
IF(D149=4,база!$M$5,
IF(D149=5,база!$M$6)))</f>
        <v>225.09719999999999</v>
      </c>
      <c r="V157" s="390">
        <v>1.4</v>
      </c>
      <c r="W157" s="503">
        <f>SUMIFS(Таблица1[Столбец1],Таблица1[коэф],"1,4",Таблица1[р/р],"3/24",Таблица1[Ф. И. О.],B154)</f>
        <v>0</v>
      </c>
      <c r="X157" s="492">
        <f t="shared" si="19"/>
        <v>0</v>
      </c>
      <c r="Y157" s="795"/>
      <c r="Z157" s="797"/>
      <c r="AA157" s="786"/>
    </row>
    <row r="158" spans="1:29" ht="18.75">
      <c r="A158" s="786"/>
      <c r="B158" s="216"/>
      <c r="C158" s="789"/>
      <c r="D158" s="792"/>
      <c r="E158" s="389"/>
      <c r="F158" s="390"/>
      <c r="G158" s="400"/>
      <c r="H158" s="392">
        <f t="shared" si="16"/>
        <v>0</v>
      </c>
      <c r="I158" s="393"/>
      <c r="J158" s="390"/>
      <c r="K158" s="434"/>
      <c r="L158" s="484">
        <f t="shared" si="17"/>
        <v>0</v>
      </c>
      <c r="M158" s="434"/>
      <c r="N158" s="434"/>
      <c r="O158" s="434"/>
      <c r="P158" s="406"/>
      <c r="Q158" s="389">
        <f>база!$L$5</f>
        <v>231.45480000000001</v>
      </c>
      <c r="R158" s="390">
        <v>1.4</v>
      </c>
      <c r="S158" s="491">
        <f>SUMIFS(Таблица1[Столбец1],Таблица1[коэф],"1,4",Таблица1[р/р],"4/16",Таблица1[Ф. И. О.],B154)</f>
        <v>0</v>
      </c>
      <c r="T158" s="492">
        <f t="shared" si="18"/>
        <v>0</v>
      </c>
      <c r="U158" s="410">
        <f>база!$M$5</f>
        <v>247.41720000000001</v>
      </c>
      <c r="V158" s="390">
        <v>1.4</v>
      </c>
      <c r="W158" s="503">
        <f>SUMIFS(Таблица1[Столбец1],Таблица1[коэф],"1,4",Таблица1[р/р],"4/24",Таблица1[Ф. И. О.],B154)</f>
        <v>0</v>
      </c>
      <c r="X158" s="492">
        <f t="shared" si="19"/>
        <v>0</v>
      </c>
      <c r="Y158" s="795"/>
      <c r="Z158" s="797"/>
      <c r="AA158" s="786"/>
    </row>
    <row r="159" spans="1:29" ht="19.5" thickBot="1">
      <c r="A159" s="787"/>
      <c r="B159" s="203"/>
      <c r="C159" s="790"/>
      <c r="D159" s="793"/>
      <c r="E159" s="473"/>
      <c r="F159" s="464"/>
      <c r="G159" s="465"/>
      <c r="H159" s="468">
        <f t="shared" si="16"/>
        <v>0</v>
      </c>
      <c r="I159" s="463"/>
      <c r="J159" s="464"/>
      <c r="K159" s="457"/>
      <c r="L159" s="458">
        <f t="shared" si="17"/>
        <v>0</v>
      </c>
      <c r="M159" s="457"/>
      <c r="N159" s="457"/>
      <c r="O159" s="457"/>
      <c r="P159" s="476"/>
      <c r="Q159" s="473">
        <f>база!$L$6</f>
        <v>261.04640000000001</v>
      </c>
      <c r="R159" s="464">
        <v>1.4</v>
      </c>
      <c r="S159" s="512">
        <f>SUMIFS(Таблица1[Столбец1],Таблица1[коэф],"1,4",Таблица1[р/р],"5/16",Таблица1[Ф. И. О.],B154)</f>
        <v>0</v>
      </c>
      <c r="T159" s="492">
        <f t="shared" si="18"/>
        <v>0</v>
      </c>
      <c r="U159" s="469">
        <f>база!$M$6</f>
        <v>279.0496</v>
      </c>
      <c r="V159" s="464">
        <v>1.4</v>
      </c>
      <c r="W159" s="504">
        <f>SUMIFS(Таблица1[Столбец1],Таблица1[коэф],"1,4",Таблица1[р/р],"5/24",Таблица1[Ф. И. О.],B154)</f>
        <v>0</v>
      </c>
      <c r="X159" s="492">
        <f t="shared" si="19"/>
        <v>0</v>
      </c>
      <c r="Y159" s="796"/>
      <c r="Z159" s="798"/>
      <c r="AA159" s="787"/>
    </row>
    <row r="160" spans="1:29" ht="18.75">
      <c r="A160" s="785">
        <v>15</v>
      </c>
      <c r="B160" s="216"/>
      <c r="C160" s="788">
        <f>INDEX(база!$E$2:$E$81, MATCH(B165,база!$B$2:$B$50,0))</f>
        <v>17115</v>
      </c>
      <c r="D160" s="791">
        <f>INDEX(база!$D$2:$D$89, MATCH(B165,база!$B$2:$B$50,0))</f>
        <v>3</v>
      </c>
      <c r="E160" s="451">
        <f>IF(D160&lt;=3,база!$I$4,
IF(D160=4,база!$I$5,
IF(D160=5,база!$I$6)))</f>
        <v>188.7912</v>
      </c>
      <c r="F160" s="417">
        <v>1</v>
      </c>
      <c r="G160" s="418">
        <f>SUMIFS(Таблица1[Столбец1],Таблица1[коэф],"1",Таблица1[р/р],"2/4",Таблица1[Ф. И. О.],B165)</f>
        <v>0</v>
      </c>
      <c r="H160" s="402">
        <f t="shared" si="16"/>
        <v>0</v>
      </c>
      <c r="I160" s="481">
        <f>IF(D160&lt;=3,база!$J$4,
IF(D160=4,база!$J$5,
IF(D160=5,база!$J$6)))</f>
        <v>196.05240000000001</v>
      </c>
      <c r="J160" s="417">
        <v>1</v>
      </c>
      <c r="K160" s="453">
        <f>SUMIFS(Таблица1[Столбец1],Таблица1[коэф],"1",Таблица1[р/р],"2/8",Таблица1[Ф. И. О.],B165)</f>
        <v>0</v>
      </c>
      <c r="L160" s="484">
        <f t="shared" si="17"/>
        <v>0</v>
      </c>
      <c r="M160" s="453"/>
      <c r="N160" s="453">
        <v>1</v>
      </c>
      <c r="O160" s="453">
        <f>SUMIFS(Data_Tech!$AM$3:$AM$67,Data_Tech!$E$3:$E$67,"1",Data_Tech!$G$3:$G$67,"3/12",Data_Tech!$F$3:$F$67,B165)</f>
        <v>0</v>
      </c>
      <c r="P160" s="484">
        <f>ROUND(M160*N160*O160,2)</f>
        <v>0</v>
      </c>
      <c r="Q160" s="481">
        <f>IF(D160&lt;=3,база!$L$4,
IF(D160=4,база!$L$5,
IF(D160=5,база!$L$6)))</f>
        <v>210.57480000000001</v>
      </c>
      <c r="R160" s="417">
        <v>1</v>
      </c>
      <c r="S160" s="495">
        <f>SUMIFS(Таблица1[Столбец1],Таблица1[коэф],"1",Таблица1[р/р],"3/16",Таблица1[Ф. И. О.],B165)</f>
        <v>0</v>
      </c>
      <c r="T160" s="490">
        <f t="shared" si="18"/>
        <v>0</v>
      </c>
      <c r="U160" s="471">
        <f>IF(D160&lt;=3,база!$M$4,
IF(D160=4,база!$M$5,
IF(D160=5,база!$M$6)))</f>
        <v>225.09719999999999</v>
      </c>
      <c r="V160" s="378">
        <v>1</v>
      </c>
      <c r="W160" s="497">
        <f>SUMIFS(Таблица1[Столбец1],Таблица1[коэф],"1",Таблица1[р/р],"3/24",Таблица1[Ф. И. О.],B165)</f>
        <v>0</v>
      </c>
      <c r="X160" s="490">
        <f t="shared" si="19"/>
        <v>0</v>
      </c>
      <c r="Y160" s="795">
        <f t="shared" ref="Y160" si="24">SUM(G160:G170,K160:K170,O160:O170,S160:S170,W160:W170)</f>
        <v>0</v>
      </c>
      <c r="Z160" s="797">
        <f t="shared" ref="Z160" si="25">IFERROR(SUM(H160:H170,L160:L170,T160:T170,X160:X170),"")</f>
        <v>0</v>
      </c>
      <c r="AA160" s="786"/>
    </row>
    <row r="161" spans="1:29" ht="18.75">
      <c r="A161" s="786"/>
      <c r="B161" s="216"/>
      <c r="C161" s="789"/>
      <c r="D161" s="792"/>
      <c r="E161" s="393">
        <f>IF(D160&lt;=3,база!$I$4,
IF(D160=4,база!$I$5,
IF(D160=5,база!$I$6)))</f>
        <v>188.7912</v>
      </c>
      <c r="F161" s="390">
        <v>1</v>
      </c>
      <c r="G161" s="400">
        <f>SUMIFS(Таблица1[Столбец1],Таблица1[коэф],"1",Таблица1[р/р],"3/4",Таблица1[Ф. И. О.],B165)</f>
        <v>0</v>
      </c>
      <c r="H161" s="392">
        <f t="shared" si="16"/>
        <v>0</v>
      </c>
      <c r="I161" s="389">
        <f>IF(D160&lt;=3,база!$J$4,
IF(D160=4,база!$J$5,
IF(D160=5,база!$J$6)))</f>
        <v>196.05240000000001</v>
      </c>
      <c r="J161" s="390">
        <v>1</v>
      </c>
      <c r="K161" s="434">
        <f>SUMIFS(Таблица1[Столбец1],Таблица1[коэф],"1",Таблица1[р/р],"3/8",Таблица1[Ф. И. О.],B165)</f>
        <v>0</v>
      </c>
      <c r="L161" s="484">
        <f t="shared" si="17"/>
        <v>0</v>
      </c>
      <c r="M161" s="434"/>
      <c r="N161" s="434">
        <v>1</v>
      </c>
      <c r="O161" s="434">
        <f>SUMIFS(Data_Tech!$AM$3:$AM$67,Data_Tech!$E$3:$E$67,"1",Data_Tech!$G$3:$G$67,"4/12",Data_Tech!$F$3:$F$67,B165)</f>
        <v>0</v>
      </c>
      <c r="P161" s="395">
        <f>ROUND(M161*O161,2)</f>
        <v>0</v>
      </c>
      <c r="Q161" s="389">
        <f>база!$L$5</f>
        <v>231.45480000000001</v>
      </c>
      <c r="R161" s="390">
        <v>1</v>
      </c>
      <c r="S161" s="491">
        <f>SUMIFS(Таблица1[Столбец1],Таблица1[коэф],"1",Таблица1[р/р],"4/16",Таблица1[Ф. И. О.],B165)</f>
        <v>0</v>
      </c>
      <c r="T161" s="492">
        <f t="shared" si="18"/>
        <v>0</v>
      </c>
      <c r="U161" s="472">
        <f>база!$M$5</f>
        <v>247.41720000000001</v>
      </c>
      <c r="V161" s="390">
        <v>1</v>
      </c>
      <c r="W161" s="494">
        <f>SUMIFS(Таблица1[Столбец1],Таблица1[коэф],"1",Таблица1[р/р],"4/24",Таблица1[Ф. И. О.],B165)</f>
        <v>0</v>
      </c>
      <c r="X161" s="492">
        <f t="shared" si="19"/>
        <v>0</v>
      </c>
      <c r="Y161" s="795"/>
      <c r="Z161" s="797"/>
      <c r="AA161" s="786"/>
    </row>
    <row r="162" spans="1:29" ht="18.75">
      <c r="A162" s="786"/>
      <c r="B162" s="216"/>
      <c r="C162" s="789"/>
      <c r="D162" s="792"/>
      <c r="E162" s="393"/>
      <c r="F162" s="390"/>
      <c r="G162" s="400"/>
      <c r="H162" s="392">
        <f t="shared" si="16"/>
        <v>0</v>
      </c>
      <c r="I162" s="389"/>
      <c r="J162" s="390"/>
      <c r="K162" s="434"/>
      <c r="L162" s="484">
        <f t="shared" si="17"/>
        <v>0</v>
      </c>
      <c r="M162" s="434"/>
      <c r="N162" s="434"/>
      <c r="O162" s="434"/>
      <c r="P162" s="395"/>
      <c r="Q162" s="389">
        <f>база!$L$6</f>
        <v>261.04640000000001</v>
      </c>
      <c r="R162" s="390">
        <v>1</v>
      </c>
      <c r="S162" s="491">
        <f>SUMIFS(Таблица1[Столбец1],Таблица1[коэф],"1",Таблица1[р/р],"5/16",Таблица1[Ф. И. О.],B165)</f>
        <v>0</v>
      </c>
      <c r="T162" s="492">
        <f t="shared" si="18"/>
        <v>0</v>
      </c>
      <c r="U162" s="472">
        <f>база!$M$6</f>
        <v>279.0496</v>
      </c>
      <c r="V162" s="390">
        <v>1</v>
      </c>
      <c r="W162" s="494">
        <f>SUMIFS(Таблица1[Столбец1],Таблица1[коэф],"1",Таблица1[р/р],"5/24",Таблица1[Ф. И. О.],B165)</f>
        <v>0</v>
      </c>
      <c r="X162" s="492">
        <f t="shared" si="19"/>
        <v>0</v>
      </c>
      <c r="Y162" s="795"/>
      <c r="Z162" s="797"/>
      <c r="AA162" s="786"/>
    </row>
    <row r="163" spans="1:29" ht="18.75">
      <c r="A163" s="786"/>
      <c r="B163" s="216"/>
      <c r="C163" s="789"/>
      <c r="D163" s="792"/>
      <c r="E163" s="393"/>
      <c r="F163" s="390"/>
      <c r="G163" s="400"/>
      <c r="H163" s="392">
        <f t="shared" si="16"/>
        <v>0</v>
      </c>
      <c r="I163" s="389">
        <f>база!$J$5</f>
        <v>215.4924</v>
      </c>
      <c r="J163" s="390">
        <v>1.5</v>
      </c>
      <c r="K163" s="434">
        <f>SUMIFS(Таблица1[Столбец1],Таблица1[коэф],"1,5",Таблица1[р/р],"4/8",Таблица1[Ф. И. О.],B165)</f>
        <v>0</v>
      </c>
      <c r="L163" s="484">
        <f t="shared" si="17"/>
        <v>0</v>
      </c>
      <c r="M163" s="434"/>
      <c r="N163" s="434"/>
      <c r="O163" s="434"/>
      <c r="P163" s="395"/>
      <c r="Q163" s="389">
        <f>IF(D160&lt;=3,база!$L$4,
IF(D160=4,база!$L$5,
IF(D160=5,база!$L$6)))</f>
        <v>210.57480000000001</v>
      </c>
      <c r="R163" s="390">
        <v>1.2</v>
      </c>
      <c r="S163" s="491">
        <f>SUMIFS(Таблица1[Столбец1],Таблица1[коэф],"1,2",Таблица1[р/р],"3/16",Таблица1[Ф. И. О.],B165)</f>
        <v>0</v>
      </c>
      <c r="T163" s="492">
        <f t="shared" si="18"/>
        <v>0</v>
      </c>
      <c r="U163" s="472">
        <f>IF(D160&lt;=3,база!$M$4,
IF(D160=4,база!$M$5,
IF(D160=5,база!$M$6)))</f>
        <v>225.09719999999999</v>
      </c>
      <c r="V163" s="390">
        <v>1.2</v>
      </c>
      <c r="W163" s="494">
        <f>SUMIFS(Таблица1[Столбец1],Таблица1[коэф],"1,2",Таблица1[р/р],"3/24",Таблица1[Ф. И. О.],B165)</f>
        <v>0</v>
      </c>
      <c r="X163" s="492">
        <f t="shared" si="19"/>
        <v>0</v>
      </c>
      <c r="Y163" s="795"/>
      <c r="Z163" s="797"/>
      <c r="AA163" s="786"/>
    </row>
    <row r="164" spans="1:29" ht="18.75">
      <c r="A164" s="786"/>
      <c r="B164" s="216"/>
      <c r="C164" s="789"/>
      <c r="D164" s="792"/>
      <c r="E164" s="393"/>
      <c r="F164" s="390"/>
      <c r="G164" s="400"/>
      <c r="H164" s="392">
        <f t="shared" si="16"/>
        <v>0</v>
      </c>
      <c r="I164" s="389">
        <f>база!$J$6</f>
        <v>243.04319999999998</v>
      </c>
      <c r="J164" s="390">
        <v>1.5</v>
      </c>
      <c r="K164" s="434">
        <f>SUMIFS(Таблица1[Столбец1],Таблица1[коэф],"1,5",Таблица1[р/р],"5/8",Таблица1[Ф. И. О.],B165)</f>
        <v>0</v>
      </c>
      <c r="L164" s="484">
        <f t="shared" si="17"/>
        <v>0</v>
      </c>
      <c r="M164" s="434"/>
      <c r="N164" s="434"/>
      <c r="O164" s="434"/>
      <c r="P164" s="395"/>
      <c r="Q164" s="389">
        <f>база!$L$5</f>
        <v>231.45480000000001</v>
      </c>
      <c r="R164" s="390">
        <v>1.2</v>
      </c>
      <c r="S164" s="491">
        <f>SUMIFS(Таблица1[Столбец1],Таблица1[коэф],"1,2",Таблица1[р/р],"4/16",Таблица1[Ф. И. О.],B165)</f>
        <v>0</v>
      </c>
      <c r="T164" s="492">
        <f t="shared" si="18"/>
        <v>0</v>
      </c>
      <c r="U164" s="472">
        <f>база!$M$5</f>
        <v>247.41720000000001</v>
      </c>
      <c r="V164" s="390">
        <v>1.2</v>
      </c>
      <c r="W164" s="494">
        <f>SUMIFS(Таблица1[Столбец1],Таблица1[коэф],"1,2",Таблица1[р/р],"4/24",Таблица1[Ф. И. О.],B165)</f>
        <v>0</v>
      </c>
      <c r="X164" s="492">
        <f t="shared" si="19"/>
        <v>0</v>
      </c>
      <c r="Y164" s="795"/>
      <c r="Z164" s="797"/>
      <c r="AA164" s="786"/>
    </row>
    <row r="165" spans="1:29" ht="18.75">
      <c r="A165" s="786"/>
      <c r="B165" s="216" t="str">
        <f>база!B16</f>
        <v>Глинка Екатерина Юрьевна</v>
      </c>
      <c r="C165" s="789"/>
      <c r="D165" s="792"/>
      <c r="E165" s="393"/>
      <c r="F165" s="390"/>
      <c r="G165" s="400"/>
      <c r="H165" s="392">
        <f t="shared" si="16"/>
        <v>0</v>
      </c>
      <c r="I165" s="389"/>
      <c r="J165" s="390"/>
      <c r="K165" s="434"/>
      <c r="L165" s="484">
        <f t="shared" si="17"/>
        <v>0</v>
      </c>
      <c r="M165" s="434"/>
      <c r="N165" s="434"/>
      <c r="O165" s="434"/>
      <c r="P165" s="395"/>
      <c r="Q165" s="389">
        <f>база!$L$6</f>
        <v>261.04640000000001</v>
      </c>
      <c r="R165" s="390">
        <v>1.2</v>
      </c>
      <c r="S165" s="491">
        <f>SUMIFS(Таблица1[Столбец1],Таблица1[коэф],"1,2",Таблица1[р/р],"5/16",Таблица1[Ф. И. О.],B165)</f>
        <v>0</v>
      </c>
      <c r="T165" s="492">
        <f t="shared" si="18"/>
        <v>0</v>
      </c>
      <c r="U165" s="472">
        <f>база!$M$6</f>
        <v>279.0496</v>
      </c>
      <c r="V165" s="390">
        <v>1.2</v>
      </c>
      <c r="W165" s="494">
        <f>SUMIFS(Таблица1[Столбец1],Таблица1[коэф],"1,2",Таблица1[р/р],"5/24",Таблица1[Ф. И. О.],B165)</f>
        <v>0</v>
      </c>
      <c r="X165" s="492">
        <f t="shared" si="19"/>
        <v>0</v>
      </c>
      <c r="Y165" s="795"/>
      <c r="Z165" s="797"/>
      <c r="AA165" s="786"/>
      <c r="AC165" s="727" t="str">
        <f>IF(SUMIFS(Таблица1[Столбец3],Таблица1[Ф. И. О.],B165)-Z160=0,"",SUMIFS(Таблица1[Столбец3],Таблица1[Ф. И. О.],B165)-Z160)</f>
        <v/>
      </c>
    </row>
    <row r="166" spans="1:29" ht="18.75">
      <c r="A166" s="786"/>
      <c r="B166" s="216"/>
      <c r="C166" s="789"/>
      <c r="D166" s="792"/>
      <c r="E166" s="393"/>
      <c r="F166" s="390"/>
      <c r="G166" s="400"/>
      <c r="H166" s="392">
        <f t="shared" si="16"/>
        <v>0</v>
      </c>
      <c r="I166" s="389"/>
      <c r="J166" s="390"/>
      <c r="K166" s="434"/>
      <c r="L166" s="484">
        <f t="shared" si="17"/>
        <v>0</v>
      </c>
      <c r="M166" s="434"/>
      <c r="N166" s="434"/>
      <c r="O166" s="434"/>
      <c r="P166" s="395"/>
      <c r="Q166" s="389">
        <f>IF(D160&lt;=3,база!$L$4,
IF(D160=4,база!$L$5,
IF(D160=5,база!$L$6)))</f>
        <v>210.57480000000001</v>
      </c>
      <c r="R166" s="390">
        <v>1.3</v>
      </c>
      <c r="S166" s="491">
        <f>SUMIFS(Таблица1[Столбец1],Таблица1[коэф],"1,3",Таблица1[р/р],"3/16",Таблица1[Ф. И. О.],B165)</f>
        <v>0</v>
      </c>
      <c r="T166" s="492">
        <f t="shared" si="18"/>
        <v>0</v>
      </c>
      <c r="U166" s="472">
        <f>IF(D160&lt;=3,база!$M$4,
IF(D160=4,база!$M$5,
IF(D160=5,база!$M$6)))</f>
        <v>225.09719999999999</v>
      </c>
      <c r="V166" s="390">
        <v>1.3</v>
      </c>
      <c r="W166" s="494">
        <f>SUMIFS(Таблица1[Столбец1],Таблица1[коэф],"1,3",Таблица1[р/р],"3/24",Таблица1[Ф. И. О.],B165)</f>
        <v>0</v>
      </c>
      <c r="X166" s="492">
        <f t="shared" si="19"/>
        <v>0</v>
      </c>
      <c r="Y166" s="795"/>
      <c r="Z166" s="797"/>
      <c r="AA166" s="786"/>
      <c r="AC166" s="727" t="str">
        <f>IF(SUMIFS(Таблица1[Столбец1],Таблица1[Ф. И. О.],B165)=Y160,"",B165&amp;"  часы не верны")</f>
        <v/>
      </c>
    </row>
    <row r="167" spans="1:29" ht="18.75">
      <c r="A167" s="786"/>
      <c r="B167" s="216"/>
      <c r="C167" s="789"/>
      <c r="D167" s="792"/>
      <c r="E167" s="393"/>
      <c r="F167" s="390"/>
      <c r="G167" s="400"/>
      <c r="H167" s="392">
        <f t="shared" si="16"/>
        <v>0</v>
      </c>
      <c r="I167" s="389"/>
      <c r="J167" s="390"/>
      <c r="K167" s="434"/>
      <c r="L167" s="484">
        <f t="shared" si="17"/>
        <v>0</v>
      </c>
      <c r="M167" s="434"/>
      <c r="N167" s="434"/>
      <c r="O167" s="434"/>
      <c r="P167" s="395"/>
      <c r="Q167" s="389">
        <f>база!$L$5</f>
        <v>231.45480000000001</v>
      </c>
      <c r="R167" s="390">
        <v>1.3</v>
      </c>
      <c r="S167" s="491">
        <f>SUMIFS(Таблица1[Столбец1],Таблица1[коэф],"1,3",Таблица1[р/р],"4/16",Таблица1[Ф. И. О.],B165)</f>
        <v>0</v>
      </c>
      <c r="T167" s="492">
        <f t="shared" si="18"/>
        <v>0</v>
      </c>
      <c r="U167" s="472">
        <f>база!$M$5</f>
        <v>247.41720000000001</v>
      </c>
      <c r="V167" s="390">
        <v>1.3</v>
      </c>
      <c r="W167" s="494">
        <f>SUMIFS(Таблица1[Столбец1],Таблица1[коэф],"1,3",Таблица1[р/р],"4/24",Таблица1[Ф. И. О.],B165)</f>
        <v>0</v>
      </c>
      <c r="X167" s="492">
        <f t="shared" si="19"/>
        <v>0</v>
      </c>
      <c r="Y167" s="795"/>
      <c r="Z167" s="797"/>
      <c r="AA167" s="786"/>
    </row>
    <row r="168" spans="1:29" ht="18.75">
      <c r="A168" s="786"/>
      <c r="B168" s="216"/>
      <c r="C168" s="789"/>
      <c r="D168" s="792"/>
      <c r="E168" s="393"/>
      <c r="F168" s="390"/>
      <c r="G168" s="400"/>
      <c r="H168" s="392">
        <f t="shared" si="16"/>
        <v>0</v>
      </c>
      <c r="I168" s="389"/>
      <c r="J168" s="390"/>
      <c r="K168" s="434"/>
      <c r="L168" s="484">
        <f t="shared" si="17"/>
        <v>0</v>
      </c>
      <c r="M168" s="434"/>
      <c r="N168" s="434"/>
      <c r="O168" s="434"/>
      <c r="P168" s="395"/>
      <c r="Q168" s="389">
        <f>IF(D160&lt;=3,база!$L$4,
IF(D160=4,база!$L$5,
IF(D160=5,база!$L$6)))</f>
        <v>210.57480000000001</v>
      </c>
      <c r="R168" s="390">
        <v>1.4</v>
      </c>
      <c r="S168" s="491">
        <f>SUMIFS(Таблица1[Столбец1],Таблица1[коэф],"1,4",Таблица1[р/р],"3/16",Таблица1[Ф. И. О.],B165)</f>
        <v>0</v>
      </c>
      <c r="T168" s="492">
        <f t="shared" si="18"/>
        <v>0</v>
      </c>
      <c r="U168" s="472">
        <f>IF(D160&lt;=3,база!$M$4,
IF(D160=4,база!$M$5,
IF(D160=5,база!$M$6)))</f>
        <v>225.09719999999999</v>
      </c>
      <c r="V168" s="390">
        <v>1.4</v>
      </c>
      <c r="W168" s="494">
        <f>SUMIFS(Таблица1[Столбец1],Таблица1[коэф],"1,4",Таблица1[р/р],"3/24",Таблица1[Ф. И. О.],B165)</f>
        <v>0</v>
      </c>
      <c r="X168" s="492">
        <f t="shared" si="19"/>
        <v>0</v>
      </c>
      <c r="Y168" s="795"/>
      <c r="Z168" s="797"/>
      <c r="AA168" s="786"/>
    </row>
    <row r="169" spans="1:29" ht="18.75">
      <c r="A169" s="786"/>
      <c r="B169" s="216"/>
      <c r="C169" s="789"/>
      <c r="D169" s="792"/>
      <c r="E169" s="393"/>
      <c r="F169" s="390"/>
      <c r="G169" s="400"/>
      <c r="H169" s="392">
        <f t="shared" si="16"/>
        <v>0</v>
      </c>
      <c r="I169" s="389"/>
      <c r="J169" s="390"/>
      <c r="K169" s="434"/>
      <c r="L169" s="484">
        <f t="shared" si="17"/>
        <v>0</v>
      </c>
      <c r="M169" s="434"/>
      <c r="N169" s="434"/>
      <c r="O169" s="434"/>
      <c r="P169" s="395"/>
      <c r="Q169" s="389">
        <f>база!$L$5</f>
        <v>231.45480000000001</v>
      </c>
      <c r="R169" s="390">
        <v>1.4</v>
      </c>
      <c r="S169" s="491">
        <f>SUMIFS(Таблица1[Столбец1],Таблица1[коэф],"1,4",Таблица1[р/р],"4/16",Таблица1[Ф. И. О.],B165)</f>
        <v>0</v>
      </c>
      <c r="T169" s="492">
        <f t="shared" si="18"/>
        <v>0</v>
      </c>
      <c r="U169" s="472">
        <f>база!$M$5</f>
        <v>247.41720000000001</v>
      </c>
      <c r="V169" s="390">
        <v>1.4</v>
      </c>
      <c r="W169" s="494">
        <f>SUMIFS(Таблица1[Столбец1],Таблица1[коэф],"1,4",Таблица1[р/р],"4/24",Таблица1[Ф. И. О.],B165)</f>
        <v>0</v>
      </c>
      <c r="X169" s="492">
        <f t="shared" si="19"/>
        <v>0</v>
      </c>
      <c r="Y169" s="795"/>
      <c r="Z169" s="797"/>
      <c r="AA169" s="786"/>
    </row>
    <row r="170" spans="1:29" ht="19.5" thickBot="1">
      <c r="A170" s="787"/>
      <c r="B170" s="216"/>
      <c r="C170" s="790"/>
      <c r="D170" s="793"/>
      <c r="E170" s="422"/>
      <c r="F170" s="403"/>
      <c r="G170" s="408"/>
      <c r="H170" s="468">
        <f t="shared" si="16"/>
        <v>0</v>
      </c>
      <c r="I170" s="420"/>
      <c r="J170" s="403"/>
      <c r="K170" s="460"/>
      <c r="L170" s="484">
        <f t="shared" si="17"/>
        <v>0</v>
      </c>
      <c r="M170" s="460"/>
      <c r="N170" s="460"/>
      <c r="O170" s="460"/>
      <c r="P170" s="424"/>
      <c r="Q170" s="420">
        <f>база!$L$6</f>
        <v>261.04640000000001</v>
      </c>
      <c r="R170" s="403">
        <v>1.4</v>
      </c>
      <c r="S170" s="507">
        <f>SUMIFS(Таблица1[Столбец1],Таблица1[коэф],"1,4",Таблица1[р/р],"5/16",Таблица1[Ф. И. О.],B165)</f>
        <v>0</v>
      </c>
      <c r="T170" s="492">
        <f t="shared" si="18"/>
        <v>0</v>
      </c>
      <c r="U170" s="482">
        <f>база!$M$6</f>
        <v>279.0496</v>
      </c>
      <c r="V170" s="403">
        <v>1.4</v>
      </c>
      <c r="W170" s="496">
        <f>SUMIFS(Таблица1[Столбец1],Таблица1[коэф],"1,4",Таблица1[р/р],"5/24",Таблица1[Ф. И. О.],B165)</f>
        <v>0</v>
      </c>
      <c r="X170" s="492">
        <f t="shared" si="19"/>
        <v>0</v>
      </c>
      <c r="Y170" s="796"/>
      <c r="Z170" s="798"/>
      <c r="AA170" s="787"/>
    </row>
    <row r="171" spans="1:29" ht="18.75">
      <c r="A171" s="785">
        <v>16</v>
      </c>
      <c r="B171" s="236"/>
      <c r="C171" s="788">
        <f>INDEX(база!$E$2:$E$81, MATCH(B176,база!$B$2:$B$50,0))</f>
        <v>15880</v>
      </c>
      <c r="D171" s="791">
        <f>INDEX(база!$D$2:$D$89, MATCH(B176,база!$B$2:$B$50,0))</f>
        <v>3</v>
      </c>
      <c r="E171" s="381">
        <f>IF(D171&lt;=3,база!$I$4,
IF(D171=4,база!$I$5,
IF(D171=5,база!$I$6)))</f>
        <v>188.7912</v>
      </c>
      <c r="F171" s="378">
        <v>1</v>
      </c>
      <c r="G171" s="387">
        <f>SUMIFS(Таблица1[Столбец1],Таблица1[коэф],"1",Таблица1[р/р],"2/4",Таблица1[Ф. И. О.],B176)</f>
        <v>0</v>
      </c>
      <c r="H171" s="402">
        <f t="shared" si="16"/>
        <v>0</v>
      </c>
      <c r="I171" s="377">
        <f>IF(D171&lt;=3,база!$J$4,
IF(D171=4,база!$J$5,
IF(D171=5,база!$J$6)))</f>
        <v>196.05240000000001</v>
      </c>
      <c r="J171" s="378">
        <v>1</v>
      </c>
      <c r="K171" s="428">
        <f>SUMIFS(Таблица1[Столбец1],Таблица1[коэф],"1",Таблица1[р/р],"2/8",Таблица1[Ф. И. О.],B176)</f>
        <v>0</v>
      </c>
      <c r="L171" s="383">
        <f t="shared" si="17"/>
        <v>0</v>
      </c>
      <c r="M171" s="428"/>
      <c r="N171" s="428">
        <v>1</v>
      </c>
      <c r="O171" s="428">
        <f>SUMIFS(Data_Tech!$AM$3:$AM$67,Data_Tech!$E$3:$E$67,"1",Data_Tech!$G$3:$G$67,"3/12",Data_Tech!$F$3:$F$67,B176)</f>
        <v>0</v>
      </c>
      <c r="P171" s="383">
        <f>ROUND(M171*N171*O171,2)</f>
        <v>0</v>
      </c>
      <c r="Q171" s="377">
        <f>IF(D171&lt;=3,база!$L$4,
IF(D171=4,база!$L$5,
IF(D171=5,база!$L$6)))</f>
        <v>210.57480000000001</v>
      </c>
      <c r="R171" s="378">
        <v>1</v>
      </c>
      <c r="S171" s="489">
        <f>SUMIFS(Таблица1[Столбец1],Таблица1[коэф],"1",Таблица1[р/р],"3/16",Таблица1[Ф. И. О.],B176)</f>
        <v>0</v>
      </c>
      <c r="T171" s="490">
        <f t="shared" si="18"/>
        <v>0</v>
      </c>
      <c r="U171" s="471">
        <f>IF(D171&lt;=3,база!$M$4,
IF(D171=4,база!$M$5,
IF(D171=5,база!$M$6)))</f>
        <v>225.09719999999999</v>
      </c>
      <c r="V171" s="378">
        <v>1</v>
      </c>
      <c r="W171" s="497">
        <f>SUMIFS(Таблица1[Столбец1],Таблица1[коэф],"1",Таблица1[р/р],"3/24",Таблица1[Ф. И. О.],B176)</f>
        <v>0</v>
      </c>
      <c r="X171" s="490">
        <f t="shared" si="19"/>
        <v>0</v>
      </c>
      <c r="Y171" s="795">
        <f t="shared" ref="Y171" si="26">SUM(G171:G181,K171:K181,O171:O181,S171:S181,W171:W181)</f>
        <v>0</v>
      </c>
      <c r="Z171" s="797">
        <f t="shared" ref="Z171" si="27">IFERROR(SUM(H171:H181,L171:L181,T171:T181,X171:X181),"")</f>
        <v>0</v>
      </c>
      <c r="AA171" s="786"/>
    </row>
    <row r="172" spans="1:29" ht="18.75">
      <c r="A172" s="786"/>
      <c r="B172" s="216"/>
      <c r="C172" s="789"/>
      <c r="D172" s="792"/>
      <c r="E172" s="393">
        <f>IF(D171&lt;=3,база!$I$4,
IF(D171=4,база!$I$5,
IF(D171=5,база!$I$6)))</f>
        <v>188.7912</v>
      </c>
      <c r="F172" s="390">
        <v>1</v>
      </c>
      <c r="G172" s="400">
        <f>SUMIFS(Таблица1[Столбец1],Таблица1[коэф],"1",Таблица1[р/р],"3/4",Таблица1[Ф. И. О.],B176)</f>
        <v>0</v>
      </c>
      <c r="H172" s="392">
        <f t="shared" si="16"/>
        <v>0</v>
      </c>
      <c r="I172" s="389">
        <f>IF(D171&lt;=3,база!$J$4,
IF(D171=4,база!$J$5,
IF(D171=5,база!$J$6)))</f>
        <v>196.05240000000001</v>
      </c>
      <c r="J172" s="390">
        <v>1</v>
      </c>
      <c r="K172" s="434">
        <f>SUMIFS(Таблица1[Столбец1],Таблица1[коэф],"1",Таблица1[р/р],"3/8",Таблица1[Ф. И. О.],B176)</f>
        <v>0</v>
      </c>
      <c r="L172" s="484">
        <f t="shared" si="17"/>
        <v>0</v>
      </c>
      <c r="M172" s="434"/>
      <c r="N172" s="434">
        <v>1</v>
      </c>
      <c r="O172" s="434">
        <f>SUMIFS(Data_Tech!$AM$3:$AM$67,Data_Tech!$E$3:$E$67,"1",Data_Tech!$G$3:$G$67,"4/12",Data_Tech!$F$3:$F$67,B176)</f>
        <v>0</v>
      </c>
      <c r="P172" s="395">
        <f>ROUND(M172*O172,2)</f>
        <v>0</v>
      </c>
      <c r="Q172" s="389">
        <f>база!$L$5</f>
        <v>231.45480000000001</v>
      </c>
      <c r="R172" s="390">
        <v>1</v>
      </c>
      <c r="S172" s="491">
        <f>SUMIFS(Таблица1[Столбец1],Таблица1[коэф],"1",Таблица1[р/р],"4/16",Таблица1[Ф. И. О.],B176)</f>
        <v>0</v>
      </c>
      <c r="T172" s="492">
        <f t="shared" si="18"/>
        <v>0</v>
      </c>
      <c r="U172" s="472">
        <f>база!$M$5</f>
        <v>247.41720000000001</v>
      </c>
      <c r="V172" s="390">
        <v>1</v>
      </c>
      <c r="W172" s="494">
        <f>SUMIFS(Таблица1[Столбец1],Таблица1[коэф],"1",Таблица1[р/р],"4/24",Таблица1[Ф. И. О.],B176)</f>
        <v>0</v>
      </c>
      <c r="X172" s="492">
        <f t="shared" si="19"/>
        <v>0</v>
      </c>
      <c r="Y172" s="795"/>
      <c r="Z172" s="797"/>
      <c r="AA172" s="786"/>
    </row>
    <row r="173" spans="1:29" ht="18.75">
      <c r="A173" s="786"/>
      <c r="B173" s="216"/>
      <c r="C173" s="789"/>
      <c r="D173" s="792"/>
      <c r="E173" s="393"/>
      <c r="F173" s="390"/>
      <c r="G173" s="400"/>
      <c r="H173" s="392">
        <f t="shared" si="16"/>
        <v>0</v>
      </c>
      <c r="I173" s="389"/>
      <c r="J173" s="390"/>
      <c r="K173" s="434"/>
      <c r="L173" s="484">
        <f t="shared" si="17"/>
        <v>0</v>
      </c>
      <c r="M173" s="434"/>
      <c r="N173" s="434"/>
      <c r="O173" s="434"/>
      <c r="P173" s="395"/>
      <c r="Q173" s="389">
        <f>база!$L$6</f>
        <v>261.04640000000001</v>
      </c>
      <c r="R173" s="390">
        <v>1</v>
      </c>
      <c r="S173" s="491">
        <f>SUMIFS(Таблица1[Столбец1],Таблица1[коэф],"1",Таблица1[р/р],"5/16",Таблица1[Ф. И. О.],B176)</f>
        <v>0</v>
      </c>
      <c r="T173" s="492">
        <f t="shared" si="18"/>
        <v>0</v>
      </c>
      <c r="U173" s="472">
        <f>база!$M$6</f>
        <v>279.0496</v>
      </c>
      <c r="V173" s="390">
        <v>1</v>
      </c>
      <c r="W173" s="494">
        <f>SUMIFS(Таблица1[Столбец1],Таблица1[коэф],"1",Таблица1[р/р],"5/24",Таблица1[Ф. И. О.],B176)</f>
        <v>0</v>
      </c>
      <c r="X173" s="492">
        <f t="shared" si="19"/>
        <v>0</v>
      </c>
      <c r="Y173" s="795"/>
      <c r="Z173" s="797"/>
      <c r="AA173" s="786"/>
    </row>
    <row r="174" spans="1:29" ht="18.75">
      <c r="A174" s="786"/>
      <c r="B174" s="216"/>
      <c r="C174" s="789"/>
      <c r="D174" s="792"/>
      <c r="E174" s="393"/>
      <c r="F174" s="390"/>
      <c r="G174" s="400"/>
      <c r="H174" s="392">
        <f t="shared" si="16"/>
        <v>0</v>
      </c>
      <c r="I174" s="389">
        <f>база!$J$5</f>
        <v>215.4924</v>
      </c>
      <c r="J174" s="390">
        <v>1.5</v>
      </c>
      <c r="K174" s="434">
        <f>SUMIFS(Таблица1[Столбец1],Таблица1[коэф],"1,5",Таблица1[р/р],"4/8",Таблица1[Ф. И. О.],B176)</f>
        <v>0</v>
      </c>
      <c r="L174" s="484">
        <f t="shared" si="17"/>
        <v>0</v>
      </c>
      <c r="M174" s="434"/>
      <c r="N174" s="434"/>
      <c r="O174" s="434"/>
      <c r="P174" s="395"/>
      <c r="Q174" s="389">
        <f>IF(D171&lt;=3,база!$L$4,
IF(D171=4,база!$L$5,
IF(D171=5,база!$L$6)))</f>
        <v>210.57480000000001</v>
      </c>
      <c r="R174" s="390">
        <v>1.2</v>
      </c>
      <c r="S174" s="491">
        <f>SUMIFS(Таблица1[Столбец1],Таблица1[коэф],"1,2",Таблица1[р/р],"3/16",Таблица1[Ф. И. О.],B176)</f>
        <v>0</v>
      </c>
      <c r="T174" s="492">
        <f t="shared" si="18"/>
        <v>0</v>
      </c>
      <c r="U174" s="472">
        <f>IF(D171&lt;=3,база!$M$4,
IF(D171=4,база!$M$5,
IF(D171=5,база!$M$6)))</f>
        <v>225.09719999999999</v>
      </c>
      <c r="V174" s="390">
        <v>1.2</v>
      </c>
      <c r="W174" s="494">
        <f>SUMIFS(Таблица1[Столбец1],Таблица1[коэф],"1,2",Таблица1[р/р],"3/24",Таблица1[Ф. И. О.],B176)</f>
        <v>0</v>
      </c>
      <c r="X174" s="492">
        <f t="shared" si="19"/>
        <v>0</v>
      </c>
      <c r="Y174" s="795"/>
      <c r="Z174" s="797"/>
      <c r="AA174" s="786"/>
    </row>
    <row r="175" spans="1:29" ht="18.75">
      <c r="A175" s="786"/>
      <c r="B175" s="216"/>
      <c r="C175" s="789"/>
      <c r="D175" s="792"/>
      <c r="E175" s="393"/>
      <c r="F175" s="390"/>
      <c r="G175" s="400"/>
      <c r="H175" s="392">
        <f t="shared" si="16"/>
        <v>0</v>
      </c>
      <c r="I175" s="389">
        <f>база!$J$6</f>
        <v>243.04319999999998</v>
      </c>
      <c r="J175" s="390">
        <v>1.5</v>
      </c>
      <c r="K175" s="434">
        <f>SUMIFS(Таблица1[Столбец1],Таблица1[коэф],"1,5",Таблица1[р/р],"5/8",Таблица1[Ф. И. О.],B176)</f>
        <v>0</v>
      </c>
      <c r="L175" s="484">
        <f t="shared" si="17"/>
        <v>0</v>
      </c>
      <c r="M175" s="434"/>
      <c r="N175" s="434"/>
      <c r="O175" s="434"/>
      <c r="P175" s="395"/>
      <c r="Q175" s="389">
        <f>база!$L$5</f>
        <v>231.45480000000001</v>
      </c>
      <c r="R175" s="390">
        <v>1.2</v>
      </c>
      <c r="S175" s="491">
        <f>SUMIFS(Таблица1[Столбец1],Таблица1[коэф],"1,2",Таблица1[р/р],"4/16",Таблица1[Ф. И. О.],B176)</f>
        <v>0</v>
      </c>
      <c r="T175" s="492">
        <f t="shared" si="18"/>
        <v>0</v>
      </c>
      <c r="U175" s="472">
        <f>база!$M$5</f>
        <v>247.41720000000001</v>
      </c>
      <c r="V175" s="390">
        <v>1.2</v>
      </c>
      <c r="W175" s="494">
        <f>SUMIFS(Таблица1[Столбец1],Таблица1[коэф],"1,2",Таблица1[р/р],"4/24",Таблица1[Ф. И. О.],B176)</f>
        <v>0</v>
      </c>
      <c r="X175" s="492">
        <f t="shared" si="19"/>
        <v>0</v>
      </c>
      <c r="Y175" s="795"/>
      <c r="Z175" s="797"/>
      <c r="AA175" s="786"/>
    </row>
    <row r="176" spans="1:29" ht="18.75">
      <c r="A176" s="786"/>
      <c r="B176" s="216" t="str">
        <f>база!B17</f>
        <v>Грешнова Ольга Викторовна</v>
      </c>
      <c r="C176" s="789"/>
      <c r="D176" s="792"/>
      <c r="E176" s="393"/>
      <c r="F176" s="390"/>
      <c r="G176" s="400"/>
      <c r="H176" s="392">
        <f t="shared" si="16"/>
        <v>0</v>
      </c>
      <c r="I176" s="389"/>
      <c r="J176" s="390"/>
      <c r="K176" s="434"/>
      <c r="L176" s="484">
        <f t="shared" si="17"/>
        <v>0</v>
      </c>
      <c r="M176" s="434"/>
      <c r="N176" s="434"/>
      <c r="O176" s="434"/>
      <c r="P176" s="395"/>
      <c r="Q176" s="389">
        <f>база!$L$6</f>
        <v>261.04640000000001</v>
      </c>
      <c r="R176" s="390">
        <v>1.2</v>
      </c>
      <c r="S176" s="491">
        <f>SUMIFS(Таблица1[Столбец1],Таблица1[коэф],"1,2",Таблица1[р/р],"5/16",Таблица1[Ф. И. О.],B176)</f>
        <v>0</v>
      </c>
      <c r="T176" s="492">
        <f t="shared" si="18"/>
        <v>0</v>
      </c>
      <c r="U176" s="472">
        <f>база!$M$6</f>
        <v>279.0496</v>
      </c>
      <c r="V176" s="390">
        <v>1.2</v>
      </c>
      <c r="W176" s="494">
        <f>SUMIFS(Таблица1[Столбец1],Таблица1[коэф],"1,2",Таблица1[р/р],"5/24",Таблица1[Ф. И. О.],B176)</f>
        <v>0</v>
      </c>
      <c r="X176" s="492">
        <f t="shared" si="19"/>
        <v>0</v>
      </c>
      <c r="Y176" s="795"/>
      <c r="Z176" s="797"/>
      <c r="AA176" s="786"/>
      <c r="AC176" s="727" t="str">
        <f>IF(SUMIFS(Таблица1[Столбец3],Таблица1[Ф. И. О.],B176)-Z171=0,"",SUMIFS(Таблица1[Столбец3],Таблица1[Ф. И. О.],B176)-Z171)</f>
        <v/>
      </c>
    </row>
    <row r="177" spans="1:29" ht="18.75">
      <c r="A177" s="786"/>
      <c r="B177" s="216"/>
      <c r="C177" s="789"/>
      <c r="D177" s="792"/>
      <c r="E177" s="393"/>
      <c r="F177" s="390"/>
      <c r="G177" s="400"/>
      <c r="H177" s="392">
        <f t="shared" si="16"/>
        <v>0</v>
      </c>
      <c r="I177" s="389"/>
      <c r="J177" s="390"/>
      <c r="K177" s="434"/>
      <c r="L177" s="484">
        <f t="shared" si="17"/>
        <v>0</v>
      </c>
      <c r="M177" s="434"/>
      <c r="N177" s="434"/>
      <c r="O177" s="434"/>
      <c r="P177" s="395"/>
      <c r="Q177" s="389">
        <f>IF(D171&lt;=3,база!$L$4,
IF(D171=4,база!$L$5,
IF(D171=5,база!$L$6)))</f>
        <v>210.57480000000001</v>
      </c>
      <c r="R177" s="390">
        <v>1.3</v>
      </c>
      <c r="S177" s="491">
        <f>SUMIFS(Таблица1[Столбец1],Таблица1[коэф],"1,3",Таблица1[р/р],"3/16",Таблица1[Ф. И. О.],B176)</f>
        <v>0</v>
      </c>
      <c r="T177" s="492">
        <f t="shared" si="18"/>
        <v>0</v>
      </c>
      <c r="U177" s="472">
        <f>IF(D171&lt;=3,база!$M$4,
IF(D171=4,база!$M$5,
IF(D171=5,база!$M$6)))</f>
        <v>225.09719999999999</v>
      </c>
      <c r="V177" s="390">
        <v>1.3</v>
      </c>
      <c r="W177" s="494">
        <f>SUMIFS(Таблица1[Столбец1],Таблица1[коэф],"1,3",Таблица1[р/р],"3/24",Таблица1[Ф. И. О.],B176)</f>
        <v>0</v>
      </c>
      <c r="X177" s="492">
        <f t="shared" si="19"/>
        <v>0</v>
      </c>
      <c r="Y177" s="795"/>
      <c r="Z177" s="797"/>
      <c r="AA177" s="786"/>
      <c r="AC177" s="727" t="str">
        <f>IF(SUMIFS(Таблица1[Столбец1],Таблица1[Ф. И. О.],B176)=Y171,"",B176&amp;"  часы не верны")</f>
        <v/>
      </c>
    </row>
    <row r="178" spans="1:29" ht="18.75">
      <c r="A178" s="786"/>
      <c r="B178" s="216"/>
      <c r="C178" s="789"/>
      <c r="D178" s="792"/>
      <c r="E178" s="393"/>
      <c r="F178" s="390"/>
      <c r="G178" s="400"/>
      <c r="H178" s="392">
        <f t="shared" si="16"/>
        <v>0</v>
      </c>
      <c r="I178" s="389"/>
      <c r="J178" s="390"/>
      <c r="K178" s="434"/>
      <c r="L178" s="484">
        <f t="shared" si="17"/>
        <v>0</v>
      </c>
      <c r="M178" s="434"/>
      <c r="N178" s="434"/>
      <c r="O178" s="434"/>
      <c r="P178" s="395"/>
      <c r="Q178" s="389">
        <f>база!$L$5</f>
        <v>231.45480000000001</v>
      </c>
      <c r="R178" s="390">
        <v>1.3</v>
      </c>
      <c r="S178" s="491">
        <f>SUMIFS(Таблица1[Столбец1],Таблица1[коэф],"1,3",Таблица1[р/р],"4/16",Таблица1[Ф. И. О.],B176)</f>
        <v>0</v>
      </c>
      <c r="T178" s="492">
        <f t="shared" si="18"/>
        <v>0</v>
      </c>
      <c r="U178" s="472">
        <f>база!$M$5</f>
        <v>247.41720000000001</v>
      </c>
      <c r="V178" s="390">
        <v>1.3</v>
      </c>
      <c r="W178" s="494">
        <f>SUMIFS(Таблица1[Столбец1],Таблица1[коэф],"1,3",Таблица1[р/р],"4/24",Таблица1[Ф. И. О.],B176)</f>
        <v>0</v>
      </c>
      <c r="X178" s="492">
        <f t="shared" si="19"/>
        <v>0</v>
      </c>
      <c r="Y178" s="795"/>
      <c r="Z178" s="797"/>
      <c r="AA178" s="786"/>
    </row>
    <row r="179" spans="1:29" ht="18.75">
      <c r="A179" s="786"/>
      <c r="B179" s="216"/>
      <c r="C179" s="789"/>
      <c r="D179" s="792"/>
      <c r="E179" s="393"/>
      <c r="F179" s="390"/>
      <c r="G179" s="400"/>
      <c r="H179" s="392">
        <f t="shared" si="16"/>
        <v>0</v>
      </c>
      <c r="I179" s="389"/>
      <c r="J179" s="390"/>
      <c r="K179" s="434"/>
      <c r="L179" s="484">
        <f t="shared" si="17"/>
        <v>0</v>
      </c>
      <c r="M179" s="434"/>
      <c r="N179" s="434"/>
      <c r="O179" s="434"/>
      <c r="P179" s="395"/>
      <c r="Q179" s="389">
        <f>IF(D171&lt;=3,база!$L$4,
IF(D171=4,база!$L$5,
IF(D171=5,база!$L$6)))</f>
        <v>210.57480000000001</v>
      </c>
      <c r="R179" s="390">
        <v>1.4</v>
      </c>
      <c r="S179" s="491">
        <f>SUMIFS(Таблица1[Столбец1],Таблица1[коэф],"1,4",Таблица1[р/р],"3/16",Таблица1[Ф. И. О.],B176)</f>
        <v>0</v>
      </c>
      <c r="T179" s="492">
        <f t="shared" si="18"/>
        <v>0</v>
      </c>
      <c r="U179" s="472">
        <f>IF(D171&lt;=3,база!$M$4,
IF(D171=4,база!$M$5,
IF(D171=5,база!$M$6)))</f>
        <v>225.09719999999999</v>
      </c>
      <c r="V179" s="390">
        <v>1.4</v>
      </c>
      <c r="W179" s="494">
        <f>SUMIFS(Таблица1[Столбец1],Таблица1[коэф],"1,4",Таблица1[р/р],"3/24",Таблица1[Ф. И. О.],B176)</f>
        <v>0</v>
      </c>
      <c r="X179" s="492">
        <f t="shared" si="19"/>
        <v>0</v>
      </c>
      <c r="Y179" s="795"/>
      <c r="Z179" s="797"/>
      <c r="AA179" s="786"/>
    </row>
    <row r="180" spans="1:29" ht="18.75">
      <c r="A180" s="786"/>
      <c r="B180" s="216"/>
      <c r="C180" s="789"/>
      <c r="D180" s="792"/>
      <c r="E180" s="393"/>
      <c r="F180" s="390"/>
      <c r="G180" s="400"/>
      <c r="H180" s="392">
        <f t="shared" si="16"/>
        <v>0</v>
      </c>
      <c r="I180" s="389"/>
      <c r="J180" s="390"/>
      <c r="K180" s="434"/>
      <c r="L180" s="484">
        <f t="shared" si="17"/>
        <v>0</v>
      </c>
      <c r="M180" s="434"/>
      <c r="N180" s="434"/>
      <c r="O180" s="434"/>
      <c r="P180" s="395"/>
      <c r="Q180" s="389">
        <f>база!$L$5</f>
        <v>231.45480000000001</v>
      </c>
      <c r="R180" s="390">
        <v>1.4</v>
      </c>
      <c r="S180" s="491">
        <f>SUMIFS(Таблица1[Столбец1],Таблица1[коэф],"1,4",Таблица1[р/р],"4/16",Таблица1[Ф. И. О.],B176)</f>
        <v>0</v>
      </c>
      <c r="T180" s="492">
        <f t="shared" si="18"/>
        <v>0</v>
      </c>
      <c r="U180" s="472">
        <f>база!$M$5</f>
        <v>247.41720000000001</v>
      </c>
      <c r="V180" s="390">
        <v>1.4</v>
      </c>
      <c r="W180" s="494">
        <f>SUMIFS(Таблица1[Столбец1],Таблица1[коэф],"1,4",Таблица1[р/р],"4/24",Таблица1[Ф. И. О.],B176)</f>
        <v>0</v>
      </c>
      <c r="X180" s="492">
        <f t="shared" si="19"/>
        <v>0</v>
      </c>
      <c r="Y180" s="795"/>
      <c r="Z180" s="797"/>
      <c r="AA180" s="786"/>
    </row>
    <row r="181" spans="1:29" ht="19.5" thickBot="1">
      <c r="A181" s="787"/>
      <c r="B181" s="203"/>
      <c r="C181" s="790"/>
      <c r="D181" s="793"/>
      <c r="E181" s="463"/>
      <c r="F181" s="464"/>
      <c r="G181" s="465"/>
      <c r="H181" s="468">
        <f t="shared" si="16"/>
        <v>0</v>
      </c>
      <c r="I181" s="473"/>
      <c r="J181" s="464"/>
      <c r="K181" s="457"/>
      <c r="L181" s="484">
        <f t="shared" si="17"/>
        <v>0</v>
      </c>
      <c r="M181" s="457"/>
      <c r="N181" s="457"/>
      <c r="O181" s="457"/>
      <c r="P181" s="458"/>
      <c r="Q181" s="473">
        <f>база!$L$6</f>
        <v>261.04640000000001</v>
      </c>
      <c r="R181" s="464">
        <v>1.4</v>
      </c>
      <c r="S181" s="512">
        <f>SUMIFS(Таблица1[Столбец1],Таблица1[коэф],"1,4",Таблица1[р/р],"5/16",Таблица1[Ф. И. О.],B176)</f>
        <v>0</v>
      </c>
      <c r="T181" s="492">
        <f t="shared" si="18"/>
        <v>0</v>
      </c>
      <c r="U181" s="474">
        <f>база!$M$6</f>
        <v>279.0496</v>
      </c>
      <c r="V181" s="464">
        <v>1.4</v>
      </c>
      <c r="W181" s="501">
        <f>SUMIFS(Таблица1[Столбец1],Таблица1[коэф],"1,4",Таблица1[р/р],"5/24",Таблица1[Ф. И. О.],B176)</f>
        <v>0</v>
      </c>
      <c r="X181" s="492">
        <f t="shared" si="19"/>
        <v>0</v>
      </c>
      <c r="Y181" s="796"/>
      <c r="Z181" s="798"/>
      <c r="AA181" s="787"/>
    </row>
    <row r="182" spans="1:29" ht="18.75">
      <c r="A182" s="785">
        <v>17</v>
      </c>
      <c r="B182" s="216"/>
      <c r="C182" s="788">
        <f>INDEX(база!$E$2:$E$81, MATCH(B187,база!$B$2:$B$50,0))</f>
        <v>15894</v>
      </c>
      <c r="D182" s="791">
        <f>INDEX(база!$D$2:$D$89, MATCH(B187,база!$B$2:$B$50,0))</f>
        <v>3</v>
      </c>
      <c r="E182" s="377">
        <f>IF(D182&lt;=3,база!$I$4,
IF(D182=4,база!$I$5,
IF(D182=5,база!$I$6)))</f>
        <v>188.7912</v>
      </c>
      <c r="F182" s="378">
        <v>1</v>
      </c>
      <c r="G182" s="387">
        <f>SUMIFS(Таблица1[Столбец1],Таблица1[коэф],"1",Таблица1[р/р],"2/4",Таблица1[Ф. И. О.],B187)</f>
        <v>0</v>
      </c>
      <c r="H182" s="402">
        <f t="shared" si="16"/>
        <v>0</v>
      </c>
      <c r="I182" s="451">
        <f>IF(D182&lt;=3,база!$J$4,
IF(D182=4,база!$J$5,
IF(D182=5,база!$J$6)))</f>
        <v>196.05240000000001</v>
      </c>
      <c r="J182" s="417">
        <v>1</v>
      </c>
      <c r="K182" s="453">
        <f>SUMIFS(Таблица1[Столбец1],Таблица1[коэф],"1",Таблица1[р/р],"2/8",Таблица1[Ф. И. О.],B187)</f>
        <v>0</v>
      </c>
      <c r="L182" s="383">
        <f t="shared" si="17"/>
        <v>0</v>
      </c>
      <c r="M182" s="453"/>
      <c r="N182" s="453">
        <v>1</v>
      </c>
      <c r="O182" s="453">
        <f>SUMIFS(Data_Tech!$AM$3:$AM$67,Data_Tech!$E$3:$E$67,"1",Data_Tech!$G$3:$G$67,"3/12",Data_Tech!$F$3:$F$67,B187)</f>
        <v>0</v>
      </c>
      <c r="P182" s="398">
        <f>ROUND(M182*N182*O182,2)</f>
        <v>0</v>
      </c>
      <c r="Q182" s="377">
        <f>IF(D182&lt;=3,база!$L$4,
IF(D182=4,база!$L$5,
IF(D182=5,база!$L$6)))</f>
        <v>210.57480000000001</v>
      </c>
      <c r="R182" s="378">
        <v>1</v>
      </c>
      <c r="S182" s="489">
        <f>SUMIFS(Таблица1[Столбец1],Таблица1[коэф],"1",Таблица1[р/р],"3/16",Таблица1[Ф. И. О.],B187)</f>
        <v>0</v>
      </c>
      <c r="T182" s="490">
        <f t="shared" si="18"/>
        <v>0</v>
      </c>
      <c r="U182" s="454">
        <f>IF(D182&lt;=3,база!$M$4,
IF(D182=4,база!$M$5,
IF(D182=5,база!$M$6)))</f>
        <v>225.09719999999999</v>
      </c>
      <c r="V182" s="417">
        <v>1</v>
      </c>
      <c r="W182" s="500">
        <f>SUMIFS(Таблица1[Столбец1],Таблица1[коэф],"1",Таблица1[р/р],"3/24",Таблица1[Ф. И. О.],B187)</f>
        <v>0</v>
      </c>
      <c r="X182" s="490">
        <f t="shared" si="19"/>
        <v>0</v>
      </c>
      <c r="Y182" s="795">
        <f t="shared" ref="Y182" si="28">SUM(G182:G192,K182:K192,O182:O192,S182:S192,W182:W192)</f>
        <v>0</v>
      </c>
      <c r="Z182" s="797">
        <f t="shared" ref="Z182" si="29">IFERROR(SUM(H182:H192,L182:L192,T182:T192,X182:X192),"")</f>
        <v>0</v>
      </c>
      <c r="AA182" s="786"/>
    </row>
    <row r="183" spans="1:29" ht="18.75">
      <c r="A183" s="786"/>
      <c r="B183" s="216"/>
      <c r="C183" s="789"/>
      <c r="D183" s="792"/>
      <c r="E183" s="389">
        <f>IF(D182&lt;=3,база!$I$4,
IF(D182=4,база!$I$5,
IF(D182=5,база!$I$6)))</f>
        <v>188.7912</v>
      </c>
      <c r="F183" s="390">
        <v>1</v>
      </c>
      <c r="G183" s="400">
        <f>SUMIFS(Таблица1[Столбец1],Таблица1[коэф],"1",Таблица1[р/р],"3/4",Таблица1[Ф. И. О.],B187)</f>
        <v>0</v>
      </c>
      <c r="H183" s="392">
        <f t="shared" si="16"/>
        <v>0</v>
      </c>
      <c r="I183" s="393">
        <f>IF(D182&lt;=3,база!$J$4,
IF(D182=4,база!$J$5,
IF(D182=5,база!$J$6)))</f>
        <v>196.05240000000001</v>
      </c>
      <c r="J183" s="390">
        <v>1</v>
      </c>
      <c r="K183" s="434">
        <f>SUMIFS(Таблица1[Столбец1],Таблица1[коэф],"1",Таблица1[р/р],"3/8",Таблица1[Ф. И. О.],B187)</f>
        <v>0</v>
      </c>
      <c r="L183" s="484">
        <f t="shared" si="17"/>
        <v>0</v>
      </c>
      <c r="M183" s="434"/>
      <c r="N183" s="434">
        <v>1</v>
      </c>
      <c r="O183" s="434">
        <f>SUMIFS(Data_Tech!$AM$3:$AM$67,Data_Tech!$E$3:$E$67,"1",Data_Tech!$G$3:$G$67,"4/12",Data_Tech!$F$3:$F$67,B187)</f>
        <v>0</v>
      </c>
      <c r="P183" s="406">
        <f>ROUND(M183*O183,2)</f>
        <v>0</v>
      </c>
      <c r="Q183" s="389">
        <f>база!$L$5</f>
        <v>231.45480000000001</v>
      </c>
      <c r="R183" s="390">
        <v>1</v>
      </c>
      <c r="S183" s="491">
        <f>SUMIFS(Таблица1[Столбец1],Таблица1[коэф],"1",Таблица1[р/р],"4/16",Таблица1[Ф. И. О.],B187)</f>
        <v>0</v>
      </c>
      <c r="T183" s="492">
        <f t="shared" si="18"/>
        <v>0</v>
      </c>
      <c r="U183" s="410">
        <f>база!$M$5</f>
        <v>247.41720000000001</v>
      </c>
      <c r="V183" s="390">
        <v>1</v>
      </c>
      <c r="W183" s="494">
        <f>SUMIFS(Таблица1[Столбец1],Таблица1[коэф],"1",Таблица1[р/р],"4/24",Таблица1[Ф. И. О.],B187)</f>
        <v>0</v>
      </c>
      <c r="X183" s="492">
        <f t="shared" si="19"/>
        <v>0</v>
      </c>
      <c r="Y183" s="795"/>
      <c r="Z183" s="797"/>
      <c r="AA183" s="786"/>
    </row>
    <row r="184" spans="1:29" ht="18.75">
      <c r="A184" s="786"/>
      <c r="B184" s="216"/>
      <c r="C184" s="789"/>
      <c r="D184" s="792"/>
      <c r="E184" s="389"/>
      <c r="F184" s="390"/>
      <c r="G184" s="400"/>
      <c r="H184" s="392">
        <f t="shared" si="16"/>
        <v>0</v>
      </c>
      <c r="I184" s="393"/>
      <c r="J184" s="390"/>
      <c r="K184" s="434"/>
      <c r="L184" s="484">
        <f t="shared" si="17"/>
        <v>0</v>
      </c>
      <c r="M184" s="434"/>
      <c r="N184" s="434"/>
      <c r="O184" s="434"/>
      <c r="P184" s="406"/>
      <c r="Q184" s="389">
        <f>база!$L$6</f>
        <v>261.04640000000001</v>
      </c>
      <c r="R184" s="390">
        <v>1</v>
      </c>
      <c r="S184" s="491">
        <f>SUMIFS(Таблица1[Столбец1],Таблица1[коэф],"1",Таблица1[р/р],"5/16",Таблица1[Ф. И. О.],B187)</f>
        <v>0</v>
      </c>
      <c r="T184" s="492">
        <f t="shared" si="18"/>
        <v>0</v>
      </c>
      <c r="U184" s="410">
        <f>база!$M$6</f>
        <v>279.0496</v>
      </c>
      <c r="V184" s="390">
        <v>1</v>
      </c>
      <c r="W184" s="494">
        <f>SUMIFS(Таблица1[Столбец1],Таблица1[коэф],"1",Таблица1[р/р],"5/24",Таблица1[Ф. И. О.],B187)</f>
        <v>0</v>
      </c>
      <c r="X184" s="492">
        <f t="shared" si="19"/>
        <v>0</v>
      </c>
      <c r="Y184" s="795"/>
      <c r="Z184" s="797"/>
      <c r="AA184" s="786"/>
    </row>
    <row r="185" spans="1:29" ht="18.75">
      <c r="A185" s="786"/>
      <c r="B185" s="216"/>
      <c r="C185" s="789"/>
      <c r="D185" s="792"/>
      <c r="E185" s="389"/>
      <c r="F185" s="390"/>
      <c r="G185" s="400"/>
      <c r="H185" s="392">
        <f t="shared" si="16"/>
        <v>0</v>
      </c>
      <c r="I185" s="393">
        <f>база!$J$5</f>
        <v>215.4924</v>
      </c>
      <c r="J185" s="390">
        <v>1.5</v>
      </c>
      <c r="K185" s="434">
        <f>SUMIFS(Таблица1[Столбец1],Таблица1[коэф],"1,5",Таблица1[р/р],"4/8",Таблица1[Ф. И. О.],B187)</f>
        <v>0</v>
      </c>
      <c r="L185" s="484">
        <f t="shared" si="17"/>
        <v>0</v>
      </c>
      <c r="M185" s="434"/>
      <c r="N185" s="434"/>
      <c r="O185" s="434"/>
      <c r="P185" s="406"/>
      <c r="Q185" s="389">
        <f>IF(D182&lt;=3,база!$L$4,
IF(D182=4,база!$L$5,
IF(D182=5,база!$L$6)))</f>
        <v>210.57480000000001</v>
      </c>
      <c r="R185" s="390">
        <v>1.2</v>
      </c>
      <c r="S185" s="491">
        <f>SUMIFS(Таблица1[Столбец1],Таблица1[коэф],"1,2",Таблица1[р/р],"3/16",Таблица1[Ф. И. О.],B187)</f>
        <v>0</v>
      </c>
      <c r="T185" s="492">
        <f t="shared" si="18"/>
        <v>0</v>
      </c>
      <c r="U185" s="410">
        <f>IF(D182&lt;=3,база!$M$4,
IF(D182=4,база!$M$5,
IF(D182=5,база!$M$6)))</f>
        <v>225.09719999999999</v>
      </c>
      <c r="V185" s="390">
        <v>1.2</v>
      </c>
      <c r="W185" s="494">
        <f>SUMIFS(Таблица1[Столбец1],Таблица1[коэф],"1,2",Таблица1[р/р],"3/24",Таблица1[Ф. И. О.],B187)</f>
        <v>0</v>
      </c>
      <c r="X185" s="492">
        <f t="shared" si="19"/>
        <v>0</v>
      </c>
      <c r="Y185" s="795"/>
      <c r="Z185" s="797"/>
      <c r="AA185" s="786"/>
    </row>
    <row r="186" spans="1:29" ht="18.75">
      <c r="A186" s="786"/>
      <c r="B186" s="216"/>
      <c r="C186" s="789"/>
      <c r="D186" s="792"/>
      <c r="E186" s="389"/>
      <c r="F186" s="390"/>
      <c r="G186" s="400"/>
      <c r="H186" s="392">
        <f t="shared" si="16"/>
        <v>0</v>
      </c>
      <c r="I186" s="393">
        <f>база!$J$6</f>
        <v>243.04319999999998</v>
      </c>
      <c r="J186" s="390">
        <v>1.5</v>
      </c>
      <c r="K186" s="434">
        <f>SUMIFS(Таблица1[Столбец1],Таблица1[коэф],"1,5",Таблица1[р/р],"5/8",Таблица1[Ф. И. О.],B187)</f>
        <v>0</v>
      </c>
      <c r="L186" s="484">
        <f t="shared" si="17"/>
        <v>0</v>
      </c>
      <c r="M186" s="434"/>
      <c r="N186" s="434"/>
      <c r="O186" s="434"/>
      <c r="P186" s="406"/>
      <c r="Q186" s="389">
        <f>база!$L$5</f>
        <v>231.45480000000001</v>
      </c>
      <c r="R186" s="390">
        <v>1.2</v>
      </c>
      <c r="S186" s="491">
        <f>SUMIFS(Таблица1[Столбец1],Таблица1[коэф],"1,2",Таблица1[р/р],"4/16",Таблица1[Ф. И. О.],B187)</f>
        <v>0</v>
      </c>
      <c r="T186" s="492">
        <f t="shared" si="18"/>
        <v>0</v>
      </c>
      <c r="U186" s="410">
        <f>база!$M$5</f>
        <v>247.41720000000001</v>
      </c>
      <c r="V186" s="390">
        <v>1.2</v>
      </c>
      <c r="W186" s="494">
        <f>SUMIFS(Таблица1[Столбец1],Таблица1[коэф],"1,2",Таблица1[р/р],"4/24",Таблица1[Ф. И. О.],B187)</f>
        <v>0</v>
      </c>
      <c r="X186" s="492">
        <f t="shared" si="19"/>
        <v>0</v>
      </c>
      <c r="Y186" s="795"/>
      <c r="Z186" s="797"/>
      <c r="AA186" s="786"/>
    </row>
    <row r="187" spans="1:29" ht="18.75">
      <c r="A187" s="786"/>
      <c r="B187" s="216" t="str">
        <f>база!B18</f>
        <v>Груздева Олеся Изидоровна</v>
      </c>
      <c r="C187" s="789"/>
      <c r="D187" s="792"/>
      <c r="E187" s="389"/>
      <c r="F187" s="390"/>
      <c r="G187" s="400"/>
      <c r="H187" s="392">
        <f t="shared" si="16"/>
        <v>0</v>
      </c>
      <c r="I187" s="393"/>
      <c r="J187" s="390"/>
      <c r="K187" s="434"/>
      <c r="L187" s="484">
        <f t="shared" si="17"/>
        <v>0</v>
      </c>
      <c r="M187" s="434"/>
      <c r="N187" s="434"/>
      <c r="O187" s="434"/>
      <c r="P187" s="406"/>
      <c r="Q187" s="389">
        <f>база!$L$6</f>
        <v>261.04640000000001</v>
      </c>
      <c r="R187" s="390">
        <v>1.2</v>
      </c>
      <c r="S187" s="491">
        <f>SUMIFS(Таблица1[Столбец1],Таблица1[коэф],"1,2",Таблица1[р/р],"5/16",Таблица1[Ф. И. О.],B187)</f>
        <v>0</v>
      </c>
      <c r="T187" s="492">
        <f t="shared" si="18"/>
        <v>0</v>
      </c>
      <c r="U187" s="410">
        <f>база!$M$6</f>
        <v>279.0496</v>
      </c>
      <c r="V187" s="390">
        <v>1.2</v>
      </c>
      <c r="W187" s="494">
        <f>SUMIFS(Таблица1[Столбец1],Таблица1[коэф],"1,2",Таблица1[р/р],"5/24",Таблица1[Ф. И. О.],B187)</f>
        <v>0</v>
      </c>
      <c r="X187" s="492">
        <f t="shared" si="19"/>
        <v>0</v>
      </c>
      <c r="Y187" s="795"/>
      <c r="Z187" s="797"/>
      <c r="AA187" s="786"/>
      <c r="AC187" s="727" t="str">
        <f>IF(SUMIFS(Таблица1[Столбец3],Таблица1[Ф. И. О.],B187)-Z182=0,"",SUMIFS(Таблица1[Столбец3],Таблица1[Ф. И. О.],B187)-Z182)</f>
        <v/>
      </c>
    </row>
    <row r="188" spans="1:29" ht="18.75">
      <c r="A188" s="786"/>
      <c r="B188" s="216"/>
      <c r="C188" s="789"/>
      <c r="D188" s="792"/>
      <c r="E188" s="389"/>
      <c r="F188" s="390"/>
      <c r="G188" s="400"/>
      <c r="H188" s="392">
        <f t="shared" si="16"/>
        <v>0</v>
      </c>
      <c r="I188" s="393"/>
      <c r="J188" s="390"/>
      <c r="K188" s="434"/>
      <c r="L188" s="484">
        <f t="shared" si="17"/>
        <v>0</v>
      </c>
      <c r="M188" s="434"/>
      <c r="N188" s="434"/>
      <c r="O188" s="434"/>
      <c r="P188" s="406"/>
      <c r="Q188" s="389">
        <f>IF(D182&lt;=3,база!$L$4,
IF(D182=4,база!$L$5,
IF(D182=5,база!$L$6)))</f>
        <v>210.57480000000001</v>
      </c>
      <c r="R188" s="390">
        <v>1.3</v>
      </c>
      <c r="S188" s="491">
        <f>SUMIFS(Таблица1[Столбец1],Таблица1[коэф],"1,3",Таблица1[р/р],"3/16",Таблица1[Ф. И. О.],B187)</f>
        <v>0</v>
      </c>
      <c r="T188" s="492">
        <f t="shared" si="18"/>
        <v>0</v>
      </c>
      <c r="U188" s="410">
        <f>IF(D182&lt;=3,база!$M$4,
IF(D182=4,база!$M$5,
IF(D182=5,база!$M$6)))</f>
        <v>225.09719999999999</v>
      </c>
      <c r="V188" s="390">
        <v>1.3</v>
      </c>
      <c r="W188" s="494">
        <f>SUMIFS(Таблица1[Столбец1],Таблица1[коэф],"1,3",Таблица1[р/р],"3/24",Таблица1[Ф. И. О.],B187)</f>
        <v>0</v>
      </c>
      <c r="X188" s="492">
        <f t="shared" si="19"/>
        <v>0</v>
      </c>
      <c r="Y188" s="795"/>
      <c r="Z188" s="797"/>
      <c r="AA188" s="786"/>
      <c r="AC188" s="727" t="str">
        <f>IF(SUMIFS(Таблица1[Столбец1],Таблица1[Ф. И. О.],B187)=Y182,"",B187&amp;"  часы не верны")</f>
        <v/>
      </c>
    </row>
    <row r="189" spans="1:29" ht="18.75">
      <c r="A189" s="786"/>
      <c r="B189" s="216"/>
      <c r="C189" s="789"/>
      <c r="D189" s="792"/>
      <c r="E189" s="389"/>
      <c r="F189" s="390"/>
      <c r="G189" s="400"/>
      <c r="H189" s="392">
        <f t="shared" si="16"/>
        <v>0</v>
      </c>
      <c r="I189" s="393"/>
      <c r="J189" s="390"/>
      <c r="K189" s="434"/>
      <c r="L189" s="484">
        <f t="shared" si="17"/>
        <v>0</v>
      </c>
      <c r="M189" s="434"/>
      <c r="N189" s="434"/>
      <c r="O189" s="434"/>
      <c r="P189" s="406"/>
      <c r="Q189" s="389">
        <f>база!$L$5</f>
        <v>231.45480000000001</v>
      </c>
      <c r="R189" s="390">
        <v>1.3</v>
      </c>
      <c r="S189" s="491">
        <f>SUMIFS(Таблица1[Столбец1],Таблица1[коэф],"1,3",Таблица1[р/р],"4/16",Таблица1[Ф. И. О.],B187)</f>
        <v>0</v>
      </c>
      <c r="T189" s="492">
        <f t="shared" si="18"/>
        <v>0</v>
      </c>
      <c r="U189" s="410">
        <f>база!$M$5</f>
        <v>247.41720000000001</v>
      </c>
      <c r="V189" s="390">
        <v>1.3</v>
      </c>
      <c r="W189" s="494">
        <f>SUMIFS(Таблица1[Столбец1],Таблица1[коэф],"1,3",Таблица1[р/р],"4/24",Таблица1[Ф. И. О.],B187)</f>
        <v>0</v>
      </c>
      <c r="X189" s="492">
        <f t="shared" si="19"/>
        <v>0</v>
      </c>
      <c r="Y189" s="795"/>
      <c r="Z189" s="797"/>
      <c r="AA189" s="786"/>
    </row>
    <row r="190" spans="1:29" ht="18.75">
      <c r="A190" s="786"/>
      <c r="B190" s="216"/>
      <c r="C190" s="789"/>
      <c r="D190" s="792"/>
      <c r="E190" s="389"/>
      <c r="F190" s="390"/>
      <c r="G190" s="400"/>
      <c r="H190" s="392">
        <f t="shared" si="16"/>
        <v>0</v>
      </c>
      <c r="I190" s="393"/>
      <c r="J190" s="390"/>
      <c r="K190" s="434"/>
      <c r="L190" s="484">
        <f t="shared" si="17"/>
        <v>0</v>
      </c>
      <c r="M190" s="434"/>
      <c r="N190" s="434"/>
      <c r="O190" s="434"/>
      <c r="P190" s="406"/>
      <c r="Q190" s="389">
        <f>IF(D182&lt;=3,база!$L$4,
IF(D182=4,база!$L$5,
IF(D182=5,база!$L$6)))</f>
        <v>210.57480000000001</v>
      </c>
      <c r="R190" s="390">
        <v>1.4</v>
      </c>
      <c r="S190" s="491">
        <f>SUMIFS(Таблица1[Столбец1],Таблица1[коэф],"1,4",Таблица1[р/р],"3/16",Таблица1[Ф. И. О.],B187)</f>
        <v>0</v>
      </c>
      <c r="T190" s="492">
        <f t="shared" si="18"/>
        <v>0</v>
      </c>
      <c r="U190" s="410">
        <f>IF(D182&lt;=3,база!$M$4,
IF(D182=4,база!$M$5,
IF(D182=5,база!$M$6)))</f>
        <v>225.09719999999999</v>
      </c>
      <c r="V190" s="390">
        <v>1.4</v>
      </c>
      <c r="W190" s="494">
        <f>SUMIFS(Таблица1[Столбец1],Таблица1[коэф],"1,4",Таблица1[р/р],"3/24",Таблица1[Ф. И. О.],B187)</f>
        <v>0</v>
      </c>
      <c r="X190" s="492">
        <f t="shared" si="19"/>
        <v>0</v>
      </c>
      <c r="Y190" s="795"/>
      <c r="Z190" s="797"/>
      <c r="AA190" s="786"/>
    </row>
    <row r="191" spans="1:29" ht="18.75">
      <c r="A191" s="786"/>
      <c r="B191" s="216"/>
      <c r="C191" s="789"/>
      <c r="D191" s="792"/>
      <c r="E191" s="389"/>
      <c r="F191" s="390"/>
      <c r="G191" s="400"/>
      <c r="H191" s="392">
        <f t="shared" si="16"/>
        <v>0</v>
      </c>
      <c r="I191" s="393"/>
      <c r="J191" s="390"/>
      <c r="K191" s="434"/>
      <c r="L191" s="484">
        <f t="shared" si="17"/>
        <v>0</v>
      </c>
      <c r="M191" s="434"/>
      <c r="N191" s="434"/>
      <c r="O191" s="434"/>
      <c r="P191" s="406"/>
      <c r="Q191" s="389">
        <f>база!$L$5</f>
        <v>231.45480000000001</v>
      </c>
      <c r="R191" s="390">
        <v>1.4</v>
      </c>
      <c r="S191" s="491">
        <f>SUMIFS(Таблица1[Столбец1],Таблица1[коэф],"1,4",Таблица1[р/р],"4/16",Таблица1[Ф. И. О.],B187)</f>
        <v>0</v>
      </c>
      <c r="T191" s="492">
        <f t="shared" si="18"/>
        <v>0</v>
      </c>
      <c r="U191" s="410">
        <f>база!$M$5</f>
        <v>247.41720000000001</v>
      </c>
      <c r="V191" s="390">
        <v>1.4</v>
      </c>
      <c r="W191" s="494">
        <f>SUMIFS(Таблица1[Столбец1],Таблица1[коэф],"1,4",Таблица1[р/р],"4/24",Таблица1[Ф. И. О.],B187)</f>
        <v>0</v>
      </c>
      <c r="X191" s="492">
        <f t="shared" si="19"/>
        <v>0</v>
      </c>
      <c r="Y191" s="795"/>
      <c r="Z191" s="797"/>
      <c r="AA191" s="786"/>
    </row>
    <row r="192" spans="1:29" ht="19.5" thickBot="1">
      <c r="A192" s="787"/>
      <c r="B192" s="216"/>
      <c r="C192" s="790"/>
      <c r="D192" s="793"/>
      <c r="E192" s="473"/>
      <c r="F192" s="464"/>
      <c r="G192" s="465"/>
      <c r="H192" s="468">
        <f t="shared" si="16"/>
        <v>0</v>
      </c>
      <c r="I192" s="422"/>
      <c r="J192" s="403"/>
      <c r="K192" s="460"/>
      <c r="L192" s="484">
        <f t="shared" si="17"/>
        <v>0</v>
      </c>
      <c r="M192" s="460"/>
      <c r="N192" s="460"/>
      <c r="O192" s="460"/>
      <c r="P192" s="479"/>
      <c r="Q192" s="473">
        <f>база!$L$6</f>
        <v>261.04640000000001</v>
      </c>
      <c r="R192" s="464">
        <v>1.4</v>
      </c>
      <c r="S192" s="512">
        <f>SUMIFS(Таблица1[Столбец1],Таблица1[коэф],"1,4",Таблица1[р/р],"5/16",Таблица1[Ф. И. О.],B187)</f>
        <v>0</v>
      </c>
      <c r="T192" s="492">
        <f t="shared" si="18"/>
        <v>0</v>
      </c>
      <c r="U192" s="461">
        <f>база!$M$6</f>
        <v>279.0496</v>
      </c>
      <c r="V192" s="403">
        <v>1.4</v>
      </c>
      <c r="W192" s="496">
        <f>SUMIFS(Таблица1[Столбец1],Таблица1[коэф],"1,4",Таблица1[р/р],"5/24",Таблица1[Ф. И. О.],B187)</f>
        <v>0</v>
      </c>
      <c r="X192" s="492">
        <f t="shared" si="19"/>
        <v>0</v>
      </c>
      <c r="Y192" s="796"/>
      <c r="Z192" s="798"/>
      <c r="AA192" s="787"/>
    </row>
    <row r="193" spans="1:29" ht="18.75">
      <c r="A193" s="785">
        <v>18</v>
      </c>
      <c r="B193" s="236"/>
      <c r="C193" s="788">
        <f>INDEX(база!$E$2:$E$81, MATCH(B198,база!$B$2:$B$50,0))</f>
        <v>17160</v>
      </c>
      <c r="D193" s="791">
        <f>INDEX(база!$D$2:$D$89, MATCH(B198,база!$B$2:$B$50,0))</f>
        <v>3</v>
      </c>
      <c r="E193" s="377">
        <f>IF(D193&lt;=3,база!$I$4,
IF(D193=4,база!$I$5,
IF(D193=5,база!$I$6)))</f>
        <v>188.7912</v>
      </c>
      <c r="F193" s="378">
        <v>1</v>
      </c>
      <c r="G193" s="387">
        <f>SUMIFS(Таблица1[Столбец1],Таблица1[коэф],"1",Таблица1[р/р],"2/4",Таблица1[Ф. И. О.],B198)</f>
        <v>0</v>
      </c>
      <c r="H193" s="402">
        <f t="shared" si="16"/>
        <v>0</v>
      </c>
      <c r="I193" s="381">
        <f>IF(D193&lt;=3,база!$J$4,
IF(D193=4,база!$J$5,
IF(D193=5,база!$J$6)))</f>
        <v>196.05240000000001</v>
      </c>
      <c r="J193" s="378">
        <v>1</v>
      </c>
      <c r="K193" s="428">
        <f>SUMIFS(Таблица1[Столбец1],Таблица1[коэф],"1",Таблица1[р/р],"2/8",Таблица1[Ф. И. О.],B198)</f>
        <v>0</v>
      </c>
      <c r="L193" s="383">
        <f t="shared" si="17"/>
        <v>0</v>
      </c>
      <c r="M193" s="428"/>
      <c r="N193" s="428">
        <v>1</v>
      </c>
      <c r="O193" s="428">
        <f>SUMIFS(Data_Tech!$AM$3:$AM$67,Data_Tech!$E$3:$E$67,"1",Data_Tech!$G$3:$G$67,"3/12",Data_Tech!$F$3:$F$67,B198)</f>
        <v>0</v>
      </c>
      <c r="P193" s="385">
        <f>ROUND(M193*N193*O193,2)</f>
        <v>0</v>
      </c>
      <c r="Q193" s="377">
        <f>IF(D193&lt;=3,база!$L$4,
IF(D193=4,база!$L$5,
IF(D193=5,база!$L$6)))</f>
        <v>210.57480000000001</v>
      </c>
      <c r="R193" s="378">
        <v>1</v>
      </c>
      <c r="S193" s="489">
        <f>SUMIFS(Таблица1[Столбец1],Таблица1[коэф],"1",Таблица1[р/р],"3/16",Таблица1[Ф. И. О.],B198)</f>
        <v>0</v>
      </c>
      <c r="T193" s="490">
        <f t="shared" si="18"/>
        <v>0</v>
      </c>
      <c r="U193" s="462">
        <f>IF(D193&lt;=3,база!$M$4,
IF(D193=4,база!$M$5,
IF(D193=5,база!$M$6)))</f>
        <v>225.09719999999999</v>
      </c>
      <c r="V193" s="378">
        <v>1</v>
      </c>
      <c r="W193" s="497">
        <f>SUMIFS(Таблица1[Столбец1],Таблица1[коэф],"1",Таблица1[р/р],"3/24",Таблица1[Ф. И. О.],B198)</f>
        <v>0</v>
      </c>
      <c r="X193" s="490">
        <f t="shared" si="19"/>
        <v>0</v>
      </c>
      <c r="Y193" s="795">
        <f t="shared" ref="Y193" si="30">SUM(G193:G203,K193:K203,O193:O203,S193:S203,W193:W203)</f>
        <v>0</v>
      </c>
      <c r="Z193" s="797">
        <f t="shared" ref="Z193" si="31">IFERROR(SUM(H193:H203,L193:L203,T193:T203,X193:X203),"")</f>
        <v>0</v>
      </c>
      <c r="AA193" s="786"/>
    </row>
    <row r="194" spans="1:29" ht="18.75">
      <c r="A194" s="786"/>
      <c r="B194" s="216"/>
      <c r="C194" s="789"/>
      <c r="D194" s="792"/>
      <c r="E194" s="389">
        <f>IF(D193&lt;=3,база!$I$4,
IF(D193=4,база!$I$5,
IF(D193=5,база!$I$6)))</f>
        <v>188.7912</v>
      </c>
      <c r="F194" s="390">
        <v>1</v>
      </c>
      <c r="G194" s="400">
        <f>SUMIFS(Таблица1[Столбец1],Таблица1[коэф],"1",Таблица1[р/р],"3/4",Таблица1[Ф. И. О.],B198)</f>
        <v>0</v>
      </c>
      <c r="H194" s="392">
        <f t="shared" si="16"/>
        <v>0</v>
      </c>
      <c r="I194" s="393">
        <f>IF(D193&lt;=3,база!$J$4,
IF(D193=4,база!$J$5,
IF(D193=5,база!$J$6)))</f>
        <v>196.05240000000001</v>
      </c>
      <c r="J194" s="390">
        <v>1</v>
      </c>
      <c r="K194" s="434">
        <f>SUMIFS(Таблица1[Столбец1],Таблица1[коэф],"1",Таблица1[р/р],"3/8",Таблица1[Ф. И. О.],B198)</f>
        <v>0</v>
      </c>
      <c r="L194" s="484">
        <f t="shared" si="17"/>
        <v>0</v>
      </c>
      <c r="M194" s="434"/>
      <c r="N194" s="434">
        <v>1</v>
      </c>
      <c r="O194" s="434">
        <f>SUMIFS(Data_Tech!$AM$3:$AM$67,Data_Tech!$E$3:$E$67,"1",Data_Tech!$G$3:$G$67,"4/12",Data_Tech!$F$3:$F$67,B198)</f>
        <v>0</v>
      </c>
      <c r="P194" s="406">
        <f>ROUND(M194*O194,2)</f>
        <v>0</v>
      </c>
      <c r="Q194" s="389">
        <f>база!$L$5</f>
        <v>231.45480000000001</v>
      </c>
      <c r="R194" s="390">
        <v>1</v>
      </c>
      <c r="S194" s="491">
        <f>SUMIFS(Таблица1[Столбец1],Таблица1[коэф],"1",Таблица1[р/р],"4/16",Таблица1[Ф. И. О.],B198)</f>
        <v>0</v>
      </c>
      <c r="T194" s="492">
        <f t="shared" si="18"/>
        <v>0</v>
      </c>
      <c r="U194" s="410">
        <f>база!$M$5</f>
        <v>247.41720000000001</v>
      </c>
      <c r="V194" s="390">
        <v>1</v>
      </c>
      <c r="W194" s="494">
        <f>SUMIFS(Таблица1[Столбец1],Таблица1[коэф],"1",Таблица1[р/р],"4/24",Таблица1[Ф. И. О.],B198)</f>
        <v>0</v>
      </c>
      <c r="X194" s="492">
        <f t="shared" si="19"/>
        <v>0</v>
      </c>
      <c r="Y194" s="795"/>
      <c r="Z194" s="797"/>
      <c r="AA194" s="786"/>
    </row>
    <row r="195" spans="1:29" ht="18.75">
      <c r="A195" s="786"/>
      <c r="B195" s="216"/>
      <c r="C195" s="789"/>
      <c r="D195" s="792"/>
      <c r="E195" s="389"/>
      <c r="F195" s="390"/>
      <c r="G195" s="400"/>
      <c r="H195" s="392">
        <f t="shared" si="16"/>
        <v>0</v>
      </c>
      <c r="I195" s="393"/>
      <c r="J195" s="390"/>
      <c r="K195" s="434"/>
      <c r="L195" s="484">
        <f t="shared" si="17"/>
        <v>0</v>
      </c>
      <c r="M195" s="434"/>
      <c r="N195" s="434"/>
      <c r="O195" s="434"/>
      <c r="P195" s="406"/>
      <c r="Q195" s="389">
        <f>база!$L$6</f>
        <v>261.04640000000001</v>
      </c>
      <c r="R195" s="390">
        <v>1</v>
      </c>
      <c r="S195" s="491">
        <f>SUMIFS(Таблица1[Столбец1],Таблица1[коэф],"1",Таблица1[р/р],"5/16",Таблица1[Ф. И. О.],B198)</f>
        <v>0</v>
      </c>
      <c r="T195" s="492">
        <f t="shared" si="18"/>
        <v>0</v>
      </c>
      <c r="U195" s="410">
        <f>база!$M$6</f>
        <v>279.0496</v>
      </c>
      <c r="V195" s="390">
        <v>1</v>
      </c>
      <c r="W195" s="494">
        <f>SUMIFS(Таблица1[Столбец1],Таблица1[коэф],"1",Таблица1[р/р],"5/24",Таблица1[Ф. И. О.],B198)</f>
        <v>0</v>
      </c>
      <c r="X195" s="493">
        <f t="shared" si="19"/>
        <v>0</v>
      </c>
      <c r="Y195" s="795"/>
      <c r="Z195" s="797"/>
      <c r="AA195" s="786"/>
    </row>
    <row r="196" spans="1:29" ht="18.75">
      <c r="A196" s="786"/>
      <c r="B196" s="216"/>
      <c r="C196" s="789"/>
      <c r="D196" s="792"/>
      <c r="E196" s="389"/>
      <c r="F196" s="390"/>
      <c r="G196" s="400"/>
      <c r="H196" s="392">
        <f t="shared" si="16"/>
        <v>0</v>
      </c>
      <c r="I196" s="393">
        <f>база!$J$5</f>
        <v>215.4924</v>
      </c>
      <c r="J196" s="390">
        <v>1.5</v>
      </c>
      <c r="K196" s="434">
        <f>SUMIFS(Таблица1[Столбец1],Таблица1[коэф],"1,5",Таблица1[р/р],"4/8",Таблица1[Ф. И. О.],B198)</f>
        <v>0</v>
      </c>
      <c r="L196" s="484">
        <f t="shared" si="17"/>
        <v>0</v>
      </c>
      <c r="M196" s="434"/>
      <c r="N196" s="434"/>
      <c r="O196" s="434"/>
      <c r="P196" s="406"/>
      <c r="Q196" s="389">
        <f>IF(D193&lt;=3,база!$L$4,
IF(D193=4,база!$L$5,
IF(D193=5,база!$L$6)))</f>
        <v>210.57480000000001</v>
      </c>
      <c r="R196" s="390">
        <v>1.2</v>
      </c>
      <c r="S196" s="491">
        <f>SUMIFS(Таблица1[Столбец1],Таблица1[коэф],"1,2",Таблица1[р/р],"3/16",Таблица1[Ф. И. О.],B198)</f>
        <v>0</v>
      </c>
      <c r="T196" s="492">
        <f t="shared" si="18"/>
        <v>0</v>
      </c>
      <c r="U196" s="410">
        <f>IF(D193&lt;=3,база!$M$4,
IF(D193=4,база!$M$5,
IF(D193=5,база!$M$6)))</f>
        <v>225.09719999999999</v>
      </c>
      <c r="V196" s="390">
        <v>1.2</v>
      </c>
      <c r="W196" s="494">
        <f>SUMIFS(Таблица1[Столбец1],Таблица1[коэф],"1,2",Таблица1[р/р],"3/24",Таблица1[Ф. И. О.],B198)</f>
        <v>0</v>
      </c>
      <c r="X196" s="492">
        <f t="shared" si="19"/>
        <v>0</v>
      </c>
      <c r="Y196" s="795"/>
      <c r="Z196" s="797"/>
      <c r="AA196" s="786"/>
    </row>
    <row r="197" spans="1:29" ht="18.75">
      <c r="A197" s="786"/>
      <c r="B197" s="216"/>
      <c r="C197" s="789"/>
      <c r="D197" s="792"/>
      <c r="E197" s="389"/>
      <c r="F197" s="390"/>
      <c r="G197" s="400"/>
      <c r="H197" s="392">
        <f t="shared" si="16"/>
        <v>0</v>
      </c>
      <c r="I197" s="393">
        <f>база!$J$6</f>
        <v>243.04319999999998</v>
      </c>
      <c r="J197" s="390">
        <v>1.5</v>
      </c>
      <c r="K197" s="434">
        <f>SUMIFS(Таблица1[Столбец1],Таблица1[коэф],"1,5",Таблица1[р/р],"5/8",Таблица1[Ф. И. О.],B198)</f>
        <v>0</v>
      </c>
      <c r="L197" s="484">
        <f t="shared" si="17"/>
        <v>0</v>
      </c>
      <c r="M197" s="434"/>
      <c r="N197" s="434"/>
      <c r="O197" s="434"/>
      <c r="P197" s="406"/>
      <c r="Q197" s="389">
        <f>база!$L$5</f>
        <v>231.45480000000001</v>
      </c>
      <c r="R197" s="390">
        <v>1.2</v>
      </c>
      <c r="S197" s="491">
        <f>SUMIFS(Таблица1[Столбец1],Таблица1[коэф],"1,2",Таблица1[р/р],"4/16",Таблица1[Ф. И. О.],B198)</f>
        <v>0</v>
      </c>
      <c r="T197" s="492">
        <f t="shared" si="18"/>
        <v>0</v>
      </c>
      <c r="U197" s="410">
        <f>база!$M$5</f>
        <v>247.41720000000001</v>
      </c>
      <c r="V197" s="390">
        <v>1.2</v>
      </c>
      <c r="W197" s="494">
        <f>SUMIFS(Таблица1[Столбец1],Таблица1[коэф],"1,2",Таблица1[р/р],"4/24",Таблица1[Ф. И. О.],B198)</f>
        <v>0</v>
      </c>
      <c r="X197" s="492">
        <f t="shared" si="19"/>
        <v>0</v>
      </c>
      <c r="Y197" s="795"/>
      <c r="Z197" s="797"/>
      <c r="AA197" s="786"/>
    </row>
    <row r="198" spans="1:29" ht="18.75" customHeight="1">
      <c r="A198" s="786"/>
      <c r="B198" s="216" t="str">
        <f>база!B19</f>
        <v>Дорофеева Юлия Николаевна</v>
      </c>
      <c r="C198" s="789"/>
      <c r="D198" s="792"/>
      <c r="E198" s="389"/>
      <c r="F198" s="390"/>
      <c r="G198" s="400"/>
      <c r="H198" s="392">
        <f t="shared" si="16"/>
        <v>0</v>
      </c>
      <c r="I198" s="393"/>
      <c r="J198" s="390"/>
      <c r="K198" s="434"/>
      <c r="L198" s="484">
        <f t="shared" si="17"/>
        <v>0</v>
      </c>
      <c r="M198" s="434"/>
      <c r="N198" s="434"/>
      <c r="O198" s="434"/>
      <c r="P198" s="406"/>
      <c r="Q198" s="389">
        <f>база!$L$6</f>
        <v>261.04640000000001</v>
      </c>
      <c r="R198" s="390">
        <v>1.2</v>
      </c>
      <c r="S198" s="491">
        <f>SUMIFS(Таблица1[Столбец1],Таблица1[коэф],"1,2",Таблица1[р/р],"5/16",Таблица1[Ф. И. О.],B198)</f>
        <v>0</v>
      </c>
      <c r="T198" s="492">
        <f t="shared" si="18"/>
        <v>0</v>
      </c>
      <c r="U198" s="410">
        <f>база!$M$6</f>
        <v>279.0496</v>
      </c>
      <c r="V198" s="390">
        <v>1.2</v>
      </c>
      <c r="W198" s="494">
        <f>SUMIFS(Таблица1[Столбец1],Таблица1[коэф],"1,2",Таблица1[р/р],"5/24",Таблица1[Ф. И. О.],B198)</f>
        <v>0</v>
      </c>
      <c r="X198" s="492">
        <f t="shared" si="19"/>
        <v>0</v>
      </c>
      <c r="Y198" s="795"/>
      <c r="Z198" s="797"/>
      <c r="AA198" s="786"/>
      <c r="AC198" s="727" t="str">
        <f>IF(SUMIFS(Таблица1[Столбец3],Таблица1[Ф. И. О.],B198)-Z193=0,"",SUMIFS(Таблица1[Столбец3],Таблица1[Ф. И. О.],B198)-Z193)</f>
        <v/>
      </c>
    </row>
    <row r="199" spans="1:29" ht="18.75">
      <c r="A199" s="786"/>
      <c r="B199" s="216"/>
      <c r="C199" s="789"/>
      <c r="D199" s="792"/>
      <c r="E199" s="389"/>
      <c r="F199" s="390"/>
      <c r="G199" s="400"/>
      <c r="H199" s="392">
        <f t="shared" ref="H199:H511" si="32">ROUND(E199*F199*G199*2,2)</f>
        <v>0</v>
      </c>
      <c r="I199" s="393"/>
      <c r="J199" s="390"/>
      <c r="K199" s="434"/>
      <c r="L199" s="484">
        <f t="shared" ref="L199:L511" si="33">ROUND(I199*J199*K199*2,2)</f>
        <v>0</v>
      </c>
      <c r="M199" s="434"/>
      <c r="N199" s="434"/>
      <c r="O199" s="434"/>
      <c r="P199" s="406"/>
      <c r="Q199" s="389">
        <f>IF(D193&lt;=3,база!$L$4,
IF(D193=4,база!$L$5,
IF(D193=5,база!$L$6)))</f>
        <v>210.57480000000001</v>
      </c>
      <c r="R199" s="390">
        <v>1.3</v>
      </c>
      <c r="S199" s="491">
        <f>SUMIFS(Таблица1[Столбец1],Таблица1[коэф],"1,3",Таблица1[р/р],"3/16",Таблица1[Ф. И. О.],B198)</f>
        <v>0</v>
      </c>
      <c r="T199" s="492">
        <f t="shared" ref="T199:T511" si="34">ROUND(Q199*R199*S199*2,2)</f>
        <v>0</v>
      </c>
      <c r="U199" s="410">
        <f>IF(D193&lt;=3,база!$M$4,
IF(D193=4,база!$M$5,
IF(D193=5,база!$M$6)))</f>
        <v>225.09719999999999</v>
      </c>
      <c r="V199" s="390">
        <v>1.3</v>
      </c>
      <c r="W199" s="494">
        <f>SUMIFS(Таблица1[Столбец1],Таблица1[коэф],"1,3",Таблица1[р/р],"3/24",Таблица1[Ф. И. О.],B198)</f>
        <v>0</v>
      </c>
      <c r="X199" s="492">
        <f t="shared" ref="X199:X511" si="35">ROUND(U199*V199*W199*2,2)</f>
        <v>0</v>
      </c>
      <c r="Y199" s="795"/>
      <c r="Z199" s="797"/>
      <c r="AA199" s="786"/>
      <c r="AC199" s="727" t="str">
        <f>IF(SUMIFS(Таблица1[Столбец1],Таблица1[Ф. И. О.],B198)=Y193,"",B198&amp;"  часы не верны")</f>
        <v/>
      </c>
    </row>
    <row r="200" spans="1:29" ht="18.75">
      <c r="A200" s="786"/>
      <c r="B200" s="216"/>
      <c r="C200" s="789"/>
      <c r="D200" s="792"/>
      <c r="E200" s="389"/>
      <c r="F200" s="390"/>
      <c r="G200" s="400"/>
      <c r="H200" s="392">
        <f t="shared" si="32"/>
        <v>0</v>
      </c>
      <c r="I200" s="393"/>
      <c r="J200" s="390"/>
      <c r="K200" s="434"/>
      <c r="L200" s="484">
        <f t="shared" si="33"/>
        <v>0</v>
      </c>
      <c r="M200" s="434"/>
      <c r="N200" s="434"/>
      <c r="O200" s="434"/>
      <c r="P200" s="406"/>
      <c r="Q200" s="389">
        <f>база!$L$5</f>
        <v>231.45480000000001</v>
      </c>
      <c r="R200" s="390">
        <v>1.3</v>
      </c>
      <c r="S200" s="491">
        <f>SUMIFS(Таблица1[Столбец1],Таблица1[коэф],"1,3",Таблица1[р/р],"4/16",Таблица1[Ф. И. О.],B198)</f>
        <v>0</v>
      </c>
      <c r="T200" s="492">
        <f t="shared" si="34"/>
        <v>0</v>
      </c>
      <c r="U200" s="410">
        <f>база!$M$5</f>
        <v>247.41720000000001</v>
      </c>
      <c r="V200" s="390">
        <v>1.3</v>
      </c>
      <c r="W200" s="494">
        <f>SUMIFS(Таблица1[Столбец1],Таблица1[коэф],"1,3",Таблица1[р/р],"4/24",Таблица1[Ф. И. О.],B198)</f>
        <v>0</v>
      </c>
      <c r="X200" s="492">
        <f t="shared" si="35"/>
        <v>0</v>
      </c>
      <c r="Y200" s="795"/>
      <c r="Z200" s="797"/>
      <c r="AA200" s="786"/>
    </row>
    <row r="201" spans="1:29" ht="18.75">
      <c r="A201" s="786"/>
      <c r="B201" s="216"/>
      <c r="C201" s="789"/>
      <c r="D201" s="792"/>
      <c r="E201" s="389"/>
      <c r="F201" s="390"/>
      <c r="G201" s="400"/>
      <c r="H201" s="392">
        <f t="shared" si="32"/>
        <v>0</v>
      </c>
      <c r="I201" s="393"/>
      <c r="J201" s="390"/>
      <c r="K201" s="434"/>
      <c r="L201" s="484">
        <f t="shared" si="33"/>
        <v>0</v>
      </c>
      <c r="M201" s="434"/>
      <c r="N201" s="434"/>
      <c r="O201" s="434"/>
      <c r="P201" s="406"/>
      <c r="Q201" s="389">
        <f>IF(D193&lt;=3,база!$L$4,
IF(D193=4,база!$L$5,
IF(D193=5,база!$L$6)))</f>
        <v>210.57480000000001</v>
      </c>
      <c r="R201" s="390">
        <v>1.4</v>
      </c>
      <c r="S201" s="491">
        <f>SUMIFS(Таблица1[Столбец1],Таблица1[коэф],"1,4",Таблица1[р/р],"3/16",Таблица1[Ф. И. О.],B198)</f>
        <v>0</v>
      </c>
      <c r="T201" s="492">
        <f t="shared" si="34"/>
        <v>0</v>
      </c>
      <c r="U201" s="410">
        <f>IF(D193&lt;=3,база!$M$4,
IF(D193=4,база!$M$5,
IF(D193=5,база!$M$6)))</f>
        <v>225.09719999999999</v>
      </c>
      <c r="V201" s="390">
        <v>1.4</v>
      </c>
      <c r="W201" s="494">
        <f>SUMIFS(Таблица1[Столбец1],Таблица1[коэф],"1,4",Таблица1[р/р],"3/24",Таблица1[Ф. И. О.],B198)</f>
        <v>0</v>
      </c>
      <c r="X201" s="492">
        <f t="shared" si="35"/>
        <v>0</v>
      </c>
      <c r="Y201" s="795"/>
      <c r="Z201" s="797"/>
      <c r="AA201" s="786"/>
    </row>
    <row r="202" spans="1:29" ht="18.75">
      <c r="A202" s="786"/>
      <c r="B202" s="216"/>
      <c r="C202" s="789"/>
      <c r="D202" s="792"/>
      <c r="E202" s="389"/>
      <c r="F202" s="390"/>
      <c r="G202" s="400"/>
      <c r="H202" s="392">
        <f t="shared" si="32"/>
        <v>0</v>
      </c>
      <c r="I202" s="393"/>
      <c r="J202" s="390"/>
      <c r="K202" s="434"/>
      <c r="L202" s="484">
        <f t="shared" si="33"/>
        <v>0</v>
      </c>
      <c r="M202" s="434"/>
      <c r="N202" s="434"/>
      <c r="O202" s="434"/>
      <c r="P202" s="406"/>
      <c r="Q202" s="389">
        <f>база!$L$5</f>
        <v>231.45480000000001</v>
      </c>
      <c r="R202" s="390">
        <v>1.4</v>
      </c>
      <c r="S202" s="491">
        <f>SUMIFS(Таблица1[Столбец1],Таблица1[коэф],"1,4",Таблица1[р/р],"4/16",Таблица1[Ф. И. О.],B198)</f>
        <v>0</v>
      </c>
      <c r="T202" s="492">
        <f t="shared" si="34"/>
        <v>0</v>
      </c>
      <c r="U202" s="410">
        <f>база!$M$5</f>
        <v>247.41720000000001</v>
      </c>
      <c r="V202" s="390">
        <v>1.4</v>
      </c>
      <c r="W202" s="494">
        <f>SUMIFS(Таблица1[Столбец1],Таблица1[коэф],"1,4",Таблица1[р/р],"4/24",Таблица1[Ф. И. О.],B198)</f>
        <v>0</v>
      </c>
      <c r="X202" s="492">
        <f t="shared" si="35"/>
        <v>0</v>
      </c>
      <c r="Y202" s="795"/>
      <c r="Z202" s="797"/>
      <c r="AA202" s="786"/>
    </row>
    <row r="203" spans="1:29" ht="19.5" thickBot="1">
      <c r="A203" s="787"/>
      <c r="B203" s="203"/>
      <c r="C203" s="790"/>
      <c r="D203" s="793"/>
      <c r="E203" s="473"/>
      <c r="F203" s="464"/>
      <c r="G203" s="465"/>
      <c r="H203" s="468">
        <f t="shared" si="32"/>
        <v>0</v>
      </c>
      <c r="I203" s="463"/>
      <c r="J203" s="464"/>
      <c r="K203" s="457"/>
      <c r="L203" s="484">
        <f t="shared" si="33"/>
        <v>0</v>
      </c>
      <c r="M203" s="457"/>
      <c r="N203" s="457"/>
      <c r="O203" s="457"/>
      <c r="P203" s="476"/>
      <c r="Q203" s="473">
        <f>база!$L$6</f>
        <v>261.04640000000001</v>
      </c>
      <c r="R203" s="464">
        <v>1.4</v>
      </c>
      <c r="S203" s="512">
        <f>SUMIFS(Таблица1[Столбец1],Таблица1[коэф],"1,4",Таблица1[р/р],"5/16",Таблица1[Ф. И. О.],B198)</f>
        <v>0</v>
      </c>
      <c r="T203" s="492">
        <f t="shared" si="34"/>
        <v>0</v>
      </c>
      <c r="U203" s="469">
        <f>база!$M$6</f>
        <v>279.0496</v>
      </c>
      <c r="V203" s="464">
        <v>1.4</v>
      </c>
      <c r="W203" s="501">
        <f>SUMIFS(Таблица1[Столбец1],Таблица1[коэф],"1,4",Таблица1[р/р],"5/24",Таблица1[Ф. И. О.],B198)</f>
        <v>0</v>
      </c>
      <c r="X203" s="492">
        <f t="shared" si="35"/>
        <v>0</v>
      </c>
      <c r="Y203" s="796"/>
      <c r="Z203" s="798"/>
      <c r="AA203" s="787"/>
    </row>
    <row r="204" spans="1:29" ht="18.75">
      <c r="A204" s="785">
        <v>18</v>
      </c>
      <c r="B204" s="236"/>
      <c r="C204" s="788">
        <f>INDEX(база!$E$2:$E$81, MATCH(B209,база!$B$2:$B$50,0))</f>
        <v>16860</v>
      </c>
      <c r="D204" s="791">
        <f>INDEX(база!$D$2:$D$89, MATCH(B209,база!$B$2:$B$50,0))</f>
        <v>3</v>
      </c>
      <c r="E204" s="451">
        <f>IF(D204&lt;=3,база!$I$4,
IF(D204=4,база!$I$5,
IF(D204=5,база!$I$6)))</f>
        <v>188.7912</v>
      </c>
      <c r="F204" s="417">
        <v>1</v>
      </c>
      <c r="G204" s="418">
        <f>SUMIFS(Таблица1[Столбец1],Таблица1[коэф],"1",Таблица1[р/р],"2/4",Таблица1[Ф. И. О.],B209)</f>
        <v>0</v>
      </c>
      <c r="H204" s="402">
        <f t="shared" si="32"/>
        <v>0</v>
      </c>
      <c r="I204" s="377">
        <f>IF(D204&lt;=3,база!$J$4,
IF(D204=4,база!$J$5,
IF(D204=5,база!$J$6)))</f>
        <v>196.05240000000001</v>
      </c>
      <c r="J204" s="378">
        <v>1</v>
      </c>
      <c r="K204" s="428">
        <f>SUMIFS(Таблица1[Столбец1],Таблица1[коэф],"1",Таблица1[р/р],"2/8",Таблица1[Ф. И. О.],B209)</f>
        <v>0</v>
      </c>
      <c r="L204" s="383">
        <f t="shared" si="33"/>
        <v>0</v>
      </c>
      <c r="M204" s="452"/>
      <c r="N204" s="453">
        <v>1</v>
      </c>
      <c r="O204" s="453">
        <f>SUMIFS(Data_Tech!$AM$3:$AM$67,Data_Tech!$E$3:$E$67,"1",Data_Tech!$G$3:$G$67,"3/12",Data_Tech!$F$3:$F$67,B209)</f>
        <v>0</v>
      </c>
      <c r="P204" s="453">
        <f>ROUND(M204*N204*O204,2)</f>
        <v>0</v>
      </c>
      <c r="Q204" s="416">
        <f>IF(D204&lt;=3,база!$L$4,
IF(D204=4,база!$L$5,
IF(D204=5,база!$L$6)))</f>
        <v>210.57480000000001</v>
      </c>
      <c r="R204" s="417">
        <v>1</v>
      </c>
      <c r="S204" s="495">
        <f>SUMIFS(Таблица1[Столбец1],Таблица1[коэф],"1",Таблица1[р/р],"3/16",Таблица1[Ф. И. О.],B209)</f>
        <v>0</v>
      </c>
      <c r="T204" s="490">
        <f t="shared" si="34"/>
        <v>0</v>
      </c>
      <c r="U204" s="471">
        <f>IF(D204&lt;=3,база!$M$4,
IF(D204=4,база!$M$5,
IF(D204=5,база!$M$6)))</f>
        <v>225.09719999999999</v>
      </c>
      <c r="V204" s="378">
        <v>1</v>
      </c>
      <c r="W204" s="497">
        <f>SUMIFS(Таблица1[Столбец1],Таблица1[коэф],"1",Таблица1[р/р],"3/24",Таблица1[Ф. И. О.],B209)</f>
        <v>0</v>
      </c>
      <c r="X204" s="490">
        <f t="shared" si="35"/>
        <v>0</v>
      </c>
      <c r="Y204" s="795">
        <f t="shared" ref="Y204" si="36">SUM(G204:G214,K204:K214,O204:O214,S204:S214,W204:W214)</f>
        <v>0</v>
      </c>
      <c r="Z204" s="797">
        <f t="shared" ref="Z204" si="37">IFERROR(SUM(H204:H214,L204:L214,T204:T214,X204:X214),"")</f>
        <v>0</v>
      </c>
      <c r="AA204" s="786"/>
    </row>
    <row r="205" spans="1:29" ht="18.75">
      <c r="A205" s="786"/>
      <c r="B205" s="216"/>
      <c r="C205" s="789"/>
      <c r="D205" s="792"/>
      <c r="E205" s="393">
        <f>IF(D204&lt;=3,база!$I$4,
IF(D204=4,база!$I$5,
IF(D204=5,база!$I$6)))</f>
        <v>188.7912</v>
      </c>
      <c r="F205" s="390">
        <v>1</v>
      </c>
      <c r="G205" s="400">
        <f>SUMIFS(Таблица1[Столбец1],Таблица1[коэф],"1",Таблица1[р/р],"3/4",Таблица1[Ф. И. О.],B209)</f>
        <v>0</v>
      </c>
      <c r="H205" s="392">
        <f t="shared" si="32"/>
        <v>0</v>
      </c>
      <c r="I205" s="389">
        <f>IF(D204&lt;=3,база!$J$4,
IF(D204=4,база!$J$5,
IF(D204=5,база!$J$6)))</f>
        <v>196.05240000000001</v>
      </c>
      <c r="J205" s="390">
        <v>1</v>
      </c>
      <c r="K205" s="434">
        <f>SUMIFS(Таблица1[Столбец1],Таблица1[коэф],"1",Таблица1[р/р],"3/8",Таблица1[Ф. И. О.],B209)</f>
        <v>0</v>
      </c>
      <c r="L205" s="484">
        <f t="shared" si="33"/>
        <v>0</v>
      </c>
      <c r="M205" s="432"/>
      <c r="N205" s="434">
        <v>1</v>
      </c>
      <c r="O205" s="434">
        <f>SUMIFS(Data_Tech!$AM$3:$AM$67,Data_Tech!$E$3:$E$67,"1",Data_Tech!$G$3:$G$67,"4/12",Data_Tech!$F$3:$F$67,B209)</f>
        <v>0</v>
      </c>
      <c r="P205" s="434">
        <f>ROUND(M205*O205,2)</f>
        <v>0</v>
      </c>
      <c r="Q205" s="399">
        <f>база!$L$5</f>
        <v>231.45480000000001</v>
      </c>
      <c r="R205" s="390">
        <v>1</v>
      </c>
      <c r="S205" s="491">
        <f>SUMIFS(Таблица1[Столбец1],Таблица1[коэф],"1",Таблица1[р/р],"4/16",Таблица1[Ф. И. О.],B209)</f>
        <v>0</v>
      </c>
      <c r="T205" s="492">
        <f t="shared" si="34"/>
        <v>0</v>
      </c>
      <c r="U205" s="472">
        <f>база!$M$5</f>
        <v>247.41720000000001</v>
      </c>
      <c r="V205" s="390">
        <v>1</v>
      </c>
      <c r="W205" s="494">
        <f>SUMIFS(Таблица1[Столбец1],Таблица1[коэф],"1",Таблица1[р/р],"4/24",Таблица1[Ф. И. О.],B209)</f>
        <v>0</v>
      </c>
      <c r="X205" s="492">
        <f t="shared" si="35"/>
        <v>0</v>
      </c>
      <c r="Y205" s="795"/>
      <c r="Z205" s="797"/>
      <c r="AA205" s="786"/>
    </row>
    <row r="206" spans="1:29" ht="18.75">
      <c r="A206" s="786"/>
      <c r="B206" s="216"/>
      <c r="C206" s="789"/>
      <c r="D206" s="792"/>
      <c r="E206" s="393"/>
      <c r="F206" s="390"/>
      <c r="G206" s="400"/>
      <c r="H206" s="392">
        <f t="shared" si="32"/>
        <v>0</v>
      </c>
      <c r="I206" s="389"/>
      <c r="J206" s="390"/>
      <c r="K206" s="434"/>
      <c r="L206" s="484">
        <f t="shared" si="33"/>
        <v>0</v>
      </c>
      <c r="M206" s="432"/>
      <c r="N206" s="434"/>
      <c r="O206" s="434"/>
      <c r="P206" s="434"/>
      <c r="Q206" s="399">
        <f>база!$L$6</f>
        <v>261.04640000000001</v>
      </c>
      <c r="R206" s="390">
        <v>1</v>
      </c>
      <c r="S206" s="491">
        <f>SUMIFS(Таблица1[Столбец1],Таблица1[коэф],"1",Таблица1[р/р],"5/16",Таблица1[Ф. И. О.],B209)</f>
        <v>0</v>
      </c>
      <c r="T206" s="492">
        <f t="shared" si="34"/>
        <v>0</v>
      </c>
      <c r="U206" s="472">
        <f>база!$M$6</f>
        <v>279.0496</v>
      </c>
      <c r="V206" s="390">
        <v>1</v>
      </c>
      <c r="W206" s="494">
        <f>SUMIFS(Таблица1[Столбец1],Таблица1[коэф],"1",Таблица1[р/р],"5/24",Таблица1[Ф. И. О.],B209)</f>
        <v>0</v>
      </c>
      <c r="X206" s="492">
        <f t="shared" si="35"/>
        <v>0</v>
      </c>
      <c r="Y206" s="795"/>
      <c r="Z206" s="797"/>
      <c r="AA206" s="786"/>
    </row>
    <row r="207" spans="1:29" ht="18.75">
      <c r="A207" s="786"/>
      <c r="B207" s="216"/>
      <c r="C207" s="789"/>
      <c r="D207" s="792"/>
      <c r="E207" s="393"/>
      <c r="F207" s="390"/>
      <c r="G207" s="400"/>
      <c r="H207" s="392">
        <f t="shared" si="32"/>
        <v>0</v>
      </c>
      <c r="I207" s="389">
        <f>база!$J$5</f>
        <v>215.4924</v>
      </c>
      <c r="J207" s="390">
        <v>1.5</v>
      </c>
      <c r="K207" s="434">
        <f>SUMIFS(Таблица1[Столбец1],Таблица1[коэф],"1,5",Таблица1[р/р],"4/8",Таблица1[Ф. И. О.],B209)</f>
        <v>0</v>
      </c>
      <c r="L207" s="484">
        <f t="shared" si="33"/>
        <v>0</v>
      </c>
      <c r="M207" s="432"/>
      <c r="N207" s="434"/>
      <c r="O207" s="434"/>
      <c r="P207" s="434"/>
      <c r="Q207" s="399">
        <f>IF(D204&lt;=3,база!$L$4,
IF(D204=4,база!$L$5,
IF(D204=5,база!$L$6)))</f>
        <v>210.57480000000001</v>
      </c>
      <c r="R207" s="390">
        <v>1.2</v>
      </c>
      <c r="S207" s="491">
        <f>SUMIFS(Таблица1[Столбец1],Таблица1[коэф],"1,2",Таблица1[р/р],"3/16",Таблица1[Ф. И. О.],B209)</f>
        <v>0</v>
      </c>
      <c r="T207" s="492">
        <f t="shared" si="34"/>
        <v>0</v>
      </c>
      <c r="U207" s="472">
        <f>IF(D204&lt;=3,база!$M$4,
IF(D204=4,база!$M$5,
IF(D204=5,база!$M$6)))</f>
        <v>225.09719999999999</v>
      </c>
      <c r="V207" s="390">
        <v>1.2</v>
      </c>
      <c r="W207" s="494">
        <f>SUMIFS(Таблица1[Столбец1],Таблица1[коэф],"1,2",Таблица1[р/р],"3/24",Таблица1[Ф. И. О.],B209)</f>
        <v>0</v>
      </c>
      <c r="X207" s="492">
        <f t="shared" si="35"/>
        <v>0</v>
      </c>
      <c r="Y207" s="795"/>
      <c r="Z207" s="797"/>
      <c r="AA207" s="786"/>
    </row>
    <row r="208" spans="1:29" ht="18.75">
      <c r="A208" s="786"/>
      <c r="B208" s="216"/>
      <c r="C208" s="789"/>
      <c r="D208" s="792"/>
      <c r="E208" s="393"/>
      <c r="F208" s="390"/>
      <c r="G208" s="400"/>
      <c r="H208" s="392">
        <f t="shared" si="32"/>
        <v>0</v>
      </c>
      <c r="I208" s="389">
        <f>база!$J$6</f>
        <v>243.04319999999998</v>
      </c>
      <c r="J208" s="390">
        <v>1.5</v>
      </c>
      <c r="K208" s="434">
        <f>SUMIFS(Таблица1[Столбец1],Таблица1[коэф],"1,5",Таблица1[р/р],"5/8",Таблица1[Ф. И. О.],B209)</f>
        <v>0</v>
      </c>
      <c r="L208" s="484">
        <f t="shared" si="33"/>
        <v>0</v>
      </c>
      <c r="M208" s="432"/>
      <c r="N208" s="434"/>
      <c r="O208" s="434"/>
      <c r="P208" s="434"/>
      <c r="Q208" s="399">
        <f>база!$L$5</f>
        <v>231.45480000000001</v>
      </c>
      <c r="R208" s="390">
        <v>1.2</v>
      </c>
      <c r="S208" s="491">
        <f>SUMIFS(Таблица1[Столбец1],Таблица1[коэф],"1,2",Таблица1[р/р],"4/16",Таблица1[Ф. И. О.],B209)</f>
        <v>0</v>
      </c>
      <c r="T208" s="492">
        <f t="shared" si="34"/>
        <v>0</v>
      </c>
      <c r="U208" s="472">
        <f>база!$M$5</f>
        <v>247.41720000000001</v>
      </c>
      <c r="V208" s="390">
        <v>1.2</v>
      </c>
      <c r="W208" s="494">
        <f>SUMIFS(Таблица1[Столбец1],Таблица1[коэф],"1,2",Таблица1[р/р],"4/24",Таблица1[Ф. И. О.],B209)</f>
        <v>0</v>
      </c>
      <c r="X208" s="492">
        <f t="shared" si="35"/>
        <v>0</v>
      </c>
      <c r="Y208" s="795"/>
      <c r="Z208" s="797"/>
      <c r="AA208" s="786"/>
    </row>
    <row r="209" spans="1:29" ht="18" customHeight="1">
      <c r="A209" s="786"/>
      <c r="B209" s="216" t="str">
        <f>база!B20</f>
        <v>Егоров Дмитрий Геннадьевич</v>
      </c>
      <c r="C209" s="789"/>
      <c r="D209" s="792"/>
      <c r="E209" s="393"/>
      <c r="F209" s="390"/>
      <c r="G209" s="400"/>
      <c r="H209" s="392">
        <f t="shared" si="32"/>
        <v>0</v>
      </c>
      <c r="I209" s="389"/>
      <c r="J209" s="390"/>
      <c r="K209" s="434"/>
      <c r="L209" s="484">
        <f t="shared" si="33"/>
        <v>0</v>
      </c>
      <c r="M209" s="432"/>
      <c r="N209" s="434"/>
      <c r="O209" s="434"/>
      <c r="P209" s="434"/>
      <c r="Q209" s="399">
        <f>база!$L$6</f>
        <v>261.04640000000001</v>
      </c>
      <c r="R209" s="390">
        <v>1.2</v>
      </c>
      <c r="S209" s="491">
        <f>SUMIFS(Таблица1[Столбец1],Таблица1[коэф],"1,2",Таблица1[р/р],"5/16",Таблица1[Ф. И. О.],B209)</f>
        <v>0</v>
      </c>
      <c r="T209" s="492">
        <f t="shared" si="34"/>
        <v>0</v>
      </c>
      <c r="U209" s="472">
        <f>база!$M$6</f>
        <v>279.0496</v>
      </c>
      <c r="V209" s="390">
        <v>1.2</v>
      </c>
      <c r="W209" s="494">
        <f>SUMIFS(Таблица1[Столбец1],Таблица1[коэф],"1,2",Таблица1[р/р],"5/24",Таблица1[Ф. И. О.],B209)</f>
        <v>0</v>
      </c>
      <c r="X209" s="492">
        <f t="shared" si="35"/>
        <v>0</v>
      </c>
      <c r="Y209" s="795"/>
      <c r="Z209" s="797"/>
      <c r="AA209" s="786"/>
      <c r="AC209" s="727" t="str">
        <f>IF(SUMIFS(Таблица1[Столбец3],Таблица1[Ф. И. О.],B209)-Z204=0,"",SUMIFS(Таблица1[Столбец3],Таблица1[Ф. И. О.],B209)-Z204)</f>
        <v/>
      </c>
    </row>
    <row r="210" spans="1:29" ht="18.75">
      <c r="A210" s="786"/>
      <c r="B210" s="216"/>
      <c r="C210" s="789"/>
      <c r="D210" s="792"/>
      <c r="E210" s="393"/>
      <c r="F210" s="390"/>
      <c r="G210" s="400"/>
      <c r="H210" s="392">
        <f t="shared" si="32"/>
        <v>0</v>
      </c>
      <c r="I210" s="389"/>
      <c r="J210" s="390"/>
      <c r="K210" s="434"/>
      <c r="L210" s="484">
        <f t="shared" si="33"/>
        <v>0</v>
      </c>
      <c r="M210" s="432"/>
      <c r="N210" s="434"/>
      <c r="O210" s="434"/>
      <c r="P210" s="434"/>
      <c r="Q210" s="399">
        <f>IF(D204&lt;=3,база!$L$4,
IF(D204=4,база!$L$5,
IF(D204=5,база!$L$6)))</f>
        <v>210.57480000000001</v>
      </c>
      <c r="R210" s="390">
        <v>1.3</v>
      </c>
      <c r="S210" s="491">
        <f>SUMIFS(Таблица1[Столбец1],Таблица1[коэф],"1,3",Таблица1[р/р],"3/16",Таблица1[Ф. И. О.],B209)</f>
        <v>0</v>
      </c>
      <c r="T210" s="492">
        <f t="shared" si="34"/>
        <v>0</v>
      </c>
      <c r="U210" s="472">
        <f>IF(D204&lt;=3,база!$M$4,
IF(D204=4,база!$M$5,
IF(D204=5,база!$M$6)))</f>
        <v>225.09719999999999</v>
      </c>
      <c r="V210" s="390">
        <v>1.3</v>
      </c>
      <c r="W210" s="494">
        <f>SUMIFS(Таблица1[Столбец1],Таблица1[коэф],"1,3",Таблица1[р/р],"3/24",Таблица1[Ф. И. О.],B209)</f>
        <v>0</v>
      </c>
      <c r="X210" s="492">
        <f t="shared" si="35"/>
        <v>0</v>
      </c>
      <c r="Y210" s="795"/>
      <c r="Z210" s="797"/>
      <c r="AA210" s="786"/>
      <c r="AC210" s="727" t="str">
        <f>IF(SUMIFS(Таблица1[Столбец1],Таблица1[Ф. И. О.],B209)=Y204,"",B209&amp;"  часы не верны")</f>
        <v/>
      </c>
    </row>
    <row r="211" spans="1:29" ht="18.75">
      <c r="A211" s="786"/>
      <c r="B211" s="216"/>
      <c r="C211" s="789"/>
      <c r="D211" s="792"/>
      <c r="E211" s="393"/>
      <c r="F211" s="390"/>
      <c r="G211" s="400"/>
      <c r="H211" s="392">
        <f t="shared" si="32"/>
        <v>0</v>
      </c>
      <c r="I211" s="389"/>
      <c r="J211" s="390"/>
      <c r="K211" s="434"/>
      <c r="L211" s="484">
        <f t="shared" si="33"/>
        <v>0</v>
      </c>
      <c r="M211" s="432"/>
      <c r="N211" s="434"/>
      <c r="O211" s="434"/>
      <c r="P211" s="434"/>
      <c r="Q211" s="399">
        <f>база!$L$5</f>
        <v>231.45480000000001</v>
      </c>
      <c r="R211" s="390">
        <v>1.3</v>
      </c>
      <c r="S211" s="491">
        <f>SUMIFS(Таблица1[Столбец1],Таблица1[коэф],"1,3",Таблица1[р/р],"4/16",Таблица1[Ф. И. О.],B209)</f>
        <v>0</v>
      </c>
      <c r="T211" s="492">
        <f t="shared" si="34"/>
        <v>0</v>
      </c>
      <c r="U211" s="472">
        <f>база!$M$5</f>
        <v>247.41720000000001</v>
      </c>
      <c r="V211" s="390">
        <v>1.3</v>
      </c>
      <c r="W211" s="494">
        <f>SUMIFS(Таблица1[Столбец1],Таблица1[коэф],"1,3",Таблица1[р/р],"4/24",Таблица1[Ф. И. О.],B209)</f>
        <v>0</v>
      </c>
      <c r="X211" s="492">
        <f t="shared" si="35"/>
        <v>0</v>
      </c>
      <c r="Y211" s="795"/>
      <c r="Z211" s="797"/>
      <c r="AA211" s="786"/>
    </row>
    <row r="212" spans="1:29" ht="18.75">
      <c r="A212" s="786"/>
      <c r="B212" s="216"/>
      <c r="C212" s="789"/>
      <c r="D212" s="792"/>
      <c r="E212" s="393"/>
      <c r="F212" s="390"/>
      <c r="G212" s="400"/>
      <c r="H212" s="392">
        <f t="shared" si="32"/>
        <v>0</v>
      </c>
      <c r="I212" s="389"/>
      <c r="J212" s="390"/>
      <c r="K212" s="434"/>
      <c r="L212" s="484">
        <f t="shared" si="33"/>
        <v>0</v>
      </c>
      <c r="M212" s="432"/>
      <c r="N212" s="434"/>
      <c r="O212" s="434"/>
      <c r="P212" s="434"/>
      <c r="Q212" s="399">
        <f>IF(D204&lt;=3,база!$L$4,
IF(D204=4,база!$L$5,
IF(D204=5,база!$L$6)))</f>
        <v>210.57480000000001</v>
      </c>
      <c r="R212" s="390">
        <v>1.4</v>
      </c>
      <c r="S212" s="491">
        <f>SUMIFS(Таблица1[Столбец1],Таблица1[коэф],"1,4",Таблица1[р/р],"3/16",Таблица1[Ф. И. О.],B209)</f>
        <v>0</v>
      </c>
      <c r="T212" s="492">
        <f t="shared" si="34"/>
        <v>0</v>
      </c>
      <c r="U212" s="472">
        <f>IF(D204&lt;=3,база!$M$4,
IF(D204=4,база!$M$5,
IF(D204=5,база!$M$6)))</f>
        <v>225.09719999999999</v>
      </c>
      <c r="V212" s="390">
        <v>1.4</v>
      </c>
      <c r="W212" s="494">
        <f>SUMIFS(Таблица1[Столбец1],Таблица1[коэф],"1,4",Таблица1[р/р],"3/24",Таблица1[Ф. И. О.],B209)</f>
        <v>0</v>
      </c>
      <c r="X212" s="492">
        <f t="shared" si="35"/>
        <v>0</v>
      </c>
      <c r="Y212" s="795"/>
      <c r="Z212" s="797"/>
      <c r="AA212" s="786"/>
    </row>
    <row r="213" spans="1:29" ht="18.75">
      <c r="A213" s="786"/>
      <c r="B213" s="216"/>
      <c r="C213" s="789"/>
      <c r="D213" s="792"/>
      <c r="E213" s="393"/>
      <c r="F213" s="390"/>
      <c r="G213" s="400"/>
      <c r="H213" s="392">
        <f t="shared" si="32"/>
        <v>0</v>
      </c>
      <c r="I213" s="389"/>
      <c r="J213" s="390"/>
      <c r="K213" s="434"/>
      <c r="L213" s="395">
        <f t="shared" si="33"/>
        <v>0</v>
      </c>
      <c r="M213" s="432"/>
      <c r="N213" s="434"/>
      <c r="O213" s="434"/>
      <c r="P213" s="434"/>
      <c r="Q213" s="399">
        <f>база!$L$5</f>
        <v>231.45480000000001</v>
      </c>
      <c r="R213" s="390">
        <v>1.4</v>
      </c>
      <c r="S213" s="491">
        <f>SUMIFS(Таблица1[Столбец1],Таблица1[коэф],"1,4",Таблица1[р/р],"4/16",Таблица1[Ф. И. О.],B209)</f>
        <v>0</v>
      </c>
      <c r="T213" s="492">
        <f t="shared" si="34"/>
        <v>0</v>
      </c>
      <c r="U213" s="472">
        <f>база!$M$5</f>
        <v>247.41720000000001</v>
      </c>
      <c r="V213" s="390">
        <v>1.4</v>
      </c>
      <c r="W213" s="494">
        <f>SUMIFS(Таблица1[Столбец1],Таблица1[коэф],"1,4",Таблица1[р/р],"4/24",Таблица1[Ф. И. О.],B209)</f>
        <v>0</v>
      </c>
      <c r="X213" s="492">
        <f t="shared" si="35"/>
        <v>0</v>
      </c>
      <c r="Y213" s="795"/>
      <c r="Z213" s="797"/>
      <c r="AA213" s="786"/>
    </row>
    <row r="214" spans="1:29" ht="19.5" thickBot="1">
      <c r="A214" s="787"/>
      <c r="B214" s="203"/>
      <c r="C214" s="790"/>
      <c r="D214" s="793"/>
      <c r="E214" s="463"/>
      <c r="F214" s="464"/>
      <c r="G214" s="465"/>
      <c r="H214" s="468">
        <f t="shared" si="32"/>
        <v>0</v>
      </c>
      <c r="I214" s="473"/>
      <c r="J214" s="464"/>
      <c r="K214" s="457"/>
      <c r="L214" s="484">
        <f t="shared" si="33"/>
        <v>0</v>
      </c>
      <c r="M214" s="466"/>
      <c r="N214" s="457"/>
      <c r="O214" s="457"/>
      <c r="P214" s="457"/>
      <c r="Q214" s="467">
        <f>база!$L$6</f>
        <v>261.04640000000001</v>
      </c>
      <c r="R214" s="464">
        <v>1.4</v>
      </c>
      <c r="S214" s="512">
        <f>SUMIFS(Таблица1[Столбец1],Таблица1[коэф],"1,4",Таблица1[р/р],"5/16",Таблица1[Ф. И. О.],B209)</f>
        <v>0</v>
      </c>
      <c r="T214" s="492">
        <f t="shared" si="34"/>
        <v>0</v>
      </c>
      <c r="U214" s="474">
        <f>база!$M$6</f>
        <v>279.0496</v>
      </c>
      <c r="V214" s="464">
        <v>1.4</v>
      </c>
      <c r="W214" s="501">
        <f>SUMIFS(Таблица1[Столбец1],Таблица1[коэф],"1,4",Таблица1[р/р],"5/24",Таблица1[Ф. И. О.],B209)</f>
        <v>0</v>
      </c>
      <c r="X214" s="492">
        <f t="shared" si="35"/>
        <v>0</v>
      </c>
      <c r="Y214" s="796"/>
      <c r="Z214" s="798"/>
      <c r="AA214" s="787"/>
    </row>
    <row r="215" spans="1:29" ht="18.75">
      <c r="A215" s="785">
        <v>20</v>
      </c>
      <c r="B215" s="216"/>
      <c r="C215" s="788">
        <f>INDEX(база!$E$2:$E$81, MATCH(B220,база!$B$2:$B$50,0))</f>
        <v>15590</v>
      </c>
      <c r="D215" s="791">
        <f>INDEX(база!$D$2:$D$89, MATCH(B220,база!$B$2:$B$50,0))</f>
        <v>3</v>
      </c>
      <c r="E215" s="451">
        <f>IF(D215&lt;=3,база!$I$4,
IF(D215=4,база!$I$5,
IF(D215=5,база!$I$6)))</f>
        <v>188.7912</v>
      </c>
      <c r="F215" s="417">
        <v>1</v>
      </c>
      <c r="G215" s="418">
        <f>SUMIFS(Таблица1[Столбец1],Таблица1[коэф],"1",Таблица1[р/р],"2/4",Таблица1[Ф. И. О.],B220)</f>
        <v>0</v>
      </c>
      <c r="H215" s="402">
        <f t="shared" si="32"/>
        <v>0</v>
      </c>
      <c r="I215" s="481">
        <f>IF(D215&lt;=3,база!$J$4,
IF(D215=4,база!$J$5,
IF(D215=5,база!$J$6)))</f>
        <v>196.05240000000001</v>
      </c>
      <c r="J215" s="417">
        <v>1</v>
      </c>
      <c r="K215" s="453">
        <f>SUMIFS(Таблица1[Столбец1],Таблица1[коэф],"1",Таблица1[р/р],"2/8",Таблица1[Ф. И. О.],B220)</f>
        <v>0</v>
      </c>
      <c r="L215" s="383">
        <f t="shared" si="33"/>
        <v>0</v>
      </c>
      <c r="M215" s="452"/>
      <c r="N215" s="453">
        <v>1</v>
      </c>
      <c r="O215" s="453">
        <f>SUMIFS(Data_Tech!$AM$3:$AM$67,Data_Tech!$E$3:$E$67,"1",Data_Tech!$G$3:$G$67,"3/12",Data_Tech!$F$3:$F$67,B220)</f>
        <v>0</v>
      </c>
      <c r="P215" s="453">
        <f>ROUND(M215*N215*O215,2)</f>
        <v>0</v>
      </c>
      <c r="Q215" s="416">
        <f>IF(D215&lt;=3,база!$L$4,
IF(D215=4,база!$L$5,
IF(D215=5,база!$L$6)))</f>
        <v>210.57480000000001</v>
      </c>
      <c r="R215" s="417">
        <v>1</v>
      </c>
      <c r="S215" s="495">
        <f>SUMIFS(Таблица1[Столбец1],Таблица1[коэф],"1",Таблица1[р/р],"3/16",Таблица1[Ф. И. О.],B220)</f>
        <v>0</v>
      </c>
      <c r="T215" s="490">
        <f t="shared" si="34"/>
        <v>0</v>
      </c>
      <c r="U215" s="485">
        <f>IF(D215&lt;=3,база!$M$4,
IF(D215=4,база!$M$5,
IF(D215=5,база!$M$6)))</f>
        <v>225.09719999999999</v>
      </c>
      <c r="V215" s="417">
        <v>1</v>
      </c>
      <c r="W215" s="500">
        <f>SUMIFS(Таблица1[Столбец1],Таблица1[коэф],"1",Таблица1[р/р],"3/24",Таблица1[Ф. И. О.],B220)</f>
        <v>0</v>
      </c>
      <c r="X215" s="490">
        <f t="shared" si="35"/>
        <v>0</v>
      </c>
      <c r="Y215" s="795">
        <f t="shared" ref="Y215" si="38">SUM(G215:G225,K215:K225,O215:O225,S215:S225,W215:W225)</f>
        <v>0</v>
      </c>
      <c r="Z215" s="797">
        <f t="shared" ref="Z215" si="39">IFERROR(SUM(H215:H225,L215:L225,T215:T225,X215:X225),"")</f>
        <v>0</v>
      </c>
      <c r="AA215" s="786"/>
    </row>
    <row r="216" spans="1:29" ht="18.75">
      <c r="A216" s="786"/>
      <c r="B216" s="216"/>
      <c r="C216" s="789"/>
      <c r="D216" s="792"/>
      <c r="E216" s="393">
        <f>IF(D215&lt;=3,база!$I$4,
IF(D215=4,база!$I$5,
IF(D215=5,база!$I$6)))</f>
        <v>188.7912</v>
      </c>
      <c r="F216" s="390">
        <v>1</v>
      </c>
      <c r="G216" s="400">
        <f>SUMIFS(Таблица1[Столбец1],Таблица1[коэф],"1",Таблица1[р/р],"3/4",Таблица1[Ф. И. О.],B220)</f>
        <v>0</v>
      </c>
      <c r="H216" s="392">
        <f t="shared" si="32"/>
        <v>0</v>
      </c>
      <c r="I216" s="389">
        <f>IF(D215&lt;=3,база!$J$4,
IF(D215=4,база!$J$5,
IF(D215=5,база!$J$6)))</f>
        <v>196.05240000000001</v>
      </c>
      <c r="J216" s="390">
        <v>1</v>
      </c>
      <c r="K216" s="434">
        <f>SUMIFS(Таблица1[Столбец1],Таблица1[коэф],"1",Таблица1[р/р],"3/8",Таблица1[Ф. И. О.],B220)</f>
        <v>0</v>
      </c>
      <c r="L216" s="484">
        <f t="shared" si="33"/>
        <v>0</v>
      </c>
      <c r="M216" s="432"/>
      <c r="N216" s="434">
        <v>1</v>
      </c>
      <c r="O216" s="434">
        <f>SUMIFS(Data_Tech!$AM$3:$AM$67,Data_Tech!$E$3:$E$67,"1",Data_Tech!$G$3:$G$67,"4/12",Data_Tech!$F$3:$F$67,B220)</f>
        <v>0</v>
      </c>
      <c r="P216" s="434">
        <f>ROUND(M216*O216,2)</f>
        <v>0</v>
      </c>
      <c r="Q216" s="399">
        <f>база!$L$5</f>
        <v>231.45480000000001</v>
      </c>
      <c r="R216" s="390">
        <v>1</v>
      </c>
      <c r="S216" s="491">
        <f>SUMIFS(Таблица1[Столбец1],Таблица1[коэф],"1",Таблица1[р/р],"4/16",Таблица1[Ф. И. О.],B220)</f>
        <v>0</v>
      </c>
      <c r="T216" s="492">
        <f t="shared" si="34"/>
        <v>0</v>
      </c>
      <c r="U216" s="472">
        <f>база!$M$5</f>
        <v>247.41720000000001</v>
      </c>
      <c r="V216" s="390">
        <v>1</v>
      </c>
      <c r="W216" s="494">
        <f>SUMIFS(Таблица1[Столбец1],Таблица1[коэф],"1",Таблица1[р/р],"4/24",Таблица1[Ф. И. О.],B220)</f>
        <v>0</v>
      </c>
      <c r="X216" s="492">
        <f t="shared" si="35"/>
        <v>0</v>
      </c>
      <c r="Y216" s="795"/>
      <c r="Z216" s="797"/>
      <c r="AA216" s="786"/>
    </row>
    <row r="217" spans="1:29" ht="18.75">
      <c r="A217" s="786"/>
      <c r="B217" s="216"/>
      <c r="C217" s="789"/>
      <c r="D217" s="792"/>
      <c r="E217" s="393"/>
      <c r="F217" s="390"/>
      <c r="G217" s="400"/>
      <c r="H217" s="392">
        <f t="shared" si="32"/>
        <v>0</v>
      </c>
      <c r="I217" s="389"/>
      <c r="J217" s="390"/>
      <c r="K217" s="434"/>
      <c r="L217" s="484">
        <f t="shared" si="33"/>
        <v>0</v>
      </c>
      <c r="M217" s="432"/>
      <c r="N217" s="434"/>
      <c r="O217" s="434"/>
      <c r="P217" s="434"/>
      <c r="Q217" s="399">
        <f>база!$L$6</f>
        <v>261.04640000000001</v>
      </c>
      <c r="R217" s="390">
        <v>1</v>
      </c>
      <c r="S217" s="491">
        <f>SUMIFS(Таблица1[Столбец1],Таблица1[коэф],"1",Таблица1[р/р],"5/16",Таблица1[Ф. И. О.],B220)</f>
        <v>0</v>
      </c>
      <c r="T217" s="492">
        <f t="shared" si="34"/>
        <v>0</v>
      </c>
      <c r="U217" s="472">
        <f>база!$M$6</f>
        <v>279.0496</v>
      </c>
      <c r="V217" s="390">
        <v>1</v>
      </c>
      <c r="W217" s="494">
        <f>SUMIFS(Таблица1[Столбец1],Таблица1[коэф],"1",Таблица1[р/р],"5/24",Таблица1[Ф. И. О.],B220)</f>
        <v>0</v>
      </c>
      <c r="X217" s="492">
        <f t="shared" si="35"/>
        <v>0</v>
      </c>
      <c r="Y217" s="795"/>
      <c r="Z217" s="797"/>
      <c r="AA217" s="786"/>
    </row>
    <row r="218" spans="1:29" ht="18.75">
      <c r="A218" s="786"/>
      <c r="B218" s="216"/>
      <c r="C218" s="789"/>
      <c r="D218" s="792"/>
      <c r="E218" s="393"/>
      <c r="F218" s="390"/>
      <c r="G218" s="400"/>
      <c r="H218" s="392">
        <f t="shared" si="32"/>
        <v>0</v>
      </c>
      <c r="I218" s="389">
        <f>база!$J$5</f>
        <v>215.4924</v>
      </c>
      <c r="J218" s="390">
        <v>1.5</v>
      </c>
      <c r="K218" s="434">
        <f>SUMIFS(Таблица1[Столбец1],Таблица1[коэф],"1,5",Таблица1[р/р],"4/8",Таблица1[Ф. И. О.],B220)</f>
        <v>0</v>
      </c>
      <c r="L218" s="484">
        <f t="shared" si="33"/>
        <v>0</v>
      </c>
      <c r="M218" s="432"/>
      <c r="N218" s="434"/>
      <c r="O218" s="434"/>
      <c r="P218" s="434"/>
      <c r="Q218" s="399">
        <f>IF(D215&lt;=3,база!$L$4,
IF(D215=4,база!$L$5,
IF(D215=5,база!$L$6)))</f>
        <v>210.57480000000001</v>
      </c>
      <c r="R218" s="390">
        <v>1.2</v>
      </c>
      <c r="S218" s="491">
        <f>SUMIFS(Таблица1[Столбец1],Таблица1[коэф],"1,2",Таблица1[р/р],"3/16",Таблица1[Ф. И. О.],B220)</f>
        <v>0</v>
      </c>
      <c r="T218" s="492">
        <f t="shared" si="34"/>
        <v>0</v>
      </c>
      <c r="U218" s="472">
        <f>IF(D215&lt;=3,база!$M$4,
IF(D215=4,база!$M$5,
IF(D215=5,база!$M$6)))</f>
        <v>225.09719999999999</v>
      </c>
      <c r="V218" s="390">
        <v>1.2</v>
      </c>
      <c r="W218" s="494">
        <f>SUMIFS(Таблица1[Столбец1],Таблица1[коэф],"1,2",Таблица1[р/р],"3/24",Таблица1[Ф. И. О.],B220)</f>
        <v>0</v>
      </c>
      <c r="X218" s="492">
        <f t="shared" si="35"/>
        <v>0</v>
      </c>
      <c r="Y218" s="795"/>
      <c r="Z218" s="797"/>
      <c r="AA218" s="786"/>
    </row>
    <row r="219" spans="1:29" ht="18.75">
      <c r="A219" s="786"/>
      <c r="B219" s="216"/>
      <c r="C219" s="789"/>
      <c r="D219" s="792"/>
      <c r="E219" s="393"/>
      <c r="F219" s="390"/>
      <c r="G219" s="400"/>
      <c r="H219" s="392">
        <f t="shared" si="32"/>
        <v>0</v>
      </c>
      <c r="I219" s="389">
        <f>база!$J$6</f>
        <v>243.04319999999998</v>
      </c>
      <c r="J219" s="390">
        <v>1.5</v>
      </c>
      <c r="K219" s="434">
        <f>SUMIFS(Таблица1[Столбец1],Таблица1[коэф],"1,5",Таблица1[р/р],"5/8",Таблица1[Ф. И. О.],B220)</f>
        <v>0</v>
      </c>
      <c r="L219" s="484">
        <f t="shared" si="33"/>
        <v>0</v>
      </c>
      <c r="M219" s="432"/>
      <c r="N219" s="434"/>
      <c r="O219" s="434"/>
      <c r="P219" s="434"/>
      <c r="Q219" s="399">
        <f>база!$L$5</f>
        <v>231.45480000000001</v>
      </c>
      <c r="R219" s="390">
        <v>1.2</v>
      </c>
      <c r="S219" s="491">
        <f>SUMIFS(Таблица1[Столбец1],Таблица1[коэф],"1,2",Таблица1[р/р],"4/16",Таблица1[Ф. И. О.],B220)</f>
        <v>0</v>
      </c>
      <c r="T219" s="492">
        <f t="shared" si="34"/>
        <v>0</v>
      </c>
      <c r="U219" s="472">
        <f>база!$M$5</f>
        <v>247.41720000000001</v>
      </c>
      <c r="V219" s="390">
        <v>1.2</v>
      </c>
      <c r="W219" s="494">
        <f>SUMIFS(Таблица1[Столбец1],Таблица1[коэф],"1,2",Таблица1[р/р],"4/24",Таблица1[Ф. И. О.],B220)</f>
        <v>0</v>
      </c>
      <c r="X219" s="492">
        <f t="shared" si="35"/>
        <v>0</v>
      </c>
      <c r="Y219" s="795"/>
      <c r="Z219" s="797"/>
      <c r="AA219" s="786"/>
    </row>
    <row r="220" spans="1:29" ht="22.5" customHeight="1">
      <c r="A220" s="786"/>
      <c r="B220" s="216" t="str">
        <f>база!B21</f>
        <v>Егорова Татьяна Владимировна</v>
      </c>
      <c r="C220" s="789"/>
      <c r="D220" s="792"/>
      <c r="E220" s="393"/>
      <c r="F220" s="390"/>
      <c r="G220" s="400"/>
      <c r="H220" s="392">
        <f t="shared" si="32"/>
        <v>0</v>
      </c>
      <c r="I220" s="389"/>
      <c r="J220" s="390"/>
      <c r="K220" s="434"/>
      <c r="L220" s="484">
        <f t="shared" si="33"/>
        <v>0</v>
      </c>
      <c r="M220" s="432"/>
      <c r="N220" s="434"/>
      <c r="O220" s="434"/>
      <c r="P220" s="434"/>
      <c r="Q220" s="399">
        <f>база!$L$6</f>
        <v>261.04640000000001</v>
      </c>
      <c r="R220" s="390">
        <v>1.2</v>
      </c>
      <c r="S220" s="491">
        <f>SUMIFS(Таблица1[Столбец1],Таблица1[коэф],"1,2",Таблица1[р/р],"5/16",Таблица1[Ф. И. О.],B220)</f>
        <v>0</v>
      </c>
      <c r="T220" s="492">
        <f t="shared" si="34"/>
        <v>0</v>
      </c>
      <c r="U220" s="472">
        <f>база!$M$6</f>
        <v>279.0496</v>
      </c>
      <c r="V220" s="390">
        <v>1.2</v>
      </c>
      <c r="W220" s="494">
        <f>SUMIFS(Таблица1[Столбец1],Таблица1[коэф],"1,2",Таблица1[р/р],"5/24",Таблица1[Ф. И. О.],B220)</f>
        <v>0</v>
      </c>
      <c r="X220" s="492">
        <f t="shared" si="35"/>
        <v>0</v>
      </c>
      <c r="Y220" s="795"/>
      <c r="Z220" s="797"/>
      <c r="AA220" s="786"/>
      <c r="AC220" s="727" t="str">
        <f>IF(SUMIFS(Таблица1[Столбец3],Таблица1[Ф. И. О.],B220)-Z215=0,"",SUMIFS(Таблица1[Столбец3],Таблица1[Ф. И. О.],B220)-Z215)</f>
        <v/>
      </c>
    </row>
    <row r="221" spans="1:29" ht="18.75">
      <c r="A221" s="786"/>
      <c r="B221" s="216"/>
      <c r="C221" s="789"/>
      <c r="D221" s="792"/>
      <c r="E221" s="393"/>
      <c r="F221" s="390"/>
      <c r="G221" s="400"/>
      <c r="H221" s="392">
        <f t="shared" si="32"/>
        <v>0</v>
      </c>
      <c r="I221" s="389"/>
      <c r="J221" s="390"/>
      <c r="K221" s="434"/>
      <c r="L221" s="484">
        <f t="shared" si="33"/>
        <v>0</v>
      </c>
      <c r="M221" s="432"/>
      <c r="N221" s="434"/>
      <c r="O221" s="434"/>
      <c r="P221" s="434"/>
      <c r="Q221" s="399">
        <f>IF(D215&lt;=3,база!$L$4,
IF(D215=4,база!$L$5,
IF(D215=5,база!$L$6)))</f>
        <v>210.57480000000001</v>
      </c>
      <c r="R221" s="390">
        <v>1.3</v>
      </c>
      <c r="S221" s="491">
        <f>SUMIFS(Таблица1[Столбец1],Таблица1[коэф],"1,3",Таблица1[р/р],"3/16",Таблица1[Ф. И. О.],B220)</f>
        <v>0</v>
      </c>
      <c r="T221" s="492">
        <f t="shared" si="34"/>
        <v>0</v>
      </c>
      <c r="U221" s="472">
        <f>IF(D215&lt;=3,база!$M$4,
IF(D215=4,база!$M$5,
IF(D215=5,база!$M$6)))</f>
        <v>225.09719999999999</v>
      </c>
      <c r="V221" s="390">
        <v>1.3</v>
      </c>
      <c r="W221" s="494">
        <f>SUMIFS(Таблица1[Столбец1],Таблица1[коэф],"1,3",Таблица1[р/р],"3/24",Таблица1[Ф. И. О.],B220)</f>
        <v>0</v>
      </c>
      <c r="X221" s="492">
        <f t="shared" si="35"/>
        <v>0</v>
      </c>
      <c r="Y221" s="795"/>
      <c r="Z221" s="797"/>
      <c r="AA221" s="786"/>
      <c r="AC221" s="727" t="str">
        <f>IF(SUMIFS(Таблица1[Столбец1],Таблица1[Ф. И. О.],B220)=Y215,"",B220&amp;"  часы не верны")</f>
        <v/>
      </c>
    </row>
    <row r="222" spans="1:29" ht="18.75">
      <c r="A222" s="786"/>
      <c r="B222" s="216"/>
      <c r="C222" s="789"/>
      <c r="D222" s="792"/>
      <c r="E222" s="393"/>
      <c r="F222" s="390"/>
      <c r="G222" s="400"/>
      <c r="H222" s="392">
        <f t="shared" si="32"/>
        <v>0</v>
      </c>
      <c r="I222" s="389"/>
      <c r="J222" s="390"/>
      <c r="K222" s="434"/>
      <c r="L222" s="484">
        <f t="shared" si="33"/>
        <v>0</v>
      </c>
      <c r="M222" s="432"/>
      <c r="N222" s="434"/>
      <c r="O222" s="434"/>
      <c r="P222" s="434"/>
      <c r="Q222" s="399">
        <f>база!$L$5</f>
        <v>231.45480000000001</v>
      </c>
      <c r="R222" s="390">
        <v>1.3</v>
      </c>
      <c r="S222" s="491">
        <f>SUMIFS(Таблица1[Столбец1],Таблица1[коэф],"1,3",Таблица1[р/р],"4/16",Таблица1[Ф. И. О.],B220)</f>
        <v>0</v>
      </c>
      <c r="T222" s="492">
        <f t="shared" si="34"/>
        <v>0</v>
      </c>
      <c r="U222" s="472">
        <f>база!$M$5</f>
        <v>247.41720000000001</v>
      </c>
      <c r="V222" s="390">
        <v>1.3</v>
      </c>
      <c r="W222" s="494">
        <f>SUMIFS(Таблица1[Столбец1],Таблица1[коэф],"1,3",Таблица1[р/р],"4/24",Таблица1[Ф. И. О.],B220)</f>
        <v>0</v>
      </c>
      <c r="X222" s="492">
        <f t="shared" si="35"/>
        <v>0</v>
      </c>
      <c r="Y222" s="795"/>
      <c r="Z222" s="797"/>
      <c r="AA222" s="786"/>
    </row>
    <row r="223" spans="1:29" ht="18.75">
      <c r="A223" s="786"/>
      <c r="B223" s="216"/>
      <c r="C223" s="789"/>
      <c r="D223" s="792"/>
      <c r="E223" s="393"/>
      <c r="F223" s="390"/>
      <c r="G223" s="400"/>
      <c r="H223" s="392">
        <f t="shared" si="32"/>
        <v>0</v>
      </c>
      <c r="I223" s="389"/>
      <c r="J223" s="390"/>
      <c r="K223" s="434"/>
      <c r="L223" s="484">
        <f t="shared" si="33"/>
        <v>0</v>
      </c>
      <c r="M223" s="432"/>
      <c r="N223" s="434"/>
      <c r="O223" s="434"/>
      <c r="P223" s="434"/>
      <c r="Q223" s="399">
        <f>IF(D215&lt;=3,база!$L$4,
IF(D215=4,база!$L$5,
IF(D215=5,база!$L$6)))</f>
        <v>210.57480000000001</v>
      </c>
      <c r="R223" s="390">
        <v>1.4</v>
      </c>
      <c r="S223" s="491">
        <f>SUMIFS(Таблица1[Столбец1],Таблица1[коэф],"1,4",Таблица1[р/р],"3/16",Таблица1[Ф. И. О.],B220)</f>
        <v>0</v>
      </c>
      <c r="T223" s="492">
        <f t="shared" si="34"/>
        <v>0</v>
      </c>
      <c r="U223" s="472">
        <f>IF(D215&lt;=3,база!$M$4,
IF(D215=4,база!$M$5,
IF(D215=5,база!$M$6)))</f>
        <v>225.09719999999999</v>
      </c>
      <c r="V223" s="390">
        <v>1.4</v>
      </c>
      <c r="W223" s="494">
        <f>SUMIFS(Таблица1[Столбец1],Таблица1[коэф],"1,4",Таблица1[р/р],"3/24",Таблица1[Ф. И. О.],B220)</f>
        <v>0</v>
      </c>
      <c r="X223" s="492">
        <f t="shared" si="35"/>
        <v>0</v>
      </c>
      <c r="Y223" s="795"/>
      <c r="Z223" s="797"/>
      <c r="AA223" s="786"/>
    </row>
    <row r="224" spans="1:29" ht="18.75">
      <c r="A224" s="786"/>
      <c r="B224" s="216"/>
      <c r="C224" s="789"/>
      <c r="D224" s="792"/>
      <c r="E224" s="393"/>
      <c r="F224" s="390"/>
      <c r="G224" s="400"/>
      <c r="H224" s="392">
        <f t="shared" si="32"/>
        <v>0</v>
      </c>
      <c r="I224" s="389"/>
      <c r="J224" s="390"/>
      <c r="K224" s="434"/>
      <c r="L224" s="484">
        <f t="shared" si="33"/>
        <v>0</v>
      </c>
      <c r="M224" s="432"/>
      <c r="N224" s="434"/>
      <c r="O224" s="434"/>
      <c r="P224" s="434"/>
      <c r="Q224" s="399">
        <f>база!$L$5</f>
        <v>231.45480000000001</v>
      </c>
      <c r="R224" s="390">
        <v>1.4</v>
      </c>
      <c r="S224" s="491">
        <f>SUMIFS(Таблица1[Столбец1],Таблица1[коэф],"1,4",Таблица1[р/р],"4/16",Таблица1[Ф. И. О.],B220)</f>
        <v>0</v>
      </c>
      <c r="T224" s="492">
        <f t="shared" si="34"/>
        <v>0</v>
      </c>
      <c r="U224" s="472">
        <f>база!$M$5</f>
        <v>247.41720000000001</v>
      </c>
      <c r="V224" s="390">
        <v>1.4</v>
      </c>
      <c r="W224" s="494">
        <f>SUMIFS(Таблица1[Столбец1],Таблица1[коэф],"1,4",Таблица1[р/р],"4/24",Таблица1[Ф. И. О.],B220)</f>
        <v>0</v>
      </c>
      <c r="X224" s="492">
        <f t="shared" si="35"/>
        <v>0</v>
      </c>
      <c r="Y224" s="795"/>
      <c r="Z224" s="797"/>
      <c r="AA224" s="786"/>
    </row>
    <row r="225" spans="1:29" ht="19.5" thickBot="1">
      <c r="A225" s="787"/>
      <c r="B225" s="216"/>
      <c r="C225" s="790"/>
      <c r="D225" s="793"/>
      <c r="E225" s="422"/>
      <c r="F225" s="403"/>
      <c r="G225" s="408"/>
      <c r="H225" s="468">
        <f t="shared" si="32"/>
        <v>0</v>
      </c>
      <c r="I225" s="420"/>
      <c r="J225" s="403"/>
      <c r="K225" s="460"/>
      <c r="L225" s="458">
        <f t="shared" si="33"/>
        <v>0</v>
      </c>
      <c r="M225" s="459"/>
      <c r="N225" s="460"/>
      <c r="O225" s="460"/>
      <c r="P225" s="460"/>
      <c r="Q225" s="407">
        <f>база!$L$6</f>
        <v>261.04640000000001</v>
      </c>
      <c r="R225" s="403">
        <v>1.4</v>
      </c>
      <c r="S225" s="507">
        <f>SUMIFS(Таблица1[Столбец1],Таблица1[коэф],"1,4",Таблица1[р/р],"5/16",Таблица1[Ф. И. О.],B220)</f>
        <v>0</v>
      </c>
      <c r="T225" s="492">
        <f t="shared" si="34"/>
        <v>0</v>
      </c>
      <c r="U225" s="482">
        <f>база!$M$6</f>
        <v>279.0496</v>
      </c>
      <c r="V225" s="403">
        <v>1.4</v>
      </c>
      <c r="W225" s="496">
        <f>SUMIFS(Таблица1[Столбец1],Таблица1[коэф],"1,4",Таблица1[р/р],"5/24",Таблица1[Ф. И. О.],B220)</f>
        <v>0</v>
      </c>
      <c r="X225" s="492">
        <f t="shared" si="35"/>
        <v>0</v>
      </c>
      <c r="Y225" s="796"/>
      <c r="Z225" s="798"/>
      <c r="AA225" s="787"/>
    </row>
    <row r="226" spans="1:29" ht="18.75">
      <c r="A226" s="785">
        <v>21</v>
      </c>
      <c r="B226" s="236"/>
      <c r="C226" s="788">
        <f>INDEX(база!$E$2:$E$81, MATCH(B231,база!$B$2:$B$50,0))</f>
        <v>16771</v>
      </c>
      <c r="D226" s="791">
        <f>INDEX(база!$D$2:$D$89, MATCH(B231,база!$B$2:$B$50,0))</f>
        <v>3</v>
      </c>
      <c r="E226" s="381">
        <f>IF(D226&lt;=3,база!$I$4,
IF(D226=4,база!$I$5,
IF(D226=5,база!$I$6)))</f>
        <v>188.7912</v>
      </c>
      <c r="F226" s="378">
        <v>1</v>
      </c>
      <c r="G226" s="387">
        <f>SUMIFS(Таблица1[Столбец1],Таблица1[коэф],"1",Таблица1[р/р],"2/4",Таблица1[Ф. И. О.],B231)</f>
        <v>0</v>
      </c>
      <c r="H226" s="402">
        <f t="shared" si="32"/>
        <v>0</v>
      </c>
      <c r="I226" s="377">
        <f>IF(D226&lt;=3,база!$J$4,
IF(D226=4,база!$J$5,
IF(D226=5,база!$J$6)))</f>
        <v>196.05240000000001</v>
      </c>
      <c r="J226" s="378">
        <v>1</v>
      </c>
      <c r="K226" s="428">
        <f>SUMIFS(Таблица1[Столбец1],Таблица1[коэф],"1",Таблица1[р/р],"2/8",Таблица1[Ф. И. О.],B231)</f>
        <v>0</v>
      </c>
      <c r="L226" s="484">
        <f t="shared" si="33"/>
        <v>0</v>
      </c>
      <c r="M226" s="426"/>
      <c r="N226" s="428">
        <v>1</v>
      </c>
      <c r="O226" s="428">
        <f>SUMIFS(Data_Tech!$AM$3:$AM$67,Data_Tech!$E$3:$E$67,"1",Data_Tech!$G$3:$G$67,"3/12",Data_Tech!$F$3:$F$67,B231)</f>
        <v>0</v>
      </c>
      <c r="P226" s="428">
        <f>ROUND(M226*N226*O226,2)</f>
        <v>0</v>
      </c>
      <c r="Q226" s="386">
        <f>IF(D226&lt;=3,база!$L$4,
IF(D226=4,база!$L$5,
IF(D226=5,база!$L$6)))</f>
        <v>210.57480000000001</v>
      </c>
      <c r="R226" s="378">
        <v>1</v>
      </c>
      <c r="S226" s="489">
        <f>SUMIFS(Таблица1[Столбец1],Таблица1[коэф],"1",Таблица1[р/р],"3/16",Таблица1[Ф. И. О.],B231)</f>
        <v>0</v>
      </c>
      <c r="T226" s="490">
        <f t="shared" si="34"/>
        <v>0</v>
      </c>
      <c r="U226" s="471">
        <f>IF(D226&lt;=3,база!$M$4,
IF(D226=4,база!$M$5,
IF(D226=5,база!$M$6)))</f>
        <v>225.09719999999999</v>
      </c>
      <c r="V226" s="378">
        <v>1</v>
      </c>
      <c r="W226" s="497">
        <f>SUMIFS(Таблица1[Столбец1],Таблица1[коэф],"1",Таблица1[р/р],"3/24",Таблица1[Ф. И. О.],B231)</f>
        <v>0</v>
      </c>
      <c r="X226" s="490">
        <f t="shared" si="35"/>
        <v>0</v>
      </c>
      <c r="Y226" s="795">
        <f t="shared" ref="Y226" si="40">SUM(G226:G236,K226:K236,O226:O236,S226:S236,W226:W236)</f>
        <v>0</v>
      </c>
      <c r="Z226" s="797">
        <f t="shared" ref="Z226" si="41">IFERROR(SUM(H226:H236,L226:L236,T226:T236,X226:X236),"")</f>
        <v>0</v>
      </c>
      <c r="AA226" s="786"/>
    </row>
    <row r="227" spans="1:29" ht="18.75">
      <c r="A227" s="786"/>
      <c r="B227" s="216"/>
      <c r="C227" s="789"/>
      <c r="D227" s="792"/>
      <c r="E227" s="393">
        <f>IF(D226&lt;=3,база!$I$4,
IF(D226=4,база!$I$5,
IF(D226=5,база!$I$6)))</f>
        <v>188.7912</v>
      </c>
      <c r="F227" s="390">
        <v>1</v>
      </c>
      <c r="G227" s="400">
        <f>SUMIFS(Таблица1[Столбец1],Таблица1[коэф],"1",Таблица1[р/р],"3/4",Таблица1[Ф. И. О.],B231)</f>
        <v>0</v>
      </c>
      <c r="H227" s="392">
        <f t="shared" si="32"/>
        <v>0</v>
      </c>
      <c r="I227" s="389">
        <f>IF(D226&lt;=3,база!$J$4,
IF(D226=4,база!$J$5,
IF(D226=5,база!$J$6)))</f>
        <v>196.05240000000001</v>
      </c>
      <c r="J227" s="390">
        <v>1</v>
      </c>
      <c r="K227" s="434">
        <f>SUMIFS(Таблица1[Столбец1],Таблица1[коэф],"1",Таблица1[р/р],"3/8",Таблица1[Ф. И. О.],B231)</f>
        <v>0</v>
      </c>
      <c r="L227" s="484">
        <f t="shared" si="33"/>
        <v>0</v>
      </c>
      <c r="M227" s="432"/>
      <c r="N227" s="434">
        <v>1</v>
      </c>
      <c r="O227" s="434">
        <f>SUMIFS(Data_Tech!$AM$3:$AM$67,Data_Tech!$E$3:$E$67,"1",Data_Tech!$G$3:$G$67,"4/12",Data_Tech!$F$3:$F$67,B231)</f>
        <v>0</v>
      </c>
      <c r="P227" s="434">
        <f>ROUND(M227*O227,2)</f>
        <v>0</v>
      </c>
      <c r="Q227" s="399">
        <f>база!$L$5</f>
        <v>231.45480000000001</v>
      </c>
      <c r="R227" s="390">
        <v>1</v>
      </c>
      <c r="S227" s="491">
        <f>SUMIFS(Таблица1[Столбец1],Таблица1[коэф],"1",Таблица1[р/р],"4/16",Таблица1[Ф. И. О.],B231)</f>
        <v>0</v>
      </c>
      <c r="T227" s="492">
        <f t="shared" si="34"/>
        <v>0</v>
      </c>
      <c r="U227" s="472">
        <f>база!$M$5</f>
        <v>247.41720000000001</v>
      </c>
      <c r="V227" s="390">
        <v>1</v>
      </c>
      <c r="W227" s="494">
        <f>SUMIFS(Таблица1[Столбец1],Таблица1[коэф],"1",Таблица1[р/р],"4/24",Таблица1[Ф. И. О.],B231)</f>
        <v>0</v>
      </c>
      <c r="X227" s="492">
        <f t="shared" si="35"/>
        <v>0</v>
      </c>
      <c r="Y227" s="795"/>
      <c r="Z227" s="797"/>
      <c r="AA227" s="786"/>
    </row>
    <row r="228" spans="1:29" ht="18.75">
      <c r="A228" s="786"/>
      <c r="B228" s="216"/>
      <c r="C228" s="789"/>
      <c r="D228" s="792"/>
      <c r="E228" s="393"/>
      <c r="F228" s="390"/>
      <c r="G228" s="400"/>
      <c r="H228" s="392">
        <f t="shared" si="32"/>
        <v>0</v>
      </c>
      <c r="I228" s="389"/>
      <c r="J228" s="390"/>
      <c r="K228" s="434"/>
      <c r="L228" s="484">
        <f t="shared" si="33"/>
        <v>0</v>
      </c>
      <c r="M228" s="432"/>
      <c r="N228" s="434"/>
      <c r="O228" s="434"/>
      <c r="P228" s="434"/>
      <c r="Q228" s="399">
        <f>база!$L$6</f>
        <v>261.04640000000001</v>
      </c>
      <c r="R228" s="390">
        <v>1</v>
      </c>
      <c r="S228" s="491">
        <f>SUMIFS(Таблица1[Столбец1],Таблица1[коэф],"1",Таблица1[р/р],"5/16",Таблица1[Ф. И. О.],B231)</f>
        <v>0</v>
      </c>
      <c r="T228" s="492">
        <f t="shared" si="34"/>
        <v>0</v>
      </c>
      <c r="U228" s="472">
        <f>база!$M$6</f>
        <v>279.0496</v>
      </c>
      <c r="V228" s="390">
        <v>1</v>
      </c>
      <c r="W228" s="494">
        <f>SUMIFS(Таблица1[Столбец1],Таблица1[коэф],"1",Таблица1[р/р],"5/24",Таблица1[Ф. И. О.],B231)</f>
        <v>0</v>
      </c>
      <c r="X228" s="492">
        <f t="shared" si="35"/>
        <v>0</v>
      </c>
      <c r="Y228" s="795"/>
      <c r="Z228" s="797"/>
      <c r="AA228" s="786"/>
    </row>
    <row r="229" spans="1:29" ht="18.75">
      <c r="A229" s="786"/>
      <c r="B229" s="216"/>
      <c r="C229" s="789"/>
      <c r="D229" s="792"/>
      <c r="E229" s="393"/>
      <c r="F229" s="390"/>
      <c r="G229" s="400"/>
      <c r="H229" s="392">
        <f t="shared" si="32"/>
        <v>0</v>
      </c>
      <c r="I229" s="389">
        <f>база!$J$5</f>
        <v>215.4924</v>
      </c>
      <c r="J229" s="390">
        <v>1.5</v>
      </c>
      <c r="K229" s="434">
        <f>SUMIFS(Таблица1[Столбец1],Таблица1[коэф],"1,5",Таблица1[р/р],"4/8",Таблица1[Ф. И. О.],B231)</f>
        <v>0</v>
      </c>
      <c r="L229" s="484">
        <f t="shared" si="33"/>
        <v>0</v>
      </c>
      <c r="M229" s="432"/>
      <c r="N229" s="434"/>
      <c r="O229" s="434"/>
      <c r="P229" s="434"/>
      <c r="Q229" s="399">
        <f>IF(D226&lt;=3,база!$L$4,
IF(D226=4,база!$L$5,
IF(D226=5,база!$L$6)))</f>
        <v>210.57480000000001</v>
      </c>
      <c r="R229" s="390">
        <v>1.2</v>
      </c>
      <c r="S229" s="491">
        <f>SUMIFS(Таблица1[Столбец1],Таблица1[коэф],"1,2",Таблица1[р/р],"3/16",Таблица1[Ф. И. О.],B231)</f>
        <v>0</v>
      </c>
      <c r="T229" s="492">
        <f t="shared" si="34"/>
        <v>0</v>
      </c>
      <c r="U229" s="472">
        <f>IF(D226&lt;=3,база!$M$4,
IF(D226=4,база!$M$5,
IF(D226=5,база!$M$6)))</f>
        <v>225.09719999999999</v>
      </c>
      <c r="V229" s="390">
        <v>1.2</v>
      </c>
      <c r="W229" s="494">
        <f>SUMIFS(Таблица1[Столбец1],Таблица1[коэф],"1,2",Таблица1[р/р],"3/24",Таблица1[Ф. И. О.],B231)</f>
        <v>0</v>
      </c>
      <c r="X229" s="492">
        <f t="shared" si="35"/>
        <v>0</v>
      </c>
      <c r="Y229" s="795"/>
      <c r="Z229" s="797"/>
      <c r="AA229" s="786"/>
    </row>
    <row r="230" spans="1:29" ht="18.75">
      <c r="A230" s="786"/>
      <c r="B230" s="216"/>
      <c r="C230" s="789"/>
      <c r="D230" s="792"/>
      <c r="E230" s="393"/>
      <c r="F230" s="390"/>
      <c r="G230" s="400"/>
      <c r="H230" s="392">
        <f t="shared" si="32"/>
        <v>0</v>
      </c>
      <c r="I230" s="389">
        <f>база!$J$6</f>
        <v>243.04319999999998</v>
      </c>
      <c r="J230" s="390">
        <v>1.5</v>
      </c>
      <c r="K230" s="434">
        <f>SUMIFS(Таблица1[Столбец1],Таблица1[коэф],"1,5",Таблица1[р/р],"5/8",Таблица1[Ф. И. О.],B231)</f>
        <v>0</v>
      </c>
      <c r="L230" s="484">
        <f t="shared" si="33"/>
        <v>0</v>
      </c>
      <c r="M230" s="432"/>
      <c r="N230" s="434"/>
      <c r="O230" s="434"/>
      <c r="P230" s="434"/>
      <c r="Q230" s="399">
        <f>база!$L$5</f>
        <v>231.45480000000001</v>
      </c>
      <c r="R230" s="390">
        <v>1.2</v>
      </c>
      <c r="S230" s="491">
        <f>SUMIFS(Таблица1[Столбец1],Таблица1[коэф],"1,2",Таблица1[р/р],"4/16",Таблица1[Ф. И. О.],B231)</f>
        <v>0</v>
      </c>
      <c r="T230" s="492">
        <f t="shared" si="34"/>
        <v>0</v>
      </c>
      <c r="U230" s="472">
        <f>база!$M$5</f>
        <v>247.41720000000001</v>
      </c>
      <c r="V230" s="390">
        <v>1.2</v>
      </c>
      <c r="W230" s="494">
        <f>SUMIFS(Таблица1[Столбец1],Таблица1[коэф],"1,2",Таблица1[р/р],"4/24",Таблица1[Ф. И. О.],B231)</f>
        <v>0</v>
      </c>
      <c r="X230" s="492">
        <f t="shared" si="35"/>
        <v>0</v>
      </c>
      <c r="Y230" s="795"/>
      <c r="Z230" s="797"/>
      <c r="AA230" s="786"/>
    </row>
    <row r="231" spans="1:29" ht="18.75">
      <c r="A231" s="786"/>
      <c r="B231" s="216" t="str">
        <f>база!B22</f>
        <v>Елькина Татьяна Владимировна</v>
      </c>
      <c r="C231" s="789"/>
      <c r="D231" s="792"/>
      <c r="E231" s="393"/>
      <c r="F231" s="390"/>
      <c r="G231" s="400"/>
      <c r="H231" s="392">
        <f t="shared" si="32"/>
        <v>0</v>
      </c>
      <c r="I231" s="389"/>
      <c r="J231" s="390"/>
      <c r="K231" s="434"/>
      <c r="L231" s="484">
        <f t="shared" si="33"/>
        <v>0</v>
      </c>
      <c r="M231" s="432"/>
      <c r="N231" s="434"/>
      <c r="O231" s="434"/>
      <c r="P231" s="434"/>
      <c r="Q231" s="399">
        <f>база!$L$6</f>
        <v>261.04640000000001</v>
      </c>
      <c r="R231" s="390">
        <v>1.2</v>
      </c>
      <c r="S231" s="491">
        <f>SUMIFS(Таблица1[Столбец1],Таблица1[коэф],"1,2",Таблица1[р/р],"5/16",Таблица1[Ф. И. О.],B231)</f>
        <v>0</v>
      </c>
      <c r="T231" s="492">
        <f t="shared" si="34"/>
        <v>0</v>
      </c>
      <c r="U231" s="472">
        <f>база!$M$6</f>
        <v>279.0496</v>
      </c>
      <c r="V231" s="390">
        <v>1.2</v>
      </c>
      <c r="W231" s="494">
        <f>SUMIFS(Таблица1[Столбец1],Таблица1[коэф],"1,2",Таблица1[р/р],"5/24",Таблица1[Ф. И. О.],B231)</f>
        <v>0</v>
      </c>
      <c r="X231" s="492">
        <f t="shared" si="35"/>
        <v>0</v>
      </c>
      <c r="Y231" s="795"/>
      <c r="Z231" s="797"/>
      <c r="AA231" s="786"/>
      <c r="AC231" s="727" t="str">
        <f>IF(SUMIFS(Таблица1[Столбец3],Таблица1[Ф. И. О.],B231)-Z226=0,"",SUMIFS(Таблица1[Столбец3],Таблица1[Ф. И. О.],B231)-Z226)</f>
        <v/>
      </c>
    </row>
    <row r="232" spans="1:29" ht="18.75">
      <c r="A232" s="786"/>
      <c r="B232" s="216"/>
      <c r="C232" s="789"/>
      <c r="D232" s="792"/>
      <c r="E232" s="393"/>
      <c r="F232" s="390"/>
      <c r="G232" s="400"/>
      <c r="H232" s="392">
        <f t="shared" si="32"/>
        <v>0</v>
      </c>
      <c r="I232" s="389"/>
      <c r="J232" s="390"/>
      <c r="K232" s="434"/>
      <c r="L232" s="484">
        <f t="shared" si="33"/>
        <v>0</v>
      </c>
      <c r="M232" s="432"/>
      <c r="N232" s="434"/>
      <c r="O232" s="434"/>
      <c r="P232" s="434"/>
      <c r="Q232" s="399">
        <f>IF(D226&lt;=3,база!$L$4,
IF(D226=4,база!$L$5,
IF(D226=5,база!$L$6)))</f>
        <v>210.57480000000001</v>
      </c>
      <c r="R232" s="390">
        <v>1.3</v>
      </c>
      <c r="S232" s="491">
        <f>SUMIFS(Таблица1[Столбец1],Таблица1[коэф],"1,3",Таблица1[р/р],"3/16",Таблица1[Ф. И. О.],B231)</f>
        <v>0</v>
      </c>
      <c r="T232" s="492">
        <f t="shared" si="34"/>
        <v>0</v>
      </c>
      <c r="U232" s="472">
        <f>IF(D226&lt;=3,база!$M$4,
IF(D226=4,база!$M$5,
IF(D226=5,база!$M$6)))</f>
        <v>225.09719999999999</v>
      </c>
      <c r="V232" s="390">
        <v>1.3</v>
      </c>
      <c r="W232" s="494">
        <f>SUMIFS(Таблица1[Столбец1],Таблица1[коэф],"1,3",Таблица1[р/р],"3/24",Таблица1[Ф. И. О.],B231)</f>
        <v>0</v>
      </c>
      <c r="X232" s="492">
        <f t="shared" si="35"/>
        <v>0</v>
      </c>
      <c r="Y232" s="795"/>
      <c r="Z232" s="797"/>
      <c r="AA232" s="786"/>
      <c r="AC232" s="727" t="str">
        <f>IF(SUMIFS(Таблица1[Столбец1],Таблица1[Ф. И. О.],B231)=Y226,"",B231&amp;"  часы не верны")</f>
        <v/>
      </c>
    </row>
    <row r="233" spans="1:29" ht="18.75">
      <c r="A233" s="786"/>
      <c r="B233" s="216"/>
      <c r="C233" s="789"/>
      <c r="D233" s="792"/>
      <c r="E233" s="393"/>
      <c r="F233" s="390"/>
      <c r="G233" s="400"/>
      <c r="H233" s="392">
        <f t="shared" si="32"/>
        <v>0</v>
      </c>
      <c r="I233" s="389"/>
      <c r="J233" s="390"/>
      <c r="K233" s="434"/>
      <c r="L233" s="484">
        <f t="shared" si="33"/>
        <v>0</v>
      </c>
      <c r="M233" s="432"/>
      <c r="N233" s="434"/>
      <c r="O233" s="434"/>
      <c r="P233" s="434"/>
      <c r="Q233" s="399">
        <f>база!$L$5</f>
        <v>231.45480000000001</v>
      </c>
      <c r="R233" s="390">
        <v>1.3</v>
      </c>
      <c r="S233" s="491">
        <f>SUMIFS(Таблица1[Столбец1],Таблица1[коэф],"1,3",Таблица1[р/р],"4/16",Таблица1[Ф. И. О.],B231)</f>
        <v>0</v>
      </c>
      <c r="T233" s="492">
        <f t="shared" si="34"/>
        <v>0</v>
      </c>
      <c r="U233" s="472">
        <f>база!$M$5</f>
        <v>247.41720000000001</v>
      </c>
      <c r="V233" s="390">
        <v>1.3</v>
      </c>
      <c r="W233" s="494">
        <f>SUMIFS(Таблица1[Столбец1],Таблица1[коэф],"1,3",Таблица1[р/р],"4/24",Таблица1[Ф. И. О.],B231)</f>
        <v>0</v>
      </c>
      <c r="X233" s="492">
        <f t="shared" si="35"/>
        <v>0</v>
      </c>
      <c r="Y233" s="795"/>
      <c r="Z233" s="797"/>
      <c r="AA233" s="786"/>
    </row>
    <row r="234" spans="1:29" ht="18.75">
      <c r="A234" s="786"/>
      <c r="B234" s="216"/>
      <c r="C234" s="789"/>
      <c r="D234" s="792"/>
      <c r="E234" s="393"/>
      <c r="F234" s="390"/>
      <c r="G234" s="400"/>
      <c r="H234" s="392">
        <f t="shared" si="32"/>
        <v>0</v>
      </c>
      <c r="I234" s="389"/>
      <c r="J234" s="390"/>
      <c r="K234" s="434"/>
      <c r="L234" s="484">
        <f t="shared" si="33"/>
        <v>0</v>
      </c>
      <c r="M234" s="432"/>
      <c r="N234" s="434"/>
      <c r="O234" s="434"/>
      <c r="P234" s="434"/>
      <c r="Q234" s="399">
        <f>IF(D226&lt;=3,база!$L$4,
IF(D226=4,база!$L$5,
IF(D226=5,база!$L$6)))</f>
        <v>210.57480000000001</v>
      </c>
      <c r="R234" s="390">
        <v>1.4</v>
      </c>
      <c r="S234" s="491">
        <f>SUMIFS(Таблица1[Столбец1],Таблица1[коэф],"1,4",Таблица1[р/р],"3/16",Таблица1[Ф. И. О.],B231)</f>
        <v>0</v>
      </c>
      <c r="T234" s="492">
        <f t="shared" si="34"/>
        <v>0</v>
      </c>
      <c r="U234" s="472">
        <f>IF(D226&lt;=3,база!$M$4,
IF(D226=4,база!$M$5,
IF(D226=5,база!$M$6)))</f>
        <v>225.09719999999999</v>
      </c>
      <c r="V234" s="390">
        <v>1.4</v>
      </c>
      <c r="W234" s="494">
        <f>SUMIFS(Таблица1[Столбец1],Таблица1[коэф],"1,4",Таблица1[р/р],"3/24",Таблица1[Ф. И. О.],B231)</f>
        <v>0</v>
      </c>
      <c r="X234" s="492">
        <f t="shared" si="35"/>
        <v>0</v>
      </c>
      <c r="Y234" s="795"/>
      <c r="Z234" s="797"/>
      <c r="AA234" s="786"/>
    </row>
    <row r="235" spans="1:29" ht="18.75">
      <c r="A235" s="786"/>
      <c r="B235" s="216"/>
      <c r="C235" s="789"/>
      <c r="D235" s="792"/>
      <c r="E235" s="393"/>
      <c r="F235" s="390"/>
      <c r="G235" s="400"/>
      <c r="H235" s="392">
        <f t="shared" si="32"/>
        <v>0</v>
      </c>
      <c r="I235" s="389"/>
      <c r="J235" s="390"/>
      <c r="K235" s="434"/>
      <c r="L235" s="484">
        <f t="shared" si="33"/>
        <v>0</v>
      </c>
      <c r="M235" s="432"/>
      <c r="N235" s="434"/>
      <c r="O235" s="434"/>
      <c r="P235" s="434"/>
      <c r="Q235" s="399">
        <f>база!$L$5</f>
        <v>231.45480000000001</v>
      </c>
      <c r="R235" s="390">
        <v>1.4</v>
      </c>
      <c r="S235" s="491">
        <f>SUMIFS(Таблица1[Столбец1],Таблица1[коэф],"1,4",Таблица1[р/р],"4/16",Таблица1[Ф. И. О.],B231)</f>
        <v>0</v>
      </c>
      <c r="T235" s="492">
        <f t="shared" si="34"/>
        <v>0</v>
      </c>
      <c r="U235" s="472">
        <f>база!$M$5</f>
        <v>247.41720000000001</v>
      </c>
      <c r="V235" s="390">
        <v>1.4</v>
      </c>
      <c r="W235" s="494">
        <f>SUMIFS(Таблица1[Столбец1],Таблица1[коэф],"1,4",Таблица1[р/р],"4/24",Таблица1[Ф. И. О.],B231)</f>
        <v>0</v>
      </c>
      <c r="X235" s="492">
        <f t="shared" si="35"/>
        <v>0</v>
      </c>
      <c r="Y235" s="795"/>
      <c r="Z235" s="797"/>
      <c r="AA235" s="786"/>
    </row>
    <row r="236" spans="1:29" ht="19.5" thickBot="1">
      <c r="A236" s="787"/>
      <c r="B236" s="203"/>
      <c r="C236" s="790"/>
      <c r="D236" s="793"/>
      <c r="E236" s="463"/>
      <c r="F236" s="464"/>
      <c r="G236" s="465"/>
      <c r="H236" s="468">
        <f t="shared" si="32"/>
        <v>0</v>
      </c>
      <c r="I236" s="473"/>
      <c r="J236" s="464"/>
      <c r="K236" s="457"/>
      <c r="L236" s="484">
        <f t="shared" si="33"/>
        <v>0</v>
      </c>
      <c r="M236" s="466"/>
      <c r="N236" s="457"/>
      <c r="O236" s="457"/>
      <c r="P236" s="457"/>
      <c r="Q236" s="467">
        <f>база!$L$6</f>
        <v>261.04640000000001</v>
      </c>
      <c r="R236" s="464">
        <v>1.4</v>
      </c>
      <c r="S236" s="512">
        <f>SUMIFS(Таблица1[Столбец1],Таблица1[коэф],"1,4",Таблица1[р/р],"5/16",Таблица1[Ф. И. О.],B231)</f>
        <v>0</v>
      </c>
      <c r="T236" s="492">
        <f t="shared" si="34"/>
        <v>0</v>
      </c>
      <c r="U236" s="474">
        <f>база!$M$6</f>
        <v>279.0496</v>
      </c>
      <c r="V236" s="464">
        <v>1.4</v>
      </c>
      <c r="W236" s="501">
        <f>SUMIFS(Таблица1[Столбец1],Таблица1[коэф],"1,4",Таблица1[р/р],"5/24",Таблица1[Ф. И. О.],B231)</f>
        <v>0</v>
      </c>
      <c r="X236" s="492">
        <f t="shared" si="35"/>
        <v>0</v>
      </c>
      <c r="Y236" s="796"/>
      <c r="Z236" s="798"/>
      <c r="AA236" s="787"/>
    </row>
    <row r="237" spans="1:29" ht="15.75" customHeight="1">
      <c r="A237" s="785">
        <v>22</v>
      </c>
      <c r="B237" s="236"/>
      <c r="C237" s="788">
        <f>INDEX(база!$E$2:$E$81, MATCH(B242,база!$B$2:$B$50,0))</f>
        <v>17345</v>
      </c>
      <c r="D237" s="791">
        <f>INDEX(база!$D$2:$D$89, MATCH(B242,база!$B$2:$B$50,0))</f>
        <v>3</v>
      </c>
      <c r="E237" s="451">
        <f>IF(D237&lt;=3,база!$I$4,
IF(D237=4,база!$I$5,
IF(D237=5,база!$I$6)))</f>
        <v>188.7912</v>
      </c>
      <c r="F237" s="417">
        <v>1</v>
      </c>
      <c r="G237" s="418">
        <f>SUMIFS(Таблица1[Столбец1],Таблица1[коэф],"1",Таблица1[р/р],"2/4",Таблица1[Ф. И. О.],B242)</f>
        <v>0</v>
      </c>
      <c r="H237" s="402">
        <f t="shared" ref="H237:H258" si="42">ROUND(E237*F237*G237*2,2)</f>
        <v>0</v>
      </c>
      <c r="I237" s="377">
        <f>IF(D237&lt;=3,база!$J$4,
IF(D237=4,база!$J$5,
IF(D237=5,база!$J$6)))</f>
        <v>196.05240000000001</v>
      </c>
      <c r="J237" s="378">
        <v>1</v>
      </c>
      <c r="K237" s="428">
        <f>SUMIFS(Таблица1[Столбец1],Таблица1[коэф],"1",Таблица1[р/р],"2/8",Таблица1[Ф. И. О.],B242)</f>
        <v>0</v>
      </c>
      <c r="L237" s="383">
        <f t="shared" ref="L237:L258" si="43">ROUND(I237*J237*K237*2,2)</f>
        <v>0</v>
      </c>
      <c r="M237" s="452"/>
      <c r="N237" s="453">
        <v>1</v>
      </c>
      <c r="O237" s="453">
        <f>SUMIFS(Data_Tech!$AM$3:$AM$67,Data_Tech!$E$3:$E$67,"1",Data_Tech!$G$3:$G$67,"3/12",Data_Tech!$F$3:$F$67,B242)</f>
        <v>0</v>
      </c>
      <c r="P237" s="453">
        <f>ROUND(M237*N237*O237,2)</f>
        <v>0</v>
      </c>
      <c r="Q237" s="416">
        <f>IF(D237&lt;=3,база!$L$4,
IF(D237=4,база!$L$5,
IF(D237=5,база!$L$6)))</f>
        <v>210.57480000000001</v>
      </c>
      <c r="R237" s="417">
        <v>1</v>
      </c>
      <c r="S237" s="495">
        <f>SUMIFS(Таблица1[Столбец1],Таблица1[коэф],"1",Таблица1[р/р],"3/16",Таблица1[Ф. И. О.],B242)</f>
        <v>0</v>
      </c>
      <c r="T237" s="490">
        <f t="shared" ref="T237:T258" si="44">ROUND(Q237*R237*S237*2,2)</f>
        <v>0</v>
      </c>
      <c r="U237" s="471">
        <f>IF(D237&lt;=3,база!$M$4,
IF(D237=4,база!$M$5,
IF(D237=5,база!$M$6)))</f>
        <v>225.09719999999999</v>
      </c>
      <c r="V237" s="378">
        <v>1</v>
      </c>
      <c r="W237" s="497">
        <f>SUMIFS(Таблица1[Столбец1],Таблица1[коэф],"1",Таблица1[р/р],"3/24",Таблица1[Ф. И. О.],B242)</f>
        <v>0</v>
      </c>
      <c r="X237" s="490">
        <f t="shared" ref="X237:X258" si="45">ROUND(U237*V237*W237*2,2)</f>
        <v>0</v>
      </c>
      <c r="Y237" s="800">
        <f t="shared" ref="Y237" si="46">SUM(G237:G247,K237:K247,O237:O247,S237:S247,W237:W247)</f>
        <v>0</v>
      </c>
      <c r="Z237" s="799">
        <f t="shared" ref="Z237" si="47">IFERROR(SUM(H237:H247,L237:L247,T237:T247,X237:X247),"")</f>
        <v>0</v>
      </c>
      <c r="AA237" s="785"/>
    </row>
    <row r="238" spans="1:29" ht="15.75" customHeight="1">
      <c r="A238" s="786"/>
      <c r="B238" s="216"/>
      <c r="C238" s="789"/>
      <c r="D238" s="792"/>
      <c r="E238" s="393">
        <f>IF(D237&lt;=3,база!$I$4,
IF(D237=4,база!$I$5,
IF(D237=5,база!$I$6)))</f>
        <v>188.7912</v>
      </c>
      <c r="F238" s="390">
        <v>1</v>
      </c>
      <c r="G238" s="400">
        <f>SUMIFS(Таблица1[Столбец1],Таблица1[коэф],"1",Таблица1[р/р],"3/4",Таблица1[Ф. И. О.],B242)</f>
        <v>0</v>
      </c>
      <c r="H238" s="392">
        <f t="shared" si="42"/>
        <v>0</v>
      </c>
      <c r="I238" s="389">
        <f>IF(D237&lt;=3,база!$J$4,
IF(D237=4,база!$J$5,
IF(D237=5,база!$J$6)))</f>
        <v>196.05240000000001</v>
      </c>
      <c r="J238" s="390">
        <v>1</v>
      </c>
      <c r="K238" s="434">
        <f>SUMIFS(Таблица1[Столбец1],Таблица1[коэф],"1",Таблица1[р/р],"3/8",Таблица1[Ф. И. О.],B242)</f>
        <v>0</v>
      </c>
      <c r="L238" s="484">
        <f t="shared" si="43"/>
        <v>0</v>
      </c>
      <c r="M238" s="432"/>
      <c r="N238" s="434">
        <v>1</v>
      </c>
      <c r="O238" s="434">
        <f>SUMIFS(Data_Tech!$AM$3:$AM$67,Data_Tech!$E$3:$E$67,"1",Data_Tech!$G$3:$G$67,"4/12",Data_Tech!$F$3:$F$67,B242)</f>
        <v>0</v>
      </c>
      <c r="P238" s="434">
        <f>ROUND(M238*O238,2)</f>
        <v>0</v>
      </c>
      <c r="Q238" s="399">
        <f>база!$L$5</f>
        <v>231.45480000000001</v>
      </c>
      <c r="R238" s="390">
        <v>1</v>
      </c>
      <c r="S238" s="491">
        <f>SUMIFS(Таблица1[Столбец1],Таблица1[коэф],"1",Таблица1[р/р],"4/16",Таблица1[Ф. И. О.],B242)</f>
        <v>0</v>
      </c>
      <c r="T238" s="492">
        <f t="shared" si="44"/>
        <v>0</v>
      </c>
      <c r="U238" s="472">
        <f>база!$M$5</f>
        <v>247.41720000000001</v>
      </c>
      <c r="V238" s="390">
        <v>1</v>
      </c>
      <c r="W238" s="494">
        <f>SUMIFS(Таблица1[Столбец1],Таблица1[коэф],"1",Таблица1[р/р],"4/24",Таблица1[Ф. И. О.],B242)</f>
        <v>0</v>
      </c>
      <c r="X238" s="492">
        <f t="shared" si="45"/>
        <v>0</v>
      </c>
      <c r="Y238" s="801"/>
      <c r="Z238" s="797"/>
      <c r="AA238" s="786"/>
    </row>
    <row r="239" spans="1:29" ht="15.75" customHeight="1">
      <c r="A239" s="786"/>
      <c r="B239" s="216"/>
      <c r="C239" s="789"/>
      <c r="D239" s="792"/>
      <c r="E239" s="393"/>
      <c r="F239" s="390"/>
      <c r="G239" s="400"/>
      <c r="H239" s="392">
        <f t="shared" si="42"/>
        <v>0</v>
      </c>
      <c r="I239" s="389"/>
      <c r="J239" s="390"/>
      <c r="K239" s="434"/>
      <c r="L239" s="484">
        <f t="shared" si="43"/>
        <v>0</v>
      </c>
      <c r="M239" s="432"/>
      <c r="N239" s="434"/>
      <c r="O239" s="434"/>
      <c r="P239" s="434"/>
      <c r="Q239" s="399">
        <f>база!$L$6</f>
        <v>261.04640000000001</v>
      </c>
      <c r="R239" s="390">
        <v>1</v>
      </c>
      <c r="S239" s="491">
        <f>SUMIFS(Таблица1[Столбец1],Таблица1[коэф],"1",Таблица1[р/р],"5/16",Таблица1[Ф. И. О.],B242)</f>
        <v>0</v>
      </c>
      <c r="T239" s="492">
        <f t="shared" si="44"/>
        <v>0</v>
      </c>
      <c r="U239" s="472">
        <f>база!$M$6</f>
        <v>279.0496</v>
      </c>
      <c r="V239" s="390">
        <v>1</v>
      </c>
      <c r="W239" s="494">
        <f>SUMIFS(Таблица1[Столбец1],Таблица1[коэф],"1",Таблица1[р/р],"5/24",Таблица1[Ф. И. О.],B242)</f>
        <v>0</v>
      </c>
      <c r="X239" s="492">
        <f t="shared" si="45"/>
        <v>0</v>
      </c>
      <c r="Y239" s="801"/>
      <c r="Z239" s="797"/>
      <c r="AA239" s="786"/>
    </row>
    <row r="240" spans="1:29" ht="15.75" customHeight="1">
      <c r="A240" s="786"/>
      <c r="B240" s="216"/>
      <c r="C240" s="789"/>
      <c r="D240" s="792"/>
      <c r="E240" s="393"/>
      <c r="F240" s="390"/>
      <c r="G240" s="400"/>
      <c r="H240" s="392">
        <f t="shared" si="42"/>
        <v>0</v>
      </c>
      <c r="I240" s="389">
        <f>база!$J$5</f>
        <v>215.4924</v>
      </c>
      <c r="J240" s="390">
        <v>1.5</v>
      </c>
      <c r="K240" s="434">
        <f>SUMIFS(Таблица1[Столбец1],Таблица1[коэф],"1,5",Таблица1[р/р],"4/8",Таблица1[Ф. И. О.],B242)</f>
        <v>0</v>
      </c>
      <c r="L240" s="484">
        <f t="shared" si="43"/>
        <v>0</v>
      </c>
      <c r="M240" s="432"/>
      <c r="N240" s="434"/>
      <c r="O240" s="434"/>
      <c r="P240" s="434"/>
      <c r="Q240" s="399">
        <f>IF(D237&lt;=3,база!$L$4,
IF(D237=4,база!$L$5,
IF(D237=5,база!$L$6)))</f>
        <v>210.57480000000001</v>
      </c>
      <c r="R240" s="390">
        <v>1.2</v>
      </c>
      <c r="S240" s="491">
        <f>SUMIFS(Таблица1[Столбец1],Таблица1[коэф],"1,2",Таблица1[р/р],"3/16",Таблица1[Ф. И. О.],B242)</f>
        <v>0</v>
      </c>
      <c r="T240" s="492">
        <f t="shared" si="44"/>
        <v>0</v>
      </c>
      <c r="U240" s="472">
        <f>IF(D237&lt;=3,база!$M$4,
IF(D237=4,база!$M$5,
IF(D237=5,база!$M$6)))</f>
        <v>225.09719999999999</v>
      </c>
      <c r="V240" s="390">
        <v>1.2</v>
      </c>
      <c r="W240" s="494">
        <f>SUMIFS(Таблица1[Столбец1],Таблица1[коэф],"1,2",Таблица1[р/р],"3/24",Таблица1[Ф. И. О.],B242)</f>
        <v>0</v>
      </c>
      <c r="X240" s="492">
        <f t="shared" si="45"/>
        <v>0</v>
      </c>
      <c r="Y240" s="801"/>
      <c r="Z240" s="797"/>
      <c r="AA240" s="786"/>
    </row>
    <row r="241" spans="1:29" ht="15.75" customHeight="1">
      <c r="A241" s="786"/>
      <c r="B241" s="216"/>
      <c r="C241" s="789"/>
      <c r="D241" s="792"/>
      <c r="E241" s="393"/>
      <c r="F241" s="390"/>
      <c r="G241" s="400"/>
      <c r="H241" s="392">
        <f t="shared" si="42"/>
        <v>0</v>
      </c>
      <c r="I241" s="389">
        <f>база!$J$6</f>
        <v>243.04319999999998</v>
      </c>
      <c r="J241" s="390">
        <v>1.5</v>
      </c>
      <c r="K241" s="434">
        <f>SUMIFS(Таблица1[Столбец1],Таблица1[коэф],"1,5",Таблица1[р/р],"5/8",Таблица1[Ф. И. О.],B242)</f>
        <v>0</v>
      </c>
      <c r="L241" s="484">
        <f t="shared" si="43"/>
        <v>0</v>
      </c>
      <c r="M241" s="432"/>
      <c r="N241" s="434"/>
      <c r="O241" s="434"/>
      <c r="P241" s="434"/>
      <c r="Q241" s="399">
        <f>база!$L$5</f>
        <v>231.45480000000001</v>
      </c>
      <c r="R241" s="390">
        <v>1.2</v>
      </c>
      <c r="S241" s="491">
        <f>SUMIFS(Таблица1[Столбец1],Таблица1[коэф],"1,2",Таблица1[р/р],"4/16",Таблица1[Ф. И. О.],B242)</f>
        <v>0</v>
      </c>
      <c r="T241" s="492">
        <f t="shared" si="44"/>
        <v>0</v>
      </c>
      <c r="U241" s="472">
        <f>база!$M$5</f>
        <v>247.41720000000001</v>
      </c>
      <c r="V241" s="390">
        <v>1.2</v>
      </c>
      <c r="W241" s="494">
        <f>SUMIFS(Таблица1[Столбец1],Таблица1[коэф],"1,2",Таблица1[р/р],"4/24",Таблица1[Ф. И. О.],B242)</f>
        <v>0</v>
      </c>
      <c r="X241" s="492">
        <f t="shared" si="45"/>
        <v>0</v>
      </c>
      <c r="Y241" s="801"/>
      <c r="Z241" s="797"/>
      <c r="AA241" s="786"/>
    </row>
    <row r="242" spans="1:29" ht="15.75" customHeight="1">
      <c r="A242" s="786"/>
      <c r="B242" s="216" t="str">
        <f>база!B23</f>
        <v>Ерошевич Дарья Александровна</v>
      </c>
      <c r="C242" s="789"/>
      <c r="D242" s="792"/>
      <c r="E242" s="393"/>
      <c r="F242" s="390"/>
      <c r="G242" s="400"/>
      <c r="H242" s="392">
        <f t="shared" si="42"/>
        <v>0</v>
      </c>
      <c r="I242" s="389"/>
      <c r="J242" s="390"/>
      <c r="K242" s="434"/>
      <c r="L242" s="484">
        <f t="shared" si="43"/>
        <v>0</v>
      </c>
      <c r="M242" s="432"/>
      <c r="N242" s="434"/>
      <c r="O242" s="434"/>
      <c r="P242" s="434"/>
      <c r="Q242" s="399">
        <f>база!$L$6</f>
        <v>261.04640000000001</v>
      </c>
      <c r="R242" s="390">
        <v>1.2</v>
      </c>
      <c r="S242" s="491">
        <f>SUMIFS(Таблица1[Столбец1],Таблица1[коэф],"1,2",Таблица1[р/р],"5/16",Таблица1[Ф. И. О.],B242)</f>
        <v>0</v>
      </c>
      <c r="T242" s="492">
        <f t="shared" si="44"/>
        <v>0</v>
      </c>
      <c r="U242" s="472">
        <f>база!$M$6</f>
        <v>279.0496</v>
      </c>
      <c r="V242" s="390">
        <v>1.2</v>
      </c>
      <c r="W242" s="494">
        <f>SUMIFS(Таблица1[Столбец1],Таблица1[коэф],"1,2",Таблица1[р/р],"5/24",Таблица1[Ф. И. О.],B242)</f>
        <v>0</v>
      </c>
      <c r="X242" s="492">
        <f t="shared" si="45"/>
        <v>0</v>
      </c>
      <c r="Y242" s="801"/>
      <c r="Z242" s="797"/>
      <c r="AA242" s="786"/>
      <c r="AC242" s="727" t="str">
        <f>IF(SUMIFS(Таблица1[Столбец3],Таблица1[Ф. И. О.],B242)-Z237=0,"",SUMIFS(Таблица1[Столбец3],Таблица1[Ф. И. О.],B242)-Z237)</f>
        <v/>
      </c>
    </row>
    <row r="243" spans="1:29" ht="15.75" customHeight="1">
      <c r="A243" s="786"/>
      <c r="B243" s="216"/>
      <c r="C243" s="789"/>
      <c r="D243" s="792"/>
      <c r="E243" s="393"/>
      <c r="F243" s="390"/>
      <c r="G243" s="400"/>
      <c r="H243" s="392">
        <f t="shared" si="42"/>
        <v>0</v>
      </c>
      <c r="I243" s="389"/>
      <c r="J243" s="390"/>
      <c r="K243" s="434"/>
      <c r="L243" s="484">
        <f t="shared" si="43"/>
        <v>0</v>
      </c>
      <c r="M243" s="432"/>
      <c r="N243" s="434"/>
      <c r="O243" s="434"/>
      <c r="P243" s="434"/>
      <c r="Q243" s="399">
        <f>IF(D237&lt;=3,база!$L$4,
IF(D237=4,база!$L$5,
IF(D237=5,база!$L$6)))</f>
        <v>210.57480000000001</v>
      </c>
      <c r="R243" s="390">
        <v>1.3</v>
      </c>
      <c r="S243" s="491">
        <f>SUMIFS(Таблица1[Столбец1],Таблица1[коэф],"1,3",Таблица1[р/р],"3/16",Таблица1[Ф. И. О.],B242)</f>
        <v>0</v>
      </c>
      <c r="T243" s="492">
        <f t="shared" si="44"/>
        <v>0</v>
      </c>
      <c r="U243" s="472">
        <f>IF(D237&lt;=3,база!$M$4,
IF(D237=4,база!$M$5,
IF(D237=5,база!$M$6)))</f>
        <v>225.09719999999999</v>
      </c>
      <c r="V243" s="390">
        <v>1.3</v>
      </c>
      <c r="W243" s="494">
        <f>SUMIFS(Таблица1[Столбец1],Таблица1[коэф],"1,3",Таблица1[р/р],"3/24",Таблица1[Ф. И. О.],B242)</f>
        <v>0</v>
      </c>
      <c r="X243" s="492">
        <f t="shared" si="45"/>
        <v>0</v>
      </c>
      <c r="Y243" s="801"/>
      <c r="Z243" s="797"/>
      <c r="AA243" s="786"/>
      <c r="AC243" s="727" t="str">
        <f>IF(SUMIFS(Таблица1[Столбец1],Таблица1[Ф. И. О.],B242)=Y237,"",B242&amp;"  часы не верны")</f>
        <v/>
      </c>
    </row>
    <row r="244" spans="1:29" ht="15.75" customHeight="1">
      <c r="A244" s="786"/>
      <c r="B244" s="216"/>
      <c r="C244" s="789"/>
      <c r="D244" s="792"/>
      <c r="E244" s="393"/>
      <c r="F244" s="390"/>
      <c r="G244" s="400"/>
      <c r="H244" s="392">
        <f t="shared" si="42"/>
        <v>0</v>
      </c>
      <c r="I244" s="389"/>
      <c r="J244" s="390"/>
      <c r="K244" s="434"/>
      <c r="L244" s="484">
        <f t="shared" si="43"/>
        <v>0</v>
      </c>
      <c r="M244" s="432"/>
      <c r="N244" s="434"/>
      <c r="O244" s="434"/>
      <c r="P244" s="434"/>
      <c r="Q244" s="399">
        <f>база!$L$5</f>
        <v>231.45480000000001</v>
      </c>
      <c r="R244" s="390">
        <v>1.3</v>
      </c>
      <c r="S244" s="491">
        <f>SUMIFS(Таблица1[Столбец1],Таблица1[коэф],"1,3",Таблица1[р/р],"4/16",Таблица1[Ф. И. О.],B242)</f>
        <v>0</v>
      </c>
      <c r="T244" s="492">
        <f t="shared" si="44"/>
        <v>0</v>
      </c>
      <c r="U244" s="472">
        <f>база!$M$5</f>
        <v>247.41720000000001</v>
      </c>
      <c r="V244" s="390">
        <v>1.3</v>
      </c>
      <c r="W244" s="494">
        <f>SUMIFS(Таблица1[Столбец1],Таблица1[коэф],"1,3",Таблица1[р/р],"4/24",Таблица1[Ф. И. О.],B242)</f>
        <v>0</v>
      </c>
      <c r="X244" s="492">
        <f t="shared" si="45"/>
        <v>0</v>
      </c>
      <c r="Y244" s="801"/>
      <c r="Z244" s="797"/>
      <c r="AA244" s="786"/>
    </row>
    <row r="245" spans="1:29" ht="15.75" customHeight="1">
      <c r="A245" s="786"/>
      <c r="B245" s="216"/>
      <c r="C245" s="789"/>
      <c r="D245" s="792"/>
      <c r="E245" s="393"/>
      <c r="F245" s="390"/>
      <c r="G245" s="400"/>
      <c r="H245" s="392">
        <f t="shared" si="42"/>
        <v>0</v>
      </c>
      <c r="I245" s="389"/>
      <c r="J245" s="390"/>
      <c r="K245" s="434"/>
      <c r="L245" s="484">
        <f t="shared" si="43"/>
        <v>0</v>
      </c>
      <c r="M245" s="432"/>
      <c r="N245" s="434"/>
      <c r="O245" s="434"/>
      <c r="P245" s="434"/>
      <c r="Q245" s="399">
        <f>IF(D237&lt;=3,база!$L$4,
IF(D237=4,база!$L$5,
IF(D237=5,база!$L$6)))</f>
        <v>210.57480000000001</v>
      </c>
      <c r="R245" s="390">
        <v>1.4</v>
      </c>
      <c r="S245" s="491">
        <f>SUMIFS(Таблица1[Столбец1],Таблица1[коэф],"1,4",Таблица1[р/р],"3/16",Таблица1[Ф. И. О.],B242)</f>
        <v>0</v>
      </c>
      <c r="T245" s="492">
        <f t="shared" si="44"/>
        <v>0</v>
      </c>
      <c r="U245" s="472">
        <f>IF(D237&lt;=3,база!$M$4,
IF(D237=4,база!$M$5,
IF(D237=5,база!$M$6)))</f>
        <v>225.09719999999999</v>
      </c>
      <c r="V245" s="390">
        <v>1.4</v>
      </c>
      <c r="W245" s="494">
        <f>SUMIFS(Таблица1[Столбец1],Таблица1[коэф],"1,4",Таблица1[р/р],"3/24",Таблица1[Ф. И. О.],B242)</f>
        <v>0</v>
      </c>
      <c r="X245" s="492">
        <f t="shared" si="45"/>
        <v>0</v>
      </c>
      <c r="Y245" s="801"/>
      <c r="Z245" s="797"/>
      <c r="AA245" s="786"/>
    </row>
    <row r="246" spans="1:29" ht="15.75" customHeight="1">
      <c r="A246" s="786"/>
      <c r="B246" s="216"/>
      <c r="C246" s="789"/>
      <c r="D246" s="792"/>
      <c r="E246" s="393"/>
      <c r="F246" s="390"/>
      <c r="G246" s="400"/>
      <c r="H246" s="392">
        <f t="shared" si="42"/>
        <v>0</v>
      </c>
      <c r="I246" s="389"/>
      <c r="J246" s="390"/>
      <c r="K246" s="434"/>
      <c r="L246" s="395">
        <f t="shared" si="43"/>
        <v>0</v>
      </c>
      <c r="M246" s="432"/>
      <c r="N246" s="434"/>
      <c r="O246" s="434"/>
      <c r="P246" s="434"/>
      <c r="Q246" s="399">
        <f>база!$L$5</f>
        <v>231.45480000000001</v>
      </c>
      <c r="R246" s="390">
        <v>1.4</v>
      </c>
      <c r="S246" s="491">
        <f>SUMIFS(Таблица1[Столбец1],Таблица1[коэф],"1,4",Таблица1[р/р],"4/16",Таблица1[Ф. И. О.],B242)</f>
        <v>0</v>
      </c>
      <c r="T246" s="492">
        <f t="shared" si="44"/>
        <v>0</v>
      </c>
      <c r="U246" s="472">
        <f>база!$M$5</f>
        <v>247.41720000000001</v>
      </c>
      <c r="V246" s="390">
        <v>1.4</v>
      </c>
      <c r="W246" s="494">
        <f>SUMIFS(Таблица1[Столбец1],Таблица1[коэф],"1,4",Таблица1[р/р],"4/24",Таблица1[Ф. И. О.],B242)</f>
        <v>0</v>
      </c>
      <c r="X246" s="492">
        <f t="shared" si="45"/>
        <v>0</v>
      </c>
      <c r="Y246" s="801"/>
      <c r="Z246" s="797"/>
      <c r="AA246" s="786"/>
    </row>
    <row r="247" spans="1:29" ht="15.75" customHeight="1" thickBot="1">
      <c r="A247" s="787"/>
      <c r="B247" s="203"/>
      <c r="C247" s="790"/>
      <c r="D247" s="793"/>
      <c r="E247" s="463"/>
      <c r="F247" s="464"/>
      <c r="G247" s="465"/>
      <c r="H247" s="468">
        <f t="shared" si="42"/>
        <v>0</v>
      </c>
      <c r="I247" s="473"/>
      <c r="J247" s="464"/>
      <c r="K247" s="457"/>
      <c r="L247" s="484">
        <f t="shared" si="43"/>
        <v>0</v>
      </c>
      <c r="M247" s="466"/>
      <c r="N247" s="457"/>
      <c r="O247" s="457"/>
      <c r="P247" s="457"/>
      <c r="Q247" s="467">
        <f>база!$L$6</f>
        <v>261.04640000000001</v>
      </c>
      <c r="R247" s="464">
        <v>1.4</v>
      </c>
      <c r="S247" s="512">
        <f>SUMIFS(Таблица1[Столбец1],Таблица1[коэф],"1,4",Таблица1[р/р],"5/16",Таблица1[Ф. И. О.],B242)</f>
        <v>0</v>
      </c>
      <c r="T247" s="492">
        <f t="shared" si="44"/>
        <v>0</v>
      </c>
      <c r="U247" s="474">
        <f>база!$M$6</f>
        <v>279.0496</v>
      </c>
      <c r="V247" s="464">
        <v>1.4</v>
      </c>
      <c r="W247" s="501">
        <f>SUMIFS(Таблица1[Столбец1],Таблица1[коэф],"1,4",Таблица1[р/р],"5/24",Таблица1[Ф. И. О.],B242)</f>
        <v>0</v>
      </c>
      <c r="X247" s="492">
        <f t="shared" si="45"/>
        <v>0</v>
      </c>
      <c r="Y247" s="802"/>
      <c r="Z247" s="798"/>
      <c r="AA247" s="787"/>
    </row>
    <row r="248" spans="1:29" ht="18.75" customHeight="1">
      <c r="A248" s="785">
        <v>23</v>
      </c>
      <c r="B248" s="216"/>
      <c r="C248" s="788">
        <f>INDEX(база!$E$2:$E$81, MATCH(B253,база!$B$2:$B$50,0))</f>
        <v>15340</v>
      </c>
      <c r="D248" s="791">
        <f>INDEX(база!$D$2:$D$89, MATCH(B253,база!$B$2:$B$50,0))</f>
        <v>3</v>
      </c>
      <c r="E248" s="377">
        <f>IF(D248&lt;=3,база!$I$4,
IF(D248=4,база!$I$5,
IF(D248=5,база!$I$6)))</f>
        <v>188.7912</v>
      </c>
      <c r="F248" s="378">
        <v>1</v>
      </c>
      <c r="G248" s="387">
        <f>SUMIFS(Таблица1[Столбец1],Таблица1[коэф],"1",Таблица1[р/р],"2/4",Таблица1[Ф. И. О.],B253)</f>
        <v>0</v>
      </c>
      <c r="H248" s="402">
        <f t="shared" si="42"/>
        <v>0</v>
      </c>
      <c r="I248" s="451">
        <f>IF(D248&lt;=3,база!$J$4,
IF(D248=4,база!$J$5,
IF(D248=5,база!$J$6)))</f>
        <v>196.05240000000001</v>
      </c>
      <c r="J248" s="417">
        <v>1</v>
      </c>
      <c r="K248" s="453">
        <f>SUMIFS(Таблица1[Столбец1],Таблица1[коэф],"1",Таблица1[р/р],"2/8",Таблица1[Ф. И. О.],B253)</f>
        <v>0</v>
      </c>
      <c r="L248" s="383">
        <f t="shared" si="43"/>
        <v>0</v>
      </c>
      <c r="M248" s="453"/>
      <c r="N248" s="453">
        <v>1</v>
      </c>
      <c r="O248" s="453">
        <f>SUMIFS(Data_Tech!$AM$3:$AM$67,Data_Tech!$E$3:$E$67,"1",Data_Tech!$G$3:$G$67,"3/12",Data_Tech!$F$3:$F$67,B253)</f>
        <v>0</v>
      </c>
      <c r="P248" s="398">
        <f>ROUND(M248*N248*O248,2)</f>
        <v>0</v>
      </c>
      <c r="Q248" s="377">
        <f>IF(D248&lt;=3,база!$L$4,
IF(D248=4,база!$L$5,
IF(D248=5,база!$L$6)))</f>
        <v>210.57480000000001</v>
      </c>
      <c r="R248" s="378">
        <v>1</v>
      </c>
      <c r="S248" s="489">
        <f>SUMIFS(Таблица1[Столбец1],Таблица1[коэф],"1",Таблица1[р/р],"3/16",Таблица1[Ф. И. О.],B253)</f>
        <v>0</v>
      </c>
      <c r="T248" s="490">
        <f t="shared" si="44"/>
        <v>0</v>
      </c>
      <c r="U248" s="454">
        <f>IF(D248&lt;=3,база!$M$4,
IF(D248=4,база!$M$5,
IF(D248=5,база!$M$6)))</f>
        <v>225.09719999999999</v>
      </c>
      <c r="V248" s="417">
        <v>1</v>
      </c>
      <c r="W248" s="500">
        <f>SUMIFS(Таблица1[Столбец1],Таблица1[коэф],"1",Таблица1[р/р],"3/24",Таблица1[Ф. И. О.],B253)</f>
        <v>0</v>
      </c>
      <c r="X248" s="490">
        <f t="shared" si="45"/>
        <v>0</v>
      </c>
      <c r="Y248" s="800">
        <f t="shared" ref="Y248" si="48">SUM(G248:G258,K248:K258,O248:O258,S248:S258,W248:W258)</f>
        <v>0</v>
      </c>
      <c r="Z248" s="799">
        <f t="shared" ref="Z248" si="49">IFERROR(SUM(H248:H258,L248:L258,T248:T258,X248:X258),"")</f>
        <v>0</v>
      </c>
      <c r="AA248" s="785"/>
    </row>
    <row r="249" spans="1:29" ht="18.75" customHeight="1">
      <c r="A249" s="786"/>
      <c r="B249" s="216"/>
      <c r="C249" s="789"/>
      <c r="D249" s="792"/>
      <c r="E249" s="389">
        <f>IF(D248&lt;=3,база!$I$4,
IF(D248=4,база!$I$5,
IF(D248=5,база!$I$6)))</f>
        <v>188.7912</v>
      </c>
      <c r="F249" s="390">
        <v>1</v>
      </c>
      <c r="G249" s="400">
        <f>SUMIFS(Таблица1[Столбец1],Таблица1[коэф],"1",Таблица1[р/р],"3/4",Таблица1[Ф. И. О.],B253)</f>
        <v>0</v>
      </c>
      <c r="H249" s="392">
        <f t="shared" si="42"/>
        <v>0</v>
      </c>
      <c r="I249" s="393">
        <f>IF(D248&lt;=3,база!$J$4,
IF(D248=4,база!$J$5,
IF(D248=5,база!$J$6)))</f>
        <v>196.05240000000001</v>
      </c>
      <c r="J249" s="390">
        <v>1</v>
      </c>
      <c r="K249" s="434">
        <f>SUMIFS(Таблица1[Столбец1],Таблица1[коэф],"1",Таблица1[р/р],"3/8",Таблица1[Ф. И. О.],B253)</f>
        <v>0</v>
      </c>
      <c r="L249" s="484">
        <f t="shared" si="43"/>
        <v>0</v>
      </c>
      <c r="M249" s="434"/>
      <c r="N249" s="434">
        <v>1</v>
      </c>
      <c r="O249" s="434">
        <f>SUMIFS(Data_Tech!$AM$3:$AM$67,Data_Tech!$E$3:$E$67,"1",Data_Tech!$G$3:$G$67,"4/12",Data_Tech!$F$3:$F$67,B253)</f>
        <v>0</v>
      </c>
      <c r="P249" s="406">
        <f>ROUND(M249*O249,2)</f>
        <v>0</v>
      </c>
      <c r="Q249" s="389">
        <f>база!$L$5</f>
        <v>231.45480000000001</v>
      </c>
      <c r="R249" s="390">
        <v>1</v>
      </c>
      <c r="S249" s="491">
        <f>SUMIFS(Таблица1[Столбец1],Таблица1[коэф],"1",Таблица1[р/р],"4/16",Таблица1[Ф. И. О.],B253)</f>
        <v>0</v>
      </c>
      <c r="T249" s="492">
        <f t="shared" si="44"/>
        <v>0</v>
      </c>
      <c r="U249" s="410">
        <f>база!$M$5</f>
        <v>247.41720000000001</v>
      </c>
      <c r="V249" s="390">
        <v>1</v>
      </c>
      <c r="W249" s="494">
        <f>SUMIFS(Таблица1[Столбец1],Таблица1[коэф],"1",Таблица1[р/р],"4/24",Таблица1[Ф. И. О.],B253)</f>
        <v>0</v>
      </c>
      <c r="X249" s="492">
        <f t="shared" si="45"/>
        <v>0</v>
      </c>
      <c r="Y249" s="801"/>
      <c r="Z249" s="797"/>
      <c r="AA249" s="786"/>
    </row>
    <row r="250" spans="1:29" ht="18.75" customHeight="1">
      <c r="A250" s="786"/>
      <c r="B250" s="216"/>
      <c r="C250" s="789"/>
      <c r="D250" s="792"/>
      <c r="E250" s="389"/>
      <c r="F250" s="390"/>
      <c r="G250" s="400"/>
      <c r="H250" s="392">
        <f t="shared" si="42"/>
        <v>0</v>
      </c>
      <c r="I250" s="393"/>
      <c r="J250" s="390"/>
      <c r="K250" s="434"/>
      <c r="L250" s="484">
        <f t="shared" si="43"/>
        <v>0</v>
      </c>
      <c r="M250" s="434"/>
      <c r="N250" s="434"/>
      <c r="O250" s="434"/>
      <c r="P250" s="406"/>
      <c r="Q250" s="389">
        <f>база!$L$6</f>
        <v>261.04640000000001</v>
      </c>
      <c r="R250" s="390">
        <v>1</v>
      </c>
      <c r="S250" s="491">
        <f>SUMIFS(Таблица1[Столбец1],Таблица1[коэф],"1",Таблица1[р/р],"5/16",Таблица1[Ф. И. О.],B253)</f>
        <v>0</v>
      </c>
      <c r="T250" s="492">
        <f t="shared" si="44"/>
        <v>0</v>
      </c>
      <c r="U250" s="410">
        <f>база!$M$6</f>
        <v>279.0496</v>
      </c>
      <c r="V250" s="390">
        <v>1</v>
      </c>
      <c r="W250" s="494">
        <f>SUMIFS(Таблица1[Столбец1],Таблица1[коэф],"1",Таблица1[р/р],"5/24",Таблица1[Ф. И. О.],B253)</f>
        <v>0</v>
      </c>
      <c r="X250" s="492">
        <f t="shared" si="45"/>
        <v>0</v>
      </c>
      <c r="Y250" s="801"/>
      <c r="Z250" s="797"/>
      <c r="AA250" s="786"/>
    </row>
    <row r="251" spans="1:29" ht="18.75" customHeight="1">
      <c r="A251" s="786"/>
      <c r="B251" s="216"/>
      <c r="C251" s="789"/>
      <c r="D251" s="792"/>
      <c r="E251" s="389"/>
      <c r="F251" s="390"/>
      <c r="G251" s="400"/>
      <c r="H251" s="392">
        <f t="shared" si="42"/>
        <v>0</v>
      </c>
      <c r="I251" s="393">
        <f>база!$J$5</f>
        <v>215.4924</v>
      </c>
      <c r="J251" s="390">
        <v>1.5</v>
      </c>
      <c r="K251" s="434">
        <f>SUMIFS(Таблица1[Столбец1],Таблица1[коэф],"1,5",Таблица1[р/р],"4/8",Таблица1[Ф. И. О.],B253)</f>
        <v>0</v>
      </c>
      <c r="L251" s="484">
        <f t="shared" si="43"/>
        <v>0</v>
      </c>
      <c r="M251" s="434"/>
      <c r="N251" s="434"/>
      <c r="O251" s="434"/>
      <c r="P251" s="406"/>
      <c r="Q251" s="389">
        <f>IF(D248&lt;=3,база!$L$4,
IF(D248=4,база!$L$5,
IF(D248=5,база!$L$6)))</f>
        <v>210.57480000000001</v>
      </c>
      <c r="R251" s="390">
        <v>1.2</v>
      </c>
      <c r="S251" s="491">
        <f>SUMIFS(Таблица1[Столбец1],Таблица1[коэф],"1,2",Таблица1[р/р],"3/16",Таблица1[Ф. И. О.],B253)</f>
        <v>0</v>
      </c>
      <c r="T251" s="492">
        <f t="shared" si="44"/>
        <v>0</v>
      </c>
      <c r="U251" s="410">
        <f>IF(D248&lt;=3,база!$M$4,
IF(D248=4,база!$M$5,
IF(D248=5,база!$M$6)))</f>
        <v>225.09719999999999</v>
      </c>
      <c r="V251" s="390">
        <v>1.2</v>
      </c>
      <c r="W251" s="494">
        <f>SUMIFS(Таблица1[Столбец1],Таблица1[коэф],"1,2",Таблица1[р/р],"3/24",Таблица1[Ф. И. О.],B253)</f>
        <v>0</v>
      </c>
      <c r="X251" s="492">
        <f t="shared" si="45"/>
        <v>0</v>
      </c>
      <c r="Y251" s="801"/>
      <c r="Z251" s="797"/>
      <c r="AA251" s="786"/>
    </row>
    <row r="252" spans="1:29" ht="18.75" customHeight="1">
      <c r="A252" s="786"/>
      <c r="B252" s="216"/>
      <c r="C252" s="789"/>
      <c r="D252" s="792"/>
      <c r="E252" s="389"/>
      <c r="F252" s="390"/>
      <c r="G252" s="400"/>
      <c r="H252" s="392">
        <f t="shared" si="42"/>
        <v>0</v>
      </c>
      <c r="I252" s="393">
        <f>база!$J$6</f>
        <v>243.04319999999998</v>
      </c>
      <c r="J252" s="390">
        <v>1.5</v>
      </c>
      <c r="K252" s="434">
        <f>SUMIFS(Таблица1[Столбец1],Таблица1[коэф],"1,5",Таблица1[р/р],"5/8",Таблица1[Ф. И. О.],B253)</f>
        <v>0</v>
      </c>
      <c r="L252" s="484">
        <f t="shared" si="43"/>
        <v>0</v>
      </c>
      <c r="M252" s="434"/>
      <c r="N252" s="434"/>
      <c r="O252" s="434"/>
      <c r="P252" s="406"/>
      <c r="Q252" s="389">
        <f>база!$L$5</f>
        <v>231.45480000000001</v>
      </c>
      <c r="R252" s="390">
        <v>1.2</v>
      </c>
      <c r="S252" s="491">
        <f>SUMIFS(Таблица1[Столбец1],Таблица1[коэф],"1,2",Таблица1[р/р],"4/16",Таблица1[Ф. И. О.],B253)</f>
        <v>0</v>
      </c>
      <c r="T252" s="492">
        <f t="shared" si="44"/>
        <v>0</v>
      </c>
      <c r="U252" s="410">
        <f>база!$M$5</f>
        <v>247.41720000000001</v>
      </c>
      <c r="V252" s="390">
        <v>1.2</v>
      </c>
      <c r="W252" s="494">
        <f>SUMIFS(Таблица1[Столбец1],Таблица1[коэф],"1,2",Таблица1[р/р],"4/24",Таблица1[Ф. И. О.],B253)</f>
        <v>0</v>
      </c>
      <c r="X252" s="492">
        <f t="shared" si="45"/>
        <v>0</v>
      </c>
      <c r="Y252" s="801"/>
      <c r="Z252" s="797"/>
      <c r="AA252" s="786"/>
    </row>
    <row r="253" spans="1:29" ht="18.75" customHeight="1">
      <c r="A253" s="786"/>
      <c r="B253" s="216" t="str">
        <f>база!B24</f>
        <v>Ерошина Ирина Павловна</v>
      </c>
      <c r="C253" s="789"/>
      <c r="D253" s="792"/>
      <c r="E253" s="389"/>
      <c r="F253" s="390"/>
      <c r="G253" s="400"/>
      <c r="H253" s="392">
        <f t="shared" si="42"/>
        <v>0</v>
      </c>
      <c r="I253" s="393"/>
      <c r="J253" s="390"/>
      <c r="K253" s="434"/>
      <c r="L253" s="484">
        <f t="shared" si="43"/>
        <v>0</v>
      </c>
      <c r="M253" s="434"/>
      <c r="N253" s="434"/>
      <c r="O253" s="434"/>
      <c r="P253" s="406"/>
      <c r="Q253" s="389">
        <f>база!$L$6</f>
        <v>261.04640000000001</v>
      </c>
      <c r="R253" s="390">
        <v>1.2</v>
      </c>
      <c r="S253" s="491">
        <f>SUMIFS(Таблица1[Столбец1],Таблица1[коэф],"1,2",Таблица1[р/р],"5/16",Таблица1[Ф. И. О.],B253)</f>
        <v>0</v>
      </c>
      <c r="T253" s="492">
        <f t="shared" si="44"/>
        <v>0</v>
      </c>
      <c r="U253" s="410">
        <f>база!$M$6</f>
        <v>279.0496</v>
      </c>
      <c r="V253" s="390">
        <v>1.2</v>
      </c>
      <c r="W253" s="494">
        <f>SUMIFS(Таблица1[Столбец1],Таблица1[коэф],"1,2",Таблица1[р/р],"5/24",Таблица1[Ф. И. О.],B253)</f>
        <v>0</v>
      </c>
      <c r="X253" s="492">
        <f t="shared" si="45"/>
        <v>0</v>
      </c>
      <c r="Y253" s="801"/>
      <c r="Z253" s="797"/>
      <c r="AA253" s="786"/>
      <c r="AC253" s="727" t="str">
        <f>IF(SUMIFS(Таблица1[Столбец3],Таблица1[Ф. И. О.],B253)-Z248=0,"",SUMIFS(Таблица1[Столбец3],Таблица1[Ф. И. О.],B253)-Z248)</f>
        <v/>
      </c>
    </row>
    <row r="254" spans="1:29" ht="18.75" customHeight="1">
      <c r="A254" s="786"/>
      <c r="B254" s="216"/>
      <c r="C254" s="789"/>
      <c r="D254" s="792"/>
      <c r="E254" s="389"/>
      <c r="F254" s="390"/>
      <c r="G254" s="400"/>
      <c r="H254" s="392">
        <f t="shared" si="42"/>
        <v>0</v>
      </c>
      <c r="I254" s="393"/>
      <c r="J254" s="390"/>
      <c r="K254" s="434"/>
      <c r="L254" s="484">
        <f t="shared" si="43"/>
        <v>0</v>
      </c>
      <c r="M254" s="434"/>
      <c r="N254" s="434"/>
      <c r="O254" s="434"/>
      <c r="P254" s="406"/>
      <c r="Q254" s="389">
        <f>IF(D248&lt;=3,база!$L$4,
IF(D248=4,база!$L$5,
IF(D248=5,база!$L$6)))</f>
        <v>210.57480000000001</v>
      </c>
      <c r="R254" s="390">
        <v>1.3</v>
      </c>
      <c r="S254" s="491">
        <f>SUMIFS(Таблица1[Столбец1],Таблица1[коэф],"1,3",Таблица1[р/р],"3/16",Таблица1[Ф. И. О.],B253)</f>
        <v>0</v>
      </c>
      <c r="T254" s="492">
        <f t="shared" si="44"/>
        <v>0</v>
      </c>
      <c r="U254" s="410">
        <f>IF(D248&lt;=3,база!$M$4,
IF(D248=4,база!$M$5,
IF(D248=5,база!$M$6)))</f>
        <v>225.09719999999999</v>
      </c>
      <c r="V254" s="390">
        <v>1.3</v>
      </c>
      <c r="W254" s="494">
        <f>SUMIFS(Таблица1[Столбец1],Таблица1[коэф],"1,3",Таблица1[р/р],"3/24",Таблица1[Ф. И. О.],B253)</f>
        <v>0</v>
      </c>
      <c r="X254" s="492">
        <f t="shared" si="45"/>
        <v>0</v>
      </c>
      <c r="Y254" s="801"/>
      <c r="Z254" s="797"/>
      <c r="AA254" s="786"/>
      <c r="AC254" s="727" t="str">
        <f>IF(SUMIFS(Таблица1[Столбец1],Таблица1[Ф. И. О.],B253)=Y248,"",B253&amp;"  часы не верны")</f>
        <v/>
      </c>
    </row>
    <row r="255" spans="1:29" ht="18.75" customHeight="1">
      <c r="A255" s="786"/>
      <c r="B255" s="216"/>
      <c r="C255" s="789"/>
      <c r="D255" s="792"/>
      <c r="E255" s="389"/>
      <c r="F255" s="390"/>
      <c r="G255" s="400"/>
      <c r="H255" s="392">
        <f t="shared" si="42"/>
        <v>0</v>
      </c>
      <c r="I255" s="393"/>
      <c r="J255" s="390"/>
      <c r="K255" s="434"/>
      <c r="L255" s="484">
        <f t="shared" si="43"/>
        <v>0</v>
      </c>
      <c r="M255" s="434"/>
      <c r="N255" s="434"/>
      <c r="O255" s="434"/>
      <c r="P255" s="406"/>
      <c r="Q255" s="389">
        <f>база!$L$5</f>
        <v>231.45480000000001</v>
      </c>
      <c r="R255" s="390">
        <v>1.3</v>
      </c>
      <c r="S255" s="491">
        <f>SUMIFS(Таблица1[Столбец1],Таблица1[коэф],"1,3",Таблица1[р/р],"4/16",Таблица1[Ф. И. О.],B253)</f>
        <v>0</v>
      </c>
      <c r="T255" s="492">
        <f t="shared" si="44"/>
        <v>0</v>
      </c>
      <c r="U255" s="410">
        <f>база!$M$5</f>
        <v>247.41720000000001</v>
      </c>
      <c r="V255" s="390">
        <v>1.3</v>
      </c>
      <c r="W255" s="494">
        <f>SUMIFS(Таблица1[Столбец1],Таблица1[коэф],"1,3",Таблица1[р/р],"4/24",Таблица1[Ф. И. О.],B253)</f>
        <v>0</v>
      </c>
      <c r="X255" s="492">
        <f t="shared" si="45"/>
        <v>0</v>
      </c>
      <c r="Y255" s="801"/>
      <c r="Z255" s="797"/>
      <c r="AA255" s="786"/>
    </row>
    <row r="256" spans="1:29" ht="18.75" customHeight="1">
      <c r="A256" s="786"/>
      <c r="B256" s="216"/>
      <c r="C256" s="789"/>
      <c r="D256" s="792"/>
      <c r="E256" s="389"/>
      <c r="F256" s="390"/>
      <c r="G256" s="400"/>
      <c r="H256" s="392">
        <f t="shared" si="42"/>
        <v>0</v>
      </c>
      <c r="I256" s="393"/>
      <c r="J256" s="390"/>
      <c r="K256" s="434"/>
      <c r="L256" s="484">
        <f t="shared" si="43"/>
        <v>0</v>
      </c>
      <c r="M256" s="434"/>
      <c r="N256" s="434"/>
      <c r="O256" s="434"/>
      <c r="P256" s="406"/>
      <c r="Q256" s="389">
        <f>IF(D248&lt;=3,база!$L$4,
IF(D248=4,база!$L$5,
IF(D248=5,база!$L$6)))</f>
        <v>210.57480000000001</v>
      </c>
      <c r="R256" s="390">
        <v>1.4</v>
      </c>
      <c r="S256" s="491">
        <f>SUMIFS(Таблица1[Столбец1],Таблица1[коэф],"1,4",Таблица1[р/р],"3/16",Таблица1[Ф. И. О.],B253)</f>
        <v>0</v>
      </c>
      <c r="T256" s="492">
        <f t="shared" si="44"/>
        <v>0</v>
      </c>
      <c r="U256" s="410">
        <f>IF(D248&lt;=3,база!$M$4,
IF(D248=4,база!$M$5,
IF(D248=5,база!$M$6)))</f>
        <v>225.09719999999999</v>
      </c>
      <c r="V256" s="390">
        <v>1.4</v>
      </c>
      <c r="W256" s="494">
        <f>SUMIFS(Таблица1[Столбец1],Таблица1[коэф],"1,4",Таблица1[р/р],"3/24",Таблица1[Ф. И. О.],B253)</f>
        <v>0</v>
      </c>
      <c r="X256" s="492">
        <f t="shared" si="45"/>
        <v>0</v>
      </c>
      <c r="Y256" s="801"/>
      <c r="Z256" s="797"/>
      <c r="AA256" s="786"/>
    </row>
    <row r="257" spans="1:29" ht="18.75" customHeight="1">
      <c r="A257" s="786"/>
      <c r="B257" s="216"/>
      <c r="C257" s="789"/>
      <c r="D257" s="792"/>
      <c r="E257" s="389"/>
      <c r="F257" s="390"/>
      <c r="G257" s="400"/>
      <c r="H257" s="392">
        <f t="shared" si="42"/>
        <v>0</v>
      </c>
      <c r="I257" s="393"/>
      <c r="J257" s="390"/>
      <c r="K257" s="434"/>
      <c r="L257" s="484">
        <f t="shared" si="43"/>
        <v>0</v>
      </c>
      <c r="M257" s="434"/>
      <c r="N257" s="434"/>
      <c r="O257" s="434"/>
      <c r="P257" s="406"/>
      <c r="Q257" s="389">
        <f>база!$L$5</f>
        <v>231.45480000000001</v>
      </c>
      <c r="R257" s="390">
        <v>1.4</v>
      </c>
      <c r="S257" s="491">
        <f>SUMIFS(Таблица1[Столбец1],Таблица1[коэф],"1,4",Таблица1[р/р],"4/16",Таблица1[Ф. И. О.],B253)</f>
        <v>0</v>
      </c>
      <c r="T257" s="492">
        <f t="shared" si="44"/>
        <v>0</v>
      </c>
      <c r="U257" s="410">
        <f>база!$M$5</f>
        <v>247.41720000000001</v>
      </c>
      <c r="V257" s="390">
        <v>1.4</v>
      </c>
      <c r="W257" s="494">
        <f>SUMIFS(Таблица1[Столбец1],Таблица1[коэф],"1,4",Таблица1[р/р],"4/24",Таблица1[Ф. И. О.],B253)</f>
        <v>0</v>
      </c>
      <c r="X257" s="492">
        <f t="shared" si="45"/>
        <v>0</v>
      </c>
      <c r="Y257" s="801"/>
      <c r="Z257" s="797"/>
      <c r="AA257" s="786"/>
    </row>
    <row r="258" spans="1:29" ht="19.5" customHeight="1" thickBot="1">
      <c r="A258" s="787"/>
      <c r="B258" s="203"/>
      <c r="C258" s="790"/>
      <c r="D258" s="793"/>
      <c r="E258" s="473"/>
      <c r="F258" s="464"/>
      <c r="G258" s="465"/>
      <c r="H258" s="468">
        <f t="shared" si="42"/>
        <v>0</v>
      </c>
      <c r="I258" s="473"/>
      <c r="J258" s="464"/>
      <c r="K258" s="457"/>
      <c r="L258" s="484">
        <f t="shared" si="43"/>
        <v>0</v>
      </c>
      <c r="M258" s="460"/>
      <c r="N258" s="460"/>
      <c r="O258" s="460"/>
      <c r="P258" s="479"/>
      <c r="Q258" s="473">
        <f>база!$L$6</f>
        <v>261.04640000000001</v>
      </c>
      <c r="R258" s="464">
        <v>1.4</v>
      </c>
      <c r="S258" s="512">
        <f>SUMIFS(Таблица1[Столбец1],Таблица1[коэф],"1,4",Таблица1[р/р],"5/16",Таблица1[Ф. И. О.],B253)</f>
        <v>0</v>
      </c>
      <c r="T258" s="492">
        <f t="shared" si="44"/>
        <v>0</v>
      </c>
      <c r="U258" s="474">
        <f>база!$M$6</f>
        <v>279.0496</v>
      </c>
      <c r="V258" s="464">
        <v>1.4</v>
      </c>
      <c r="W258" s="501">
        <f>SUMIFS(Таблица1[Столбец1],Таблица1[коэф],"1,4",Таблица1[р/р],"5/24",Таблица1[Ф. И. О.],B253)</f>
        <v>0</v>
      </c>
      <c r="X258" s="492">
        <f t="shared" si="45"/>
        <v>0</v>
      </c>
      <c r="Y258" s="802"/>
      <c r="Z258" s="798"/>
      <c r="AA258" s="787"/>
    </row>
    <row r="259" spans="1:29" ht="18.75" customHeight="1">
      <c r="A259" s="785">
        <v>24</v>
      </c>
      <c r="B259" s="216"/>
      <c r="C259" s="788">
        <f>INDEX(база!$E$2:$E$81, MATCH(B264,база!$B$2:$B$50,0))</f>
        <v>17309</v>
      </c>
      <c r="D259" s="791">
        <f>INDEX(база!$D$2:$D$89, MATCH(B264,база!$B$2:$B$50,0))</f>
        <v>3</v>
      </c>
      <c r="E259" s="377">
        <f>IF(D259&lt;=3,база!$I$4,
IF(D259=4,база!$I$5,
IF(D259=5,база!$I$6)))</f>
        <v>188.7912</v>
      </c>
      <c r="F259" s="378">
        <v>1</v>
      </c>
      <c r="G259" s="387">
        <f>SUMIFS(Таблица1[Столбец1],Таблица1[коэф],"1",Таблица1[р/р],"2/4",Таблица1[Ф. И. О.],B264)</f>
        <v>0</v>
      </c>
      <c r="H259" s="402">
        <f t="shared" ref="H259:H280" si="50">ROUND(E259*F259*G259*2,2)</f>
        <v>0</v>
      </c>
      <c r="I259" s="451">
        <f>IF(D259&lt;=3,база!$J$4,
IF(D259=4,база!$J$5,
IF(D259=5,база!$J$6)))</f>
        <v>196.05240000000001</v>
      </c>
      <c r="J259" s="417">
        <v>1</v>
      </c>
      <c r="K259" s="453">
        <f>SUMIFS(Таблица1[Столбец1],Таблица1[коэф],"1",Таблица1[р/р],"2/8",Таблица1[Ф. И. О.],B264)</f>
        <v>0</v>
      </c>
      <c r="L259" s="383">
        <f t="shared" ref="L259:L280" si="51">ROUND(I259*J259*K259*2,2)</f>
        <v>0</v>
      </c>
      <c r="M259" s="453"/>
      <c r="N259" s="453">
        <v>1</v>
      </c>
      <c r="O259" s="453">
        <f>SUMIFS(Data_Tech!$AM$3:$AM$67,Data_Tech!$E$3:$E$67,"1",Data_Tech!$G$3:$G$67,"3/12",Data_Tech!$F$3:$F$67,B264)</f>
        <v>0</v>
      </c>
      <c r="P259" s="398">
        <f>ROUND(M259*N259*O259,2)</f>
        <v>0</v>
      </c>
      <c r="Q259" s="377">
        <f>IF(D259&lt;=3,база!$L$4,
IF(D259=4,база!$L$5,
IF(D259=5,база!$L$6)))</f>
        <v>210.57480000000001</v>
      </c>
      <c r="R259" s="378">
        <v>1</v>
      </c>
      <c r="S259" s="489">
        <f>SUMIFS(Таблица1[Столбец1],Таблица1[коэф],"1",Таблица1[р/р],"3/16",Таблица1[Ф. И. О.],B264)</f>
        <v>0</v>
      </c>
      <c r="T259" s="490">
        <f t="shared" ref="T259:T280" si="52">ROUND(Q259*R259*S259*2,2)</f>
        <v>0</v>
      </c>
      <c r="U259" s="454">
        <f>IF(D259&lt;=3,база!$M$4,
IF(D259=4,база!$M$5,
IF(D259=5,база!$M$6)))</f>
        <v>225.09719999999999</v>
      </c>
      <c r="V259" s="417">
        <v>1</v>
      </c>
      <c r="W259" s="500">
        <f>SUMIFS(Таблица1[Столбец1],Таблица1[коэф],"1",Таблица1[р/р],"3/24",Таблица1[Ф. И. О.],B264)</f>
        <v>0</v>
      </c>
      <c r="X259" s="490">
        <f t="shared" ref="X259:X280" si="53">ROUND(U259*V259*W259*2,2)</f>
        <v>0</v>
      </c>
      <c r="Y259" s="800">
        <f t="shared" ref="Y259" si="54">SUM(G259:G269,K259:K269,O259:O269,S259:S269,W259:W269)</f>
        <v>0</v>
      </c>
      <c r="Z259" s="799">
        <f t="shared" ref="Z259" si="55">IFERROR(SUM(H259:H269,L259:L269,T259:T269,X259:X269),"")</f>
        <v>0</v>
      </c>
      <c r="AA259" s="785"/>
    </row>
    <row r="260" spans="1:29" ht="18.75" customHeight="1">
      <c r="A260" s="786"/>
      <c r="B260" s="216"/>
      <c r="C260" s="789"/>
      <c r="D260" s="792"/>
      <c r="E260" s="389">
        <f>IF(D259&lt;=3,база!$I$4,
IF(D259=4,база!$I$5,
IF(D259=5,база!$I$6)))</f>
        <v>188.7912</v>
      </c>
      <c r="F260" s="390">
        <v>1</v>
      </c>
      <c r="G260" s="400">
        <f>SUMIFS(Таблица1[Столбец1],Таблица1[коэф],"1",Таблица1[р/р],"3/4",Таблица1[Ф. И. О.],B264)</f>
        <v>0</v>
      </c>
      <c r="H260" s="392">
        <f t="shared" si="50"/>
        <v>0</v>
      </c>
      <c r="I260" s="393">
        <f>IF(D259&lt;=3,база!$J$4,
IF(D259=4,база!$J$5,
IF(D259=5,база!$J$6)))</f>
        <v>196.05240000000001</v>
      </c>
      <c r="J260" s="390">
        <v>1</v>
      </c>
      <c r="K260" s="434">
        <f>SUMIFS(Таблица1[Столбец1],Таблица1[коэф],"1",Таблица1[р/р],"3/8",Таблица1[Ф. И. О.],B264)</f>
        <v>0</v>
      </c>
      <c r="L260" s="484">
        <f t="shared" si="51"/>
        <v>0</v>
      </c>
      <c r="M260" s="434"/>
      <c r="N260" s="434">
        <v>1</v>
      </c>
      <c r="O260" s="434">
        <f>SUMIFS(Data_Tech!$AM$3:$AM$67,Data_Tech!$E$3:$E$67,"1",Data_Tech!$G$3:$G$67,"4/12",Data_Tech!$F$3:$F$67,B264)</f>
        <v>0</v>
      </c>
      <c r="P260" s="406">
        <f>ROUND(M260*O260,2)</f>
        <v>0</v>
      </c>
      <c r="Q260" s="389">
        <f>база!$L$5</f>
        <v>231.45480000000001</v>
      </c>
      <c r="R260" s="390">
        <v>1</v>
      </c>
      <c r="S260" s="491">
        <f>SUMIFS(Таблица1[Столбец1],Таблица1[коэф],"1",Таблица1[р/р],"4/16",Таблица1[Ф. И. О.],B264)</f>
        <v>0</v>
      </c>
      <c r="T260" s="492">
        <f t="shared" si="52"/>
        <v>0</v>
      </c>
      <c r="U260" s="410">
        <f>база!$M$5</f>
        <v>247.41720000000001</v>
      </c>
      <c r="V260" s="390">
        <v>1</v>
      </c>
      <c r="W260" s="494">
        <f>SUMIFS(Таблица1[Столбец1],Таблица1[коэф],"1",Таблица1[р/р],"4/24",Таблица1[Ф. И. О.],B264)</f>
        <v>0</v>
      </c>
      <c r="X260" s="492">
        <f t="shared" si="53"/>
        <v>0</v>
      </c>
      <c r="Y260" s="801"/>
      <c r="Z260" s="797"/>
      <c r="AA260" s="786"/>
    </row>
    <row r="261" spans="1:29" ht="18.75" customHeight="1">
      <c r="A261" s="786"/>
      <c r="B261" s="216"/>
      <c r="C261" s="789"/>
      <c r="D261" s="792"/>
      <c r="E261" s="389"/>
      <c r="F261" s="390"/>
      <c r="G261" s="400"/>
      <c r="H261" s="392">
        <f t="shared" si="50"/>
        <v>0</v>
      </c>
      <c r="I261" s="393"/>
      <c r="J261" s="390"/>
      <c r="K261" s="434"/>
      <c r="L261" s="484">
        <f t="shared" si="51"/>
        <v>0</v>
      </c>
      <c r="M261" s="434"/>
      <c r="N261" s="434"/>
      <c r="O261" s="434"/>
      <c r="P261" s="406"/>
      <c r="Q261" s="389">
        <f>база!$L$6</f>
        <v>261.04640000000001</v>
      </c>
      <c r="R261" s="390">
        <v>1</v>
      </c>
      <c r="S261" s="491">
        <f>SUMIFS(Таблица1[Столбец1],Таблица1[коэф],"1",Таблица1[р/р],"5/16",Таблица1[Ф. И. О.],B264)</f>
        <v>0</v>
      </c>
      <c r="T261" s="492">
        <f t="shared" si="52"/>
        <v>0</v>
      </c>
      <c r="U261" s="410">
        <f>база!$M$6</f>
        <v>279.0496</v>
      </c>
      <c r="V261" s="390">
        <v>1</v>
      </c>
      <c r="W261" s="494">
        <f>SUMIFS(Таблица1[Столбец1],Таблица1[коэф],"1",Таблица1[р/р],"5/24",Таблица1[Ф. И. О.],B264)</f>
        <v>0</v>
      </c>
      <c r="X261" s="492">
        <f t="shared" si="53"/>
        <v>0</v>
      </c>
      <c r="Y261" s="801"/>
      <c r="Z261" s="797"/>
      <c r="AA261" s="786"/>
    </row>
    <row r="262" spans="1:29" ht="18.75" customHeight="1">
      <c r="A262" s="786"/>
      <c r="B262" s="216"/>
      <c r="C262" s="789"/>
      <c r="D262" s="792"/>
      <c r="E262" s="389"/>
      <c r="F262" s="390"/>
      <c r="G262" s="400"/>
      <c r="H262" s="392">
        <f t="shared" si="50"/>
        <v>0</v>
      </c>
      <c r="I262" s="393">
        <f>база!$J$5</f>
        <v>215.4924</v>
      </c>
      <c r="J262" s="390">
        <v>1.5</v>
      </c>
      <c r="K262" s="434">
        <f>SUMIFS(Таблица1[Столбец1],Таблица1[коэф],"1,5",Таблица1[р/р],"4/8",Таблица1[Ф. И. О.],B264)</f>
        <v>0</v>
      </c>
      <c r="L262" s="484">
        <f t="shared" si="51"/>
        <v>0</v>
      </c>
      <c r="M262" s="434"/>
      <c r="N262" s="434"/>
      <c r="O262" s="434"/>
      <c r="P262" s="406"/>
      <c r="Q262" s="389">
        <f>IF(D259&lt;=3,база!$L$4,
IF(D259=4,база!$L$5,
IF(D259=5,база!$L$6)))</f>
        <v>210.57480000000001</v>
      </c>
      <c r="R262" s="390">
        <v>1.2</v>
      </c>
      <c r="S262" s="491">
        <f>SUMIFS(Таблица1[Столбец1],Таблица1[коэф],"1,2",Таблица1[р/р],"3/16",Таблица1[Ф. И. О.],B264)</f>
        <v>0</v>
      </c>
      <c r="T262" s="492">
        <f t="shared" si="52"/>
        <v>0</v>
      </c>
      <c r="U262" s="410">
        <f>IF(D259&lt;=3,база!$M$4,
IF(D259=4,база!$M$5,
IF(D259=5,база!$M$6)))</f>
        <v>225.09719999999999</v>
      </c>
      <c r="V262" s="390">
        <v>1.2</v>
      </c>
      <c r="W262" s="494">
        <f>SUMIFS(Таблица1[Столбец1],Таблица1[коэф],"1,2",Таблица1[р/р],"3/24",Таблица1[Ф. И. О.],B264)</f>
        <v>0</v>
      </c>
      <c r="X262" s="492">
        <f t="shared" si="53"/>
        <v>0</v>
      </c>
      <c r="Y262" s="801"/>
      <c r="Z262" s="797"/>
      <c r="AA262" s="786"/>
    </row>
    <row r="263" spans="1:29" ht="18.75" customHeight="1">
      <c r="A263" s="786"/>
      <c r="B263" s="216"/>
      <c r="C263" s="789"/>
      <c r="D263" s="792"/>
      <c r="E263" s="389"/>
      <c r="F263" s="390"/>
      <c r="G263" s="400"/>
      <c r="H263" s="392">
        <f t="shared" si="50"/>
        <v>0</v>
      </c>
      <c r="I263" s="393">
        <f>база!$J$6</f>
        <v>243.04319999999998</v>
      </c>
      <c r="J263" s="390">
        <v>1.5</v>
      </c>
      <c r="K263" s="434">
        <f>SUMIFS(Таблица1[Столбец1],Таблица1[коэф],"1,5",Таблица1[р/р],"5/8",Таблица1[Ф. И. О.],B264)</f>
        <v>0</v>
      </c>
      <c r="L263" s="484">
        <f t="shared" si="51"/>
        <v>0</v>
      </c>
      <c r="M263" s="434"/>
      <c r="N263" s="434"/>
      <c r="O263" s="434"/>
      <c r="P263" s="406"/>
      <c r="Q263" s="389">
        <f>база!$L$5</f>
        <v>231.45480000000001</v>
      </c>
      <c r="R263" s="390">
        <v>1.2</v>
      </c>
      <c r="S263" s="491">
        <f>SUMIFS(Таблица1[Столбец1],Таблица1[коэф],"1,2",Таблица1[р/р],"4/16",Таблица1[Ф. И. О.],B264)</f>
        <v>0</v>
      </c>
      <c r="T263" s="492">
        <f t="shared" si="52"/>
        <v>0</v>
      </c>
      <c r="U263" s="410">
        <f>база!$M$5</f>
        <v>247.41720000000001</v>
      </c>
      <c r="V263" s="390">
        <v>1.2</v>
      </c>
      <c r="W263" s="494">
        <f>SUMIFS(Таблица1[Столбец1],Таблица1[коэф],"1,2",Таблица1[р/р],"4/24",Таблица1[Ф. И. О.],B264)</f>
        <v>0</v>
      </c>
      <c r="X263" s="492">
        <f t="shared" si="53"/>
        <v>0</v>
      </c>
      <c r="Y263" s="801"/>
      <c r="Z263" s="797"/>
      <c r="AA263" s="786"/>
    </row>
    <row r="264" spans="1:29" ht="18.75" customHeight="1">
      <c r="A264" s="786"/>
      <c r="B264" s="216" t="str">
        <f>база!B25</f>
        <v>Ескина Ксения Анатольевна</v>
      </c>
      <c r="C264" s="789"/>
      <c r="D264" s="792"/>
      <c r="E264" s="389"/>
      <c r="F264" s="390"/>
      <c r="G264" s="400"/>
      <c r="H264" s="392">
        <f t="shared" si="50"/>
        <v>0</v>
      </c>
      <c r="I264" s="393"/>
      <c r="J264" s="390"/>
      <c r="K264" s="434"/>
      <c r="L264" s="484">
        <f t="shared" si="51"/>
        <v>0</v>
      </c>
      <c r="M264" s="434"/>
      <c r="N264" s="434"/>
      <c r="O264" s="434"/>
      <c r="P264" s="406"/>
      <c r="Q264" s="389">
        <f>база!$L$6</f>
        <v>261.04640000000001</v>
      </c>
      <c r="R264" s="390">
        <v>1.2</v>
      </c>
      <c r="S264" s="491">
        <f>SUMIFS(Таблица1[Столбец1],Таблица1[коэф],"1,2",Таблица1[р/р],"5/16",Таблица1[Ф. И. О.],B264)</f>
        <v>0</v>
      </c>
      <c r="T264" s="492">
        <f t="shared" si="52"/>
        <v>0</v>
      </c>
      <c r="U264" s="410">
        <f>база!$M$6</f>
        <v>279.0496</v>
      </c>
      <c r="V264" s="390">
        <v>1.2</v>
      </c>
      <c r="W264" s="494">
        <f>SUMIFS(Таблица1[Столбец1],Таблица1[коэф],"1,2",Таблица1[р/р],"5/24",Таблица1[Ф. И. О.],B264)</f>
        <v>0</v>
      </c>
      <c r="X264" s="492">
        <f t="shared" si="53"/>
        <v>0</v>
      </c>
      <c r="Y264" s="801"/>
      <c r="Z264" s="797"/>
      <c r="AA264" s="786"/>
      <c r="AC264" s="727" t="str">
        <f>IF(SUMIFS(Таблица1[Столбец3],Таблица1[Ф. И. О.],B264)-Z259=0,"",SUMIFS(Таблица1[Столбец3],Таблица1[Ф. И. О.],B264)-Z259)</f>
        <v/>
      </c>
    </row>
    <row r="265" spans="1:29" ht="18.75" customHeight="1">
      <c r="A265" s="786"/>
      <c r="B265" s="216"/>
      <c r="C265" s="789"/>
      <c r="D265" s="792"/>
      <c r="E265" s="389"/>
      <c r="F265" s="390"/>
      <c r="G265" s="400"/>
      <c r="H265" s="392">
        <f t="shared" si="50"/>
        <v>0</v>
      </c>
      <c r="I265" s="393"/>
      <c r="J265" s="390"/>
      <c r="K265" s="434"/>
      <c r="L265" s="484">
        <f t="shared" si="51"/>
        <v>0</v>
      </c>
      <c r="M265" s="434"/>
      <c r="N265" s="434"/>
      <c r="O265" s="434"/>
      <c r="P265" s="406"/>
      <c r="Q265" s="389">
        <f>IF(D259&lt;=3,база!$L$4,
IF(D259=4,база!$L$5,
IF(D259=5,база!$L$6)))</f>
        <v>210.57480000000001</v>
      </c>
      <c r="R265" s="390">
        <v>1.3</v>
      </c>
      <c r="S265" s="491">
        <f>SUMIFS(Таблица1[Столбец1],Таблица1[коэф],"1,3",Таблица1[р/р],"3/16",Таблица1[Ф. И. О.],B264)</f>
        <v>0</v>
      </c>
      <c r="T265" s="492">
        <f t="shared" si="52"/>
        <v>0</v>
      </c>
      <c r="U265" s="410">
        <f>IF(D259&lt;=3,база!$M$4,
IF(D259=4,база!$M$5,
IF(D259=5,база!$M$6)))</f>
        <v>225.09719999999999</v>
      </c>
      <c r="V265" s="390">
        <v>1.3</v>
      </c>
      <c r="W265" s="494">
        <f>SUMIFS(Таблица1[Столбец1],Таблица1[коэф],"1,3",Таблица1[р/р],"3/24",Таблица1[Ф. И. О.],B264)</f>
        <v>0</v>
      </c>
      <c r="X265" s="492">
        <f t="shared" si="53"/>
        <v>0</v>
      </c>
      <c r="Y265" s="801"/>
      <c r="Z265" s="797"/>
      <c r="AA265" s="786"/>
      <c r="AC265" s="727" t="str">
        <f>IF(SUMIFS(Таблица1[Столбец1],Таблица1[Ф. И. О.],B264)=Y259,"",B264&amp;"  часы не верны")</f>
        <v/>
      </c>
    </row>
    <row r="266" spans="1:29" ht="18.75" customHeight="1">
      <c r="A266" s="786"/>
      <c r="B266" s="216"/>
      <c r="C266" s="789"/>
      <c r="D266" s="792"/>
      <c r="E266" s="389"/>
      <c r="F266" s="390"/>
      <c r="G266" s="400"/>
      <c r="H266" s="392">
        <f t="shared" si="50"/>
        <v>0</v>
      </c>
      <c r="I266" s="393"/>
      <c r="J266" s="390"/>
      <c r="K266" s="434"/>
      <c r="L266" s="484">
        <f t="shared" si="51"/>
        <v>0</v>
      </c>
      <c r="M266" s="434"/>
      <c r="N266" s="434"/>
      <c r="O266" s="434"/>
      <c r="P266" s="406"/>
      <c r="Q266" s="389">
        <f>база!$L$5</f>
        <v>231.45480000000001</v>
      </c>
      <c r="R266" s="390">
        <v>1.3</v>
      </c>
      <c r="S266" s="491">
        <f>SUMIFS(Таблица1[Столбец1],Таблица1[коэф],"1,3",Таблица1[р/р],"4/16",Таблица1[Ф. И. О.],B264)</f>
        <v>0</v>
      </c>
      <c r="T266" s="492">
        <f t="shared" si="52"/>
        <v>0</v>
      </c>
      <c r="U266" s="410">
        <f>база!$M$5</f>
        <v>247.41720000000001</v>
      </c>
      <c r="V266" s="390">
        <v>1.3</v>
      </c>
      <c r="W266" s="494">
        <f>SUMIFS(Таблица1[Столбец1],Таблица1[коэф],"1,3",Таблица1[р/р],"4/24",Таблица1[Ф. И. О.],B264)</f>
        <v>0</v>
      </c>
      <c r="X266" s="492">
        <f t="shared" si="53"/>
        <v>0</v>
      </c>
      <c r="Y266" s="801"/>
      <c r="Z266" s="797"/>
      <c r="AA266" s="786"/>
    </row>
    <row r="267" spans="1:29" ht="18.75" customHeight="1">
      <c r="A267" s="786"/>
      <c r="B267" s="216"/>
      <c r="C267" s="789"/>
      <c r="D267" s="792"/>
      <c r="E267" s="389"/>
      <c r="F267" s="390"/>
      <c r="G267" s="400"/>
      <c r="H267" s="392">
        <f t="shared" si="50"/>
        <v>0</v>
      </c>
      <c r="I267" s="393"/>
      <c r="J267" s="390"/>
      <c r="K267" s="434"/>
      <c r="L267" s="484">
        <f t="shared" si="51"/>
        <v>0</v>
      </c>
      <c r="M267" s="434"/>
      <c r="N267" s="434"/>
      <c r="O267" s="434"/>
      <c r="P267" s="406"/>
      <c r="Q267" s="389">
        <f>IF(D259&lt;=3,база!$L$4,
IF(D259=4,база!$L$5,
IF(D259=5,база!$L$6)))</f>
        <v>210.57480000000001</v>
      </c>
      <c r="R267" s="390">
        <v>1.4</v>
      </c>
      <c r="S267" s="491">
        <f>SUMIFS(Таблица1[Столбец1],Таблица1[коэф],"1,4",Таблица1[р/р],"3/16",Таблица1[Ф. И. О.],B264)</f>
        <v>0</v>
      </c>
      <c r="T267" s="492">
        <f t="shared" si="52"/>
        <v>0</v>
      </c>
      <c r="U267" s="410">
        <f>IF(D259&lt;=3,база!$M$4,
IF(D259=4,база!$M$5,
IF(D259=5,база!$M$6)))</f>
        <v>225.09719999999999</v>
      </c>
      <c r="V267" s="390">
        <v>1.4</v>
      </c>
      <c r="W267" s="494">
        <f>SUMIFS(Таблица1[Столбец1],Таблица1[коэф],"1,4",Таблица1[р/р],"3/24",Таблица1[Ф. И. О.],B264)</f>
        <v>0</v>
      </c>
      <c r="X267" s="492">
        <f t="shared" si="53"/>
        <v>0</v>
      </c>
      <c r="Y267" s="801"/>
      <c r="Z267" s="797"/>
      <c r="AA267" s="786"/>
    </row>
    <row r="268" spans="1:29" ht="18.75" customHeight="1">
      <c r="A268" s="786"/>
      <c r="B268" s="216"/>
      <c r="C268" s="789"/>
      <c r="D268" s="792"/>
      <c r="E268" s="389"/>
      <c r="F268" s="390"/>
      <c r="G268" s="400"/>
      <c r="H268" s="392">
        <f t="shared" si="50"/>
        <v>0</v>
      </c>
      <c r="I268" s="393"/>
      <c r="J268" s="390"/>
      <c r="K268" s="434"/>
      <c r="L268" s="484">
        <f t="shared" si="51"/>
        <v>0</v>
      </c>
      <c r="M268" s="434"/>
      <c r="N268" s="434"/>
      <c r="O268" s="434"/>
      <c r="P268" s="406"/>
      <c r="Q268" s="389">
        <f>база!$L$5</f>
        <v>231.45480000000001</v>
      </c>
      <c r="R268" s="390">
        <v>1.4</v>
      </c>
      <c r="S268" s="491">
        <f>SUMIFS(Таблица1[Столбец1],Таблица1[коэф],"1,4",Таблица1[р/р],"4/16",Таблица1[Ф. И. О.],B264)</f>
        <v>0</v>
      </c>
      <c r="T268" s="492">
        <f t="shared" si="52"/>
        <v>0</v>
      </c>
      <c r="U268" s="410">
        <f>база!$M$5</f>
        <v>247.41720000000001</v>
      </c>
      <c r="V268" s="390">
        <v>1.4</v>
      </c>
      <c r="W268" s="494">
        <f>SUMIFS(Таблица1[Столбец1],Таблица1[коэф],"1,4",Таблица1[р/р],"4/24",Таблица1[Ф. И. О.],B264)</f>
        <v>0</v>
      </c>
      <c r="X268" s="492">
        <f t="shared" si="53"/>
        <v>0</v>
      </c>
      <c r="Y268" s="801"/>
      <c r="Z268" s="797"/>
      <c r="AA268" s="786"/>
    </row>
    <row r="269" spans="1:29" ht="19.5" customHeight="1" thickBot="1">
      <c r="A269" s="787"/>
      <c r="B269" s="216"/>
      <c r="C269" s="790"/>
      <c r="D269" s="793"/>
      <c r="E269" s="473"/>
      <c r="F269" s="464"/>
      <c r="G269" s="465"/>
      <c r="H269" s="468">
        <f t="shared" si="50"/>
        <v>0</v>
      </c>
      <c r="I269" s="422"/>
      <c r="J269" s="403"/>
      <c r="K269" s="460"/>
      <c r="L269" s="484">
        <f t="shared" si="51"/>
        <v>0</v>
      </c>
      <c r="M269" s="460"/>
      <c r="N269" s="460"/>
      <c r="O269" s="460"/>
      <c r="P269" s="479"/>
      <c r="Q269" s="473">
        <f>база!$L$6</f>
        <v>261.04640000000001</v>
      </c>
      <c r="R269" s="464">
        <v>1.4</v>
      </c>
      <c r="S269" s="512">
        <f>SUMIFS(Таблица1[Столбец1],Таблица1[коэф],"1,4",Таблица1[р/р],"5/16",Таблица1[Ф. И. О.],B264)</f>
        <v>0</v>
      </c>
      <c r="T269" s="492">
        <f t="shared" si="52"/>
        <v>0</v>
      </c>
      <c r="U269" s="461">
        <f>база!$M$6</f>
        <v>279.0496</v>
      </c>
      <c r="V269" s="403">
        <v>1.4</v>
      </c>
      <c r="W269" s="496">
        <f>SUMIFS(Таблица1[Столбец1],Таблица1[коэф],"1,4",Таблица1[р/р],"5/24",Таблица1[Ф. И. О.],B264)</f>
        <v>0</v>
      </c>
      <c r="X269" s="492">
        <f t="shared" si="53"/>
        <v>0</v>
      </c>
      <c r="Y269" s="802"/>
      <c r="Z269" s="798"/>
      <c r="AA269" s="787"/>
    </row>
    <row r="270" spans="1:29" ht="18.75" collapsed="1">
      <c r="A270" s="785">
        <v>25</v>
      </c>
      <c r="B270" s="236"/>
      <c r="C270" s="788">
        <f>INDEX(база!$E$2:$E$81, MATCH(B275,база!$B$2:$B$50,0))</f>
        <v>17346</v>
      </c>
      <c r="D270" s="791">
        <f>INDEX(база!$D$2:$D$89, MATCH(B275,база!$B$2:$B$50,0))</f>
        <v>3</v>
      </c>
      <c r="E270" s="451">
        <f>IF(D270&lt;=3,база!$I$4,
IF(D270=4,база!$I$5,
IF(D270=5,база!$I$6)))</f>
        <v>188.7912</v>
      </c>
      <c r="F270" s="417">
        <v>1</v>
      </c>
      <c r="G270" s="418">
        <f>SUMIFS(Таблица1[Столбец1],Таблица1[коэф],"1",Таблица1[р/р],"2/4",Таблица1[Ф. И. О.],B275)</f>
        <v>0</v>
      </c>
      <c r="H270" s="402">
        <f t="shared" si="50"/>
        <v>0</v>
      </c>
      <c r="I270" s="377">
        <f>IF(D270&lt;=3,база!$J$4,
IF(D270=4,база!$J$5,
IF(D270=5,база!$J$6)))</f>
        <v>196.05240000000001</v>
      </c>
      <c r="J270" s="378">
        <v>1</v>
      </c>
      <c r="K270" s="428">
        <f>SUMIFS(Таблица1[Столбец1],Таблица1[коэф],"1",Таблица1[р/р],"2/8",Таблица1[Ф. И. О.],B275)</f>
        <v>0</v>
      </c>
      <c r="L270" s="383">
        <f t="shared" si="51"/>
        <v>0</v>
      </c>
      <c r="M270" s="452"/>
      <c r="N270" s="453">
        <v>1</v>
      </c>
      <c r="O270" s="453">
        <f>SUMIFS(Data_Tech!$AM$3:$AM$67,Data_Tech!$E$3:$E$67,"1",Data_Tech!$G$3:$G$67,"3/12",Data_Tech!$F$3:$F$67,B275)</f>
        <v>0</v>
      </c>
      <c r="P270" s="453">
        <f>ROUND(M270*N270*O270,2)</f>
        <v>0</v>
      </c>
      <c r="Q270" s="416">
        <f>IF(D270&lt;=3,база!$L$4,
IF(D270=4,база!$L$5,
IF(D270=5,база!$L$6)))</f>
        <v>210.57480000000001</v>
      </c>
      <c r="R270" s="417">
        <v>1</v>
      </c>
      <c r="S270" s="495">
        <f>SUMIFS(Таблица1[Столбец1],Таблица1[коэф],"1",Таблица1[р/р],"3/16",Таблица1[Ф. И. О.],B275)</f>
        <v>0</v>
      </c>
      <c r="T270" s="490">
        <f t="shared" si="52"/>
        <v>0</v>
      </c>
      <c r="U270" s="471">
        <f>IF(D270&lt;=3,база!$M$4,
IF(D270=4,база!$M$5,
IF(D270=5,база!$M$6)))</f>
        <v>225.09719999999999</v>
      </c>
      <c r="V270" s="378">
        <v>1</v>
      </c>
      <c r="W270" s="497">
        <f>SUMIFS(Таблица1[Столбец1],Таблица1[коэф],"1",Таблица1[р/р],"3/24",Таблица1[Ф. И. О.],B275)</f>
        <v>0</v>
      </c>
      <c r="X270" s="490">
        <f t="shared" si="53"/>
        <v>0</v>
      </c>
      <c r="Y270" s="795">
        <f t="shared" ref="Y270" si="56">SUM(G270:G280,K270:K280,O270:O280,S270:S280,W270:W280)</f>
        <v>0</v>
      </c>
      <c r="Z270" s="797">
        <f t="shared" ref="Z270" si="57">IFERROR(SUM(H270:H280,L270:L280,T270:T280,X270:X280),"")</f>
        <v>0</v>
      </c>
      <c r="AA270" s="786"/>
    </row>
    <row r="271" spans="1:29" ht="18.75">
      <c r="A271" s="786"/>
      <c r="B271" s="216"/>
      <c r="C271" s="789"/>
      <c r="D271" s="792"/>
      <c r="E271" s="393">
        <f>IF(D270&lt;=3,база!$I$4,
IF(D270=4,база!$I$5,
IF(D270=5,база!$I$6)))</f>
        <v>188.7912</v>
      </c>
      <c r="F271" s="390">
        <v>1</v>
      </c>
      <c r="G271" s="400">
        <f>SUMIFS(Таблица1[Столбец1],Таблица1[коэф],"1",Таблица1[р/р],"3/4",Таблица1[Ф. И. О.],B275)</f>
        <v>0</v>
      </c>
      <c r="H271" s="392">
        <f t="shared" si="50"/>
        <v>0</v>
      </c>
      <c r="I271" s="389">
        <f>IF(D270&lt;=3,база!$J$4,
IF(D270=4,база!$J$5,
IF(D270=5,база!$J$6)))</f>
        <v>196.05240000000001</v>
      </c>
      <c r="J271" s="390">
        <v>1</v>
      </c>
      <c r="K271" s="434">
        <f>SUMIFS(Таблица1[Столбец1],Таблица1[коэф],"1",Таблица1[р/р],"3/8",Таблица1[Ф. И. О.],B275)</f>
        <v>0</v>
      </c>
      <c r="L271" s="484">
        <f t="shared" si="51"/>
        <v>0</v>
      </c>
      <c r="M271" s="432"/>
      <c r="N271" s="434">
        <v>1</v>
      </c>
      <c r="O271" s="434">
        <f>SUMIFS(Data_Tech!$AM$3:$AM$67,Data_Tech!$E$3:$E$67,"1",Data_Tech!$G$3:$G$67,"4/12",Data_Tech!$F$3:$F$67,B275)</f>
        <v>0</v>
      </c>
      <c r="P271" s="434">
        <f>ROUND(M271*O271,2)</f>
        <v>0</v>
      </c>
      <c r="Q271" s="399">
        <f>база!$L$5</f>
        <v>231.45480000000001</v>
      </c>
      <c r="R271" s="390">
        <v>1</v>
      </c>
      <c r="S271" s="491">
        <f>SUMIFS(Таблица1[Столбец1],Таблица1[коэф],"1",Таблица1[р/р],"4/16",Таблица1[Ф. И. О.],B275)</f>
        <v>0</v>
      </c>
      <c r="T271" s="492">
        <f t="shared" si="52"/>
        <v>0</v>
      </c>
      <c r="U271" s="472">
        <f>база!$M$5</f>
        <v>247.41720000000001</v>
      </c>
      <c r="V271" s="390">
        <v>1</v>
      </c>
      <c r="W271" s="494">
        <f>SUMIFS(Таблица1[Столбец1],Таблица1[коэф],"1",Таблица1[р/р],"4/24",Таблица1[Ф. И. О.],B275)</f>
        <v>0</v>
      </c>
      <c r="X271" s="492">
        <f t="shared" si="53"/>
        <v>0</v>
      </c>
      <c r="Y271" s="795"/>
      <c r="Z271" s="797"/>
      <c r="AA271" s="786"/>
    </row>
    <row r="272" spans="1:29" ht="18.75">
      <c r="A272" s="786"/>
      <c r="B272" s="216"/>
      <c r="C272" s="789"/>
      <c r="D272" s="792"/>
      <c r="E272" s="393"/>
      <c r="F272" s="390"/>
      <c r="G272" s="400"/>
      <c r="H272" s="392">
        <f t="shared" si="50"/>
        <v>0</v>
      </c>
      <c r="I272" s="389"/>
      <c r="J272" s="390"/>
      <c r="K272" s="434"/>
      <c r="L272" s="484">
        <f t="shared" si="51"/>
        <v>0</v>
      </c>
      <c r="M272" s="432"/>
      <c r="N272" s="434"/>
      <c r="O272" s="434"/>
      <c r="P272" s="434"/>
      <c r="Q272" s="399">
        <f>база!$L$6</f>
        <v>261.04640000000001</v>
      </c>
      <c r="R272" s="390">
        <v>1</v>
      </c>
      <c r="S272" s="491">
        <f>SUMIFS(Таблица1[Столбец1],Таблица1[коэф],"1",Таблица1[р/р],"5/16",Таблица1[Ф. И. О.],B275)</f>
        <v>0</v>
      </c>
      <c r="T272" s="492">
        <f t="shared" si="52"/>
        <v>0</v>
      </c>
      <c r="U272" s="472">
        <f>база!$M$6</f>
        <v>279.0496</v>
      </c>
      <c r="V272" s="390">
        <v>1</v>
      </c>
      <c r="W272" s="494">
        <f>SUMIFS(Таблица1[Столбец1],Таблица1[коэф],"1",Таблица1[р/р],"5/24",Таблица1[Ф. И. О.],B275)</f>
        <v>0</v>
      </c>
      <c r="X272" s="492">
        <f t="shared" si="53"/>
        <v>0</v>
      </c>
      <c r="Y272" s="795"/>
      <c r="Z272" s="797"/>
      <c r="AA272" s="786"/>
    </row>
    <row r="273" spans="1:29" ht="18.75">
      <c r="A273" s="786"/>
      <c r="B273" s="216"/>
      <c r="C273" s="789"/>
      <c r="D273" s="792"/>
      <c r="E273" s="393"/>
      <c r="F273" s="390"/>
      <c r="G273" s="400"/>
      <c r="H273" s="392">
        <f t="shared" si="50"/>
        <v>0</v>
      </c>
      <c r="I273" s="389">
        <f>база!$J$5</f>
        <v>215.4924</v>
      </c>
      <c r="J273" s="390">
        <v>1.5</v>
      </c>
      <c r="K273" s="434">
        <f>SUMIFS(Таблица1[Столбец1],Таблица1[коэф],"1,5",Таблица1[р/р],"4/8",Таблица1[Ф. И. О.],B275)</f>
        <v>0</v>
      </c>
      <c r="L273" s="484">
        <f t="shared" si="51"/>
        <v>0</v>
      </c>
      <c r="M273" s="432"/>
      <c r="N273" s="434"/>
      <c r="O273" s="434"/>
      <c r="P273" s="434"/>
      <c r="Q273" s="399">
        <f>IF(D270&lt;=3,база!$L$4,
IF(D270=4,база!$L$5,
IF(D270=5,база!$L$6)))</f>
        <v>210.57480000000001</v>
      </c>
      <c r="R273" s="390">
        <v>1.2</v>
      </c>
      <c r="S273" s="491">
        <f>SUMIFS(Таблица1[Столбец1],Таблица1[коэф],"1,2",Таблица1[р/р],"3/16",Таблица1[Ф. И. О.],B275)</f>
        <v>0</v>
      </c>
      <c r="T273" s="492">
        <f t="shared" si="52"/>
        <v>0</v>
      </c>
      <c r="U273" s="472">
        <f>IF(D270&lt;=3,база!$M$4,
IF(D270=4,база!$M$5,
IF(D270=5,база!$M$6)))</f>
        <v>225.09719999999999</v>
      </c>
      <c r="V273" s="390">
        <v>1.2</v>
      </c>
      <c r="W273" s="494">
        <f>SUMIFS(Таблица1[Столбец1],Таблица1[коэф],"1,2",Таблица1[р/р],"3/24",Таблица1[Ф. И. О.],B275)</f>
        <v>0</v>
      </c>
      <c r="X273" s="492">
        <f t="shared" si="53"/>
        <v>0</v>
      </c>
      <c r="Y273" s="795"/>
      <c r="Z273" s="797"/>
      <c r="AA273" s="786"/>
    </row>
    <row r="274" spans="1:29" ht="18.75">
      <c r="A274" s="786"/>
      <c r="B274" s="216"/>
      <c r="C274" s="789"/>
      <c r="D274" s="792"/>
      <c r="E274" s="393"/>
      <c r="F274" s="390"/>
      <c r="G274" s="400"/>
      <c r="H274" s="392">
        <f t="shared" si="50"/>
        <v>0</v>
      </c>
      <c r="I274" s="389">
        <f>база!$J$6</f>
        <v>243.04319999999998</v>
      </c>
      <c r="J274" s="390">
        <v>1.5</v>
      </c>
      <c r="K274" s="434">
        <f>SUMIFS(Таблица1[Столбец1],Таблица1[коэф],"1,5",Таблица1[р/р],"5/8",Таблица1[Ф. И. О.],B275)</f>
        <v>0</v>
      </c>
      <c r="L274" s="484">
        <f t="shared" si="51"/>
        <v>0</v>
      </c>
      <c r="M274" s="432"/>
      <c r="N274" s="434"/>
      <c r="O274" s="434"/>
      <c r="P274" s="434"/>
      <c r="Q274" s="399">
        <f>база!$L$5</f>
        <v>231.45480000000001</v>
      </c>
      <c r="R274" s="390">
        <v>1.2</v>
      </c>
      <c r="S274" s="491">
        <f>SUMIFS(Таблица1[Столбец1],Таблица1[коэф],"1,2",Таблица1[р/р],"4/16",Таблица1[Ф. И. О.],B275)</f>
        <v>0</v>
      </c>
      <c r="T274" s="492">
        <f t="shared" si="52"/>
        <v>0</v>
      </c>
      <c r="U274" s="472">
        <f>база!$M$5</f>
        <v>247.41720000000001</v>
      </c>
      <c r="V274" s="390">
        <v>1.2</v>
      </c>
      <c r="W274" s="494">
        <f>SUMIFS(Таблица1[Столбец1],Таблица1[коэф],"1,2",Таблица1[р/р],"4/24",Таблица1[Ф. И. О.],B275)</f>
        <v>0</v>
      </c>
      <c r="X274" s="492">
        <f t="shared" si="53"/>
        <v>0</v>
      </c>
      <c r="Y274" s="795"/>
      <c r="Z274" s="797"/>
      <c r="AA274" s="786"/>
    </row>
    <row r="275" spans="1:29" ht="18" customHeight="1">
      <c r="A275" s="786"/>
      <c r="B275" s="216" t="str">
        <f>база!B26</f>
        <v>Ефремова Юлия Сергеевна</v>
      </c>
      <c r="C275" s="789"/>
      <c r="D275" s="792"/>
      <c r="E275" s="393"/>
      <c r="F275" s="390"/>
      <c r="G275" s="400"/>
      <c r="H275" s="392">
        <f t="shared" si="50"/>
        <v>0</v>
      </c>
      <c r="I275" s="389"/>
      <c r="J275" s="390"/>
      <c r="K275" s="434"/>
      <c r="L275" s="484">
        <f t="shared" si="51"/>
        <v>0</v>
      </c>
      <c r="M275" s="432"/>
      <c r="N275" s="434"/>
      <c r="O275" s="434"/>
      <c r="P275" s="434"/>
      <c r="Q275" s="399">
        <f>база!$L$6</f>
        <v>261.04640000000001</v>
      </c>
      <c r="R275" s="390">
        <v>1.2</v>
      </c>
      <c r="S275" s="491">
        <f>SUMIFS(Таблица1[Столбец1],Таблица1[коэф],"1,2",Таблица1[р/р],"5/16",Таблица1[Ф. И. О.],B275)</f>
        <v>0</v>
      </c>
      <c r="T275" s="492">
        <f t="shared" si="52"/>
        <v>0</v>
      </c>
      <c r="U275" s="472">
        <f>база!$M$6</f>
        <v>279.0496</v>
      </c>
      <c r="V275" s="390">
        <v>1.2</v>
      </c>
      <c r="W275" s="494">
        <f>SUMIFS(Таблица1[Столбец1],Таблица1[коэф],"1,2",Таблица1[р/р],"5/24",Таблица1[Ф. И. О.],B275)</f>
        <v>0</v>
      </c>
      <c r="X275" s="492">
        <f t="shared" si="53"/>
        <v>0</v>
      </c>
      <c r="Y275" s="795"/>
      <c r="Z275" s="797"/>
      <c r="AA275" s="786"/>
      <c r="AC275" s="727" t="str">
        <f>IF(SUMIFS(Таблица1[Столбец3],Таблица1[Ф. И. О.],B275)-Z270=0,"",SUMIFS(Таблица1[Столбец3],Таблица1[Ф. И. О.],B275)-Z270)</f>
        <v/>
      </c>
    </row>
    <row r="276" spans="1:29" ht="18.75">
      <c r="A276" s="786"/>
      <c r="B276" s="216"/>
      <c r="C276" s="789"/>
      <c r="D276" s="792"/>
      <c r="E276" s="393"/>
      <c r="F276" s="390"/>
      <c r="G276" s="400"/>
      <c r="H276" s="392">
        <f t="shared" si="50"/>
        <v>0</v>
      </c>
      <c r="I276" s="389"/>
      <c r="J276" s="390"/>
      <c r="K276" s="434"/>
      <c r="L276" s="484">
        <f t="shared" si="51"/>
        <v>0</v>
      </c>
      <c r="M276" s="432"/>
      <c r="N276" s="434"/>
      <c r="O276" s="434"/>
      <c r="P276" s="434"/>
      <c r="Q276" s="399">
        <f>IF(D270&lt;=3,база!$L$4,
IF(D270=4,база!$L$5,
IF(D270=5,база!$L$6)))</f>
        <v>210.57480000000001</v>
      </c>
      <c r="R276" s="390">
        <v>1.3</v>
      </c>
      <c r="S276" s="491">
        <f>SUMIFS(Таблица1[Столбец1],Таблица1[коэф],"1,3",Таблица1[р/р],"3/16",Таблица1[Ф. И. О.],B275)</f>
        <v>0</v>
      </c>
      <c r="T276" s="492">
        <f t="shared" si="52"/>
        <v>0</v>
      </c>
      <c r="U276" s="472">
        <f>IF(D270&lt;=3,база!$M$4,
IF(D270=4,база!$M$5,
IF(D270=5,база!$M$6)))</f>
        <v>225.09719999999999</v>
      </c>
      <c r="V276" s="390">
        <v>1.3</v>
      </c>
      <c r="W276" s="494">
        <f>SUMIFS(Таблица1[Столбец1],Таблица1[коэф],"1,3",Таблица1[р/р],"3/24",Таблица1[Ф. И. О.],B275)</f>
        <v>0</v>
      </c>
      <c r="X276" s="492">
        <f t="shared" si="53"/>
        <v>0</v>
      </c>
      <c r="Y276" s="795"/>
      <c r="Z276" s="797"/>
      <c r="AA276" s="786"/>
      <c r="AC276" s="727" t="str">
        <f>IF(SUMIFS(Таблица1[Столбец1],Таблица1[Ф. И. О.],B275)=Y270,"",B275&amp;"  часы не верны")</f>
        <v/>
      </c>
    </row>
    <row r="277" spans="1:29" ht="18.75">
      <c r="A277" s="786"/>
      <c r="B277" s="216"/>
      <c r="C277" s="789"/>
      <c r="D277" s="792"/>
      <c r="E277" s="393"/>
      <c r="F277" s="390"/>
      <c r="G277" s="400"/>
      <c r="H277" s="392">
        <f t="shared" si="50"/>
        <v>0</v>
      </c>
      <c r="I277" s="389"/>
      <c r="J277" s="390"/>
      <c r="K277" s="434"/>
      <c r="L277" s="484">
        <f t="shared" si="51"/>
        <v>0</v>
      </c>
      <c r="M277" s="432"/>
      <c r="N277" s="434"/>
      <c r="O277" s="434"/>
      <c r="P277" s="434"/>
      <c r="Q277" s="399">
        <f>база!$L$5</f>
        <v>231.45480000000001</v>
      </c>
      <c r="R277" s="390">
        <v>1.3</v>
      </c>
      <c r="S277" s="491">
        <f>SUMIFS(Таблица1[Столбец1],Таблица1[коэф],"1,3",Таблица1[р/р],"4/16",Таблица1[Ф. И. О.],B275)</f>
        <v>0</v>
      </c>
      <c r="T277" s="492">
        <f t="shared" si="52"/>
        <v>0</v>
      </c>
      <c r="U277" s="472">
        <f>база!$M$5</f>
        <v>247.41720000000001</v>
      </c>
      <c r="V277" s="390">
        <v>1.3</v>
      </c>
      <c r="W277" s="494">
        <f>SUMIFS(Таблица1[Столбец1],Таблица1[коэф],"1,3",Таблица1[р/р],"4/24",Таблица1[Ф. И. О.],B275)</f>
        <v>0</v>
      </c>
      <c r="X277" s="492">
        <f t="shared" si="53"/>
        <v>0</v>
      </c>
      <c r="Y277" s="795"/>
      <c r="Z277" s="797"/>
      <c r="AA277" s="786"/>
    </row>
    <row r="278" spans="1:29" ht="18.75">
      <c r="A278" s="786"/>
      <c r="B278" s="216"/>
      <c r="C278" s="789"/>
      <c r="D278" s="792"/>
      <c r="E278" s="393"/>
      <c r="F278" s="390"/>
      <c r="G278" s="400"/>
      <c r="H278" s="392">
        <f t="shared" si="50"/>
        <v>0</v>
      </c>
      <c r="I278" s="389"/>
      <c r="J278" s="390"/>
      <c r="K278" s="434"/>
      <c r="L278" s="484">
        <f t="shared" si="51"/>
        <v>0</v>
      </c>
      <c r="M278" s="432"/>
      <c r="N278" s="434"/>
      <c r="O278" s="434"/>
      <c r="P278" s="434"/>
      <c r="Q278" s="399">
        <f>IF(D270&lt;=3,база!$L$4,
IF(D270=4,база!$L$5,
IF(D270=5,база!$L$6)))</f>
        <v>210.57480000000001</v>
      </c>
      <c r="R278" s="390">
        <v>1.4</v>
      </c>
      <c r="S278" s="491">
        <f>SUMIFS(Таблица1[Столбец1],Таблица1[коэф],"1,4",Таблица1[р/р],"3/16",Таблица1[Ф. И. О.],B275)</f>
        <v>0</v>
      </c>
      <c r="T278" s="492">
        <f t="shared" si="52"/>
        <v>0</v>
      </c>
      <c r="U278" s="472">
        <f>IF(D270&lt;=3,база!$M$4,
IF(D270=4,база!$M$5,
IF(D270=5,база!$M$6)))</f>
        <v>225.09719999999999</v>
      </c>
      <c r="V278" s="390">
        <v>1.4</v>
      </c>
      <c r="W278" s="494">
        <f>SUMIFS(Таблица1[Столбец1],Таблица1[коэф],"1,4",Таблица1[р/р],"3/24",Таблица1[Ф. И. О.],B275)</f>
        <v>0</v>
      </c>
      <c r="X278" s="492">
        <f t="shared" si="53"/>
        <v>0</v>
      </c>
      <c r="Y278" s="795"/>
      <c r="Z278" s="797"/>
      <c r="AA278" s="786"/>
    </row>
    <row r="279" spans="1:29" ht="18.75">
      <c r="A279" s="786"/>
      <c r="B279" s="216"/>
      <c r="C279" s="789"/>
      <c r="D279" s="792"/>
      <c r="E279" s="393"/>
      <c r="F279" s="390"/>
      <c r="G279" s="400"/>
      <c r="H279" s="392">
        <f t="shared" si="50"/>
        <v>0</v>
      </c>
      <c r="I279" s="389"/>
      <c r="J279" s="390"/>
      <c r="K279" s="434"/>
      <c r="L279" s="395">
        <f t="shared" si="51"/>
        <v>0</v>
      </c>
      <c r="M279" s="432"/>
      <c r="N279" s="434"/>
      <c r="O279" s="434"/>
      <c r="P279" s="434"/>
      <c r="Q279" s="399">
        <f>база!$L$5</f>
        <v>231.45480000000001</v>
      </c>
      <c r="R279" s="390">
        <v>1.4</v>
      </c>
      <c r="S279" s="491">
        <f>SUMIFS(Таблица1[Столбец1],Таблица1[коэф],"1,4",Таблица1[р/р],"4/16",Таблица1[Ф. И. О.],B275)</f>
        <v>0</v>
      </c>
      <c r="T279" s="492">
        <f t="shared" si="52"/>
        <v>0</v>
      </c>
      <c r="U279" s="472">
        <f>база!$M$5</f>
        <v>247.41720000000001</v>
      </c>
      <c r="V279" s="390">
        <v>1.4</v>
      </c>
      <c r="W279" s="494">
        <f>SUMIFS(Таблица1[Столбец1],Таблица1[коэф],"1,4",Таблица1[р/р],"4/24",Таблица1[Ф. И. О.],B275)</f>
        <v>0</v>
      </c>
      <c r="X279" s="492">
        <f t="shared" si="53"/>
        <v>0</v>
      </c>
      <c r="Y279" s="795"/>
      <c r="Z279" s="797"/>
      <c r="AA279" s="786"/>
    </row>
    <row r="280" spans="1:29" ht="19.5" thickBot="1">
      <c r="A280" s="787"/>
      <c r="B280" s="203"/>
      <c r="C280" s="790"/>
      <c r="D280" s="793"/>
      <c r="E280" s="463"/>
      <c r="F280" s="464"/>
      <c r="G280" s="465"/>
      <c r="H280" s="468">
        <f t="shared" si="50"/>
        <v>0</v>
      </c>
      <c r="I280" s="473"/>
      <c r="J280" s="464"/>
      <c r="K280" s="457"/>
      <c r="L280" s="484">
        <f t="shared" si="51"/>
        <v>0</v>
      </c>
      <c r="M280" s="466"/>
      <c r="N280" s="457"/>
      <c r="O280" s="457"/>
      <c r="P280" s="457"/>
      <c r="Q280" s="467">
        <f>база!$L$6</f>
        <v>261.04640000000001</v>
      </c>
      <c r="R280" s="464">
        <v>1.4</v>
      </c>
      <c r="S280" s="512">
        <f>SUMIFS(Таблица1[Столбец1],Таблица1[коэф],"1,4",Таблица1[р/р],"5/16",Таблица1[Ф. И. О.],B275)</f>
        <v>0</v>
      </c>
      <c r="T280" s="492">
        <f t="shared" si="52"/>
        <v>0</v>
      </c>
      <c r="U280" s="474">
        <f>база!$M$6</f>
        <v>279.0496</v>
      </c>
      <c r="V280" s="464">
        <v>1.4</v>
      </c>
      <c r="W280" s="501">
        <f>SUMIFS(Таблица1[Столбец1],Таблица1[коэф],"1,4",Таблица1[р/р],"5/24",Таблица1[Ф. И. О.],B275)</f>
        <v>0</v>
      </c>
      <c r="X280" s="492">
        <f t="shared" si="53"/>
        <v>0</v>
      </c>
      <c r="Y280" s="796"/>
      <c r="Z280" s="798"/>
      <c r="AA280" s="787"/>
    </row>
    <row r="281" spans="1:29" ht="18.75" collapsed="1">
      <c r="A281" s="785">
        <v>26</v>
      </c>
      <c r="B281" s="236"/>
      <c r="C281" s="788">
        <f>INDEX(база!$E$2:$E$81, MATCH(B286,база!$B$2:$B$50,0))</f>
        <v>15608</v>
      </c>
      <c r="D281" s="791">
        <f>INDEX(база!$D$2:$D$89, MATCH(B286,база!$B$2:$B$50,0))</f>
        <v>3</v>
      </c>
      <c r="E281" s="451">
        <f>IF(D281&lt;=3,база!$I$4,
IF(D281=4,база!$I$5,
IF(D281=5,база!$I$6)))</f>
        <v>188.7912</v>
      </c>
      <c r="F281" s="417">
        <v>1</v>
      </c>
      <c r="G281" s="418">
        <f>SUMIFS(Таблица1[Столбец1],Таблица1[коэф],"1",Таблица1[р/р],"2/4",Таблица1[Ф. И. О.],B286)</f>
        <v>0</v>
      </c>
      <c r="H281" s="402">
        <f t="shared" ref="H281:H291" si="58">ROUND(E281*F281*G281*2,2)</f>
        <v>0</v>
      </c>
      <c r="I281" s="377">
        <f>IF(D281&lt;=3,база!$J$4,
IF(D281=4,база!$J$5,
IF(D281=5,база!$J$6)))</f>
        <v>196.05240000000001</v>
      </c>
      <c r="J281" s="378">
        <v>1</v>
      </c>
      <c r="K281" s="428">
        <f>SUMIFS(Таблица1[Столбец1],Таблица1[коэф],"1",Таблица1[р/р],"2/8",Таблица1[Ф. И. О.],B286)</f>
        <v>0</v>
      </c>
      <c r="L281" s="383">
        <f t="shared" ref="L281:L291" si="59">ROUND(I281*J281*K281*2,2)</f>
        <v>0</v>
      </c>
      <c r="M281" s="452"/>
      <c r="N281" s="453">
        <v>1</v>
      </c>
      <c r="O281" s="453">
        <f>SUMIFS(Data_Tech!$AM$3:$AM$67,Data_Tech!$E$3:$E$67,"1",Data_Tech!$G$3:$G$67,"3/12",Data_Tech!$F$3:$F$67,B286)</f>
        <v>0</v>
      </c>
      <c r="P281" s="453">
        <f>ROUND(M281*N281*O281,2)</f>
        <v>0</v>
      </c>
      <c r="Q281" s="416">
        <f>IF(D281&lt;=3,база!$L$4,
IF(D281=4,база!$L$5,
IF(D281=5,база!$L$6)))</f>
        <v>210.57480000000001</v>
      </c>
      <c r="R281" s="417">
        <v>1</v>
      </c>
      <c r="S281" s="495">
        <f>SUMIFS(Таблица1[Столбец1],Таблица1[коэф],"1",Таблица1[р/р],"3/16",Таблица1[Ф. И. О.],B286)</f>
        <v>0</v>
      </c>
      <c r="T281" s="490">
        <f t="shared" ref="T281:T291" si="60">ROUND(Q281*R281*S281*2,2)</f>
        <v>0</v>
      </c>
      <c r="U281" s="471">
        <f>IF(D281&lt;=3,база!$M$4,
IF(D281=4,база!$M$5,
IF(D281=5,база!$M$6)))</f>
        <v>225.09719999999999</v>
      </c>
      <c r="V281" s="378">
        <v>1</v>
      </c>
      <c r="W281" s="497">
        <f>SUMIFS(Таблица1[Столбец1],Таблица1[коэф],"1",Таблица1[р/р],"3/24",Таблица1[Ф. И. О.],B286)</f>
        <v>0</v>
      </c>
      <c r="X281" s="490">
        <f t="shared" ref="X281:X291" si="61">ROUND(U281*V281*W281*2,2)</f>
        <v>0</v>
      </c>
      <c r="Y281" s="795">
        <f t="shared" ref="Y281" si="62">SUM(G281:G291,K281:K291,O281:O291,S281:S291,W281:W291)</f>
        <v>0</v>
      </c>
      <c r="Z281" s="797">
        <f t="shared" ref="Z281" si="63">IFERROR(SUM(H281:H291,L281:L291,T281:T291,X281:X291),"")</f>
        <v>0</v>
      </c>
      <c r="AA281" s="786"/>
    </row>
    <row r="282" spans="1:29" ht="18.75">
      <c r="A282" s="786"/>
      <c r="B282" s="216"/>
      <c r="C282" s="789"/>
      <c r="D282" s="792"/>
      <c r="E282" s="393">
        <f>IF(D281&lt;=3,база!$I$4,
IF(D281=4,база!$I$5,
IF(D281=5,база!$I$6)))</f>
        <v>188.7912</v>
      </c>
      <c r="F282" s="390">
        <v>1</v>
      </c>
      <c r="G282" s="400">
        <f>SUMIFS(Таблица1[Столбец1],Таблица1[коэф],"1",Таблица1[р/р],"3/4",Таблица1[Ф. И. О.],B286)</f>
        <v>0</v>
      </c>
      <c r="H282" s="392">
        <f t="shared" si="58"/>
        <v>0</v>
      </c>
      <c r="I282" s="389">
        <f>IF(D281&lt;=3,база!$J$4,
IF(D281=4,база!$J$5,
IF(D281=5,база!$J$6)))</f>
        <v>196.05240000000001</v>
      </c>
      <c r="J282" s="390">
        <v>1</v>
      </c>
      <c r="K282" s="434">
        <f>SUMIFS(Таблица1[Столбец1],Таблица1[коэф],"1",Таблица1[р/р],"3/8",Таблица1[Ф. И. О.],B286)</f>
        <v>0</v>
      </c>
      <c r="L282" s="484">
        <f t="shared" si="59"/>
        <v>0</v>
      </c>
      <c r="M282" s="432"/>
      <c r="N282" s="434">
        <v>1</v>
      </c>
      <c r="O282" s="434">
        <f>SUMIFS(Data_Tech!$AM$3:$AM$67,Data_Tech!$E$3:$E$67,"1",Data_Tech!$G$3:$G$67,"4/12",Data_Tech!$F$3:$F$67,B286)</f>
        <v>0</v>
      </c>
      <c r="P282" s="434">
        <f>ROUND(M282*O282,2)</f>
        <v>0</v>
      </c>
      <c r="Q282" s="399">
        <f>база!$L$5</f>
        <v>231.45480000000001</v>
      </c>
      <c r="R282" s="390">
        <v>1</v>
      </c>
      <c r="S282" s="491">
        <f>SUMIFS(Таблица1[Столбец1],Таблица1[коэф],"1",Таблица1[р/р],"4/16",Таблица1[Ф. И. О.],B286)</f>
        <v>0</v>
      </c>
      <c r="T282" s="492">
        <f t="shared" si="60"/>
        <v>0</v>
      </c>
      <c r="U282" s="472">
        <f>база!$M$5</f>
        <v>247.41720000000001</v>
      </c>
      <c r="V282" s="390">
        <v>1</v>
      </c>
      <c r="W282" s="494">
        <f>SUMIFS(Таблица1[Столбец1],Таблица1[коэф],"1",Таблица1[р/р],"4/24",Таблица1[Ф. И. О.],B286)</f>
        <v>0</v>
      </c>
      <c r="X282" s="492">
        <f t="shared" si="61"/>
        <v>0</v>
      </c>
      <c r="Y282" s="795"/>
      <c r="Z282" s="797"/>
      <c r="AA282" s="786"/>
    </row>
    <row r="283" spans="1:29" ht="18.75">
      <c r="A283" s="786"/>
      <c r="B283" s="216"/>
      <c r="C283" s="789"/>
      <c r="D283" s="792"/>
      <c r="E283" s="393"/>
      <c r="F283" s="390"/>
      <c r="G283" s="400"/>
      <c r="H283" s="392">
        <f t="shared" si="58"/>
        <v>0</v>
      </c>
      <c r="I283" s="389"/>
      <c r="J283" s="390"/>
      <c r="K283" s="434"/>
      <c r="L283" s="484">
        <f t="shared" si="59"/>
        <v>0</v>
      </c>
      <c r="M283" s="432"/>
      <c r="N283" s="434"/>
      <c r="O283" s="434"/>
      <c r="P283" s="434"/>
      <c r="Q283" s="399">
        <f>база!$L$6</f>
        <v>261.04640000000001</v>
      </c>
      <c r="R283" s="390">
        <v>1</v>
      </c>
      <c r="S283" s="491">
        <f>SUMIFS(Таблица1[Столбец1],Таблица1[коэф],"1",Таблица1[р/р],"5/16",Таблица1[Ф. И. О.],B286)</f>
        <v>0</v>
      </c>
      <c r="T283" s="492">
        <f t="shared" si="60"/>
        <v>0</v>
      </c>
      <c r="U283" s="472">
        <f>база!$M$6</f>
        <v>279.0496</v>
      </c>
      <c r="V283" s="390">
        <v>1</v>
      </c>
      <c r="W283" s="494">
        <f>SUMIFS(Таблица1[Столбец1],Таблица1[коэф],"1",Таблица1[р/р],"5/24",Таблица1[Ф. И. О.],B286)</f>
        <v>0</v>
      </c>
      <c r="X283" s="492">
        <f t="shared" si="61"/>
        <v>0</v>
      </c>
      <c r="Y283" s="795"/>
      <c r="Z283" s="797"/>
      <c r="AA283" s="786"/>
    </row>
    <row r="284" spans="1:29" ht="18.75">
      <c r="A284" s="786"/>
      <c r="B284" s="216"/>
      <c r="C284" s="789"/>
      <c r="D284" s="792"/>
      <c r="E284" s="393"/>
      <c r="F284" s="390"/>
      <c r="G284" s="400"/>
      <c r="H284" s="392">
        <f t="shared" si="58"/>
        <v>0</v>
      </c>
      <c r="I284" s="389">
        <f>база!$J$5</f>
        <v>215.4924</v>
      </c>
      <c r="J284" s="390">
        <v>1.5</v>
      </c>
      <c r="K284" s="434">
        <f>SUMIFS(Таблица1[Столбец1],Таблица1[коэф],"1,5",Таблица1[р/р],"4/8",Таблица1[Ф. И. О.],B286)</f>
        <v>0</v>
      </c>
      <c r="L284" s="484">
        <f t="shared" si="59"/>
        <v>0</v>
      </c>
      <c r="M284" s="432"/>
      <c r="N284" s="434"/>
      <c r="O284" s="434"/>
      <c r="P284" s="434"/>
      <c r="Q284" s="399">
        <f>IF(D281&lt;=3,база!$L$4,
IF(D281=4,база!$L$5,
IF(D281=5,база!$L$6)))</f>
        <v>210.57480000000001</v>
      </c>
      <c r="R284" s="390">
        <v>1.2</v>
      </c>
      <c r="S284" s="491">
        <f>SUMIFS(Таблица1[Столбец1],Таблица1[коэф],"1,2",Таблица1[р/р],"3/16",Таблица1[Ф. И. О.],B286)</f>
        <v>0</v>
      </c>
      <c r="T284" s="492">
        <f t="shared" si="60"/>
        <v>0</v>
      </c>
      <c r="U284" s="472">
        <f>IF(D281&lt;=3,база!$M$4,
IF(D281=4,база!$M$5,
IF(D281=5,база!$M$6)))</f>
        <v>225.09719999999999</v>
      </c>
      <c r="V284" s="390">
        <v>1.2</v>
      </c>
      <c r="W284" s="494">
        <f>SUMIFS(Таблица1[Столбец1],Таблица1[коэф],"1,2",Таблица1[р/р],"3/24",Таблица1[Ф. И. О.],B286)</f>
        <v>0</v>
      </c>
      <c r="X284" s="492">
        <f t="shared" si="61"/>
        <v>0</v>
      </c>
      <c r="Y284" s="795"/>
      <c r="Z284" s="797"/>
      <c r="AA284" s="786"/>
    </row>
    <row r="285" spans="1:29" ht="18.75">
      <c r="A285" s="786"/>
      <c r="B285" s="216"/>
      <c r="C285" s="789"/>
      <c r="D285" s="792"/>
      <c r="E285" s="393"/>
      <c r="F285" s="390"/>
      <c r="G285" s="400"/>
      <c r="H285" s="392">
        <f t="shared" si="58"/>
        <v>0</v>
      </c>
      <c r="I285" s="389">
        <f>база!$J$6</f>
        <v>243.04319999999998</v>
      </c>
      <c r="J285" s="390">
        <v>1.5</v>
      </c>
      <c r="K285" s="434">
        <f>SUMIFS(Таблица1[Столбец1],Таблица1[коэф],"1,5",Таблица1[р/р],"5/8",Таблица1[Ф. И. О.],B286)</f>
        <v>0</v>
      </c>
      <c r="L285" s="484">
        <f t="shared" si="59"/>
        <v>0</v>
      </c>
      <c r="M285" s="432"/>
      <c r="N285" s="434"/>
      <c r="O285" s="434"/>
      <c r="P285" s="434"/>
      <c r="Q285" s="399">
        <f>база!$L$5</f>
        <v>231.45480000000001</v>
      </c>
      <c r="R285" s="390">
        <v>1.2</v>
      </c>
      <c r="S285" s="491">
        <f>SUMIFS(Таблица1[Столбец1],Таблица1[коэф],"1,2",Таблица1[р/р],"4/16",Таблица1[Ф. И. О.],B286)</f>
        <v>0</v>
      </c>
      <c r="T285" s="492">
        <f t="shared" si="60"/>
        <v>0</v>
      </c>
      <c r="U285" s="472">
        <f>база!$M$5</f>
        <v>247.41720000000001</v>
      </c>
      <c r="V285" s="390">
        <v>1.2</v>
      </c>
      <c r="W285" s="494">
        <f>SUMIFS(Таблица1[Столбец1],Таблица1[коэф],"1,2",Таблица1[р/р],"4/24",Таблица1[Ф. И. О.],B286)</f>
        <v>0</v>
      </c>
      <c r="X285" s="492">
        <f t="shared" si="61"/>
        <v>0</v>
      </c>
      <c r="Y285" s="795"/>
      <c r="Z285" s="797"/>
      <c r="AA285" s="786"/>
    </row>
    <row r="286" spans="1:29" ht="18" customHeight="1">
      <c r="A286" s="786"/>
      <c r="B286" s="216" t="str">
        <f>база!B27</f>
        <v>Журавлева Мария Валентиновна</v>
      </c>
      <c r="C286" s="789"/>
      <c r="D286" s="792"/>
      <c r="E286" s="393"/>
      <c r="F286" s="390"/>
      <c r="G286" s="400"/>
      <c r="H286" s="392">
        <f t="shared" si="58"/>
        <v>0</v>
      </c>
      <c r="I286" s="389"/>
      <c r="J286" s="390"/>
      <c r="K286" s="434"/>
      <c r="L286" s="484">
        <f t="shared" si="59"/>
        <v>0</v>
      </c>
      <c r="M286" s="432"/>
      <c r="N286" s="434"/>
      <c r="O286" s="434"/>
      <c r="P286" s="434"/>
      <c r="Q286" s="399">
        <f>база!$L$6</f>
        <v>261.04640000000001</v>
      </c>
      <c r="R286" s="390">
        <v>1.2</v>
      </c>
      <c r="S286" s="491">
        <f>SUMIFS(Таблица1[Столбец1],Таблица1[коэф],"1,2",Таблица1[р/р],"5/16",Таблица1[Ф. И. О.],B286)</f>
        <v>0</v>
      </c>
      <c r="T286" s="492">
        <f t="shared" si="60"/>
        <v>0</v>
      </c>
      <c r="U286" s="472">
        <f>база!$M$6</f>
        <v>279.0496</v>
      </c>
      <c r="V286" s="390">
        <v>1.2</v>
      </c>
      <c r="W286" s="494">
        <f>SUMIFS(Таблица1[Столбец1],Таблица1[коэф],"1,2",Таблица1[р/р],"5/24",Таблица1[Ф. И. О.],B286)</f>
        <v>0</v>
      </c>
      <c r="X286" s="492">
        <f t="shared" si="61"/>
        <v>0</v>
      </c>
      <c r="Y286" s="795"/>
      <c r="Z286" s="797"/>
      <c r="AA286" s="786"/>
      <c r="AC286" s="727" t="str">
        <f>IF(SUMIFS(Таблица1[Столбец3],Таблица1[Ф. И. О.],B286)-Z281=0,"",SUMIFS(Таблица1[Столбец3],Таблица1[Ф. И. О.],B286)-Z281)</f>
        <v/>
      </c>
    </row>
    <row r="287" spans="1:29" ht="18.75">
      <c r="A287" s="786"/>
      <c r="B287" s="216"/>
      <c r="C287" s="789"/>
      <c r="D287" s="792"/>
      <c r="E287" s="393"/>
      <c r="F287" s="390"/>
      <c r="G287" s="400"/>
      <c r="H287" s="392">
        <f t="shared" si="58"/>
        <v>0</v>
      </c>
      <c r="I287" s="389"/>
      <c r="J287" s="390"/>
      <c r="K287" s="434"/>
      <c r="L287" s="484">
        <f t="shared" si="59"/>
        <v>0</v>
      </c>
      <c r="M287" s="432"/>
      <c r="N287" s="434"/>
      <c r="O287" s="434"/>
      <c r="P287" s="434"/>
      <c r="Q287" s="399">
        <f>IF(D281&lt;=3,база!$L$4,
IF(D281=4,база!$L$5,
IF(D281=5,база!$L$6)))</f>
        <v>210.57480000000001</v>
      </c>
      <c r="R287" s="390">
        <v>1.3</v>
      </c>
      <c r="S287" s="491">
        <f>SUMIFS(Таблица1[Столбец1],Таблица1[коэф],"1,3",Таблица1[р/р],"3/16",Таблица1[Ф. И. О.],B286)</f>
        <v>0</v>
      </c>
      <c r="T287" s="492">
        <f t="shared" si="60"/>
        <v>0</v>
      </c>
      <c r="U287" s="472">
        <f>IF(D281&lt;=3,база!$M$4,
IF(D281=4,база!$M$5,
IF(D281=5,база!$M$6)))</f>
        <v>225.09719999999999</v>
      </c>
      <c r="V287" s="390">
        <v>1.3</v>
      </c>
      <c r="W287" s="494">
        <f>SUMIFS(Таблица1[Столбец1],Таблица1[коэф],"1,3",Таблица1[р/р],"3/24",Таблица1[Ф. И. О.],B286)</f>
        <v>0</v>
      </c>
      <c r="X287" s="492">
        <f t="shared" si="61"/>
        <v>0</v>
      </c>
      <c r="Y287" s="795"/>
      <c r="Z287" s="797"/>
      <c r="AA287" s="786"/>
      <c r="AC287" s="727" t="str">
        <f>IF(SUMIFS(Таблица1[Столбец1],Таблица1[Ф. И. О.],B286)=Y281,"",B286&amp;"  часы не верны")</f>
        <v/>
      </c>
    </row>
    <row r="288" spans="1:29" ht="18.75">
      <c r="A288" s="786"/>
      <c r="B288" s="216"/>
      <c r="C288" s="789"/>
      <c r="D288" s="792"/>
      <c r="E288" s="393"/>
      <c r="F288" s="390"/>
      <c r="G288" s="400"/>
      <c r="H288" s="392">
        <f t="shared" si="58"/>
        <v>0</v>
      </c>
      <c r="I288" s="389"/>
      <c r="J288" s="390"/>
      <c r="K288" s="434"/>
      <c r="L288" s="484">
        <f t="shared" si="59"/>
        <v>0</v>
      </c>
      <c r="M288" s="432"/>
      <c r="N288" s="434"/>
      <c r="O288" s="434"/>
      <c r="P288" s="434"/>
      <c r="Q288" s="399">
        <f>база!$L$5</f>
        <v>231.45480000000001</v>
      </c>
      <c r="R288" s="390">
        <v>1.3</v>
      </c>
      <c r="S288" s="491">
        <f>SUMIFS(Таблица1[Столбец1],Таблица1[коэф],"1,3",Таблица1[р/р],"4/16",Таблица1[Ф. И. О.],B286)</f>
        <v>0</v>
      </c>
      <c r="T288" s="492">
        <f t="shared" si="60"/>
        <v>0</v>
      </c>
      <c r="U288" s="472">
        <f>база!$M$5</f>
        <v>247.41720000000001</v>
      </c>
      <c r="V288" s="390">
        <v>1.3</v>
      </c>
      <c r="W288" s="494">
        <f>SUMIFS(Таблица1[Столбец1],Таблица1[коэф],"1,3",Таблица1[р/р],"4/24",Таблица1[Ф. И. О.],B286)</f>
        <v>0</v>
      </c>
      <c r="X288" s="492">
        <f t="shared" si="61"/>
        <v>0</v>
      </c>
      <c r="Y288" s="795"/>
      <c r="Z288" s="797"/>
      <c r="AA288" s="786"/>
    </row>
    <row r="289" spans="1:29" ht="18.75">
      <c r="A289" s="786"/>
      <c r="B289" s="216"/>
      <c r="C289" s="789"/>
      <c r="D289" s="792"/>
      <c r="E289" s="393"/>
      <c r="F289" s="390"/>
      <c r="G289" s="400"/>
      <c r="H289" s="392">
        <f t="shared" si="58"/>
        <v>0</v>
      </c>
      <c r="I289" s="389"/>
      <c r="J289" s="390"/>
      <c r="K289" s="434"/>
      <c r="L289" s="484">
        <f t="shared" si="59"/>
        <v>0</v>
      </c>
      <c r="M289" s="432"/>
      <c r="N289" s="434"/>
      <c r="O289" s="434"/>
      <c r="P289" s="434"/>
      <c r="Q289" s="399">
        <f>IF(D281&lt;=3,база!$L$4,
IF(D281=4,база!$L$5,
IF(D281=5,база!$L$6)))</f>
        <v>210.57480000000001</v>
      </c>
      <c r="R289" s="390">
        <v>1.4</v>
      </c>
      <c r="S289" s="491">
        <f>SUMIFS(Таблица1[Столбец1],Таблица1[коэф],"1,4",Таблица1[р/р],"3/16",Таблица1[Ф. И. О.],B286)</f>
        <v>0</v>
      </c>
      <c r="T289" s="492">
        <f t="shared" si="60"/>
        <v>0</v>
      </c>
      <c r="U289" s="472">
        <f>IF(D281&lt;=3,база!$M$4,
IF(D281=4,база!$M$5,
IF(D281=5,база!$M$6)))</f>
        <v>225.09719999999999</v>
      </c>
      <c r="V289" s="390">
        <v>1.4</v>
      </c>
      <c r="W289" s="494">
        <f>SUMIFS(Таблица1[Столбец1],Таблица1[коэф],"1,4",Таблица1[р/р],"3/24",Таблица1[Ф. И. О.],B286)</f>
        <v>0</v>
      </c>
      <c r="X289" s="492">
        <f t="shared" si="61"/>
        <v>0</v>
      </c>
      <c r="Y289" s="795"/>
      <c r="Z289" s="797"/>
      <c r="AA289" s="786"/>
    </row>
    <row r="290" spans="1:29" ht="18.75">
      <c r="A290" s="786"/>
      <c r="B290" s="216"/>
      <c r="C290" s="789"/>
      <c r="D290" s="792"/>
      <c r="E290" s="393"/>
      <c r="F290" s="390"/>
      <c r="G290" s="400"/>
      <c r="H290" s="392">
        <f t="shared" si="58"/>
        <v>0</v>
      </c>
      <c r="I290" s="389"/>
      <c r="J290" s="390"/>
      <c r="K290" s="434"/>
      <c r="L290" s="395">
        <f t="shared" si="59"/>
        <v>0</v>
      </c>
      <c r="M290" s="432"/>
      <c r="N290" s="434"/>
      <c r="O290" s="434"/>
      <c r="P290" s="434"/>
      <c r="Q290" s="399">
        <f>база!$L$5</f>
        <v>231.45480000000001</v>
      </c>
      <c r="R290" s="390">
        <v>1.4</v>
      </c>
      <c r="S290" s="491">
        <f>SUMIFS(Таблица1[Столбец1],Таблица1[коэф],"1,4",Таблица1[р/р],"4/16",Таблица1[Ф. И. О.],B286)</f>
        <v>0</v>
      </c>
      <c r="T290" s="492">
        <f t="shared" si="60"/>
        <v>0</v>
      </c>
      <c r="U290" s="472">
        <f>база!$M$5</f>
        <v>247.41720000000001</v>
      </c>
      <c r="V290" s="390">
        <v>1.4</v>
      </c>
      <c r="W290" s="494">
        <f>SUMIFS(Таблица1[Столбец1],Таблица1[коэф],"1,4",Таблица1[р/р],"4/24",Таблица1[Ф. И. О.],B286)</f>
        <v>0</v>
      </c>
      <c r="X290" s="492">
        <f t="shared" si="61"/>
        <v>0</v>
      </c>
      <c r="Y290" s="795"/>
      <c r="Z290" s="797"/>
      <c r="AA290" s="786"/>
    </row>
    <row r="291" spans="1:29" ht="19.5" thickBot="1">
      <c r="A291" s="787"/>
      <c r="B291" s="203"/>
      <c r="C291" s="790"/>
      <c r="D291" s="793"/>
      <c r="E291" s="463"/>
      <c r="F291" s="464"/>
      <c r="G291" s="465"/>
      <c r="H291" s="468">
        <f t="shared" si="58"/>
        <v>0</v>
      </c>
      <c r="I291" s="473"/>
      <c r="J291" s="464"/>
      <c r="K291" s="457"/>
      <c r="L291" s="458">
        <f t="shared" si="59"/>
        <v>0</v>
      </c>
      <c r="M291" s="466"/>
      <c r="N291" s="457"/>
      <c r="O291" s="457"/>
      <c r="P291" s="457"/>
      <c r="Q291" s="467">
        <f>база!$L$6</f>
        <v>261.04640000000001</v>
      </c>
      <c r="R291" s="464">
        <v>1.4</v>
      </c>
      <c r="S291" s="512">
        <f>SUMIFS(Таблица1[Столбец1],Таблица1[коэф],"1,4",Таблица1[р/р],"5/16",Таблица1[Ф. И. О.],B286)</f>
        <v>0</v>
      </c>
      <c r="T291" s="513">
        <f t="shared" si="60"/>
        <v>0</v>
      </c>
      <c r="U291" s="474">
        <f>база!$M$6</f>
        <v>279.0496</v>
      </c>
      <c r="V291" s="464">
        <v>1.4</v>
      </c>
      <c r="W291" s="501">
        <f>SUMIFS(Таблица1[Столбец1],Таблица1[коэф],"1,4",Таблица1[р/р],"5/24",Таблица1[Ф. И. О.],B286)</f>
        <v>0</v>
      </c>
      <c r="X291" s="513">
        <f t="shared" si="61"/>
        <v>0</v>
      </c>
      <c r="Y291" s="796"/>
      <c r="Z291" s="798"/>
      <c r="AA291" s="787"/>
    </row>
    <row r="292" spans="1:29" ht="18.75" collapsed="1">
      <c r="A292" s="785">
        <v>27</v>
      </c>
      <c r="B292" s="236"/>
      <c r="C292" s="788">
        <f>INDEX(база!$E$2:$E$81, MATCH(B297,база!$B$2:$B$50,0))</f>
        <v>17129</v>
      </c>
      <c r="D292" s="791">
        <f>INDEX(база!$D$2:$D$89, MATCH(B297,база!$B$2:$B$50,0))</f>
        <v>3</v>
      </c>
      <c r="E292" s="451">
        <f>IF(D292&lt;=3,база!$I$4,
IF(D292=4,база!$I$5,
IF(D292=5,база!$I$6)))</f>
        <v>188.7912</v>
      </c>
      <c r="F292" s="417">
        <v>1</v>
      </c>
      <c r="G292" s="418">
        <f>SUMIFS(Таблица1[Столбец1],Таблица1[коэф],"1",Таблица1[р/р],"2/4",Таблица1[Ф. И. О.],B297)</f>
        <v>0</v>
      </c>
      <c r="H292" s="402">
        <f t="shared" ref="H292:H302" si="64">ROUND(E292*F292*G292*2,2)</f>
        <v>0</v>
      </c>
      <c r="I292" s="377">
        <f>IF(D292&lt;=3,база!$J$4,
IF(D292=4,база!$J$5,
IF(D292=5,база!$J$6)))</f>
        <v>196.05240000000001</v>
      </c>
      <c r="J292" s="378">
        <v>1</v>
      </c>
      <c r="K292" s="428">
        <f>SUMIFS(Таблица1[Столбец1],Таблица1[коэф],"1",Таблица1[р/р],"2/8",Таблица1[Ф. И. О.],B297)</f>
        <v>0</v>
      </c>
      <c r="L292" s="383">
        <f t="shared" ref="L292:L302" si="65">ROUND(I292*J292*K292*2,2)</f>
        <v>0</v>
      </c>
      <c r="M292" s="452"/>
      <c r="N292" s="453">
        <v>1</v>
      </c>
      <c r="O292" s="453">
        <f>SUMIFS(Data_Tech!$AM$3:$AM$67,Data_Tech!$E$3:$E$67,"1",Data_Tech!$G$3:$G$67,"3/12",Data_Tech!$F$3:$F$67,B297)</f>
        <v>0</v>
      </c>
      <c r="P292" s="453">
        <f>ROUND(M292*N292*O292,2)</f>
        <v>0</v>
      </c>
      <c r="Q292" s="416">
        <f>IF(D292&lt;=3,база!$L$4,
IF(D292=4,база!$L$5,
IF(D292=5,база!$L$6)))</f>
        <v>210.57480000000001</v>
      </c>
      <c r="R292" s="417">
        <v>1</v>
      </c>
      <c r="S292" s="495">
        <f>SUMIFS(Таблица1[Столбец1],Таблица1[коэф],"1",Таблица1[р/р],"3/16",Таблица1[Ф. И. О.],B297)</f>
        <v>0</v>
      </c>
      <c r="T292" s="490">
        <f t="shared" ref="T292:T302" si="66">ROUND(Q292*R292*S292*2,2)</f>
        <v>0</v>
      </c>
      <c r="U292" s="471">
        <f>IF(D292&lt;=3,база!$M$4,
IF(D292=4,база!$M$5,
IF(D292=5,база!$M$6)))</f>
        <v>225.09719999999999</v>
      </c>
      <c r="V292" s="378">
        <v>1</v>
      </c>
      <c r="W292" s="497">
        <f>SUMIFS(Таблица1[Столбец1],Таблица1[коэф],"1",Таблица1[р/р],"3/24",Таблица1[Ф. И. О.],B297)</f>
        <v>0</v>
      </c>
      <c r="X292" s="490">
        <f t="shared" ref="X292:X302" si="67">ROUND(U292*V292*W292*2,2)</f>
        <v>0</v>
      </c>
      <c r="Y292" s="795">
        <f t="shared" ref="Y292" si="68">SUM(G292:G302,K292:K302,O292:O302,S292:S302,W292:W302)</f>
        <v>0</v>
      </c>
      <c r="Z292" s="797">
        <f t="shared" ref="Z292" si="69">IFERROR(SUM(H292:H302,L292:L302,T292:T302,X292:X302),"")</f>
        <v>0</v>
      </c>
      <c r="AA292" s="786"/>
    </row>
    <row r="293" spans="1:29" ht="18.75">
      <c r="A293" s="786"/>
      <c r="B293" s="216"/>
      <c r="C293" s="789"/>
      <c r="D293" s="792"/>
      <c r="E293" s="393">
        <f>IF(D292&lt;=3,база!$I$4,
IF(D292=4,база!$I$5,
IF(D292=5,база!$I$6)))</f>
        <v>188.7912</v>
      </c>
      <c r="F293" s="390">
        <v>1</v>
      </c>
      <c r="G293" s="400">
        <f>SUMIFS(Таблица1[Столбец1],Таблица1[коэф],"1",Таблица1[р/р],"3/4",Таблица1[Ф. И. О.],B297)</f>
        <v>0</v>
      </c>
      <c r="H293" s="392">
        <f t="shared" si="64"/>
        <v>0</v>
      </c>
      <c r="I293" s="389">
        <f>IF(D292&lt;=3,база!$J$4,
IF(D292=4,база!$J$5,
IF(D292=5,база!$J$6)))</f>
        <v>196.05240000000001</v>
      </c>
      <c r="J293" s="390">
        <v>1</v>
      </c>
      <c r="K293" s="434">
        <f>SUMIFS(Таблица1[Столбец1],Таблица1[коэф],"1",Таблица1[р/р],"3/8",Таблица1[Ф. И. О.],B297)</f>
        <v>0</v>
      </c>
      <c r="L293" s="484">
        <f t="shared" si="65"/>
        <v>0</v>
      </c>
      <c r="M293" s="432"/>
      <c r="N293" s="434">
        <v>1</v>
      </c>
      <c r="O293" s="434">
        <f>SUMIFS(Data_Tech!$AM$3:$AM$67,Data_Tech!$E$3:$E$67,"1",Data_Tech!$G$3:$G$67,"4/12",Data_Tech!$F$3:$F$67,B297)</f>
        <v>0</v>
      </c>
      <c r="P293" s="434">
        <f>ROUND(M293*O293,2)</f>
        <v>0</v>
      </c>
      <c r="Q293" s="399">
        <f>база!$L$5</f>
        <v>231.45480000000001</v>
      </c>
      <c r="R293" s="390">
        <v>1</v>
      </c>
      <c r="S293" s="491">
        <f>SUMIFS(Таблица1[Столбец1],Таблица1[коэф],"1",Таблица1[р/р],"4/16",Таблица1[Ф. И. О.],B297)</f>
        <v>0</v>
      </c>
      <c r="T293" s="492">
        <f t="shared" si="66"/>
        <v>0</v>
      </c>
      <c r="U293" s="472">
        <f>база!$M$5</f>
        <v>247.41720000000001</v>
      </c>
      <c r="V293" s="390">
        <v>1</v>
      </c>
      <c r="W293" s="494">
        <f>SUMIFS(Таблица1[Столбец1],Таблица1[коэф],"1",Таблица1[р/р],"4/24",Таблица1[Ф. И. О.],B297)</f>
        <v>0</v>
      </c>
      <c r="X293" s="492">
        <f t="shared" si="67"/>
        <v>0</v>
      </c>
      <c r="Y293" s="795"/>
      <c r="Z293" s="797"/>
      <c r="AA293" s="786"/>
    </row>
    <row r="294" spans="1:29" ht="18.75">
      <c r="A294" s="786"/>
      <c r="B294" s="216"/>
      <c r="C294" s="789"/>
      <c r="D294" s="792"/>
      <c r="E294" s="393"/>
      <c r="F294" s="390"/>
      <c r="G294" s="400"/>
      <c r="H294" s="392">
        <f t="shared" si="64"/>
        <v>0</v>
      </c>
      <c r="I294" s="389"/>
      <c r="J294" s="390"/>
      <c r="K294" s="434"/>
      <c r="L294" s="484">
        <f t="shared" si="65"/>
        <v>0</v>
      </c>
      <c r="M294" s="432"/>
      <c r="N294" s="434"/>
      <c r="O294" s="434"/>
      <c r="P294" s="434"/>
      <c r="Q294" s="399">
        <f>база!$L$6</f>
        <v>261.04640000000001</v>
      </c>
      <c r="R294" s="390">
        <v>1</v>
      </c>
      <c r="S294" s="491">
        <f>SUMIFS(Таблица1[Столбец1],Таблица1[коэф],"1",Таблица1[р/р],"5/16",Таблица1[Ф. И. О.],B297)</f>
        <v>0</v>
      </c>
      <c r="T294" s="492">
        <f t="shared" si="66"/>
        <v>0</v>
      </c>
      <c r="U294" s="472">
        <f>база!$M$6</f>
        <v>279.0496</v>
      </c>
      <c r="V294" s="390">
        <v>1</v>
      </c>
      <c r="W294" s="494">
        <f>SUMIFS(Таблица1[Столбец1],Таблица1[коэф],"1",Таблица1[р/р],"5/24",Таблица1[Ф. И. О.],B297)</f>
        <v>0</v>
      </c>
      <c r="X294" s="492">
        <f t="shared" si="67"/>
        <v>0</v>
      </c>
      <c r="Y294" s="795"/>
      <c r="Z294" s="797"/>
      <c r="AA294" s="786"/>
    </row>
    <row r="295" spans="1:29" ht="18.75">
      <c r="A295" s="786"/>
      <c r="B295" s="216"/>
      <c r="C295" s="789"/>
      <c r="D295" s="792"/>
      <c r="E295" s="393"/>
      <c r="F295" s="390"/>
      <c r="G295" s="400"/>
      <c r="H295" s="392">
        <f t="shared" si="64"/>
        <v>0</v>
      </c>
      <c r="I295" s="389">
        <f>база!$J$5</f>
        <v>215.4924</v>
      </c>
      <c r="J295" s="390">
        <v>1.5</v>
      </c>
      <c r="K295" s="434">
        <f>SUMIFS(Таблица1[Столбец1],Таблица1[коэф],"1,5",Таблица1[р/р],"4/8",Таблица1[Ф. И. О.],B297)</f>
        <v>0</v>
      </c>
      <c r="L295" s="484">
        <f t="shared" si="65"/>
        <v>0</v>
      </c>
      <c r="M295" s="432"/>
      <c r="N295" s="434"/>
      <c r="O295" s="434"/>
      <c r="P295" s="434"/>
      <c r="Q295" s="399">
        <f>IF(D292&lt;=3,база!$L$4,
IF(D292=4,база!$L$5,
IF(D292=5,база!$L$6)))</f>
        <v>210.57480000000001</v>
      </c>
      <c r="R295" s="390">
        <v>1.2</v>
      </c>
      <c r="S295" s="491">
        <f>SUMIFS(Таблица1[Столбец1],Таблица1[коэф],"1,2",Таблица1[р/р],"3/16",Таблица1[Ф. И. О.],B297)</f>
        <v>0</v>
      </c>
      <c r="T295" s="492">
        <f t="shared" si="66"/>
        <v>0</v>
      </c>
      <c r="U295" s="472">
        <f>IF(D292&lt;=3,база!$M$4,
IF(D292=4,база!$M$5,
IF(D292=5,база!$M$6)))</f>
        <v>225.09719999999999</v>
      </c>
      <c r="V295" s="390">
        <v>1.2</v>
      </c>
      <c r="W295" s="494">
        <f>SUMIFS(Таблица1[Столбец1],Таблица1[коэф],"1,2",Таблица1[р/р],"3/24",Таблица1[Ф. И. О.],B297)</f>
        <v>0</v>
      </c>
      <c r="X295" s="492">
        <f t="shared" si="67"/>
        <v>0</v>
      </c>
      <c r="Y295" s="795"/>
      <c r="Z295" s="797"/>
      <c r="AA295" s="786"/>
    </row>
    <row r="296" spans="1:29" ht="18.75">
      <c r="A296" s="786"/>
      <c r="B296" s="216"/>
      <c r="C296" s="789"/>
      <c r="D296" s="792"/>
      <c r="E296" s="393"/>
      <c r="F296" s="390"/>
      <c r="G296" s="400"/>
      <c r="H296" s="392">
        <f t="shared" si="64"/>
        <v>0</v>
      </c>
      <c r="I296" s="389">
        <f>база!$J$6</f>
        <v>243.04319999999998</v>
      </c>
      <c r="J296" s="390">
        <v>1.5</v>
      </c>
      <c r="K296" s="434">
        <f>SUMIFS(Таблица1[Столбец1],Таблица1[коэф],"1,5",Таблица1[р/р],"5/8",Таблица1[Ф. И. О.],B297)</f>
        <v>0</v>
      </c>
      <c r="L296" s="484">
        <f t="shared" si="65"/>
        <v>0</v>
      </c>
      <c r="M296" s="432"/>
      <c r="N296" s="434"/>
      <c r="O296" s="434"/>
      <c r="P296" s="434"/>
      <c r="Q296" s="399">
        <f>база!$L$5</f>
        <v>231.45480000000001</v>
      </c>
      <c r="R296" s="390">
        <v>1.2</v>
      </c>
      <c r="S296" s="491">
        <f>SUMIFS(Таблица1[Столбец1],Таблица1[коэф],"1,2",Таблица1[р/р],"4/16",Таблица1[Ф. И. О.],B297)</f>
        <v>0</v>
      </c>
      <c r="T296" s="492">
        <f t="shared" si="66"/>
        <v>0</v>
      </c>
      <c r="U296" s="472">
        <f>база!$M$5</f>
        <v>247.41720000000001</v>
      </c>
      <c r="V296" s="390">
        <v>1.2</v>
      </c>
      <c r="W296" s="494">
        <f>SUMIFS(Таблица1[Столбец1],Таблица1[коэф],"1,2",Таблица1[р/р],"4/24",Таблица1[Ф. И. О.],B297)</f>
        <v>0</v>
      </c>
      <c r="X296" s="492">
        <f t="shared" si="67"/>
        <v>0</v>
      </c>
      <c r="Y296" s="795"/>
      <c r="Z296" s="797"/>
      <c r="AA296" s="786"/>
    </row>
    <row r="297" spans="1:29" ht="18" customHeight="1">
      <c r="A297" s="786"/>
      <c r="B297" s="216" t="str">
        <f>база!B28</f>
        <v>Зинина Екатерина Олеговна</v>
      </c>
      <c r="C297" s="789"/>
      <c r="D297" s="792"/>
      <c r="E297" s="393"/>
      <c r="F297" s="390"/>
      <c r="G297" s="400"/>
      <c r="H297" s="392">
        <f t="shared" si="64"/>
        <v>0</v>
      </c>
      <c r="I297" s="389"/>
      <c r="J297" s="390"/>
      <c r="K297" s="434"/>
      <c r="L297" s="484">
        <f t="shared" si="65"/>
        <v>0</v>
      </c>
      <c r="M297" s="432"/>
      <c r="N297" s="434"/>
      <c r="O297" s="434"/>
      <c r="P297" s="434"/>
      <c r="Q297" s="399">
        <f>база!$L$6</f>
        <v>261.04640000000001</v>
      </c>
      <c r="R297" s="390">
        <v>1.2</v>
      </c>
      <c r="S297" s="491">
        <f>SUMIFS(Таблица1[Столбец1],Таблица1[коэф],"1,2",Таблица1[р/р],"5/16",Таблица1[Ф. И. О.],B297)</f>
        <v>0</v>
      </c>
      <c r="T297" s="492">
        <f t="shared" si="66"/>
        <v>0</v>
      </c>
      <c r="U297" s="472">
        <f>база!$M$6</f>
        <v>279.0496</v>
      </c>
      <c r="V297" s="390">
        <v>1.2</v>
      </c>
      <c r="W297" s="494">
        <f>SUMIFS(Таблица1[Столбец1],Таблица1[коэф],"1,2",Таблица1[р/р],"5/24",Таблица1[Ф. И. О.],B297)</f>
        <v>0</v>
      </c>
      <c r="X297" s="492">
        <f t="shared" si="67"/>
        <v>0</v>
      </c>
      <c r="Y297" s="795"/>
      <c r="Z297" s="797"/>
      <c r="AA297" s="786"/>
      <c r="AC297" s="727" t="str">
        <f>IF(SUMIFS(Таблица1[Столбец3],Таблица1[Ф. И. О.],B297)-Z292=0,"",SUMIFS(Таблица1[Столбец3],Таблица1[Ф. И. О.],B297)-Z292)</f>
        <v/>
      </c>
    </row>
    <row r="298" spans="1:29" ht="18.75">
      <c r="A298" s="786"/>
      <c r="B298" s="216"/>
      <c r="C298" s="789"/>
      <c r="D298" s="792"/>
      <c r="E298" s="393"/>
      <c r="F298" s="390"/>
      <c r="G298" s="400"/>
      <c r="H298" s="392">
        <f t="shared" si="64"/>
        <v>0</v>
      </c>
      <c r="I298" s="389"/>
      <c r="J298" s="390"/>
      <c r="K298" s="434"/>
      <c r="L298" s="484">
        <f t="shared" si="65"/>
        <v>0</v>
      </c>
      <c r="M298" s="432"/>
      <c r="N298" s="434"/>
      <c r="O298" s="434"/>
      <c r="P298" s="434"/>
      <c r="Q298" s="399">
        <f>IF(D292&lt;=3,база!$L$4,
IF(D292=4,база!$L$5,
IF(D292=5,база!$L$6)))</f>
        <v>210.57480000000001</v>
      </c>
      <c r="R298" s="390">
        <v>1.3</v>
      </c>
      <c r="S298" s="491">
        <f>SUMIFS(Таблица1[Столбец1],Таблица1[коэф],"1,3",Таблица1[р/р],"3/16",Таблица1[Ф. И. О.],B297)</f>
        <v>0</v>
      </c>
      <c r="T298" s="492">
        <f t="shared" si="66"/>
        <v>0</v>
      </c>
      <c r="U298" s="472">
        <f>IF(D292&lt;=3,база!$M$4,
IF(D292=4,база!$M$5,
IF(D292=5,база!$M$6)))</f>
        <v>225.09719999999999</v>
      </c>
      <c r="V298" s="390">
        <v>1.3</v>
      </c>
      <c r="W298" s="494">
        <f>SUMIFS(Таблица1[Столбец1],Таблица1[коэф],"1,3",Таблица1[р/р],"3/24",Таблица1[Ф. И. О.],B297)</f>
        <v>0</v>
      </c>
      <c r="X298" s="492">
        <f t="shared" si="67"/>
        <v>0</v>
      </c>
      <c r="Y298" s="795"/>
      <c r="Z298" s="797"/>
      <c r="AA298" s="786"/>
      <c r="AC298" s="727" t="str">
        <f>IF(SUMIFS(Таблица1[Столбец1],Таблица1[Ф. И. О.],B297)=Y292,"",B297&amp;"  часы не верны")</f>
        <v/>
      </c>
    </row>
    <row r="299" spans="1:29" ht="18.75">
      <c r="A299" s="786"/>
      <c r="B299" s="216"/>
      <c r="C299" s="789"/>
      <c r="D299" s="792"/>
      <c r="E299" s="393"/>
      <c r="F299" s="390"/>
      <c r="G299" s="400"/>
      <c r="H299" s="392">
        <f t="shared" si="64"/>
        <v>0</v>
      </c>
      <c r="I299" s="389"/>
      <c r="J299" s="390"/>
      <c r="K299" s="434"/>
      <c r="L299" s="484">
        <f t="shared" si="65"/>
        <v>0</v>
      </c>
      <c r="M299" s="432"/>
      <c r="N299" s="434"/>
      <c r="O299" s="434"/>
      <c r="P299" s="434"/>
      <c r="Q299" s="399">
        <f>база!$L$5</f>
        <v>231.45480000000001</v>
      </c>
      <c r="R299" s="390">
        <v>1.3</v>
      </c>
      <c r="S299" s="491">
        <f>SUMIFS(Таблица1[Столбец1],Таблица1[коэф],"1,3",Таблица1[р/р],"4/16",Таблица1[Ф. И. О.],B297)</f>
        <v>0</v>
      </c>
      <c r="T299" s="492">
        <f t="shared" si="66"/>
        <v>0</v>
      </c>
      <c r="U299" s="472">
        <f>база!$M$5</f>
        <v>247.41720000000001</v>
      </c>
      <c r="V299" s="390">
        <v>1.3</v>
      </c>
      <c r="W299" s="494">
        <f>SUMIFS(Таблица1[Столбец1],Таблица1[коэф],"1,3",Таблица1[р/р],"4/24",Таблица1[Ф. И. О.],B297)</f>
        <v>0</v>
      </c>
      <c r="X299" s="492">
        <f t="shared" si="67"/>
        <v>0</v>
      </c>
      <c r="Y299" s="795"/>
      <c r="Z299" s="797"/>
      <c r="AA299" s="786"/>
    </row>
    <row r="300" spans="1:29" ht="18.75">
      <c r="A300" s="786"/>
      <c r="B300" s="216"/>
      <c r="C300" s="789"/>
      <c r="D300" s="792"/>
      <c r="E300" s="393"/>
      <c r="F300" s="390"/>
      <c r="G300" s="400"/>
      <c r="H300" s="392">
        <f t="shared" si="64"/>
        <v>0</v>
      </c>
      <c r="I300" s="389"/>
      <c r="J300" s="390"/>
      <c r="K300" s="434"/>
      <c r="L300" s="484">
        <f t="shared" si="65"/>
        <v>0</v>
      </c>
      <c r="M300" s="432"/>
      <c r="N300" s="434"/>
      <c r="O300" s="434"/>
      <c r="P300" s="434"/>
      <c r="Q300" s="399">
        <f>IF(D292&lt;=3,база!$L$4,
IF(D292=4,база!$L$5,
IF(D292=5,база!$L$6)))</f>
        <v>210.57480000000001</v>
      </c>
      <c r="R300" s="390">
        <v>1.4</v>
      </c>
      <c r="S300" s="491">
        <f>SUMIFS(Таблица1[Столбец1],Таблица1[коэф],"1,4",Таблица1[р/р],"3/16",Таблица1[Ф. И. О.],B297)</f>
        <v>0</v>
      </c>
      <c r="T300" s="492">
        <f t="shared" si="66"/>
        <v>0</v>
      </c>
      <c r="U300" s="472">
        <f>IF(D292&lt;=3,база!$M$4,
IF(D292=4,база!$M$5,
IF(D292=5,база!$M$6)))</f>
        <v>225.09719999999999</v>
      </c>
      <c r="V300" s="390">
        <v>1.4</v>
      </c>
      <c r="W300" s="494">
        <f>SUMIFS(Таблица1[Столбец1],Таблица1[коэф],"1,4",Таблица1[р/р],"3/24",Таблица1[Ф. И. О.],B297)</f>
        <v>0</v>
      </c>
      <c r="X300" s="492">
        <f t="shared" si="67"/>
        <v>0</v>
      </c>
      <c r="Y300" s="795"/>
      <c r="Z300" s="797"/>
      <c r="AA300" s="786"/>
    </row>
    <row r="301" spans="1:29" ht="18.75">
      <c r="A301" s="786"/>
      <c r="B301" s="216"/>
      <c r="C301" s="789"/>
      <c r="D301" s="792"/>
      <c r="E301" s="393"/>
      <c r="F301" s="390"/>
      <c r="G301" s="400"/>
      <c r="H301" s="392">
        <f t="shared" si="64"/>
        <v>0</v>
      </c>
      <c r="I301" s="389"/>
      <c r="J301" s="390"/>
      <c r="K301" s="434"/>
      <c r="L301" s="395">
        <f t="shared" si="65"/>
        <v>0</v>
      </c>
      <c r="M301" s="432"/>
      <c r="N301" s="434"/>
      <c r="O301" s="434"/>
      <c r="P301" s="434"/>
      <c r="Q301" s="399">
        <f>база!$L$5</f>
        <v>231.45480000000001</v>
      </c>
      <c r="R301" s="390">
        <v>1.4</v>
      </c>
      <c r="S301" s="491">
        <f>SUMIFS(Таблица1[Столбец1],Таблица1[коэф],"1,4",Таблица1[р/р],"4/16",Таблица1[Ф. И. О.],B297)</f>
        <v>0</v>
      </c>
      <c r="T301" s="492">
        <f t="shared" si="66"/>
        <v>0</v>
      </c>
      <c r="U301" s="472">
        <f>база!$M$5</f>
        <v>247.41720000000001</v>
      </c>
      <c r="V301" s="390">
        <v>1.4</v>
      </c>
      <c r="W301" s="494">
        <f>SUMIFS(Таблица1[Столбец1],Таблица1[коэф],"1,4",Таблица1[р/р],"4/24",Таблица1[Ф. И. О.],B297)</f>
        <v>0</v>
      </c>
      <c r="X301" s="492">
        <f t="shared" si="67"/>
        <v>0</v>
      </c>
      <c r="Y301" s="795"/>
      <c r="Z301" s="797"/>
      <c r="AA301" s="786"/>
    </row>
    <row r="302" spans="1:29" ht="19.5" thickBot="1">
      <c r="A302" s="787"/>
      <c r="B302" s="203"/>
      <c r="C302" s="790"/>
      <c r="D302" s="793"/>
      <c r="E302" s="463"/>
      <c r="F302" s="464"/>
      <c r="G302" s="465"/>
      <c r="H302" s="468">
        <f t="shared" si="64"/>
        <v>0</v>
      </c>
      <c r="I302" s="473"/>
      <c r="J302" s="464"/>
      <c r="K302" s="457"/>
      <c r="L302" s="458">
        <f t="shared" si="65"/>
        <v>0</v>
      </c>
      <c r="M302" s="466"/>
      <c r="N302" s="457"/>
      <c r="O302" s="457"/>
      <c r="P302" s="457"/>
      <c r="Q302" s="467">
        <f>база!$L$6</f>
        <v>261.04640000000001</v>
      </c>
      <c r="R302" s="464">
        <v>1.4</v>
      </c>
      <c r="S302" s="512">
        <f>SUMIFS(Таблица1[Столбец1],Таблица1[коэф],"1,4",Таблица1[р/р],"5/16",Таблица1[Ф. И. О.],B297)</f>
        <v>0</v>
      </c>
      <c r="T302" s="513">
        <f t="shared" si="66"/>
        <v>0</v>
      </c>
      <c r="U302" s="474">
        <f>база!$M$6</f>
        <v>279.0496</v>
      </c>
      <c r="V302" s="464">
        <v>1.4</v>
      </c>
      <c r="W302" s="501">
        <f>SUMIFS(Таблица1[Столбец1],Таблица1[коэф],"1,4",Таблица1[р/р],"5/24",Таблица1[Ф. И. О.],B297)</f>
        <v>0</v>
      </c>
      <c r="X302" s="513">
        <f t="shared" si="67"/>
        <v>0</v>
      </c>
      <c r="Y302" s="796"/>
      <c r="Z302" s="798"/>
      <c r="AA302" s="787"/>
    </row>
    <row r="303" spans="1:29" ht="18.75" collapsed="1">
      <c r="A303" s="785">
        <v>28</v>
      </c>
      <c r="B303" s="236"/>
      <c r="C303" s="788">
        <f>INDEX(база!$E$2:$E$81, MATCH(B308,база!$B$2:$B$50,0))</f>
        <v>13676</v>
      </c>
      <c r="D303" s="791">
        <f>INDEX(база!$D$2:$D$89, MATCH(B308,база!$B$2:$B$50,0))</f>
        <v>4</v>
      </c>
      <c r="E303" s="451">
        <f>IF(D303&lt;=3,база!$I$4,
IF(D303=4,база!$I$5,
IF(D303=5,база!$I$6)))</f>
        <v>207.5112</v>
      </c>
      <c r="F303" s="417">
        <v>1</v>
      </c>
      <c r="G303" s="418">
        <f>SUMIFS(Таблица1[Столбец1],Таблица1[коэф],"1",Таблица1[р/р],"2/4",Таблица1[Ф. И. О.],B308)</f>
        <v>0</v>
      </c>
      <c r="H303" s="402">
        <f t="shared" ref="H303:H313" si="70">ROUND(E303*F303*G303*2,2)</f>
        <v>0</v>
      </c>
      <c r="I303" s="377">
        <f>IF(D303&lt;=3,база!$J$4,
IF(D303=4,база!$J$5,
IF(D303=5,база!$J$6)))</f>
        <v>215.4924</v>
      </c>
      <c r="J303" s="378">
        <v>1</v>
      </c>
      <c r="K303" s="428">
        <f>SUMIFS(Таблица1[Столбец1],Таблица1[коэф],"1",Таблица1[р/р],"2/8",Таблица1[Ф. И. О.],B308)</f>
        <v>0</v>
      </c>
      <c r="L303" s="383">
        <f t="shared" ref="L303:L313" si="71">ROUND(I303*J303*K303*2,2)</f>
        <v>0</v>
      </c>
      <c r="M303" s="452"/>
      <c r="N303" s="453">
        <v>1</v>
      </c>
      <c r="O303" s="453">
        <f>SUMIFS(Data_Tech!$AM$3:$AM$67,Data_Tech!$E$3:$E$67,"1",Data_Tech!$G$3:$G$67,"3/12",Data_Tech!$F$3:$F$67,B308)</f>
        <v>0</v>
      </c>
      <c r="P303" s="453">
        <f>ROUND(M303*N303*O303,2)</f>
        <v>0</v>
      </c>
      <c r="Q303" s="416">
        <f>IF(D303&lt;=3,база!$L$4,
IF(D303=4,база!$L$5,
IF(D303=5,база!$L$6)))</f>
        <v>231.45480000000001</v>
      </c>
      <c r="R303" s="417">
        <v>1</v>
      </c>
      <c r="S303" s="495">
        <f>SUMIFS(Таблица1[Столбец1],Таблица1[коэф],"1",Таблица1[р/р],"3/16",Таблица1[Ф. И. О.],B308)</f>
        <v>0</v>
      </c>
      <c r="T303" s="490">
        <f t="shared" ref="T303:T313" si="72">ROUND(Q303*R303*S303*2,2)</f>
        <v>0</v>
      </c>
      <c r="U303" s="471">
        <f>IF(D303&lt;=3,база!$M$4,
IF(D303=4,база!$M$5,
IF(D303=5,база!$M$6)))</f>
        <v>247.41720000000001</v>
      </c>
      <c r="V303" s="378">
        <v>1</v>
      </c>
      <c r="W303" s="497">
        <f>SUMIFS(Таблица1[Столбец1],Таблица1[коэф],"1",Таблица1[р/р],"3/24",Таблица1[Ф. И. О.],B308)</f>
        <v>0</v>
      </c>
      <c r="X303" s="490">
        <f t="shared" ref="X303:X313" si="73">ROUND(U303*V303*W303*2,2)</f>
        <v>0</v>
      </c>
      <c r="Y303" s="795">
        <f t="shared" ref="Y303" si="74">SUM(G303:G313,K303:K313,O303:O313,S303:S313,W303:W313)</f>
        <v>0</v>
      </c>
      <c r="Z303" s="797">
        <f t="shared" ref="Z303" si="75">IFERROR(SUM(H303:H313,L303:L313,T303:T313,X303:X313),"")</f>
        <v>0</v>
      </c>
      <c r="AA303" s="786"/>
    </row>
    <row r="304" spans="1:29" ht="18.75">
      <c r="A304" s="786"/>
      <c r="B304" s="216"/>
      <c r="C304" s="789"/>
      <c r="D304" s="792"/>
      <c r="E304" s="393">
        <f>IF(D303&lt;=3,база!$I$4,
IF(D303=4,база!$I$5,
IF(D303=5,база!$I$6)))</f>
        <v>207.5112</v>
      </c>
      <c r="F304" s="390">
        <v>1</v>
      </c>
      <c r="G304" s="400">
        <f>SUMIFS(Таблица1[Столбец1],Таблица1[коэф],"1",Таблица1[р/р],"3/4",Таблица1[Ф. И. О.],B308)</f>
        <v>0</v>
      </c>
      <c r="H304" s="392">
        <f t="shared" si="70"/>
        <v>0</v>
      </c>
      <c r="I304" s="389">
        <f>IF(D303&lt;=3,база!$J$4,
IF(D303=4,база!$J$5,
IF(D303=5,база!$J$6)))</f>
        <v>215.4924</v>
      </c>
      <c r="J304" s="390">
        <v>1</v>
      </c>
      <c r="K304" s="434">
        <f>SUMIFS(Таблица1[Столбец1],Таблица1[коэф],"1",Таблица1[р/р],"3/8",Таблица1[Ф. И. О.],B308)</f>
        <v>0</v>
      </c>
      <c r="L304" s="484">
        <f t="shared" si="71"/>
        <v>0</v>
      </c>
      <c r="M304" s="432"/>
      <c r="N304" s="434">
        <v>1</v>
      </c>
      <c r="O304" s="434">
        <f>SUMIFS(Data_Tech!$AM$3:$AM$67,Data_Tech!$E$3:$E$67,"1",Data_Tech!$G$3:$G$67,"4/12",Data_Tech!$F$3:$F$67,B308)</f>
        <v>0</v>
      </c>
      <c r="P304" s="434">
        <f>ROUND(M304*O304,2)</f>
        <v>0</v>
      </c>
      <c r="Q304" s="399">
        <f>база!$L$5</f>
        <v>231.45480000000001</v>
      </c>
      <c r="R304" s="390">
        <v>1</v>
      </c>
      <c r="S304" s="491">
        <f>SUMIFS(Таблица1[Столбец1],Таблица1[коэф],"1",Таблица1[р/р],"4/16",Таблица1[Ф. И. О.],B308)</f>
        <v>0</v>
      </c>
      <c r="T304" s="492">
        <f t="shared" si="72"/>
        <v>0</v>
      </c>
      <c r="U304" s="472">
        <f>база!$M$5</f>
        <v>247.41720000000001</v>
      </c>
      <c r="V304" s="390">
        <v>1</v>
      </c>
      <c r="W304" s="494">
        <f>SUMIFS(Таблица1[Столбец1],Таблица1[коэф],"1",Таблица1[р/р],"4/24",Таблица1[Ф. И. О.],B308)</f>
        <v>0</v>
      </c>
      <c r="X304" s="492">
        <f t="shared" si="73"/>
        <v>0</v>
      </c>
      <c r="Y304" s="795"/>
      <c r="Z304" s="797"/>
      <c r="AA304" s="786"/>
    </row>
    <row r="305" spans="1:29" ht="18.75">
      <c r="A305" s="786"/>
      <c r="B305" s="216"/>
      <c r="C305" s="789"/>
      <c r="D305" s="792"/>
      <c r="E305" s="393"/>
      <c r="F305" s="390"/>
      <c r="G305" s="400"/>
      <c r="H305" s="392">
        <f t="shared" si="70"/>
        <v>0</v>
      </c>
      <c r="I305" s="389"/>
      <c r="J305" s="390"/>
      <c r="K305" s="434"/>
      <c r="L305" s="484">
        <f t="shared" si="71"/>
        <v>0</v>
      </c>
      <c r="M305" s="432"/>
      <c r="N305" s="434"/>
      <c r="O305" s="434"/>
      <c r="P305" s="434"/>
      <c r="Q305" s="399">
        <f>база!$L$6</f>
        <v>261.04640000000001</v>
      </c>
      <c r="R305" s="390">
        <v>1</v>
      </c>
      <c r="S305" s="491">
        <f>SUMIFS(Таблица1[Столбец1],Таблица1[коэф],"1",Таблица1[р/р],"5/16",Таблица1[Ф. И. О.],B308)</f>
        <v>0</v>
      </c>
      <c r="T305" s="492">
        <f t="shared" si="72"/>
        <v>0</v>
      </c>
      <c r="U305" s="472">
        <f>база!$M$6</f>
        <v>279.0496</v>
      </c>
      <c r="V305" s="390">
        <v>1</v>
      </c>
      <c r="W305" s="494">
        <f>SUMIFS(Таблица1[Столбец1],Таблица1[коэф],"1",Таблица1[р/р],"5/24",Таблица1[Ф. И. О.],B308)</f>
        <v>0</v>
      </c>
      <c r="X305" s="492">
        <f t="shared" si="73"/>
        <v>0</v>
      </c>
      <c r="Y305" s="795"/>
      <c r="Z305" s="797"/>
      <c r="AA305" s="786"/>
    </row>
    <row r="306" spans="1:29" ht="18.75">
      <c r="A306" s="786"/>
      <c r="B306" s="216"/>
      <c r="C306" s="789"/>
      <c r="D306" s="792"/>
      <c r="E306" s="393"/>
      <c r="F306" s="390"/>
      <c r="G306" s="400"/>
      <c r="H306" s="392">
        <f t="shared" si="70"/>
        <v>0</v>
      </c>
      <c r="I306" s="389">
        <f>база!$J$5</f>
        <v>215.4924</v>
      </c>
      <c r="J306" s="390">
        <v>1.5</v>
      </c>
      <c r="K306" s="434">
        <f>SUMIFS(Таблица1[Столбец1],Таблица1[коэф],"1,5",Таблица1[р/р],"4/8",Таблица1[Ф. И. О.],B308)</f>
        <v>0</v>
      </c>
      <c r="L306" s="484">
        <f t="shared" si="71"/>
        <v>0</v>
      </c>
      <c r="M306" s="432"/>
      <c r="N306" s="434"/>
      <c r="O306" s="434"/>
      <c r="P306" s="434"/>
      <c r="Q306" s="399">
        <f>IF(D303&lt;=3,база!$L$4,
IF(D303=4,база!$L$5,
IF(D303=5,база!$L$6)))</f>
        <v>231.45480000000001</v>
      </c>
      <c r="R306" s="390">
        <v>1.2</v>
      </c>
      <c r="S306" s="491">
        <f>SUMIFS(Таблица1[Столбец1],Таблица1[коэф],"1,2",Таблица1[р/р],"3/16",Таблица1[Ф. И. О.],B308)</f>
        <v>0</v>
      </c>
      <c r="T306" s="492">
        <f t="shared" si="72"/>
        <v>0</v>
      </c>
      <c r="U306" s="472">
        <f>IF(D303&lt;=3,база!$M$4,
IF(D303=4,база!$M$5,
IF(D303=5,база!$M$6)))</f>
        <v>247.41720000000001</v>
      </c>
      <c r="V306" s="390">
        <v>1.2</v>
      </c>
      <c r="W306" s="494">
        <f>SUMIFS(Таблица1[Столбец1],Таблица1[коэф],"1,2",Таблица1[р/р],"3/24",Таблица1[Ф. И. О.],B308)</f>
        <v>0</v>
      </c>
      <c r="X306" s="492">
        <f t="shared" si="73"/>
        <v>0</v>
      </c>
      <c r="Y306" s="795"/>
      <c r="Z306" s="797"/>
      <c r="AA306" s="786"/>
    </row>
    <row r="307" spans="1:29" ht="18.75">
      <c r="A307" s="786"/>
      <c r="B307" s="216"/>
      <c r="C307" s="789"/>
      <c r="D307" s="792"/>
      <c r="E307" s="393"/>
      <c r="F307" s="390"/>
      <c r="G307" s="400"/>
      <c r="H307" s="392">
        <f t="shared" si="70"/>
        <v>0</v>
      </c>
      <c r="I307" s="389">
        <f>база!$J$6</f>
        <v>243.04319999999998</v>
      </c>
      <c r="J307" s="390">
        <v>1.5</v>
      </c>
      <c r="K307" s="434">
        <f>SUMIFS(Таблица1[Столбец1],Таблица1[коэф],"1,5",Таблица1[р/р],"5/8",Таблица1[Ф. И. О.],B308)</f>
        <v>0</v>
      </c>
      <c r="L307" s="484">
        <f t="shared" si="71"/>
        <v>0</v>
      </c>
      <c r="M307" s="432"/>
      <c r="N307" s="434"/>
      <c r="O307" s="434"/>
      <c r="P307" s="434"/>
      <c r="Q307" s="399">
        <f>база!$L$5</f>
        <v>231.45480000000001</v>
      </c>
      <c r="R307" s="390">
        <v>1.2</v>
      </c>
      <c r="S307" s="491">
        <f>SUMIFS(Таблица1[Столбец1],Таблица1[коэф],"1,2",Таблица1[р/р],"4/16",Таблица1[Ф. И. О.],B308)</f>
        <v>0</v>
      </c>
      <c r="T307" s="492">
        <f t="shared" si="72"/>
        <v>0</v>
      </c>
      <c r="U307" s="472">
        <f>база!$M$5</f>
        <v>247.41720000000001</v>
      </c>
      <c r="V307" s="390">
        <v>1.2</v>
      </c>
      <c r="W307" s="494">
        <f>SUMIFS(Таблица1[Столбец1],Таблица1[коэф],"1,2",Таблица1[р/р],"4/24",Таблица1[Ф. И. О.],B308)</f>
        <v>0</v>
      </c>
      <c r="X307" s="492">
        <f t="shared" si="73"/>
        <v>0</v>
      </c>
      <c r="Y307" s="795"/>
      <c r="Z307" s="797"/>
      <c r="AA307" s="786"/>
    </row>
    <row r="308" spans="1:29" ht="18" customHeight="1">
      <c r="A308" s="786"/>
      <c r="B308" s="216" t="str">
        <f>база!B29</f>
        <v>Зоидзе Ирина Сергеевна</v>
      </c>
      <c r="C308" s="789"/>
      <c r="D308" s="792"/>
      <c r="E308" s="393"/>
      <c r="F308" s="390"/>
      <c r="G308" s="400"/>
      <c r="H308" s="392">
        <f t="shared" si="70"/>
        <v>0</v>
      </c>
      <c r="I308" s="389"/>
      <c r="J308" s="390"/>
      <c r="K308" s="434"/>
      <c r="L308" s="484">
        <f t="shared" si="71"/>
        <v>0</v>
      </c>
      <c r="M308" s="432"/>
      <c r="N308" s="434"/>
      <c r="O308" s="434"/>
      <c r="P308" s="434"/>
      <c r="Q308" s="399">
        <f>база!$L$6</f>
        <v>261.04640000000001</v>
      </c>
      <c r="R308" s="390">
        <v>1.2</v>
      </c>
      <c r="S308" s="491">
        <f>SUMIFS(Таблица1[Столбец1],Таблица1[коэф],"1,2",Таблица1[р/р],"5/16",Таблица1[Ф. И. О.],B308)</f>
        <v>0</v>
      </c>
      <c r="T308" s="492">
        <f t="shared" si="72"/>
        <v>0</v>
      </c>
      <c r="U308" s="472">
        <f>база!$M$6</f>
        <v>279.0496</v>
      </c>
      <c r="V308" s="390">
        <v>1.2</v>
      </c>
      <c r="W308" s="494">
        <f>SUMIFS(Таблица1[Столбец1],Таблица1[коэф],"1,2",Таблица1[р/р],"5/24",Таблица1[Ф. И. О.],B308)</f>
        <v>0</v>
      </c>
      <c r="X308" s="492">
        <f t="shared" si="73"/>
        <v>0</v>
      </c>
      <c r="Y308" s="795"/>
      <c r="Z308" s="797"/>
      <c r="AA308" s="786"/>
      <c r="AC308" s="727" t="str">
        <f>IF(SUMIFS(Таблица1[Столбец3],Таблица1[Ф. И. О.],B308)-Z303=0,"",SUMIFS(Таблица1[Столбец3],Таблица1[Ф. И. О.],B308)-Z303)</f>
        <v/>
      </c>
    </row>
    <row r="309" spans="1:29" ht="18.75">
      <c r="A309" s="786"/>
      <c r="B309" s="216"/>
      <c r="C309" s="789"/>
      <c r="D309" s="792"/>
      <c r="E309" s="393"/>
      <c r="F309" s="390"/>
      <c r="G309" s="400"/>
      <c r="H309" s="392">
        <f t="shared" si="70"/>
        <v>0</v>
      </c>
      <c r="I309" s="389"/>
      <c r="J309" s="390"/>
      <c r="K309" s="434"/>
      <c r="L309" s="484">
        <f t="shared" si="71"/>
        <v>0</v>
      </c>
      <c r="M309" s="432"/>
      <c r="N309" s="434"/>
      <c r="O309" s="434"/>
      <c r="P309" s="434"/>
      <c r="Q309" s="399">
        <f>IF(D303&lt;=3,база!$L$4,
IF(D303=4,база!$L$5,
IF(D303=5,база!$L$6)))</f>
        <v>231.45480000000001</v>
      </c>
      <c r="R309" s="390">
        <v>1.3</v>
      </c>
      <c r="S309" s="491">
        <f>SUMIFS(Таблица1[Столбец1],Таблица1[коэф],"1,3",Таблица1[р/р],"3/16",Таблица1[Ф. И. О.],B308)</f>
        <v>0</v>
      </c>
      <c r="T309" s="492">
        <f t="shared" si="72"/>
        <v>0</v>
      </c>
      <c r="U309" s="472">
        <f>IF(D303&lt;=3,база!$M$4,
IF(D303=4,база!$M$5,
IF(D303=5,база!$M$6)))</f>
        <v>247.41720000000001</v>
      </c>
      <c r="V309" s="390">
        <v>1.3</v>
      </c>
      <c r="W309" s="494">
        <f>SUMIFS(Таблица1[Столбец1],Таблица1[коэф],"1,3",Таблица1[р/р],"3/24",Таблица1[Ф. И. О.],B308)</f>
        <v>0</v>
      </c>
      <c r="X309" s="492">
        <f t="shared" si="73"/>
        <v>0</v>
      </c>
      <c r="Y309" s="795"/>
      <c r="Z309" s="797"/>
      <c r="AA309" s="786"/>
      <c r="AC309" s="727" t="str">
        <f>IF(SUMIFS(Таблица1[Столбец1],Таблица1[Ф. И. О.],B308)=Y303,"",B308&amp;"  часы не верны")</f>
        <v/>
      </c>
    </row>
    <row r="310" spans="1:29" ht="18.75">
      <c r="A310" s="786"/>
      <c r="B310" s="216"/>
      <c r="C310" s="789"/>
      <c r="D310" s="792"/>
      <c r="E310" s="393"/>
      <c r="F310" s="390"/>
      <c r="G310" s="400"/>
      <c r="H310" s="392">
        <f t="shared" si="70"/>
        <v>0</v>
      </c>
      <c r="I310" s="389"/>
      <c r="J310" s="390"/>
      <c r="K310" s="434"/>
      <c r="L310" s="484">
        <f t="shared" si="71"/>
        <v>0</v>
      </c>
      <c r="M310" s="432"/>
      <c r="N310" s="434"/>
      <c r="O310" s="434"/>
      <c r="P310" s="434"/>
      <c r="Q310" s="399">
        <f>база!$L$5</f>
        <v>231.45480000000001</v>
      </c>
      <c r="R310" s="390">
        <v>1.3</v>
      </c>
      <c r="S310" s="491">
        <f>SUMIFS(Таблица1[Столбец1],Таблица1[коэф],"1,3",Таблица1[р/р],"4/16",Таблица1[Ф. И. О.],B308)</f>
        <v>0</v>
      </c>
      <c r="T310" s="492">
        <f t="shared" si="72"/>
        <v>0</v>
      </c>
      <c r="U310" s="472">
        <f>база!$M$5</f>
        <v>247.41720000000001</v>
      </c>
      <c r="V310" s="390">
        <v>1.3</v>
      </c>
      <c r="W310" s="494">
        <f>SUMIFS(Таблица1[Столбец1],Таблица1[коэф],"1,3",Таблица1[р/р],"4/24",Таблица1[Ф. И. О.],B308)</f>
        <v>0</v>
      </c>
      <c r="X310" s="492">
        <f t="shared" si="73"/>
        <v>0</v>
      </c>
      <c r="Y310" s="795"/>
      <c r="Z310" s="797"/>
      <c r="AA310" s="786"/>
    </row>
    <row r="311" spans="1:29" ht="18.75">
      <c r="A311" s="786"/>
      <c r="B311" s="216"/>
      <c r="C311" s="789"/>
      <c r="D311" s="792"/>
      <c r="E311" s="393"/>
      <c r="F311" s="390"/>
      <c r="G311" s="400"/>
      <c r="H311" s="392">
        <f t="shared" si="70"/>
        <v>0</v>
      </c>
      <c r="I311" s="389"/>
      <c r="J311" s="390"/>
      <c r="K311" s="434"/>
      <c r="L311" s="484">
        <f t="shared" si="71"/>
        <v>0</v>
      </c>
      <c r="M311" s="432"/>
      <c r="N311" s="434"/>
      <c r="O311" s="434"/>
      <c r="P311" s="434"/>
      <c r="Q311" s="399">
        <f>IF(D303&lt;=3,база!$L$4,
IF(D303=4,база!$L$5,
IF(D303=5,база!$L$6)))</f>
        <v>231.45480000000001</v>
      </c>
      <c r="R311" s="390">
        <v>1.4</v>
      </c>
      <c r="S311" s="491">
        <f>SUMIFS(Таблица1[Столбец1],Таблица1[коэф],"1,4",Таблица1[р/р],"3/16",Таблица1[Ф. И. О.],B308)</f>
        <v>0</v>
      </c>
      <c r="T311" s="492">
        <f t="shared" si="72"/>
        <v>0</v>
      </c>
      <c r="U311" s="472">
        <f>IF(D303&lt;=3,база!$M$4,
IF(D303=4,база!$M$5,
IF(D303=5,база!$M$6)))</f>
        <v>247.41720000000001</v>
      </c>
      <c r="V311" s="390">
        <v>1.4</v>
      </c>
      <c r="W311" s="494">
        <f>SUMIFS(Таблица1[Столбец1],Таблица1[коэф],"1,4",Таблица1[р/р],"3/24",Таблица1[Ф. И. О.],B308)</f>
        <v>0</v>
      </c>
      <c r="X311" s="492">
        <f t="shared" si="73"/>
        <v>0</v>
      </c>
      <c r="Y311" s="795"/>
      <c r="Z311" s="797"/>
      <c r="AA311" s="786"/>
    </row>
    <row r="312" spans="1:29" ht="18.75">
      <c r="A312" s="786"/>
      <c r="B312" s="216"/>
      <c r="C312" s="789"/>
      <c r="D312" s="792"/>
      <c r="E312" s="393"/>
      <c r="F312" s="390"/>
      <c r="G312" s="400"/>
      <c r="H312" s="392">
        <f t="shared" si="70"/>
        <v>0</v>
      </c>
      <c r="I312" s="389"/>
      <c r="J312" s="390"/>
      <c r="K312" s="434"/>
      <c r="L312" s="395">
        <f t="shared" si="71"/>
        <v>0</v>
      </c>
      <c r="M312" s="432"/>
      <c r="N312" s="434"/>
      <c r="O312" s="434"/>
      <c r="P312" s="434"/>
      <c r="Q312" s="399">
        <f>база!$L$5</f>
        <v>231.45480000000001</v>
      </c>
      <c r="R312" s="390">
        <v>1.4</v>
      </c>
      <c r="S312" s="491">
        <f>SUMIFS(Таблица1[Столбец1],Таблица1[коэф],"1,4",Таблица1[р/р],"4/16",Таблица1[Ф. И. О.],B308)</f>
        <v>0</v>
      </c>
      <c r="T312" s="492">
        <f t="shared" si="72"/>
        <v>0</v>
      </c>
      <c r="U312" s="472">
        <f>база!$M$5</f>
        <v>247.41720000000001</v>
      </c>
      <c r="V312" s="390">
        <v>1.4</v>
      </c>
      <c r="W312" s="494">
        <f>SUMIFS(Таблица1[Столбец1],Таблица1[коэф],"1,4",Таблица1[р/р],"4/24",Таблица1[Ф. И. О.],B308)</f>
        <v>0</v>
      </c>
      <c r="X312" s="492">
        <f t="shared" si="73"/>
        <v>0</v>
      </c>
      <c r="Y312" s="795"/>
      <c r="Z312" s="797"/>
      <c r="AA312" s="786"/>
    </row>
    <row r="313" spans="1:29" ht="19.5" thickBot="1">
      <c r="A313" s="787"/>
      <c r="B313" s="203"/>
      <c r="C313" s="790"/>
      <c r="D313" s="793"/>
      <c r="E313" s="463"/>
      <c r="F313" s="464"/>
      <c r="G313" s="465"/>
      <c r="H313" s="468">
        <f t="shared" si="70"/>
        <v>0</v>
      </c>
      <c r="I313" s="473"/>
      <c r="J313" s="464"/>
      <c r="K313" s="457"/>
      <c r="L313" s="458">
        <f t="shared" si="71"/>
        <v>0</v>
      </c>
      <c r="M313" s="466"/>
      <c r="N313" s="457"/>
      <c r="O313" s="457"/>
      <c r="P313" s="457"/>
      <c r="Q313" s="467">
        <f>база!$L$6</f>
        <v>261.04640000000001</v>
      </c>
      <c r="R313" s="464">
        <v>1.4</v>
      </c>
      <c r="S313" s="512">
        <f>SUMIFS(Таблица1[Столбец1],Таблица1[коэф],"1,4",Таблица1[р/р],"5/16",Таблица1[Ф. И. О.],B308)</f>
        <v>0</v>
      </c>
      <c r="T313" s="513">
        <f t="shared" si="72"/>
        <v>0</v>
      </c>
      <c r="U313" s="474">
        <f>база!$M$6</f>
        <v>279.0496</v>
      </c>
      <c r="V313" s="464">
        <v>1.4</v>
      </c>
      <c r="W313" s="501">
        <f>SUMIFS(Таблица1[Столбец1],Таблица1[коэф],"1,4",Таблица1[р/р],"5/24",Таблица1[Ф. И. О.],B308)</f>
        <v>0</v>
      </c>
      <c r="X313" s="513">
        <f t="shared" si="73"/>
        <v>0</v>
      </c>
      <c r="Y313" s="796"/>
      <c r="Z313" s="798"/>
      <c r="AA313" s="787"/>
    </row>
    <row r="314" spans="1:29" ht="18.75" collapsed="1">
      <c r="A314" s="785">
        <v>29</v>
      </c>
      <c r="B314" s="236"/>
      <c r="C314" s="788">
        <f>INDEX(база!$E$2:$E$81, MATCH(B319,база!$B$2:$B$50,0))</f>
        <v>17122</v>
      </c>
      <c r="D314" s="791">
        <f>INDEX(база!$D$2:$D$89, MATCH(B319,база!$B$2:$B$50,0))</f>
        <v>3</v>
      </c>
      <c r="E314" s="451">
        <f>IF(D314&lt;=3,база!$I$4,
IF(D314=4,база!$I$5,
IF(D314=5,база!$I$6)))</f>
        <v>188.7912</v>
      </c>
      <c r="F314" s="417">
        <v>1</v>
      </c>
      <c r="G314" s="418">
        <f>SUMIFS(Таблица1[Столбец1],Таблица1[коэф],"1",Таблица1[р/р],"2/4",Таблица1[Ф. И. О.],B319)</f>
        <v>0</v>
      </c>
      <c r="H314" s="402">
        <f t="shared" ref="H314:H324" si="76">ROUND(E314*F314*G314*2,2)</f>
        <v>0</v>
      </c>
      <c r="I314" s="377">
        <f>IF(D314&lt;=3,база!$J$4,
IF(D314=4,база!$J$5,
IF(D314=5,база!$J$6)))</f>
        <v>196.05240000000001</v>
      </c>
      <c r="J314" s="378">
        <v>1</v>
      </c>
      <c r="K314" s="428">
        <f>SUMIFS(Таблица1[Столбец1],Таблица1[коэф],"1",Таблица1[р/р],"2/8",Таблица1[Ф. И. О.],B319)</f>
        <v>0</v>
      </c>
      <c r="L314" s="383">
        <f t="shared" ref="L314:L324" si="77">ROUND(I314*J314*K314*2,2)</f>
        <v>0</v>
      </c>
      <c r="M314" s="452"/>
      <c r="N314" s="453">
        <v>1</v>
      </c>
      <c r="O314" s="453">
        <f>SUMIFS(Data_Tech!$AM$3:$AM$67,Data_Tech!$E$3:$E$67,"1",Data_Tech!$G$3:$G$67,"3/12",Data_Tech!$F$3:$F$67,B319)</f>
        <v>0</v>
      </c>
      <c r="P314" s="453">
        <f>ROUND(M314*N314*O314,2)</f>
        <v>0</v>
      </c>
      <c r="Q314" s="416">
        <f>IF(D314&lt;=3,база!$L$4,
IF(D314=4,база!$L$5,
IF(D314=5,база!$L$6)))</f>
        <v>210.57480000000001</v>
      </c>
      <c r="R314" s="417">
        <v>1</v>
      </c>
      <c r="S314" s="495">
        <f>SUMIFS(Таблица1[Столбец1],Таблица1[коэф],"1",Таблица1[р/р],"3/16",Таблица1[Ф. И. О.],B319)</f>
        <v>0</v>
      </c>
      <c r="T314" s="490">
        <f t="shared" ref="T314:T324" si="78">ROUND(Q314*R314*S314*2,2)</f>
        <v>0</v>
      </c>
      <c r="U314" s="471">
        <f>IF(D314&lt;=3,база!$M$4,
IF(D314=4,база!$M$5,
IF(D314=5,база!$M$6)))</f>
        <v>225.09719999999999</v>
      </c>
      <c r="V314" s="378">
        <v>1</v>
      </c>
      <c r="W314" s="497">
        <f>SUMIFS(Таблица1[Столбец1],Таблица1[коэф],"1",Таблица1[р/р],"3/24",Таблица1[Ф. И. О.],B319)</f>
        <v>0</v>
      </c>
      <c r="X314" s="490">
        <f t="shared" ref="X314:X324" si="79">ROUND(U314*V314*W314*2,2)</f>
        <v>0</v>
      </c>
      <c r="Y314" s="795">
        <f t="shared" ref="Y314" si="80">SUM(G314:G324,K314:K324,O314:O324,S314:S324,W314:W324)</f>
        <v>0</v>
      </c>
      <c r="Z314" s="797">
        <f t="shared" ref="Z314" si="81">IFERROR(SUM(H314:H324,L314:L324,T314:T324,X314:X324),"")</f>
        <v>0</v>
      </c>
      <c r="AA314" s="786"/>
    </row>
    <row r="315" spans="1:29" ht="18.75">
      <c r="A315" s="786"/>
      <c r="B315" s="216"/>
      <c r="C315" s="789"/>
      <c r="D315" s="792"/>
      <c r="E315" s="393">
        <f>IF(D314&lt;=3,база!$I$4,
IF(D314=4,база!$I$5,
IF(D314=5,база!$I$6)))</f>
        <v>188.7912</v>
      </c>
      <c r="F315" s="390">
        <v>1</v>
      </c>
      <c r="G315" s="400">
        <f>SUMIFS(Таблица1[Столбец1],Таблица1[коэф],"1",Таблица1[р/р],"3/4",Таблица1[Ф. И. О.],B319)</f>
        <v>0</v>
      </c>
      <c r="H315" s="392">
        <f t="shared" si="76"/>
        <v>0</v>
      </c>
      <c r="I315" s="389">
        <f>IF(D314&lt;=3,база!$J$4,
IF(D314=4,база!$J$5,
IF(D314=5,база!$J$6)))</f>
        <v>196.05240000000001</v>
      </c>
      <c r="J315" s="390">
        <v>1</v>
      </c>
      <c r="K315" s="434">
        <f>SUMIFS(Таблица1[Столбец1],Таблица1[коэф],"1",Таблица1[р/р],"3/8",Таблица1[Ф. И. О.],B319)</f>
        <v>0</v>
      </c>
      <c r="L315" s="484">
        <f t="shared" si="77"/>
        <v>0</v>
      </c>
      <c r="M315" s="432"/>
      <c r="N315" s="434">
        <v>1</v>
      </c>
      <c r="O315" s="434">
        <f>SUMIFS(Data_Tech!$AM$3:$AM$67,Data_Tech!$E$3:$E$67,"1",Data_Tech!$G$3:$G$67,"4/12",Data_Tech!$F$3:$F$67,B319)</f>
        <v>0</v>
      </c>
      <c r="P315" s="434">
        <f>ROUND(M315*O315,2)</f>
        <v>0</v>
      </c>
      <c r="Q315" s="399">
        <f>база!$L$5</f>
        <v>231.45480000000001</v>
      </c>
      <c r="R315" s="390">
        <v>1</v>
      </c>
      <c r="S315" s="491">
        <f>SUMIFS(Таблица1[Столбец1],Таблица1[коэф],"1",Таблица1[р/р],"4/16",Таблица1[Ф. И. О.],B319)</f>
        <v>0</v>
      </c>
      <c r="T315" s="492">
        <f t="shared" si="78"/>
        <v>0</v>
      </c>
      <c r="U315" s="472">
        <f>база!$M$5</f>
        <v>247.41720000000001</v>
      </c>
      <c r="V315" s="390">
        <v>1</v>
      </c>
      <c r="W315" s="494">
        <f>SUMIFS(Таблица1[Столбец1],Таблица1[коэф],"1",Таблица1[р/р],"4/24",Таблица1[Ф. И. О.],B319)</f>
        <v>0</v>
      </c>
      <c r="X315" s="492">
        <f t="shared" si="79"/>
        <v>0</v>
      </c>
      <c r="Y315" s="795"/>
      <c r="Z315" s="797"/>
      <c r="AA315" s="786"/>
    </row>
    <row r="316" spans="1:29" ht="18.75">
      <c r="A316" s="786"/>
      <c r="B316" s="216"/>
      <c r="C316" s="789"/>
      <c r="D316" s="792"/>
      <c r="E316" s="393"/>
      <c r="F316" s="390"/>
      <c r="G316" s="400"/>
      <c r="H316" s="392">
        <f t="shared" si="76"/>
        <v>0</v>
      </c>
      <c r="I316" s="389"/>
      <c r="J316" s="390"/>
      <c r="K316" s="434"/>
      <c r="L316" s="484">
        <f t="shared" si="77"/>
        <v>0</v>
      </c>
      <c r="M316" s="432"/>
      <c r="N316" s="434"/>
      <c r="O316" s="434"/>
      <c r="P316" s="434"/>
      <c r="Q316" s="399">
        <f>база!$L$6</f>
        <v>261.04640000000001</v>
      </c>
      <c r="R316" s="390">
        <v>1</v>
      </c>
      <c r="S316" s="491">
        <f>SUMIFS(Таблица1[Столбец1],Таблица1[коэф],"1",Таблица1[р/р],"5/16",Таблица1[Ф. И. О.],B319)</f>
        <v>0</v>
      </c>
      <c r="T316" s="492">
        <f t="shared" si="78"/>
        <v>0</v>
      </c>
      <c r="U316" s="472">
        <f>база!$M$6</f>
        <v>279.0496</v>
      </c>
      <c r="V316" s="390">
        <v>1</v>
      </c>
      <c r="W316" s="494">
        <f>SUMIFS(Таблица1[Столбец1],Таблица1[коэф],"1",Таблица1[р/р],"5/24",Таблица1[Ф. И. О.],B319)</f>
        <v>0</v>
      </c>
      <c r="X316" s="492">
        <f t="shared" si="79"/>
        <v>0</v>
      </c>
      <c r="Y316" s="795"/>
      <c r="Z316" s="797"/>
      <c r="AA316" s="786"/>
    </row>
    <row r="317" spans="1:29" ht="18.75">
      <c r="A317" s="786"/>
      <c r="B317" s="216"/>
      <c r="C317" s="789"/>
      <c r="D317" s="792"/>
      <c r="E317" s="393"/>
      <c r="F317" s="390"/>
      <c r="G317" s="400"/>
      <c r="H317" s="392">
        <f t="shared" si="76"/>
        <v>0</v>
      </c>
      <c r="I317" s="389">
        <f>база!$J$5</f>
        <v>215.4924</v>
      </c>
      <c r="J317" s="390">
        <v>1.5</v>
      </c>
      <c r="K317" s="434">
        <f>SUMIFS(Таблица1[Столбец1],Таблица1[коэф],"1,5",Таблица1[р/р],"4/8",Таблица1[Ф. И. О.],B319)</f>
        <v>0</v>
      </c>
      <c r="L317" s="484">
        <f t="shared" si="77"/>
        <v>0</v>
      </c>
      <c r="M317" s="432"/>
      <c r="N317" s="434"/>
      <c r="O317" s="434"/>
      <c r="P317" s="434"/>
      <c r="Q317" s="399">
        <f>IF(D314&lt;=3,база!$L$4,
IF(D314=4,база!$L$5,
IF(D314=5,база!$L$6)))</f>
        <v>210.57480000000001</v>
      </c>
      <c r="R317" s="390">
        <v>1.2</v>
      </c>
      <c r="S317" s="491">
        <f>SUMIFS(Таблица1[Столбец1],Таблица1[коэф],"1,2",Таблица1[р/р],"3/16",Таблица1[Ф. И. О.],B319)</f>
        <v>0</v>
      </c>
      <c r="T317" s="492">
        <f t="shared" si="78"/>
        <v>0</v>
      </c>
      <c r="U317" s="472">
        <f>IF(D314&lt;=3,база!$M$4,
IF(D314=4,база!$M$5,
IF(D314=5,база!$M$6)))</f>
        <v>225.09719999999999</v>
      </c>
      <c r="V317" s="390">
        <v>1.2</v>
      </c>
      <c r="W317" s="494">
        <f>SUMIFS(Таблица1[Столбец1],Таблица1[коэф],"1,2",Таблица1[р/р],"3/24",Таблица1[Ф. И. О.],B319)</f>
        <v>0</v>
      </c>
      <c r="X317" s="492">
        <f t="shared" si="79"/>
        <v>0</v>
      </c>
      <c r="Y317" s="795"/>
      <c r="Z317" s="797"/>
      <c r="AA317" s="786"/>
    </row>
    <row r="318" spans="1:29" ht="18.75">
      <c r="A318" s="786"/>
      <c r="B318" s="216"/>
      <c r="C318" s="789"/>
      <c r="D318" s="792"/>
      <c r="E318" s="393"/>
      <c r="F318" s="390"/>
      <c r="G318" s="400"/>
      <c r="H318" s="392">
        <f t="shared" si="76"/>
        <v>0</v>
      </c>
      <c r="I318" s="389">
        <f>база!$J$6</f>
        <v>243.04319999999998</v>
      </c>
      <c r="J318" s="390">
        <v>1.5</v>
      </c>
      <c r="K318" s="434">
        <f>SUMIFS(Таблица1[Столбец1],Таблица1[коэф],"1,5",Таблица1[р/р],"5/8",Таблица1[Ф. И. О.],B319)</f>
        <v>0</v>
      </c>
      <c r="L318" s="484">
        <f t="shared" si="77"/>
        <v>0</v>
      </c>
      <c r="M318" s="432"/>
      <c r="N318" s="434"/>
      <c r="O318" s="434"/>
      <c r="P318" s="434"/>
      <c r="Q318" s="399">
        <f>база!$L$5</f>
        <v>231.45480000000001</v>
      </c>
      <c r="R318" s="390">
        <v>1.2</v>
      </c>
      <c r="S318" s="491">
        <f>SUMIFS(Таблица1[Столбец1],Таблица1[коэф],"1,2",Таблица1[р/р],"4/16",Таблица1[Ф. И. О.],B319)</f>
        <v>0</v>
      </c>
      <c r="T318" s="492">
        <f t="shared" si="78"/>
        <v>0</v>
      </c>
      <c r="U318" s="472">
        <f>база!$M$5</f>
        <v>247.41720000000001</v>
      </c>
      <c r="V318" s="390">
        <v>1.2</v>
      </c>
      <c r="W318" s="494">
        <f>SUMIFS(Таблица1[Столбец1],Таблица1[коэф],"1,2",Таблица1[р/р],"4/24",Таблица1[Ф. И. О.],B319)</f>
        <v>0</v>
      </c>
      <c r="X318" s="492">
        <f t="shared" si="79"/>
        <v>0</v>
      </c>
      <c r="Y318" s="795"/>
      <c r="Z318" s="797"/>
      <c r="AA318" s="786"/>
    </row>
    <row r="319" spans="1:29" ht="18" customHeight="1">
      <c r="A319" s="786"/>
      <c r="B319" s="216" t="str">
        <f>база!B30</f>
        <v>Иванова Екатерина Борисовна</v>
      </c>
      <c r="C319" s="789"/>
      <c r="D319" s="792"/>
      <c r="E319" s="393"/>
      <c r="F319" s="390"/>
      <c r="G319" s="400"/>
      <c r="H319" s="392">
        <f t="shared" si="76"/>
        <v>0</v>
      </c>
      <c r="I319" s="389"/>
      <c r="J319" s="390"/>
      <c r="K319" s="434"/>
      <c r="L319" s="484">
        <f t="shared" si="77"/>
        <v>0</v>
      </c>
      <c r="M319" s="432"/>
      <c r="N319" s="434"/>
      <c r="O319" s="434"/>
      <c r="P319" s="434"/>
      <c r="Q319" s="399">
        <f>база!$L$6</f>
        <v>261.04640000000001</v>
      </c>
      <c r="R319" s="390">
        <v>1.2</v>
      </c>
      <c r="S319" s="491">
        <f>SUMIFS(Таблица1[Столбец1],Таблица1[коэф],"1,2",Таблица1[р/р],"5/16",Таблица1[Ф. И. О.],B319)</f>
        <v>0</v>
      </c>
      <c r="T319" s="492">
        <f t="shared" si="78"/>
        <v>0</v>
      </c>
      <c r="U319" s="472">
        <f>база!$M$6</f>
        <v>279.0496</v>
      </c>
      <c r="V319" s="390">
        <v>1.2</v>
      </c>
      <c r="W319" s="494">
        <f>SUMIFS(Таблица1[Столбец1],Таблица1[коэф],"1,2",Таблица1[р/р],"5/24",Таблица1[Ф. И. О.],B319)</f>
        <v>0</v>
      </c>
      <c r="X319" s="492">
        <f t="shared" si="79"/>
        <v>0</v>
      </c>
      <c r="Y319" s="795"/>
      <c r="Z319" s="797"/>
      <c r="AA319" s="786"/>
      <c r="AC319" s="727" t="str">
        <f>IF(SUMIFS(Таблица1[Столбец3],Таблица1[Ф. И. О.],B319)-Z314=0,"",SUMIFS(Таблица1[Столбец3],Таблица1[Ф. И. О.],B319)-Z314)</f>
        <v/>
      </c>
    </row>
    <row r="320" spans="1:29" ht="18.75">
      <c r="A320" s="786"/>
      <c r="B320" s="216"/>
      <c r="C320" s="789"/>
      <c r="D320" s="792"/>
      <c r="E320" s="393"/>
      <c r="F320" s="390"/>
      <c r="G320" s="400"/>
      <c r="H320" s="392">
        <f t="shared" si="76"/>
        <v>0</v>
      </c>
      <c r="I320" s="389"/>
      <c r="J320" s="390"/>
      <c r="K320" s="434"/>
      <c r="L320" s="484">
        <f t="shared" si="77"/>
        <v>0</v>
      </c>
      <c r="M320" s="432"/>
      <c r="N320" s="434"/>
      <c r="O320" s="434"/>
      <c r="P320" s="434"/>
      <c r="Q320" s="399">
        <f>IF(D314&lt;=3,база!$L$4,
IF(D314=4,база!$L$5,
IF(D314=5,база!$L$6)))</f>
        <v>210.57480000000001</v>
      </c>
      <c r="R320" s="390">
        <v>1.3</v>
      </c>
      <c r="S320" s="491">
        <f>SUMIFS(Таблица1[Столбец1],Таблица1[коэф],"1,3",Таблица1[р/р],"3/16",Таблица1[Ф. И. О.],B319)</f>
        <v>0</v>
      </c>
      <c r="T320" s="492">
        <f t="shared" si="78"/>
        <v>0</v>
      </c>
      <c r="U320" s="472">
        <f>IF(D314&lt;=3,база!$M$4,
IF(D314=4,база!$M$5,
IF(D314=5,база!$M$6)))</f>
        <v>225.09719999999999</v>
      </c>
      <c r="V320" s="390">
        <v>1.3</v>
      </c>
      <c r="W320" s="494">
        <f>SUMIFS(Таблица1[Столбец1],Таблица1[коэф],"1,3",Таблица1[р/р],"3/24",Таблица1[Ф. И. О.],B319)</f>
        <v>0</v>
      </c>
      <c r="X320" s="492">
        <f t="shared" si="79"/>
        <v>0</v>
      </c>
      <c r="Y320" s="795"/>
      <c r="Z320" s="797"/>
      <c r="AA320" s="786"/>
      <c r="AC320" s="727" t="str">
        <f>IF(SUMIFS(Таблица1[Столбец1],Таблица1[Ф. И. О.],B319)=Y314,"",B319&amp;"  часы не верны")</f>
        <v/>
      </c>
    </row>
    <row r="321" spans="1:29" ht="18.75">
      <c r="A321" s="786"/>
      <c r="B321" s="216"/>
      <c r="C321" s="789"/>
      <c r="D321" s="792"/>
      <c r="E321" s="393"/>
      <c r="F321" s="390"/>
      <c r="G321" s="400"/>
      <c r="H321" s="392">
        <f t="shared" si="76"/>
        <v>0</v>
      </c>
      <c r="I321" s="389"/>
      <c r="J321" s="390"/>
      <c r="K321" s="434"/>
      <c r="L321" s="484">
        <f t="shared" si="77"/>
        <v>0</v>
      </c>
      <c r="M321" s="432"/>
      <c r="N321" s="434"/>
      <c r="O321" s="434"/>
      <c r="P321" s="434"/>
      <c r="Q321" s="399">
        <f>база!$L$5</f>
        <v>231.45480000000001</v>
      </c>
      <c r="R321" s="390">
        <v>1.3</v>
      </c>
      <c r="S321" s="491">
        <f>SUMIFS(Таблица1[Столбец1],Таблица1[коэф],"1,3",Таблица1[р/р],"4/16",Таблица1[Ф. И. О.],B319)</f>
        <v>0</v>
      </c>
      <c r="T321" s="492">
        <f t="shared" si="78"/>
        <v>0</v>
      </c>
      <c r="U321" s="472">
        <f>база!$M$5</f>
        <v>247.41720000000001</v>
      </c>
      <c r="V321" s="390">
        <v>1.3</v>
      </c>
      <c r="W321" s="494">
        <f>SUMIFS(Таблица1[Столбец1],Таблица1[коэф],"1,3",Таблица1[р/р],"4/24",Таблица1[Ф. И. О.],B319)</f>
        <v>0</v>
      </c>
      <c r="X321" s="492">
        <f t="shared" si="79"/>
        <v>0</v>
      </c>
      <c r="Y321" s="795"/>
      <c r="Z321" s="797"/>
      <c r="AA321" s="786"/>
    </row>
    <row r="322" spans="1:29" ht="18.75">
      <c r="A322" s="786"/>
      <c r="B322" s="216"/>
      <c r="C322" s="789"/>
      <c r="D322" s="792"/>
      <c r="E322" s="393"/>
      <c r="F322" s="390"/>
      <c r="G322" s="400"/>
      <c r="H322" s="392">
        <f t="shared" si="76"/>
        <v>0</v>
      </c>
      <c r="I322" s="389"/>
      <c r="J322" s="390"/>
      <c r="K322" s="434"/>
      <c r="L322" s="484">
        <f t="shared" si="77"/>
        <v>0</v>
      </c>
      <c r="M322" s="432"/>
      <c r="N322" s="434"/>
      <c r="O322" s="434"/>
      <c r="P322" s="434"/>
      <c r="Q322" s="399">
        <f>IF(D314&lt;=3,база!$L$4,
IF(D314=4,база!$L$5,
IF(D314=5,база!$L$6)))</f>
        <v>210.57480000000001</v>
      </c>
      <c r="R322" s="390">
        <v>1.4</v>
      </c>
      <c r="S322" s="491">
        <f>SUMIFS(Таблица1[Столбец1],Таблица1[коэф],"1,4",Таблица1[р/р],"3/16",Таблица1[Ф. И. О.],B319)</f>
        <v>0</v>
      </c>
      <c r="T322" s="492">
        <f t="shared" si="78"/>
        <v>0</v>
      </c>
      <c r="U322" s="472">
        <f>IF(D314&lt;=3,база!$M$4,
IF(D314=4,база!$M$5,
IF(D314=5,база!$M$6)))</f>
        <v>225.09719999999999</v>
      </c>
      <c r="V322" s="390">
        <v>1.4</v>
      </c>
      <c r="W322" s="494">
        <f>SUMIFS(Таблица1[Столбец1],Таблица1[коэф],"1,4",Таблица1[р/р],"3/24",Таблица1[Ф. И. О.],B319)</f>
        <v>0</v>
      </c>
      <c r="X322" s="492">
        <f t="shared" si="79"/>
        <v>0</v>
      </c>
      <c r="Y322" s="795"/>
      <c r="Z322" s="797"/>
      <c r="AA322" s="786"/>
    </row>
    <row r="323" spans="1:29" ht="18.75">
      <c r="A323" s="786"/>
      <c r="B323" s="216"/>
      <c r="C323" s="789"/>
      <c r="D323" s="792"/>
      <c r="E323" s="393"/>
      <c r="F323" s="390"/>
      <c r="G323" s="400"/>
      <c r="H323" s="392">
        <f t="shared" si="76"/>
        <v>0</v>
      </c>
      <c r="I323" s="389"/>
      <c r="J323" s="390"/>
      <c r="K323" s="434"/>
      <c r="L323" s="395">
        <f t="shared" si="77"/>
        <v>0</v>
      </c>
      <c r="M323" s="432"/>
      <c r="N323" s="434"/>
      <c r="O323" s="434"/>
      <c r="P323" s="434"/>
      <c r="Q323" s="399">
        <f>база!$L$5</f>
        <v>231.45480000000001</v>
      </c>
      <c r="R323" s="390">
        <v>1.4</v>
      </c>
      <c r="S323" s="491">
        <f>SUMIFS(Таблица1[Столбец1],Таблица1[коэф],"1,4",Таблица1[р/р],"4/16",Таблица1[Ф. И. О.],B319)</f>
        <v>0</v>
      </c>
      <c r="T323" s="492">
        <f t="shared" si="78"/>
        <v>0</v>
      </c>
      <c r="U323" s="472">
        <f>база!$M$5</f>
        <v>247.41720000000001</v>
      </c>
      <c r="V323" s="390">
        <v>1.4</v>
      </c>
      <c r="W323" s="494">
        <f>SUMIFS(Таблица1[Столбец1],Таблица1[коэф],"1,4",Таблица1[р/р],"4/24",Таблица1[Ф. И. О.],B319)</f>
        <v>0</v>
      </c>
      <c r="X323" s="492">
        <f t="shared" si="79"/>
        <v>0</v>
      </c>
      <c r="Y323" s="795"/>
      <c r="Z323" s="797"/>
      <c r="AA323" s="786"/>
    </row>
    <row r="324" spans="1:29" ht="19.5" thickBot="1">
      <c r="A324" s="787"/>
      <c r="B324" s="203"/>
      <c r="C324" s="790"/>
      <c r="D324" s="793"/>
      <c r="E324" s="463"/>
      <c r="F324" s="464"/>
      <c r="G324" s="465"/>
      <c r="H324" s="468">
        <f t="shared" si="76"/>
        <v>0</v>
      </c>
      <c r="I324" s="473"/>
      <c r="J324" s="464"/>
      <c r="K324" s="457"/>
      <c r="L324" s="458">
        <f t="shared" si="77"/>
        <v>0</v>
      </c>
      <c r="M324" s="466"/>
      <c r="N324" s="457"/>
      <c r="O324" s="457"/>
      <c r="P324" s="457"/>
      <c r="Q324" s="467">
        <f>база!$L$6</f>
        <v>261.04640000000001</v>
      </c>
      <c r="R324" s="464">
        <v>1.4</v>
      </c>
      <c r="S324" s="512">
        <f>SUMIFS(Таблица1[Столбец1],Таблица1[коэф],"1,4",Таблица1[р/р],"5/16",Таблица1[Ф. И. О.],B319)</f>
        <v>0</v>
      </c>
      <c r="T324" s="513">
        <f t="shared" si="78"/>
        <v>0</v>
      </c>
      <c r="U324" s="474">
        <f>база!$M$6</f>
        <v>279.0496</v>
      </c>
      <c r="V324" s="464">
        <v>1.4</v>
      </c>
      <c r="W324" s="501">
        <f>SUMIFS(Таблица1[Столбец1],Таблица1[коэф],"1,4",Таблица1[р/р],"5/24",Таблица1[Ф. И. О.],B319)</f>
        <v>0</v>
      </c>
      <c r="X324" s="513">
        <f t="shared" si="79"/>
        <v>0</v>
      </c>
      <c r="Y324" s="796"/>
      <c r="Z324" s="798"/>
      <c r="AA324" s="787"/>
    </row>
    <row r="325" spans="1:29" ht="18.75" collapsed="1">
      <c r="A325" s="785">
        <v>30</v>
      </c>
      <c r="B325" s="236"/>
      <c r="C325" s="788">
        <f>INDEX(база!$E$2:$E$81, MATCH(B330,база!$B$2:$B$50,0))</f>
        <v>17068</v>
      </c>
      <c r="D325" s="791">
        <f>INDEX(база!$D$2:$D$89, MATCH(B330,база!$B$2:$B$50,0))</f>
        <v>3</v>
      </c>
      <c r="E325" s="451">
        <f>IF(D325&lt;=3,база!$I$4,
IF(D325=4,база!$I$5,
IF(D325=5,база!$I$6)))</f>
        <v>188.7912</v>
      </c>
      <c r="F325" s="417">
        <v>1</v>
      </c>
      <c r="G325" s="418">
        <f>SUMIFS(Таблица1[Столбец1],Таблица1[коэф],"1",Таблица1[р/р],"2/4",Таблица1[Ф. И. О.],B330)</f>
        <v>0</v>
      </c>
      <c r="H325" s="402">
        <f t="shared" ref="H325:H335" si="82">ROUND(E325*F325*G325*2,2)</f>
        <v>0</v>
      </c>
      <c r="I325" s="377">
        <f>IF(D325&lt;=3,база!$J$4,
IF(D325=4,база!$J$5,
IF(D325=5,база!$J$6)))</f>
        <v>196.05240000000001</v>
      </c>
      <c r="J325" s="378">
        <v>1</v>
      </c>
      <c r="K325" s="428">
        <f>SUMIFS(Таблица1[Столбец1],Таблица1[коэф],"1",Таблица1[р/р],"2/8",Таблица1[Ф. И. О.],B330)</f>
        <v>0</v>
      </c>
      <c r="L325" s="383">
        <f t="shared" ref="L325:L335" si="83">ROUND(I325*J325*K325*2,2)</f>
        <v>0</v>
      </c>
      <c r="M325" s="452"/>
      <c r="N325" s="453">
        <v>1</v>
      </c>
      <c r="O325" s="453">
        <f>SUMIFS(Data_Tech!$AM$3:$AM$67,Data_Tech!$E$3:$E$67,"1",Data_Tech!$G$3:$G$67,"3/12",Data_Tech!$F$3:$F$67,B330)</f>
        <v>0</v>
      </c>
      <c r="P325" s="453">
        <f>ROUND(M325*N325*O325,2)</f>
        <v>0</v>
      </c>
      <c r="Q325" s="416">
        <f>IF(D325&lt;=3,база!$L$4,
IF(D325=4,база!$L$5,
IF(D325=5,база!$L$6)))</f>
        <v>210.57480000000001</v>
      </c>
      <c r="R325" s="417">
        <v>1</v>
      </c>
      <c r="S325" s="495">
        <f>SUMIFS(Таблица1[Столбец1],Таблица1[коэф],"1",Таблица1[р/р],"3/16",Таблица1[Ф. И. О.],B330)</f>
        <v>0</v>
      </c>
      <c r="T325" s="490">
        <f t="shared" ref="T325:T335" si="84">ROUND(Q325*R325*S325*2,2)</f>
        <v>0</v>
      </c>
      <c r="U325" s="471">
        <f>IF(D325&lt;=3,база!$M$4,
IF(D325=4,база!$M$5,
IF(D325=5,база!$M$6)))</f>
        <v>225.09719999999999</v>
      </c>
      <c r="V325" s="378">
        <v>1</v>
      </c>
      <c r="W325" s="497">
        <f>SUMIFS(Таблица1[Столбец1],Таблица1[коэф],"1",Таблица1[р/р],"3/24",Таблица1[Ф. И. О.],B330)</f>
        <v>0</v>
      </c>
      <c r="X325" s="490">
        <f t="shared" ref="X325:X335" si="85">ROUND(U325*V325*W325*2,2)</f>
        <v>0</v>
      </c>
      <c r="Y325" s="795">
        <f t="shared" ref="Y325" si="86">SUM(G325:G335,K325:K335,O325:O335,S325:S335,W325:W335)</f>
        <v>0</v>
      </c>
      <c r="Z325" s="797">
        <f t="shared" ref="Z325" si="87">IFERROR(SUM(H325:H335,L325:L335,T325:T335,X325:X335),"")</f>
        <v>0</v>
      </c>
      <c r="AA325" s="786"/>
    </row>
    <row r="326" spans="1:29" ht="18.75">
      <c r="A326" s="786"/>
      <c r="B326" s="216"/>
      <c r="C326" s="789"/>
      <c r="D326" s="792"/>
      <c r="E326" s="393">
        <f>IF(D325&lt;=3,база!$I$4,
IF(D325=4,база!$I$5,
IF(D325=5,база!$I$6)))</f>
        <v>188.7912</v>
      </c>
      <c r="F326" s="390">
        <v>1</v>
      </c>
      <c r="G326" s="400">
        <f>SUMIFS(Таблица1[Столбец1],Таблица1[коэф],"1",Таблица1[р/р],"3/4",Таблица1[Ф. И. О.],B330)</f>
        <v>0</v>
      </c>
      <c r="H326" s="392">
        <f t="shared" si="82"/>
        <v>0</v>
      </c>
      <c r="I326" s="389">
        <f>IF(D325&lt;=3,база!$J$4,
IF(D325=4,база!$J$5,
IF(D325=5,база!$J$6)))</f>
        <v>196.05240000000001</v>
      </c>
      <c r="J326" s="390">
        <v>1</v>
      </c>
      <c r="K326" s="434">
        <f>SUMIFS(Таблица1[Столбец1],Таблица1[коэф],"1",Таблица1[р/р],"3/8",Таблица1[Ф. И. О.],B330)</f>
        <v>0</v>
      </c>
      <c r="L326" s="484">
        <f t="shared" si="83"/>
        <v>0</v>
      </c>
      <c r="M326" s="432"/>
      <c r="N326" s="434">
        <v>1</v>
      </c>
      <c r="O326" s="434">
        <f>SUMIFS(Data_Tech!$AM$3:$AM$67,Data_Tech!$E$3:$E$67,"1",Data_Tech!$G$3:$G$67,"4/12",Data_Tech!$F$3:$F$67,B330)</f>
        <v>0</v>
      </c>
      <c r="P326" s="434">
        <f>ROUND(M326*O326,2)</f>
        <v>0</v>
      </c>
      <c r="Q326" s="399">
        <f>база!$L$5</f>
        <v>231.45480000000001</v>
      </c>
      <c r="R326" s="390">
        <v>1</v>
      </c>
      <c r="S326" s="491">
        <f>SUMIFS(Таблица1[Столбец1],Таблица1[коэф],"1",Таблица1[р/р],"4/16",Таблица1[Ф. И. О.],B330)</f>
        <v>0</v>
      </c>
      <c r="T326" s="492">
        <f t="shared" si="84"/>
        <v>0</v>
      </c>
      <c r="U326" s="472">
        <f>база!$M$5</f>
        <v>247.41720000000001</v>
      </c>
      <c r="V326" s="390">
        <v>1</v>
      </c>
      <c r="W326" s="494">
        <f>SUMIFS(Таблица1[Столбец1],Таблица1[коэф],"1",Таблица1[р/р],"4/24",Таблица1[Ф. И. О.],B330)</f>
        <v>0</v>
      </c>
      <c r="X326" s="492">
        <f t="shared" si="85"/>
        <v>0</v>
      </c>
      <c r="Y326" s="795"/>
      <c r="Z326" s="797"/>
      <c r="AA326" s="786"/>
    </row>
    <row r="327" spans="1:29" ht="18.75">
      <c r="A327" s="786"/>
      <c r="B327" s="216"/>
      <c r="C327" s="789"/>
      <c r="D327" s="792"/>
      <c r="E327" s="393"/>
      <c r="F327" s="390"/>
      <c r="G327" s="400"/>
      <c r="H327" s="392">
        <f t="shared" si="82"/>
        <v>0</v>
      </c>
      <c r="I327" s="389"/>
      <c r="J327" s="390"/>
      <c r="K327" s="434"/>
      <c r="L327" s="484">
        <f t="shared" si="83"/>
        <v>0</v>
      </c>
      <c r="M327" s="432"/>
      <c r="N327" s="434"/>
      <c r="O327" s="434"/>
      <c r="P327" s="434"/>
      <c r="Q327" s="399">
        <f>база!$L$6</f>
        <v>261.04640000000001</v>
      </c>
      <c r="R327" s="390">
        <v>1</v>
      </c>
      <c r="S327" s="491">
        <f>SUMIFS(Таблица1[Столбец1],Таблица1[коэф],"1",Таблица1[р/р],"5/16",Таблица1[Ф. И. О.],B330)</f>
        <v>0</v>
      </c>
      <c r="T327" s="492">
        <f t="shared" si="84"/>
        <v>0</v>
      </c>
      <c r="U327" s="472">
        <f>база!$M$6</f>
        <v>279.0496</v>
      </c>
      <c r="V327" s="390">
        <v>1</v>
      </c>
      <c r="W327" s="494">
        <f>SUMIFS(Таблица1[Столбец1],Таблица1[коэф],"1",Таблица1[р/р],"5/24",Таблица1[Ф. И. О.],B330)</f>
        <v>0</v>
      </c>
      <c r="X327" s="492">
        <f t="shared" si="85"/>
        <v>0</v>
      </c>
      <c r="Y327" s="795"/>
      <c r="Z327" s="797"/>
      <c r="AA327" s="786"/>
    </row>
    <row r="328" spans="1:29" ht="18.75">
      <c r="A328" s="786"/>
      <c r="B328" s="216"/>
      <c r="C328" s="789"/>
      <c r="D328" s="792"/>
      <c r="E328" s="393"/>
      <c r="F328" s="390"/>
      <c r="G328" s="400"/>
      <c r="H328" s="392">
        <f t="shared" si="82"/>
        <v>0</v>
      </c>
      <c r="I328" s="389">
        <f>база!$J$5</f>
        <v>215.4924</v>
      </c>
      <c r="J328" s="390">
        <v>1.5</v>
      </c>
      <c r="K328" s="434">
        <f>SUMIFS(Таблица1[Столбец1],Таблица1[коэф],"1,5",Таблица1[р/р],"4/8",Таблица1[Ф. И. О.],B330)</f>
        <v>0</v>
      </c>
      <c r="L328" s="484">
        <f t="shared" si="83"/>
        <v>0</v>
      </c>
      <c r="M328" s="432"/>
      <c r="N328" s="434"/>
      <c r="O328" s="434"/>
      <c r="P328" s="434"/>
      <c r="Q328" s="399">
        <f>IF(D325&lt;=3,база!$L$4,
IF(D325=4,база!$L$5,
IF(D325=5,база!$L$6)))</f>
        <v>210.57480000000001</v>
      </c>
      <c r="R328" s="390">
        <v>1.2</v>
      </c>
      <c r="S328" s="491">
        <f>SUMIFS(Таблица1[Столбец1],Таблица1[коэф],"1,2",Таблица1[р/р],"3/16",Таблица1[Ф. И. О.],B330)</f>
        <v>0</v>
      </c>
      <c r="T328" s="492">
        <f t="shared" si="84"/>
        <v>0</v>
      </c>
      <c r="U328" s="472">
        <f>IF(D325&lt;=3,база!$M$4,
IF(D325=4,база!$M$5,
IF(D325=5,база!$M$6)))</f>
        <v>225.09719999999999</v>
      </c>
      <c r="V328" s="390">
        <v>1.2</v>
      </c>
      <c r="W328" s="494">
        <f>SUMIFS(Таблица1[Столбец1],Таблица1[коэф],"1,2",Таблица1[р/р],"3/24",Таблица1[Ф. И. О.],B330)</f>
        <v>0</v>
      </c>
      <c r="X328" s="492">
        <f t="shared" si="85"/>
        <v>0</v>
      </c>
      <c r="Y328" s="795"/>
      <c r="Z328" s="797"/>
      <c r="AA328" s="786"/>
    </row>
    <row r="329" spans="1:29" ht="18.75">
      <c r="A329" s="786"/>
      <c r="B329" s="216"/>
      <c r="C329" s="789"/>
      <c r="D329" s="792"/>
      <c r="E329" s="393"/>
      <c r="F329" s="390"/>
      <c r="G329" s="400"/>
      <c r="H329" s="392">
        <f t="shared" si="82"/>
        <v>0</v>
      </c>
      <c r="I329" s="389">
        <f>база!$J$6</f>
        <v>243.04319999999998</v>
      </c>
      <c r="J329" s="390">
        <v>1.5</v>
      </c>
      <c r="K329" s="434">
        <f>SUMIFS(Таблица1[Столбец1],Таблица1[коэф],"1,5",Таблица1[р/р],"5/8",Таблица1[Ф. И. О.],B330)</f>
        <v>0</v>
      </c>
      <c r="L329" s="484">
        <f t="shared" si="83"/>
        <v>0</v>
      </c>
      <c r="M329" s="432"/>
      <c r="N329" s="434"/>
      <c r="O329" s="434"/>
      <c r="P329" s="434"/>
      <c r="Q329" s="399">
        <f>база!$L$5</f>
        <v>231.45480000000001</v>
      </c>
      <c r="R329" s="390">
        <v>1.2</v>
      </c>
      <c r="S329" s="491">
        <f>SUMIFS(Таблица1[Столбец1],Таблица1[коэф],"1,2",Таблица1[р/р],"4/16",Таблица1[Ф. И. О.],B330)</f>
        <v>0</v>
      </c>
      <c r="T329" s="492">
        <f t="shared" si="84"/>
        <v>0</v>
      </c>
      <c r="U329" s="472">
        <f>база!$M$5</f>
        <v>247.41720000000001</v>
      </c>
      <c r="V329" s="390">
        <v>1.2</v>
      </c>
      <c r="W329" s="494">
        <f>SUMIFS(Таблица1[Столбец1],Таблица1[коэф],"1,2",Таблица1[р/р],"4/24",Таблица1[Ф. И. О.],B330)</f>
        <v>0</v>
      </c>
      <c r="X329" s="492">
        <f t="shared" si="85"/>
        <v>0</v>
      </c>
      <c r="Y329" s="795"/>
      <c r="Z329" s="797"/>
      <c r="AA329" s="786"/>
    </row>
    <row r="330" spans="1:29" ht="18" customHeight="1">
      <c r="A330" s="786"/>
      <c r="B330" s="216" t="str">
        <f>база!B31</f>
        <v>Иванова Оксана Михайловна</v>
      </c>
      <c r="C330" s="789"/>
      <c r="D330" s="792"/>
      <c r="E330" s="393"/>
      <c r="F330" s="390"/>
      <c r="G330" s="400"/>
      <c r="H330" s="392">
        <f t="shared" si="82"/>
        <v>0</v>
      </c>
      <c r="I330" s="389"/>
      <c r="J330" s="390"/>
      <c r="K330" s="434"/>
      <c r="L330" s="484">
        <f t="shared" si="83"/>
        <v>0</v>
      </c>
      <c r="M330" s="432"/>
      <c r="N330" s="434"/>
      <c r="O330" s="434"/>
      <c r="P330" s="434"/>
      <c r="Q330" s="399">
        <f>база!$L$6</f>
        <v>261.04640000000001</v>
      </c>
      <c r="R330" s="390">
        <v>1.2</v>
      </c>
      <c r="S330" s="491">
        <f>SUMIFS(Таблица1[Столбец1],Таблица1[коэф],"1,2",Таблица1[р/р],"5/16",Таблица1[Ф. И. О.],B330)</f>
        <v>0</v>
      </c>
      <c r="T330" s="492">
        <f t="shared" si="84"/>
        <v>0</v>
      </c>
      <c r="U330" s="472">
        <f>база!$M$6</f>
        <v>279.0496</v>
      </c>
      <c r="V330" s="390">
        <v>1.2</v>
      </c>
      <c r="W330" s="494">
        <f>SUMIFS(Таблица1[Столбец1],Таблица1[коэф],"1,2",Таблица1[р/р],"5/24",Таблица1[Ф. И. О.],B330)</f>
        <v>0</v>
      </c>
      <c r="X330" s="492">
        <f t="shared" si="85"/>
        <v>0</v>
      </c>
      <c r="Y330" s="795"/>
      <c r="Z330" s="797"/>
      <c r="AA330" s="786"/>
      <c r="AC330" s="727" t="str">
        <f>IF(SUMIFS(Таблица1[Столбец3],Таблица1[Ф. И. О.],B330)-Z325=0,"",SUMIFS(Таблица1[Столбец3],Таблица1[Ф. И. О.],B330)-Z325)</f>
        <v/>
      </c>
    </row>
    <row r="331" spans="1:29" ht="18.75">
      <c r="A331" s="786"/>
      <c r="B331" s="216"/>
      <c r="C331" s="789"/>
      <c r="D331" s="792"/>
      <c r="E331" s="393"/>
      <c r="F331" s="390"/>
      <c r="G331" s="400"/>
      <c r="H331" s="392">
        <f t="shared" si="82"/>
        <v>0</v>
      </c>
      <c r="I331" s="389"/>
      <c r="J331" s="390"/>
      <c r="K331" s="434"/>
      <c r="L331" s="484">
        <f t="shared" si="83"/>
        <v>0</v>
      </c>
      <c r="M331" s="432"/>
      <c r="N331" s="434"/>
      <c r="O331" s="434"/>
      <c r="P331" s="434"/>
      <c r="Q331" s="399">
        <f>IF(D325&lt;=3,база!$L$4,
IF(D325=4,база!$L$5,
IF(D325=5,база!$L$6)))</f>
        <v>210.57480000000001</v>
      </c>
      <c r="R331" s="390">
        <v>1.3</v>
      </c>
      <c r="S331" s="491">
        <f>SUMIFS(Таблица1[Столбец1],Таблица1[коэф],"1,3",Таблица1[р/р],"3/16",Таблица1[Ф. И. О.],B330)</f>
        <v>0</v>
      </c>
      <c r="T331" s="492">
        <f t="shared" si="84"/>
        <v>0</v>
      </c>
      <c r="U331" s="472">
        <f>IF(D325&lt;=3,база!$M$4,
IF(D325=4,база!$M$5,
IF(D325=5,база!$M$6)))</f>
        <v>225.09719999999999</v>
      </c>
      <c r="V331" s="390">
        <v>1.3</v>
      </c>
      <c r="W331" s="494">
        <f>SUMIFS(Таблица1[Столбец1],Таблица1[коэф],"1,3",Таблица1[р/р],"3/24",Таблица1[Ф. И. О.],B330)</f>
        <v>0</v>
      </c>
      <c r="X331" s="492">
        <f t="shared" si="85"/>
        <v>0</v>
      </c>
      <c r="Y331" s="795"/>
      <c r="Z331" s="797"/>
      <c r="AA331" s="786"/>
      <c r="AC331" s="727" t="str">
        <f>IF(SUMIFS(Таблица1[Столбец1],Таблица1[Ф. И. О.],B330)=Y325,"",B330&amp;"  часы не верны")</f>
        <v/>
      </c>
    </row>
    <row r="332" spans="1:29" ht="18.75">
      <c r="A332" s="786"/>
      <c r="B332" s="216"/>
      <c r="C332" s="789"/>
      <c r="D332" s="792"/>
      <c r="E332" s="393"/>
      <c r="F332" s="390"/>
      <c r="G332" s="400"/>
      <c r="H332" s="392">
        <f t="shared" si="82"/>
        <v>0</v>
      </c>
      <c r="I332" s="389"/>
      <c r="J332" s="390"/>
      <c r="K332" s="434"/>
      <c r="L332" s="484">
        <f t="shared" si="83"/>
        <v>0</v>
      </c>
      <c r="M332" s="432"/>
      <c r="N332" s="434"/>
      <c r="O332" s="434"/>
      <c r="P332" s="434"/>
      <c r="Q332" s="399">
        <f>база!$L$5</f>
        <v>231.45480000000001</v>
      </c>
      <c r="R332" s="390">
        <v>1.3</v>
      </c>
      <c r="S332" s="491">
        <f>SUMIFS(Таблица1[Столбец1],Таблица1[коэф],"1,3",Таблица1[р/р],"4/16",Таблица1[Ф. И. О.],B330)</f>
        <v>0</v>
      </c>
      <c r="T332" s="492">
        <f t="shared" si="84"/>
        <v>0</v>
      </c>
      <c r="U332" s="472">
        <f>база!$M$5</f>
        <v>247.41720000000001</v>
      </c>
      <c r="V332" s="390">
        <v>1.3</v>
      </c>
      <c r="W332" s="494">
        <f>SUMIFS(Таблица1[Столбец1],Таблица1[коэф],"1,3",Таблица1[р/р],"4/24",Таблица1[Ф. И. О.],B330)</f>
        <v>0</v>
      </c>
      <c r="X332" s="492">
        <f t="shared" si="85"/>
        <v>0</v>
      </c>
      <c r="Y332" s="795"/>
      <c r="Z332" s="797"/>
      <c r="AA332" s="786"/>
    </row>
    <row r="333" spans="1:29" ht="18.75">
      <c r="A333" s="786"/>
      <c r="B333" s="216"/>
      <c r="C333" s="789"/>
      <c r="D333" s="792"/>
      <c r="E333" s="393"/>
      <c r="F333" s="390"/>
      <c r="G333" s="400"/>
      <c r="H333" s="392">
        <f t="shared" si="82"/>
        <v>0</v>
      </c>
      <c r="I333" s="389"/>
      <c r="J333" s="390"/>
      <c r="K333" s="434"/>
      <c r="L333" s="484">
        <f t="shared" si="83"/>
        <v>0</v>
      </c>
      <c r="M333" s="432"/>
      <c r="N333" s="434"/>
      <c r="O333" s="434"/>
      <c r="P333" s="434"/>
      <c r="Q333" s="399">
        <f>IF(D325&lt;=3,база!$L$4,
IF(D325=4,база!$L$5,
IF(D325=5,база!$L$6)))</f>
        <v>210.57480000000001</v>
      </c>
      <c r="R333" s="390">
        <v>1.4</v>
      </c>
      <c r="S333" s="491">
        <f>SUMIFS(Таблица1[Столбец1],Таблица1[коэф],"1,4",Таблица1[р/р],"3/16",Таблица1[Ф. И. О.],B330)</f>
        <v>0</v>
      </c>
      <c r="T333" s="492">
        <f t="shared" si="84"/>
        <v>0</v>
      </c>
      <c r="U333" s="472">
        <f>IF(D325&lt;=3,база!$M$4,
IF(D325=4,база!$M$5,
IF(D325=5,база!$M$6)))</f>
        <v>225.09719999999999</v>
      </c>
      <c r="V333" s="390">
        <v>1.4</v>
      </c>
      <c r="W333" s="494">
        <f>SUMIFS(Таблица1[Столбец1],Таблица1[коэф],"1,4",Таблица1[р/р],"3/24",Таблица1[Ф. И. О.],B330)</f>
        <v>0</v>
      </c>
      <c r="X333" s="492">
        <f t="shared" si="85"/>
        <v>0</v>
      </c>
      <c r="Y333" s="795"/>
      <c r="Z333" s="797"/>
      <c r="AA333" s="786"/>
    </row>
    <row r="334" spans="1:29" ht="18.75">
      <c r="A334" s="786"/>
      <c r="B334" s="216"/>
      <c r="C334" s="789"/>
      <c r="D334" s="792"/>
      <c r="E334" s="393"/>
      <c r="F334" s="390"/>
      <c r="G334" s="400"/>
      <c r="H334" s="392">
        <f t="shared" si="82"/>
        <v>0</v>
      </c>
      <c r="I334" s="389"/>
      <c r="J334" s="390"/>
      <c r="K334" s="434"/>
      <c r="L334" s="395">
        <f t="shared" si="83"/>
        <v>0</v>
      </c>
      <c r="M334" s="432"/>
      <c r="N334" s="434"/>
      <c r="O334" s="434"/>
      <c r="P334" s="434"/>
      <c r="Q334" s="399">
        <f>база!$L$5</f>
        <v>231.45480000000001</v>
      </c>
      <c r="R334" s="390">
        <v>1.4</v>
      </c>
      <c r="S334" s="491">
        <f>SUMIFS(Таблица1[Столбец1],Таблица1[коэф],"1,4",Таблица1[р/р],"4/16",Таблица1[Ф. И. О.],B330)</f>
        <v>0</v>
      </c>
      <c r="T334" s="492">
        <f t="shared" si="84"/>
        <v>0</v>
      </c>
      <c r="U334" s="472">
        <f>база!$M$5</f>
        <v>247.41720000000001</v>
      </c>
      <c r="V334" s="390">
        <v>1.4</v>
      </c>
      <c r="W334" s="494">
        <f>SUMIFS(Таблица1[Столбец1],Таблица1[коэф],"1,4",Таблица1[р/р],"4/24",Таблица1[Ф. И. О.],B330)</f>
        <v>0</v>
      </c>
      <c r="X334" s="492">
        <f t="shared" si="85"/>
        <v>0</v>
      </c>
      <c r="Y334" s="795"/>
      <c r="Z334" s="797"/>
      <c r="AA334" s="786"/>
    </row>
    <row r="335" spans="1:29" ht="19.5" thickBot="1">
      <c r="A335" s="787"/>
      <c r="B335" s="203"/>
      <c r="C335" s="790"/>
      <c r="D335" s="793"/>
      <c r="E335" s="463"/>
      <c r="F335" s="464"/>
      <c r="G335" s="465"/>
      <c r="H335" s="468">
        <f t="shared" si="82"/>
        <v>0</v>
      </c>
      <c r="I335" s="473"/>
      <c r="J335" s="464"/>
      <c r="K335" s="457"/>
      <c r="L335" s="458">
        <f t="shared" si="83"/>
        <v>0</v>
      </c>
      <c r="M335" s="466"/>
      <c r="N335" s="457"/>
      <c r="O335" s="457"/>
      <c r="P335" s="457"/>
      <c r="Q335" s="467">
        <f>база!$L$6</f>
        <v>261.04640000000001</v>
      </c>
      <c r="R335" s="464">
        <v>1.4</v>
      </c>
      <c r="S335" s="512">
        <f>SUMIFS(Таблица1[Столбец1],Таблица1[коэф],"1,4",Таблица1[р/р],"5/16",Таблица1[Ф. И. О.],B330)</f>
        <v>0</v>
      </c>
      <c r="T335" s="513">
        <f t="shared" si="84"/>
        <v>0</v>
      </c>
      <c r="U335" s="474">
        <f>база!$M$6</f>
        <v>279.0496</v>
      </c>
      <c r="V335" s="464">
        <v>1.4</v>
      </c>
      <c r="W335" s="501">
        <f>SUMIFS(Таблица1[Столбец1],Таблица1[коэф],"1,4",Таблица1[р/р],"5/24",Таблица1[Ф. И. О.],B330)</f>
        <v>0</v>
      </c>
      <c r="X335" s="513">
        <f t="shared" si="85"/>
        <v>0</v>
      </c>
      <c r="Y335" s="796"/>
      <c r="Z335" s="798"/>
      <c r="AA335" s="787"/>
    </row>
    <row r="336" spans="1:29" ht="17.25" customHeight="1" collapsed="1">
      <c r="A336" s="785">
        <v>31</v>
      </c>
      <c r="B336" s="236"/>
      <c r="C336" s="788">
        <f>INDEX(база!$E$2:$E$81, MATCH(B341,база!$B$2:$B$50,0))</f>
        <v>16799</v>
      </c>
      <c r="D336" s="791">
        <f>INDEX(база!$D$2:$D$89, MATCH(B341,база!$B$2:$B$50,0))</f>
        <v>3</v>
      </c>
      <c r="E336" s="451">
        <f>IF(D336&lt;=3,база!$I$4,
IF(D336=4,база!$I$5,
IF(D336=5,база!$I$6)))</f>
        <v>188.7912</v>
      </c>
      <c r="F336" s="417">
        <v>1</v>
      </c>
      <c r="G336" s="418">
        <f>SUMIFS(Таблица1[Столбец1],Таблица1[коэф],"1",Таблица1[р/р],"2/4",Таблица1[Ф. И. О.],B341)</f>
        <v>0</v>
      </c>
      <c r="H336" s="402">
        <f t="shared" ref="H336:H346" si="88">ROUND(E336*F336*G336*2,2)</f>
        <v>0</v>
      </c>
      <c r="I336" s="377">
        <f>IF(D336&lt;=3,база!$J$4,
IF(D336=4,база!$J$5,
IF(D336=5,база!$J$6)))</f>
        <v>196.05240000000001</v>
      </c>
      <c r="J336" s="378">
        <v>1</v>
      </c>
      <c r="K336" s="428">
        <f>SUMIFS(Таблица1[Столбец1],Таблица1[коэф],"1",Таблица1[р/р],"2/8",Таблица1[Ф. И. О.],B341)</f>
        <v>0</v>
      </c>
      <c r="L336" s="383">
        <f t="shared" ref="L336:L346" si="89">ROUND(I336*J336*K336*2,2)</f>
        <v>0</v>
      </c>
      <c r="M336" s="452"/>
      <c r="N336" s="453">
        <v>1</v>
      </c>
      <c r="O336" s="453">
        <f>SUMIFS(Data_Tech!$AM$3:$AM$67,Data_Tech!$E$3:$E$67,"1",Data_Tech!$G$3:$G$67,"3/12",Data_Tech!$F$3:$F$67,B341)</f>
        <v>0</v>
      </c>
      <c r="P336" s="453">
        <f>ROUND(M336*N336*O336,2)</f>
        <v>0</v>
      </c>
      <c r="Q336" s="416">
        <f>IF(D336&lt;=3,база!$L$4,
IF(D336=4,база!$L$5,
IF(D336=5,база!$L$6)))</f>
        <v>210.57480000000001</v>
      </c>
      <c r="R336" s="417">
        <v>1</v>
      </c>
      <c r="S336" s="495">
        <f>SUMIFS(Таблица1[Столбец1],Таблица1[коэф],"1",Таблица1[р/р],"3/16",Таблица1[Ф. И. О.],B341)</f>
        <v>0</v>
      </c>
      <c r="T336" s="490">
        <f t="shared" ref="T336:T346" si="90">ROUND(Q336*R336*S336*2,2)</f>
        <v>0</v>
      </c>
      <c r="U336" s="471">
        <f>IF(D336&lt;=3,база!$M$4,
IF(D336=4,база!$M$5,
IF(D336=5,база!$M$6)))</f>
        <v>225.09719999999999</v>
      </c>
      <c r="V336" s="378">
        <v>1</v>
      </c>
      <c r="W336" s="497">
        <f>SUMIFS(Таблица1[Столбец1],Таблица1[коэф],"1",Таблица1[р/р],"3/24",Таблица1[Ф. И. О.],B341)</f>
        <v>0</v>
      </c>
      <c r="X336" s="490">
        <f t="shared" ref="X336:X346" si="91">ROUND(U336*V336*W336*2,2)</f>
        <v>0</v>
      </c>
      <c r="Y336" s="795">
        <f t="shared" ref="Y336" si="92">SUM(G336:G346,K336:K346,O336:O346,S336:S346,W336:W346)</f>
        <v>0</v>
      </c>
      <c r="Z336" s="797">
        <f t="shared" ref="Z336" si="93">IFERROR(SUM(H336:H346,L336:L346,T336:T346,X336:X346),"")</f>
        <v>0</v>
      </c>
      <c r="AA336" s="786"/>
    </row>
    <row r="337" spans="1:29" ht="17.25" customHeight="1">
      <c r="A337" s="786"/>
      <c r="B337" s="216"/>
      <c r="C337" s="789"/>
      <c r="D337" s="792"/>
      <c r="E337" s="393">
        <f>IF(D336&lt;=3,база!$I$4,
IF(D336=4,база!$I$5,
IF(D336=5,база!$I$6)))</f>
        <v>188.7912</v>
      </c>
      <c r="F337" s="390">
        <v>1</v>
      </c>
      <c r="G337" s="400">
        <f>SUMIFS(Таблица1[Столбец1],Таблица1[коэф],"1",Таблица1[р/р],"3/4",Таблица1[Ф. И. О.],B341)</f>
        <v>0</v>
      </c>
      <c r="H337" s="392">
        <f t="shared" si="88"/>
        <v>0</v>
      </c>
      <c r="I337" s="389">
        <f>IF(D336&lt;=3,база!$J$4,
IF(D336=4,база!$J$5,
IF(D336=5,база!$J$6)))</f>
        <v>196.05240000000001</v>
      </c>
      <c r="J337" s="390">
        <v>1</v>
      </c>
      <c r="K337" s="434">
        <f>SUMIFS(Таблица1[Столбец1],Таблица1[коэф],"1",Таблица1[р/р],"3/8",Таблица1[Ф. И. О.],B341)</f>
        <v>0</v>
      </c>
      <c r="L337" s="484">
        <f t="shared" si="89"/>
        <v>0</v>
      </c>
      <c r="M337" s="432"/>
      <c r="N337" s="434">
        <v>1</v>
      </c>
      <c r="O337" s="434">
        <f>SUMIFS(Data_Tech!$AM$3:$AM$67,Data_Tech!$E$3:$E$67,"1",Data_Tech!$G$3:$G$67,"4/12",Data_Tech!$F$3:$F$67,B341)</f>
        <v>0</v>
      </c>
      <c r="P337" s="434">
        <f>ROUND(M337*O337,2)</f>
        <v>0</v>
      </c>
      <c r="Q337" s="399">
        <f>база!$L$5</f>
        <v>231.45480000000001</v>
      </c>
      <c r="R337" s="390">
        <v>1</v>
      </c>
      <c r="S337" s="491">
        <f>SUMIFS(Таблица1[Столбец1],Таблица1[коэф],"1",Таблица1[р/р],"4/16",Таблица1[Ф. И. О.],B341)</f>
        <v>0</v>
      </c>
      <c r="T337" s="492">
        <f t="shared" si="90"/>
        <v>0</v>
      </c>
      <c r="U337" s="472">
        <f>база!$M$5</f>
        <v>247.41720000000001</v>
      </c>
      <c r="V337" s="390">
        <v>1</v>
      </c>
      <c r="W337" s="494">
        <f>SUMIFS(Таблица1[Столбец1],Таблица1[коэф],"1",Таблица1[р/р],"4/24",Таблица1[Ф. И. О.],B341)</f>
        <v>0</v>
      </c>
      <c r="X337" s="492">
        <f t="shared" si="91"/>
        <v>0</v>
      </c>
      <c r="Y337" s="795"/>
      <c r="Z337" s="797"/>
      <c r="AA337" s="786"/>
    </row>
    <row r="338" spans="1:29" ht="17.25" customHeight="1">
      <c r="A338" s="786"/>
      <c r="B338" s="216"/>
      <c r="C338" s="789"/>
      <c r="D338" s="792"/>
      <c r="E338" s="393"/>
      <c r="F338" s="390"/>
      <c r="G338" s="400"/>
      <c r="H338" s="392">
        <f t="shared" si="88"/>
        <v>0</v>
      </c>
      <c r="I338" s="389"/>
      <c r="J338" s="390"/>
      <c r="K338" s="434"/>
      <c r="L338" s="484">
        <f t="shared" si="89"/>
        <v>0</v>
      </c>
      <c r="M338" s="432"/>
      <c r="N338" s="434"/>
      <c r="O338" s="434"/>
      <c r="P338" s="434"/>
      <c r="Q338" s="399">
        <f>база!$L$6</f>
        <v>261.04640000000001</v>
      </c>
      <c r="R338" s="390">
        <v>1</v>
      </c>
      <c r="S338" s="491">
        <f>SUMIFS(Таблица1[Столбец1],Таблица1[коэф],"1",Таблица1[р/р],"5/16",Таблица1[Ф. И. О.],B341)</f>
        <v>0</v>
      </c>
      <c r="T338" s="492">
        <f t="shared" si="90"/>
        <v>0</v>
      </c>
      <c r="U338" s="472">
        <f>база!$M$6</f>
        <v>279.0496</v>
      </c>
      <c r="V338" s="390">
        <v>1</v>
      </c>
      <c r="W338" s="494">
        <f>SUMIFS(Таблица1[Столбец1],Таблица1[коэф],"1",Таблица1[р/р],"5/24",Таблица1[Ф. И. О.],B341)</f>
        <v>0</v>
      </c>
      <c r="X338" s="492">
        <f t="shared" si="91"/>
        <v>0</v>
      </c>
      <c r="Y338" s="795"/>
      <c r="Z338" s="797"/>
      <c r="AA338" s="786"/>
    </row>
    <row r="339" spans="1:29" ht="17.25" customHeight="1">
      <c r="A339" s="786"/>
      <c r="B339" s="216"/>
      <c r="C339" s="789"/>
      <c r="D339" s="792"/>
      <c r="E339" s="393"/>
      <c r="F339" s="390"/>
      <c r="G339" s="400"/>
      <c r="H339" s="392">
        <f t="shared" si="88"/>
        <v>0</v>
      </c>
      <c r="I339" s="389">
        <f>база!$J$5</f>
        <v>215.4924</v>
      </c>
      <c r="J339" s="390">
        <v>1.5</v>
      </c>
      <c r="K339" s="434">
        <f>SUMIFS(Таблица1[Столбец1],Таблица1[коэф],"1,5",Таблица1[р/р],"4/8",Таблица1[Ф. И. О.],B341)</f>
        <v>0</v>
      </c>
      <c r="L339" s="484">
        <f t="shared" si="89"/>
        <v>0</v>
      </c>
      <c r="M339" s="432"/>
      <c r="N339" s="434"/>
      <c r="O339" s="434"/>
      <c r="P339" s="434"/>
      <c r="Q339" s="399">
        <f>IF(D336&lt;=3,база!$L$4,
IF(D336=4,база!$L$5,
IF(D336=5,база!$L$6)))</f>
        <v>210.57480000000001</v>
      </c>
      <c r="R339" s="390">
        <v>1.2</v>
      </c>
      <c r="S339" s="491">
        <f>SUMIFS(Таблица1[Столбец1],Таблица1[коэф],"1,2",Таблица1[р/р],"3/16",Таблица1[Ф. И. О.],B341)</f>
        <v>0</v>
      </c>
      <c r="T339" s="492">
        <f t="shared" si="90"/>
        <v>0</v>
      </c>
      <c r="U339" s="472">
        <f>IF(D336&lt;=3,база!$M$4,
IF(D336=4,база!$M$5,
IF(D336=5,база!$M$6)))</f>
        <v>225.09719999999999</v>
      </c>
      <c r="V339" s="390">
        <v>1.2</v>
      </c>
      <c r="W339" s="494">
        <f>SUMIFS(Таблица1[Столбец1],Таблица1[коэф],"1,2",Таблица1[р/р],"3/24",Таблица1[Ф. И. О.],B341)</f>
        <v>0</v>
      </c>
      <c r="X339" s="492">
        <f t="shared" si="91"/>
        <v>0</v>
      </c>
      <c r="Y339" s="795"/>
      <c r="Z339" s="797"/>
      <c r="AA339" s="786"/>
    </row>
    <row r="340" spans="1:29" ht="17.25" customHeight="1">
      <c r="A340" s="786"/>
      <c r="B340" s="216"/>
      <c r="C340" s="789"/>
      <c r="D340" s="792"/>
      <c r="E340" s="393"/>
      <c r="F340" s="390"/>
      <c r="G340" s="400"/>
      <c r="H340" s="392">
        <f t="shared" si="88"/>
        <v>0</v>
      </c>
      <c r="I340" s="389">
        <f>база!$J$6</f>
        <v>243.04319999999998</v>
      </c>
      <c r="J340" s="390">
        <v>1.5</v>
      </c>
      <c r="K340" s="434">
        <f>SUMIFS(Таблица1[Столбец1],Таблица1[коэф],"1,5",Таблица1[р/р],"5/8",Таблица1[Ф. И. О.],B341)</f>
        <v>0</v>
      </c>
      <c r="L340" s="484">
        <f t="shared" si="89"/>
        <v>0</v>
      </c>
      <c r="M340" s="432"/>
      <c r="N340" s="434"/>
      <c r="O340" s="434"/>
      <c r="P340" s="434"/>
      <c r="Q340" s="399">
        <f>база!$L$5</f>
        <v>231.45480000000001</v>
      </c>
      <c r="R340" s="390">
        <v>1.2</v>
      </c>
      <c r="S340" s="491">
        <f>SUMIFS(Таблица1[Столбец1],Таблица1[коэф],"1,2",Таблица1[р/р],"4/16",Таблица1[Ф. И. О.],B341)</f>
        <v>0</v>
      </c>
      <c r="T340" s="492">
        <f t="shared" si="90"/>
        <v>0</v>
      </c>
      <c r="U340" s="472">
        <f>база!$M$5</f>
        <v>247.41720000000001</v>
      </c>
      <c r="V340" s="390">
        <v>1.2</v>
      </c>
      <c r="W340" s="494">
        <f>SUMIFS(Таблица1[Столбец1],Таблица1[коэф],"1,2",Таблица1[р/р],"4/24",Таблица1[Ф. И. О.],B341)</f>
        <v>0</v>
      </c>
      <c r="X340" s="492">
        <f t="shared" si="91"/>
        <v>0</v>
      </c>
      <c r="Y340" s="795"/>
      <c r="Z340" s="797"/>
      <c r="AA340" s="786"/>
    </row>
    <row r="341" spans="1:29" ht="17.25" customHeight="1">
      <c r="A341" s="786"/>
      <c r="B341" s="216" t="str">
        <f>база!B32</f>
        <v>Иванченко Ульяна Леонидовна</v>
      </c>
      <c r="C341" s="789"/>
      <c r="D341" s="792"/>
      <c r="E341" s="393"/>
      <c r="F341" s="390"/>
      <c r="G341" s="400"/>
      <c r="H341" s="392">
        <f t="shared" si="88"/>
        <v>0</v>
      </c>
      <c r="I341" s="389"/>
      <c r="J341" s="390"/>
      <c r="K341" s="434"/>
      <c r="L341" s="484">
        <f t="shared" si="89"/>
        <v>0</v>
      </c>
      <c r="M341" s="432"/>
      <c r="N341" s="434"/>
      <c r="O341" s="434"/>
      <c r="P341" s="434"/>
      <c r="Q341" s="399">
        <f>база!$L$6</f>
        <v>261.04640000000001</v>
      </c>
      <c r="R341" s="390">
        <v>1.2</v>
      </c>
      <c r="S341" s="491">
        <f>SUMIFS(Таблица1[Столбец1],Таблица1[коэф],"1,2",Таблица1[р/р],"5/16",Таблица1[Ф. И. О.],B341)</f>
        <v>0</v>
      </c>
      <c r="T341" s="492">
        <f t="shared" si="90"/>
        <v>0</v>
      </c>
      <c r="U341" s="472">
        <f>база!$M$6</f>
        <v>279.0496</v>
      </c>
      <c r="V341" s="390">
        <v>1.2</v>
      </c>
      <c r="W341" s="494">
        <f>SUMIFS(Таблица1[Столбец1],Таблица1[коэф],"1,2",Таблица1[р/р],"5/24",Таблица1[Ф. И. О.],B341)</f>
        <v>0</v>
      </c>
      <c r="X341" s="492">
        <f t="shared" si="91"/>
        <v>0</v>
      </c>
      <c r="Y341" s="795"/>
      <c r="Z341" s="797"/>
      <c r="AA341" s="786"/>
      <c r="AC341" s="727" t="str">
        <f>IF(SUMIFS(Таблица1[Столбец3],Таблица1[Ф. И. О.],B341)-Z336=0,"",SUMIFS(Таблица1[Столбец3],Таблица1[Ф. И. О.],B341)-Z336)</f>
        <v/>
      </c>
    </row>
    <row r="342" spans="1:29" ht="17.25" customHeight="1">
      <c r="A342" s="786"/>
      <c r="B342" s="216"/>
      <c r="C342" s="789"/>
      <c r="D342" s="792"/>
      <c r="E342" s="393"/>
      <c r="F342" s="390"/>
      <c r="G342" s="400"/>
      <c r="H342" s="392">
        <f t="shared" si="88"/>
        <v>0</v>
      </c>
      <c r="I342" s="389"/>
      <c r="J342" s="390"/>
      <c r="K342" s="434"/>
      <c r="L342" s="484">
        <f t="shared" si="89"/>
        <v>0</v>
      </c>
      <c r="M342" s="432"/>
      <c r="N342" s="434"/>
      <c r="O342" s="434"/>
      <c r="P342" s="434"/>
      <c r="Q342" s="399">
        <f>IF(D336&lt;=3,база!$L$4,
IF(D336=4,база!$L$5,
IF(D336=5,база!$L$6)))</f>
        <v>210.57480000000001</v>
      </c>
      <c r="R342" s="390">
        <v>1.3</v>
      </c>
      <c r="S342" s="491">
        <f>SUMIFS(Таблица1[Столбец1],Таблица1[коэф],"1,3",Таблица1[р/р],"3/16",Таблица1[Ф. И. О.],B341)</f>
        <v>0</v>
      </c>
      <c r="T342" s="492">
        <f t="shared" si="90"/>
        <v>0</v>
      </c>
      <c r="U342" s="472">
        <f>IF(D336&lt;=3,база!$M$4,
IF(D336=4,база!$M$5,
IF(D336=5,база!$M$6)))</f>
        <v>225.09719999999999</v>
      </c>
      <c r="V342" s="390">
        <v>1.3</v>
      </c>
      <c r="W342" s="494">
        <f>SUMIFS(Таблица1[Столбец1],Таблица1[коэф],"1,3",Таблица1[р/р],"3/24",Таблица1[Ф. И. О.],B341)</f>
        <v>0</v>
      </c>
      <c r="X342" s="492">
        <f t="shared" si="91"/>
        <v>0</v>
      </c>
      <c r="Y342" s="795"/>
      <c r="Z342" s="797"/>
      <c r="AA342" s="786"/>
      <c r="AC342" s="727" t="str">
        <f>IF(SUMIFS(Таблица1[Столбец1],Таблица1[Ф. И. О.],B341)=Y336,"",B341&amp;"  часы не верны")</f>
        <v/>
      </c>
    </row>
    <row r="343" spans="1:29" ht="17.25" customHeight="1">
      <c r="A343" s="786"/>
      <c r="B343" s="216"/>
      <c r="C343" s="789"/>
      <c r="D343" s="792"/>
      <c r="E343" s="393"/>
      <c r="F343" s="390"/>
      <c r="G343" s="400"/>
      <c r="H343" s="392">
        <f t="shared" si="88"/>
        <v>0</v>
      </c>
      <c r="I343" s="389"/>
      <c r="J343" s="390"/>
      <c r="K343" s="434"/>
      <c r="L343" s="484">
        <f t="shared" si="89"/>
        <v>0</v>
      </c>
      <c r="M343" s="432"/>
      <c r="N343" s="434"/>
      <c r="O343" s="434"/>
      <c r="P343" s="434"/>
      <c r="Q343" s="399">
        <f>база!$L$5</f>
        <v>231.45480000000001</v>
      </c>
      <c r="R343" s="390">
        <v>1.3</v>
      </c>
      <c r="S343" s="491">
        <f>SUMIFS(Таблица1[Столбец1],Таблица1[коэф],"1,3",Таблица1[р/р],"4/16",Таблица1[Ф. И. О.],B341)</f>
        <v>0</v>
      </c>
      <c r="T343" s="492">
        <f t="shared" si="90"/>
        <v>0</v>
      </c>
      <c r="U343" s="472">
        <f>база!$M$5</f>
        <v>247.41720000000001</v>
      </c>
      <c r="V343" s="390">
        <v>1.3</v>
      </c>
      <c r="W343" s="494">
        <f>SUMIFS(Таблица1[Столбец1],Таблица1[коэф],"1,3",Таблица1[р/р],"4/24",Таблица1[Ф. И. О.],B341)</f>
        <v>0</v>
      </c>
      <c r="X343" s="492">
        <f t="shared" si="91"/>
        <v>0</v>
      </c>
      <c r="Y343" s="795"/>
      <c r="Z343" s="797"/>
      <c r="AA343" s="786"/>
    </row>
    <row r="344" spans="1:29" ht="17.25" customHeight="1">
      <c r="A344" s="786"/>
      <c r="B344" s="216"/>
      <c r="C344" s="789"/>
      <c r="D344" s="792"/>
      <c r="E344" s="393"/>
      <c r="F344" s="390"/>
      <c r="G344" s="400"/>
      <c r="H344" s="392">
        <f t="shared" si="88"/>
        <v>0</v>
      </c>
      <c r="I344" s="389"/>
      <c r="J344" s="390"/>
      <c r="K344" s="434"/>
      <c r="L344" s="484">
        <f t="shared" si="89"/>
        <v>0</v>
      </c>
      <c r="M344" s="432"/>
      <c r="N344" s="434"/>
      <c r="O344" s="434"/>
      <c r="P344" s="434"/>
      <c r="Q344" s="399">
        <f>IF(D336&lt;=3,база!$L$4,
IF(D336=4,база!$L$5,
IF(D336=5,база!$L$6)))</f>
        <v>210.57480000000001</v>
      </c>
      <c r="R344" s="390">
        <v>1.4</v>
      </c>
      <c r="S344" s="491">
        <f>SUMIFS(Таблица1[Столбец1],Таблица1[коэф],"1,4",Таблица1[р/р],"3/16",Таблица1[Ф. И. О.],B341)</f>
        <v>0</v>
      </c>
      <c r="T344" s="492">
        <f t="shared" si="90"/>
        <v>0</v>
      </c>
      <c r="U344" s="472">
        <f>IF(D336&lt;=3,база!$M$4,
IF(D336=4,база!$M$5,
IF(D336=5,база!$M$6)))</f>
        <v>225.09719999999999</v>
      </c>
      <c r="V344" s="390">
        <v>1.4</v>
      </c>
      <c r="W344" s="494">
        <f>SUMIFS(Таблица1[Столбец1],Таблица1[коэф],"1,4",Таблица1[р/р],"3/24",Таблица1[Ф. И. О.],B341)</f>
        <v>0</v>
      </c>
      <c r="X344" s="492">
        <f t="shared" si="91"/>
        <v>0</v>
      </c>
      <c r="Y344" s="795"/>
      <c r="Z344" s="797"/>
      <c r="AA344" s="786"/>
    </row>
    <row r="345" spans="1:29" ht="17.25" customHeight="1">
      <c r="A345" s="786"/>
      <c r="B345" s="216"/>
      <c r="C345" s="789"/>
      <c r="D345" s="792"/>
      <c r="E345" s="393"/>
      <c r="F345" s="390"/>
      <c r="G345" s="400"/>
      <c r="H345" s="392">
        <f t="shared" si="88"/>
        <v>0</v>
      </c>
      <c r="I345" s="389"/>
      <c r="J345" s="390"/>
      <c r="K345" s="434"/>
      <c r="L345" s="395">
        <f t="shared" si="89"/>
        <v>0</v>
      </c>
      <c r="M345" s="432"/>
      <c r="N345" s="434"/>
      <c r="O345" s="434"/>
      <c r="P345" s="434"/>
      <c r="Q345" s="399">
        <f>база!$L$5</f>
        <v>231.45480000000001</v>
      </c>
      <c r="R345" s="390">
        <v>1.4</v>
      </c>
      <c r="S345" s="491">
        <f>SUMIFS(Таблица1[Столбец1],Таблица1[коэф],"1,4",Таблица1[р/р],"4/16",Таблица1[Ф. И. О.],B341)</f>
        <v>0</v>
      </c>
      <c r="T345" s="492">
        <f t="shared" si="90"/>
        <v>0</v>
      </c>
      <c r="U345" s="472">
        <f>база!$M$5</f>
        <v>247.41720000000001</v>
      </c>
      <c r="V345" s="390">
        <v>1.4</v>
      </c>
      <c r="W345" s="494">
        <f>SUMIFS(Таблица1[Столбец1],Таблица1[коэф],"1,4",Таблица1[р/р],"4/24",Таблица1[Ф. И. О.],B341)</f>
        <v>0</v>
      </c>
      <c r="X345" s="492">
        <f t="shared" si="91"/>
        <v>0</v>
      </c>
      <c r="Y345" s="795"/>
      <c r="Z345" s="797"/>
      <c r="AA345" s="786"/>
    </row>
    <row r="346" spans="1:29" ht="17.25" customHeight="1" thickBot="1">
      <c r="A346" s="787"/>
      <c r="B346" s="203"/>
      <c r="C346" s="790"/>
      <c r="D346" s="793"/>
      <c r="E346" s="463"/>
      <c r="F346" s="464"/>
      <c r="G346" s="465"/>
      <c r="H346" s="468">
        <f t="shared" si="88"/>
        <v>0</v>
      </c>
      <c r="I346" s="473"/>
      <c r="J346" s="464"/>
      <c r="K346" s="457"/>
      <c r="L346" s="458">
        <f t="shared" si="89"/>
        <v>0</v>
      </c>
      <c r="M346" s="466"/>
      <c r="N346" s="457"/>
      <c r="O346" s="457"/>
      <c r="P346" s="457"/>
      <c r="Q346" s="467">
        <f>база!$L$6</f>
        <v>261.04640000000001</v>
      </c>
      <c r="R346" s="464">
        <v>1.4</v>
      </c>
      <c r="S346" s="512">
        <f>SUMIFS(Таблица1[Столбец1],Таблица1[коэф],"1,4",Таблица1[р/р],"5/16",Таблица1[Ф. И. О.],B341)</f>
        <v>0</v>
      </c>
      <c r="T346" s="513">
        <f t="shared" si="90"/>
        <v>0</v>
      </c>
      <c r="U346" s="474">
        <f>база!$M$6</f>
        <v>279.0496</v>
      </c>
      <c r="V346" s="464">
        <v>1.4</v>
      </c>
      <c r="W346" s="501">
        <f>SUMIFS(Таблица1[Столбец1],Таблица1[коэф],"1,4",Таблица1[р/р],"5/24",Таблица1[Ф. И. О.],B341)</f>
        <v>0</v>
      </c>
      <c r="X346" s="513">
        <f t="shared" si="91"/>
        <v>0</v>
      </c>
      <c r="Y346" s="796"/>
      <c r="Z346" s="798"/>
      <c r="AA346" s="787"/>
    </row>
    <row r="347" spans="1:29" ht="18.75" collapsed="1">
      <c r="A347" s="785">
        <v>32</v>
      </c>
      <c r="B347" s="236"/>
      <c r="C347" s="788">
        <f>INDEX(база!$E$2:$E$81, MATCH(B352,база!$B$2:$B$50,0))</f>
        <v>17305</v>
      </c>
      <c r="D347" s="791">
        <f>INDEX(база!$D$2:$D$89, MATCH(B352,база!$B$2:$B$50,0))</f>
        <v>3</v>
      </c>
      <c r="E347" s="451">
        <f>IF(D347&lt;=3,база!$I$4,
IF(D347=4,база!$I$5,
IF(D347=5,база!$I$6)))</f>
        <v>188.7912</v>
      </c>
      <c r="F347" s="417">
        <v>1</v>
      </c>
      <c r="G347" s="418">
        <f>SUMIFS(Таблица1[Столбец1],Таблица1[коэф],"1",Таблица1[р/р],"2/4",Таблица1[Ф. И. О.],B352)</f>
        <v>0</v>
      </c>
      <c r="H347" s="402">
        <f t="shared" ref="H347:H368" si="94">ROUND(E347*F347*G347*2,2)</f>
        <v>0</v>
      </c>
      <c r="I347" s="377">
        <f>IF(D347&lt;=3,база!$J$4,
IF(D347=4,база!$J$5,
IF(D347=5,база!$J$6)))</f>
        <v>196.05240000000001</v>
      </c>
      <c r="J347" s="378">
        <v>1</v>
      </c>
      <c r="K347" s="428">
        <f>SUMIFS(Таблица1[Столбец1],Таблица1[коэф],"1",Таблица1[р/р],"2/8",Таблица1[Ф. И. О.],B352)</f>
        <v>0</v>
      </c>
      <c r="L347" s="383">
        <f t="shared" ref="L347:L368" si="95">ROUND(I347*J347*K347*2,2)</f>
        <v>0</v>
      </c>
      <c r="M347" s="452"/>
      <c r="N347" s="453">
        <v>1</v>
      </c>
      <c r="O347" s="453">
        <f>SUMIFS(Data_Tech!$AM$3:$AM$67,Data_Tech!$E$3:$E$67,"1",Data_Tech!$G$3:$G$67,"3/12",Data_Tech!$F$3:$F$67,B352)</f>
        <v>0</v>
      </c>
      <c r="P347" s="453">
        <f>ROUND(M347*N347*O347,2)</f>
        <v>0</v>
      </c>
      <c r="Q347" s="416">
        <f>IF(D347&lt;=3,база!$L$4,
IF(D347=4,база!$L$5,
IF(D347=5,база!$L$6)))</f>
        <v>210.57480000000001</v>
      </c>
      <c r="R347" s="417">
        <v>1</v>
      </c>
      <c r="S347" s="495">
        <f>SUMIFS(Таблица1[Столбец1],Таблица1[коэф],"1",Таблица1[р/р],"3/16",Таблица1[Ф. И. О.],B352)</f>
        <v>0</v>
      </c>
      <c r="T347" s="490">
        <f t="shared" ref="T347:T368" si="96">ROUND(Q347*R347*S347*2,2)</f>
        <v>0</v>
      </c>
      <c r="U347" s="471">
        <f>IF(D347&lt;=3,база!$M$4,
IF(D347=4,база!$M$5,
IF(D347=5,база!$M$6)))</f>
        <v>225.09719999999999</v>
      </c>
      <c r="V347" s="378">
        <v>1</v>
      </c>
      <c r="W347" s="497">
        <f>SUMIFS(Таблица1[Столбец1],Таблица1[коэф],"1",Таблица1[р/р],"3/24",Таблица1[Ф. И. О.],B352)</f>
        <v>0</v>
      </c>
      <c r="X347" s="490">
        <f t="shared" ref="X347:X368" si="97">ROUND(U347*V347*W347*2,2)</f>
        <v>0</v>
      </c>
      <c r="Y347" s="795">
        <f t="shared" ref="Y347" si="98">SUM(G347:G357,K347:K357,O347:O357,S347:S357,W347:W357)</f>
        <v>0</v>
      </c>
      <c r="Z347" s="797">
        <f t="shared" ref="Z347" si="99">IFERROR(SUM(H347:H357,L347:L357,T347:T357,X347:X357),"")</f>
        <v>0</v>
      </c>
      <c r="AA347" s="786"/>
    </row>
    <row r="348" spans="1:29" ht="18.75">
      <c r="A348" s="786"/>
      <c r="B348" s="216"/>
      <c r="C348" s="789"/>
      <c r="D348" s="792"/>
      <c r="E348" s="393">
        <f>IF(D347&lt;=3,база!$I$4,
IF(D347=4,база!$I$5,
IF(D347=5,база!$I$6)))</f>
        <v>188.7912</v>
      </c>
      <c r="F348" s="390">
        <v>1</v>
      </c>
      <c r="G348" s="400">
        <f>SUMIFS(Таблица1[Столбец1],Таблица1[коэф],"1",Таблица1[р/р],"3/4",Таблица1[Ф. И. О.],B352)</f>
        <v>0</v>
      </c>
      <c r="H348" s="392">
        <f t="shared" si="94"/>
        <v>0</v>
      </c>
      <c r="I348" s="389">
        <f>IF(D347&lt;=3,база!$J$4,
IF(D347=4,база!$J$5,
IF(D347=5,база!$J$6)))</f>
        <v>196.05240000000001</v>
      </c>
      <c r="J348" s="390">
        <v>1</v>
      </c>
      <c r="K348" s="434">
        <f>SUMIFS(Таблица1[Столбец1],Таблица1[коэф],"1",Таблица1[р/р],"3/8",Таблица1[Ф. И. О.],B352)</f>
        <v>0</v>
      </c>
      <c r="L348" s="484">
        <f t="shared" si="95"/>
        <v>0</v>
      </c>
      <c r="M348" s="432"/>
      <c r="N348" s="434">
        <v>1</v>
      </c>
      <c r="O348" s="434">
        <f>SUMIFS(Data_Tech!$AM$3:$AM$67,Data_Tech!$E$3:$E$67,"1",Data_Tech!$G$3:$G$67,"4/12",Data_Tech!$F$3:$F$67,B352)</f>
        <v>0</v>
      </c>
      <c r="P348" s="434">
        <f>ROUND(M348*O348,2)</f>
        <v>0</v>
      </c>
      <c r="Q348" s="399">
        <f>база!$L$5</f>
        <v>231.45480000000001</v>
      </c>
      <c r="R348" s="390">
        <v>1</v>
      </c>
      <c r="S348" s="491">
        <f>SUMIFS(Таблица1[Столбец1],Таблица1[коэф],"1",Таблица1[р/р],"4/16",Таблица1[Ф. И. О.],B352)</f>
        <v>0</v>
      </c>
      <c r="T348" s="492">
        <f t="shared" si="96"/>
        <v>0</v>
      </c>
      <c r="U348" s="472">
        <f>база!$M$5</f>
        <v>247.41720000000001</v>
      </c>
      <c r="V348" s="390">
        <v>1</v>
      </c>
      <c r="W348" s="494">
        <f>SUMIFS(Таблица1[Столбец1],Таблица1[коэф],"1",Таблица1[р/р],"4/24",Таблица1[Ф. И. О.],B352)</f>
        <v>0</v>
      </c>
      <c r="X348" s="492">
        <f t="shared" si="97"/>
        <v>0</v>
      </c>
      <c r="Y348" s="795"/>
      <c r="Z348" s="797"/>
      <c r="AA348" s="786"/>
    </row>
    <row r="349" spans="1:29" ht="18.75">
      <c r="A349" s="786"/>
      <c r="B349" s="216"/>
      <c r="C349" s="789"/>
      <c r="D349" s="792"/>
      <c r="E349" s="393"/>
      <c r="F349" s="390"/>
      <c r="G349" s="400"/>
      <c r="H349" s="392">
        <f t="shared" si="94"/>
        <v>0</v>
      </c>
      <c r="I349" s="389"/>
      <c r="J349" s="390"/>
      <c r="K349" s="434"/>
      <c r="L349" s="484">
        <f t="shared" si="95"/>
        <v>0</v>
      </c>
      <c r="M349" s="432"/>
      <c r="N349" s="434"/>
      <c r="O349" s="434"/>
      <c r="P349" s="434"/>
      <c r="Q349" s="399">
        <f>база!$L$6</f>
        <v>261.04640000000001</v>
      </c>
      <c r="R349" s="390">
        <v>1</v>
      </c>
      <c r="S349" s="491">
        <f>SUMIFS(Таблица1[Столбец1],Таблица1[коэф],"1",Таблица1[р/р],"5/16",Таблица1[Ф. И. О.],B352)</f>
        <v>0</v>
      </c>
      <c r="T349" s="492">
        <f t="shared" si="96"/>
        <v>0</v>
      </c>
      <c r="U349" s="472">
        <f>база!$M$6</f>
        <v>279.0496</v>
      </c>
      <c r="V349" s="390">
        <v>1</v>
      </c>
      <c r="W349" s="494">
        <f>SUMIFS(Таблица1[Столбец1],Таблица1[коэф],"1",Таблица1[р/р],"5/24",Таблица1[Ф. И. О.],B352)</f>
        <v>0</v>
      </c>
      <c r="X349" s="492">
        <f t="shared" si="97"/>
        <v>0</v>
      </c>
      <c r="Y349" s="795"/>
      <c r="Z349" s="797"/>
      <c r="AA349" s="786"/>
    </row>
    <row r="350" spans="1:29" ht="18.75">
      <c r="A350" s="786"/>
      <c r="B350" s="216"/>
      <c r="C350" s="789"/>
      <c r="D350" s="792"/>
      <c r="E350" s="393"/>
      <c r="F350" s="390"/>
      <c r="G350" s="400"/>
      <c r="H350" s="392">
        <f t="shared" si="94"/>
        <v>0</v>
      </c>
      <c r="I350" s="389">
        <f>база!$J$5</f>
        <v>215.4924</v>
      </c>
      <c r="J350" s="390">
        <v>1.5</v>
      </c>
      <c r="K350" s="434">
        <f>SUMIFS(Таблица1[Столбец1],Таблица1[коэф],"1,5",Таблица1[р/р],"4/8",Таблица1[Ф. И. О.],B352)</f>
        <v>0</v>
      </c>
      <c r="L350" s="484">
        <f t="shared" si="95"/>
        <v>0</v>
      </c>
      <c r="M350" s="432"/>
      <c r="N350" s="434"/>
      <c r="O350" s="434"/>
      <c r="P350" s="434"/>
      <c r="Q350" s="399">
        <f>IF(D347&lt;=3,база!$L$4,
IF(D347=4,база!$L$5,
IF(D347=5,база!$L$6)))</f>
        <v>210.57480000000001</v>
      </c>
      <c r="R350" s="390">
        <v>1.2</v>
      </c>
      <c r="S350" s="491">
        <f>SUMIFS(Таблица1[Столбец1],Таблица1[коэф],"1,2",Таблица1[р/р],"3/16",Таблица1[Ф. И. О.],B352)</f>
        <v>0</v>
      </c>
      <c r="T350" s="492">
        <f t="shared" si="96"/>
        <v>0</v>
      </c>
      <c r="U350" s="472">
        <f>IF(D347&lt;=3,база!$M$4,
IF(D347=4,база!$M$5,
IF(D347=5,база!$M$6)))</f>
        <v>225.09719999999999</v>
      </c>
      <c r="V350" s="390">
        <v>1.2</v>
      </c>
      <c r="W350" s="494">
        <f>SUMIFS(Таблица1[Столбец1],Таблица1[коэф],"1,2",Таблица1[р/р],"3/24",Таблица1[Ф. И. О.],B352)</f>
        <v>0</v>
      </c>
      <c r="X350" s="492">
        <f t="shared" si="97"/>
        <v>0</v>
      </c>
      <c r="Y350" s="795"/>
      <c r="Z350" s="797"/>
      <c r="AA350" s="786"/>
    </row>
    <row r="351" spans="1:29" ht="18.75">
      <c r="A351" s="786"/>
      <c r="B351" s="216"/>
      <c r="C351" s="789"/>
      <c r="D351" s="792"/>
      <c r="E351" s="393"/>
      <c r="F351" s="390"/>
      <c r="G351" s="400"/>
      <c r="H351" s="392">
        <f t="shared" si="94"/>
        <v>0</v>
      </c>
      <c r="I351" s="389">
        <f>база!$J$6</f>
        <v>243.04319999999998</v>
      </c>
      <c r="J351" s="390">
        <v>1.5</v>
      </c>
      <c r="K351" s="434">
        <f>SUMIFS(Таблица1[Столбец1],Таблица1[коэф],"1,5",Таблица1[р/р],"5/8",Таблица1[Ф. И. О.],B352)</f>
        <v>0</v>
      </c>
      <c r="L351" s="484">
        <f t="shared" si="95"/>
        <v>0</v>
      </c>
      <c r="M351" s="432"/>
      <c r="N351" s="434"/>
      <c r="O351" s="434"/>
      <c r="P351" s="434"/>
      <c r="Q351" s="399">
        <f>база!$L$5</f>
        <v>231.45480000000001</v>
      </c>
      <c r="R351" s="390">
        <v>1.2</v>
      </c>
      <c r="S351" s="491">
        <f>SUMIFS(Таблица1[Столбец1],Таблица1[коэф],"1,2",Таблица1[р/р],"4/16",Таблица1[Ф. И. О.],B352)</f>
        <v>0</v>
      </c>
      <c r="T351" s="492">
        <f t="shared" si="96"/>
        <v>0</v>
      </c>
      <c r="U351" s="472">
        <f>база!$M$5</f>
        <v>247.41720000000001</v>
      </c>
      <c r="V351" s="390">
        <v>1.2</v>
      </c>
      <c r="W351" s="494">
        <f>SUMIFS(Таблица1[Столбец1],Таблица1[коэф],"1,2",Таблица1[р/р],"4/24",Таблица1[Ф. И. О.],B352)</f>
        <v>0</v>
      </c>
      <c r="X351" s="492">
        <f t="shared" si="97"/>
        <v>0</v>
      </c>
      <c r="Y351" s="795"/>
      <c r="Z351" s="797"/>
      <c r="AA351" s="786"/>
    </row>
    <row r="352" spans="1:29" ht="18" customHeight="1">
      <c r="A352" s="786"/>
      <c r="B352" s="216" t="str">
        <f>база!B33</f>
        <v>Исаева Инна Игоревна</v>
      </c>
      <c r="C352" s="789"/>
      <c r="D352" s="792"/>
      <c r="E352" s="393"/>
      <c r="F352" s="390"/>
      <c r="G352" s="400"/>
      <c r="H352" s="392">
        <f t="shared" si="94"/>
        <v>0</v>
      </c>
      <c r="I352" s="389"/>
      <c r="J352" s="390"/>
      <c r="K352" s="434"/>
      <c r="L352" s="484">
        <f t="shared" si="95"/>
        <v>0</v>
      </c>
      <c r="M352" s="432"/>
      <c r="N352" s="434"/>
      <c r="O352" s="434"/>
      <c r="P352" s="434"/>
      <c r="Q352" s="399">
        <f>база!$L$6</f>
        <v>261.04640000000001</v>
      </c>
      <c r="R352" s="390">
        <v>1.2</v>
      </c>
      <c r="S352" s="491">
        <f>SUMIFS(Таблица1[Столбец1],Таблица1[коэф],"1,2",Таблица1[р/р],"5/16",Таблица1[Ф. И. О.],B352)</f>
        <v>0</v>
      </c>
      <c r="T352" s="492">
        <f t="shared" si="96"/>
        <v>0</v>
      </c>
      <c r="U352" s="472">
        <f>база!$M$6</f>
        <v>279.0496</v>
      </c>
      <c r="V352" s="390">
        <v>1.2</v>
      </c>
      <c r="W352" s="494">
        <f>SUMIFS(Таблица1[Столбец1],Таблица1[коэф],"1,2",Таблица1[р/р],"5/24",Таблица1[Ф. И. О.],B352)</f>
        <v>0</v>
      </c>
      <c r="X352" s="492">
        <f t="shared" si="97"/>
        <v>0</v>
      </c>
      <c r="Y352" s="795"/>
      <c r="Z352" s="797"/>
      <c r="AA352" s="786"/>
      <c r="AC352" s="727" t="str">
        <f>IF(SUMIFS(Таблица1[Столбец3],Таблица1[Ф. И. О.],B352)-Z347=0,"",SUMIFS(Таблица1[Столбец3],Таблица1[Ф. И. О.],B352)-Z347)</f>
        <v/>
      </c>
    </row>
    <row r="353" spans="1:29" ht="18.75">
      <c r="A353" s="786"/>
      <c r="B353" s="216"/>
      <c r="C353" s="789"/>
      <c r="D353" s="792"/>
      <c r="E353" s="393"/>
      <c r="F353" s="390"/>
      <c r="G353" s="400"/>
      <c r="H353" s="392">
        <f t="shared" si="94"/>
        <v>0</v>
      </c>
      <c r="I353" s="389"/>
      <c r="J353" s="390"/>
      <c r="K353" s="434"/>
      <c r="L353" s="484">
        <f t="shared" si="95"/>
        <v>0</v>
      </c>
      <c r="M353" s="432"/>
      <c r="N353" s="434"/>
      <c r="O353" s="434"/>
      <c r="P353" s="434"/>
      <c r="Q353" s="399">
        <f>IF(D347&lt;=3,база!$L$4,
IF(D347=4,база!$L$5,
IF(D347=5,база!$L$6)))</f>
        <v>210.57480000000001</v>
      </c>
      <c r="R353" s="390">
        <v>1.3</v>
      </c>
      <c r="S353" s="491">
        <f>SUMIFS(Таблица1[Столбец1],Таблица1[коэф],"1,3",Таблица1[р/р],"3/16",Таблица1[Ф. И. О.],B352)</f>
        <v>0</v>
      </c>
      <c r="T353" s="492">
        <f t="shared" si="96"/>
        <v>0</v>
      </c>
      <c r="U353" s="472">
        <f>IF(D347&lt;=3,база!$M$4,
IF(D347=4,база!$M$5,
IF(D347=5,база!$M$6)))</f>
        <v>225.09719999999999</v>
      </c>
      <c r="V353" s="390">
        <v>1.3</v>
      </c>
      <c r="W353" s="494">
        <f>SUMIFS(Таблица1[Столбец1],Таблица1[коэф],"1,3",Таблица1[р/р],"3/24",Таблица1[Ф. И. О.],B352)</f>
        <v>0</v>
      </c>
      <c r="X353" s="492">
        <f t="shared" si="97"/>
        <v>0</v>
      </c>
      <c r="Y353" s="795"/>
      <c r="Z353" s="797"/>
      <c r="AA353" s="786"/>
      <c r="AC353" s="727" t="str">
        <f>IF(SUMIFS(Таблица1[Столбец1],Таблица1[Ф. И. О.],B352)=Y347,"",B352&amp;"  часы не верны")</f>
        <v/>
      </c>
    </row>
    <row r="354" spans="1:29" ht="18.75">
      <c r="A354" s="786"/>
      <c r="B354" s="216"/>
      <c r="C354" s="789"/>
      <c r="D354" s="792"/>
      <c r="E354" s="393"/>
      <c r="F354" s="390"/>
      <c r="G354" s="400"/>
      <c r="H354" s="392">
        <f t="shared" si="94"/>
        <v>0</v>
      </c>
      <c r="I354" s="389"/>
      <c r="J354" s="390"/>
      <c r="K354" s="434"/>
      <c r="L354" s="484">
        <f t="shared" si="95"/>
        <v>0</v>
      </c>
      <c r="M354" s="432"/>
      <c r="N354" s="434"/>
      <c r="O354" s="434"/>
      <c r="P354" s="434"/>
      <c r="Q354" s="399">
        <f>база!$L$5</f>
        <v>231.45480000000001</v>
      </c>
      <c r="R354" s="390">
        <v>1.3</v>
      </c>
      <c r="S354" s="491">
        <f>SUMIFS(Таблица1[Столбец1],Таблица1[коэф],"1,3",Таблица1[р/р],"4/16",Таблица1[Ф. И. О.],B352)</f>
        <v>0</v>
      </c>
      <c r="T354" s="492">
        <f t="shared" si="96"/>
        <v>0</v>
      </c>
      <c r="U354" s="472">
        <f>база!$M$5</f>
        <v>247.41720000000001</v>
      </c>
      <c r="V354" s="390">
        <v>1.3</v>
      </c>
      <c r="W354" s="494">
        <f>SUMIFS(Таблица1[Столбец1],Таблица1[коэф],"1,3",Таблица1[р/р],"4/24",Таблица1[Ф. И. О.],B352)</f>
        <v>0</v>
      </c>
      <c r="X354" s="492">
        <f t="shared" si="97"/>
        <v>0</v>
      </c>
      <c r="Y354" s="795"/>
      <c r="Z354" s="797"/>
      <c r="AA354" s="786"/>
    </row>
    <row r="355" spans="1:29" ht="18.75">
      <c r="A355" s="786"/>
      <c r="B355" s="216"/>
      <c r="C355" s="789"/>
      <c r="D355" s="792"/>
      <c r="E355" s="393"/>
      <c r="F355" s="390"/>
      <c r="G355" s="400"/>
      <c r="H355" s="392">
        <f t="shared" si="94"/>
        <v>0</v>
      </c>
      <c r="I355" s="389"/>
      <c r="J355" s="390"/>
      <c r="K355" s="434"/>
      <c r="L355" s="484">
        <f t="shared" si="95"/>
        <v>0</v>
      </c>
      <c r="M355" s="432"/>
      <c r="N355" s="434"/>
      <c r="O355" s="434"/>
      <c r="P355" s="434"/>
      <c r="Q355" s="399">
        <f>IF(D347&lt;=3,база!$L$4,
IF(D347=4,база!$L$5,
IF(D347=5,база!$L$6)))</f>
        <v>210.57480000000001</v>
      </c>
      <c r="R355" s="390">
        <v>1.4</v>
      </c>
      <c r="S355" s="491">
        <f>SUMIFS(Таблица1[Столбец1],Таблица1[коэф],"1,4",Таблица1[р/р],"3/16",Таблица1[Ф. И. О.],B352)</f>
        <v>0</v>
      </c>
      <c r="T355" s="492">
        <f t="shared" si="96"/>
        <v>0</v>
      </c>
      <c r="U355" s="472">
        <f>IF(D347&lt;=3,база!$M$4,
IF(D347=4,база!$M$5,
IF(D347=5,база!$M$6)))</f>
        <v>225.09719999999999</v>
      </c>
      <c r="V355" s="390">
        <v>1.4</v>
      </c>
      <c r="W355" s="494">
        <f>SUMIFS(Таблица1[Столбец1],Таблица1[коэф],"1,4",Таблица1[р/р],"3/24",Таблица1[Ф. И. О.],B352)</f>
        <v>0</v>
      </c>
      <c r="X355" s="492">
        <f t="shared" si="97"/>
        <v>0</v>
      </c>
      <c r="Y355" s="795"/>
      <c r="Z355" s="797"/>
      <c r="AA355" s="786"/>
    </row>
    <row r="356" spans="1:29" ht="18.75">
      <c r="A356" s="786"/>
      <c r="B356" s="216"/>
      <c r="C356" s="789"/>
      <c r="D356" s="792"/>
      <c r="E356" s="393"/>
      <c r="F356" s="390"/>
      <c r="G356" s="400"/>
      <c r="H356" s="392">
        <f t="shared" si="94"/>
        <v>0</v>
      </c>
      <c r="I356" s="389"/>
      <c r="J356" s="390"/>
      <c r="K356" s="434"/>
      <c r="L356" s="395">
        <f t="shared" si="95"/>
        <v>0</v>
      </c>
      <c r="M356" s="432"/>
      <c r="N356" s="434"/>
      <c r="O356" s="434"/>
      <c r="P356" s="434"/>
      <c r="Q356" s="399">
        <f>база!$L$5</f>
        <v>231.45480000000001</v>
      </c>
      <c r="R356" s="390">
        <v>1.4</v>
      </c>
      <c r="S356" s="491">
        <f>SUMIFS(Таблица1[Столбец1],Таблица1[коэф],"1,4",Таблица1[р/р],"4/16",Таблица1[Ф. И. О.],B352)</f>
        <v>0</v>
      </c>
      <c r="T356" s="492">
        <f t="shared" si="96"/>
        <v>0</v>
      </c>
      <c r="U356" s="472">
        <f>база!$M$5</f>
        <v>247.41720000000001</v>
      </c>
      <c r="V356" s="390">
        <v>1.4</v>
      </c>
      <c r="W356" s="494">
        <f>SUMIFS(Таблица1[Столбец1],Таблица1[коэф],"1,4",Таблица1[р/р],"4/24",Таблица1[Ф. И. О.],B352)</f>
        <v>0</v>
      </c>
      <c r="X356" s="492">
        <f t="shared" si="97"/>
        <v>0</v>
      </c>
      <c r="Y356" s="795"/>
      <c r="Z356" s="797"/>
      <c r="AA356" s="786"/>
    </row>
    <row r="357" spans="1:29" ht="19.5" thickBot="1">
      <c r="A357" s="787"/>
      <c r="B357" s="203"/>
      <c r="C357" s="790"/>
      <c r="D357" s="793"/>
      <c r="E357" s="463"/>
      <c r="F357" s="464"/>
      <c r="G357" s="465"/>
      <c r="H357" s="468">
        <f t="shared" si="94"/>
        <v>0</v>
      </c>
      <c r="I357" s="473"/>
      <c r="J357" s="464"/>
      <c r="K357" s="457"/>
      <c r="L357" s="458">
        <f t="shared" si="95"/>
        <v>0</v>
      </c>
      <c r="M357" s="466"/>
      <c r="N357" s="457"/>
      <c r="O357" s="457"/>
      <c r="P357" s="457"/>
      <c r="Q357" s="467">
        <f>база!$L$6</f>
        <v>261.04640000000001</v>
      </c>
      <c r="R357" s="464">
        <v>1.4</v>
      </c>
      <c r="S357" s="512">
        <f>SUMIFS(Таблица1[Столбец1],Таблица1[коэф],"1,4",Таблица1[р/р],"5/16",Таблица1[Ф. И. О.],B352)</f>
        <v>0</v>
      </c>
      <c r="T357" s="513">
        <f t="shared" si="96"/>
        <v>0</v>
      </c>
      <c r="U357" s="474">
        <f>база!$M$6</f>
        <v>279.0496</v>
      </c>
      <c r="V357" s="464">
        <v>1.4</v>
      </c>
      <c r="W357" s="501">
        <f>SUMIFS(Таблица1[Столбец1],Таблица1[коэф],"1,4",Таблица1[р/р],"5/24",Таблица1[Ф. И. О.],B352)</f>
        <v>0</v>
      </c>
      <c r="X357" s="513">
        <f t="shared" si="97"/>
        <v>0</v>
      </c>
      <c r="Y357" s="796"/>
      <c r="Z357" s="798"/>
      <c r="AA357" s="787"/>
    </row>
    <row r="358" spans="1:29" ht="18.75" collapsed="1">
      <c r="A358" s="785">
        <v>33</v>
      </c>
      <c r="B358" s="236"/>
      <c r="C358" s="788">
        <f>INDEX(база!$E$2:$E$81, MATCH(B363,база!$B$2:$B$50,0))</f>
        <v>17270</v>
      </c>
      <c r="D358" s="791">
        <f>INDEX(база!$D$2:$D$89, MATCH(B363,база!$B$2:$B$50,0))</f>
        <v>3</v>
      </c>
      <c r="E358" s="451">
        <f>IF(D358&lt;=3,база!$I$4,
IF(D358=4,база!$I$5,
IF(D358=5,база!$I$6)))</f>
        <v>188.7912</v>
      </c>
      <c r="F358" s="417">
        <v>1</v>
      </c>
      <c r="G358" s="418">
        <f>SUMIFS(Таблица1[Столбец1],Таблица1[коэф],"1",Таблица1[р/р],"2/4",Таблица1[Ф. И. О.],B363)</f>
        <v>0</v>
      </c>
      <c r="H358" s="402">
        <f t="shared" si="94"/>
        <v>0</v>
      </c>
      <c r="I358" s="377">
        <f>IF(D358&lt;=3,база!$J$4,
IF(D358=4,база!$J$5,
IF(D358=5,база!$J$6)))</f>
        <v>196.05240000000001</v>
      </c>
      <c r="J358" s="378">
        <v>1</v>
      </c>
      <c r="K358" s="428">
        <f>SUMIFS(Таблица1[Столбец1],Таблица1[коэф],"1",Таблица1[р/р],"2/8",Таблица1[Ф. И. О.],B363)</f>
        <v>0</v>
      </c>
      <c r="L358" s="383">
        <f t="shared" si="95"/>
        <v>0</v>
      </c>
      <c r="M358" s="452"/>
      <c r="N358" s="453">
        <v>1</v>
      </c>
      <c r="O358" s="453">
        <f>SUMIFS(Data_Tech!$AM$3:$AM$67,Data_Tech!$E$3:$E$67,"1",Data_Tech!$G$3:$G$67,"3/12",Data_Tech!$F$3:$F$67,B363)</f>
        <v>0</v>
      </c>
      <c r="P358" s="453">
        <f>ROUND(M358*N358*O358,2)</f>
        <v>0</v>
      </c>
      <c r="Q358" s="416">
        <f>IF(D358&lt;=3,база!$L$4,
IF(D358=4,база!$L$5,
IF(D358=5,база!$L$6)))</f>
        <v>210.57480000000001</v>
      </c>
      <c r="R358" s="417">
        <v>1</v>
      </c>
      <c r="S358" s="495">
        <f>SUMIFS(Таблица1[Столбец1],Таблица1[коэф],"1",Таблица1[р/р],"3/16",Таблица1[Ф. И. О.],B363)</f>
        <v>0</v>
      </c>
      <c r="T358" s="490">
        <f t="shared" si="96"/>
        <v>0</v>
      </c>
      <c r="U358" s="471">
        <f>IF(D358&lt;=3,база!$M$4,
IF(D358=4,база!$M$5,
IF(D358=5,база!$M$6)))</f>
        <v>225.09719999999999</v>
      </c>
      <c r="V358" s="378">
        <v>1</v>
      </c>
      <c r="W358" s="497">
        <f>SUMIFS(Таблица1[Столбец1],Таблица1[коэф],"1",Таблица1[р/р],"3/24",Таблица1[Ф. И. О.],B363)</f>
        <v>0</v>
      </c>
      <c r="X358" s="490">
        <f t="shared" si="97"/>
        <v>0</v>
      </c>
      <c r="Y358" s="795">
        <f t="shared" ref="Y358" si="100">SUM(G358:G368,K358:K368,O358:O368,S358:S368,W358:W368)</f>
        <v>0</v>
      </c>
      <c r="Z358" s="797">
        <f t="shared" ref="Z358" si="101">IFERROR(SUM(H358:H368,L358:L368,T358:T368,X358:X368),"")</f>
        <v>0</v>
      </c>
      <c r="AA358" s="786"/>
    </row>
    <row r="359" spans="1:29" ht="18.75">
      <c r="A359" s="786"/>
      <c r="B359" s="216"/>
      <c r="C359" s="789"/>
      <c r="D359" s="792"/>
      <c r="E359" s="393">
        <f>IF(D358&lt;=3,база!$I$4,
IF(D358=4,база!$I$5,
IF(D358=5,база!$I$6)))</f>
        <v>188.7912</v>
      </c>
      <c r="F359" s="390">
        <v>1</v>
      </c>
      <c r="G359" s="400">
        <f>SUMIFS(Таблица1[Столбец1],Таблица1[коэф],"1",Таблица1[р/р],"3/4",Таблица1[Ф. И. О.],B363)</f>
        <v>0</v>
      </c>
      <c r="H359" s="392">
        <f t="shared" si="94"/>
        <v>0</v>
      </c>
      <c r="I359" s="389">
        <f>IF(D358&lt;=3,база!$J$4,
IF(D358=4,база!$J$5,
IF(D358=5,база!$J$6)))</f>
        <v>196.05240000000001</v>
      </c>
      <c r="J359" s="390">
        <v>1</v>
      </c>
      <c r="K359" s="434">
        <f>SUMIFS(Таблица1[Столбец1],Таблица1[коэф],"1",Таблица1[р/р],"3/8",Таблица1[Ф. И. О.],B363)</f>
        <v>0</v>
      </c>
      <c r="L359" s="484">
        <f t="shared" si="95"/>
        <v>0</v>
      </c>
      <c r="M359" s="432"/>
      <c r="N359" s="434">
        <v>1</v>
      </c>
      <c r="O359" s="434">
        <f>SUMIFS(Data_Tech!$AM$3:$AM$67,Data_Tech!$E$3:$E$67,"1",Data_Tech!$G$3:$G$67,"4/12",Data_Tech!$F$3:$F$67,B363)</f>
        <v>0</v>
      </c>
      <c r="P359" s="434">
        <f>ROUND(M359*O359,2)</f>
        <v>0</v>
      </c>
      <c r="Q359" s="399">
        <f>база!$L$5</f>
        <v>231.45480000000001</v>
      </c>
      <c r="R359" s="390">
        <v>1</v>
      </c>
      <c r="S359" s="491">
        <f>SUMIFS(Таблица1[Столбец1],Таблица1[коэф],"1",Таблица1[р/р],"4/16",Таблица1[Ф. И. О.],B363)</f>
        <v>0</v>
      </c>
      <c r="T359" s="492">
        <f t="shared" si="96"/>
        <v>0</v>
      </c>
      <c r="U359" s="472">
        <f>база!$M$5</f>
        <v>247.41720000000001</v>
      </c>
      <c r="V359" s="390">
        <v>1</v>
      </c>
      <c r="W359" s="494">
        <f>SUMIFS(Таблица1[Столбец1],Таблица1[коэф],"1",Таблица1[р/р],"4/24",Таблица1[Ф. И. О.],B363)</f>
        <v>0</v>
      </c>
      <c r="X359" s="492">
        <f t="shared" si="97"/>
        <v>0</v>
      </c>
      <c r="Y359" s="795"/>
      <c r="Z359" s="797"/>
      <c r="AA359" s="786"/>
    </row>
    <row r="360" spans="1:29" ht="18.75">
      <c r="A360" s="786"/>
      <c r="B360" s="216"/>
      <c r="C360" s="789"/>
      <c r="D360" s="792"/>
      <c r="E360" s="393"/>
      <c r="F360" s="390"/>
      <c r="G360" s="400"/>
      <c r="H360" s="392">
        <f t="shared" si="94"/>
        <v>0</v>
      </c>
      <c r="I360" s="389"/>
      <c r="J360" s="390"/>
      <c r="K360" s="434"/>
      <c r="L360" s="484">
        <f t="shared" si="95"/>
        <v>0</v>
      </c>
      <c r="M360" s="432"/>
      <c r="N360" s="434"/>
      <c r="O360" s="434"/>
      <c r="P360" s="434"/>
      <c r="Q360" s="399">
        <f>база!$L$6</f>
        <v>261.04640000000001</v>
      </c>
      <c r="R360" s="390">
        <v>1</v>
      </c>
      <c r="S360" s="491">
        <f>SUMIFS(Таблица1[Столбец1],Таблица1[коэф],"1",Таблица1[р/р],"5/16",Таблица1[Ф. И. О.],B363)</f>
        <v>0</v>
      </c>
      <c r="T360" s="492">
        <f t="shared" si="96"/>
        <v>0</v>
      </c>
      <c r="U360" s="472">
        <f>база!$M$6</f>
        <v>279.0496</v>
      </c>
      <c r="V360" s="390">
        <v>1</v>
      </c>
      <c r="W360" s="494">
        <f>SUMIFS(Таблица1[Столбец1],Таблица1[коэф],"1",Таблица1[р/р],"5/24",Таблица1[Ф. И. О.],B363)</f>
        <v>0</v>
      </c>
      <c r="X360" s="492">
        <f t="shared" si="97"/>
        <v>0</v>
      </c>
      <c r="Y360" s="795"/>
      <c r="Z360" s="797"/>
      <c r="AA360" s="786"/>
    </row>
    <row r="361" spans="1:29" ht="18.75">
      <c r="A361" s="786"/>
      <c r="B361" s="216"/>
      <c r="C361" s="789"/>
      <c r="D361" s="792"/>
      <c r="E361" s="393"/>
      <c r="F361" s="390"/>
      <c r="G361" s="400"/>
      <c r="H361" s="392">
        <f t="shared" si="94"/>
        <v>0</v>
      </c>
      <c r="I361" s="389">
        <f>база!$J$5</f>
        <v>215.4924</v>
      </c>
      <c r="J361" s="390">
        <v>1.5</v>
      </c>
      <c r="K361" s="434">
        <f>SUMIFS(Таблица1[Столбец1],Таблица1[коэф],"1,5",Таблица1[р/р],"4/8",Таблица1[Ф. И. О.],B363)</f>
        <v>0</v>
      </c>
      <c r="L361" s="484">
        <f t="shared" si="95"/>
        <v>0</v>
      </c>
      <c r="M361" s="432"/>
      <c r="N361" s="434"/>
      <c r="O361" s="434"/>
      <c r="P361" s="434"/>
      <c r="Q361" s="399">
        <f>IF(D358&lt;=3,база!$L$4,
IF(D358=4,база!$L$5,
IF(D358=5,база!$L$6)))</f>
        <v>210.57480000000001</v>
      </c>
      <c r="R361" s="390">
        <v>1.2</v>
      </c>
      <c r="S361" s="491">
        <f>SUMIFS(Таблица1[Столбец1],Таблица1[коэф],"1,2",Таблица1[р/р],"3/16",Таблица1[Ф. И. О.],B363)</f>
        <v>0</v>
      </c>
      <c r="T361" s="492">
        <f t="shared" si="96"/>
        <v>0</v>
      </c>
      <c r="U361" s="472">
        <f>IF(D358&lt;=3,база!$M$4,
IF(D358=4,база!$M$5,
IF(D358=5,база!$M$6)))</f>
        <v>225.09719999999999</v>
      </c>
      <c r="V361" s="390">
        <v>1.2</v>
      </c>
      <c r="W361" s="494">
        <f>SUMIFS(Таблица1[Столбец1],Таблица1[коэф],"1,2",Таблица1[р/р],"3/24",Таблица1[Ф. И. О.],B363)</f>
        <v>0</v>
      </c>
      <c r="X361" s="492">
        <f t="shared" si="97"/>
        <v>0</v>
      </c>
      <c r="Y361" s="795"/>
      <c r="Z361" s="797"/>
      <c r="AA361" s="786"/>
    </row>
    <row r="362" spans="1:29" ht="18.75">
      <c r="A362" s="786"/>
      <c r="B362" s="216"/>
      <c r="C362" s="789"/>
      <c r="D362" s="792"/>
      <c r="E362" s="393"/>
      <c r="F362" s="390"/>
      <c r="G362" s="400"/>
      <c r="H362" s="392">
        <f t="shared" si="94"/>
        <v>0</v>
      </c>
      <c r="I362" s="389">
        <f>база!$J$6</f>
        <v>243.04319999999998</v>
      </c>
      <c r="J362" s="390">
        <v>1.5</v>
      </c>
      <c r="K362" s="434">
        <f>SUMIFS(Таблица1[Столбец1],Таблица1[коэф],"1,5",Таблица1[р/р],"5/8",Таблица1[Ф. И. О.],B363)</f>
        <v>0</v>
      </c>
      <c r="L362" s="484">
        <f t="shared" si="95"/>
        <v>0</v>
      </c>
      <c r="M362" s="432"/>
      <c r="N362" s="434"/>
      <c r="O362" s="434"/>
      <c r="P362" s="434"/>
      <c r="Q362" s="399">
        <f>база!$L$5</f>
        <v>231.45480000000001</v>
      </c>
      <c r="R362" s="390">
        <v>1.2</v>
      </c>
      <c r="S362" s="491">
        <f>SUMIFS(Таблица1[Столбец1],Таблица1[коэф],"1,2",Таблица1[р/р],"4/16",Таблица1[Ф. И. О.],B363)</f>
        <v>0</v>
      </c>
      <c r="T362" s="492">
        <f t="shared" si="96"/>
        <v>0</v>
      </c>
      <c r="U362" s="472">
        <f>база!$M$5</f>
        <v>247.41720000000001</v>
      </c>
      <c r="V362" s="390">
        <v>1.2</v>
      </c>
      <c r="W362" s="494">
        <f>SUMIFS(Таблица1[Столбец1],Таблица1[коэф],"1,2",Таблица1[р/р],"4/24",Таблица1[Ф. И. О.],B363)</f>
        <v>0</v>
      </c>
      <c r="X362" s="492">
        <f t="shared" si="97"/>
        <v>0</v>
      </c>
      <c r="Y362" s="795"/>
      <c r="Z362" s="797"/>
      <c r="AA362" s="786"/>
    </row>
    <row r="363" spans="1:29" ht="18" customHeight="1">
      <c r="A363" s="786"/>
      <c r="B363" s="216" t="str">
        <f>база!B34</f>
        <v>Кабакова Алина Дмитриевна</v>
      </c>
      <c r="C363" s="789"/>
      <c r="D363" s="792"/>
      <c r="E363" s="393"/>
      <c r="F363" s="390"/>
      <c r="G363" s="400"/>
      <c r="H363" s="392">
        <f t="shared" si="94"/>
        <v>0</v>
      </c>
      <c r="I363" s="389"/>
      <c r="J363" s="390"/>
      <c r="K363" s="434"/>
      <c r="L363" s="484">
        <f t="shared" si="95"/>
        <v>0</v>
      </c>
      <c r="M363" s="432"/>
      <c r="N363" s="434"/>
      <c r="O363" s="434"/>
      <c r="P363" s="434"/>
      <c r="Q363" s="399">
        <f>база!$L$6</f>
        <v>261.04640000000001</v>
      </c>
      <c r="R363" s="390">
        <v>1.2</v>
      </c>
      <c r="S363" s="491">
        <f>SUMIFS(Таблица1[Столбец1],Таблица1[коэф],"1,2",Таблица1[р/р],"5/16",Таблица1[Ф. И. О.],B363)</f>
        <v>0</v>
      </c>
      <c r="T363" s="492">
        <f t="shared" si="96"/>
        <v>0</v>
      </c>
      <c r="U363" s="472">
        <f>база!$M$6</f>
        <v>279.0496</v>
      </c>
      <c r="V363" s="390">
        <v>1.2</v>
      </c>
      <c r="W363" s="494">
        <f>SUMIFS(Таблица1[Столбец1],Таблица1[коэф],"1,2",Таблица1[р/р],"5/24",Таблица1[Ф. И. О.],B363)</f>
        <v>0</v>
      </c>
      <c r="X363" s="492">
        <f t="shared" si="97"/>
        <v>0</v>
      </c>
      <c r="Y363" s="795"/>
      <c r="Z363" s="797"/>
      <c r="AA363" s="786"/>
      <c r="AC363" s="727" t="str">
        <f>IF(SUMIFS(Таблица1[Столбец3],Таблица1[Ф. И. О.],B363)-Z358=0,"",SUMIFS(Таблица1[Столбец3],Таблица1[Ф. И. О.],B363)-Z358)</f>
        <v/>
      </c>
    </row>
    <row r="364" spans="1:29" ht="18.75">
      <c r="A364" s="786"/>
      <c r="B364" s="216"/>
      <c r="C364" s="789"/>
      <c r="D364" s="792"/>
      <c r="E364" s="393"/>
      <c r="F364" s="390"/>
      <c r="G364" s="400"/>
      <c r="H364" s="392">
        <f t="shared" si="94"/>
        <v>0</v>
      </c>
      <c r="I364" s="389"/>
      <c r="J364" s="390"/>
      <c r="K364" s="434"/>
      <c r="L364" s="484">
        <f t="shared" si="95"/>
        <v>0</v>
      </c>
      <c r="M364" s="432"/>
      <c r="N364" s="434"/>
      <c r="O364" s="434"/>
      <c r="P364" s="434"/>
      <c r="Q364" s="399">
        <f>IF(D358&lt;=3,база!$L$4,
IF(D358=4,база!$L$5,
IF(D358=5,база!$L$6)))</f>
        <v>210.57480000000001</v>
      </c>
      <c r="R364" s="390">
        <v>1.3</v>
      </c>
      <c r="S364" s="491">
        <f>SUMIFS(Таблица1[Столбец1],Таблица1[коэф],"1,3",Таблица1[р/р],"3/16",Таблица1[Ф. И. О.],B363)</f>
        <v>0</v>
      </c>
      <c r="T364" s="492">
        <f t="shared" si="96"/>
        <v>0</v>
      </c>
      <c r="U364" s="472">
        <f>IF(D358&lt;=3,база!$M$4,
IF(D358=4,база!$M$5,
IF(D358=5,база!$M$6)))</f>
        <v>225.09719999999999</v>
      </c>
      <c r="V364" s="390">
        <v>1.3</v>
      </c>
      <c r="W364" s="494">
        <f>SUMIFS(Таблица1[Столбец1],Таблица1[коэф],"1,3",Таблица1[р/р],"3/24",Таблица1[Ф. И. О.],B363)</f>
        <v>0</v>
      </c>
      <c r="X364" s="492">
        <f t="shared" si="97"/>
        <v>0</v>
      </c>
      <c r="Y364" s="795"/>
      <c r="Z364" s="797"/>
      <c r="AA364" s="786"/>
      <c r="AC364" s="727" t="str">
        <f>IF(SUMIFS(Таблица1[Столбец1],Таблица1[Ф. И. О.],B363)=Y358,"",B363&amp;"  часы не верны")</f>
        <v/>
      </c>
    </row>
    <row r="365" spans="1:29" ht="18.75">
      <c r="A365" s="786"/>
      <c r="B365" s="216"/>
      <c r="C365" s="789"/>
      <c r="D365" s="792"/>
      <c r="E365" s="393"/>
      <c r="F365" s="390"/>
      <c r="G365" s="400"/>
      <c r="H365" s="392">
        <f t="shared" si="94"/>
        <v>0</v>
      </c>
      <c r="I365" s="389"/>
      <c r="J365" s="390"/>
      <c r="K365" s="434"/>
      <c r="L365" s="484">
        <f t="shared" si="95"/>
        <v>0</v>
      </c>
      <c r="M365" s="432"/>
      <c r="N365" s="434"/>
      <c r="O365" s="434"/>
      <c r="P365" s="434"/>
      <c r="Q365" s="399">
        <f>база!$L$5</f>
        <v>231.45480000000001</v>
      </c>
      <c r="R365" s="390">
        <v>1.3</v>
      </c>
      <c r="S365" s="491">
        <f>SUMIFS(Таблица1[Столбец1],Таблица1[коэф],"1,3",Таблица1[р/р],"4/16",Таблица1[Ф. И. О.],B363)</f>
        <v>0</v>
      </c>
      <c r="T365" s="492">
        <f t="shared" si="96"/>
        <v>0</v>
      </c>
      <c r="U365" s="472">
        <f>база!$M$5</f>
        <v>247.41720000000001</v>
      </c>
      <c r="V365" s="390">
        <v>1.3</v>
      </c>
      <c r="W365" s="494">
        <f>SUMIFS(Таблица1[Столбец1],Таблица1[коэф],"1,3",Таблица1[р/р],"4/24",Таблица1[Ф. И. О.],B363)</f>
        <v>0</v>
      </c>
      <c r="X365" s="492">
        <f t="shared" si="97"/>
        <v>0</v>
      </c>
      <c r="Y365" s="795"/>
      <c r="Z365" s="797"/>
      <c r="AA365" s="786"/>
    </row>
    <row r="366" spans="1:29" ht="18.75">
      <c r="A366" s="786"/>
      <c r="B366" s="216"/>
      <c r="C366" s="789"/>
      <c r="D366" s="792"/>
      <c r="E366" s="393"/>
      <c r="F366" s="390"/>
      <c r="G366" s="400"/>
      <c r="H366" s="392">
        <f t="shared" si="94"/>
        <v>0</v>
      </c>
      <c r="I366" s="389"/>
      <c r="J366" s="390"/>
      <c r="K366" s="434"/>
      <c r="L366" s="484">
        <f t="shared" si="95"/>
        <v>0</v>
      </c>
      <c r="M366" s="432"/>
      <c r="N366" s="434"/>
      <c r="O366" s="434"/>
      <c r="P366" s="434"/>
      <c r="Q366" s="399">
        <f>IF(D358&lt;=3,база!$L$4,
IF(D358=4,база!$L$5,
IF(D358=5,база!$L$6)))</f>
        <v>210.57480000000001</v>
      </c>
      <c r="R366" s="390">
        <v>1.4</v>
      </c>
      <c r="S366" s="491">
        <f>SUMIFS(Таблица1[Столбец1],Таблица1[коэф],"1,4",Таблица1[р/р],"3/16",Таблица1[Ф. И. О.],B363)</f>
        <v>0</v>
      </c>
      <c r="T366" s="492">
        <f t="shared" si="96"/>
        <v>0</v>
      </c>
      <c r="U366" s="472">
        <f>IF(D358&lt;=3,база!$M$4,
IF(D358=4,база!$M$5,
IF(D358=5,база!$M$6)))</f>
        <v>225.09719999999999</v>
      </c>
      <c r="V366" s="390">
        <v>1.4</v>
      </c>
      <c r="W366" s="494">
        <f>SUMIFS(Таблица1[Столбец1],Таблица1[коэф],"1,4",Таблица1[р/р],"3/24",Таблица1[Ф. И. О.],B363)</f>
        <v>0</v>
      </c>
      <c r="X366" s="492">
        <f t="shared" si="97"/>
        <v>0</v>
      </c>
      <c r="Y366" s="795"/>
      <c r="Z366" s="797"/>
      <c r="AA366" s="786"/>
    </row>
    <row r="367" spans="1:29" ht="18.75">
      <c r="A367" s="786"/>
      <c r="B367" s="216"/>
      <c r="C367" s="789"/>
      <c r="D367" s="792"/>
      <c r="E367" s="393"/>
      <c r="F367" s="390"/>
      <c r="G367" s="400"/>
      <c r="H367" s="392">
        <f t="shared" si="94"/>
        <v>0</v>
      </c>
      <c r="I367" s="389"/>
      <c r="J367" s="390"/>
      <c r="K367" s="434"/>
      <c r="L367" s="395">
        <f t="shared" si="95"/>
        <v>0</v>
      </c>
      <c r="M367" s="432"/>
      <c r="N367" s="434"/>
      <c r="O367" s="434"/>
      <c r="P367" s="434"/>
      <c r="Q367" s="399">
        <f>база!$L$5</f>
        <v>231.45480000000001</v>
      </c>
      <c r="R367" s="390">
        <v>1.4</v>
      </c>
      <c r="S367" s="491">
        <f>SUMIFS(Таблица1[Столбец1],Таблица1[коэф],"1,4",Таблица1[р/р],"4/16",Таблица1[Ф. И. О.],B363)</f>
        <v>0</v>
      </c>
      <c r="T367" s="492">
        <f t="shared" si="96"/>
        <v>0</v>
      </c>
      <c r="U367" s="472">
        <f>база!$M$5</f>
        <v>247.41720000000001</v>
      </c>
      <c r="V367" s="390">
        <v>1.4</v>
      </c>
      <c r="W367" s="494">
        <f>SUMIFS(Таблица1[Столбец1],Таблица1[коэф],"1,4",Таблица1[р/р],"4/24",Таблица1[Ф. И. О.],B363)</f>
        <v>0</v>
      </c>
      <c r="X367" s="492">
        <f t="shared" si="97"/>
        <v>0</v>
      </c>
      <c r="Y367" s="795"/>
      <c r="Z367" s="797"/>
      <c r="AA367" s="786"/>
    </row>
    <row r="368" spans="1:29" ht="19.5" thickBot="1">
      <c r="A368" s="787"/>
      <c r="B368" s="203"/>
      <c r="C368" s="790"/>
      <c r="D368" s="793"/>
      <c r="E368" s="463"/>
      <c r="F368" s="464"/>
      <c r="G368" s="465"/>
      <c r="H368" s="468">
        <f t="shared" si="94"/>
        <v>0</v>
      </c>
      <c r="I368" s="473"/>
      <c r="J368" s="464"/>
      <c r="K368" s="457"/>
      <c r="L368" s="458">
        <f t="shared" si="95"/>
        <v>0</v>
      </c>
      <c r="M368" s="466"/>
      <c r="N368" s="457"/>
      <c r="O368" s="457"/>
      <c r="P368" s="457"/>
      <c r="Q368" s="467">
        <f>база!$L$6</f>
        <v>261.04640000000001</v>
      </c>
      <c r="R368" s="464">
        <v>1.4</v>
      </c>
      <c r="S368" s="512">
        <f>SUMIFS(Таблица1[Столбец1],Таблица1[коэф],"1,4",Таблица1[р/р],"5/16",Таблица1[Ф. И. О.],B363)</f>
        <v>0</v>
      </c>
      <c r="T368" s="513">
        <f t="shared" si="96"/>
        <v>0</v>
      </c>
      <c r="U368" s="474">
        <f>база!$M$6</f>
        <v>279.0496</v>
      </c>
      <c r="V368" s="464">
        <v>1.4</v>
      </c>
      <c r="W368" s="501">
        <f>SUMIFS(Таблица1[Столбец1],Таблица1[коэф],"1,4",Таблица1[р/р],"5/24",Таблица1[Ф. И. О.],B363)</f>
        <v>0</v>
      </c>
      <c r="X368" s="513">
        <f t="shared" si="97"/>
        <v>0</v>
      </c>
      <c r="Y368" s="796"/>
      <c r="Z368" s="798"/>
      <c r="AA368" s="787"/>
    </row>
    <row r="369" spans="1:29" ht="18.75" collapsed="1">
      <c r="A369" s="785">
        <v>34</v>
      </c>
      <c r="B369" s="236"/>
      <c r="C369" s="788">
        <f>INDEX(база!$E$2:$E$81, MATCH(B374,база!$B$2:$B$50,0))</f>
        <v>16919</v>
      </c>
      <c r="D369" s="791">
        <f>INDEX(база!$D$2:$D$89, MATCH(B374,база!$B$2:$B$50,0))</f>
        <v>3</v>
      </c>
      <c r="E369" s="451">
        <f>IF(D369&lt;=3,база!$I$4,
IF(D369=4,база!$I$5,
IF(D369=5,база!$I$6)))</f>
        <v>188.7912</v>
      </c>
      <c r="F369" s="417">
        <v>1</v>
      </c>
      <c r="G369" s="418">
        <f>SUMIFS(Таблица1[Столбец1],Таблица1[коэф],"1",Таблица1[р/р],"2/4",Таблица1[Ф. И. О.],B374)</f>
        <v>0</v>
      </c>
      <c r="H369" s="402">
        <f t="shared" ref="H369:H401" si="102">ROUND(E369*F369*G369*2,2)</f>
        <v>0</v>
      </c>
      <c r="I369" s="377">
        <f>IF(D369&lt;=3,база!$J$4,
IF(D369=4,база!$J$5,
IF(D369=5,база!$J$6)))</f>
        <v>196.05240000000001</v>
      </c>
      <c r="J369" s="378">
        <v>1</v>
      </c>
      <c r="K369" s="428">
        <f>SUMIFS(Таблица1[Столбец1],Таблица1[коэф],"1",Таблица1[р/р],"2/8",Таблица1[Ф. И. О.],B374)</f>
        <v>0</v>
      </c>
      <c r="L369" s="383">
        <f t="shared" ref="L369:L401" si="103">ROUND(I369*J369*K369*2,2)</f>
        <v>0</v>
      </c>
      <c r="M369" s="452"/>
      <c r="N369" s="453">
        <v>1</v>
      </c>
      <c r="O369" s="453">
        <f>SUMIFS(Data_Tech!$AM$3:$AM$67,Data_Tech!$E$3:$E$67,"1",Data_Tech!$G$3:$G$67,"3/12",Data_Tech!$F$3:$F$67,B374)</f>
        <v>0</v>
      </c>
      <c r="P369" s="453">
        <f>ROUND(M369*N369*O369,2)</f>
        <v>0</v>
      </c>
      <c r="Q369" s="416">
        <f>IF(D369&lt;=3,база!$L$4,
IF(D369=4,база!$L$5,
IF(D369=5,база!$L$6)))</f>
        <v>210.57480000000001</v>
      </c>
      <c r="R369" s="417">
        <v>1</v>
      </c>
      <c r="S369" s="495">
        <f>SUMIFS(Таблица1[Столбец1],Таблица1[коэф],"1",Таблица1[р/р],"3/16",Таблица1[Ф. И. О.],B374)</f>
        <v>0</v>
      </c>
      <c r="T369" s="490">
        <f t="shared" ref="T369:T401" si="104">ROUND(Q369*R369*S369*2,2)</f>
        <v>0</v>
      </c>
      <c r="U369" s="471">
        <f>IF(D369&lt;=3,база!$M$4,
IF(D369=4,база!$M$5,
IF(D369=5,база!$M$6)))</f>
        <v>225.09719999999999</v>
      </c>
      <c r="V369" s="378">
        <v>1</v>
      </c>
      <c r="W369" s="497">
        <f>SUMIFS(Таблица1[Столбец1],Таблица1[коэф],"1",Таблица1[р/р],"3/24",Таблица1[Ф. И. О.],B374)</f>
        <v>0</v>
      </c>
      <c r="X369" s="490">
        <f t="shared" ref="X369:X401" si="105">ROUND(U369*V369*W369*2,2)</f>
        <v>0</v>
      </c>
      <c r="Y369" s="795">
        <f t="shared" ref="Y369" si="106">SUM(G369:G379,K369:K379,O369:O379,S369:S379,W369:W379)</f>
        <v>0</v>
      </c>
      <c r="Z369" s="797">
        <f t="shared" ref="Z369" si="107">IFERROR(SUM(H369:H379,L369:L379,T369:T379,X369:X379),"")</f>
        <v>0</v>
      </c>
      <c r="AA369" s="786"/>
    </row>
    <row r="370" spans="1:29" ht="18.75">
      <c r="A370" s="786"/>
      <c r="B370" s="216"/>
      <c r="C370" s="789"/>
      <c r="D370" s="792"/>
      <c r="E370" s="393">
        <f>IF(D369&lt;=3,база!$I$4,
IF(D369=4,база!$I$5,
IF(D369=5,база!$I$6)))</f>
        <v>188.7912</v>
      </c>
      <c r="F370" s="390">
        <v>1</v>
      </c>
      <c r="G370" s="400">
        <f>SUMIFS(Таблица1[Столбец1],Таблица1[коэф],"1",Таблица1[р/р],"3/4",Таблица1[Ф. И. О.],B374)</f>
        <v>0</v>
      </c>
      <c r="H370" s="392">
        <f t="shared" si="102"/>
        <v>0</v>
      </c>
      <c r="I370" s="389">
        <f>IF(D369&lt;=3,база!$J$4,
IF(D369=4,база!$J$5,
IF(D369=5,база!$J$6)))</f>
        <v>196.05240000000001</v>
      </c>
      <c r="J370" s="390">
        <v>1</v>
      </c>
      <c r="K370" s="434">
        <f>SUMIFS(Таблица1[Столбец1],Таблица1[коэф],"1",Таблица1[р/р],"3/8",Таблица1[Ф. И. О.],B374)</f>
        <v>0</v>
      </c>
      <c r="L370" s="484">
        <f t="shared" si="103"/>
        <v>0</v>
      </c>
      <c r="M370" s="432"/>
      <c r="N370" s="434">
        <v>1</v>
      </c>
      <c r="O370" s="434">
        <f>SUMIFS(Data_Tech!$AM$3:$AM$67,Data_Tech!$E$3:$E$67,"1",Data_Tech!$G$3:$G$67,"4/12",Data_Tech!$F$3:$F$67,B374)</f>
        <v>0</v>
      </c>
      <c r="P370" s="434">
        <f>ROUND(M370*O370,2)</f>
        <v>0</v>
      </c>
      <c r="Q370" s="399">
        <f>база!$L$5</f>
        <v>231.45480000000001</v>
      </c>
      <c r="R370" s="390">
        <v>1</v>
      </c>
      <c r="S370" s="491">
        <f>SUMIFS(Таблица1[Столбец1],Таблица1[коэф],"1",Таблица1[р/р],"4/16",Таблица1[Ф. И. О.],B374)</f>
        <v>0</v>
      </c>
      <c r="T370" s="492">
        <f t="shared" si="104"/>
        <v>0</v>
      </c>
      <c r="U370" s="472">
        <f>база!$M$5</f>
        <v>247.41720000000001</v>
      </c>
      <c r="V370" s="390">
        <v>1</v>
      </c>
      <c r="W370" s="494">
        <f>SUMIFS(Таблица1[Столбец1],Таблица1[коэф],"1",Таблица1[р/р],"4/24",Таблица1[Ф. И. О.],B374)</f>
        <v>0</v>
      </c>
      <c r="X370" s="492">
        <f t="shared" si="105"/>
        <v>0</v>
      </c>
      <c r="Y370" s="795"/>
      <c r="Z370" s="797"/>
      <c r="AA370" s="786"/>
    </row>
    <row r="371" spans="1:29" ht="18.75">
      <c r="A371" s="786"/>
      <c r="B371" s="216"/>
      <c r="C371" s="789"/>
      <c r="D371" s="792"/>
      <c r="E371" s="393"/>
      <c r="F371" s="390"/>
      <c r="G371" s="400"/>
      <c r="H371" s="392">
        <f t="shared" si="102"/>
        <v>0</v>
      </c>
      <c r="I371" s="389"/>
      <c r="J371" s="390"/>
      <c r="K371" s="434"/>
      <c r="L371" s="484">
        <f t="shared" si="103"/>
        <v>0</v>
      </c>
      <c r="M371" s="432"/>
      <c r="N371" s="434"/>
      <c r="O371" s="434"/>
      <c r="P371" s="434"/>
      <c r="Q371" s="399">
        <f>база!$L$6</f>
        <v>261.04640000000001</v>
      </c>
      <c r="R371" s="390">
        <v>1</v>
      </c>
      <c r="S371" s="491">
        <f>SUMIFS(Таблица1[Столбец1],Таблица1[коэф],"1",Таблица1[р/р],"5/16",Таблица1[Ф. И. О.],B374)</f>
        <v>0</v>
      </c>
      <c r="T371" s="492">
        <f t="shared" si="104"/>
        <v>0</v>
      </c>
      <c r="U371" s="472">
        <f>база!$M$6</f>
        <v>279.0496</v>
      </c>
      <c r="V371" s="390">
        <v>1</v>
      </c>
      <c r="W371" s="494">
        <f>SUMIFS(Таблица1[Столбец1],Таблица1[коэф],"1",Таблица1[р/р],"5/24",Таблица1[Ф. И. О.],B374)</f>
        <v>0</v>
      </c>
      <c r="X371" s="492">
        <f t="shared" si="105"/>
        <v>0</v>
      </c>
      <c r="Y371" s="795"/>
      <c r="Z371" s="797"/>
      <c r="AA371" s="786"/>
    </row>
    <row r="372" spans="1:29" ht="18.75">
      <c r="A372" s="786"/>
      <c r="B372" s="216"/>
      <c r="C372" s="789"/>
      <c r="D372" s="792"/>
      <c r="E372" s="393"/>
      <c r="F372" s="390"/>
      <c r="G372" s="400"/>
      <c r="H372" s="392">
        <f t="shared" si="102"/>
        <v>0</v>
      </c>
      <c r="I372" s="389">
        <f>база!$J$5</f>
        <v>215.4924</v>
      </c>
      <c r="J372" s="390">
        <v>1.5</v>
      </c>
      <c r="K372" s="434">
        <f>SUMIFS(Таблица1[Столбец1],Таблица1[коэф],"1,5",Таблица1[р/р],"4/8",Таблица1[Ф. И. О.],B374)</f>
        <v>0</v>
      </c>
      <c r="L372" s="484">
        <f t="shared" si="103"/>
        <v>0</v>
      </c>
      <c r="M372" s="432"/>
      <c r="N372" s="434"/>
      <c r="O372" s="434"/>
      <c r="P372" s="434"/>
      <c r="Q372" s="399">
        <f>IF(D369&lt;=3,база!$L$4,
IF(D369=4,база!$L$5,
IF(D369=5,база!$L$6)))</f>
        <v>210.57480000000001</v>
      </c>
      <c r="R372" s="390">
        <v>1.2</v>
      </c>
      <c r="S372" s="491">
        <f>SUMIFS(Таблица1[Столбец1],Таблица1[коэф],"1,2",Таблица1[р/р],"3/16",Таблица1[Ф. И. О.],B374)</f>
        <v>0</v>
      </c>
      <c r="T372" s="492">
        <f t="shared" si="104"/>
        <v>0</v>
      </c>
      <c r="U372" s="472">
        <f>IF(D369&lt;=3,база!$M$4,
IF(D369=4,база!$M$5,
IF(D369=5,база!$M$6)))</f>
        <v>225.09719999999999</v>
      </c>
      <c r="V372" s="390">
        <v>1.2</v>
      </c>
      <c r="W372" s="494">
        <f>SUMIFS(Таблица1[Столбец1],Таблица1[коэф],"1,2",Таблица1[р/р],"3/24",Таблица1[Ф. И. О.],B374)</f>
        <v>0</v>
      </c>
      <c r="X372" s="492">
        <f t="shared" si="105"/>
        <v>0</v>
      </c>
      <c r="Y372" s="795"/>
      <c r="Z372" s="797"/>
      <c r="AA372" s="786"/>
    </row>
    <row r="373" spans="1:29" ht="18.75">
      <c r="A373" s="786"/>
      <c r="B373" s="216"/>
      <c r="C373" s="789"/>
      <c r="D373" s="792"/>
      <c r="E373" s="393"/>
      <c r="F373" s="390"/>
      <c r="G373" s="400"/>
      <c r="H373" s="392">
        <f t="shared" si="102"/>
        <v>0</v>
      </c>
      <c r="I373" s="389">
        <f>база!$J$6</f>
        <v>243.04319999999998</v>
      </c>
      <c r="J373" s="390">
        <v>1.5</v>
      </c>
      <c r="K373" s="434">
        <f>SUMIFS(Таблица1[Столбец1],Таблица1[коэф],"1,5",Таблица1[р/р],"5/8",Таблица1[Ф. И. О.],B374)</f>
        <v>0</v>
      </c>
      <c r="L373" s="484">
        <f t="shared" si="103"/>
        <v>0</v>
      </c>
      <c r="M373" s="432"/>
      <c r="N373" s="434"/>
      <c r="O373" s="434"/>
      <c r="P373" s="434"/>
      <c r="Q373" s="399">
        <f>база!$L$5</f>
        <v>231.45480000000001</v>
      </c>
      <c r="R373" s="390">
        <v>1.2</v>
      </c>
      <c r="S373" s="491">
        <f>SUMIFS(Таблица1[Столбец1],Таблица1[коэф],"1,2",Таблица1[р/р],"4/16",Таблица1[Ф. И. О.],B374)</f>
        <v>0</v>
      </c>
      <c r="T373" s="492">
        <f t="shared" si="104"/>
        <v>0</v>
      </c>
      <c r="U373" s="472">
        <f>база!$M$5</f>
        <v>247.41720000000001</v>
      </c>
      <c r="V373" s="390">
        <v>1.2</v>
      </c>
      <c r="W373" s="494">
        <f>SUMIFS(Таблица1[Столбец1],Таблица1[коэф],"1,2",Таблица1[р/р],"4/24",Таблица1[Ф. И. О.],B374)</f>
        <v>0</v>
      </c>
      <c r="X373" s="492">
        <f t="shared" si="105"/>
        <v>0</v>
      </c>
      <c r="Y373" s="795"/>
      <c r="Z373" s="797"/>
      <c r="AA373" s="786"/>
    </row>
    <row r="374" spans="1:29" ht="18" customHeight="1">
      <c r="A374" s="786"/>
      <c r="B374" s="216" t="str">
        <f>база!B35</f>
        <v>Кабанова Анастасия Евгеньевна</v>
      </c>
      <c r="C374" s="789"/>
      <c r="D374" s="792"/>
      <c r="E374" s="393"/>
      <c r="F374" s="390"/>
      <c r="G374" s="400"/>
      <c r="H374" s="392">
        <f t="shared" si="102"/>
        <v>0</v>
      </c>
      <c r="I374" s="389"/>
      <c r="J374" s="390"/>
      <c r="K374" s="434"/>
      <c r="L374" s="484">
        <f t="shared" si="103"/>
        <v>0</v>
      </c>
      <c r="M374" s="432"/>
      <c r="N374" s="434"/>
      <c r="O374" s="434"/>
      <c r="P374" s="434"/>
      <c r="Q374" s="399">
        <f>база!$L$6</f>
        <v>261.04640000000001</v>
      </c>
      <c r="R374" s="390">
        <v>1.2</v>
      </c>
      <c r="S374" s="491">
        <f>SUMIFS(Таблица1[Столбец1],Таблица1[коэф],"1,2",Таблица1[р/р],"5/16",Таблица1[Ф. И. О.],B374)</f>
        <v>0</v>
      </c>
      <c r="T374" s="492">
        <f t="shared" si="104"/>
        <v>0</v>
      </c>
      <c r="U374" s="472">
        <f>база!$M$6</f>
        <v>279.0496</v>
      </c>
      <c r="V374" s="390">
        <v>1.2</v>
      </c>
      <c r="W374" s="494">
        <f>SUMIFS(Таблица1[Столбец1],Таблица1[коэф],"1,2",Таблица1[р/р],"5/24",Таблица1[Ф. И. О.],B374)</f>
        <v>0</v>
      </c>
      <c r="X374" s="492">
        <f t="shared" si="105"/>
        <v>0</v>
      </c>
      <c r="Y374" s="795"/>
      <c r="Z374" s="797"/>
      <c r="AA374" s="786"/>
      <c r="AC374" s="727" t="str">
        <f>IF(SUMIFS(Таблица1[Столбец3],Таблица1[Ф. И. О.],B374)-Z369=0,"",SUMIFS(Таблица1[Столбец3],Таблица1[Ф. И. О.],B374)-Z369)</f>
        <v/>
      </c>
    </row>
    <row r="375" spans="1:29" ht="18.75">
      <c r="A375" s="786"/>
      <c r="B375" s="216"/>
      <c r="C375" s="789"/>
      <c r="D375" s="792"/>
      <c r="E375" s="393"/>
      <c r="F375" s="390"/>
      <c r="G375" s="400"/>
      <c r="H375" s="392">
        <f t="shared" si="102"/>
        <v>0</v>
      </c>
      <c r="I375" s="389"/>
      <c r="J375" s="390"/>
      <c r="K375" s="434"/>
      <c r="L375" s="484">
        <f t="shared" si="103"/>
        <v>0</v>
      </c>
      <c r="M375" s="432"/>
      <c r="N375" s="434"/>
      <c r="O375" s="434"/>
      <c r="P375" s="434"/>
      <c r="Q375" s="399">
        <f>IF(D369&lt;=3,база!$L$4,
IF(D369=4,база!$L$5,
IF(D369=5,база!$L$6)))</f>
        <v>210.57480000000001</v>
      </c>
      <c r="R375" s="390">
        <v>1.3</v>
      </c>
      <c r="S375" s="491">
        <f>SUMIFS(Таблица1[Столбец1],Таблица1[коэф],"1,3",Таблица1[р/р],"3/16",Таблица1[Ф. И. О.],B374)</f>
        <v>0</v>
      </c>
      <c r="T375" s="492">
        <f t="shared" si="104"/>
        <v>0</v>
      </c>
      <c r="U375" s="472">
        <f>IF(D369&lt;=3,база!$M$4,
IF(D369=4,база!$M$5,
IF(D369=5,база!$M$6)))</f>
        <v>225.09719999999999</v>
      </c>
      <c r="V375" s="390">
        <v>1.3</v>
      </c>
      <c r="W375" s="494">
        <f>SUMIFS(Таблица1[Столбец1],Таблица1[коэф],"1,3",Таблица1[р/р],"3/24",Таблица1[Ф. И. О.],B374)</f>
        <v>0</v>
      </c>
      <c r="X375" s="492">
        <f t="shared" si="105"/>
        <v>0</v>
      </c>
      <c r="Y375" s="795"/>
      <c r="Z375" s="797"/>
      <c r="AA375" s="786"/>
      <c r="AC375" s="727" t="str">
        <f>IF(SUMIFS(Таблица1[Столбец1],Таблица1[Ф. И. О.],B374)=Y369,"",B374&amp;"  часы не верны")</f>
        <v/>
      </c>
    </row>
    <row r="376" spans="1:29" ht="18.75">
      <c r="A376" s="786"/>
      <c r="B376" s="216"/>
      <c r="C376" s="789"/>
      <c r="D376" s="792"/>
      <c r="E376" s="393"/>
      <c r="F376" s="390"/>
      <c r="G376" s="400"/>
      <c r="H376" s="392">
        <f t="shared" si="102"/>
        <v>0</v>
      </c>
      <c r="I376" s="389"/>
      <c r="J376" s="390"/>
      <c r="K376" s="434"/>
      <c r="L376" s="484">
        <f t="shared" si="103"/>
        <v>0</v>
      </c>
      <c r="M376" s="432"/>
      <c r="N376" s="434"/>
      <c r="O376" s="434"/>
      <c r="P376" s="434"/>
      <c r="Q376" s="399">
        <f>база!$L$5</f>
        <v>231.45480000000001</v>
      </c>
      <c r="R376" s="390">
        <v>1.3</v>
      </c>
      <c r="S376" s="491">
        <f>SUMIFS(Таблица1[Столбец1],Таблица1[коэф],"1,3",Таблица1[р/р],"4/16",Таблица1[Ф. И. О.],B374)</f>
        <v>0</v>
      </c>
      <c r="T376" s="492">
        <f t="shared" si="104"/>
        <v>0</v>
      </c>
      <c r="U376" s="472">
        <f>база!$M$5</f>
        <v>247.41720000000001</v>
      </c>
      <c r="V376" s="390">
        <v>1.3</v>
      </c>
      <c r="W376" s="494">
        <f>SUMIFS(Таблица1[Столбец1],Таблица1[коэф],"1,3",Таблица1[р/р],"4/24",Таблица1[Ф. И. О.],B374)</f>
        <v>0</v>
      </c>
      <c r="X376" s="492">
        <f t="shared" si="105"/>
        <v>0</v>
      </c>
      <c r="Y376" s="795"/>
      <c r="Z376" s="797"/>
      <c r="AA376" s="786"/>
    </row>
    <row r="377" spans="1:29" ht="18.75">
      <c r="A377" s="786"/>
      <c r="B377" s="216"/>
      <c r="C377" s="789"/>
      <c r="D377" s="792"/>
      <c r="E377" s="393"/>
      <c r="F377" s="390"/>
      <c r="G377" s="400"/>
      <c r="H377" s="392">
        <f t="shared" si="102"/>
        <v>0</v>
      </c>
      <c r="I377" s="389"/>
      <c r="J377" s="390"/>
      <c r="K377" s="434"/>
      <c r="L377" s="484">
        <f t="shared" si="103"/>
        <v>0</v>
      </c>
      <c r="M377" s="432"/>
      <c r="N377" s="434"/>
      <c r="O377" s="434"/>
      <c r="P377" s="434"/>
      <c r="Q377" s="399">
        <f>IF(D369&lt;=3,база!$L$4,
IF(D369=4,база!$L$5,
IF(D369=5,база!$L$6)))</f>
        <v>210.57480000000001</v>
      </c>
      <c r="R377" s="390">
        <v>1.4</v>
      </c>
      <c r="S377" s="491">
        <f>SUMIFS(Таблица1[Столбец1],Таблица1[коэф],"1,4",Таблица1[р/р],"3/16",Таблица1[Ф. И. О.],B374)</f>
        <v>0</v>
      </c>
      <c r="T377" s="492">
        <f t="shared" si="104"/>
        <v>0</v>
      </c>
      <c r="U377" s="472">
        <f>IF(D369&lt;=3,база!$M$4,
IF(D369=4,база!$M$5,
IF(D369=5,база!$M$6)))</f>
        <v>225.09719999999999</v>
      </c>
      <c r="V377" s="390">
        <v>1.4</v>
      </c>
      <c r="W377" s="494">
        <f>SUMIFS(Таблица1[Столбец1],Таблица1[коэф],"1,4",Таблица1[р/р],"3/24",Таблица1[Ф. И. О.],B374)</f>
        <v>0</v>
      </c>
      <c r="X377" s="492">
        <f t="shared" si="105"/>
        <v>0</v>
      </c>
      <c r="Y377" s="795"/>
      <c r="Z377" s="797"/>
      <c r="AA377" s="786"/>
    </row>
    <row r="378" spans="1:29" ht="18.75">
      <c r="A378" s="786"/>
      <c r="B378" s="216"/>
      <c r="C378" s="789"/>
      <c r="D378" s="792"/>
      <c r="E378" s="393"/>
      <c r="F378" s="390"/>
      <c r="G378" s="400"/>
      <c r="H378" s="392">
        <f t="shared" si="102"/>
        <v>0</v>
      </c>
      <c r="I378" s="389"/>
      <c r="J378" s="390"/>
      <c r="K378" s="434"/>
      <c r="L378" s="395">
        <f t="shared" si="103"/>
        <v>0</v>
      </c>
      <c r="M378" s="432"/>
      <c r="N378" s="434"/>
      <c r="O378" s="434"/>
      <c r="P378" s="434"/>
      <c r="Q378" s="399">
        <f>база!$L$5</f>
        <v>231.45480000000001</v>
      </c>
      <c r="R378" s="390">
        <v>1.4</v>
      </c>
      <c r="S378" s="491">
        <f>SUMIFS(Таблица1[Столбец1],Таблица1[коэф],"1,4",Таблица1[р/р],"4/16",Таблица1[Ф. И. О.],B374)</f>
        <v>0</v>
      </c>
      <c r="T378" s="492">
        <f t="shared" si="104"/>
        <v>0</v>
      </c>
      <c r="U378" s="472">
        <f>база!$M$5</f>
        <v>247.41720000000001</v>
      </c>
      <c r="V378" s="390">
        <v>1.4</v>
      </c>
      <c r="W378" s="494">
        <f>SUMIFS(Таблица1[Столбец1],Таблица1[коэф],"1,4",Таблица1[р/р],"4/24",Таблица1[Ф. И. О.],B374)</f>
        <v>0</v>
      </c>
      <c r="X378" s="492">
        <f t="shared" si="105"/>
        <v>0</v>
      </c>
      <c r="Y378" s="795"/>
      <c r="Z378" s="797"/>
      <c r="AA378" s="786"/>
    </row>
    <row r="379" spans="1:29" ht="19.5" thickBot="1">
      <c r="A379" s="787"/>
      <c r="B379" s="203"/>
      <c r="C379" s="790"/>
      <c r="D379" s="793"/>
      <c r="E379" s="463"/>
      <c r="F379" s="464"/>
      <c r="G379" s="465"/>
      <c r="H379" s="468">
        <f t="shared" si="102"/>
        <v>0</v>
      </c>
      <c r="I379" s="473"/>
      <c r="J379" s="464"/>
      <c r="K379" s="457"/>
      <c r="L379" s="458">
        <f t="shared" si="103"/>
        <v>0</v>
      </c>
      <c r="M379" s="466"/>
      <c r="N379" s="457"/>
      <c r="O379" s="457"/>
      <c r="P379" s="457"/>
      <c r="Q379" s="467">
        <f>база!$L$6</f>
        <v>261.04640000000001</v>
      </c>
      <c r="R379" s="464">
        <v>1.4</v>
      </c>
      <c r="S379" s="512">
        <f>SUMIFS(Таблица1[Столбец1],Таблица1[коэф],"1,4",Таблица1[р/р],"5/16",Таблица1[Ф. И. О.],B374)</f>
        <v>0</v>
      </c>
      <c r="T379" s="513">
        <f t="shared" si="104"/>
        <v>0</v>
      </c>
      <c r="U379" s="474">
        <f>база!$M$6</f>
        <v>279.0496</v>
      </c>
      <c r="V379" s="464">
        <v>1.4</v>
      </c>
      <c r="W379" s="501">
        <f>SUMIFS(Таблица1[Столбец1],Таблица1[коэф],"1,4",Таблица1[р/р],"5/24",Таблица1[Ф. И. О.],B374)</f>
        <v>0</v>
      </c>
      <c r="X379" s="513">
        <f t="shared" si="105"/>
        <v>0</v>
      </c>
      <c r="Y379" s="796"/>
      <c r="Z379" s="798"/>
      <c r="AA379" s="787"/>
    </row>
    <row r="380" spans="1:29" ht="18.75" collapsed="1">
      <c r="A380" s="785">
        <v>35</v>
      </c>
      <c r="B380" s="236"/>
      <c r="C380" s="788">
        <f>INDEX(база!$E$2:$E$81, MATCH(B385,база!$B$2:$B$50,0))</f>
        <v>17282</v>
      </c>
      <c r="D380" s="791">
        <f>INDEX(база!$D$2:$D$89, MATCH(B385,база!$B$2:$B$50,0))</f>
        <v>3</v>
      </c>
      <c r="E380" s="451">
        <f>IF(D380&lt;=3,база!$I$4,
IF(D380=4,база!$I$5,
IF(D380=5,база!$I$6)))</f>
        <v>188.7912</v>
      </c>
      <c r="F380" s="417">
        <v>1</v>
      </c>
      <c r="G380" s="418">
        <f>SUMIFS(Таблица1[Столбец1],Таблица1[коэф],"1",Таблица1[р/р],"2/4",Таблица1[Ф. И. О.],B385)</f>
        <v>0</v>
      </c>
      <c r="H380" s="402">
        <f t="shared" si="102"/>
        <v>0</v>
      </c>
      <c r="I380" s="377">
        <f>IF(D380&lt;=3,база!$J$4,
IF(D380=4,база!$J$5,
IF(D380=5,база!$J$6)))</f>
        <v>196.05240000000001</v>
      </c>
      <c r="J380" s="378">
        <v>1</v>
      </c>
      <c r="K380" s="428">
        <f>SUMIFS(Таблица1[Столбец1],Таблица1[коэф],"1",Таблица1[р/р],"2/8",Таблица1[Ф. И. О.],B385)</f>
        <v>0</v>
      </c>
      <c r="L380" s="383">
        <f t="shared" si="103"/>
        <v>0</v>
      </c>
      <c r="M380" s="452"/>
      <c r="N380" s="453">
        <v>1</v>
      </c>
      <c r="O380" s="453">
        <f>SUMIFS(Data_Tech!$AM$3:$AM$67,Data_Tech!$E$3:$E$67,"1",Data_Tech!$G$3:$G$67,"3/12",Data_Tech!$F$3:$F$67,B385)</f>
        <v>0</v>
      </c>
      <c r="P380" s="453">
        <f>ROUND(M380*N380*O380,2)</f>
        <v>0</v>
      </c>
      <c r="Q380" s="416">
        <f>IF(D380&lt;=3,база!$L$4,
IF(D380=4,база!$L$5,
IF(D380=5,база!$L$6)))</f>
        <v>210.57480000000001</v>
      </c>
      <c r="R380" s="417">
        <v>1</v>
      </c>
      <c r="S380" s="495">
        <f>SUMIFS(Таблица1[Столбец1],Таблица1[коэф],"1",Таблица1[р/р],"3/16",Таблица1[Ф. И. О.],B385)</f>
        <v>0</v>
      </c>
      <c r="T380" s="490">
        <f t="shared" si="104"/>
        <v>0</v>
      </c>
      <c r="U380" s="471">
        <f>IF(D380&lt;=3,база!$M$4,
IF(D380=4,база!$M$5,
IF(D380=5,база!$M$6)))</f>
        <v>225.09719999999999</v>
      </c>
      <c r="V380" s="378">
        <v>1</v>
      </c>
      <c r="W380" s="497">
        <f>SUMIFS(Таблица1[Столбец1],Таблица1[коэф],"1",Таблица1[р/р],"3/24",Таблица1[Ф. И. О.],B385)</f>
        <v>0</v>
      </c>
      <c r="X380" s="490">
        <f t="shared" si="105"/>
        <v>0</v>
      </c>
      <c r="Y380" s="795">
        <f t="shared" ref="Y380" si="108">SUM(G380:G390,K380:K390,O380:O390,S380:S390,W380:W390)</f>
        <v>0</v>
      </c>
      <c r="Z380" s="797">
        <f t="shared" ref="Z380" si="109">IFERROR(SUM(H380:H390,L380:L390,T380:T390,X380:X390),"")</f>
        <v>0</v>
      </c>
      <c r="AA380" s="786"/>
    </row>
    <row r="381" spans="1:29" ht="18.75">
      <c r="A381" s="786"/>
      <c r="B381" s="216"/>
      <c r="C381" s="789"/>
      <c r="D381" s="792"/>
      <c r="E381" s="393">
        <f>IF(D380&lt;=3,база!$I$4,
IF(D380=4,база!$I$5,
IF(D380=5,база!$I$6)))</f>
        <v>188.7912</v>
      </c>
      <c r="F381" s="390">
        <v>1</v>
      </c>
      <c r="G381" s="400">
        <f>SUMIFS(Таблица1[Столбец1],Таблица1[коэф],"1",Таблица1[р/р],"3/4",Таблица1[Ф. И. О.],B385)</f>
        <v>0</v>
      </c>
      <c r="H381" s="392">
        <f t="shared" si="102"/>
        <v>0</v>
      </c>
      <c r="I381" s="389">
        <f>IF(D380&lt;=3,база!$J$4,
IF(D380=4,база!$J$5,
IF(D380=5,база!$J$6)))</f>
        <v>196.05240000000001</v>
      </c>
      <c r="J381" s="390">
        <v>1</v>
      </c>
      <c r="K381" s="434">
        <f>SUMIFS(Таблица1[Столбец1],Таблица1[коэф],"1",Таблица1[р/р],"3/8",Таблица1[Ф. И. О.],B385)</f>
        <v>0</v>
      </c>
      <c r="L381" s="484">
        <f t="shared" si="103"/>
        <v>0</v>
      </c>
      <c r="M381" s="432"/>
      <c r="N381" s="434">
        <v>1</v>
      </c>
      <c r="O381" s="434">
        <f>SUMIFS(Data_Tech!$AM$3:$AM$67,Data_Tech!$E$3:$E$67,"1",Data_Tech!$G$3:$G$67,"4/12",Data_Tech!$F$3:$F$67,B385)</f>
        <v>0</v>
      </c>
      <c r="P381" s="434">
        <f>ROUND(M381*O381,2)</f>
        <v>0</v>
      </c>
      <c r="Q381" s="399">
        <f>база!$L$5</f>
        <v>231.45480000000001</v>
      </c>
      <c r="R381" s="390">
        <v>1</v>
      </c>
      <c r="S381" s="491">
        <f>SUMIFS(Таблица1[Столбец1],Таблица1[коэф],"1",Таблица1[р/р],"4/16",Таблица1[Ф. И. О.],B385)</f>
        <v>0</v>
      </c>
      <c r="T381" s="492">
        <f t="shared" si="104"/>
        <v>0</v>
      </c>
      <c r="U381" s="472">
        <f>база!$M$5</f>
        <v>247.41720000000001</v>
      </c>
      <c r="V381" s="390">
        <v>1</v>
      </c>
      <c r="W381" s="494">
        <f>SUMIFS(Таблица1[Столбец1],Таблица1[коэф],"1",Таблица1[р/р],"4/24",Таблица1[Ф. И. О.],B385)</f>
        <v>0</v>
      </c>
      <c r="X381" s="492">
        <f t="shared" si="105"/>
        <v>0</v>
      </c>
      <c r="Y381" s="795"/>
      <c r="Z381" s="797"/>
      <c r="AA381" s="786"/>
    </row>
    <row r="382" spans="1:29" ht="18.75">
      <c r="A382" s="786"/>
      <c r="B382" s="216"/>
      <c r="C382" s="789"/>
      <c r="D382" s="792"/>
      <c r="E382" s="393"/>
      <c r="F382" s="390"/>
      <c r="G382" s="400"/>
      <c r="H382" s="392">
        <f t="shared" si="102"/>
        <v>0</v>
      </c>
      <c r="I382" s="389"/>
      <c r="J382" s="390"/>
      <c r="K382" s="434"/>
      <c r="L382" s="484">
        <f t="shared" si="103"/>
        <v>0</v>
      </c>
      <c r="M382" s="432"/>
      <c r="N382" s="434"/>
      <c r="O382" s="434"/>
      <c r="P382" s="434"/>
      <c r="Q382" s="399">
        <f>база!$L$6</f>
        <v>261.04640000000001</v>
      </c>
      <c r="R382" s="390">
        <v>1</v>
      </c>
      <c r="S382" s="491">
        <f>SUMIFS(Таблица1[Столбец1],Таблица1[коэф],"1",Таблица1[р/р],"5/16",Таблица1[Ф. И. О.],B385)</f>
        <v>0</v>
      </c>
      <c r="T382" s="492">
        <f t="shared" si="104"/>
        <v>0</v>
      </c>
      <c r="U382" s="472">
        <f>база!$M$6</f>
        <v>279.0496</v>
      </c>
      <c r="V382" s="390">
        <v>1</v>
      </c>
      <c r="W382" s="494">
        <f>SUMIFS(Таблица1[Столбец1],Таблица1[коэф],"1",Таблица1[р/р],"5/24",Таблица1[Ф. И. О.],B385)</f>
        <v>0</v>
      </c>
      <c r="X382" s="492">
        <f t="shared" si="105"/>
        <v>0</v>
      </c>
      <c r="Y382" s="795"/>
      <c r="Z382" s="797"/>
      <c r="AA382" s="786"/>
    </row>
    <row r="383" spans="1:29" ht="18.75">
      <c r="A383" s="786"/>
      <c r="B383" s="216"/>
      <c r="C383" s="789"/>
      <c r="D383" s="792"/>
      <c r="E383" s="393"/>
      <c r="F383" s="390"/>
      <c r="G383" s="400"/>
      <c r="H383" s="392">
        <f t="shared" si="102"/>
        <v>0</v>
      </c>
      <c r="I383" s="389">
        <f>база!$J$5</f>
        <v>215.4924</v>
      </c>
      <c r="J383" s="390">
        <v>1.5</v>
      </c>
      <c r="K383" s="434">
        <f>SUMIFS(Таблица1[Столбец1],Таблица1[коэф],"1,5",Таблица1[р/р],"4/8",Таблица1[Ф. И. О.],B385)</f>
        <v>0</v>
      </c>
      <c r="L383" s="484">
        <f t="shared" si="103"/>
        <v>0</v>
      </c>
      <c r="M383" s="432"/>
      <c r="N383" s="434"/>
      <c r="O383" s="434"/>
      <c r="P383" s="434"/>
      <c r="Q383" s="399">
        <f>IF(D380&lt;=3,база!$L$4,
IF(D380=4,база!$L$5,
IF(D380=5,база!$L$6)))</f>
        <v>210.57480000000001</v>
      </c>
      <c r="R383" s="390">
        <v>1.2</v>
      </c>
      <c r="S383" s="491">
        <f>SUMIFS(Таблица1[Столбец1],Таблица1[коэф],"1,2",Таблица1[р/р],"3/16",Таблица1[Ф. И. О.],B385)</f>
        <v>0</v>
      </c>
      <c r="T383" s="492">
        <f t="shared" si="104"/>
        <v>0</v>
      </c>
      <c r="U383" s="472">
        <f>IF(D380&lt;=3,база!$M$4,
IF(D380=4,база!$M$5,
IF(D380=5,база!$M$6)))</f>
        <v>225.09719999999999</v>
      </c>
      <c r="V383" s="390">
        <v>1.2</v>
      </c>
      <c r="W383" s="494">
        <f>SUMIFS(Таблица1[Столбец1],Таблица1[коэф],"1,2",Таблица1[р/р],"3/24",Таблица1[Ф. И. О.],B385)</f>
        <v>0</v>
      </c>
      <c r="X383" s="492">
        <f t="shared" si="105"/>
        <v>0</v>
      </c>
      <c r="Y383" s="795"/>
      <c r="Z383" s="797"/>
      <c r="AA383" s="786"/>
    </row>
    <row r="384" spans="1:29" ht="18.75">
      <c r="A384" s="786"/>
      <c r="B384" s="216"/>
      <c r="C384" s="789"/>
      <c r="D384" s="792"/>
      <c r="E384" s="393"/>
      <c r="F384" s="390"/>
      <c r="G384" s="400"/>
      <c r="H384" s="392">
        <f t="shared" si="102"/>
        <v>0</v>
      </c>
      <c r="I384" s="389">
        <f>база!$J$6</f>
        <v>243.04319999999998</v>
      </c>
      <c r="J384" s="390">
        <v>1.5</v>
      </c>
      <c r="K384" s="434">
        <f>SUMIFS(Таблица1[Столбец1],Таблица1[коэф],"1,5",Таблица1[р/р],"5/8",Таблица1[Ф. И. О.],B385)</f>
        <v>0</v>
      </c>
      <c r="L384" s="484">
        <f t="shared" si="103"/>
        <v>0</v>
      </c>
      <c r="M384" s="432"/>
      <c r="N384" s="434"/>
      <c r="O384" s="434"/>
      <c r="P384" s="434"/>
      <c r="Q384" s="399">
        <f>база!$L$5</f>
        <v>231.45480000000001</v>
      </c>
      <c r="R384" s="390">
        <v>1.2</v>
      </c>
      <c r="S384" s="491">
        <f>SUMIFS(Таблица1[Столбец1],Таблица1[коэф],"1,2",Таблица1[р/р],"4/16",Таблица1[Ф. И. О.],B385)</f>
        <v>0</v>
      </c>
      <c r="T384" s="492">
        <f t="shared" si="104"/>
        <v>0</v>
      </c>
      <c r="U384" s="472">
        <f>база!$M$5</f>
        <v>247.41720000000001</v>
      </c>
      <c r="V384" s="390">
        <v>1.2</v>
      </c>
      <c r="W384" s="494">
        <f>SUMIFS(Таблица1[Столбец1],Таблица1[коэф],"1,2",Таблица1[р/р],"4/24",Таблица1[Ф. И. О.],B385)</f>
        <v>0</v>
      </c>
      <c r="X384" s="492">
        <f t="shared" si="105"/>
        <v>0</v>
      </c>
      <c r="Y384" s="795"/>
      <c r="Z384" s="797"/>
      <c r="AA384" s="786"/>
    </row>
    <row r="385" spans="1:29" ht="18" customHeight="1">
      <c r="A385" s="786"/>
      <c r="B385" s="216" t="str">
        <f>база!B36</f>
        <v>Кириллова Надежда Вячеславовна</v>
      </c>
      <c r="C385" s="789"/>
      <c r="D385" s="792"/>
      <c r="E385" s="393"/>
      <c r="F385" s="390"/>
      <c r="G385" s="400"/>
      <c r="H385" s="392">
        <f t="shared" si="102"/>
        <v>0</v>
      </c>
      <c r="I385" s="389"/>
      <c r="J385" s="390"/>
      <c r="K385" s="434"/>
      <c r="L385" s="484">
        <f t="shared" si="103"/>
        <v>0</v>
      </c>
      <c r="M385" s="432"/>
      <c r="N385" s="434"/>
      <c r="O385" s="434"/>
      <c r="P385" s="434"/>
      <c r="Q385" s="399">
        <f>база!$L$6</f>
        <v>261.04640000000001</v>
      </c>
      <c r="R385" s="390">
        <v>1.2</v>
      </c>
      <c r="S385" s="491">
        <f>SUMIFS(Таблица1[Столбец1],Таблица1[коэф],"1,2",Таблица1[р/р],"5/16",Таблица1[Ф. И. О.],B385)</f>
        <v>0</v>
      </c>
      <c r="T385" s="492">
        <f t="shared" si="104"/>
        <v>0</v>
      </c>
      <c r="U385" s="472">
        <f>база!$M$6</f>
        <v>279.0496</v>
      </c>
      <c r="V385" s="390">
        <v>1.2</v>
      </c>
      <c r="W385" s="494">
        <f>SUMIFS(Таблица1[Столбец1],Таблица1[коэф],"1,2",Таблица1[р/р],"5/24",Таблица1[Ф. И. О.],B385)</f>
        <v>0</v>
      </c>
      <c r="X385" s="492">
        <f t="shared" si="105"/>
        <v>0</v>
      </c>
      <c r="Y385" s="795"/>
      <c r="Z385" s="797"/>
      <c r="AA385" s="786"/>
      <c r="AC385" s="727" t="str">
        <f>IF(SUMIFS(Таблица1[Столбец3],Таблица1[Ф. И. О.],B385)-Z380=0,"",SUMIFS(Таблица1[Столбец3],Таблица1[Ф. И. О.],B385)-Z380)</f>
        <v/>
      </c>
    </row>
    <row r="386" spans="1:29" ht="18.75">
      <c r="A386" s="786"/>
      <c r="B386" s="216"/>
      <c r="C386" s="789"/>
      <c r="D386" s="792"/>
      <c r="E386" s="393"/>
      <c r="F386" s="390"/>
      <c r="G386" s="400"/>
      <c r="H386" s="392">
        <f t="shared" si="102"/>
        <v>0</v>
      </c>
      <c r="I386" s="389"/>
      <c r="J386" s="390"/>
      <c r="K386" s="434"/>
      <c r="L386" s="484">
        <f t="shared" si="103"/>
        <v>0</v>
      </c>
      <c r="M386" s="432"/>
      <c r="N386" s="434"/>
      <c r="O386" s="434"/>
      <c r="P386" s="434"/>
      <c r="Q386" s="399">
        <f>IF(D380&lt;=3,база!$L$4,
IF(D380=4,база!$L$5,
IF(D380=5,база!$L$6)))</f>
        <v>210.57480000000001</v>
      </c>
      <c r="R386" s="390">
        <v>1.3</v>
      </c>
      <c r="S386" s="491">
        <f>SUMIFS(Таблица1[Столбец1],Таблица1[коэф],"1,3",Таблица1[р/р],"3/16",Таблица1[Ф. И. О.],B385)</f>
        <v>0</v>
      </c>
      <c r="T386" s="492">
        <f t="shared" si="104"/>
        <v>0</v>
      </c>
      <c r="U386" s="472">
        <f>IF(D380&lt;=3,база!$M$4,
IF(D380=4,база!$M$5,
IF(D380=5,база!$M$6)))</f>
        <v>225.09719999999999</v>
      </c>
      <c r="V386" s="390">
        <v>1.3</v>
      </c>
      <c r="W386" s="494">
        <f>SUMIFS(Таблица1[Столбец1],Таблица1[коэф],"1,3",Таблица1[р/р],"3/24",Таблица1[Ф. И. О.],B385)</f>
        <v>0</v>
      </c>
      <c r="X386" s="492">
        <f t="shared" si="105"/>
        <v>0</v>
      </c>
      <c r="Y386" s="795"/>
      <c r="Z386" s="797"/>
      <c r="AA386" s="786"/>
      <c r="AC386" s="727" t="str">
        <f>IF(SUMIFS(Таблица1[Столбец1],Таблица1[Ф. И. О.],B385)=Y380,"",B385&amp;"  часы не верны")</f>
        <v/>
      </c>
    </row>
    <row r="387" spans="1:29" ht="18.75">
      <c r="A387" s="786"/>
      <c r="B387" s="216"/>
      <c r="C387" s="789"/>
      <c r="D387" s="792"/>
      <c r="E387" s="393"/>
      <c r="F387" s="390"/>
      <c r="G387" s="400"/>
      <c r="H387" s="392">
        <f t="shared" si="102"/>
        <v>0</v>
      </c>
      <c r="I387" s="389"/>
      <c r="J387" s="390"/>
      <c r="K387" s="434"/>
      <c r="L387" s="484">
        <f t="shared" si="103"/>
        <v>0</v>
      </c>
      <c r="M387" s="432"/>
      <c r="N387" s="434"/>
      <c r="O387" s="434"/>
      <c r="P387" s="434"/>
      <c r="Q387" s="399">
        <f>база!$L$5</f>
        <v>231.45480000000001</v>
      </c>
      <c r="R387" s="390">
        <v>1.3</v>
      </c>
      <c r="S387" s="491">
        <f>SUMIFS(Таблица1[Столбец1],Таблица1[коэф],"1,3",Таблица1[р/р],"4/16",Таблица1[Ф. И. О.],B385)</f>
        <v>0</v>
      </c>
      <c r="T387" s="492">
        <f t="shared" si="104"/>
        <v>0</v>
      </c>
      <c r="U387" s="472">
        <f>база!$M$5</f>
        <v>247.41720000000001</v>
      </c>
      <c r="V387" s="390">
        <v>1.3</v>
      </c>
      <c r="W387" s="494">
        <f>SUMIFS(Таблица1[Столбец1],Таблица1[коэф],"1,3",Таблица1[р/р],"4/24",Таблица1[Ф. И. О.],B385)</f>
        <v>0</v>
      </c>
      <c r="X387" s="492">
        <f t="shared" si="105"/>
        <v>0</v>
      </c>
      <c r="Y387" s="795"/>
      <c r="Z387" s="797"/>
      <c r="AA387" s="786"/>
    </row>
    <row r="388" spans="1:29" ht="18.75">
      <c r="A388" s="786"/>
      <c r="B388" s="216"/>
      <c r="C388" s="789"/>
      <c r="D388" s="792"/>
      <c r="E388" s="393"/>
      <c r="F388" s="390"/>
      <c r="G388" s="400"/>
      <c r="H388" s="392">
        <f t="shared" si="102"/>
        <v>0</v>
      </c>
      <c r="I388" s="389"/>
      <c r="J388" s="390"/>
      <c r="K388" s="434"/>
      <c r="L388" s="484">
        <f t="shared" si="103"/>
        <v>0</v>
      </c>
      <c r="M388" s="432"/>
      <c r="N388" s="434"/>
      <c r="O388" s="434"/>
      <c r="P388" s="434"/>
      <c r="Q388" s="399">
        <f>IF(D380&lt;=3,база!$L$4,
IF(D380=4,база!$L$5,
IF(D380=5,база!$L$6)))</f>
        <v>210.57480000000001</v>
      </c>
      <c r="R388" s="390">
        <v>1.4</v>
      </c>
      <c r="S388" s="491">
        <f>SUMIFS(Таблица1[Столбец1],Таблица1[коэф],"1,4",Таблица1[р/р],"3/16",Таблица1[Ф. И. О.],B385)</f>
        <v>0</v>
      </c>
      <c r="T388" s="492">
        <f t="shared" si="104"/>
        <v>0</v>
      </c>
      <c r="U388" s="472">
        <f>IF(D380&lt;=3,база!$M$4,
IF(D380=4,база!$M$5,
IF(D380=5,база!$M$6)))</f>
        <v>225.09719999999999</v>
      </c>
      <c r="V388" s="390">
        <v>1.4</v>
      </c>
      <c r="W388" s="494">
        <f>SUMIFS(Таблица1[Столбец1],Таблица1[коэф],"1,4",Таблица1[р/р],"3/24",Таблица1[Ф. И. О.],B385)</f>
        <v>0</v>
      </c>
      <c r="X388" s="492">
        <f t="shared" si="105"/>
        <v>0</v>
      </c>
      <c r="Y388" s="795"/>
      <c r="Z388" s="797"/>
      <c r="AA388" s="786"/>
    </row>
    <row r="389" spans="1:29" ht="18.75">
      <c r="A389" s="786"/>
      <c r="B389" s="216"/>
      <c r="C389" s="789"/>
      <c r="D389" s="792"/>
      <c r="E389" s="393"/>
      <c r="F389" s="390"/>
      <c r="G389" s="400"/>
      <c r="H389" s="392">
        <f t="shared" si="102"/>
        <v>0</v>
      </c>
      <c r="I389" s="389"/>
      <c r="J389" s="390"/>
      <c r="K389" s="434"/>
      <c r="L389" s="395">
        <f t="shared" si="103"/>
        <v>0</v>
      </c>
      <c r="M389" s="432"/>
      <c r="N389" s="434"/>
      <c r="O389" s="434"/>
      <c r="P389" s="434"/>
      <c r="Q389" s="399">
        <f>база!$L$5</f>
        <v>231.45480000000001</v>
      </c>
      <c r="R389" s="390">
        <v>1.4</v>
      </c>
      <c r="S389" s="491">
        <f>SUMIFS(Таблица1[Столбец1],Таблица1[коэф],"1,4",Таблица1[р/р],"4/16",Таблица1[Ф. И. О.],B385)</f>
        <v>0</v>
      </c>
      <c r="T389" s="492">
        <f t="shared" si="104"/>
        <v>0</v>
      </c>
      <c r="U389" s="472">
        <f>база!$M$5</f>
        <v>247.41720000000001</v>
      </c>
      <c r="V389" s="390">
        <v>1.4</v>
      </c>
      <c r="W389" s="494">
        <f>SUMIFS(Таблица1[Столбец1],Таблица1[коэф],"1,4",Таблица1[р/р],"4/24",Таблица1[Ф. И. О.],B385)</f>
        <v>0</v>
      </c>
      <c r="X389" s="492">
        <f t="shared" si="105"/>
        <v>0</v>
      </c>
      <c r="Y389" s="795"/>
      <c r="Z389" s="797"/>
      <c r="AA389" s="786"/>
    </row>
    <row r="390" spans="1:29" ht="19.5" thickBot="1">
      <c r="A390" s="787"/>
      <c r="B390" s="203"/>
      <c r="C390" s="790"/>
      <c r="D390" s="793"/>
      <c r="E390" s="463"/>
      <c r="F390" s="464"/>
      <c r="G390" s="465"/>
      <c r="H390" s="468">
        <f t="shared" si="102"/>
        <v>0</v>
      </c>
      <c r="I390" s="473"/>
      <c r="J390" s="464"/>
      <c r="K390" s="457"/>
      <c r="L390" s="458">
        <f t="shared" si="103"/>
        <v>0</v>
      </c>
      <c r="M390" s="466"/>
      <c r="N390" s="457"/>
      <c r="O390" s="457"/>
      <c r="P390" s="457"/>
      <c r="Q390" s="467">
        <f>база!$L$6</f>
        <v>261.04640000000001</v>
      </c>
      <c r="R390" s="464">
        <v>1.4</v>
      </c>
      <c r="S390" s="512">
        <f>SUMIFS(Таблица1[Столбец1],Таблица1[коэф],"1,4",Таблица1[р/р],"5/16",Таблица1[Ф. И. О.],B385)</f>
        <v>0</v>
      </c>
      <c r="T390" s="513">
        <f t="shared" si="104"/>
        <v>0</v>
      </c>
      <c r="U390" s="474">
        <f>база!$M$6</f>
        <v>279.0496</v>
      </c>
      <c r="V390" s="464">
        <v>1.4</v>
      </c>
      <c r="W390" s="501">
        <f>SUMIFS(Таблица1[Столбец1],Таблица1[коэф],"1,4",Таблица1[р/р],"5/24",Таблица1[Ф. И. О.],B385)</f>
        <v>0</v>
      </c>
      <c r="X390" s="513">
        <f t="shared" si="105"/>
        <v>0</v>
      </c>
      <c r="Y390" s="796"/>
      <c r="Z390" s="798"/>
      <c r="AA390" s="787"/>
    </row>
    <row r="391" spans="1:29" ht="17.25" customHeight="1" collapsed="1">
      <c r="A391" s="785">
        <v>36</v>
      </c>
      <c r="B391" s="236"/>
      <c r="C391" s="788">
        <f>INDEX(база!$E$2:$E$81, MATCH(B396,база!$B$2:$B$50,0))</f>
        <v>15575</v>
      </c>
      <c r="D391" s="791">
        <f>INDEX(база!$D$2:$D$89, MATCH(B396,база!$B$2:$B$50,0))</f>
        <v>3</v>
      </c>
      <c r="E391" s="451">
        <f>IF(D391&lt;=3,база!$I$4,
IF(D391=4,база!$I$5,
IF(D391=5,база!$I$6)))</f>
        <v>188.7912</v>
      </c>
      <c r="F391" s="417">
        <v>1</v>
      </c>
      <c r="G391" s="418">
        <f>SUMIFS(Таблица1[Столбец1],Таблица1[коэф],"1",Таблица1[р/р],"2/4",Таблица1[Ф. И. О.],B396)</f>
        <v>0</v>
      </c>
      <c r="H391" s="402">
        <f t="shared" si="102"/>
        <v>0</v>
      </c>
      <c r="I391" s="377">
        <f>IF(D391&lt;=3,база!$J$4,
IF(D391=4,база!$J$5,
IF(D391=5,база!$J$6)))</f>
        <v>196.05240000000001</v>
      </c>
      <c r="J391" s="378">
        <v>1</v>
      </c>
      <c r="K391" s="428">
        <f>SUMIFS(Таблица1[Столбец1],Таблица1[коэф],"1",Таблица1[р/р],"2/8",Таблица1[Ф. И. О.],B396)</f>
        <v>0</v>
      </c>
      <c r="L391" s="383">
        <f t="shared" si="103"/>
        <v>0</v>
      </c>
      <c r="M391" s="452"/>
      <c r="N391" s="453">
        <v>1</v>
      </c>
      <c r="O391" s="453">
        <f>SUMIFS(Data_Tech!$AM$3:$AM$67,Data_Tech!$E$3:$E$67,"1",Data_Tech!$G$3:$G$67,"3/12",Data_Tech!$F$3:$F$67,B396)</f>
        <v>0</v>
      </c>
      <c r="P391" s="453">
        <f>ROUND(M391*N391*O391,2)</f>
        <v>0</v>
      </c>
      <c r="Q391" s="416">
        <f>IF(D391&lt;=3,база!$L$4,
IF(D391=4,база!$L$5,
IF(D391=5,база!$L$6)))</f>
        <v>210.57480000000001</v>
      </c>
      <c r="R391" s="417">
        <v>1</v>
      </c>
      <c r="S391" s="495">
        <f>SUMIFS(Таблица1[Столбец1],Таблица1[коэф],"1",Таблица1[р/р],"3/16",Таблица1[Ф. И. О.],B396)</f>
        <v>0</v>
      </c>
      <c r="T391" s="490">
        <f t="shared" si="104"/>
        <v>0</v>
      </c>
      <c r="U391" s="471">
        <f>IF(D391&lt;=3,база!$M$4,
IF(D391=4,база!$M$5,
IF(D391=5,база!$M$6)))</f>
        <v>225.09719999999999</v>
      </c>
      <c r="V391" s="378">
        <v>1</v>
      </c>
      <c r="W391" s="497">
        <f>SUMIFS(Таблица1[Столбец1],Таблица1[коэф],"1",Таблица1[р/р],"3/24",Таблица1[Ф. И. О.],B396)</f>
        <v>0</v>
      </c>
      <c r="X391" s="490">
        <f t="shared" si="105"/>
        <v>0</v>
      </c>
      <c r="Y391" s="795">
        <f t="shared" ref="Y391" si="110">SUM(G391:G401,K391:K401,O391:O401,S391:S401,W391:W401)</f>
        <v>0</v>
      </c>
      <c r="Z391" s="797">
        <f t="shared" ref="Z391" si="111">IFERROR(SUM(H391:H401,L391:L401,T391:T401,X391:X401),"")</f>
        <v>0</v>
      </c>
      <c r="AA391" s="786"/>
    </row>
    <row r="392" spans="1:29" ht="17.25" customHeight="1">
      <c r="A392" s="786"/>
      <c r="B392" s="216"/>
      <c r="C392" s="789"/>
      <c r="D392" s="792"/>
      <c r="E392" s="393">
        <f>IF(D391&lt;=3,база!$I$4,
IF(D391=4,база!$I$5,
IF(D391=5,база!$I$6)))</f>
        <v>188.7912</v>
      </c>
      <c r="F392" s="390">
        <v>1</v>
      </c>
      <c r="G392" s="400">
        <f>SUMIFS(Таблица1[Столбец1],Таблица1[коэф],"1",Таблица1[р/р],"3/4",Таблица1[Ф. И. О.],B396)</f>
        <v>0</v>
      </c>
      <c r="H392" s="392">
        <f t="shared" si="102"/>
        <v>0</v>
      </c>
      <c r="I392" s="389">
        <f>IF(D391&lt;=3,база!$J$4,
IF(D391=4,база!$J$5,
IF(D391=5,база!$J$6)))</f>
        <v>196.05240000000001</v>
      </c>
      <c r="J392" s="390">
        <v>1</v>
      </c>
      <c r="K392" s="434">
        <f>SUMIFS(Таблица1[Столбец1],Таблица1[коэф],"1",Таблица1[р/р],"3/8",Таблица1[Ф. И. О.],B396)</f>
        <v>0</v>
      </c>
      <c r="L392" s="484">
        <f t="shared" si="103"/>
        <v>0</v>
      </c>
      <c r="M392" s="432"/>
      <c r="N392" s="434">
        <v>1</v>
      </c>
      <c r="O392" s="434">
        <f>SUMIFS(Data_Tech!$AM$3:$AM$67,Data_Tech!$E$3:$E$67,"1",Data_Tech!$G$3:$G$67,"4/12",Data_Tech!$F$3:$F$67,B396)</f>
        <v>0</v>
      </c>
      <c r="P392" s="434">
        <f>ROUND(M392*O392,2)</f>
        <v>0</v>
      </c>
      <c r="Q392" s="399">
        <f>база!$L$5</f>
        <v>231.45480000000001</v>
      </c>
      <c r="R392" s="390">
        <v>1</v>
      </c>
      <c r="S392" s="491">
        <f>SUMIFS(Таблица1[Столбец1],Таблица1[коэф],"1",Таблица1[р/р],"4/16",Таблица1[Ф. И. О.],B396)</f>
        <v>0</v>
      </c>
      <c r="T392" s="492">
        <f t="shared" si="104"/>
        <v>0</v>
      </c>
      <c r="U392" s="472">
        <f>база!$M$5</f>
        <v>247.41720000000001</v>
      </c>
      <c r="V392" s="390">
        <v>1</v>
      </c>
      <c r="W392" s="494">
        <f>SUMIFS(Таблица1[Столбец1],Таблица1[коэф],"1",Таблица1[р/р],"4/24",Таблица1[Ф. И. О.],B396)</f>
        <v>0</v>
      </c>
      <c r="X392" s="492">
        <f t="shared" si="105"/>
        <v>0</v>
      </c>
      <c r="Y392" s="795"/>
      <c r="Z392" s="797"/>
      <c r="AA392" s="786"/>
    </row>
    <row r="393" spans="1:29" ht="17.25" customHeight="1">
      <c r="A393" s="786"/>
      <c r="B393" s="216"/>
      <c r="C393" s="789"/>
      <c r="D393" s="792"/>
      <c r="E393" s="393"/>
      <c r="F393" s="390"/>
      <c r="G393" s="400"/>
      <c r="H393" s="392">
        <f t="shared" si="102"/>
        <v>0</v>
      </c>
      <c r="I393" s="389"/>
      <c r="J393" s="390"/>
      <c r="K393" s="434"/>
      <c r="L393" s="484">
        <f t="shared" si="103"/>
        <v>0</v>
      </c>
      <c r="M393" s="432"/>
      <c r="N393" s="434"/>
      <c r="O393" s="434"/>
      <c r="P393" s="434"/>
      <c r="Q393" s="399">
        <f>база!$L$6</f>
        <v>261.04640000000001</v>
      </c>
      <c r="R393" s="390">
        <v>1</v>
      </c>
      <c r="S393" s="491">
        <f>SUMIFS(Таблица1[Столбец1],Таблица1[коэф],"1",Таблица1[р/р],"5/16",Таблица1[Ф. И. О.],B396)</f>
        <v>0</v>
      </c>
      <c r="T393" s="492">
        <f t="shared" si="104"/>
        <v>0</v>
      </c>
      <c r="U393" s="472">
        <f>база!$M$6</f>
        <v>279.0496</v>
      </c>
      <c r="V393" s="390">
        <v>1</v>
      </c>
      <c r="W393" s="494">
        <f>SUMIFS(Таблица1[Столбец1],Таблица1[коэф],"1",Таблица1[р/р],"5/24",Таблица1[Ф. И. О.],B396)</f>
        <v>0</v>
      </c>
      <c r="X393" s="492">
        <f t="shared" si="105"/>
        <v>0</v>
      </c>
      <c r="Y393" s="795"/>
      <c r="Z393" s="797"/>
      <c r="AA393" s="786"/>
    </row>
    <row r="394" spans="1:29" ht="17.25" customHeight="1">
      <c r="A394" s="786"/>
      <c r="B394" s="216"/>
      <c r="C394" s="789"/>
      <c r="D394" s="792"/>
      <c r="E394" s="393"/>
      <c r="F394" s="390"/>
      <c r="G394" s="400"/>
      <c r="H394" s="392">
        <f t="shared" si="102"/>
        <v>0</v>
      </c>
      <c r="I394" s="389">
        <f>база!$J$5</f>
        <v>215.4924</v>
      </c>
      <c r="J394" s="390">
        <v>1.5</v>
      </c>
      <c r="K394" s="434">
        <f>SUMIFS(Таблица1[Столбец1],Таблица1[коэф],"1,5",Таблица1[р/р],"4/8",Таблица1[Ф. И. О.],B396)</f>
        <v>0</v>
      </c>
      <c r="L394" s="484">
        <f t="shared" si="103"/>
        <v>0</v>
      </c>
      <c r="M394" s="432"/>
      <c r="N394" s="434"/>
      <c r="O394" s="434"/>
      <c r="P394" s="434"/>
      <c r="Q394" s="399">
        <f>IF(D391&lt;=3,база!$L$4,
IF(D391=4,база!$L$5,
IF(D391=5,база!$L$6)))</f>
        <v>210.57480000000001</v>
      </c>
      <c r="R394" s="390">
        <v>1.2</v>
      </c>
      <c r="S394" s="491">
        <f>SUMIFS(Таблица1[Столбец1],Таблица1[коэф],"1,2",Таблица1[р/р],"3/16",Таблица1[Ф. И. О.],B396)</f>
        <v>0</v>
      </c>
      <c r="T394" s="492">
        <f t="shared" si="104"/>
        <v>0</v>
      </c>
      <c r="U394" s="472">
        <f>IF(D391&lt;=3,база!$M$4,
IF(D391=4,база!$M$5,
IF(D391=5,база!$M$6)))</f>
        <v>225.09719999999999</v>
      </c>
      <c r="V394" s="390">
        <v>1.2</v>
      </c>
      <c r="W394" s="494">
        <f>SUMIFS(Таблица1[Столбец1],Таблица1[коэф],"1,2",Таблица1[р/р],"3/24",Таблица1[Ф. И. О.],B396)</f>
        <v>0</v>
      </c>
      <c r="X394" s="492">
        <f t="shared" si="105"/>
        <v>0</v>
      </c>
      <c r="Y394" s="795"/>
      <c r="Z394" s="797"/>
      <c r="AA394" s="786"/>
    </row>
    <row r="395" spans="1:29" ht="17.25" customHeight="1">
      <c r="A395" s="786"/>
      <c r="B395" s="216"/>
      <c r="C395" s="789"/>
      <c r="D395" s="792"/>
      <c r="E395" s="393"/>
      <c r="F395" s="390"/>
      <c r="G395" s="400"/>
      <c r="H395" s="392">
        <f t="shared" si="102"/>
        <v>0</v>
      </c>
      <c r="I395" s="389">
        <f>база!$J$6</f>
        <v>243.04319999999998</v>
      </c>
      <c r="J395" s="390">
        <v>1.5</v>
      </c>
      <c r="K395" s="434">
        <f>SUMIFS(Таблица1[Столбец1],Таблица1[коэф],"1,5",Таблица1[р/р],"5/8",Таблица1[Ф. И. О.],B396)</f>
        <v>0</v>
      </c>
      <c r="L395" s="484">
        <f t="shared" si="103"/>
        <v>0</v>
      </c>
      <c r="M395" s="432"/>
      <c r="N395" s="434"/>
      <c r="O395" s="434"/>
      <c r="P395" s="434"/>
      <c r="Q395" s="399">
        <f>база!$L$5</f>
        <v>231.45480000000001</v>
      </c>
      <c r="R395" s="390">
        <v>1.2</v>
      </c>
      <c r="S395" s="491">
        <f>SUMIFS(Таблица1[Столбец1],Таблица1[коэф],"1,2",Таблица1[р/р],"4/16",Таблица1[Ф. И. О.],B396)</f>
        <v>0</v>
      </c>
      <c r="T395" s="492">
        <f t="shared" si="104"/>
        <v>0</v>
      </c>
      <c r="U395" s="472">
        <f>база!$M$5</f>
        <v>247.41720000000001</v>
      </c>
      <c r="V395" s="390">
        <v>1.2</v>
      </c>
      <c r="W395" s="494">
        <f>SUMIFS(Таблица1[Столбец1],Таблица1[коэф],"1,2",Таблица1[р/р],"4/24",Таблица1[Ф. И. О.],B396)</f>
        <v>0</v>
      </c>
      <c r="X395" s="492">
        <f t="shared" si="105"/>
        <v>0</v>
      </c>
      <c r="Y395" s="795"/>
      <c r="Z395" s="797"/>
      <c r="AA395" s="786"/>
    </row>
    <row r="396" spans="1:29" ht="17.25" customHeight="1">
      <c r="A396" s="786"/>
      <c r="B396" s="216" t="str">
        <f>база!B37</f>
        <v>Киселёва Надежда Игоревна</v>
      </c>
      <c r="C396" s="789"/>
      <c r="D396" s="792"/>
      <c r="E396" s="393"/>
      <c r="F396" s="390"/>
      <c r="G396" s="400"/>
      <c r="H396" s="392">
        <f t="shared" si="102"/>
        <v>0</v>
      </c>
      <c r="I396" s="389"/>
      <c r="J396" s="390"/>
      <c r="K396" s="434"/>
      <c r="L396" s="484">
        <f t="shared" si="103"/>
        <v>0</v>
      </c>
      <c r="M396" s="432"/>
      <c r="N396" s="434"/>
      <c r="O396" s="434"/>
      <c r="P396" s="434"/>
      <c r="Q396" s="399">
        <f>база!$L$6</f>
        <v>261.04640000000001</v>
      </c>
      <c r="R396" s="390">
        <v>1.2</v>
      </c>
      <c r="S396" s="491">
        <f>SUMIFS(Таблица1[Столбец1],Таблица1[коэф],"1,2",Таблица1[р/р],"5/16",Таблица1[Ф. И. О.],B396)</f>
        <v>0</v>
      </c>
      <c r="T396" s="492">
        <f t="shared" si="104"/>
        <v>0</v>
      </c>
      <c r="U396" s="472">
        <f>база!$M$6</f>
        <v>279.0496</v>
      </c>
      <c r="V396" s="390">
        <v>1.2</v>
      </c>
      <c r="W396" s="494">
        <f>SUMIFS(Таблица1[Столбец1],Таблица1[коэф],"1,2",Таблица1[р/р],"5/24",Таблица1[Ф. И. О.],B396)</f>
        <v>0</v>
      </c>
      <c r="X396" s="492">
        <f t="shared" si="105"/>
        <v>0</v>
      </c>
      <c r="Y396" s="795"/>
      <c r="Z396" s="797"/>
      <c r="AA396" s="786"/>
      <c r="AC396" s="727" t="str">
        <f>IF(SUMIFS(Таблица1[Столбец3],Таблица1[Ф. И. О.],B396)-Z391=0,"",SUMIFS(Таблица1[Столбец3],Таблица1[Ф. И. О.],B396)-Z391)</f>
        <v/>
      </c>
    </row>
    <row r="397" spans="1:29" ht="17.25" customHeight="1">
      <c r="A397" s="786"/>
      <c r="B397" s="216"/>
      <c r="C397" s="789"/>
      <c r="D397" s="792"/>
      <c r="E397" s="393"/>
      <c r="F397" s="390"/>
      <c r="G397" s="400"/>
      <c r="H397" s="392">
        <f t="shared" si="102"/>
        <v>0</v>
      </c>
      <c r="I397" s="389"/>
      <c r="J397" s="390"/>
      <c r="K397" s="434"/>
      <c r="L397" s="484">
        <f t="shared" si="103"/>
        <v>0</v>
      </c>
      <c r="M397" s="432"/>
      <c r="N397" s="434"/>
      <c r="O397" s="434"/>
      <c r="P397" s="434"/>
      <c r="Q397" s="399">
        <f>IF(D391&lt;=3,база!$L$4,
IF(D391=4,база!$L$5,
IF(D391=5,база!$L$6)))</f>
        <v>210.57480000000001</v>
      </c>
      <c r="R397" s="390">
        <v>1.3</v>
      </c>
      <c r="S397" s="491">
        <f>SUMIFS(Таблица1[Столбец1],Таблица1[коэф],"1,3",Таблица1[р/р],"3/16",Таблица1[Ф. И. О.],B396)</f>
        <v>0</v>
      </c>
      <c r="T397" s="492">
        <f t="shared" si="104"/>
        <v>0</v>
      </c>
      <c r="U397" s="472">
        <f>IF(D391&lt;=3,база!$M$4,
IF(D391=4,база!$M$5,
IF(D391=5,база!$M$6)))</f>
        <v>225.09719999999999</v>
      </c>
      <c r="V397" s="390">
        <v>1.3</v>
      </c>
      <c r="W397" s="494">
        <f>SUMIFS(Таблица1[Столбец1],Таблица1[коэф],"1,3",Таблица1[р/р],"3/24",Таблица1[Ф. И. О.],B396)</f>
        <v>0</v>
      </c>
      <c r="X397" s="492">
        <f t="shared" si="105"/>
        <v>0</v>
      </c>
      <c r="Y397" s="795"/>
      <c r="Z397" s="797"/>
      <c r="AA397" s="786"/>
      <c r="AC397" s="727" t="str">
        <f>IF(SUMIFS(Таблица1[Столбец1],Таблица1[Ф. И. О.],B396)=Y391,"",B396&amp;"  часы не верны")</f>
        <v/>
      </c>
    </row>
    <row r="398" spans="1:29" ht="17.25" customHeight="1">
      <c r="A398" s="786"/>
      <c r="B398" s="216"/>
      <c r="C398" s="789"/>
      <c r="D398" s="792"/>
      <c r="E398" s="393"/>
      <c r="F398" s="390"/>
      <c r="G398" s="400"/>
      <c r="H398" s="392">
        <f t="shared" si="102"/>
        <v>0</v>
      </c>
      <c r="I398" s="389"/>
      <c r="J398" s="390"/>
      <c r="K398" s="434"/>
      <c r="L398" s="484">
        <f t="shared" si="103"/>
        <v>0</v>
      </c>
      <c r="M398" s="432"/>
      <c r="N398" s="434"/>
      <c r="O398" s="434"/>
      <c r="P398" s="434"/>
      <c r="Q398" s="399">
        <f>база!$L$5</f>
        <v>231.45480000000001</v>
      </c>
      <c r="R398" s="390">
        <v>1.3</v>
      </c>
      <c r="S398" s="491">
        <f>SUMIFS(Таблица1[Столбец1],Таблица1[коэф],"1,3",Таблица1[р/р],"4/16",Таблица1[Ф. И. О.],B396)</f>
        <v>0</v>
      </c>
      <c r="T398" s="492">
        <f t="shared" si="104"/>
        <v>0</v>
      </c>
      <c r="U398" s="472">
        <f>база!$M$5</f>
        <v>247.41720000000001</v>
      </c>
      <c r="V398" s="390">
        <v>1.3</v>
      </c>
      <c r="W398" s="494">
        <f>SUMIFS(Таблица1[Столбец1],Таблица1[коэф],"1,3",Таблица1[р/р],"4/24",Таблица1[Ф. И. О.],B396)</f>
        <v>0</v>
      </c>
      <c r="X398" s="492">
        <f t="shared" si="105"/>
        <v>0</v>
      </c>
      <c r="Y398" s="795"/>
      <c r="Z398" s="797"/>
      <c r="AA398" s="786"/>
    </row>
    <row r="399" spans="1:29" ht="17.25" customHeight="1">
      <c r="A399" s="786"/>
      <c r="B399" s="216"/>
      <c r="C399" s="789"/>
      <c r="D399" s="792"/>
      <c r="E399" s="393"/>
      <c r="F399" s="390"/>
      <c r="G399" s="400"/>
      <c r="H399" s="392">
        <f t="shared" si="102"/>
        <v>0</v>
      </c>
      <c r="I399" s="389"/>
      <c r="J399" s="390"/>
      <c r="K399" s="434"/>
      <c r="L399" s="484">
        <f t="shared" si="103"/>
        <v>0</v>
      </c>
      <c r="M399" s="432"/>
      <c r="N399" s="434"/>
      <c r="O399" s="434"/>
      <c r="P399" s="434"/>
      <c r="Q399" s="399">
        <f>IF(D391&lt;=3,база!$L$4,
IF(D391=4,база!$L$5,
IF(D391=5,база!$L$6)))</f>
        <v>210.57480000000001</v>
      </c>
      <c r="R399" s="390">
        <v>1.4</v>
      </c>
      <c r="S399" s="491">
        <f>SUMIFS(Таблица1[Столбец1],Таблица1[коэф],"1,4",Таблица1[р/р],"3/16",Таблица1[Ф. И. О.],B396)</f>
        <v>0</v>
      </c>
      <c r="T399" s="492">
        <f t="shared" si="104"/>
        <v>0</v>
      </c>
      <c r="U399" s="472">
        <f>IF(D391&lt;=3,база!$M$4,
IF(D391=4,база!$M$5,
IF(D391=5,база!$M$6)))</f>
        <v>225.09719999999999</v>
      </c>
      <c r="V399" s="390">
        <v>1.4</v>
      </c>
      <c r="W399" s="494">
        <f>SUMIFS(Таблица1[Столбец1],Таблица1[коэф],"1,4",Таблица1[р/р],"3/24",Таблица1[Ф. И. О.],B396)</f>
        <v>0</v>
      </c>
      <c r="X399" s="492">
        <f t="shared" si="105"/>
        <v>0</v>
      </c>
      <c r="Y399" s="795"/>
      <c r="Z399" s="797"/>
      <c r="AA399" s="786"/>
    </row>
    <row r="400" spans="1:29" ht="17.25" customHeight="1">
      <c r="A400" s="786"/>
      <c r="B400" s="216"/>
      <c r="C400" s="789"/>
      <c r="D400" s="792"/>
      <c r="E400" s="393"/>
      <c r="F400" s="390"/>
      <c r="G400" s="400"/>
      <c r="H400" s="392">
        <f t="shared" si="102"/>
        <v>0</v>
      </c>
      <c r="I400" s="389"/>
      <c r="J400" s="390"/>
      <c r="K400" s="434"/>
      <c r="L400" s="395">
        <f t="shared" si="103"/>
        <v>0</v>
      </c>
      <c r="M400" s="432"/>
      <c r="N400" s="434"/>
      <c r="O400" s="434"/>
      <c r="P400" s="434"/>
      <c r="Q400" s="399">
        <f>база!$L$5</f>
        <v>231.45480000000001</v>
      </c>
      <c r="R400" s="390">
        <v>1.4</v>
      </c>
      <c r="S400" s="491">
        <f>SUMIFS(Таблица1[Столбец1],Таблица1[коэф],"1,4",Таблица1[р/р],"4/16",Таблица1[Ф. И. О.],B396)</f>
        <v>0</v>
      </c>
      <c r="T400" s="492">
        <f t="shared" si="104"/>
        <v>0</v>
      </c>
      <c r="U400" s="472">
        <f>база!$M$5</f>
        <v>247.41720000000001</v>
      </c>
      <c r="V400" s="390">
        <v>1.4</v>
      </c>
      <c r="W400" s="494">
        <f>SUMIFS(Таблица1[Столбец1],Таблица1[коэф],"1,4",Таблица1[р/р],"4/24",Таблица1[Ф. И. О.],B396)</f>
        <v>0</v>
      </c>
      <c r="X400" s="492">
        <f t="shared" si="105"/>
        <v>0</v>
      </c>
      <c r="Y400" s="795"/>
      <c r="Z400" s="797"/>
      <c r="AA400" s="786"/>
    </row>
    <row r="401" spans="1:29" ht="17.25" customHeight="1" thickBot="1">
      <c r="A401" s="787"/>
      <c r="B401" s="203"/>
      <c r="C401" s="790"/>
      <c r="D401" s="793"/>
      <c r="E401" s="463"/>
      <c r="F401" s="464"/>
      <c r="G401" s="465"/>
      <c r="H401" s="468">
        <f t="shared" si="102"/>
        <v>0</v>
      </c>
      <c r="I401" s="473"/>
      <c r="J401" s="464"/>
      <c r="K401" s="457"/>
      <c r="L401" s="458">
        <f t="shared" si="103"/>
        <v>0</v>
      </c>
      <c r="M401" s="466"/>
      <c r="N401" s="457"/>
      <c r="O401" s="457"/>
      <c r="P401" s="457"/>
      <c r="Q401" s="467">
        <f>база!$L$6</f>
        <v>261.04640000000001</v>
      </c>
      <c r="R401" s="464">
        <v>1.4</v>
      </c>
      <c r="S401" s="512">
        <f>SUMIFS(Таблица1[Столбец1],Таблица1[коэф],"1,4",Таблица1[р/р],"5/16",Таблица1[Ф. И. О.],B396)</f>
        <v>0</v>
      </c>
      <c r="T401" s="513">
        <f t="shared" si="104"/>
        <v>0</v>
      </c>
      <c r="U401" s="474">
        <f>база!$M$6</f>
        <v>279.0496</v>
      </c>
      <c r="V401" s="464">
        <v>1.4</v>
      </c>
      <c r="W401" s="501">
        <f>SUMIFS(Таблица1[Столбец1],Таблица1[коэф],"1,4",Таблица1[р/р],"5/24",Таблица1[Ф. И. О.],B396)</f>
        <v>0</v>
      </c>
      <c r="X401" s="513">
        <f t="shared" si="105"/>
        <v>0</v>
      </c>
      <c r="Y401" s="796"/>
      <c r="Z401" s="798"/>
      <c r="AA401" s="787"/>
    </row>
    <row r="402" spans="1:29" ht="18.75" collapsed="1">
      <c r="A402" s="785">
        <v>37</v>
      </c>
      <c r="B402" s="236"/>
      <c r="C402" s="788">
        <f>INDEX(база!$E$2:$E$81, MATCH(B407,база!$B$2:$B$50,0))</f>
        <v>17188</v>
      </c>
      <c r="D402" s="791">
        <f>INDEX(база!$D$2:$D$89, MATCH(B407,база!$B$2:$B$50,0))</f>
        <v>3</v>
      </c>
      <c r="E402" s="451">
        <f>IF(D402&lt;=3,база!$I$4,
IF(D402=4,база!$I$5,
IF(D402=5,база!$I$6)))</f>
        <v>188.7912</v>
      </c>
      <c r="F402" s="417">
        <v>1</v>
      </c>
      <c r="G402" s="418">
        <f>SUMIFS(Таблица1[Столбец1],Таблица1[коэф],"1",Таблица1[р/р],"2/4",Таблица1[Ф. И. О.],B407)</f>
        <v>0</v>
      </c>
      <c r="H402" s="402">
        <f t="shared" ref="H402:H423" si="112">ROUND(E402*F402*G402*2,2)</f>
        <v>0</v>
      </c>
      <c r="I402" s="377">
        <f>IF(D402&lt;=3,база!$J$4,
IF(D402=4,база!$J$5,
IF(D402=5,база!$J$6)))</f>
        <v>196.05240000000001</v>
      </c>
      <c r="J402" s="378">
        <v>1</v>
      </c>
      <c r="K402" s="428">
        <f>SUMIFS(Таблица1[Столбец1],Таблица1[коэф],"1",Таблица1[р/р],"2/8",Таблица1[Ф. И. О.],B407)</f>
        <v>0</v>
      </c>
      <c r="L402" s="383">
        <f t="shared" ref="L402:L423" si="113">ROUND(I402*J402*K402*2,2)</f>
        <v>0</v>
      </c>
      <c r="M402" s="452"/>
      <c r="N402" s="453">
        <v>1</v>
      </c>
      <c r="O402" s="453">
        <f>SUMIFS(Data_Tech!$AM$3:$AM$67,Data_Tech!$E$3:$E$67,"1",Data_Tech!$G$3:$G$67,"3/12",Data_Tech!$F$3:$F$67,B407)</f>
        <v>0</v>
      </c>
      <c r="P402" s="453">
        <f>ROUND(M402*N402*O402,2)</f>
        <v>0</v>
      </c>
      <c r="Q402" s="416">
        <f>IF(D402&lt;=3,база!$L$4,
IF(D402=4,база!$L$5,
IF(D402=5,база!$L$6)))</f>
        <v>210.57480000000001</v>
      </c>
      <c r="R402" s="417">
        <v>1</v>
      </c>
      <c r="S402" s="495">
        <f>SUMIFS(Таблица1[Столбец1],Таблица1[коэф],"1",Таблица1[р/р],"3/16",Таблица1[Ф. И. О.],B407)</f>
        <v>0</v>
      </c>
      <c r="T402" s="490">
        <f t="shared" ref="T402:T423" si="114">ROUND(Q402*R402*S402*2,2)</f>
        <v>0</v>
      </c>
      <c r="U402" s="471">
        <f>IF(D402&lt;=3,база!$M$4,
IF(D402=4,база!$M$5,
IF(D402=5,база!$M$6)))</f>
        <v>225.09719999999999</v>
      </c>
      <c r="V402" s="378">
        <v>1</v>
      </c>
      <c r="W402" s="497">
        <f>SUMIFS(Таблица1[Столбец1],Таблица1[коэф],"1",Таблица1[р/р],"3/24",Таблица1[Ф. И. О.],B407)</f>
        <v>0</v>
      </c>
      <c r="X402" s="490">
        <f t="shared" ref="X402:X423" si="115">ROUND(U402*V402*W402*2,2)</f>
        <v>0</v>
      </c>
      <c r="Y402" s="795">
        <f t="shared" ref="Y402" si="116">SUM(G402:G412,K402:K412,O402:O412,S402:S412,W402:W412)</f>
        <v>0</v>
      </c>
      <c r="Z402" s="797">
        <f t="shared" ref="Z402" si="117">IFERROR(SUM(H402:H412,L402:L412,T402:T412,X402:X412),"")</f>
        <v>0</v>
      </c>
      <c r="AA402" s="786"/>
    </row>
    <row r="403" spans="1:29" ht="18.75">
      <c r="A403" s="786"/>
      <c r="B403" s="216"/>
      <c r="C403" s="789"/>
      <c r="D403" s="792"/>
      <c r="E403" s="393">
        <f>IF(D402&lt;=3,база!$I$4,
IF(D402=4,база!$I$5,
IF(D402=5,база!$I$6)))</f>
        <v>188.7912</v>
      </c>
      <c r="F403" s="390">
        <v>1</v>
      </c>
      <c r="G403" s="400">
        <f>SUMIFS(Таблица1[Столбец1],Таблица1[коэф],"1",Таблица1[р/р],"3/4",Таблица1[Ф. И. О.],B407)</f>
        <v>0</v>
      </c>
      <c r="H403" s="392">
        <f t="shared" si="112"/>
        <v>0</v>
      </c>
      <c r="I403" s="389">
        <f>IF(D402&lt;=3,база!$J$4,
IF(D402=4,база!$J$5,
IF(D402=5,база!$J$6)))</f>
        <v>196.05240000000001</v>
      </c>
      <c r="J403" s="390">
        <v>1</v>
      </c>
      <c r="K403" s="434">
        <f>SUMIFS(Таблица1[Столбец1],Таблица1[коэф],"1",Таблица1[р/р],"3/8",Таблица1[Ф. И. О.],B407)</f>
        <v>0</v>
      </c>
      <c r="L403" s="484">
        <f t="shared" si="113"/>
        <v>0</v>
      </c>
      <c r="M403" s="432"/>
      <c r="N403" s="434">
        <v>1</v>
      </c>
      <c r="O403" s="434">
        <f>SUMIFS(Data_Tech!$AM$3:$AM$67,Data_Tech!$E$3:$E$67,"1",Data_Tech!$G$3:$G$67,"4/12",Data_Tech!$F$3:$F$67,B407)</f>
        <v>0</v>
      </c>
      <c r="P403" s="434">
        <f>ROUND(M403*O403,2)</f>
        <v>0</v>
      </c>
      <c r="Q403" s="399">
        <f>база!$L$5</f>
        <v>231.45480000000001</v>
      </c>
      <c r="R403" s="390">
        <v>1</v>
      </c>
      <c r="S403" s="491">
        <f>SUMIFS(Таблица1[Столбец1],Таблица1[коэф],"1",Таблица1[р/р],"4/16",Таблица1[Ф. И. О.],B407)</f>
        <v>0</v>
      </c>
      <c r="T403" s="492">
        <f t="shared" si="114"/>
        <v>0</v>
      </c>
      <c r="U403" s="472">
        <f>база!$M$5</f>
        <v>247.41720000000001</v>
      </c>
      <c r="V403" s="390">
        <v>1</v>
      </c>
      <c r="W403" s="494">
        <f>SUMIFS(Таблица1[Столбец1],Таблица1[коэф],"1",Таблица1[р/р],"4/24",Таблица1[Ф. И. О.],B407)</f>
        <v>0</v>
      </c>
      <c r="X403" s="492">
        <f t="shared" si="115"/>
        <v>0</v>
      </c>
      <c r="Y403" s="795"/>
      <c r="Z403" s="797"/>
      <c r="AA403" s="786"/>
    </row>
    <row r="404" spans="1:29" ht="18.75">
      <c r="A404" s="786"/>
      <c r="B404" s="216"/>
      <c r="C404" s="789"/>
      <c r="D404" s="792"/>
      <c r="E404" s="393"/>
      <c r="F404" s="390"/>
      <c r="G404" s="400"/>
      <c r="H404" s="392">
        <f t="shared" si="112"/>
        <v>0</v>
      </c>
      <c r="I404" s="389"/>
      <c r="J404" s="390"/>
      <c r="K404" s="434"/>
      <c r="L404" s="484">
        <f t="shared" si="113"/>
        <v>0</v>
      </c>
      <c r="M404" s="432"/>
      <c r="N404" s="434"/>
      <c r="O404" s="434"/>
      <c r="P404" s="434"/>
      <c r="Q404" s="399">
        <f>база!$L$6</f>
        <v>261.04640000000001</v>
      </c>
      <c r="R404" s="390">
        <v>1</v>
      </c>
      <c r="S404" s="491">
        <f>SUMIFS(Таблица1[Столбец1],Таблица1[коэф],"1",Таблица1[р/р],"5/16",Таблица1[Ф. И. О.],B407)</f>
        <v>0</v>
      </c>
      <c r="T404" s="492">
        <f t="shared" si="114"/>
        <v>0</v>
      </c>
      <c r="U404" s="472">
        <f>база!$M$6</f>
        <v>279.0496</v>
      </c>
      <c r="V404" s="390">
        <v>1</v>
      </c>
      <c r="W404" s="494">
        <f>SUMIFS(Таблица1[Столбец1],Таблица1[коэф],"1",Таблица1[р/р],"5/24",Таблица1[Ф. И. О.],B407)</f>
        <v>0</v>
      </c>
      <c r="X404" s="492">
        <f t="shared" si="115"/>
        <v>0</v>
      </c>
      <c r="Y404" s="795"/>
      <c r="Z404" s="797"/>
      <c r="AA404" s="786"/>
    </row>
    <row r="405" spans="1:29" ht="18.75">
      <c r="A405" s="786"/>
      <c r="B405" s="216"/>
      <c r="C405" s="789"/>
      <c r="D405" s="792"/>
      <c r="E405" s="393"/>
      <c r="F405" s="390"/>
      <c r="G405" s="400"/>
      <c r="H405" s="392">
        <f t="shared" si="112"/>
        <v>0</v>
      </c>
      <c r="I405" s="389">
        <f>база!$J$5</f>
        <v>215.4924</v>
      </c>
      <c r="J405" s="390">
        <v>1.5</v>
      </c>
      <c r="K405" s="434">
        <f>SUMIFS(Таблица1[Столбец1],Таблица1[коэф],"1,5",Таблица1[р/р],"4/8",Таблица1[Ф. И. О.],B407)</f>
        <v>0</v>
      </c>
      <c r="L405" s="484">
        <f t="shared" si="113"/>
        <v>0</v>
      </c>
      <c r="M405" s="432"/>
      <c r="N405" s="434"/>
      <c r="O405" s="434"/>
      <c r="P405" s="434"/>
      <c r="Q405" s="399">
        <f>IF(D402&lt;=3,база!$L$4,
IF(D402=4,база!$L$5,
IF(D402=5,база!$L$6)))</f>
        <v>210.57480000000001</v>
      </c>
      <c r="R405" s="390">
        <v>1.2</v>
      </c>
      <c r="S405" s="491">
        <f>SUMIFS(Таблица1[Столбец1],Таблица1[коэф],"1,2",Таблица1[р/р],"3/16",Таблица1[Ф. И. О.],B407)</f>
        <v>0</v>
      </c>
      <c r="T405" s="492">
        <f t="shared" si="114"/>
        <v>0</v>
      </c>
      <c r="U405" s="472">
        <f>IF(D402&lt;=3,база!$M$4,
IF(D402=4,база!$M$5,
IF(D402=5,база!$M$6)))</f>
        <v>225.09719999999999</v>
      </c>
      <c r="V405" s="390">
        <v>1.2</v>
      </c>
      <c r="W405" s="494">
        <f>SUMIFS(Таблица1[Столбец1],Таблица1[коэф],"1,2",Таблица1[р/р],"3/24",Таблица1[Ф. И. О.],B407)</f>
        <v>0</v>
      </c>
      <c r="X405" s="492">
        <f t="shared" si="115"/>
        <v>0</v>
      </c>
      <c r="Y405" s="795"/>
      <c r="Z405" s="797"/>
      <c r="AA405" s="786"/>
    </row>
    <row r="406" spans="1:29" ht="18.75">
      <c r="A406" s="786"/>
      <c r="B406" s="216"/>
      <c r="C406" s="789"/>
      <c r="D406" s="792"/>
      <c r="E406" s="393"/>
      <c r="F406" s="390"/>
      <c r="G406" s="400"/>
      <c r="H406" s="392">
        <f t="shared" si="112"/>
        <v>0</v>
      </c>
      <c r="I406" s="389">
        <f>база!$J$6</f>
        <v>243.04319999999998</v>
      </c>
      <c r="J406" s="390">
        <v>1.5</v>
      </c>
      <c r="K406" s="434">
        <f>SUMIFS(Таблица1[Столбец1],Таблица1[коэф],"1,5",Таблица1[р/р],"5/8",Таблица1[Ф. И. О.],B407)</f>
        <v>0</v>
      </c>
      <c r="L406" s="484">
        <f t="shared" si="113"/>
        <v>0</v>
      </c>
      <c r="M406" s="432"/>
      <c r="N406" s="434"/>
      <c r="O406" s="434"/>
      <c r="P406" s="434"/>
      <c r="Q406" s="399">
        <f>база!$L$5</f>
        <v>231.45480000000001</v>
      </c>
      <c r="R406" s="390">
        <v>1.2</v>
      </c>
      <c r="S406" s="491">
        <f>SUMIFS(Таблица1[Столбец1],Таблица1[коэф],"1,2",Таблица1[р/р],"4/16",Таблица1[Ф. И. О.],B407)</f>
        <v>0</v>
      </c>
      <c r="T406" s="492">
        <f t="shared" si="114"/>
        <v>0</v>
      </c>
      <c r="U406" s="472">
        <f>база!$M$5</f>
        <v>247.41720000000001</v>
      </c>
      <c r="V406" s="390">
        <v>1.2</v>
      </c>
      <c r="W406" s="494">
        <f>SUMIFS(Таблица1[Столбец1],Таблица1[коэф],"1,2",Таблица1[р/р],"4/24",Таблица1[Ф. И. О.],B407)</f>
        <v>0</v>
      </c>
      <c r="X406" s="492">
        <f t="shared" si="115"/>
        <v>0</v>
      </c>
      <c r="Y406" s="795"/>
      <c r="Z406" s="797"/>
      <c r="AA406" s="786"/>
    </row>
    <row r="407" spans="1:29" ht="18" customHeight="1">
      <c r="A407" s="786"/>
      <c r="B407" s="216" t="str">
        <f>база!B38</f>
        <v>Климонтович Янина Анатольевна</v>
      </c>
      <c r="C407" s="789"/>
      <c r="D407" s="792"/>
      <c r="E407" s="393"/>
      <c r="F407" s="390"/>
      <c r="G407" s="400"/>
      <c r="H407" s="392">
        <f t="shared" si="112"/>
        <v>0</v>
      </c>
      <c r="I407" s="389"/>
      <c r="J407" s="390"/>
      <c r="K407" s="434"/>
      <c r="L407" s="484">
        <f t="shared" si="113"/>
        <v>0</v>
      </c>
      <c r="M407" s="432"/>
      <c r="N407" s="434"/>
      <c r="O407" s="434"/>
      <c r="P407" s="434"/>
      <c r="Q407" s="399">
        <f>база!$L$6</f>
        <v>261.04640000000001</v>
      </c>
      <c r="R407" s="390">
        <v>1.2</v>
      </c>
      <c r="S407" s="491">
        <f>SUMIFS(Таблица1[Столбец1],Таблица1[коэф],"1,2",Таблица1[р/р],"5/16",Таблица1[Ф. И. О.],B407)</f>
        <v>0</v>
      </c>
      <c r="T407" s="492">
        <f t="shared" si="114"/>
        <v>0</v>
      </c>
      <c r="U407" s="472">
        <f>база!$M$6</f>
        <v>279.0496</v>
      </c>
      <c r="V407" s="390">
        <v>1.2</v>
      </c>
      <c r="W407" s="494">
        <f>SUMIFS(Таблица1[Столбец1],Таблица1[коэф],"1,2",Таблица1[р/р],"5/24",Таблица1[Ф. И. О.],B407)</f>
        <v>0</v>
      </c>
      <c r="X407" s="492">
        <f t="shared" si="115"/>
        <v>0</v>
      </c>
      <c r="Y407" s="795"/>
      <c r="Z407" s="797"/>
      <c r="AA407" s="786"/>
      <c r="AC407" s="727" t="str">
        <f>IF(SUMIFS(Таблица1[Столбец3],Таблица1[Ф. И. О.],B407)-Z402=0,"",SUMIFS(Таблица1[Столбец3],Таблица1[Ф. И. О.],B407)-Z402)</f>
        <v/>
      </c>
    </row>
    <row r="408" spans="1:29" ht="18.75">
      <c r="A408" s="786"/>
      <c r="B408" s="216"/>
      <c r="C408" s="789"/>
      <c r="D408" s="792"/>
      <c r="E408" s="393"/>
      <c r="F408" s="390"/>
      <c r="G408" s="400"/>
      <c r="H408" s="392">
        <f t="shared" si="112"/>
        <v>0</v>
      </c>
      <c r="I408" s="389"/>
      <c r="J408" s="390"/>
      <c r="K408" s="434"/>
      <c r="L408" s="484">
        <f t="shared" si="113"/>
        <v>0</v>
      </c>
      <c r="M408" s="432"/>
      <c r="N408" s="434"/>
      <c r="O408" s="434"/>
      <c r="P408" s="434"/>
      <c r="Q408" s="399">
        <f>IF(D402&lt;=3,база!$L$4,
IF(D402=4,база!$L$5,
IF(D402=5,база!$L$6)))</f>
        <v>210.57480000000001</v>
      </c>
      <c r="R408" s="390">
        <v>1.3</v>
      </c>
      <c r="S408" s="491">
        <f>SUMIFS(Таблица1[Столбец1],Таблица1[коэф],"1,3",Таблица1[р/р],"3/16",Таблица1[Ф. И. О.],B407)</f>
        <v>0</v>
      </c>
      <c r="T408" s="492">
        <f t="shared" si="114"/>
        <v>0</v>
      </c>
      <c r="U408" s="472">
        <f>IF(D402&lt;=3,база!$M$4,
IF(D402=4,база!$M$5,
IF(D402=5,база!$M$6)))</f>
        <v>225.09719999999999</v>
      </c>
      <c r="V408" s="390">
        <v>1.3</v>
      </c>
      <c r="W408" s="494">
        <f>SUMIFS(Таблица1[Столбец1],Таблица1[коэф],"1,3",Таблица1[р/р],"3/24",Таблица1[Ф. И. О.],B407)</f>
        <v>0</v>
      </c>
      <c r="X408" s="492">
        <f t="shared" si="115"/>
        <v>0</v>
      </c>
      <c r="Y408" s="795"/>
      <c r="Z408" s="797"/>
      <c r="AA408" s="786"/>
      <c r="AC408" s="727" t="str">
        <f>IF(SUMIFS(Таблица1[Столбец1],Таблица1[Ф. И. О.],B407)=Y402,"",B407&amp;"  часы не верны")</f>
        <v/>
      </c>
    </row>
    <row r="409" spans="1:29" ht="18.75">
      <c r="A409" s="786"/>
      <c r="B409" s="216"/>
      <c r="C409" s="789"/>
      <c r="D409" s="792"/>
      <c r="E409" s="393"/>
      <c r="F409" s="390"/>
      <c r="G409" s="400"/>
      <c r="H409" s="392">
        <f t="shared" si="112"/>
        <v>0</v>
      </c>
      <c r="I409" s="389"/>
      <c r="J409" s="390"/>
      <c r="K409" s="434"/>
      <c r="L409" s="484">
        <f t="shared" si="113"/>
        <v>0</v>
      </c>
      <c r="M409" s="432"/>
      <c r="N409" s="434"/>
      <c r="O409" s="434"/>
      <c r="P409" s="434"/>
      <c r="Q409" s="399">
        <f>база!$L$5</f>
        <v>231.45480000000001</v>
      </c>
      <c r="R409" s="390">
        <v>1.3</v>
      </c>
      <c r="S409" s="491">
        <f>SUMIFS(Таблица1[Столбец1],Таблица1[коэф],"1,3",Таблица1[р/р],"4/16",Таблица1[Ф. И. О.],B407)</f>
        <v>0</v>
      </c>
      <c r="T409" s="492">
        <f t="shared" si="114"/>
        <v>0</v>
      </c>
      <c r="U409" s="472">
        <f>база!$M$5</f>
        <v>247.41720000000001</v>
      </c>
      <c r="V409" s="390">
        <v>1.3</v>
      </c>
      <c r="W409" s="494">
        <f>SUMIFS(Таблица1[Столбец1],Таблица1[коэф],"1,3",Таблица1[р/р],"4/24",Таблица1[Ф. И. О.],B407)</f>
        <v>0</v>
      </c>
      <c r="X409" s="492">
        <f t="shared" si="115"/>
        <v>0</v>
      </c>
      <c r="Y409" s="795"/>
      <c r="Z409" s="797"/>
      <c r="AA409" s="786"/>
    </row>
    <row r="410" spans="1:29" ht="18.75">
      <c r="A410" s="786"/>
      <c r="B410" s="216"/>
      <c r="C410" s="789"/>
      <c r="D410" s="792"/>
      <c r="E410" s="393"/>
      <c r="F410" s="390"/>
      <c r="G410" s="400"/>
      <c r="H410" s="392">
        <f t="shared" si="112"/>
        <v>0</v>
      </c>
      <c r="I410" s="389"/>
      <c r="J410" s="390"/>
      <c r="K410" s="434"/>
      <c r="L410" s="484">
        <f t="shared" si="113"/>
        <v>0</v>
      </c>
      <c r="M410" s="432"/>
      <c r="N410" s="434"/>
      <c r="O410" s="434"/>
      <c r="P410" s="434"/>
      <c r="Q410" s="399">
        <f>IF(D402&lt;=3,база!$L$4,
IF(D402=4,база!$L$5,
IF(D402=5,база!$L$6)))</f>
        <v>210.57480000000001</v>
      </c>
      <c r="R410" s="390">
        <v>1.4</v>
      </c>
      <c r="S410" s="491">
        <f>SUMIFS(Таблица1[Столбец1],Таблица1[коэф],"1,4",Таблица1[р/р],"3/16",Таблица1[Ф. И. О.],B407)</f>
        <v>0</v>
      </c>
      <c r="T410" s="492">
        <f t="shared" si="114"/>
        <v>0</v>
      </c>
      <c r="U410" s="472">
        <f>IF(D402&lt;=3,база!$M$4,
IF(D402=4,база!$M$5,
IF(D402=5,база!$M$6)))</f>
        <v>225.09719999999999</v>
      </c>
      <c r="V410" s="390">
        <v>1.4</v>
      </c>
      <c r="W410" s="494">
        <f>SUMIFS(Таблица1[Столбец1],Таблица1[коэф],"1,4",Таблица1[р/р],"3/24",Таблица1[Ф. И. О.],B407)</f>
        <v>0</v>
      </c>
      <c r="X410" s="492">
        <f t="shared" si="115"/>
        <v>0</v>
      </c>
      <c r="Y410" s="795"/>
      <c r="Z410" s="797"/>
      <c r="AA410" s="786"/>
    </row>
    <row r="411" spans="1:29" ht="18.75">
      <c r="A411" s="786"/>
      <c r="B411" s="216"/>
      <c r="C411" s="789"/>
      <c r="D411" s="792"/>
      <c r="E411" s="393"/>
      <c r="F411" s="390"/>
      <c r="G411" s="400"/>
      <c r="H411" s="392">
        <f t="shared" si="112"/>
        <v>0</v>
      </c>
      <c r="I411" s="389"/>
      <c r="J411" s="390"/>
      <c r="K411" s="434"/>
      <c r="L411" s="395">
        <f t="shared" si="113"/>
        <v>0</v>
      </c>
      <c r="M411" s="432"/>
      <c r="N411" s="434"/>
      <c r="O411" s="434"/>
      <c r="P411" s="434"/>
      <c r="Q411" s="399">
        <f>база!$L$5</f>
        <v>231.45480000000001</v>
      </c>
      <c r="R411" s="390">
        <v>1.4</v>
      </c>
      <c r="S411" s="491">
        <f>SUMIFS(Таблица1[Столбец1],Таблица1[коэф],"1,4",Таблица1[р/р],"4/16",Таблица1[Ф. И. О.],B407)</f>
        <v>0</v>
      </c>
      <c r="T411" s="492">
        <f t="shared" si="114"/>
        <v>0</v>
      </c>
      <c r="U411" s="472">
        <f>база!$M$5</f>
        <v>247.41720000000001</v>
      </c>
      <c r="V411" s="390">
        <v>1.4</v>
      </c>
      <c r="W411" s="494">
        <f>SUMIFS(Таблица1[Столбец1],Таблица1[коэф],"1,4",Таблица1[р/р],"4/24",Таблица1[Ф. И. О.],B407)</f>
        <v>0</v>
      </c>
      <c r="X411" s="492">
        <f t="shared" si="115"/>
        <v>0</v>
      </c>
      <c r="Y411" s="795"/>
      <c r="Z411" s="797"/>
      <c r="AA411" s="786"/>
    </row>
    <row r="412" spans="1:29" ht="19.5" thickBot="1">
      <c r="A412" s="787"/>
      <c r="B412" s="203"/>
      <c r="C412" s="790"/>
      <c r="D412" s="793"/>
      <c r="E412" s="463"/>
      <c r="F412" s="464"/>
      <c r="G412" s="465"/>
      <c r="H412" s="468">
        <f t="shared" si="112"/>
        <v>0</v>
      </c>
      <c r="I412" s="473"/>
      <c r="J412" s="464"/>
      <c r="K412" s="457"/>
      <c r="L412" s="458">
        <f t="shared" si="113"/>
        <v>0</v>
      </c>
      <c r="M412" s="466"/>
      <c r="N412" s="457"/>
      <c r="O412" s="457"/>
      <c r="P412" s="457"/>
      <c r="Q412" s="467">
        <f>база!$L$6</f>
        <v>261.04640000000001</v>
      </c>
      <c r="R412" s="464">
        <v>1.4</v>
      </c>
      <c r="S412" s="512">
        <f>SUMIFS(Таблица1[Столбец1],Таблица1[коэф],"1,4",Таблица1[р/р],"5/16",Таблица1[Ф. И. О.],B407)</f>
        <v>0</v>
      </c>
      <c r="T412" s="513">
        <f t="shared" si="114"/>
        <v>0</v>
      </c>
      <c r="U412" s="474">
        <f>база!$M$6</f>
        <v>279.0496</v>
      </c>
      <c r="V412" s="464">
        <v>1.4</v>
      </c>
      <c r="W412" s="501">
        <f>SUMIFS(Таблица1[Столбец1],Таблица1[коэф],"1,4",Таблица1[р/р],"5/24",Таблица1[Ф. И. О.],B407)</f>
        <v>0</v>
      </c>
      <c r="X412" s="513">
        <f t="shared" si="115"/>
        <v>0</v>
      </c>
      <c r="Y412" s="796"/>
      <c r="Z412" s="798"/>
      <c r="AA412" s="787"/>
    </row>
    <row r="413" spans="1:29" ht="18.75" collapsed="1">
      <c r="A413" s="785">
        <v>38</v>
      </c>
      <c r="B413" s="236"/>
      <c r="C413" s="788">
        <f>INDEX(база!$E$2:$E$81, MATCH(B418,база!$B$2:$B$50,0))</f>
        <v>15888</v>
      </c>
      <c r="D413" s="791">
        <f>INDEX(база!$D$2:$D$89, MATCH(B418,база!$B$2:$B$50,0))</f>
        <v>3</v>
      </c>
      <c r="E413" s="451">
        <f>IF(D413&lt;=3,база!$I$4,
IF(D413=4,база!$I$5,
IF(D413=5,база!$I$6)))</f>
        <v>188.7912</v>
      </c>
      <c r="F413" s="417">
        <v>1</v>
      </c>
      <c r="G413" s="418">
        <f>SUMIFS(Таблица1[Столбец1],Таблица1[коэф],"1",Таблица1[р/р],"2/4",Таблица1[Ф. И. О.],B418)</f>
        <v>0</v>
      </c>
      <c r="H413" s="402">
        <f t="shared" si="112"/>
        <v>0</v>
      </c>
      <c r="I413" s="377">
        <f>IF(D413&lt;=3,база!$J$4,
IF(D413=4,база!$J$5,
IF(D413=5,база!$J$6)))</f>
        <v>196.05240000000001</v>
      </c>
      <c r="J413" s="378">
        <v>1</v>
      </c>
      <c r="K413" s="428">
        <f>SUMIFS(Таблица1[Столбец1],Таблица1[коэф],"1",Таблица1[р/р],"2/8",Таблица1[Ф. И. О.],B418)</f>
        <v>0</v>
      </c>
      <c r="L413" s="383">
        <f t="shared" si="113"/>
        <v>0</v>
      </c>
      <c r="M413" s="452"/>
      <c r="N413" s="453">
        <v>1</v>
      </c>
      <c r="O413" s="453">
        <f>SUMIFS(Data_Tech!$AM$3:$AM$67,Data_Tech!$E$3:$E$67,"1",Data_Tech!$G$3:$G$67,"3/12",Data_Tech!$F$3:$F$67,B418)</f>
        <v>0</v>
      </c>
      <c r="P413" s="453">
        <f>ROUND(M413*N413*O413,2)</f>
        <v>0</v>
      </c>
      <c r="Q413" s="416">
        <f>IF(D413&lt;=3,база!$L$4,
IF(D413=4,база!$L$5,
IF(D413=5,база!$L$6)))</f>
        <v>210.57480000000001</v>
      </c>
      <c r="R413" s="417">
        <v>1</v>
      </c>
      <c r="S413" s="495">
        <f>SUMIFS(Таблица1[Столбец1],Таблица1[коэф],"1",Таблица1[р/р],"3/16",Таблица1[Ф. И. О.],B418)</f>
        <v>0</v>
      </c>
      <c r="T413" s="490">
        <f t="shared" si="114"/>
        <v>0</v>
      </c>
      <c r="U413" s="471">
        <f>IF(D413&lt;=3,база!$M$4,
IF(D413=4,база!$M$5,
IF(D413=5,база!$M$6)))</f>
        <v>225.09719999999999</v>
      </c>
      <c r="V413" s="378">
        <v>1</v>
      </c>
      <c r="W413" s="497">
        <f>SUMIFS(Таблица1[Столбец1],Таблица1[коэф],"1",Таблица1[р/р],"3/24",Таблица1[Ф. И. О.],B418)</f>
        <v>0</v>
      </c>
      <c r="X413" s="490">
        <f t="shared" si="115"/>
        <v>0</v>
      </c>
      <c r="Y413" s="795">
        <f t="shared" ref="Y413" si="118">SUM(G413:G423,K413:K423,O413:O423,S413:S423,W413:W423)</f>
        <v>0</v>
      </c>
      <c r="Z413" s="797">
        <f t="shared" ref="Z413" si="119">IFERROR(SUM(H413:H423,L413:L423,T413:T423,X413:X423),"")</f>
        <v>0</v>
      </c>
      <c r="AA413" s="786"/>
    </row>
    <row r="414" spans="1:29" ht="18.75">
      <c r="A414" s="786"/>
      <c r="B414" s="216"/>
      <c r="C414" s="789"/>
      <c r="D414" s="792"/>
      <c r="E414" s="393">
        <f>IF(D413&lt;=3,база!$I$4,
IF(D413=4,база!$I$5,
IF(D413=5,база!$I$6)))</f>
        <v>188.7912</v>
      </c>
      <c r="F414" s="390">
        <v>1</v>
      </c>
      <c r="G414" s="400">
        <f>SUMIFS(Таблица1[Столбец1],Таблица1[коэф],"1",Таблица1[р/р],"3/4",Таблица1[Ф. И. О.],B418)</f>
        <v>0</v>
      </c>
      <c r="H414" s="392">
        <f t="shared" si="112"/>
        <v>0</v>
      </c>
      <c r="I414" s="389">
        <f>IF(D413&lt;=3,база!$J$4,
IF(D413=4,база!$J$5,
IF(D413=5,база!$J$6)))</f>
        <v>196.05240000000001</v>
      </c>
      <c r="J414" s="390">
        <v>1</v>
      </c>
      <c r="K414" s="434">
        <f>SUMIFS(Таблица1[Столбец1],Таблица1[коэф],"1",Таблица1[р/р],"3/8",Таблица1[Ф. И. О.],B418)</f>
        <v>0</v>
      </c>
      <c r="L414" s="484">
        <f t="shared" si="113"/>
        <v>0</v>
      </c>
      <c r="M414" s="432"/>
      <c r="N414" s="434">
        <v>1</v>
      </c>
      <c r="O414" s="434">
        <f>SUMIFS(Data_Tech!$AM$3:$AM$67,Data_Tech!$E$3:$E$67,"1",Data_Tech!$G$3:$G$67,"4/12",Data_Tech!$F$3:$F$67,B418)</f>
        <v>0</v>
      </c>
      <c r="P414" s="434">
        <f>ROUND(M414*O414,2)</f>
        <v>0</v>
      </c>
      <c r="Q414" s="399">
        <f>база!$L$5</f>
        <v>231.45480000000001</v>
      </c>
      <c r="R414" s="390">
        <v>1</v>
      </c>
      <c r="S414" s="491">
        <f>SUMIFS(Таблица1[Столбец1],Таблица1[коэф],"1",Таблица1[р/р],"4/16",Таблица1[Ф. И. О.],B418)</f>
        <v>0</v>
      </c>
      <c r="T414" s="492">
        <f t="shared" si="114"/>
        <v>0</v>
      </c>
      <c r="U414" s="472">
        <f>база!$M$5</f>
        <v>247.41720000000001</v>
      </c>
      <c r="V414" s="390">
        <v>1</v>
      </c>
      <c r="W414" s="494">
        <f>SUMIFS(Таблица1[Столбец1],Таблица1[коэф],"1",Таблица1[р/р],"4/24",Таблица1[Ф. И. О.],B418)</f>
        <v>0</v>
      </c>
      <c r="X414" s="492">
        <f t="shared" si="115"/>
        <v>0</v>
      </c>
      <c r="Y414" s="795"/>
      <c r="Z414" s="797"/>
      <c r="AA414" s="786"/>
    </row>
    <row r="415" spans="1:29" ht="18.75">
      <c r="A415" s="786"/>
      <c r="B415" s="216"/>
      <c r="C415" s="789"/>
      <c r="D415" s="792"/>
      <c r="E415" s="393"/>
      <c r="F415" s="390"/>
      <c r="G415" s="400"/>
      <c r="H415" s="392">
        <f t="shared" si="112"/>
        <v>0</v>
      </c>
      <c r="I415" s="389"/>
      <c r="J415" s="390"/>
      <c r="K415" s="434"/>
      <c r="L415" s="484">
        <f t="shared" si="113"/>
        <v>0</v>
      </c>
      <c r="M415" s="432"/>
      <c r="N415" s="434"/>
      <c r="O415" s="434"/>
      <c r="P415" s="434"/>
      <c r="Q415" s="399">
        <f>база!$L$6</f>
        <v>261.04640000000001</v>
      </c>
      <c r="R415" s="390">
        <v>1</v>
      </c>
      <c r="S415" s="491">
        <f>SUMIFS(Таблица1[Столбец1],Таблица1[коэф],"1",Таблица1[р/р],"5/16",Таблица1[Ф. И. О.],B418)</f>
        <v>0</v>
      </c>
      <c r="T415" s="492">
        <f t="shared" si="114"/>
        <v>0</v>
      </c>
      <c r="U415" s="472">
        <f>база!$M$6</f>
        <v>279.0496</v>
      </c>
      <c r="V415" s="390">
        <v>1</v>
      </c>
      <c r="W415" s="494">
        <f>SUMIFS(Таблица1[Столбец1],Таблица1[коэф],"1",Таблица1[р/р],"5/24",Таблица1[Ф. И. О.],B418)</f>
        <v>0</v>
      </c>
      <c r="X415" s="492">
        <f t="shared" si="115"/>
        <v>0</v>
      </c>
      <c r="Y415" s="795"/>
      <c r="Z415" s="797"/>
      <c r="AA415" s="786"/>
    </row>
    <row r="416" spans="1:29" ht="18.75">
      <c r="A416" s="786"/>
      <c r="B416" s="216"/>
      <c r="C416" s="789"/>
      <c r="D416" s="792"/>
      <c r="E416" s="393"/>
      <c r="F416" s="390"/>
      <c r="G416" s="400"/>
      <c r="H416" s="392">
        <f t="shared" si="112"/>
        <v>0</v>
      </c>
      <c r="I416" s="389">
        <f>база!$J$5</f>
        <v>215.4924</v>
      </c>
      <c r="J416" s="390">
        <v>1.5</v>
      </c>
      <c r="K416" s="434">
        <f>SUMIFS(Таблица1[Столбец1],Таблица1[коэф],"1,5",Таблица1[р/р],"4/8",Таблица1[Ф. И. О.],B418)</f>
        <v>0</v>
      </c>
      <c r="L416" s="484">
        <f t="shared" si="113"/>
        <v>0</v>
      </c>
      <c r="M416" s="432"/>
      <c r="N416" s="434"/>
      <c r="O416" s="434"/>
      <c r="P416" s="434"/>
      <c r="Q416" s="399">
        <f>IF(D413&lt;=3,база!$L$4,
IF(D413=4,база!$L$5,
IF(D413=5,база!$L$6)))</f>
        <v>210.57480000000001</v>
      </c>
      <c r="R416" s="390">
        <v>1.2</v>
      </c>
      <c r="S416" s="491">
        <f>SUMIFS(Таблица1[Столбец1],Таблица1[коэф],"1,2",Таблица1[р/р],"3/16",Таблица1[Ф. И. О.],B418)</f>
        <v>0</v>
      </c>
      <c r="T416" s="492">
        <f t="shared" si="114"/>
        <v>0</v>
      </c>
      <c r="U416" s="472">
        <f>IF(D413&lt;=3,база!$M$4,
IF(D413=4,база!$M$5,
IF(D413=5,база!$M$6)))</f>
        <v>225.09719999999999</v>
      </c>
      <c r="V416" s="390">
        <v>1.2</v>
      </c>
      <c r="W416" s="494">
        <f>SUMIFS(Таблица1[Столбец1],Таблица1[коэф],"1,2",Таблица1[р/р],"3/24",Таблица1[Ф. И. О.],B418)</f>
        <v>0</v>
      </c>
      <c r="X416" s="492">
        <f t="shared" si="115"/>
        <v>0</v>
      </c>
      <c r="Y416" s="795"/>
      <c r="Z416" s="797"/>
      <c r="AA416" s="786"/>
    </row>
    <row r="417" spans="1:29" ht="18.75">
      <c r="A417" s="786"/>
      <c r="B417" s="216"/>
      <c r="C417" s="789"/>
      <c r="D417" s="792"/>
      <c r="E417" s="393"/>
      <c r="F417" s="390"/>
      <c r="G417" s="400"/>
      <c r="H417" s="392">
        <f t="shared" si="112"/>
        <v>0</v>
      </c>
      <c r="I417" s="389">
        <f>база!$J$6</f>
        <v>243.04319999999998</v>
      </c>
      <c r="J417" s="390">
        <v>1.5</v>
      </c>
      <c r="K417" s="434">
        <f>SUMIFS(Таблица1[Столбец1],Таблица1[коэф],"1,5",Таблица1[р/р],"5/8",Таблица1[Ф. И. О.],B418)</f>
        <v>0</v>
      </c>
      <c r="L417" s="484">
        <f t="shared" si="113"/>
        <v>0</v>
      </c>
      <c r="M417" s="432"/>
      <c r="N417" s="434"/>
      <c r="O417" s="434"/>
      <c r="P417" s="434"/>
      <c r="Q417" s="399">
        <f>база!$L$5</f>
        <v>231.45480000000001</v>
      </c>
      <c r="R417" s="390">
        <v>1.2</v>
      </c>
      <c r="S417" s="491">
        <f>SUMIFS(Таблица1[Столбец1],Таблица1[коэф],"1,2",Таблица1[р/р],"4/16",Таблица1[Ф. И. О.],B418)</f>
        <v>0</v>
      </c>
      <c r="T417" s="492">
        <f t="shared" si="114"/>
        <v>0</v>
      </c>
      <c r="U417" s="472">
        <f>база!$M$5</f>
        <v>247.41720000000001</v>
      </c>
      <c r="V417" s="390">
        <v>1.2</v>
      </c>
      <c r="W417" s="494">
        <f>SUMIFS(Таблица1[Столбец1],Таблица1[коэф],"1,2",Таблица1[р/р],"4/24",Таблица1[Ф. И. О.],B418)</f>
        <v>0</v>
      </c>
      <c r="X417" s="492">
        <f t="shared" si="115"/>
        <v>0</v>
      </c>
      <c r="Y417" s="795"/>
      <c r="Z417" s="797"/>
      <c r="AA417" s="786"/>
    </row>
    <row r="418" spans="1:29" ht="18" customHeight="1">
      <c r="A418" s="786"/>
      <c r="B418" s="216" t="str">
        <f>база!B39</f>
        <v>Коричева Юлия Владимировна</v>
      </c>
      <c r="C418" s="789"/>
      <c r="D418" s="792"/>
      <c r="E418" s="393"/>
      <c r="F418" s="390"/>
      <c r="G418" s="400"/>
      <c r="H418" s="392">
        <f t="shared" si="112"/>
        <v>0</v>
      </c>
      <c r="I418" s="389"/>
      <c r="J418" s="390"/>
      <c r="K418" s="434"/>
      <c r="L418" s="484">
        <f t="shared" si="113"/>
        <v>0</v>
      </c>
      <c r="M418" s="432"/>
      <c r="N418" s="434"/>
      <c r="O418" s="434"/>
      <c r="P418" s="434"/>
      <c r="Q418" s="399">
        <f>база!$L$6</f>
        <v>261.04640000000001</v>
      </c>
      <c r="R418" s="390">
        <v>1.2</v>
      </c>
      <c r="S418" s="491">
        <f>SUMIFS(Таблица1[Столбец1],Таблица1[коэф],"1,2",Таблица1[р/р],"5/16",Таблица1[Ф. И. О.],B418)</f>
        <v>0</v>
      </c>
      <c r="T418" s="492">
        <f t="shared" si="114"/>
        <v>0</v>
      </c>
      <c r="U418" s="472">
        <f>база!$M$6</f>
        <v>279.0496</v>
      </c>
      <c r="V418" s="390">
        <v>1.2</v>
      </c>
      <c r="W418" s="494">
        <f>SUMIFS(Таблица1[Столбец1],Таблица1[коэф],"1,2",Таблица1[р/р],"5/24",Таблица1[Ф. И. О.],B418)</f>
        <v>0</v>
      </c>
      <c r="X418" s="492">
        <f t="shared" si="115"/>
        <v>0</v>
      </c>
      <c r="Y418" s="795"/>
      <c r="Z418" s="797"/>
      <c r="AA418" s="786"/>
      <c r="AC418" s="727" t="str">
        <f>IF(SUMIFS(Таблица1[Столбец3],Таблица1[Ф. И. О.],B418)-Z413=0,"",SUMIFS(Таблица1[Столбец3],Таблица1[Ф. И. О.],B418)-Z413)</f>
        <v/>
      </c>
    </row>
    <row r="419" spans="1:29" ht="18.75">
      <c r="A419" s="786"/>
      <c r="B419" s="216"/>
      <c r="C419" s="789"/>
      <c r="D419" s="792"/>
      <c r="E419" s="393"/>
      <c r="F419" s="390"/>
      <c r="G419" s="400"/>
      <c r="H419" s="392">
        <f t="shared" si="112"/>
        <v>0</v>
      </c>
      <c r="I419" s="389"/>
      <c r="J419" s="390"/>
      <c r="K419" s="434"/>
      <c r="L419" s="484">
        <f t="shared" si="113"/>
        <v>0</v>
      </c>
      <c r="M419" s="432"/>
      <c r="N419" s="434"/>
      <c r="O419" s="434"/>
      <c r="P419" s="434"/>
      <c r="Q419" s="399">
        <f>IF(D413&lt;=3,база!$L$4,
IF(D413=4,база!$L$5,
IF(D413=5,база!$L$6)))</f>
        <v>210.57480000000001</v>
      </c>
      <c r="R419" s="390">
        <v>1.3</v>
      </c>
      <c r="S419" s="491">
        <f>SUMIFS(Таблица1[Столбец1],Таблица1[коэф],"1,3",Таблица1[р/р],"3/16",Таблица1[Ф. И. О.],B418)</f>
        <v>0</v>
      </c>
      <c r="T419" s="492">
        <f t="shared" si="114"/>
        <v>0</v>
      </c>
      <c r="U419" s="472">
        <f>IF(D413&lt;=3,база!$M$4,
IF(D413=4,база!$M$5,
IF(D413=5,база!$M$6)))</f>
        <v>225.09719999999999</v>
      </c>
      <c r="V419" s="390">
        <v>1.3</v>
      </c>
      <c r="W419" s="494">
        <f>SUMIFS(Таблица1[Столбец1],Таблица1[коэф],"1,3",Таблица1[р/р],"3/24",Таблица1[Ф. И. О.],B418)</f>
        <v>0</v>
      </c>
      <c r="X419" s="492">
        <f t="shared" si="115"/>
        <v>0</v>
      </c>
      <c r="Y419" s="795"/>
      <c r="Z419" s="797"/>
      <c r="AA419" s="786"/>
      <c r="AC419" s="727" t="str">
        <f>IF(SUMIFS(Таблица1[Столбец1],Таблица1[Ф. И. О.],B418)=Y413,"",B418&amp;"  часы не верны")</f>
        <v/>
      </c>
    </row>
    <row r="420" spans="1:29" ht="18.75">
      <c r="A420" s="786"/>
      <c r="B420" s="216"/>
      <c r="C420" s="789"/>
      <c r="D420" s="792"/>
      <c r="E420" s="393"/>
      <c r="F420" s="390"/>
      <c r="G420" s="400"/>
      <c r="H420" s="392">
        <f t="shared" si="112"/>
        <v>0</v>
      </c>
      <c r="I420" s="389"/>
      <c r="J420" s="390"/>
      <c r="K420" s="434"/>
      <c r="L420" s="484">
        <f t="shared" si="113"/>
        <v>0</v>
      </c>
      <c r="M420" s="432"/>
      <c r="N420" s="434"/>
      <c r="O420" s="434"/>
      <c r="P420" s="434"/>
      <c r="Q420" s="399">
        <f>база!$L$5</f>
        <v>231.45480000000001</v>
      </c>
      <c r="R420" s="390">
        <v>1.3</v>
      </c>
      <c r="S420" s="491">
        <f>SUMIFS(Таблица1[Столбец1],Таблица1[коэф],"1,3",Таблица1[р/р],"4/16",Таблица1[Ф. И. О.],B418)</f>
        <v>0</v>
      </c>
      <c r="T420" s="492">
        <f t="shared" si="114"/>
        <v>0</v>
      </c>
      <c r="U420" s="472">
        <f>база!$M$5</f>
        <v>247.41720000000001</v>
      </c>
      <c r="V420" s="390">
        <v>1.3</v>
      </c>
      <c r="W420" s="494">
        <f>SUMIFS(Таблица1[Столбец1],Таблица1[коэф],"1,3",Таблица1[р/р],"4/24",Таблица1[Ф. И. О.],B418)</f>
        <v>0</v>
      </c>
      <c r="X420" s="492">
        <f t="shared" si="115"/>
        <v>0</v>
      </c>
      <c r="Y420" s="795"/>
      <c r="Z420" s="797"/>
      <c r="AA420" s="786"/>
    </row>
    <row r="421" spans="1:29" ht="18.75">
      <c r="A421" s="786"/>
      <c r="B421" s="216"/>
      <c r="C421" s="789"/>
      <c r="D421" s="792"/>
      <c r="E421" s="393"/>
      <c r="F421" s="390"/>
      <c r="G421" s="400"/>
      <c r="H421" s="392">
        <f t="shared" si="112"/>
        <v>0</v>
      </c>
      <c r="I421" s="389"/>
      <c r="J421" s="390"/>
      <c r="K421" s="434"/>
      <c r="L421" s="484">
        <f t="shared" si="113"/>
        <v>0</v>
      </c>
      <c r="M421" s="432"/>
      <c r="N421" s="434"/>
      <c r="O421" s="434"/>
      <c r="P421" s="434"/>
      <c r="Q421" s="399">
        <f>IF(D413&lt;=3,база!$L$4,
IF(D413=4,база!$L$5,
IF(D413=5,база!$L$6)))</f>
        <v>210.57480000000001</v>
      </c>
      <c r="R421" s="390">
        <v>1.4</v>
      </c>
      <c r="S421" s="491">
        <f>SUMIFS(Таблица1[Столбец1],Таблица1[коэф],"1,4",Таблица1[р/р],"3/16",Таблица1[Ф. И. О.],B418)</f>
        <v>0</v>
      </c>
      <c r="T421" s="492">
        <f t="shared" si="114"/>
        <v>0</v>
      </c>
      <c r="U421" s="472">
        <f>IF(D413&lt;=3,база!$M$4,
IF(D413=4,база!$M$5,
IF(D413=5,база!$M$6)))</f>
        <v>225.09719999999999</v>
      </c>
      <c r="V421" s="390">
        <v>1.4</v>
      </c>
      <c r="W421" s="494">
        <f>SUMIFS(Таблица1[Столбец1],Таблица1[коэф],"1,4",Таблица1[р/р],"3/24",Таблица1[Ф. И. О.],B418)</f>
        <v>0</v>
      </c>
      <c r="X421" s="492">
        <f t="shared" si="115"/>
        <v>0</v>
      </c>
      <c r="Y421" s="795"/>
      <c r="Z421" s="797"/>
      <c r="AA421" s="786"/>
    </row>
    <row r="422" spans="1:29" ht="18.75">
      <c r="A422" s="786"/>
      <c r="B422" s="216"/>
      <c r="C422" s="789"/>
      <c r="D422" s="792"/>
      <c r="E422" s="393"/>
      <c r="F422" s="390"/>
      <c r="G422" s="400"/>
      <c r="H422" s="392">
        <f t="shared" si="112"/>
        <v>0</v>
      </c>
      <c r="I422" s="389"/>
      <c r="J422" s="390"/>
      <c r="K422" s="434"/>
      <c r="L422" s="395">
        <f t="shared" si="113"/>
        <v>0</v>
      </c>
      <c r="M422" s="432"/>
      <c r="N422" s="434"/>
      <c r="O422" s="434"/>
      <c r="P422" s="434"/>
      <c r="Q422" s="399">
        <f>база!$L$5</f>
        <v>231.45480000000001</v>
      </c>
      <c r="R422" s="390">
        <v>1.4</v>
      </c>
      <c r="S422" s="491">
        <f>SUMIFS(Таблица1[Столбец1],Таблица1[коэф],"1,4",Таблица1[р/р],"4/16",Таблица1[Ф. И. О.],B418)</f>
        <v>0</v>
      </c>
      <c r="T422" s="492">
        <f t="shared" si="114"/>
        <v>0</v>
      </c>
      <c r="U422" s="472">
        <f>база!$M$5</f>
        <v>247.41720000000001</v>
      </c>
      <c r="V422" s="390">
        <v>1.4</v>
      </c>
      <c r="W422" s="494">
        <f>SUMIFS(Таблица1[Столбец1],Таблица1[коэф],"1,4",Таблица1[р/р],"4/24",Таблица1[Ф. И. О.],B418)</f>
        <v>0</v>
      </c>
      <c r="X422" s="492">
        <f t="shared" si="115"/>
        <v>0</v>
      </c>
      <c r="Y422" s="795"/>
      <c r="Z422" s="797"/>
      <c r="AA422" s="786"/>
    </row>
    <row r="423" spans="1:29" ht="19.5" thickBot="1">
      <c r="A423" s="787"/>
      <c r="B423" s="203"/>
      <c r="C423" s="790"/>
      <c r="D423" s="793"/>
      <c r="E423" s="463"/>
      <c r="F423" s="464"/>
      <c r="G423" s="465"/>
      <c r="H423" s="468">
        <f t="shared" si="112"/>
        <v>0</v>
      </c>
      <c r="I423" s="473"/>
      <c r="J423" s="464"/>
      <c r="K423" s="457"/>
      <c r="L423" s="458">
        <f t="shared" si="113"/>
        <v>0</v>
      </c>
      <c r="M423" s="466"/>
      <c r="N423" s="457"/>
      <c r="O423" s="457"/>
      <c r="P423" s="457"/>
      <c r="Q423" s="467">
        <f>база!$L$6</f>
        <v>261.04640000000001</v>
      </c>
      <c r="R423" s="464">
        <v>1.4</v>
      </c>
      <c r="S423" s="512">
        <f>SUMIFS(Таблица1[Столбец1],Таблица1[коэф],"1,4",Таблица1[р/р],"5/16",Таблица1[Ф. И. О.],B418)</f>
        <v>0</v>
      </c>
      <c r="T423" s="513">
        <f t="shared" si="114"/>
        <v>0</v>
      </c>
      <c r="U423" s="474">
        <f>база!$M$6</f>
        <v>279.0496</v>
      </c>
      <c r="V423" s="464">
        <v>1.4</v>
      </c>
      <c r="W423" s="501">
        <f>SUMIFS(Таблица1[Столбец1],Таблица1[коэф],"1,4",Таблица1[р/р],"5/24",Таблица1[Ф. И. О.],B418)</f>
        <v>0</v>
      </c>
      <c r="X423" s="513">
        <f t="shared" si="115"/>
        <v>0</v>
      </c>
      <c r="Y423" s="796"/>
      <c r="Z423" s="798"/>
      <c r="AA423" s="787"/>
    </row>
    <row r="424" spans="1:29" ht="18.75" collapsed="1">
      <c r="A424" s="785">
        <v>39</v>
      </c>
      <c r="B424" s="236"/>
      <c r="C424" s="788">
        <f>INDEX(база!$E$2:$E$81, MATCH(B429,база!$B$2:$B$50,0))</f>
        <v>17271</v>
      </c>
      <c r="D424" s="791">
        <f>INDEX(база!$D$2:$D$89, MATCH(B429,база!$B$2:$B$50,0))</f>
        <v>3</v>
      </c>
      <c r="E424" s="451">
        <f>IF(D424&lt;=3,база!$I$4,
IF(D424=4,база!$I$5,
IF(D424=5,база!$I$6)))</f>
        <v>188.7912</v>
      </c>
      <c r="F424" s="417">
        <v>1</v>
      </c>
      <c r="G424" s="418">
        <f>SUMIFS(Таблица1[Столбец1],Таблица1[коэф],"1",Таблица1[р/р],"2/4",Таблица1[Ф. И. О.],B429)</f>
        <v>0</v>
      </c>
      <c r="H424" s="402">
        <f t="shared" ref="H424:H434" si="120">ROUND(E424*F424*G424*2,2)</f>
        <v>0</v>
      </c>
      <c r="I424" s="377">
        <f>IF(D424&lt;=3,база!$J$4,
IF(D424=4,база!$J$5,
IF(D424=5,база!$J$6)))</f>
        <v>196.05240000000001</v>
      </c>
      <c r="J424" s="378">
        <v>1</v>
      </c>
      <c r="K424" s="428">
        <f>SUMIFS(Таблица1[Столбец1],Таблица1[коэф],"1",Таблица1[р/р],"2/8",Таблица1[Ф. И. О.],B429)</f>
        <v>0</v>
      </c>
      <c r="L424" s="383">
        <f t="shared" ref="L424:L434" si="121">ROUND(I424*J424*K424*2,2)</f>
        <v>0</v>
      </c>
      <c r="M424" s="452"/>
      <c r="N424" s="453">
        <v>1</v>
      </c>
      <c r="O424" s="453">
        <f>SUMIFS(Data_Tech!$AM$3:$AM$67,Data_Tech!$E$3:$E$67,"1",Data_Tech!$G$3:$G$67,"3/12",Data_Tech!$F$3:$F$67,B429)</f>
        <v>0</v>
      </c>
      <c r="P424" s="453">
        <f>ROUND(M424*N424*O424,2)</f>
        <v>0</v>
      </c>
      <c r="Q424" s="416">
        <f>IF(D424&lt;=3,база!$L$4,
IF(D424=4,база!$L$5,
IF(D424=5,база!$L$6)))</f>
        <v>210.57480000000001</v>
      </c>
      <c r="R424" s="417">
        <v>1</v>
      </c>
      <c r="S424" s="495">
        <f>SUMIFS(Таблица1[Столбец1],Таблица1[коэф],"1",Таблица1[р/р],"3/16",Таблица1[Ф. И. О.],B429)</f>
        <v>0</v>
      </c>
      <c r="T424" s="490">
        <f t="shared" ref="T424:T434" si="122">ROUND(Q424*R424*S424*2,2)</f>
        <v>0</v>
      </c>
      <c r="U424" s="471">
        <f>IF(D424&lt;=3,база!$M$4,
IF(D424=4,база!$M$5,
IF(D424=5,база!$M$6)))</f>
        <v>225.09719999999999</v>
      </c>
      <c r="V424" s="378">
        <v>1</v>
      </c>
      <c r="W424" s="497">
        <f>SUMIFS(Таблица1[Столбец1],Таблица1[коэф],"1",Таблица1[р/р],"3/24",Таблица1[Ф. И. О.],B429)</f>
        <v>0</v>
      </c>
      <c r="X424" s="490">
        <f t="shared" ref="X424:X434" si="123">ROUND(U424*V424*W424*2,2)</f>
        <v>0</v>
      </c>
      <c r="Y424" s="795">
        <f t="shared" ref="Y424" si="124">SUM(G424:G434,K424:K434,O424:O434,S424:S434,W424:W434)</f>
        <v>0</v>
      </c>
      <c r="Z424" s="797">
        <f t="shared" ref="Z424" si="125">IFERROR(SUM(H424:H434,L424:L434,T424:T434,X424:X434),"")</f>
        <v>0</v>
      </c>
      <c r="AA424" s="786"/>
    </row>
    <row r="425" spans="1:29" ht="18.75">
      <c r="A425" s="786"/>
      <c r="B425" s="216"/>
      <c r="C425" s="789"/>
      <c r="D425" s="792"/>
      <c r="E425" s="393">
        <f>IF(D424&lt;=3,база!$I$4,
IF(D424=4,база!$I$5,
IF(D424=5,база!$I$6)))</f>
        <v>188.7912</v>
      </c>
      <c r="F425" s="390">
        <v>1</v>
      </c>
      <c r="G425" s="400">
        <f>SUMIFS(Таблица1[Столбец1],Таблица1[коэф],"1",Таблица1[р/р],"3/4",Таблица1[Ф. И. О.],B429)</f>
        <v>0</v>
      </c>
      <c r="H425" s="392">
        <f t="shared" si="120"/>
        <v>0</v>
      </c>
      <c r="I425" s="389">
        <f>IF(D424&lt;=3,база!$J$4,
IF(D424=4,база!$J$5,
IF(D424=5,база!$J$6)))</f>
        <v>196.05240000000001</v>
      </c>
      <c r="J425" s="390">
        <v>1</v>
      </c>
      <c r="K425" s="434">
        <f>SUMIFS(Таблица1[Столбец1],Таблица1[коэф],"1",Таблица1[р/р],"3/8",Таблица1[Ф. И. О.],B429)</f>
        <v>0</v>
      </c>
      <c r="L425" s="484">
        <f t="shared" si="121"/>
        <v>0</v>
      </c>
      <c r="M425" s="432"/>
      <c r="N425" s="434">
        <v>1</v>
      </c>
      <c r="O425" s="434">
        <f>SUMIFS(Data_Tech!$AM$3:$AM$67,Data_Tech!$E$3:$E$67,"1",Data_Tech!$G$3:$G$67,"4/12",Data_Tech!$F$3:$F$67,B429)</f>
        <v>0</v>
      </c>
      <c r="P425" s="434">
        <f>ROUND(M425*O425,2)</f>
        <v>0</v>
      </c>
      <c r="Q425" s="399">
        <f>база!$L$5</f>
        <v>231.45480000000001</v>
      </c>
      <c r="R425" s="390">
        <v>1</v>
      </c>
      <c r="S425" s="491">
        <f>SUMIFS(Таблица1[Столбец1],Таблица1[коэф],"1",Таблица1[р/р],"4/16",Таблица1[Ф. И. О.],B429)</f>
        <v>0</v>
      </c>
      <c r="T425" s="492">
        <f t="shared" si="122"/>
        <v>0</v>
      </c>
      <c r="U425" s="472">
        <f>база!$M$5</f>
        <v>247.41720000000001</v>
      </c>
      <c r="V425" s="390">
        <v>1</v>
      </c>
      <c r="W425" s="494">
        <f>SUMIFS(Таблица1[Столбец1],Таблица1[коэф],"1",Таблица1[р/р],"4/24",Таблица1[Ф. И. О.],B429)</f>
        <v>0</v>
      </c>
      <c r="X425" s="492">
        <f t="shared" si="123"/>
        <v>0</v>
      </c>
      <c r="Y425" s="795"/>
      <c r="Z425" s="797"/>
      <c r="AA425" s="786"/>
    </row>
    <row r="426" spans="1:29" ht="18.75">
      <c r="A426" s="786"/>
      <c r="B426" s="216"/>
      <c r="C426" s="789"/>
      <c r="D426" s="792"/>
      <c r="E426" s="393"/>
      <c r="F426" s="390"/>
      <c r="G426" s="400"/>
      <c r="H426" s="392">
        <f t="shared" si="120"/>
        <v>0</v>
      </c>
      <c r="I426" s="389"/>
      <c r="J426" s="390"/>
      <c r="K426" s="434"/>
      <c r="L426" s="484">
        <f t="shared" si="121"/>
        <v>0</v>
      </c>
      <c r="M426" s="432"/>
      <c r="N426" s="434"/>
      <c r="O426" s="434"/>
      <c r="P426" s="434"/>
      <c r="Q426" s="399">
        <f>база!$L$6</f>
        <v>261.04640000000001</v>
      </c>
      <c r="R426" s="390">
        <v>1</v>
      </c>
      <c r="S426" s="491">
        <f>SUMIFS(Таблица1[Столбец1],Таблица1[коэф],"1",Таблица1[р/р],"5/16",Таблица1[Ф. И. О.],B429)</f>
        <v>0</v>
      </c>
      <c r="T426" s="492">
        <f t="shared" si="122"/>
        <v>0</v>
      </c>
      <c r="U426" s="472">
        <f>база!$M$6</f>
        <v>279.0496</v>
      </c>
      <c r="V426" s="390">
        <v>1</v>
      </c>
      <c r="W426" s="494">
        <f>SUMIFS(Таблица1[Столбец1],Таблица1[коэф],"1",Таблица1[р/р],"5/24",Таблица1[Ф. И. О.],B429)</f>
        <v>0</v>
      </c>
      <c r="X426" s="492">
        <f t="shared" si="123"/>
        <v>0</v>
      </c>
      <c r="Y426" s="795"/>
      <c r="Z426" s="797"/>
      <c r="AA426" s="786"/>
    </row>
    <row r="427" spans="1:29" ht="18.75">
      <c r="A427" s="786"/>
      <c r="B427" s="216"/>
      <c r="C427" s="789"/>
      <c r="D427" s="792"/>
      <c r="E427" s="393"/>
      <c r="F427" s="390"/>
      <c r="G427" s="400"/>
      <c r="H427" s="392">
        <f t="shared" si="120"/>
        <v>0</v>
      </c>
      <c r="I427" s="389">
        <f>база!$J$5</f>
        <v>215.4924</v>
      </c>
      <c r="J427" s="390">
        <v>1.5</v>
      </c>
      <c r="K427" s="434">
        <f>SUMIFS(Таблица1[Столбец1],Таблица1[коэф],"1,5",Таблица1[р/р],"4/8",Таблица1[Ф. И. О.],B429)</f>
        <v>0</v>
      </c>
      <c r="L427" s="484">
        <f t="shared" si="121"/>
        <v>0</v>
      </c>
      <c r="M427" s="432"/>
      <c r="N427" s="434"/>
      <c r="O427" s="434"/>
      <c r="P427" s="434"/>
      <c r="Q427" s="399">
        <f>IF(D424&lt;=3,база!$L$4,
IF(D424=4,база!$L$5,
IF(D424=5,база!$L$6)))</f>
        <v>210.57480000000001</v>
      </c>
      <c r="R427" s="390">
        <v>1.2</v>
      </c>
      <c r="S427" s="491">
        <f>SUMIFS(Таблица1[Столбец1],Таблица1[коэф],"1,2",Таблица1[р/р],"3/16",Таблица1[Ф. И. О.],B429)</f>
        <v>0</v>
      </c>
      <c r="T427" s="492">
        <f t="shared" si="122"/>
        <v>0</v>
      </c>
      <c r="U427" s="472">
        <f>IF(D424&lt;=3,база!$M$4,
IF(D424=4,база!$M$5,
IF(D424=5,база!$M$6)))</f>
        <v>225.09719999999999</v>
      </c>
      <c r="V427" s="390">
        <v>1.2</v>
      </c>
      <c r="W427" s="494">
        <f>SUMIFS(Таблица1[Столбец1],Таблица1[коэф],"1,2",Таблица1[р/р],"3/24",Таблица1[Ф. И. О.],B429)</f>
        <v>0</v>
      </c>
      <c r="X427" s="492">
        <f t="shared" si="123"/>
        <v>0</v>
      </c>
      <c r="Y427" s="795"/>
      <c r="Z427" s="797"/>
      <c r="AA427" s="786"/>
    </row>
    <row r="428" spans="1:29" ht="18.75">
      <c r="A428" s="786"/>
      <c r="B428" s="216"/>
      <c r="C428" s="789"/>
      <c r="D428" s="792"/>
      <c r="E428" s="393"/>
      <c r="F428" s="390"/>
      <c r="G428" s="400"/>
      <c r="H428" s="392">
        <f t="shared" si="120"/>
        <v>0</v>
      </c>
      <c r="I428" s="389">
        <f>база!$J$6</f>
        <v>243.04319999999998</v>
      </c>
      <c r="J428" s="390">
        <v>1.5</v>
      </c>
      <c r="K428" s="434">
        <f>SUMIFS(Таблица1[Столбец1],Таблица1[коэф],"1,5",Таблица1[р/р],"5/8",Таблица1[Ф. И. О.],B429)</f>
        <v>0</v>
      </c>
      <c r="L428" s="484">
        <f t="shared" si="121"/>
        <v>0</v>
      </c>
      <c r="M428" s="432"/>
      <c r="N428" s="434"/>
      <c r="O428" s="434"/>
      <c r="P428" s="434"/>
      <c r="Q428" s="399">
        <f>база!$L$5</f>
        <v>231.45480000000001</v>
      </c>
      <c r="R428" s="390">
        <v>1.2</v>
      </c>
      <c r="S428" s="491">
        <f>SUMIFS(Таблица1[Столбец1],Таблица1[коэф],"1,2",Таблица1[р/р],"4/16",Таблица1[Ф. И. О.],B429)</f>
        <v>0</v>
      </c>
      <c r="T428" s="492">
        <f t="shared" si="122"/>
        <v>0</v>
      </c>
      <c r="U428" s="472">
        <f>база!$M$5</f>
        <v>247.41720000000001</v>
      </c>
      <c r="V428" s="390">
        <v>1.2</v>
      </c>
      <c r="W428" s="494">
        <f>SUMIFS(Таблица1[Столбец1],Таблица1[коэф],"1,2",Таблица1[р/р],"4/24",Таблица1[Ф. И. О.],B429)</f>
        <v>0</v>
      </c>
      <c r="X428" s="492">
        <f t="shared" si="123"/>
        <v>0</v>
      </c>
      <c r="Y428" s="795"/>
      <c r="Z428" s="797"/>
      <c r="AA428" s="786"/>
    </row>
    <row r="429" spans="1:29" ht="18" customHeight="1">
      <c r="A429" s="786"/>
      <c r="B429" s="216" t="str">
        <f>база!B40</f>
        <v>Кочеткова Мария Андреевна</v>
      </c>
      <c r="C429" s="789"/>
      <c r="D429" s="792"/>
      <c r="E429" s="393"/>
      <c r="F429" s="390"/>
      <c r="G429" s="400"/>
      <c r="H429" s="392">
        <f t="shared" si="120"/>
        <v>0</v>
      </c>
      <c r="I429" s="389"/>
      <c r="J429" s="390"/>
      <c r="K429" s="434"/>
      <c r="L429" s="484">
        <f t="shared" si="121"/>
        <v>0</v>
      </c>
      <c r="M429" s="432"/>
      <c r="N429" s="434"/>
      <c r="O429" s="434"/>
      <c r="P429" s="434"/>
      <c r="Q429" s="399">
        <f>база!$L$6</f>
        <v>261.04640000000001</v>
      </c>
      <c r="R429" s="390">
        <v>1.2</v>
      </c>
      <c r="S429" s="491">
        <f>SUMIFS(Таблица1[Столбец1],Таблица1[коэф],"1,2",Таблица1[р/р],"5/16",Таблица1[Ф. И. О.],B429)</f>
        <v>0</v>
      </c>
      <c r="T429" s="492">
        <f t="shared" si="122"/>
        <v>0</v>
      </c>
      <c r="U429" s="472">
        <f>база!$M$6</f>
        <v>279.0496</v>
      </c>
      <c r="V429" s="390">
        <v>1.2</v>
      </c>
      <c r="W429" s="494">
        <f>SUMIFS(Таблица1[Столбец1],Таблица1[коэф],"1,2",Таблица1[р/р],"5/24",Таблица1[Ф. И. О.],B429)</f>
        <v>0</v>
      </c>
      <c r="X429" s="492">
        <f t="shared" si="123"/>
        <v>0</v>
      </c>
      <c r="Y429" s="795"/>
      <c r="Z429" s="797"/>
      <c r="AA429" s="786"/>
      <c r="AC429" s="727" t="str">
        <f>IF(SUMIFS(Таблица1[Столбец3],Таблица1[Ф. И. О.],B429)-Z424=0,"",SUMIFS(Таблица1[Столбец3],Таблица1[Ф. И. О.],B429)-Z424)</f>
        <v/>
      </c>
    </row>
    <row r="430" spans="1:29" ht="18.75">
      <c r="A430" s="786"/>
      <c r="B430" s="216"/>
      <c r="C430" s="789"/>
      <c r="D430" s="792"/>
      <c r="E430" s="393"/>
      <c r="F430" s="390"/>
      <c r="G430" s="400"/>
      <c r="H430" s="392">
        <f t="shared" si="120"/>
        <v>0</v>
      </c>
      <c r="I430" s="389"/>
      <c r="J430" s="390"/>
      <c r="K430" s="434"/>
      <c r="L430" s="484">
        <f t="shared" si="121"/>
        <v>0</v>
      </c>
      <c r="M430" s="432"/>
      <c r="N430" s="434"/>
      <c r="O430" s="434"/>
      <c r="P430" s="434"/>
      <c r="Q430" s="399">
        <f>IF(D424&lt;=3,база!$L$4,
IF(D424=4,база!$L$5,
IF(D424=5,база!$L$6)))</f>
        <v>210.57480000000001</v>
      </c>
      <c r="R430" s="390">
        <v>1.3</v>
      </c>
      <c r="S430" s="491">
        <f>SUMIFS(Таблица1[Столбец1],Таблица1[коэф],"1,3",Таблица1[р/р],"3/16",Таблица1[Ф. И. О.],B429)</f>
        <v>0</v>
      </c>
      <c r="T430" s="492">
        <f t="shared" si="122"/>
        <v>0</v>
      </c>
      <c r="U430" s="472">
        <f>IF(D424&lt;=3,база!$M$4,
IF(D424=4,база!$M$5,
IF(D424=5,база!$M$6)))</f>
        <v>225.09719999999999</v>
      </c>
      <c r="V430" s="390">
        <v>1.3</v>
      </c>
      <c r="W430" s="494">
        <f>SUMIFS(Таблица1[Столбец1],Таблица1[коэф],"1,3",Таблица1[р/р],"3/24",Таблица1[Ф. И. О.],B429)</f>
        <v>0</v>
      </c>
      <c r="X430" s="492">
        <f t="shared" si="123"/>
        <v>0</v>
      </c>
      <c r="Y430" s="795"/>
      <c r="Z430" s="797"/>
      <c r="AA430" s="786"/>
      <c r="AC430" s="727" t="str">
        <f>IF(SUMIFS(Таблица1[Столбец1],Таблица1[Ф. И. О.],B429)=Y424,"",B429&amp;"  часы не верны")</f>
        <v/>
      </c>
    </row>
    <row r="431" spans="1:29" ht="18.75">
      <c r="A431" s="786"/>
      <c r="B431" s="216"/>
      <c r="C431" s="789"/>
      <c r="D431" s="792"/>
      <c r="E431" s="393"/>
      <c r="F431" s="390"/>
      <c r="G431" s="400"/>
      <c r="H431" s="392">
        <f t="shared" si="120"/>
        <v>0</v>
      </c>
      <c r="I431" s="389"/>
      <c r="J431" s="390"/>
      <c r="K431" s="434"/>
      <c r="L431" s="484">
        <f t="shared" si="121"/>
        <v>0</v>
      </c>
      <c r="M431" s="432"/>
      <c r="N431" s="434"/>
      <c r="O431" s="434"/>
      <c r="P431" s="434"/>
      <c r="Q431" s="399">
        <f>база!$L$5</f>
        <v>231.45480000000001</v>
      </c>
      <c r="R431" s="390">
        <v>1.3</v>
      </c>
      <c r="S431" s="491">
        <f>SUMIFS(Таблица1[Столбец1],Таблица1[коэф],"1,3",Таблица1[р/р],"4/16",Таблица1[Ф. И. О.],B429)</f>
        <v>0</v>
      </c>
      <c r="T431" s="492">
        <f t="shared" si="122"/>
        <v>0</v>
      </c>
      <c r="U431" s="472">
        <f>база!$M$5</f>
        <v>247.41720000000001</v>
      </c>
      <c r="V431" s="390">
        <v>1.3</v>
      </c>
      <c r="W431" s="494">
        <f>SUMIFS(Таблица1[Столбец1],Таблица1[коэф],"1,3",Таблица1[р/р],"4/24",Таблица1[Ф. И. О.],B429)</f>
        <v>0</v>
      </c>
      <c r="X431" s="492">
        <f t="shared" si="123"/>
        <v>0</v>
      </c>
      <c r="Y431" s="795"/>
      <c r="Z431" s="797"/>
      <c r="AA431" s="786"/>
    </row>
    <row r="432" spans="1:29" ht="18.75">
      <c r="A432" s="786"/>
      <c r="B432" s="216"/>
      <c r="C432" s="789"/>
      <c r="D432" s="792"/>
      <c r="E432" s="393"/>
      <c r="F432" s="390"/>
      <c r="G432" s="400"/>
      <c r="H432" s="392">
        <f t="shared" si="120"/>
        <v>0</v>
      </c>
      <c r="I432" s="389"/>
      <c r="J432" s="390"/>
      <c r="K432" s="434"/>
      <c r="L432" s="484">
        <f t="shared" si="121"/>
        <v>0</v>
      </c>
      <c r="M432" s="432"/>
      <c r="N432" s="434"/>
      <c r="O432" s="434"/>
      <c r="P432" s="434"/>
      <c r="Q432" s="399">
        <f>IF(D424&lt;=3,база!$L$4,
IF(D424=4,база!$L$5,
IF(D424=5,база!$L$6)))</f>
        <v>210.57480000000001</v>
      </c>
      <c r="R432" s="390">
        <v>1.4</v>
      </c>
      <c r="S432" s="491">
        <f>SUMIFS(Таблица1[Столбец1],Таблица1[коэф],"1,4",Таблица1[р/р],"3/16",Таблица1[Ф. И. О.],B429)</f>
        <v>0</v>
      </c>
      <c r="T432" s="492">
        <f t="shared" si="122"/>
        <v>0</v>
      </c>
      <c r="U432" s="472">
        <f>IF(D424&lt;=3,база!$M$4,
IF(D424=4,база!$M$5,
IF(D424=5,база!$M$6)))</f>
        <v>225.09719999999999</v>
      </c>
      <c r="V432" s="390">
        <v>1.4</v>
      </c>
      <c r="W432" s="494">
        <f>SUMIFS(Таблица1[Столбец1],Таблица1[коэф],"1,4",Таблица1[р/р],"3/24",Таблица1[Ф. И. О.],B429)</f>
        <v>0</v>
      </c>
      <c r="X432" s="492">
        <f t="shared" si="123"/>
        <v>0</v>
      </c>
      <c r="Y432" s="795"/>
      <c r="Z432" s="797"/>
      <c r="AA432" s="786"/>
    </row>
    <row r="433" spans="1:29" ht="18.75">
      <c r="A433" s="786"/>
      <c r="B433" s="216"/>
      <c r="C433" s="789"/>
      <c r="D433" s="792"/>
      <c r="E433" s="393"/>
      <c r="F433" s="390"/>
      <c r="G433" s="400"/>
      <c r="H433" s="392">
        <f t="shared" si="120"/>
        <v>0</v>
      </c>
      <c r="I433" s="389"/>
      <c r="J433" s="390"/>
      <c r="K433" s="434"/>
      <c r="L433" s="395">
        <f t="shared" si="121"/>
        <v>0</v>
      </c>
      <c r="M433" s="432"/>
      <c r="N433" s="434"/>
      <c r="O433" s="434"/>
      <c r="P433" s="434"/>
      <c r="Q433" s="399">
        <f>база!$L$5</f>
        <v>231.45480000000001</v>
      </c>
      <c r="R433" s="390">
        <v>1.4</v>
      </c>
      <c r="S433" s="491">
        <f>SUMIFS(Таблица1[Столбец1],Таблица1[коэф],"1,4",Таблица1[р/р],"4/16",Таблица1[Ф. И. О.],B429)</f>
        <v>0</v>
      </c>
      <c r="T433" s="492">
        <f t="shared" si="122"/>
        <v>0</v>
      </c>
      <c r="U433" s="472">
        <f>база!$M$5</f>
        <v>247.41720000000001</v>
      </c>
      <c r="V433" s="390">
        <v>1.4</v>
      </c>
      <c r="W433" s="494">
        <f>SUMIFS(Таблица1[Столбец1],Таблица1[коэф],"1,4",Таблица1[р/р],"4/24",Таблица1[Ф. И. О.],B429)</f>
        <v>0</v>
      </c>
      <c r="X433" s="492">
        <f t="shared" si="123"/>
        <v>0</v>
      </c>
      <c r="Y433" s="795"/>
      <c r="Z433" s="797"/>
      <c r="AA433" s="786"/>
    </row>
    <row r="434" spans="1:29" ht="19.5" thickBot="1">
      <c r="A434" s="787"/>
      <c r="B434" s="203"/>
      <c r="C434" s="790"/>
      <c r="D434" s="793"/>
      <c r="E434" s="463"/>
      <c r="F434" s="464"/>
      <c r="G434" s="465"/>
      <c r="H434" s="468">
        <f t="shared" si="120"/>
        <v>0</v>
      </c>
      <c r="I434" s="473"/>
      <c r="J434" s="464"/>
      <c r="K434" s="457"/>
      <c r="L434" s="458">
        <f t="shared" si="121"/>
        <v>0</v>
      </c>
      <c r="M434" s="466"/>
      <c r="N434" s="457"/>
      <c r="O434" s="457"/>
      <c r="P434" s="457"/>
      <c r="Q434" s="467">
        <f>база!$L$6</f>
        <v>261.04640000000001</v>
      </c>
      <c r="R434" s="464">
        <v>1.4</v>
      </c>
      <c r="S434" s="512">
        <f>SUMIFS(Таблица1[Столбец1],Таблица1[коэф],"1,4",Таблица1[р/р],"5/16",Таблица1[Ф. И. О.],B429)</f>
        <v>0</v>
      </c>
      <c r="T434" s="513">
        <f t="shared" si="122"/>
        <v>0</v>
      </c>
      <c r="U434" s="474">
        <f>база!$M$6</f>
        <v>279.0496</v>
      </c>
      <c r="V434" s="464">
        <v>1.4</v>
      </c>
      <c r="W434" s="501">
        <f>SUMIFS(Таблица1[Столбец1],Таблица1[коэф],"1,4",Таблица1[р/р],"5/24",Таблица1[Ф. И. О.],B429)</f>
        <v>0</v>
      </c>
      <c r="X434" s="513">
        <f t="shared" si="123"/>
        <v>0</v>
      </c>
      <c r="Y434" s="796"/>
      <c r="Z434" s="798"/>
      <c r="AA434" s="787"/>
    </row>
    <row r="435" spans="1:29" ht="18.75" collapsed="1">
      <c r="A435" s="785">
        <v>40</v>
      </c>
      <c r="B435" s="236"/>
      <c r="C435" s="788">
        <f>INDEX(база!$E$2:$E$81, MATCH(B440,база!$B$2:$B$50,0))</f>
        <v>16944</v>
      </c>
      <c r="D435" s="791">
        <f>INDEX(база!$D$2:$D$89, MATCH(B440,база!$B$2:$B$50,0))</f>
        <v>3</v>
      </c>
      <c r="E435" s="451">
        <f>IF(D435&lt;=3,база!$I$4,
IF(D435=4,база!$I$5,
IF(D435=5,база!$I$6)))</f>
        <v>188.7912</v>
      </c>
      <c r="F435" s="417">
        <v>1</v>
      </c>
      <c r="G435" s="418">
        <f>SUMIFS(Таблица1[Столбец1],Таблица1[коэф],"1",Таблица1[р/р],"2/4",Таблица1[Ф. И. О.],B440)</f>
        <v>0</v>
      </c>
      <c r="H435" s="402">
        <f t="shared" ref="H435:H445" si="126">ROUND(E435*F435*G435*2,2)</f>
        <v>0</v>
      </c>
      <c r="I435" s="377">
        <f>IF(D435&lt;=3,база!$J$4,
IF(D435=4,база!$J$5,
IF(D435=5,база!$J$6)))</f>
        <v>196.05240000000001</v>
      </c>
      <c r="J435" s="378">
        <v>1</v>
      </c>
      <c r="K435" s="428">
        <f>SUMIFS(Таблица1[Столбец1],Таблица1[коэф],"1",Таблица1[р/р],"2/8",Таблица1[Ф. И. О.],B440)</f>
        <v>0</v>
      </c>
      <c r="L435" s="383">
        <f t="shared" ref="L435:L445" si="127">ROUND(I435*J435*K435*2,2)</f>
        <v>0</v>
      </c>
      <c r="M435" s="452"/>
      <c r="N435" s="453">
        <v>1</v>
      </c>
      <c r="O435" s="453">
        <f>SUMIFS(Data_Tech!$AM$3:$AM$67,Data_Tech!$E$3:$E$67,"1",Data_Tech!$G$3:$G$67,"3/12",Data_Tech!$F$3:$F$67,B440)</f>
        <v>0</v>
      </c>
      <c r="P435" s="453">
        <f>ROUND(M435*N435*O435,2)</f>
        <v>0</v>
      </c>
      <c r="Q435" s="416">
        <f>IF(D435&lt;=3,база!$L$4,
IF(D435=4,база!$L$5,
IF(D435=5,база!$L$6)))</f>
        <v>210.57480000000001</v>
      </c>
      <c r="R435" s="417">
        <v>1</v>
      </c>
      <c r="S435" s="495">
        <f>SUMIFS(Таблица1[Столбец1],Таблица1[коэф],"1",Таблица1[р/р],"3/16",Таблица1[Ф. И. О.],B440)</f>
        <v>0</v>
      </c>
      <c r="T435" s="490">
        <f t="shared" ref="T435:T445" si="128">ROUND(Q435*R435*S435*2,2)</f>
        <v>0</v>
      </c>
      <c r="U435" s="471">
        <f>IF(D435&lt;=3,база!$M$4,
IF(D435=4,база!$M$5,
IF(D435=5,база!$M$6)))</f>
        <v>225.09719999999999</v>
      </c>
      <c r="V435" s="378">
        <v>1</v>
      </c>
      <c r="W435" s="497">
        <f>SUMIFS(Таблица1[Столбец1],Таблица1[коэф],"1",Таблица1[р/р],"3/24",Таблица1[Ф. И. О.],B440)</f>
        <v>0</v>
      </c>
      <c r="X435" s="490">
        <f t="shared" ref="X435:X445" si="129">ROUND(U435*V435*W435*2,2)</f>
        <v>0</v>
      </c>
      <c r="Y435" s="795">
        <f t="shared" ref="Y435" si="130">SUM(G435:G445,K435:K445,O435:O445,S435:S445,W435:W445)</f>
        <v>0</v>
      </c>
      <c r="Z435" s="797">
        <f t="shared" ref="Z435" si="131">IFERROR(SUM(H435:H445,L435:L445,T435:T445,X435:X445),"")</f>
        <v>0</v>
      </c>
      <c r="AA435" s="786"/>
    </row>
    <row r="436" spans="1:29" ht="18.75">
      <c r="A436" s="786"/>
      <c r="B436" s="216"/>
      <c r="C436" s="789"/>
      <c r="D436" s="792"/>
      <c r="E436" s="393">
        <f>IF(D435&lt;=3,база!$I$4,
IF(D435=4,база!$I$5,
IF(D435=5,база!$I$6)))</f>
        <v>188.7912</v>
      </c>
      <c r="F436" s="390">
        <v>1</v>
      </c>
      <c r="G436" s="400">
        <f>SUMIFS(Таблица1[Столбец1],Таблица1[коэф],"1",Таблица1[р/р],"3/4",Таблица1[Ф. И. О.],B440)</f>
        <v>0</v>
      </c>
      <c r="H436" s="392">
        <f t="shared" si="126"/>
        <v>0</v>
      </c>
      <c r="I436" s="389">
        <f>IF(D435&lt;=3,база!$J$4,
IF(D435=4,база!$J$5,
IF(D435=5,база!$J$6)))</f>
        <v>196.05240000000001</v>
      </c>
      <c r="J436" s="390">
        <v>1</v>
      </c>
      <c r="K436" s="434">
        <f>SUMIFS(Таблица1[Столбец1],Таблица1[коэф],"1",Таблица1[р/р],"3/8",Таблица1[Ф. И. О.],B440)</f>
        <v>0</v>
      </c>
      <c r="L436" s="484">
        <f t="shared" si="127"/>
        <v>0</v>
      </c>
      <c r="M436" s="432"/>
      <c r="N436" s="434">
        <v>1</v>
      </c>
      <c r="O436" s="434">
        <f>SUMIFS(Data_Tech!$AM$3:$AM$67,Data_Tech!$E$3:$E$67,"1",Data_Tech!$G$3:$G$67,"4/12",Data_Tech!$F$3:$F$67,B440)</f>
        <v>0</v>
      </c>
      <c r="P436" s="434">
        <f>ROUND(M436*O436,2)</f>
        <v>0</v>
      </c>
      <c r="Q436" s="399">
        <f>база!$L$5</f>
        <v>231.45480000000001</v>
      </c>
      <c r="R436" s="390">
        <v>1</v>
      </c>
      <c r="S436" s="491">
        <f>SUMIFS(Таблица1[Столбец1],Таблица1[коэф],"1",Таблица1[р/р],"4/16",Таблица1[Ф. И. О.],B440)</f>
        <v>0</v>
      </c>
      <c r="T436" s="492">
        <f t="shared" si="128"/>
        <v>0</v>
      </c>
      <c r="U436" s="472">
        <f>база!$M$5</f>
        <v>247.41720000000001</v>
      </c>
      <c r="V436" s="390">
        <v>1</v>
      </c>
      <c r="W436" s="494">
        <f>SUMIFS(Таблица1[Столбец1],Таблица1[коэф],"1",Таблица1[р/р],"4/24",Таблица1[Ф. И. О.],B440)</f>
        <v>0</v>
      </c>
      <c r="X436" s="492">
        <f t="shared" si="129"/>
        <v>0</v>
      </c>
      <c r="Y436" s="795"/>
      <c r="Z436" s="797"/>
      <c r="AA436" s="786"/>
    </row>
    <row r="437" spans="1:29" ht="18.75">
      <c r="A437" s="786"/>
      <c r="B437" s="216"/>
      <c r="C437" s="789"/>
      <c r="D437" s="792"/>
      <c r="E437" s="393"/>
      <c r="F437" s="390"/>
      <c r="G437" s="400"/>
      <c r="H437" s="392">
        <f t="shared" si="126"/>
        <v>0</v>
      </c>
      <c r="I437" s="389"/>
      <c r="J437" s="390"/>
      <c r="K437" s="434"/>
      <c r="L437" s="484">
        <f t="shared" si="127"/>
        <v>0</v>
      </c>
      <c r="M437" s="432"/>
      <c r="N437" s="434"/>
      <c r="O437" s="434"/>
      <c r="P437" s="434"/>
      <c r="Q437" s="399">
        <f>база!$L$6</f>
        <v>261.04640000000001</v>
      </c>
      <c r="R437" s="390">
        <v>1</v>
      </c>
      <c r="S437" s="491">
        <f>SUMIFS(Таблица1[Столбец1],Таблица1[коэф],"1",Таблица1[р/р],"5/16",Таблица1[Ф. И. О.],B440)</f>
        <v>0</v>
      </c>
      <c r="T437" s="492">
        <f t="shared" si="128"/>
        <v>0</v>
      </c>
      <c r="U437" s="472">
        <f>база!$M$6</f>
        <v>279.0496</v>
      </c>
      <c r="V437" s="390">
        <v>1</v>
      </c>
      <c r="W437" s="494">
        <f>SUMIFS(Таблица1[Столбец1],Таблица1[коэф],"1",Таблица1[р/р],"5/24",Таблица1[Ф. И. О.],B440)</f>
        <v>0</v>
      </c>
      <c r="X437" s="492">
        <f t="shared" si="129"/>
        <v>0</v>
      </c>
      <c r="Y437" s="795"/>
      <c r="Z437" s="797"/>
      <c r="AA437" s="786"/>
    </row>
    <row r="438" spans="1:29" ht="18.75">
      <c r="A438" s="786"/>
      <c r="B438" s="216"/>
      <c r="C438" s="789"/>
      <c r="D438" s="792"/>
      <c r="E438" s="393"/>
      <c r="F438" s="390"/>
      <c r="G438" s="400"/>
      <c r="H438" s="392">
        <f t="shared" si="126"/>
        <v>0</v>
      </c>
      <c r="I438" s="389">
        <f>база!$J$5</f>
        <v>215.4924</v>
      </c>
      <c r="J438" s="390">
        <v>1.5</v>
      </c>
      <c r="K438" s="434">
        <f>SUMIFS(Таблица1[Столбец1],Таблица1[коэф],"1,5",Таблица1[р/р],"4/8",Таблица1[Ф. И. О.],B440)</f>
        <v>0</v>
      </c>
      <c r="L438" s="484">
        <f t="shared" si="127"/>
        <v>0</v>
      </c>
      <c r="M438" s="432"/>
      <c r="N438" s="434"/>
      <c r="O438" s="434"/>
      <c r="P438" s="434"/>
      <c r="Q438" s="399">
        <f>IF(D435&lt;=3,база!$L$4,
IF(D435=4,база!$L$5,
IF(D435=5,база!$L$6)))</f>
        <v>210.57480000000001</v>
      </c>
      <c r="R438" s="390">
        <v>1.2</v>
      </c>
      <c r="S438" s="491">
        <f>SUMIFS(Таблица1[Столбец1],Таблица1[коэф],"1,2",Таблица1[р/р],"3/16",Таблица1[Ф. И. О.],B440)</f>
        <v>0</v>
      </c>
      <c r="T438" s="492">
        <f t="shared" si="128"/>
        <v>0</v>
      </c>
      <c r="U438" s="472">
        <f>IF(D435&lt;=3,база!$M$4,
IF(D435=4,база!$M$5,
IF(D435=5,база!$M$6)))</f>
        <v>225.09719999999999</v>
      </c>
      <c r="V438" s="390">
        <v>1.2</v>
      </c>
      <c r="W438" s="494">
        <f>SUMIFS(Таблица1[Столбец1],Таблица1[коэф],"1,2",Таблица1[р/р],"3/24",Таблица1[Ф. И. О.],B440)</f>
        <v>0</v>
      </c>
      <c r="X438" s="492">
        <f t="shared" si="129"/>
        <v>0</v>
      </c>
      <c r="Y438" s="795"/>
      <c r="Z438" s="797"/>
      <c r="AA438" s="786"/>
    </row>
    <row r="439" spans="1:29" ht="18.75">
      <c r="A439" s="786"/>
      <c r="B439" s="216"/>
      <c r="C439" s="789"/>
      <c r="D439" s="792"/>
      <c r="E439" s="393"/>
      <c r="F439" s="390"/>
      <c r="G439" s="400"/>
      <c r="H439" s="392">
        <f t="shared" si="126"/>
        <v>0</v>
      </c>
      <c r="I439" s="389">
        <f>база!$J$6</f>
        <v>243.04319999999998</v>
      </c>
      <c r="J439" s="390">
        <v>1.5</v>
      </c>
      <c r="K439" s="434">
        <f>SUMIFS(Таблица1[Столбец1],Таблица1[коэф],"1,5",Таблица1[р/р],"5/8",Таблица1[Ф. И. О.],B440)</f>
        <v>0</v>
      </c>
      <c r="L439" s="484">
        <f t="shared" si="127"/>
        <v>0</v>
      </c>
      <c r="M439" s="432"/>
      <c r="N439" s="434"/>
      <c r="O439" s="434"/>
      <c r="P439" s="434"/>
      <c r="Q439" s="399">
        <f>база!$L$5</f>
        <v>231.45480000000001</v>
      </c>
      <c r="R439" s="390">
        <v>1.2</v>
      </c>
      <c r="S439" s="491">
        <f>SUMIFS(Таблица1[Столбец1],Таблица1[коэф],"1,2",Таблица1[р/р],"4/16",Таблица1[Ф. И. О.],B440)</f>
        <v>0</v>
      </c>
      <c r="T439" s="492">
        <f t="shared" si="128"/>
        <v>0</v>
      </c>
      <c r="U439" s="472">
        <f>база!$M$5</f>
        <v>247.41720000000001</v>
      </c>
      <c r="V439" s="390">
        <v>1.2</v>
      </c>
      <c r="W439" s="494">
        <f>SUMIFS(Таблица1[Столбец1],Таблица1[коэф],"1,2",Таблица1[р/р],"4/24",Таблица1[Ф. И. О.],B440)</f>
        <v>0</v>
      </c>
      <c r="X439" s="492">
        <f t="shared" si="129"/>
        <v>0</v>
      </c>
      <c r="Y439" s="795"/>
      <c r="Z439" s="797"/>
      <c r="AA439" s="786"/>
    </row>
    <row r="440" spans="1:29" ht="18" customHeight="1">
      <c r="A440" s="786"/>
      <c r="B440" s="216" t="str">
        <f>база!B41</f>
        <v>Кравченко Светлана Александровна</v>
      </c>
      <c r="C440" s="789"/>
      <c r="D440" s="792"/>
      <c r="E440" s="393"/>
      <c r="F440" s="390"/>
      <c r="G440" s="400"/>
      <c r="H440" s="392">
        <f t="shared" si="126"/>
        <v>0</v>
      </c>
      <c r="I440" s="389"/>
      <c r="J440" s="390"/>
      <c r="K440" s="434"/>
      <c r="L440" s="484">
        <f t="shared" si="127"/>
        <v>0</v>
      </c>
      <c r="M440" s="432"/>
      <c r="N440" s="434"/>
      <c r="O440" s="434"/>
      <c r="P440" s="434"/>
      <c r="Q440" s="399">
        <f>база!$L$6</f>
        <v>261.04640000000001</v>
      </c>
      <c r="R440" s="390">
        <v>1.2</v>
      </c>
      <c r="S440" s="491">
        <f>SUMIFS(Таблица1[Столбец1],Таблица1[коэф],"1,2",Таблица1[р/р],"5/16",Таблица1[Ф. И. О.],B440)</f>
        <v>0</v>
      </c>
      <c r="T440" s="492">
        <f t="shared" si="128"/>
        <v>0</v>
      </c>
      <c r="U440" s="472">
        <f>база!$M$6</f>
        <v>279.0496</v>
      </c>
      <c r="V440" s="390">
        <v>1.2</v>
      </c>
      <c r="W440" s="494">
        <f>SUMIFS(Таблица1[Столбец1],Таблица1[коэф],"1,2",Таблица1[р/р],"5/24",Таблица1[Ф. И. О.],B440)</f>
        <v>0</v>
      </c>
      <c r="X440" s="492">
        <f t="shared" si="129"/>
        <v>0</v>
      </c>
      <c r="Y440" s="795"/>
      <c r="Z440" s="797"/>
      <c r="AA440" s="786"/>
      <c r="AC440" s="727" t="str">
        <f>IF(SUMIFS(Таблица1[Столбец3],Таблица1[Ф. И. О.],B440)-Z435=0,"",SUMIFS(Таблица1[Столбец3],Таблица1[Ф. И. О.],B440)-Z435)</f>
        <v/>
      </c>
    </row>
    <row r="441" spans="1:29" ht="18.75">
      <c r="A441" s="786"/>
      <c r="B441" s="216"/>
      <c r="C441" s="789"/>
      <c r="D441" s="792"/>
      <c r="E441" s="393"/>
      <c r="F441" s="390"/>
      <c r="G441" s="400"/>
      <c r="H441" s="392">
        <f t="shared" si="126"/>
        <v>0</v>
      </c>
      <c r="I441" s="389"/>
      <c r="J441" s="390"/>
      <c r="K441" s="434"/>
      <c r="L441" s="484">
        <f t="shared" si="127"/>
        <v>0</v>
      </c>
      <c r="M441" s="432"/>
      <c r="N441" s="434"/>
      <c r="O441" s="434"/>
      <c r="P441" s="434"/>
      <c r="Q441" s="399">
        <f>IF(D435&lt;=3,база!$L$4,
IF(D435=4,база!$L$5,
IF(D435=5,база!$L$6)))</f>
        <v>210.57480000000001</v>
      </c>
      <c r="R441" s="390">
        <v>1.3</v>
      </c>
      <c r="S441" s="491">
        <f>SUMIFS(Таблица1[Столбец1],Таблица1[коэф],"1,3",Таблица1[р/р],"3/16",Таблица1[Ф. И. О.],B440)</f>
        <v>0</v>
      </c>
      <c r="T441" s="492">
        <f t="shared" si="128"/>
        <v>0</v>
      </c>
      <c r="U441" s="472">
        <f>IF(D435&lt;=3,база!$M$4,
IF(D435=4,база!$M$5,
IF(D435=5,база!$M$6)))</f>
        <v>225.09719999999999</v>
      </c>
      <c r="V441" s="390">
        <v>1.3</v>
      </c>
      <c r="W441" s="494">
        <f>SUMIFS(Таблица1[Столбец1],Таблица1[коэф],"1,3",Таблица1[р/р],"3/24",Таблица1[Ф. И. О.],B440)</f>
        <v>0</v>
      </c>
      <c r="X441" s="492">
        <f t="shared" si="129"/>
        <v>0</v>
      </c>
      <c r="Y441" s="795"/>
      <c r="Z441" s="797"/>
      <c r="AA441" s="786"/>
      <c r="AC441" s="727" t="str">
        <f>IF(SUMIFS(Таблица1[Столбец1],Таблица1[Ф. И. О.],B440)=Y435,"",B440&amp;"  часы не верны")</f>
        <v/>
      </c>
    </row>
    <row r="442" spans="1:29" ht="18.75">
      <c r="A442" s="786"/>
      <c r="B442" s="216"/>
      <c r="C442" s="789"/>
      <c r="D442" s="792"/>
      <c r="E442" s="393"/>
      <c r="F442" s="390"/>
      <c r="G442" s="400"/>
      <c r="H442" s="392">
        <f t="shared" si="126"/>
        <v>0</v>
      </c>
      <c r="I442" s="389"/>
      <c r="J442" s="390"/>
      <c r="K442" s="434"/>
      <c r="L442" s="484">
        <f t="shared" si="127"/>
        <v>0</v>
      </c>
      <c r="M442" s="432"/>
      <c r="N442" s="434"/>
      <c r="O442" s="434"/>
      <c r="P442" s="434"/>
      <c r="Q442" s="399">
        <f>база!$L$5</f>
        <v>231.45480000000001</v>
      </c>
      <c r="R442" s="390">
        <v>1.3</v>
      </c>
      <c r="S442" s="491">
        <f>SUMIFS(Таблица1[Столбец1],Таблица1[коэф],"1,3",Таблица1[р/р],"4/16",Таблица1[Ф. И. О.],B440)</f>
        <v>0</v>
      </c>
      <c r="T442" s="492">
        <f t="shared" si="128"/>
        <v>0</v>
      </c>
      <c r="U442" s="472">
        <f>база!$M$5</f>
        <v>247.41720000000001</v>
      </c>
      <c r="V442" s="390">
        <v>1.3</v>
      </c>
      <c r="W442" s="494">
        <f>SUMIFS(Таблица1[Столбец1],Таблица1[коэф],"1,3",Таблица1[р/р],"4/24",Таблица1[Ф. И. О.],B440)</f>
        <v>0</v>
      </c>
      <c r="X442" s="492">
        <f t="shared" si="129"/>
        <v>0</v>
      </c>
      <c r="Y442" s="795"/>
      <c r="Z442" s="797"/>
      <c r="AA442" s="786"/>
    </row>
    <row r="443" spans="1:29" ht="18.75">
      <c r="A443" s="786"/>
      <c r="B443" s="216"/>
      <c r="C443" s="789"/>
      <c r="D443" s="792"/>
      <c r="E443" s="393"/>
      <c r="F443" s="390"/>
      <c r="G443" s="400"/>
      <c r="H443" s="392">
        <f t="shared" si="126"/>
        <v>0</v>
      </c>
      <c r="I443" s="389"/>
      <c r="J443" s="390"/>
      <c r="K443" s="434"/>
      <c r="L443" s="484">
        <f t="shared" si="127"/>
        <v>0</v>
      </c>
      <c r="M443" s="432"/>
      <c r="N443" s="434"/>
      <c r="O443" s="434"/>
      <c r="P443" s="434"/>
      <c r="Q443" s="399">
        <f>IF(D435&lt;=3,база!$L$4,
IF(D435=4,база!$L$5,
IF(D435=5,база!$L$6)))</f>
        <v>210.57480000000001</v>
      </c>
      <c r="R443" s="390">
        <v>1.4</v>
      </c>
      <c r="S443" s="491">
        <f>SUMIFS(Таблица1[Столбец1],Таблица1[коэф],"1,4",Таблица1[р/р],"3/16",Таблица1[Ф. И. О.],B440)</f>
        <v>0</v>
      </c>
      <c r="T443" s="492">
        <f t="shared" si="128"/>
        <v>0</v>
      </c>
      <c r="U443" s="472">
        <f>IF(D435&lt;=3,база!$M$4,
IF(D435=4,база!$M$5,
IF(D435=5,база!$M$6)))</f>
        <v>225.09719999999999</v>
      </c>
      <c r="V443" s="390">
        <v>1.4</v>
      </c>
      <c r="W443" s="494">
        <f>SUMIFS(Таблица1[Столбец1],Таблица1[коэф],"1,4",Таблица1[р/р],"3/24",Таблица1[Ф. И. О.],B440)</f>
        <v>0</v>
      </c>
      <c r="X443" s="492">
        <f t="shared" si="129"/>
        <v>0</v>
      </c>
      <c r="Y443" s="795"/>
      <c r="Z443" s="797"/>
      <c r="AA443" s="786"/>
    </row>
    <row r="444" spans="1:29" ht="18.75">
      <c r="A444" s="786"/>
      <c r="B444" s="216"/>
      <c r="C444" s="789"/>
      <c r="D444" s="792"/>
      <c r="E444" s="393"/>
      <c r="F444" s="390"/>
      <c r="G444" s="400"/>
      <c r="H444" s="392">
        <f t="shared" si="126"/>
        <v>0</v>
      </c>
      <c r="I444" s="389"/>
      <c r="J444" s="390"/>
      <c r="K444" s="434"/>
      <c r="L444" s="395">
        <f t="shared" si="127"/>
        <v>0</v>
      </c>
      <c r="M444" s="432"/>
      <c r="N444" s="434"/>
      <c r="O444" s="434"/>
      <c r="P444" s="434"/>
      <c r="Q444" s="399">
        <f>база!$L$5</f>
        <v>231.45480000000001</v>
      </c>
      <c r="R444" s="390">
        <v>1.4</v>
      </c>
      <c r="S444" s="491">
        <f>SUMIFS(Таблица1[Столбец1],Таблица1[коэф],"1,4",Таблица1[р/р],"4/16",Таблица1[Ф. И. О.],B440)</f>
        <v>0</v>
      </c>
      <c r="T444" s="492">
        <f t="shared" si="128"/>
        <v>0</v>
      </c>
      <c r="U444" s="472">
        <f>база!$M$5</f>
        <v>247.41720000000001</v>
      </c>
      <c r="V444" s="390">
        <v>1.4</v>
      </c>
      <c r="W444" s="494">
        <f>SUMIFS(Таблица1[Столбец1],Таблица1[коэф],"1,4",Таблица1[р/р],"4/24",Таблица1[Ф. И. О.],B440)</f>
        <v>0</v>
      </c>
      <c r="X444" s="492">
        <f t="shared" si="129"/>
        <v>0</v>
      </c>
      <c r="Y444" s="795"/>
      <c r="Z444" s="797"/>
      <c r="AA444" s="786"/>
    </row>
    <row r="445" spans="1:29" ht="19.5" thickBot="1">
      <c r="A445" s="787"/>
      <c r="B445" s="203"/>
      <c r="C445" s="790"/>
      <c r="D445" s="793"/>
      <c r="E445" s="463"/>
      <c r="F445" s="464"/>
      <c r="G445" s="465"/>
      <c r="H445" s="468">
        <f t="shared" si="126"/>
        <v>0</v>
      </c>
      <c r="I445" s="473"/>
      <c r="J445" s="464"/>
      <c r="K445" s="457"/>
      <c r="L445" s="458">
        <f t="shared" si="127"/>
        <v>0</v>
      </c>
      <c r="M445" s="466"/>
      <c r="N445" s="457"/>
      <c r="O445" s="457"/>
      <c r="P445" s="457"/>
      <c r="Q445" s="467">
        <f>база!$L$6</f>
        <v>261.04640000000001</v>
      </c>
      <c r="R445" s="464">
        <v>1.4</v>
      </c>
      <c r="S445" s="512">
        <f>SUMIFS(Таблица1[Столбец1],Таблица1[коэф],"1,4",Таблица1[р/р],"5/16",Таблица1[Ф. И. О.],B440)</f>
        <v>0</v>
      </c>
      <c r="T445" s="513">
        <f t="shared" si="128"/>
        <v>0</v>
      </c>
      <c r="U445" s="474">
        <f>база!$M$6</f>
        <v>279.0496</v>
      </c>
      <c r="V445" s="464">
        <v>1.4</v>
      </c>
      <c r="W445" s="501">
        <f>SUMIFS(Таблица1[Столбец1],Таблица1[коэф],"1,4",Таблица1[р/р],"5/24",Таблица1[Ф. И. О.],B440)</f>
        <v>0</v>
      </c>
      <c r="X445" s="513">
        <f t="shared" si="129"/>
        <v>0</v>
      </c>
      <c r="Y445" s="796"/>
      <c r="Z445" s="798"/>
      <c r="AA445" s="787"/>
    </row>
    <row r="446" spans="1:29" ht="16.5" customHeight="1" collapsed="1">
      <c r="A446" s="785">
        <v>41</v>
      </c>
      <c r="B446" s="236"/>
      <c r="C446" s="788">
        <f>INDEX(база!$E$2:$E$81, MATCH(B451,база!$B$2:$B$50,0))</f>
        <v>17281</v>
      </c>
      <c r="D446" s="791">
        <f>INDEX(база!$D$2:$D$89, MATCH(B451,база!$B$2:$B$50,0))</f>
        <v>3</v>
      </c>
      <c r="E446" s="451">
        <f>IF(D446&lt;=3,база!$I$4,
IF(D446=4,база!$I$5,
IF(D446=5,база!$I$6)))</f>
        <v>188.7912</v>
      </c>
      <c r="F446" s="417">
        <v>1</v>
      </c>
      <c r="G446" s="418">
        <f>SUMIFS(Таблица1[Столбец1],Таблица1[коэф],"1",Таблица1[р/р],"2/4",Таблица1[Ф. И. О.],B451)</f>
        <v>0</v>
      </c>
      <c r="H446" s="402">
        <f t="shared" ref="H446:H456" si="132">ROUND(E446*F446*G446*2,2)</f>
        <v>0</v>
      </c>
      <c r="I446" s="377">
        <f>IF(D446&lt;=3,база!$J$4,
IF(D446=4,база!$J$5,
IF(D446=5,база!$J$6)))</f>
        <v>196.05240000000001</v>
      </c>
      <c r="J446" s="378">
        <v>1</v>
      </c>
      <c r="K446" s="428">
        <f>SUMIFS(Таблица1[Столбец1],Таблица1[коэф],"1",Таблица1[р/р],"2/8",Таблица1[Ф. И. О.],B451)</f>
        <v>0</v>
      </c>
      <c r="L446" s="383">
        <f t="shared" ref="L446:L456" si="133">ROUND(I446*J446*K446*2,2)</f>
        <v>0</v>
      </c>
      <c r="M446" s="452"/>
      <c r="N446" s="453">
        <v>1</v>
      </c>
      <c r="O446" s="453">
        <f>SUMIFS(Data_Tech!$AM$3:$AM$67,Data_Tech!$E$3:$E$67,"1",Data_Tech!$G$3:$G$67,"3/12",Data_Tech!$F$3:$F$67,B451)</f>
        <v>0</v>
      </c>
      <c r="P446" s="453">
        <f>ROUND(M446*N446*O446,2)</f>
        <v>0</v>
      </c>
      <c r="Q446" s="416">
        <f>IF(D446&lt;=3,база!$L$4,
IF(D446=4,база!$L$5,
IF(D446=5,база!$L$6)))</f>
        <v>210.57480000000001</v>
      </c>
      <c r="R446" s="417">
        <v>1</v>
      </c>
      <c r="S446" s="495">
        <f>SUMIFS(Таблица1[Столбец1],Таблица1[коэф],"1",Таблица1[р/р],"3/16",Таблица1[Ф. И. О.],B451)</f>
        <v>0</v>
      </c>
      <c r="T446" s="490">
        <f t="shared" ref="T446:T456" si="134">ROUND(Q446*R446*S446*2,2)</f>
        <v>0</v>
      </c>
      <c r="U446" s="471">
        <f>IF(D446&lt;=3,база!$M$4,
IF(D446=4,база!$M$5,
IF(D446=5,база!$M$6)))</f>
        <v>225.09719999999999</v>
      </c>
      <c r="V446" s="378">
        <v>1</v>
      </c>
      <c r="W446" s="497">
        <f>SUMIFS(Таблица1[Столбец1],Таблица1[коэф],"1",Таблица1[р/р],"3/24",Таблица1[Ф. И. О.],B451)</f>
        <v>0</v>
      </c>
      <c r="X446" s="490">
        <f t="shared" ref="X446:X456" si="135">ROUND(U446*V446*W446*2,2)</f>
        <v>0</v>
      </c>
      <c r="Y446" s="795">
        <f t="shared" ref="Y446" si="136">SUM(G446:G456,K446:K456,O446:O456,S446:S456,W446:W456)</f>
        <v>0</v>
      </c>
      <c r="Z446" s="797">
        <f t="shared" ref="Z446" si="137">IFERROR(SUM(H446:H456,L446:L456,T446:T456,X446:X456),"")</f>
        <v>0</v>
      </c>
      <c r="AA446" s="786"/>
    </row>
    <row r="447" spans="1:29" ht="16.5" customHeight="1">
      <c r="A447" s="786"/>
      <c r="B447" s="216"/>
      <c r="C447" s="789"/>
      <c r="D447" s="792"/>
      <c r="E447" s="393">
        <f>IF(D446&lt;=3,база!$I$4,
IF(D446=4,база!$I$5,
IF(D446=5,база!$I$6)))</f>
        <v>188.7912</v>
      </c>
      <c r="F447" s="390">
        <v>1</v>
      </c>
      <c r="G447" s="400">
        <f>SUMIFS(Таблица1[Столбец1],Таблица1[коэф],"1",Таблица1[р/р],"3/4",Таблица1[Ф. И. О.],B451)</f>
        <v>0</v>
      </c>
      <c r="H447" s="392">
        <f t="shared" si="132"/>
        <v>0</v>
      </c>
      <c r="I447" s="389">
        <f>IF(D446&lt;=3,база!$J$4,
IF(D446=4,база!$J$5,
IF(D446=5,база!$J$6)))</f>
        <v>196.05240000000001</v>
      </c>
      <c r="J447" s="390">
        <v>1</v>
      </c>
      <c r="K447" s="434">
        <f>SUMIFS(Таблица1[Столбец1],Таблица1[коэф],"1",Таблица1[р/р],"3/8",Таблица1[Ф. И. О.],B451)</f>
        <v>0</v>
      </c>
      <c r="L447" s="484">
        <f t="shared" si="133"/>
        <v>0</v>
      </c>
      <c r="M447" s="432"/>
      <c r="N447" s="434">
        <v>1</v>
      </c>
      <c r="O447" s="434">
        <f>SUMIFS(Data_Tech!$AM$3:$AM$67,Data_Tech!$E$3:$E$67,"1",Data_Tech!$G$3:$G$67,"4/12",Data_Tech!$F$3:$F$67,B451)</f>
        <v>0</v>
      </c>
      <c r="P447" s="434">
        <f>ROUND(M447*O447,2)</f>
        <v>0</v>
      </c>
      <c r="Q447" s="399">
        <f>база!$L$5</f>
        <v>231.45480000000001</v>
      </c>
      <c r="R447" s="390">
        <v>1</v>
      </c>
      <c r="S447" s="491">
        <f>SUMIFS(Таблица1[Столбец1],Таблица1[коэф],"1",Таблица1[р/р],"4/16",Таблица1[Ф. И. О.],B451)</f>
        <v>0</v>
      </c>
      <c r="T447" s="492">
        <f t="shared" si="134"/>
        <v>0</v>
      </c>
      <c r="U447" s="472">
        <f>база!$M$5</f>
        <v>247.41720000000001</v>
      </c>
      <c r="V447" s="390">
        <v>1</v>
      </c>
      <c r="W447" s="494">
        <f>SUMIFS(Таблица1[Столбец1],Таблица1[коэф],"1",Таблица1[р/р],"4/24",Таблица1[Ф. И. О.],B451)</f>
        <v>0</v>
      </c>
      <c r="X447" s="492">
        <f t="shared" si="135"/>
        <v>0</v>
      </c>
      <c r="Y447" s="795"/>
      <c r="Z447" s="797"/>
      <c r="AA447" s="786"/>
    </row>
    <row r="448" spans="1:29" ht="16.5" customHeight="1">
      <c r="A448" s="786"/>
      <c r="B448" s="216"/>
      <c r="C448" s="789"/>
      <c r="D448" s="792"/>
      <c r="E448" s="393"/>
      <c r="F448" s="390"/>
      <c r="G448" s="400"/>
      <c r="H448" s="392">
        <f t="shared" si="132"/>
        <v>0</v>
      </c>
      <c r="I448" s="389"/>
      <c r="J448" s="390"/>
      <c r="K448" s="434"/>
      <c r="L448" s="484">
        <f t="shared" si="133"/>
        <v>0</v>
      </c>
      <c r="M448" s="432"/>
      <c r="N448" s="434"/>
      <c r="O448" s="434"/>
      <c r="P448" s="434"/>
      <c r="Q448" s="399">
        <f>база!$L$6</f>
        <v>261.04640000000001</v>
      </c>
      <c r="R448" s="390">
        <v>1</v>
      </c>
      <c r="S448" s="491">
        <f>SUMIFS(Таблица1[Столбец1],Таблица1[коэф],"1",Таблица1[р/р],"5/16",Таблица1[Ф. И. О.],B451)</f>
        <v>0</v>
      </c>
      <c r="T448" s="492">
        <f t="shared" si="134"/>
        <v>0</v>
      </c>
      <c r="U448" s="472">
        <f>база!$M$6</f>
        <v>279.0496</v>
      </c>
      <c r="V448" s="390">
        <v>1</v>
      </c>
      <c r="W448" s="494">
        <f>SUMIFS(Таблица1[Столбец1],Таблица1[коэф],"1",Таблица1[р/р],"5/24",Таблица1[Ф. И. О.],B451)</f>
        <v>0</v>
      </c>
      <c r="X448" s="492">
        <f t="shared" si="135"/>
        <v>0</v>
      </c>
      <c r="Y448" s="795"/>
      <c r="Z448" s="797"/>
      <c r="AA448" s="786"/>
    </row>
    <row r="449" spans="1:29" ht="16.5" customHeight="1">
      <c r="A449" s="786"/>
      <c r="B449" s="216"/>
      <c r="C449" s="789"/>
      <c r="D449" s="792"/>
      <c r="E449" s="393"/>
      <c r="F449" s="390"/>
      <c r="G449" s="400"/>
      <c r="H449" s="392">
        <f t="shared" si="132"/>
        <v>0</v>
      </c>
      <c r="I449" s="389">
        <f>база!$J$5</f>
        <v>215.4924</v>
      </c>
      <c r="J449" s="390">
        <v>1.5</v>
      </c>
      <c r="K449" s="434">
        <f>SUMIFS(Таблица1[Столбец1],Таблица1[коэф],"1,5",Таблица1[р/р],"4/8",Таблица1[Ф. И. О.],B451)</f>
        <v>0</v>
      </c>
      <c r="L449" s="484">
        <f t="shared" si="133"/>
        <v>0</v>
      </c>
      <c r="M449" s="432"/>
      <c r="N449" s="434"/>
      <c r="O449" s="434"/>
      <c r="P449" s="434"/>
      <c r="Q449" s="399">
        <f>IF(D446&lt;=3,база!$L$4,
IF(D446=4,база!$L$5,
IF(D446=5,база!$L$6)))</f>
        <v>210.57480000000001</v>
      </c>
      <c r="R449" s="390">
        <v>1.2</v>
      </c>
      <c r="S449" s="491">
        <f>SUMIFS(Таблица1[Столбец1],Таблица1[коэф],"1,2",Таблица1[р/р],"3/16",Таблица1[Ф. И. О.],B451)</f>
        <v>0</v>
      </c>
      <c r="T449" s="492">
        <f t="shared" si="134"/>
        <v>0</v>
      </c>
      <c r="U449" s="472">
        <f>IF(D446&lt;=3,база!$M$4,
IF(D446=4,база!$M$5,
IF(D446=5,база!$M$6)))</f>
        <v>225.09719999999999</v>
      </c>
      <c r="V449" s="390">
        <v>1.2</v>
      </c>
      <c r="W449" s="494">
        <f>SUMIFS(Таблица1[Столбец1],Таблица1[коэф],"1,2",Таблица1[р/р],"3/24",Таблица1[Ф. И. О.],B451)</f>
        <v>0</v>
      </c>
      <c r="X449" s="492">
        <f t="shared" si="135"/>
        <v>0</v>
      </c>
      <c r="Y449" s="795"/>
      <c r="Z449" s="797"/>
      <c r="AA449" s="786"/>
    </row>
    <row r="450" spans="1:29" ht="16.5" customHeight="1">
      <c r="A450" s="786"/>
      <c r="B450" s="216"/>
      <c r="C450" s="789"/>
      <c r="D450" s="792"/>
      <c r="E450" s="393"/>
      <c r="F450" s="390"/>
      <c r="G450" s="400"/>
      <c r="H450" s="392">
        <f t="shared" si="132"/>
        <v>0</v>
      </c>
      <c r="I450" s="389">
        <f>база!$J$6</f>
        <v>243.04319999999998</v>
      </c>
      <c r="J450" s="390">
        <v>1.5</v>
      </c>
      <c r="K450" s="434">
        <f>SUMIFS(Таблица1[Столбец1],Таблица1[коэф],"1,5",Таблица1[р/р],"5/8",Таблица1[Ф. И. О.],B451)</f>
        <v>0</v>
      </c>
      <c r="L450" s="484">
        <f t="shared" si="133"/>
        <v>0</v>
      </c>
      <c r="M450" s="432"/>
      <c r="N450" s="434"/>
      <c r="O450" s="434"/>
      <c r="P450" s="434"/>
      <c r="Q450" s="399">
        <f>база!$L$5</f>
        <v>231.45480000000001</v>
      </c>
      <c r="R450" s="390">
        <v>1.2</v>
      </c>
      <c r="S450" s="491">
        <f>SUMIFS(Таблица1[Столбец1],Таблица1[коэф],"1,2",Таблица1[р/р],"4/16",Таблица1[Ф. И. О.],B451)</f>
        <v>0</v>
      </c>
      <c r="T450" s="492">
        <f t="shared" si="134"/>
        <v>0</v>
      </c>
      <c r="U450" s="472">
        <f>база!$M$5</f>
        <v>247.41720000000001</v>
      </c>
      <c r="V450" s="390">
        <v>1.2</v>
      </c>
      <c r="W450" s="494">
        <f>SUMIFS(Таблица1[Столбец1],Таблица1[коэф],"1,2",Таблица1[р/р],"4/24",Таблица1[Ф. И. О.],B451)</f>
        <v>0</v>
      </c>
      <c r="X450" s="492">
        <f t="shared" si="135"/>
        <v>0</v>
      </c>
      <c r="Y450" s="795"/>
      <c r="Z450" s="797"/>
      <c r="AA450" s="786"/>
    </row>
    <row r="451" spans="1:29" ht="16.5" customHeight="1">
      <c r="A451" s="786"/>
      <c r="B451" s="216" t="str">
        <f>база!B42</f>
        <v>Лапина Елена Сергеевна</v>
      </c>
      <c r="C451" s="789"/>
      <c r="D451" s="792"/>
      <c r="E451" s="393"/>
      <c r="F451" s="390"/>
      <c r="G451" s="400"/>
      <c r="H451" s="392">
        <f t="shared" si="132"/>
        <v>0</v>
      </c>
      <c r="I451" s="389"/>
      <c r="J451" s="390"/>
      <c r="K451" s="434"/>
      <c r="L451" s="484">
        <f t="shared" si="133"/>
        <v>0</v>
      </c>
      <c r="M451" s="432"/>
      <c r="N451" s="434"/>
      <c r="O451" s="434"/>
      <c r="P451" s="434"/>
      <c r="Q451" s="399">
        <f>база!$L$6</f>
        <v>261.04640000000001</v>
      </c>
      <c r="R451" s="390">
        <v>1.2</v>
      </c>
      <c r="S451" s="491">
        <f>SUMIFS(Таблица1[Столбец1],Таблица1[коэф],"1,2",Таблица1[р/р],"5/16",Таблица1[Ф. И. О.],B451)</f>
        <v>0</v>
      </c>
      <c r="T451" s="492">
        <f t="shared" si="134"/>
        <v>0</v>
      </c>
      <c r="U451" s="472">
        <f>база!$M$6</f>
        <v>279.0496</v>
      </c>
      <c r="V451" s="390">
        <v>1.2</v>
      </c>
      <c r="W451" s="494">
        <f>SUMIFS(Таблица1[Столбец1],Таблица1[коэф],"1,2",Таблица1[р/р],"5/24",Таблица1[Ф. И. О.],B451)</f>
        <v>0</v>
      </c>
      <c r="X451" s="492">
        <f t="shared" si="135"/>
        <v>0</v>
      </c>
      <c r="Y451" s="795"/>
      <c r="Z451" s="797"/>
      <c r="AA451" s="786"/>
      <c r="AC451" s="727" t="str">
        <f>IF(SUMIFS(Таблица1[Столбец3],Таблица1[Ф. И. О.],B451)-Z446=0,"",SUMIFS(Таблица1[Столбец3],Таблица1[Ф. И. О.],B451)-Z446)</f>
        <v/>
      </c>
    </row>
    <row r="452" spans="1:29" ht="16.5" customHeight="1">
      <c r="A452" s="786"/>
      <c r="B452" s="216"/>
      <c r="C452" s="789"/>
      <c r="D452" s="792"/>
      <c r="E452" s="393"/>
      <c r="F452" s="390"/>
      <c r="G452" s="400"/>
      <c r="H452" s="392">
        <f t="shared" si="132"/>
        <v>0</v>
      </c>
      <c r="I452" s="389"/>
      <c r="J452" s="390"/>
      <c r="K452" s="434"/>
      <c r="L452" s="484">
        <f t="shared" si="133"/>
        <v>0</v>
      </c>
      <c r="M452" s="432"/>
      <c r="N452" s="434"/>
      <c r="O452" s="434"/>
      <c r="P452" s="434"/>
      <c r="Q452" s="399">
        <f>IF(D446&lt;=3,база!$L$4,
IF(D446=4,база!$L$5,
IF(D446=5,база!$L$6)))</f>
        <v>210.57480000000001</v>
      </c>
      <c r="R452" s="390">
        <v>1.3</v>
      </c>
      <c r="S452" s="491">
        <f>SUMIFS(Таблица1[Столбец1],Таблица1[коэф],"1,3",Таблица1[р/р],"3/16",Таблица1[Ф. И. О.],B451)</f>
        <v>0</v>
      </c>
      <c r="T452" s="492">
        <f t="shared" si="134"/>
        <v>0</v>
      </c>
      <c r="U452" s="472">
        <f>IF(D446&lt;=3,база!$M$4,
IF(D446=4,база!$M$5,
IF(D446=5,база!$M$6)))</f>
        <v>225.09719999999999</v>
      </c>
      <c r="V452" s="390">
        <v>1.3</v>
      </c>
      <c r="W452" s="494">
        <f>SUMIFS(Таблица1[Столбец1],Таблица1[коэф],"1,3",Таблица1[р/р],"3/24",Таблица1[Ф. И. О.],B451)</f>
        <v>0</v>
      </c>
      <c r="X452" s="492">
        <f t="shared" si="135"/>
        <v>0</v>
      </c>
      <c r="Y452" s="795"/>
      <c r="Z452" s="797"/>
      <c r="AA452" s="786"/>
      <c r="AC452" s="727" t="str">
        <f>IF(SUMIFS(Таблица1[Столбец1],Таблица1[Ф. И. О.],B451)=Y446,"",B451&amp;"  часы не верны")</f>
        <v/>
      </c>
    </row>
    <row r="453" spans="1:29" ht="16.5" customHeight="1">
      <c r="A453" s="786"/>
      <c r="B453" s="216"/>
      <c r="C453" s="789"/>
      <c r="D453" s="792"/>
      <c r="E453" s="393"/>
      <c r="F453" s="390"/>
      <c r="G453" s="400"/>
      <c r="H453" s="392">
        <f t="shared" si="132"/>
        <v>0</v>
      </c>
      <c r="I453" s="389"/>
      <c r="J453" s="390"/>
      <c r="K453" s="434"/>
      <c r="L453" s="484">
        <f t="shared" si="133"/>
        <v>0</v>
      </c>
      <c r="M453" s="432"/>
      <c r="N453" s="434"/>
      <c r="O453" s="434"/>
      <c r="P453" s="434"/>
      <c r="Q453" s="399">
        <f>база!$L$5</f>
        <v>231.45480000000001</v>
      </c>
      <c r="R453" s="390">
        <v>1.3</v>
      </c>
      <c r="S453" s="491">
        <f>SUMIFS(Таблица1[Столбец1],Таблица1[коэф],"1,3",Таблица1[р/р],"4/16",Таблица1[Ф. И. О.],B451)</f>
        <v>0</v>
      </c>
      <c r="T453" s="492">
        <f t="shared" si="134"/>
        <v>0</v>
      </c>
      <c r="U453" s="472">
        <f>база!$M$5</f>
        <v>247.41720000000001</v>
      </c>
      <c r="V453" s="390">
        <v>1.3</v>
      </c>
      <c r="W453" s="494">
        <f>SUMIFS(Таблица1[Столбец1],Таблица1[коэф],"1,3",Таблица1[р/р],"4/24",Таблица1[Ф. И. О.],B451)</f>
        <v>0</v>
      </c>
      <c r="X453" s="492">
        <f t="shared" si="135"/>
        <v>0</v>
      </c>
      <c r="Y453" s="795"/>
      <c r="Z453" s="797"/>
      <c r="AA453" s="786"/>
    </row>
    <row r="454" spans="1:29" ht="16.5" customHeight="1">
      <c r="A454" s="786"/>
      <c r="B454" s="216"/>
      <c r="C454" s="789"/>
      <c r="D454" s="792"/>
      <c r="E454" s="393"/>
      <c r="F454" s="390"/>
      <c r="G454" s="400"/>
      <c r="H454" s="392">
        <f t="shared" si="132"/>
        <v>0</v>
      </c>
      <c r="I454" s="389"/>
      <c r="J454" s="390"/>
      <c r="K454" s="434"/>
      <c r="L454" s="484">
        <f t="shared" si="133"/>
        <v>0</v>
      </c>
      <c r="M454" s="432"/>
      <c r="N454" s="434"/>
      <c r="O454" s="434"/>
      <c r="P454" s="434"/>
      <c r="Q454" s="399">
        <f>IF(D446&lt;=3,база!$L$4,
IF(D446=4,база!$L$5,
IF(D446=5,база!$L$6)))</f>
        <v>210.57480000000001</v>
      </c>
      <c r="R454" s="390">
        <v>1.4</v>
      </c>
      <c r="S454" s="491">
        <f>SUMIFS(Таблица1[Столбец1],Таблица1[коэф],"1,4",Таблица1[р/р],"3/16",Таблица1[Ф. И. О.],B451)</f>
        <v>0</v>
      </c>
      <c r="T454" s="492">
        <f t="shared" si="134"/>
        <v>0</v>
      </c>
      <c r="U454" s="472">
        <f>IF(D446&lt;=3,база!$M$4,
IF(D446=4,база!$M$5,
IF(D446=5,база!$M$6)))</f>
        <v>225.09719999999999</v>
      </c>
      <c r="V454" s="390">
        <v>1.4</v>
      </c>
      <c r="W454" s="494">
        <f>SUMIFS(Таблица1[Столбец1],Таблица1[коэф],"1,4",Таблица1[р/р],"3/24",Таблица1[Ф. И. О.],B451)</f>
        <v>0</v>
      </c>
      <c r="X454" s="492">
        <f t="shared" si="135"/>
        <v>0</v>
      </c>
      <c r="Y454" s="795"/>
      <c r="Z454" s="797"/>
      <c r="AA454" s="786"/>
    </row>
    <row r="455" spans="1:29" ht="16.5" customHeight="1">
      <c r="A455" s="786"/>
      <c r="B455" s="216"/>
      <c r="C455" s="789"/>
      <c r="D455" s="792"/>
      <c r="E455" s="393"/>
      <c r="F455" s="390"/>
      <c r="G455" s="400"/>
      <c r="H455" s="392">
        <f t="shared" si="132"/>
        <v>0</v>
      </c>
      <c r="I455" s="389"/>
      <c r="J455" s="390"/>
      <c r="K455" s="434"/>
      <c r="L455" s="395">
        <f t="shared" si="133"/>
        <v>0</v>
      </c>
      <c r="M455" s="432"/>
      <c r="N455" s="434"/>
      <c r="O455" s="434"/>
      <c r="P455" s="434"/>
      <c r="Q455" s="399">
        <f>база!$L$5</f>
        <v>231.45480000000001</v>
      </c>
      <c r="R455" s="390">
        <v>1.4</v>
      </c>
      <c r="S455" s="491">
        <f>SUMIFS(Таблица1[Столбец1],Таблица1[коэф],"1,4",Таблица1[р/р],"4/16",Таблица1[Ф. И. О.],B451)</f>
        <v>0</v>
      </c>
      <c r="T455" s="492">
        <f t="shared" si="134"/>
        <v>0</v>
      </c>
      <c r="U455" s="472">
        <f>база!$M$5</f>
        <v>247.41720000000001</v>
      </c>
      <c r="V455" s="390">
        <v>1.4</v>
      </c>
      <c r="W455" s="494">
        <f>SUMIFS(Таблица1[Столбец1],Таблица1[коэф],"1,4",Таблица1[р/р],"4/24",Таблица1[Ф. И. О.],B451)</f>
        <v>0</v>
      </c>
      <c r="X455" s="492">
        <f t="shared" si="135"/>
        <v>0</v>
      </c>
      <c r="Y455" s="795"/>
      <c r="Z455" s="797"/>
      <c r="AA455" s="786"/>
    </row>
    <row r="456" spans="1:29" ht="16.5" customHeight="1" thickBot="1">
      <c r="A456" s="787"/>
      <c r="B456" s="203"/>
      <c r="C456" s="790"/>
      <c r="D456" s="793"/>
      <c r="E456" s="463"/>
      <c r="F456" s="464"/>
      <c r="G456" s="465"/>
      <c r="H456" s="468">
        <f t="shared" si="132"/>
        <v>0</v>
      </c>
      <c r="I456" s="473"/>
      <c r="J456" s="464"/>
      <c r="K456" s="457"/>
      <c r="L456" s="458">
        <f t="shared" si="133"/>
        <v>0</v>
      </c>
      <c r="M456" s="466"/>
      <c r="N456" s="457"/>
      <c r="O456" s="457"/>
      <c r="P456" s="457"/>
      <c r="Q456" s="467">
        <f>база!$L$6</f>
        <v>261.04640000000001</v>
      </c>
      <c r="R456" s="464">
        <v>1.4</v>
      </c>
      <c r="S456" s="512">
        <f>SUMIFS(Таблица1[Столбец1],Таблица1[коэф],"1,4",Таблица1[р/р],"5/16",Таблица1[Ф. И. О.],B451)</f>
        <v>0</v>
      </c>
      <c r="T456" s="513">
        <f t="shared" si="134"/>
        <v>0</v>
      </c>
      <c r="U456" s="474">
        <f>база!$M$6</f>
        <v>279.0496</v>
      </c>
      <c r="V456" s="464">
        <v>1.4</v>
      </c>
      <c r="W456" s="501">
        <f>SUMIFS(Таблица1[Столбец1],Таблица1[коэф],"1,4",Таблица1[р/р],"5/24",Таблица1[Ф. И. О.],B451)</f>
        <v>0</v>
      </c>
      <c r="X456" s="513">
        <f t="shared" si="135"/>
        <v>0</v>
      </c>
      <c r="Y456" s="796"/>
      <c r="Z456" s="798"/>
      <c r="AA456" s="787"/>
    </row>
    <row r="457" spans="1:29" ht="16.5" customHeight="1" collapsed="1">
      <c r="A457" s="785">
        <v>42</v>
      </c>
      <c r="B457" s="236"/>
      <c r="C457" s="788">
        <f>INDEX(база!$E$2:$E$81, MATCH(B462,база!$B$2:$B$50,0))</f>
        <v>17303</v>
      </c>
      <c r="D457" s="791">
        <f>INDEX(база!$D$2:$D$89, MATCH(B462,база!$B$2:$B$50,0))</f>
        <v>3</v>
      </c>
      <c r="E457" s="451">
        <f>IF(D457&lt;=3,база!$I$4,
IF(D457=4,база!$I$5,
IF(D457=5,база!$I$6)))</f>
        <v>188.7912</v>
      </c>
      <c r="F457" s="417">
        <v>1</v>
      </c>
      <c r="G457" s="418">
        <f>SUMIFS(Таблица1[Столбец1],Таблица1[коэф],"1",Таблица1[р/р],"2/4",Таблица1[Ф. И. О.],B462)</f>
        <v>0</v>
      </c>
      <c r="H457" s="402">
        <f t="shared" ref="H457:H467" si="138">ROUND(E457*F457*G457*2,2)</f>
        <v>0</v>
      </c>
      <c r="I457" s="377">
        <f>IF(D457&lt;=3,база!$J$4,
IF(D457=4,база!$J$5,
IF(D457=5,база!$J$6)))</f>
        <v>196.05240000000001</v>
      </c>
      <c r="J457" s="378">
        <v>1</v>
      </c>
      <c r="K457" s="428">
        <f>SUMIFS(Таблица1[Столбец1],Таблица1[коэф],"1",Таблица1[р/р],"2/8",Таблица1[Ф. И. О.],B462)</f>
        <v>0</v>
      </c>
      <c r="L457" s="383">
        <f t="shared" ref="L457:L467" si="139">ROUND(I457*J457*K457*2,2)</f>
        <v>0</v>
      </c>
      <c r="M457" s="452"/>
      <c r="N457" s="453">
        <v>1</v>
      </c>
      <c r="O457" s="453">
        <f>SUMIFS(Data_Tech!$AM$3:$AM$67,Data_Tech!$E$3:$E$67,"1",Data_Tech!$G$3:$G$67,"3/12",Data_Tech!$F$3:$F$67,B462)</f>
        <v>0</v>
      </c>
      <c r="P457" s="453">
        <f>ROUND(M457*N457*O457,2)</f>
        <v>0</v>
      </c>
      <c r="Q457" s="416">
        <f>IF(D457&lt;=3,база!$L$4,
IF(D457=4,база!$L$5,
IF(D457=5,база!$L$6)))</f>
        <v>210.57480000000001</v>
      </c>
      <c r="R457" s="417">
        <v>1</v>
      </c>
      <c r="S457" s="495">
        <f>SUMIFS(Таблица1[Столбец1],Таблица1[коэф],"1",Таблица1[р/р],"3/16",Таблица1[Ф. И. О.],B462)</f>
        <v>0</v>
      </c>
      <c r="T457" s="490">
        <f t="shared" ref="T457:T467" si="140">ROUND(Q457*R457*S457*2,2)</f>
        <v>0</v>
      </c>
      <c r="U457" s="471">
        <f>IF(D457&lt;=3,база!$M$4,
IF(D457=4,база!$M$5,
IF(D457=5,база!$M$6)))</f>
        <v>225.09719999999999</v>
      </c>
      <c r="V457" s="378">
        <v>1</v>
      </c>
      <c r="W457" s="497">
        <f>SUMIFS(Таблица1[Столбец1],Таблица1[коэф],"1",Таблица1[р/р],"3/24",Таблица1[Ф. И. О.],B462)</f>
        <v>0</v>
      </c>
      <c r="X457" s="490">
        <f t="shared" ref="X457:X467" si="141">ROUND(U457*V457*W457*2,2)</f>
        <v>0</v>
      </c>
      <c r="Y457" s="795">
        <f t="shared" ref="Y457" si="142">SUM(G457:G467,K457:K467,O457:O467,S457:S467,W457:W467)</f>
        <v>0</v>
      </c>
      <c r="Z457" s="797">
        <f t="shared" ref="Z457" si="143">IFERROR(SUM(H457:H467,L457:L467,T457:T467,X457:X467),"")</f>
        <v>0</v>
      </c>
      <c r="AA457" s="786"/>
    </row>
    <row r="458" spans="1:29" ht="16.5" customHeight="1">
      <c r="A458" s="786"/>
      <c r="B458" s="216"/>
      <c r="C458" s="789"/>
      <c r="D458" s="792"/>
      <c r="E458" s="393">
        <f>IF(D457&lt;=3,база!$I$4,
IF(D457=4,база!$I$5,
IF(D457=5,база!$I$6)))</f>
        <v>188.7912</v>
      </c>
      <c r="F458" s="390">
        <v>1</v>
      </c>
      <c r="G458" s="400">
        <f>SUMIFS(Таблица1[Столбец1],Таблица1[коэф],"1",Таблица1[р/р],"3/4",Таблица1[Ф. И. О.],B462)</f>
        <v>0</v>
      </c>
      <c r="H458" s="392">
        <f t="shared" si="138"/>
        <v>0</v>
      </c>
      <c r="I458" s="389">
        <f>IF(D457&lt;=3,база!$J$4,
IF(D457=4,база!$J$5,
IF(D457=5,база!$J$6)))</f>
        <v>196.05240000000001</v>
      </c>
      <c r="J458" s="390">
        <v>1</v>
      </c>
      <c r="K458" s="434">
        <f>SUMIFS(Таблица1[Столбец1],Таблица1[коэф],"1",Таблица1[р/р],"3/8",Таблица1[Ф. И. О.],B462)</f>
        <v>0</v>
      </c>
      <c r="L458" s="484">
        <f t="shared" si="139"/>
        <v>0</v>
      </c>
      <c r="M458" s="432"/>
      <c r="N458" s="434">
        <v>1</v>
      </c>
      <c r="O458" s="434">
        <f>SUMIFS(Data_Tech!$AM$3:$AM$67,Data_Tech!$E$3:$E$67,"1",Data_Tech!$G$3:$G$67,"4/12",Data_Tech!$F$3:$F$67,B462)</f>
        <v>0</v>
      </c>
      <c r="P458" s="434">
        <f>ROUND(M458*O458,2)</f>
        <v>0</v>
      </c>
      <c r="Q458" s="399">
        <f>база!$L$5</f>
        <v>231.45480000000001</v>
      </c>
      <c r="R458" s="390">
        <v>1</v>
      </c>
      <c r="S458" s="491">
        <f>SUMIFS(Таблица1[Столбец1],Таблица1[коэф],"1",Таблица1[р/р],"4/16",Таблица1[Ф. И. О.],B462)</f>
        <v>0</v>
      </c>
      <c r="T458" s="492">
        <f t="shared" si="140"/>
        <v>0</v>
      </c>
      <c r="U458" s="472">
        <f>база!$M$5</f>
        <v>247.41720000000001</v>
      </c>
      <c r="V458" s="390">
        <v>1</v>
      </c>
      <c r="W458" s="494">
        <f>SUMIFS(Таблица1[Столбец1],Таблица1[коэф],"1",Таблица1[р/р],"4/24",Таблица1[Ф. И. О.],B462)</f>
        <v>0</v>
      </c>
      <c r="X458" s="492">
        <f t="shared" si="141"/>
        <v>0</v>
      </c>
      <c r="Y458" s="795"/>
      <c r="Z458" s="797"/>
      <c r="AA458" s="786"/>
    </row>
    <row r="459" spans="1:29" ht="16.5" customHeight="1">
      <c r="A459" s="786"/>
      <c r="B459" s="216"/>
      <c r="C459" s="789"/>
      <c r="D459" s="792"/>
      <c r="E459" s="393"/>
      <c r="F459" s="390"/>
      <c r="G459" s="400"/>
      <c r="H459" s="392">
        <f t="shared" si="138"/>
        <v>0</v>
      </c>
      <c r="I459" s="389"/>
      <c r="J459" s="390"/>
      <c r="K459" s="434"/>
      <c r="L459" s="484">
        <f t="shared" si="139"/>
        <v>0</v>
      </c>
      <c r="M459" s="432"/>
      <c r="N459" s="434"/>
      <c r="O459" s="434"/>
      <c r="P459" s="434"/>
      <c r="Q459" s="399">
        <f>база!$L$6</f>
        <v>261.04640000000001</v>
      </c>
      <c r="R459" s="390">
        <v>1</v>
      </c>
      <c r="S459" s="491">
        <f>SUMIFS(Таблица1[Столбец1],Таблица1[коэф],"1",Таблица1[р/р],"5/16",Таблица1[Ф. И. О.],B462)</f>
        <v>0</v>
      </c>
      <c r="T459" s="492">
        <f t="shared" si="140"/>
        <v>0</v>
      </c>
      <c r="U459" s="472">
        <f>база!$M$6</f>
        <v>279.0496</v>
      </c>
      <c r="V459" s="390">
        <v>1</v>
      </c>
      <c r="W459" s="494">
        <f>SUMIFS(Таблица1[Столбец1],Таблица1[коэф],"1",Таблица1[р/р],"5/24",Таблица1[Ф. И. О.],B462)</f>
        <v>0</v>
      </c>
      <c r="X459" s="492">
        <f t="shared" si="141"/>
        <v>0</v>
      </c>
      <c r="Y459" s="795"/>
      <c r="Z459" s="797"/>
      <c r="AA459" s="786"/>
    </row>
    <row r="460" spans="1:29" ht="16.5" customHeight="1">
      <c r="A460" s="786"/>
      <c r="B460" s="216"/>
      <c r="C460" s="789"/>
      <c r="D460" s="792"/>
      <c r="E460" s="393"/>
      <c r="F460" s="390"/>
      <c r="G460" s="400"/>
      <c r="H460" s="392">
        <f t="shared" si="138"/>
        <v>0</v>
      </c>
      <c r="I460" s="389">
        <f>база!$J$5</f>
        <v>215.4924</v>
      </c>
      <c r="J460" s="390">
        <v>1.5</v>
      </c>
      <c r="K460" s="434">
        <f>SUMIFS(Таблица1[Столбец1],Таблица1[коэф],"1,5",Таблица1[р/р],"4/8",Таблица1[Ф. И. О.],B462)</f>
        <v>0</v>
      </c>
      <c r="L460" s="484">
        <f t="shared" si="139"/>
        <v>0</v>
      </c>
      <c r="M460" s="432"/>
      <c r="N460" s="434"/>
      <c r="O460" s="434"/>
      <c r="P460" s="434"/>
      <c r="Q460" s="399">
        <f>IF(D457&lt;=3,база!$L$4,
IF(D457=4,база!$L$5,
IF(D457=5,база!$L$6)))</f>
        <v>210.57480000000001</v>
      </c>
      <c r="R460" s="390">
        <v>1.2</v>
      </c>
      <c r="S460" s="491">
        <f>SUMIFS(Таблица1[Столбец1],Таблица1[коэф],"1,2",Таблица1[р/р],"3/16",Таблица1[Ф. И. О.],B462)</f>
        <v>0</v>
      </c>
      <c r="T460" s="492">
        <f t="shared" si="140"/>
        <v>0</v>
      </c>
      <c r="U460" s="472">
        <f>IF(D457&lt;=3,база!$M$4,
IF(D457=4,база!$M$5,
IF(D457=5,база!$M$6)))</f>
        <v>225.09719999999999</v>
      </c>
      <c r="V460" s="390">
        <v>1.2</v>
      </c>
      <c r="W460" s="494">
        <f>SUMIFS(Таблица1[Столбец1],Таблица1[коэф],"1,2",Таблица1[р/р],"3/24",Таблица1[Ф. И. О.],B462)</f>
        <v>0</v>
      </c>
      <c r="X460" s="492">
        <f t="shared" si="141"/>
        <v>0</v>
      </c>
      <c r="Y460" s="795"/>
      <c r="Z460" s="797"/>
      <c r="AA460" s="786"/>
    </row>
    <row r="461" spans="1:29" ht="16.5" customHeight="1">
      <c r="A461" s="786"/>
      <c r="B461" s="216"/>
      <c r="C461" s="789"/>
      <c r="D461" s="792"/>
      <c r="E461" s="393"/>
      <c r="F461" s="390"/>
      <c r="G461" s="400"/>
      <c r="H461" s="392">
        <f t="shared" si="138"/>
        <v>0</v>
      </c>
      <c r="I461" s="389">
        <f>база!$J$6</f>
        <v>243.04319999999998</v>
      </c>
      <c r="J461" s="390">
        <v>1.5</v>
      </c>
      <c r="K461" s="434">
        <f>SUMIFS(Таблица1[Столбец1],Таблица1[коэф],"1,5",Таблица1[р/р],"5/8",Таблица1[Ф. И. О.],B462)</f>
        <v>0</v>
      </c>
      <c r="L461" s="484">
        <f t="shared" si="139"/>
        <v>0</v>
      </c>
      <c r="M461" s="432"/>
      <c r="N461" s="434"/>
      <c r="O461" s="434"/>
      <c r="P461" s="434"/>
      <c r="Q461" s="399">
        <f>база!$L$5</f>
        <v>231.45480000000001</v>
      </c>
      <c r="R461" s="390">
        <v>1.2</v>
      </c>
      <c r="S461" s="491">
        <f>SUMIFS(Таблица1[Столбец1],Таблица1[коэф],"1,2",Таблица1[р/р],"4/16",Таблица1[Ф. И. О.],B462)</f>
        <v>0</v>
      </c>
      <c r="T461" s="492">
        <f t="shared" si="140"/>
        <v>0</v>
      </c>
      <c r="U461" s="472">
        <f>база!$M$5</f>
        <v>247.41720000000001</v>
      </c>
      <c r="V461" s="390">
        <v>1.2</v>
      </c>
      <c r="W461" s="494">
        <f>SUMIFS(Таблица1[Столбец1],Таблица1[коэф],"1,2",Таблица1[р/р],"4/24",Таблица1[Ф. И. О.],B462)</f>
        <v>0</v>
      </c>
      <c r="X461" s="492">
        <f t="shared" si="141"/>
        <v>0</v>
      </c>
      <c r="Y461" s="795"/>
      <c r="Z461" s="797"/>
      <c r="AA461" s="786"/>
    </row>
    <row r="462" spans="1:29" ht="16.5" customHeight="1">
      <c r="A462" s="786"/>
      <c r="B462" s="216" t="str">
        <f>база!B43</f>
        <v>Лезина Анастасия Юрьевна</v>
      </c>
      <c r="C462" s="789"/>
      <c r="D462" s="792"/>
      <c r="E462" s="393"/>
      <c r="F462" s="390"/>
      <c r="G462" s="400"/>
      <c r="H462" s="392">
        <f t="shared" si="138"/>
        <v>0</v>
      </c>
      <c r="I462" s="389"/>
      <c r="J462" s="390"/>
      <c r="K462" s="434"/>
      <c r="L462" s="484">
        <f t="shared" si="139"/>
        <v>0</v>
      </c>
      <c r="M462" s="432"/>
      <c r="N462" s="434"/>
      <c r="O462" s="434"/>
      <c r="P462" s="434"/>
      <c r="Q462" s="399">
        <f>база!$L$6</f>
        <v>261.04640000000001</v>
      </c>
      <c r="R462" s="390">
        <v>1.2</v>
      </c>
      <c r="S462" s="491">
        <f>SUMIFS(Таблица1[Столбец1],Таблица1[коэф],"1,2",Таблица1[р/р],"5/16",Таблица1[Ф. И. О.],B462)</f>
        <v>0</v>
      </c>
      <c r="T462" s="492">
        <f t="shared" si="140"/>
        <v>0</v>
      </c>
      <c r="U462" s="472">
        <f>база!$M$6</f>
        <v>279.0496</v>
      </c>
      <c r="V462" s="390">
        <v>1.2</v>
      </c>
      <c r="W462" s="494">
        <f>SUMIFS(Таблица1[Столбец1],Таблица1[коэф],"1,2",Таблица1[р/р],"5/24",Таблица1[Ф. И. О.],B462)</f>
        <v>0</v>
      </c>
      <c r="X462" s="492">
        <f t="shared" si="141"/>
        <v>0</v>
      </c>
      <c r="Y462" s="795"/>
      <c r="Z462" s="797"/>
      <c r="AA462" s="786"/>
      <c r="AC462" s="727" t="str">
        <f>IF(SUMIFS(Таблица1[Столбец3],Таблица1[Ф. И. О.],B462)-Z457=0,"",SUMIFS(Таблица1[Столбец3],Таблица1[Ф. И. О.],B462)-Z457)</f>
        <v/>
      </c>
    </row>
    <row r="463" spans="1:29" ht="16.5" customHeight="1">
      <c r="A463" s="786"/>
      <c r="B463" s="216"/>
      <c r="C463" s="789"/>
      <c r="D463" s="792"/>
      <c r="E463" s="393"/>
      <c r="F463" s="390"/>
      <c r="G463" s="400"/>
      <c r="H463" s="392">
        <f t="shared" si="138"/>
        <v>0</v>
      </c>
      <c r="I463" s="389"/>
      <c r="J463" s="390"/>
      <c r="K463" s="434"/>
      <c r="L463" s="484">
        <f t="shared" si="139"/>
        <v>0</v>
      </c>
      <c r="M463" s="432"/>
      <c r="N463" s="434"/>
      <c r="O463" s="434"/>
      <c r="P463" s="434"/>
      <c r="Q463" s="399">
        <f>IF(D457&lt;=3,база!$L$4,
IF(D457=4,база!$L$5,
IF(D457=5,база!$L$6)))</f>
        <v>210.57480000000001</v>
      </c>
      <c r="R463" s="390">
        <v>1.3</v>
      </c>
      <c r="S463" s="491">
        <f>SUMIFS(Таблица1[Столбец1],Таблица1[коэф],"1,3",Таблица1[р/р],"3/16",Таблица1[Ф. И. О.],B462)</f>
        <v>0</v>
      </c>
      <c r="T463" s="492">
        <f t="shared" si="140"/>
        <v>0</v>
      </c>
      <c r="U463" s="472">
        <f>IF(D457&lt;=3,база!$M$4,
IF(D457=4,база!$M$5,
IF(D457=5,база!$M$6)))</f>
        <v>225.09719999999999</v>
      </c>
      <c r="V463" s="390">
        <v>1.3</v>
      </c>
      <c r="W463" s="494">
        <f>SUMIFS(Таблица1[Столбец1],Таблица1[коэф],"1,3",Таблица1[р/р],"3/24",Таблица1[Ф. И. О.],B462)</f>
        <v>0</v>
      </c>
      <c r="X463" s="492">
        <f t="shared" si="141"/>
        <v>0</v>
      </c>
      <c r="Y463" s="795"/>
      <c r="Z463" s="797"/>
      <c r="AA463" s="786"/>
      <c r="AC463" s="727" t="str">
        <f>IF(SUMIFS(Таблица1[Столбец1],Таблица1[Ф. И. О.],B462)=Y457,"",B462&amp;"  часы не верны")</f>
        <v/>
      </c>
    </row>
    <row r="464" spans="1:29" ht="16.5" customHeight="1">
      <c r="A464" s="786"/>
      <c r="B464" s="216"/>
      <c r="C464" s="789"/>
      <c r="D464" s="792"/>
      <c r="E464" s="393"/>
      <c r="F464" s="390"/>
      <c r="G464" s="400"/>
      <c r="H464" s="392">
        <f t="shared" si="138"/>
        <v>0</v>
      </c>
      <c r="I464" s="389"/>
      <c r="J464" s="390"/>
      <c r="K464" s="434"/>
      <c r="L464" s="484">
        <f t="shared" si="139"/>
        <v>0</v>
      </c>
      <c r="M464" s="432"/>
      <c r="N464" s="434"/>
      <c r="O464" s="434"/>
      <c r="P464" s="434"/>
      <c r="Q464" s="399">
        <f>база!$L$5</f>
        <v>231.45480000000001</v>
      </c>
      <c r="R464" s="390">
        <v>1.3</v>
      </c>
      <c r="S464" s="491">
        <f>SUMIFS(Таблица1[Столбец1],Таблица1[коэф],"1,3",Таблица1[р/р],"4/16",Таблица1[Ф. И. О.],B462)</f>
        <v>0</v>
      </c>
      <c r="T464" s="492">
        <f t="shared" si="140"/>
        <v>0</v>
      </c>
      <c r="U464" s="472">
        <f>база!$M$5</f>
        <v>247.41720000000001</v>
      </c>
      <c r="V464" s="390">
        <v>1.3</v>
      </c>
      <c r="W464" s="494">
        <f>SUMIFS(Таблица1[Столбец1],Таблица1[коэф],"1,3",Таблица1[р/р],"4/24",Таблица1[Ф. И. О.],B462)</f>
        <v>0</v>
      </c>
      <c r="X464" s="492">
        <f t="shared" si="141"/>
        <v>0</v>
      </c>
      <c r="Y464" s="795"/>
      <c r="Z464" s="797"/>
      <c r="AA464" s="786"/>
    </row>
    <row r="465" spans="1:29" ht="16.5" customHeight="1">
      <c r="A465" s="786"/>
      <c r="B465" s="216"/>
      <c r="C465" s="789"/>
      <c r="D465" s="792"/>
      <c r="E465" s="393"/>
      <c r="F465" s="390"/>
      <c r="G465" s="400"/>
      <c r="H465" s="392">
        <f t="shared" si="138"/>
        <v>0</v>
      </c>
      <c r="I465" s="389"/>
      <c r="J465" s="390"/>
      <c r="K465" s="434"/>
      <c r="L465" s="484">
        <f t="shared" si="139"/>
        <v>0</v>
      </c>
      <c r="M465" s="432"/>
      <c r="N465" s="434"/>
      <c r="O465" s="434"/>
      <c r="P465" s="434"/>
      <c r="Q465" s="399">
        <f>IF(D457&lt;=3,база!$L$4,
IF(D457=4,база!$L$5,
IF(D457=5,база!$L$6)))</f>
        <v>210.57480000000001</v>
      </c>
      <c r="R465" s="390">
        <v>1.4</v>
      </c>
      <c r="S465" s="491">
        <f>SUMIFS(Таблица1[Столбец1],Таблица1[коэф],"1,4",Таблица1[р/р],"3/16",Таблица1[Ф. И. О.],B462)</f>
        <v>0</v>
      </c>
      <c r="T465" s="492">
        <f t="shared" si="140"/>
        <v>0</v>
      </c>
      <c r="U465" s="472">
        <f>IF(D457&lt;=3,база!$M$4,
IF(D457=4,база!$M$5,
IF(D457=5,база!$M$6)))</f>
        <v>225.09719999999999</v>
      </c>
      <c r="V465" s="390">
        <v>1.4</v>
      </c>
      <c r="W465" s="494">
        <f>SUMIFS(Таблица1[Столбец1],Таблица1[коэф],"1,4",Таблица1[р/р],"3/24",Таблица1[Ф. И. О.],B462)</f>
        <v>0</v>
      </c>
      <c r="X465" s="492">
        <f t="shared" si="141"/>
        <v>0</v>
      </c>
      <c r="Y465" s="795"/>
      <c r="Z465" s="797"/>
      <c r="AA465" s="786"/>
    </row>
    <row r="466" spans="1:29" ht="16.5" customHeight="1">
      <c r="A466" s="786"/>
      <c r="B466" s="216"/>
      <c r="C466" s="789"/>
      <c r="D466" s="792"/>
      <c r="E466" s="393"/>
      <c r="F466" s="390"/>
      <c r="G466" s="400"/>
      <c r="H466" s="392">
        <f t="shared" si="138"/>
        <v>0</v>
      </c>
      <c r="I466" s="389"/>
      <c r="J466" s="390"/>
      <c r="K466" s="434"/>
      <c r="L466" s="395">
        <f t="shared" si="139"/>
        <v>0</v>
      </c>
      <c r="M466" s="432"/>
      <c r="N466" s="434"/>
      <c r="O466" s="434"/>
      <c r="P466" s="434"/>
      <c r="Q466" s="399">
        <f>база!$L$5</f>
        <v>231.45480000000001</v>
      </c>
      <c r="R466" s="390">
        <v>1.4</v>
      </c>
      <c r="S466" s="491">
        <f>SUMIFS(Таблица1[Столбец1],Таблица1[коэф],"1,4",Таблица1[р/р],"4/16",Таблица1[Ф. И. О.],B462)</f>
        <v>0</v>
      </c>
      <c r="T466" s="492">
        <f t="shared" si="140"/>
        <v>0</v>
      </c>
      <c r="U466" s="472">
        <f>база!$M$5</f>
        <v>247.41720000000001</v>
      </c>
      <c r="V466" s="390">
        <v>1.4</v>
      </c>
      <c r="W466" s="494">
        <f>SUMIFS(Таблица1[Столбец1],Таблица1[коэф],"1,4",Таблица1[р/р],"4/24",Таблица1[Ф. И. О.],B462)</f>
        <v>0</v>
      </c>
      <c r="X466" s="492">
        <f t="shared" si="141"/>
        <v>0</v>
      </c>
      <c r="Y466" s="795"/>
      <c r="Z466" s="797"/>
      <c r="AA466" s="786"/>
    </row>
    <row r="467" spans="1:29" ht="16.5" customHeight="1" thickBot="1">
      <c r="A467" s="787"/>
      <c r="B467" s="203"/>
      <c r="C467" s="790"/>
      <c r="D467" s="793"/>
      <c r="E467" s="463"/>
      <c r="F467" s="464"/>
      <c r="G467" s="465"/>
      <c r="H467" s="468">
        <f t="shared" si="138"/>
        <v>0</v>
      </c>
      <c r="I467" s="473"/>
      <c r="J467" s="464"/>
      <c r="K467" s="457"/>
      <c r="L467" s="458">
        <f t="shared" si="139"/>
        <v>0</v>
      </c>
      <c r="M467" s="466"/>
      <c r="N467" s="457"/>
      <c r="O467" s="457"/>
      <c r="P467" s="457"/>
      <c r="Q467" s="467">
        <f>база!$L$6</f>
        <v>261.04640000000001</v>
      </c>
      <c r="R467" s="464">
        <v>1.4</v>
      </c>
      <c r="S467" s="512">
        <f>SUMIFS(Таблица1[Столбец1],Таблица1[коэф],"1,4",Таблица1[р/р],"5/16",Таблица1[Ф. И. О.],B462)</f>
        <v>0</v>
      </c>
      <c r="T467" s="513">
        <f t="shared" si="140"/>
        <v>0</v>
      </c>
      <c r="U467" s="474">
        <f>база!$M$6</f>
        <v>279.0496</v>
      </c>
      <c r="V467" s="464">
        <v>1.4</v>
      </c>
      <c r="W467" s="501">
        <f>SUMIFS(Таблица1[Столбец1],Таблица1[коэф],"1,4",Таблица1[р/р],"5/24",Таблица1[Ф. И. О.],B462)</f>
        <v>0</v>
      </c>
      <c r="X467" s="513">
        <f t="shared" si="141"/>
        <v>0</v>
      </c>
      <c r="Y467" s="796"/>
      <c r="Z467" s="798"/>
      <c r="AA467" s="787"/>
    </row>
    <row r="468" spans="1:29" ht="16.5" customHeight="1" collapsed="1">
      <c r="A468" s="785">
        <v>43</v>
      </c>
      <c r="B468" s="236"/>
      <c r="C468" s="788">
        <f>INDEX(база!$E$2:$E$81, MATCH(B473,база!$B$2:$B$50,0))</f>
        <v>17321</v>
      </c>
      <c r="D468" s="791">
        <f>INDEX(база!$D$2:$D$89, MATCH(B473,база!$B$2:$B$50,0))</f>
        <v>3</v>
      </c>
      <c r="E468" s="451">
        <f>IF(D468&lt;=3,база!$I$4,
IF(D468=4,база!$I$5,
IF(D468=5,база!$I$6)))</f>
        <v>188.7912</v>
      </c>
      <c r="F468" s="417">
        <v>1</v>
      </c>
      <c r="G468" s="418">
        <f>SUMIFS(Таблица1[Столбец1],Таблица1[коэф],"1",Таблица1[р/р],"2/4",Таблица1[Ф. И. О.],B473)</f>
        <v>0</v>
      </c>
      <c r="H468" s="402">
        <f t="shared" ref="H468:H478" si="144">ROUND(E468*F468*G468*2,2)</f>
        <v>0</v>
      </c>
      <c r="I468" s="377">
        <f>IF(D468&lt;=3,база!$J$4,
IF(D468=4,база!$J$5,
IF(D468=5,база!$J$6)))</f>
        <v>196.05240000000001</v>
      </c>
      <c r="J468" s="378">
        <v>1</v>
      </c>
      <c r="K468" s="428">
        <f>SUMIFS(Таблица1[Столбец1],Таблица1[коэф],"1",Таблица1[р/р],"2/8",Таблица1[Ф. И. О.],B473)</f>
        <v>0</v>
      </c>
      <c r="L468" s="383">
        <f t="shared" ref="L468:L478" si="145">ROUND(I468*J468*K468*2,2)</f>
        <v>0</v>
      </c>
      <c r="M468" s="452"/>
      <c r="N468" s="453">
        <v>1</v>
      </c>
      <c r="O468" s="453">
        <f>SUMIFS(Data_Tech!$AM$3:$AM$67,Data_Tech!$E$3:$E$67,"1",Data_Tech!$G$3:$G$67,"3/12",Data_Tech!$F$3:$F$67,B473)</f>
        <v>0</v>
      </c>
      <c r="P468" s="453">
        <f>ROUND(M468*N468*O468,2)</f>
        <v>0</v>
      </c>
      <c r="Q468" s="416">
        <f>IF(D468&lt;=3,база!$L$4,
IF(D468=4,база!$L$5,
IF(D468=5,база!$L$6)))</f>
        <v>210.57480000000001</v>
      </c>
      <c r="R468" s="417">
        <v>1</v>
      </c>
      <c r="S468" s="495">
        <f>SUMIFS(Таблица1[Столбец1],Таблица1[коэф],"1",Таблица1[р/р],"3/16",Таблица1[Ф. И. О.],B473)</f>
        <v>0</v>
      </c>
      <c r="T468" s="490">
        <f t="shared" ref="T468:T478" si="146">ROUND(Q468*R468*S468*2,2)</f>
        <v>0</v>
      </c>
      <c r="U468" s="471">
        <f>IF(D468&lt;=3,база!$M$4,
IF(D468=4,база!$M$5,
IF(D468=5,база!$M$6)))</f>
        <v>225.09719999999999</v>
      </c>
      <c r="V468" s="378">
        <v>1</v>
      </c>
      <c r="W468" s="497">
        <f>SUMIFS(Таблица1[Столбец1],Таблица1[коэф],"1",Таблица1[р/р],"3/24",Таблица1[Ф. И. О.],B473)</f>
        <v>0</v>
      </c>
      <c r="X468" s="490">
        <f t="shared" ref="X468:X478" si="147">ROUND(U468*V468*W468*2,2)</f>
        <v>0</v>
      </c>
      <c r="Y468" s="795">
        <f t="shared" ref="Y468" si="148">SUM(G468:G478,K468:K478,O468:O478,S468:S478,W468:W478)</f>
        <v>0</v>
      </c>
      <c r="Z468" s="797">
        <f t="shared" ref="Z468" si="149">IFERROR(SUM(H468:H478,L468:L478,T468:T478,X468:X478),"")</f>
        <v>0</v>
      </c>
      <c r="AA468" s="786"/>
    </row>
    <row r="469" spans="1:29" ht="16.5" customHeight="1">
      <c r="A469" s="786"/>
      <c r="B469" s="216"/>
      <c r="C469" s="789"/>
      <c r="D469" s="792"/>
      <c r="E469" s="393">
        <f>IF(D468&lt;=3,база!$I$4,
IF(D468=4,база!$I$5,
IF(D468=5,база!$I$6)))</f>
        <v>188.7912</v>
      </c>
      <c r="F469" s="390">
        <v>1</v>
      </c>
      <c r="G469" s="400">
        <f>SUMIFS(Таблица1[Столбец1],Таблица1[коэф],"1",Таблица1[р/р],"3/4",Таблица1[Ф. И. О.],B473)</f>
        <v>0</v>
      </c>
      <c r="H469" s="392">
        <f t="shared" si="144"/>
        <v>0</v>
      </c>
      <c r="I469" s="389">
        <f>IF(D468&lt;=3,база!$J$4,
IF(D468=4,база!$J$5,
IF(D468=5,база!$J$6)))</f>
        <v>196.05240000000001</v>
      </c>
      <c r="J469" s="390">
        <v>1</v>
      </c>
      <c r="K469" s="434">
        <f>SUMIFS(Таблица1[Столбец1],Таблица1[коэф],"1",Таблица1[р/р],"3/8",Таблица1[Ф. И. О.],B473)</f>
        <v>0</v>
      </c>
      <c r="L469" s="484">
        <f t="shared" si="145"/>
        <v>0</v>
      </c>
      <c r="M469" s="432"/>
      <c r="N469" s="434">
        <v>1</v>
      </c>
      <c r="O469" s="434">
        <f>SUMIFS(Data_Tech!$AM$3:$AM$67,Data_Tech!$E$3:$E$67,"1",Data_Tech!$G$3:$G$67,"4/12",Data_Tech!$F$3:$F$67,B473)</f>
        <v>0</v>
      </c>
      <c r="P469" s="434">
        <f>ROUND(M469*O469,2)</f>
        <v>0</v>
      </c>
      <c r="Q469" s="399">
        <f>база!$L$5</f>
        <v>231.45480000000001</v>
      </c>
      <c r="R469" s="390">
        <v>1</v>
      </c>
      <c r="S469" s="491">
        <f>SUMIFS(Таблица1[Столбец1],Таблица1[коэф],"1",Таблица1[р/р],"4/16",Таблица1[Ф. И. О.],B473)</f>
        <v>0</v>
      </c>
      <c r="T469" s="492">
        <f t="shared" si="146"/>
        <v>0</v>
      </c>
      <c r="U469" s="472">
        <f>база!$M$5</f>
        <v>247.41720000000001</v>
      </c>
      <c r="V469" s="390">
        <v>1</v>
      </c>
      <c r="W469" s="494">
        <f>SUMIFS(Таблица1[Столбец1],Таблица1[коэф],"1",Таблица1[р/р],"4/24",Таблица1[Ф. И. О.],B473)</f>
        <v>0</v>
      </c>
      <c r="X469" s="492">
        <f t="shared" si="147"/>
        <v>0</v>
      </c>
      <c r="Y469" s="795"/>
      <c r="Z469" s="797"/>
      <c r="AA469" s="786"/>
    </row>
    <row r="470" spans="1:29" ht="16.5" customHeight="1">
      <c r="A470" s="786"/>
      <c r="B470" s="216"/>
      <c r="C470" s="789"/>
      <c r="D470" s="792"/>
      <c r="E470" s="393"/>
      <c r="F470" s="390"/>
      <c r="G470" s="400"/>
      <c r="H470" s="392">
        <f t="shared" si="144"/>
        <v>0</v>
      </c>
      <c r="I470" s="389"/>
      <c r="J470" s="390"/>
      <c r="K470" s="434"/>
      <c r="L470" s="484">
        <f t="shared" si="145"/>
        <v>0</v>
      </c>
      <c r="M470" s="432"/>
      <c r="N470" s="434"/>
      <c r="O470" s="434"/>
      <c r="P470" s="434"/>
      <c r="Q470" s="399">
        <f>база!$L$6</f>
        <v>261.04640000000001</v>
      </c>
      <c r="R470" s="390">
        <v>1</v>
      </c>
      <c r="S470" s="491">
        <f>SUMIFS(Таблица1[Столбец1],Таблица1[коэф],"1",Таблица1[р/р],"5/16",Таблица1[Ф. И. О.],B473)</f>
        <v>0</v>
      </c>
      <c r="T470" s="492">
        <f t="shared" si="146"/>
        <v>0</v>
      </c>
      <c r="U470" s="472">
        <f>база!$M$6</f>
        <v>279.0496</v>
      </c>
      <c r="V470" s="390">
        <v>1</v>
      </c>
      <c r="W470" s="494">
        <f>SUMIFS(Таблица1[Столбец1],Таблица1[коэф],"1",Таблица1[р/р],"5/24",Таблица1[Ф. И. О.],B473)</f>
        <v>0</v>
      </c>
      <c r="X470" s="492">
        <f t="shared" si="147"/>
        <v>0</v>
      </c>
      <c r="Y470" s="795"/>
      <c r="Z470" s="797"/>
      <c r="AA470" s="786"/>
    </row>
    <row r="471" spans="1:29" ht="16.5" customHeight="1">
      <c r="A471" s="786"/>
      <c r="B471" s="216"/>
      <c r="C471" s="789"/>
      <c r="D471" s="792"/>
      <c r="E471" s="393"/>
      <c r="F471" s="390"/>
      <c r="G471" s="400"/>
      <c r="H471" s="392">
        <f t="shared" si="144"/>
        <v>0</v>
      </c>
      <c r="I471" s="389">
        <f>база!$J$5</f>
        <v>215.4924</v>
      </c>
      <c r="J471" s="390">
        <v>1.5</v>
      </c>
      <c r="K471" s="434">
        <f>SUMIFS(Таблица1[Столбец1],Таблица1[коэф],"1,5",Таблица1[р/р],"4/8",Таблица1[Ф. И. О.],B473)</f>
        <v>0</v>
      </c>
      <c r="L471" s="484">
        <f t="shared" si="145"/>
        <v>0</v>
      </c>
      <c r="M471" s="432"/>
      <c r="N471" s="434"/>
      <c r="O471" s="434"/>
      <c r="P471" s="434"/>
      <c r="Q471" s="399">
        <f>IF(D468&lt;=3,база!$L$4,
IF(D468=4,база!$L$5,
IF(D468=5,база!$L$6)))</f>
        <v>210.57480000000001</v>
      </c>
      <c r="R471" s="390">
        <v>1.2</v>
      </c>
      <c r="S471" s="491">
        <f>SUMIFS(Таблица1[Столбец1],Таблица1[коэф],"1,2",Таблица1[р/р],"3/16",Таблица1[Ф. И. О.],B473)</f>
        <v>0</v>
      </c>
      <c r="T471" s="492">
        <f t="shared" si="146"/>
        <v>0</v>
      </c>
      <c r="U471" s="472">
        <f>IF(D468&lt;=3,база!$M$4,
IF(D468=4,база!$M$5,
IF(D468=5,база!$M$6)))</f>
        <v>225.09719999999999</v>
      </c>
      <c r="V471" s="390">
        <v>1.2</v>
      </c>
      <c r="W471" s="494">
        <f>SUMIFS(Таблица1[Столбец1],Таблица1[коэф],"1,2",Таблица1[р/р],"3/24",Таблица1[Ф. И. О.],B473)</f>
        <v>0</v>
      </c>
      <c r="X471" s="492">
        <f t="shared" si="147"/>
        <v>0</v>
      </c>
      <c r="Y471" s="795"/>
      <c r="Z471" s="797"/>
      <c r="AA471" s="786"/>
    </row>
    <row r="472" spans="1:29" ht="16.5" customHeight="1">
      <c r="A472" s="786"/>
      <c r="B472" s="216"/>
      <c r="C472" s="789"/>
      <c r="D472" s="792"/>
      <c r="E472" s="393"/>
      <c r="F472" s="390"/>
      <c r="G472" s="400"/>
      <c r="H472" s="392">
        <f t="shared" si="144"/>
        <v>0</v>
      </c>
      <c r="I472" s="389">
        <f>база!$J$6</f>
        <v>243.04319999999998</v>
      </c>
      <c r="J472" s="390">
        <v>1.5</v>
      </c>
      <c r="K472" s="434">
        <f>SUMIFS(Таблица1[Столбец1],Таблица1[коэф],"1,5",Таблица1[р/р],"5/8",Таблица1[Ф. И. О.],B473)</f>
        <v>0</v>
      </c>
      <c r="L472" s="484">
        <f t="shared" si="145"/>
        <v>0</v>
      </c>
      <c r="M472" s="432"/>
      <c r="N472" s="434"/>
      <c r="O472" s="434"/>
      <c r="P472" s="434"/>
      <c r="Q472" s="399">
        <f>база!$L$5</f>
        <v>231.45480000000001</v>
      </c>
      <c r="R472" s="390">
        <v>1.2</v>
      </c>
      <c r="S472" s="491">
        <f>SUMIFS(Таблица1[Столбец1],Таблица1[коэф],"1,2",Таблица1[р/р],"4/16",Таблица1[Ф. И. О.],B473)</f>
        <v>0</v>
      </c>
      <c r="T472" s="492">
        <f t="shared" si="146"/>
        <v>0</v>
      </c>
      <c r="U472" s="472">
        <f>база!$M$5</f>
        <v>247.41720000000001</v>
      </c>
      <c r="V472" s="390">
        <v>1.2</v>
      </c>
      <c r="W472" s="494">
        <f>SUMIFS(Таблица1[Столбец1],Таблица1[коэф],"1,2",Таблица1[р/р],"4/24",Таблица1[Ф. И. О.],B473)</f>
        <v>0</v>
      </c>
      <c r="X472" s="492">
        <f t="shared" si="147"/>
        <v>0</v>
      </c>
      <c r="Y472" s="795"/>
      <c r="Z472" s="797"/>
      <c r="AA472" s="786"/>
    </row>
    <row r="473" spans="1:29" ht="16.5" customHeight="1">
      <c r="A473" s="786"/>
      <c r="B473" s="216" t="str">
        <f>база!B44</f>
        <v>Малышева Анна Евгеньевна</v>
      </c>
      <c r="C473" s="789"/>
      <c r="D473" s="792"/>
      <c r="E473" s="393"/>
      <c r="F473" s="390"/>
      <c r="G473" s="400"/>
      <c r="H473" s="392">
        <f t="shared" si="144"/>
        <v>0</v>
      </c>
      <c r="I473" s="389"/>
      <c r="J473" s="390"/>
      <c r="K473" s="434"/>
      <c r="L473" s="484">
        <f t="shared" si="145"/>
        <v>0</v>
      </c>
      <c r="M473" s="432"/>
      <c r="N473" s="434"/>
      <c r="O473" s="434"/>
      <c r="P473" s="434"/>
      <c r="Q473" s="399">
        <f>база!$L$6</f>
        <v>261.04640000000001</v>
      </c>
      <c r="R473" s="390">
        <v>1.2</v>
      </c>
      <c r="S473" s="491">
        <f>SUMIFS(Таблица1[Столбец1],Таблица1[коэф],"1,2",Таблица1[р/р],"5/16",Таблица1[Ф. И. О.],B473)</f>
        <v>0</v>
      </c>
      <c r="T473" s="492">
        <f t="shared" si="146"/>
        <v>0</v>
      </c>
      <c r="U473" s="472">
        <f>база!$M$6</f>
        <v>279.0496</v>
      </c>
      <c r="V473" s="390">
        <v>1.2</v>
      </c>
      <c r="W473" s="494">
        <f>SUMIFS(Таблица1[Столбец1],Таблица1[коэф],"1,2",Таблица1[р/р],"5/24",Таблица1[Ф. И. О.],B473)</f>
        <v>0</v>
      </c>
      <c r="X473" s="492">
        <f t="shared" si="147"/>
        <v>0</v>
      </c>
      <c r="Y473" s="795"/>
      <c r="Z473" s="797"/>
      <c r="AA473" s="786"/>
      <c r="AC473" s="727" t="str">
        <f>IF(SUMIFS(Таблица1[Столбец3],Таблица1[Ф. И. О.],B473)-Z468=0,"",SUMIFS(Таблица1[Столбец3],Таблица1[Ф. И. О.],B473)-Z468)</f>
        <v/>
      </c>
    </row>
    <row r="474" spans="1:29" ht="16.5" customHeight="1">
      <c r="A474" s="786"/>
      <c r="B474" s="216"/>
      <c r="C474" s="789"/>
      <c r="D474" s="792"/>
      <c r="E474" s="393"/>
      <c r="F474" s="390"/>
      <c r="G474" s="400"/>
      <c r="H474" s="392">
        <f t="shared" si="144"/>
        <v>0</v>
      </c>
      <c r="I474" s="389"/>
      <c r="J474" s="390"/>
      <c r="K474" s="434"/>
      <c r="L474" s="484">
        <f t="shared" si="145"/>
        <v>0</v>
      </c>
      <c r="M474" s="432"/>
      <c r="N474" s="434"/>
      <c r="O474" s="434"/>
      <c r="P474" s="434"/>
      <c r="Q474" s="399">
        <f>IF(D468&lt;=3,база!$L$4,
IF(D468=4,база!$L$5,
IF(D468=5,база!$L$6)))</f>
        <v>210.57480000000001</v>
      </c>
      <c r="R474" s="390">
        <v>1.3</v>
      </c>
      <c r="S474" s="491">
        <f>SUMIFS(Таблица1[Столбец1],Таблица1[коэф],"1,3",Таблица1[р/р],"3/16",Таблица1[Ф. И. О.],B473)</f>
        <v>0</v>
      </c>
      <c r="T474" s="492">
        <f t="shared" si="146"/>
        <v>0</v>
      </c>
      <c r="U474" s="472">
        <f>IF(D468&lt;=3,база!$M$4,
IF(D468=4,база!$M$5,
IF(D468=5,база!$M$6)))</f>
        <v>225.09719999999999</v>
      </c>
      <c r="V474" s="390">
        <v>1.3</v>
      </c>
      <c r="W474" s="494">
        <f>SUMIFS(Таблица1[Столбец1],Таблица1[коэф],"1,3",Таблица1[р/р],"3/24",Таблица1[Ф. И. О.],B473)</f>
        <v>0</v>
      </c>
      <c r="X474" s="492">
        <f t="shared" si="147"/>
        <v>0</v>
      </c>
      <c r="Y474" s="795"/>
      <c r="Z474" s="797"/>
      <c r="AA474" s="786"/>
      <c r="AC474" s="727" t="str">
        <f>IF(SUMIFS(Таблица1[Столбец1],Таблица1[Ф. И. О.],B473)=Y468,"",B473&amp;"  часы не верны")</f>
        <v/>
      </c>
    </row>
    <row r="475" spans="1:29" ht="16.5" customHeight="1">
      <c r="A475" s="786"/>
      <c r="B475" s="216"/>
      <c r="C475" s="789"/>
      <c r="D475" s="792"/>
      <c r="E475" s="393"/>
      <c r="F475" s="390"/>
      <c r="G475" s="400"/>
      <c r="H475" s="392">
        <f t="shared" si="144"/>
        <v>0</v>
      </c>
      <c r="I475" s="389"/>
      <c r="J475" s="390"/>
      <c r="K475" s="434"/>
      <c r="L475" s="484">
        <f t="shared" si="145"/>
        <v>0</v>
      </c>
      <c r="M475" s="432"/>
      <c r="N475" s="434"/>
      <c r="O475" s="434"/>
      <c r="P475" s="434"/>
      <c r="Q475" s="399">
        <f>база!$L$5</f>
        <v>231.45480000000001</v>
      </c>
      <c r="R475" s="390">
        <v>1.3</v>
      </c>
      <c r="S475" s="491">
        <f>SUMIFS(Таблица1[Столбец1],Таблица1[коэф],"1,3",Таблица1[р/р],"4/16",Таблица1[Ф. И. О.],B473)</f>
        <v>0</v>
      </c>
      <c r="T475" s="492">
        <f t="shared" si="146"/>
        <v>0</v>
      </c>
      <c r="U475" s="472">
        <f>база!$M$5</f>
        <v>247.41720000000001</v>
      </c>
      <c r="V475" s="390">
        <v>1.3</v>
      </c>
      <c r="W475" s="494">
        <f>SUMIFS(Таблица1[Столбец1],Таблица1[коэф],"1,3",Таблица1[р/р],"4/24",Таблица1[Ф. И. О.],B473)</f>
        <v>0</v>
      </c>
      <c r="X475" s="492">
        <f t="shared" si="147"/>
        <v>0</v>
      </c>
      <c r="Y475" s="795"/>
      <c r="Z475" s="797"/>
      <c r="AA475" s="786"/>
    </row>
    <row r="476" spans="1:29" ht="16.5" customHeight="1">
      <c r="A476" s="786"/>
      <c r="B476" s="216"/>
      <c r="C476" s="789"/>
      <c r="D476" s="792"/>
      <c r="E476" s="393"/>
      <c r="F476" s="390"/>
      <c r="G476" s="400"/>
      <c r="H476" s="392">
        <f t="shared" si="144"/>
        <v>0</v>
      </c>
      <c r="I476" s="389"/>
      <c r="J476" s="390"/>
      <c r="K476" s="434"/>
      <c r="L476" s="484">
        <f t="shared" si="145"/>
        <v>0</v>
      </c>
      <c r="M476" s="432"/>
      <c r="N476" s="434"/>
      <c r="O476" s="434"/>
      <c r="P476" s="434"/>
      <c r="Q476" s="399">
        <f>IF(D468&lt;=3,база!$L$4,
IF(D468=4,база!$L$5,
IF(D468=5,база!$L$6)))</f>
        <v>210.57480000000001</v>
      </c>
      <c r="R476" s="390">
        <v>1.4</v>
      </c>
      <c r="S476" s="491">
        <f>SUMIFS(Таблица1[Столбец1],Таблица1[коэф],"1,4",Таблица1[р/р],"3/16",Таблица1[Ф. И. О.],B473)</f>
        <v>0</v>
      </c>
      <c r="T476" s="492">
        <f t="shared" si="146"/>
        <v>0</v>
      </c>
      <c r="U476" s="472">
        <f>IF(D468&lt;=3,база!$M$4,
IF(D468=4,база!$M$5,
IF(D468=5,база!$M$6)))</f>
        <v>225.09719999999999</v>
      </c>
      <c r="V476" s="390">
        <v>1.4</v>
      </c>
      <c r="W476" s="494">
        <f>SUMIFS(Таблица1[Столбец1],Таблица1[коэф],"1,4",Таблица1[р/р],"3/24",Таблица1[Ф. И. О.],B473)</f>
        <v>0</v>
      </c>
      <c r="X476" s="492">
        <f t="shared" si="147"/>
        <v>0</v>
      </c>
      <c r="Y476" s="795"/>
      <c r="Z476" s="797"/>
      <c r="AA476" s="786"/>
    </row>
    <row r="477" spans="1:29" ht="16.5" customHeight="1">
      <c r="A477" s="786"/>
      <c r="B477" s="216"/>
      <c r="C477" s="789"/>
      <c r="D477" s="792"/>
      <c r="E477" s="393"/>
      <c r="F477" s="390"/>
      <c r="G477" s="400"/>
      <c r="H477" s="392">
        <f t="shared" si="144"/>
        <v>0</v>
      </c>
      <c r="I477" s="389"/>
      <c r="J477" s="390"/>
      <c r="K477" s="434"/>
      <c r="L477" s="395">
        <f t="shared" si="145"/>
        <v>0</v>
      </c>
      <c r="M477" s="432"/>
      <c r="N477" s="434"/>
      <c r="O477" s="434"/>
      <c r="P477" s="434"/>
      <c r="Q477" s="399">
        <f>база!$L$5</f>
        <v>231.45480000000001</v>
      </c>
      <c r="R477" s="390">
        <v>1.4</v>
      </c>
      <c r="S477" s="491">
        <f>SUMIFS(Таблица1[Столбец1],Таблица1[коэф],"1,4",Таблица1[р/р],"4/16",Таблица1[Ф. И. О.],B473)</f>
        <v>0</v>
      </c>
      <c r="T477" s="492">
        <f t="shared" si="146"/>
        <v>0</v>
      </c>
      <c r="U477" s="472">
        <f>база!$M$5</f>
        <v>247.41720000000001</v>
      </c>
      <c r="V477" s="390">
        <v>1.4</v>
      </c>
      <c r="W477" s="494">
        <f>SUMIFS(Таблица1[Столбец1],Таблица1[коэф],"1,4",Таблица1[р/р],"4/24",Таблица1[Ф. И. О.],B473)</f>
        <v>0</v>
      </c>
      <c r="X477" s="492">
        <f t="shared" si="147"/>
        <v>0</v>
      </c>
      <c r="Y477" s="795"/>
      <c r="Z477" s="797"/>
      <c r="AA477" s="786"/>
    </row>
    <row r="478" spans="1:29" ht="16.5" customHeight="1" thickBot="1">
      <c r="A478" s="787"/>
      <c r="B478" s="203"/>
      <c r="C478" s="790"/>
      <c r="D478" s="793"/>
      <c r="E478" s="463"/>
      <c r="F478" s="464"/>
      <c r="G478" s="465"/>
      <c r="H478" s="468">
        <f t="shared" si="144"/>
        <v>0</v>
      </c>
      <c r="I478" s="473"/>
      <c r="J478" s="464"/>
      <c r="K478" s="457"/>
      <c r="L478" s="458">
        <f t="shared" si="145"/>
        <v>0</v>
      </c>
      <c r="M478" s="466"/>
      <c r="N478" s="457"/>
      <c r="O478" s="457"/>
      <c r="P478" s="457"/>
      <c r="Q478" s="467">
        <f>база!$L$6</f>
        <v>261.04640000000001</v>
      </c>
      <c r="R478" s="464">
        <v>1.4</v>
      </c>
      <c r="S478" s="512">
        <f>SUMIFS(Таблица1[Столбец1],Таблица1[коэф],"1,4",Таблица1[р/р],"5/16",Таблица1[Ф. И. О.],B473)</f>
        <v>0</v>
      </c>
      <c r="T478" s="513">
        <f t="shared" si="146"/>
        <v>0</v>
      </c>
      <c r="U478" s="474">
        <f>база!$M$6</f>
        <v>279.0496</v>
      </c>
      <c r="V478" s="464">
        <v>1.4</v>
      </c>
      <c r="W478" s="501">
        <f>SUMIFS(Таблица1[Столбец1],Таблица1[коэф],"1,4",Таблица1[р/р],"5/24",Таблица1[Ф. И. О.],B473)</f>
        <v>0</v>
      </c>
      <c r="X478" s="513">
        <f t="shared" si="147"/>
        <v>0</v>
      </c>
      <c r="Y478" s="796"/>
      <c r="Z478" s="798"/>
      <c r="AA478" s="787"/>
    </row>
    <row r="479" spans="1:29" ht="16.5" customHeight="1" collapsed="1">
      <c r="A479" s="785">
        <v>44</v>
      </c>
      <c r="B479" s="236"/>
      <c r="C479" s="788">
        <f>INDEX(база!$E$2:$E$81, MATCH(B484,база!$B$2:$B$50,0))</f>
        <v>17136</v>
      </c>
      <c r="D479" s="791">
        <f>INDEX(база!$D$2:$D$89, MATCH(B484,база!$B$2:$B$50,0))</f>
        <v>3</v>
      </c>
      <c r="E479" s="451">
        <f>IF(D479&lt;=3,база!$I$4,
IF(D479=4,база!$I$5,
IF(D479=5,база!$I$6)))</f>
        <v>188.7912</v>
      </c>
      <c r="F479" s="417">
        <v>1</v>
      </c>
      <c r="G479" s="418">
        <f>SUMIFS(Таблица1[Столбец1],Таблица1[коэф],"1",Таблица1[р/р],"2/4",Таблица1[Ф. И. О.],B484)</f>
        <v>0</v>
      </c>
      <c r="H479" s="402">
        <f t="shared" ref="H479:H489" si="150">ROUND(E479*F479*G479*2,2)</f>
        <v>0</v>
      </c>
      <c r="I479" s="377">
        <f>IF(D479&lt;=3,база!$J$4,
IF(D479=4,база!$J$5,
IF(D479=5,база!$J$6)))</f>
        <v>196.05240000000001</v>
      </c>
      <c r="J479" s="378">
        <v>1</v>
      </c>
      <c r="K479" s="428">
        <f>SUMIFS(Таблица1[Столбец1],Таблица1[коэф],"1",Таблица1[р/р],"2/8",Таблица1[Ф. И. О.],B484)</f>
        <v>0</v>
      </c>
      <c r="L479" s="383">
        <f t="shared" ref="L479:L489" si="151">ROUND(I479*J479*K479*2,2)</f>
        <v>0</v>
      </c>
      <c r="M479" s="452"/>
      <c r="N479" s="453">
        <v>1</v>
      </c>
      <c r="O479" s="453">
        <f>SUMIFS(Data_Tech!$AM$3:$AM$67,Data_Tech!$E$3:$E$67,"1",Data_Tech!$G$3:$G$67,"3/12",Data_Tech!$F$3:$F$67,B484)</f>
        <v>0</v>
      </c>
      <c r="P479" s="453">
        <f>ROUND(M479*N479*O479,2)</f>
        <v>0</v>
      </c>
      <c r="Q479" s="416">
        <f>IF(D479&lt;=3,база!$L$4,
IF(D479=4,база!$L$5,
IF(D479=5,база!$L$6)))</f>
        <v>210.57480000000001</v>
      </c>
      <c r="R479" s="417">
        <v>1</v>
      </c>
      <c r="S479" s="495">
        <f>SUMIFS(Таблица1[Столбец1],Таблица1[коэф],"1",Таблица1[р/р],"3/16",Таблица1[Ф. И. О.],B484)</f>
        <v>0</v>
      </c>
      <c r="T479" s="490">
        <f t="shared" ref="T479:T489" si="152">ROUND(Q479*R479*S479*2,2)</f>
        <v>0</v>
      </c>
      <c r="U479" s="471">
        <f>IF(D479&lt;=3,база!$M$4,
IF(D479=4,база!$M$5,
IF(D479=5,база!$M$6)))</f>
        <v>225.09719999999999</v>
      </c>
      <c r="V479" s="378">
        <v>1</v>
      </c>
      <c r="W479" s="497">
        <f>SUMIFS(Таблица1[Столбец1],Таблица1[коэф],"1",Таблица1[р/р],"3/24",Таблица1[Ф. И. О.],B484)</f>
        <v>0</v>
      </c>
      <c r="X479" s="490">
        <f t="shared" ref="X479:X489" si="153">ROUND(U479*V479*W479*2,2)</f>
        <v>0</v>
      </c>
      <c r="Y479" s="795">
        <f t="shared" ref="Y479" si="154">SUM(G479:G489,K479:K489,O479:O489,S479:S489,W479:W489)</f>
        <v>0</v>
      </c>
      <c r="Z479" s="797">
        <f t="shared" ref="Z479" si="155">IFERROR(SUM(H479:H489,L479:L489,T479:T489,X479:X489),"")</f>
        <v>0</v>
      </c>
      <c r="AA479" s="786"/>
    </row>
    <row r="480" spans="1:29" ht="16.5" customHeight="1">
      <c r="A480" s="786"/>
      <c r="B480" s="216"/>
      <c r="C480" s="789"/>
      <c r="D480" s="792"/>
      <c r="E480" s="393">
        <f>IF(D479&lt;=3,база!$I$4,
IF(D479=4,база!$I$5,
IF(D479=5,база!$I$6)))</f>
        <v>188.7912</v>
      </c>
      <c r="F480" s="390">
        <v>1</v>
      </c>
      <c r="G480" s="400">
        <f>SUMIFS(Таблица1[Столбец1],Таблица1[коэф],"1",Таблица1[р/р],"3/4",Таблица1[Ф. И. О.],B484)</f>
        <v>0</v>
      </c>
      <c r="H480" s="392">
        <f t="shared" si="150"/>
        <v>0</v>
      </c>
      <c r="I480" s="389">
        <f>IF(D479&lt;=3,база!$J$4,
IF(D479=4,база!$J$5,
IF(D479=5,база!$J$6)))</f>
        <v>196.05240000000001</v>
      </c>
      <c r="J480" s="390">
        <v>1</v>
      </c>
      <c r="K480" s="434">
        <f>SUMIFS(Таблица1[Столбец1],Таблица1[коэф],"1",Таблица1[р/р],"3/8",Таблица1[Ф. И. О.],B484)</f>
        <v>0</v>
      </c>
      <c r="L480" s="484">
        <f t="shared" si="151"/>
        <v>0</v>
      </c>
      <c r="M480" s="432"/>
      <c r="N480" s="434">
        <v>1</v>
      </c>
      <c r="O480" s="434">
        <f>SUMIFS(Data_Tech!$AM$3:$AM$67,Data_Tech!$E$3:$E$67,"1",Data_Tech!$G$3:$G$67,"4/12",Data_Tech!$F$3:$F$67,B484)</f>
        <v>0</v>
      </c>
      <c r="P480" s="434">
        <f>ROUND(M480*O480,2)</f>
        <v>0</v>
      </c>
      <c r="Q480" s="399">
        <f>база!$L$5</f>
        <v>231.45480000000001</v>
      </c>
      <c r="R480" s="390">
        <v>1</v>
      </c>
      <c r="S480" s="491">
        <f>SUMIFS(Таблица1[Столбец1],Таблица1[коэф],"1",Таблица1[р/р],"4/16",Таблица1[Ф. И. О.],B484)</f>
        <v>0</v>
      </c>
      <c r="T480" s="492">
        <f t="shared" si="152"/>
        <v>0</v>
      </c>
      <c r="U480" s="472">
        <f>база!$M$5</f>
        <v>247.41720000000001</v>
      </c>
      <c r="V480" s="390">
        <v>1</v>
      </c>
      <c r="W480" s="494">
        <f>SUMIFS(Таблица1[Столбец1],Таблица1[коэф],"1",Таблица1[р/р],"4/24",Таблица1[Ф. И. О.],B484)</f>
        <v>0</v>
      </c>
      <c r="X480" s="492">
        <f t="shared" si="153"/>
        <v>0</v>
      </c>
      <c r="Y480" s="795"/>
      <c r="Z480" s="797"/>
      <c r="AA480" s="786"/>
    </row>
    <row r="481" spans="1:29" ht="16.5" customHeight="1">
      <c r="A481" s="786"/>
      <c r="B481" s="216"/>
      <c r="C481" s="789"/>
      <c r="D481" s="792"/>
      <c r="E481" s="393"/>
      <c r="F481" s="390"/>
      <c r="G481" s="400"/>
      <c r="H481" s="392">
        <f t="shared" si="150"/>
        <v>0</v>
      </c>
      <c r="I481" s="389"/>
      <c r="J481" s="390"/>
      <c r="K481" s="434"/>
      <c r="L481" s="484">
        <f t="shared" si="151"/>
        <v>0</v>
      </c>
      <c r="M481" s="432"/>
      <c r="N481" s="434"/>
      <c r="O481" s="434"/>
      <c r="P481" s="434"/>
      <c r="Q481" s="399">
        <f>база!$L$6</f>
        <v>261.04640000000001</v>
      </c>
      <c r="R481" s="390">
        <v>1</v>
      </c>
      <c r="S481" s="491">
        <f>SUMIFS(Таблица1[Столбец1],Таблица1[коэф],"1",Таблица1[р/р],"5/16",Таблица1[Ф. И. О.],B484)</f>
        <v>0</v>
      </c>
      <c r="T481" s="492">
        <f t="shared" si="152"/>
        <v>0</v>
      </c>
      <c r="U481" s="472">
        <f>база!$M$6</f>
        <v>279.0496</v>
      </c>
      <c r="V481" s="390">
        <v>1</v>
      </c>
      <c r="W481" s="494">
        <f>SUMIFS(Таблица1[Столбец1],Таблица1[коэф],"1",Таблица1[р/р],"5/24",Таблица1[Ф. И. О.],B484)</f>
        <v>0</v>
      </c>
      <c r="X481" s="492">
        <f t="shared" si="153"/>
        <v>0</v>
      </c>
      <c r="Y481" s="795"/>
      <c r="Z481" s="797"/>
      <c r="AA481" s="786"/>
    </row>
    <row r="482" spans="1:29" ht="16.5" customHeight="1">
      <c r="A482" s="786"/>
      <c r="B482" s="216"/>
      <c r="C482" s="789"/>
      <c r="D482" s="792"/>
      <c r="E482" s="393"/>
      <c r="F482" s="390"/>
      <c r="G482" s="400"/>
      <c r="H482" s="392">
        <f t="shared" si="150"/>
        <v>0</v>
      </c>
      <c r="I482" s="389">
        <f>база!$J$5</f>
        <v>215.4924</v>
      </c>
      <c r="J482" s="390">
        <v>1.5</v>
      </c>
      <c r="K482" s="434">
        <f>SUMIFS(Таблица1[Столбец1],Таблица1[коэф],"1,5",Таблица1[р/р],"4/8",Таблица1[Ф. И. О.],B484)</f>
        <v>0</v>
      </c>
      <c r="L482" s="484">
        <f t="shared" si="151"/>
        <v>0</v>
      </c>
      <c r="M482" s="432"/>
      <c r="N482" s="434"/>
      <c r="O482" s="434"/>
      <c r="P482" s="434"/>
      <c r="Q482" s="399">
        <f>IF(D479&lt;=3,база!$L$4,
IF(D479=4,база!$L$5,
IF(D479=5,база!$L$6)))</f>
        <v>210.57480000000001</v>
      </c>
      <c r="R482" s="390">
        <v>1.2</v>
      </c>
      <c r="S482" s="491">
        <f>SUMIFS(Таблица1[Столбец1],Таблица1[коэф],"1,2",Таблица1[р/р],"3/16",Таблица1[Ф. И. О.],B484)</f>
        <v>0</v>
      </c>
      <c r="T482" s="492">
        <f t="shared" si="152"/>
        <v>0</v>
      </c>
      <c r="U482" s="472">
        <f>IF(D479&lt;=3,база!$M$4,
IF(D479=4,база!$M$5,
IF(D479=5,база!$M$6)))</f>
        <v>225.09719999999999</v>
      </c>
      <c r="V482" s="390">
        <v>1.2</v>
      </c>
      <c r="W482" s="494">
        <f>SUMIFS(Таблица1[Столбец1],Таблица1[коэф],"1,2",Таблица1[р/р],"3/24",Таблица1[Ф. И. О.],B484)</f>
        <v>0</v>
      </c>
      <c r="X482" s="492">
        <f t="shared" si="153"/>
        <v>0</v>
      </c>
      <c r="Y482" s="795"/>
      <c r="Z482" s="797"/>
      <c r="AA482" s="786"/>
    </row>
    <row r="483" spans="1:29" ht="16.5" customHeight="1">
      <c r="A483" s="786"/>
      <c r="B483" s="216"/>
      <c r="C483" s="789"/>
      <c r="D483" s="792"/>
      <c r="E483" s="393"/>
      <c r="F483" s="390"/>
      <c r="G483" s="400"/>
      <c r="H483" s="392">
        <f t="shared" si="150"/>
        <v>0</v>
      </c>
      <c r="I483" s="389">
        <f>база!$J$6</f>
        <v>243.04319999999998</v>
      </c>
      <c r="J483" s="390">
        <v>1.5</v>
      </c>
      <c r="K483" s="434">
        <f>SUMIFS(Таблица1[Столбец1],Таблица1[коэф],"1,5",Таблица1[р/р],"5/8",Таблица1[Ф. И. О.],B484)</f>
        <v>0</v>
      </c>
      <c r="L483" s="484">
        <f t="shared" si="151"/>
        <v>0</v>
      </c>
      <c r="M483" s="432"/>
      <c r="N483" s="434"/>
      <c r="O483" s="434"/>
      <c r="P483" s="434"/>
      <c r="Q483" s="399">
        <f>база!$L$5</f>
        <v>231.45480000000001</v>
      </c>
      <c r="R483" s="390">
        <v>1.2</v>
      </c>
      <c r="S483" s="491">
        <f>SUMIFS(Таблица1[Столбец1],Таблица1[коэф],"1,2",Таблица1[р/р],"4/16",Таблица1[Ф. И. О.],B484)</f>
        <v>0</v>
      </c>
      <c r="T483" s="492">
        <f t="shared" si="152"/>
        <v>0</v>
      </c>
      <c r="U483" s="472">
        <f>база!$M$5</f>
        <v>247.41720000000001</v>
      </c>
      <c r="V483" s="390">
        <v>1.2</v>
      </c>
      <c r="W483" s="494">
        <f>SUMIFS(Таблица1[Столбец1],Таблица1[коэф],"1,2",Таблица1[р/р],"4/24",Таблица1[Ф. И. О.],B484)</f>
        <v>0</v>
      </c>
      <c r="X483" s="492">
        <f t="shared" si="153"/>
        <v>0</v>
      </c>
      <c r="Y483" s="795"/>
      <c r="Z483" s="797"/>
      <c r="AA483" s="786"/>
    </row>
    <row r="484" spans="1:29" ht="16.5" customHeight="1">
      <c r="A484" s="786"/>
      <c r="B484" s="216" t="str">
        <f>база!B45</f>
        <v>Маргиева Фатима Александровна</v>
      </c>
      <c r="C484" s="789"/>
      <c r="D484" s="792"/>
      <c r="E484" s="393"/>
      <c r="F484" s="390"/>
      <c r="G484" s="400"/>
      <c r="H484" s="392">
        <f t="shared" si="150"/>
        <v>0</v>
      </c>
      <c r="I484" s="389"/>
      <c r="J484" s="390"/>
      <c r="K484" s="434"/>
      <c r="L484" s="484">
        <f t="shared" si="151"/>
        <v>0</v>
      </c>
      <c r="M484" s="432"/>
      <c r="N484" s="434"/>
      <c r="O484" s="434"/>
      <c r="P484" s="434"/>
      <c r="Q484" s="399">
        <f>база!$L$6</f>
        <v>261.04640000000001</v>
      </c>
      <c r="R484" s="390">
        <v>1.2</v>
      </c>
      <c r="S484" s="491">
        <f>SUMIFS(Таблица1[Столбец1],Таблица1[коэф],"1,2",Таблица1[р/р],"5/16",Таблица1[Ф. И. О.],B484)</f>
        <v>0</v>
      </c>
      <c r="T484" s="492">
        <f t="shared" si="152"/>
        <v>0</v>
      </c>
      <c r="U484" s="472">
        <f>база!$M$6</f>
        <v>279.0496</v>
      </c>
      <c r="V484" s="390">
        <v>1.2</v>
      </c>
      <c r="W484" s="494">
        <f>SUMIFS(Таблица1[Столбец1],Таблица1[коэф],"1,2",Таблица1[р/р],"5/24",Таблица1[Ф. И. О.],B484)</f>
        <v>0</v>
      </c>
      <c r="X484" s="492">
        <f t="shared" si="153"/>
        <v>0</v>
      </c>
      <c r="Y484" s="795"/>
      <c r="Z484" s="797"/>
      <c r="AA484" s="786"/>
      <c r="AC484" s="727" t="str">
        <f>IF(SUMIFS(Таблица1[Столбец3],Таблица1[Ф. И. О.],B484)-Z479=0,"",SUMIFS(Таблица1[Столбец3],Таблица1[Ф. И. О.],B484)-Z479)</f>
        <v/>
      </c>
    </row>
    <row r="485" spans="1:29" ht="16.5" customHeight="1">
      <c r="A485" s="786"/>
      <c r="B485" s="216"/>
      <c r="C485" s="789"/>
      <c r="D485" s="792"/>
      <c r="E485" s="393"/>
      <c r="F485" s="390"/>
      <c r="G485" s="400"/>
      <c r="H485" s="392">
        <f t="shared" si="150"/>
        <v>0</v>
      </c>
      <c r="I485" s="389"/>
      <c r="J485" s="390"/>
      <c r="K485" s="434"/>
      <c r="L485" s="484">
        <f t="shared" si="151"/>
        <v>0</v>
      </c>
      <c r="M485" s="432"/>
      <c r="N485" s="434"/>
      <c r="O485" s="434"/>
      <c r="P485" s="434"/>
      <c r="Q485" s="399">
        <f>IF(D479&lt;=3,база!$L$4,
IF(D479=4,база!$L$5,
IF(D479=5,база!$L$6)))</f>
        <v>210.57480000000001</v>
      </c>
      <c r="R485" s="390">
        <v>1.3</v>
      </c>
      <c r="S485" s="491">
        <f>SUMIFS(Таблица1[Столбец1],Таблица1[коэф],"1,3",Таблица1[р/р],"3/16",Таблица1[Ф. И. О.],B484)</f>
        <v>0</v>
      </c>
      <c r="T485" s="492">
        <f t="shared" si="152"/>
        <v>0</v>
      </c>
      <c r="U485" s="472">
        <f>IF(D479&lt;=3,база!$M$4,
IF(D479=4,база!$M$5,
IF(D479=5,база!$M$6)))</f>
        <v>225.09719999999999</v>
      </c>
      <c r="V485" s="390">
        <v>1.3</v>
      </c>
      <c r="W485" s="494">
        <f>SUMIFS(Таблица1[Столбец1],Таблица1[коэф],"1,3",Таблица1[р/р],"3/24",Таблица1[Ф. И. О.],B484)</f>
        <v>0</v>
      </c>
      <c r="X485" s="492">
        <f t="shared" si="153"/>
        <v>0</v>
      </c>
      <c r="Y485" s="795"/>
      <c r="Z485" s="797"/>
      <c r="AA485" s="786"/>
      <c r="AC485" s="727" t="str">
        <f>IF(SUMIFS(Таблица1[Столбец1],Таблица1[Ф. И. О.],B484)=Y479,"",B484&amp;"  часы не верны")</f>
        <v/>
      </c>
    </row>
    <row r="486" spans="1:29" ht="16.5" customHeight="1">
      <c r="A486" s="786"/>
      <c r="B486" s="216"/>
      <c r="C486" s="789"/>
      <c r="D486" s="792"/>
      <c r="E486" s="393"/>
      <c r="F486" s="390"/>
      <c r="G486" s="400"/>
      <c r="H486" s="392">
        <f t="shared" si="150"/>
        <v>0</v>
      </c>
      <c r="I486" s="389"/>
      <c r="J486" s="390"/>
      <c r="K486" s="434"/>
      <c r="L486" s="484">
        <f t="shared" si="151"/>
        <v>0</v>
      </c>
      <c r="M486" s="432"/>
      <c r="N486" s="434"/>
      <c r="O486" s="434"/>
      <c r="P486" s="434"/>
      <c r="Q486" s="399">
        <f>база!$L$5</f>
        <v>231.45480000000001</v>
      </c>
      <c r="R486" s="390">
        <v>1.3</v>
      </c>
      <c r="S486" s="491">
        <f>SUMIFS(Таблица1[Столбец1],Таблица1[коэф],"1,3",Таблица1[р/р],"4/16",Таблица1[Ф. И. О.],B484)</f>
        <v>0</v>
      </c>
      <c r="T486" s="492">
        <f t="shared" si="152"/>
        <v>0</v>
      </c>
      <c r="U486" s="472">
        <f>база!$M$5</f>
        <v>247.41720000000001</v>
      </c>
      <c r="V486" s="390">
        <v>1.3</v>
      </c>
      <c r="W486" s="494">
        <f>SUMIFS(Таблица1[Столбец1],Таблица1[коэф],"1,3",Таблица1[р/р],"4/24",Таблица1[Ф. И. О.],B484)</f>
        <v>0</v>
      </c>
      <c r="X486" s="492">
        <f t="shared" si="153"/>
        <v>0</v>
      </c>
      <c r="Y486" s="795"/>
      <c r="Z486" s="797"/>
      <c r="AA486" s="786"/>
    </row>
    <row r="487" spans="1:29" ht="16.5" customHeight="1">
      <c r="A487" s="786"/>
      <c r="B487" s="216"/>
      <c r="C487" s="789"/>
      <c r="D487" s="792"/>
      <c r="E487" s="393"/>
      <c r="F487" s="390"/>
      <c r="G487" s="400"/>
      <c r="H487" s="392">
        <f t="shared" si="150"/>
        <v>0</v>
      </c>
      <c r="I487" s="389"/>
      <c r="J487" s="390"/>
      <c r="K487" s="434"/>
      <c r="L487" s="484">
        <f t="shared" si="151"/>
        <v>0</v>
      </c>
      <c r="M487" s="432"/>
      <c r="N487" s="434"/>
      <c r="O487" s="434"/>
      <c r="P487" s="434"/>
      <c r="Q487" s="399">
        <f>IF(D479&lt;=3,база!$L$4,
IF(D479=4,база!$L$5,
IF(D479=5,база!$L$6)))</f>
        <v>210.57480000000001</v>
      </c>
      <c r="R487" s="390">
        <v>1.4</v>
      </c>
      <c r="S487" s="491">
        <f>SUMIFS(Таблица1[Столбец1],Таблица1[коэф],"1,4",Таблица1[р/р],"3/16",Таблица1[Ф. И. О.],B484)</f>
        <v>0</v>
      </c>
      <c r="T487" s="492">
        <f t="shared" si="152"/>
        <v>0</v>
      </c>
      <c r="U487" s="472">
        <f>IF(D479&lt;=3,база!$M$4,
IF(D479=4,база!$M$5,
IF(D479=5,база!$M$6)))</f>
        <v>225.09719999999999</v>
      </c>
      <c r="V487" s="390">
        <v>1.4</v>
      </c>
      <c r="W487" s="494">
        <f>SUMIFS(Таблица1[Столбец1],Таблица1[коэф],"1,4",Таблица1[р/р],"3/24",Таблица1[Ф. И. О.],B484)</f>
        <v>0</v>
      </c>
      <c r="X487" s="492">
        <f t="shared" si="153"/>
        <v>0</v>
      </c>
      <c r="Y487" s="795"/>
      <c r="Z487" s="797"/>
      <c r="AA487" s="786"/>
    </row>
    <row r="488" spans="1:29" ht="16.5" customHeight="1">
      <c r="A488" s="786"/>
      <c r="B488" s="216"/>
      <c r="C488" s="789"/>
      <c r="D488" s="792"/>
      <c r="E488" s="393"/>
      <c r="F488" s="390"/>
      <c r="G488" s="400"/>
      <c r="H488" s="392">
        <f t="shared" si="150"/>
        <v>0</v>
      </c>
      <c r="I488" s="389"/>
      <c r="J488" s="390"/>
      <c r="K488" s="434"/>
      <c r="L488" s="395">
        <f t="shared" si="151"/>
        <v>0</v>
      </c>
      <c r="M488" s="432"/>
      <c r="N488" s="434"/>
      <c r="O488" s="434"/>
      <c r="P488" s="434"/>
      <c r="Q488" s="399">
        <f>база!$L$5</f>
        <v>231.45480000000001</v>
      </c>
      <c r="R488" s="390">
        <v>1.4</v>
      </c>
      <c r="S488" s="491">
        <f>SUMIFS(Таблица1[Столбец1],Таблица1[коэф],"1,4",Таблица1[р/р],"4/16",Таблица1[Ф. И. О.],B484)</f>
        <v>0</v>
      </c>
      <c r="T488" s="492">
        <f t="shared" si="152"/>
        <v>0</v>
      </c>
      <c r="U488" s="472">
        <f>база!$M$5</f>
        <v>247.41720000000001</v>
      </c>
      <c r="V488" s="390">
        <v>1.4</v>
      </c>
      <c r="W488" s="494">
        <f>SUMIFS(Таблица1[Столбец1],Таблица1[коэф],"1,4",Таблица1[р/р],"4/24",Таблица1[Ф. И. О.],B484)</f>
        <v>0</v>
      </c>
      <c r="X488" s="492">
        <f t="shared" si="153"/>
        <v>0</v>
      </c>
      <c r="Y488" s="795"/>
      <c r="Z488" s="797"/>
      <c r="AA488" s="786"/>
    </row>
    <row r="489" spans="1:29" ht="16.5" customHeight="1" thickBot="1">
      <c r="A489" s="787"/>
      <c r="B489" s="203"/>
      <c r="C489" s="790"/>
      <c r="D489" s="793"/>
      <c r="E489" s="463"/>
      <c r="F489" s="464"/>
      <c r="G489" s="465"/>
      <c r="H489" s="468">
        <f t="shared" si="150"/>
        <v>0</v>
      </c>
      <c r="I489" s="473"/>
      <c r="J489" s="464"/>
      <c r="K489" s="457"/>
      <c r="L489" s="458">
        <f t="shared" si="151"/>
        <v>0</v>
      </c>
      <c r="M489" s="466"/>
      <c r="N489" s="457"/>
      <c r="O489" s="457"/>
      <c r="P489" s="457"/>
      <c r="Q489" s="467">
        <f>база!$L$6</f>
        <v>261.04640000000001</v>
      </c>
      <c r="R489" s="464">
        <v>1.4</v>
      </c>
      <c r="S489" s="512">
        <f>SUMIFS(Таблица1[Столбец1],Таблица1[коэф],"1,4",Таблица1[р/р],"5/16",Таблица1[Ф. И. О.],B484)</f>
        <v>0</v>
      </c>
      <c r="T489" s="513">
        <f t="shared" si="152"/>
        <v>0</v>
      </c>
      <c r="U489" s="474">
        <f>база!$M$6</f>
        <v>279.0496</v>
      </c>
      <c r="V489" s="464">
        <v>1.4</v>
      </c>
      <c r="W489" s="501">
        <f>SUMIFS(Таблица1[Столбец1],Таблица1[коэф],"1,4",Таблица1[р/р],"5/24",Таблица1[Ф. И. О.],B484)</f>
        <v>0</v>
      </c>
      <c r="X489" s="513">
        <f t="shared" si="153"/>
        <v>0</v>
      </c>
      <c r="Y489" s="796"/>
      <c r="Z489" s="798"/>
      <c r="AA489" s="787"/>
    </row>
    <row r="490" spans="1:29" ht="18.75" collapsed="1">
      <c r="A490" s="785">
        <v>45</v>
      </c>
      <c r="B490" s="216"/>
      <c r="C490" s="788">
        <f>INDEX(база!$E$2:$E$81, MATCH(B495,база!$B$2:$B$50,0))</f>
        <v>16779</v>
      </c>
      <c r="D490" s="791">
        <f>INDEX(база!$D$2:$D$89, MATCH(B495,база!$B$2:$B$50,0))</f>
        <v>3</v>
      </c>
      <c r="E490" s="451">
        <f>IF(D490&lt;=3,база!$I$4,
IF(D490=4,база!$I$5,
IF(D490=5,база!$I$6)))</f>
        <v>188.7912</v>
      </c>
      <c r="F490" s="417">
        <v>1</v>
      </c>
      <c r="G490" s="418">
        <f>SUMIFS(Таблица1[Столбец1],Таблица1[коэф],"1",Таблица1[р/р],"2/4",Таблица1[Ф. И. О.],B495)</f>
        <v>0</v>
      </c>
      <c r="H490" s="402">
        <f t="shared" ref="H490:H500" si="156">ROUND(E490*F490*G490*2,2)</f>
        <v>0</v>
      </c>
      <c r="I490" s="377">
        <f>IF(D490&lt;=3,база!$J$4,
IF(D490=4,база!$J$5,
IF(D490=5,база!$J$6)))</f>
        <v>196.05240000000001</v>
      </c>
      <c r="J490" s="378">
        <v>1</v>
      </c>
      <c r="K490" s="428">
        <f>SUMIFS(Таблица1[Столбец1],Таблица1[коэф],"1",Таблица1[р/р],"2/8",Таблица1[Ф. И. О.],B495)</f>
        <v>0</v>
      </c>
      <c r="L490" s="383">
        <f t="shared" ref="L490:L500" si="157">ROUND(I490*J490*K490*2,2)</f>
        <v>0</v>
      </c>
      <c r="M490" s="452"/>
      <c r="N490" s="453">
        <v>1</v>
      </c>
      <c r="O490" s="453">
        <f>SUMIFS(Data_Tech!$AM$3:$AM$67,Data_Tech!$E$3:$E$67,"1",Data_Tech!$G$3:$G$67,"3/12",Data_Tech!$F$3:$F$67,B495)</f>
        <v>0</v>
      </c>
      <c r="P490" s="453">
        <f>ROUND(M490*N490*O490,2)</f>
        <v>0</v>
      </c>
      <c r="Q490" s="416">
        <f>IF(D490&lt;=3,база!$L$4,
IF(D490=4,база!$L$5,
IF(D490=5,база!$L$6)))</f>
        <v>210.57480000000001</v>
      </c>
      <c r="R490" s="417">
        <v>1</v>
      </c>
      <c r="S490" s="495">
        <f>SUMIFS(Таблица1[Столбец1],Таблица1[коэф],"1",Таблица1[р/р],"3/16",Таблица1[Ф. И. О.],B495)</f>
        <v>0</v>
      </c>
      <c r="T490" s="490">
        <f t="shared" ref="T490:T500" si="158">ROUND(Q490*R490*S490*2,2)</f>
        <v>0</v>
      </c>
      <c r="U490" s="471">
        <f>IF(D490&lt;=3,база!$M$4,
IF(D490=4,база!$M$5,
IF(D490=5,база!$M$6)))</f>
        <v>225.09719999999999</v>
      </c>
      <c r="V490" s="378">
        <v>1</v>
      </c>
      <c r="W490" s="497">
        <f>SUMIFS(Таблица1[Столбец1],Таблица1[коэф],"1",Таблица1[р/р],"3/24",Таблица1[Ф. И. О.],B495)</f>
        <v>0</v>
      </c>
      <c r="X490" s="490">
        <f t="shared" ref="X490:X500" si="159">ROUND(U490*V490*W490*2,2)</f>
        <v>0</v>
      </c>
      <c r="Y490" s="795">
        <f t="shared" ref="Y490" si="160">SUM(G490:G500,K490:K500,O490:O500,S490:S500,W490:W500)</f>
        <v>0</v>
      </c>
      <c r="Z490" s="797">
        <f t="shared" ref="Z490" si="161">IFERROR(SUM(H490:H500,L490:L500,T490:T500,X490:X500),"")</f>
        <v>0</v>
      </c>
      <c r="AA490" s="786"/>
    </row>
    <row r="491" spans="1:29" ht="18.75">
      <c r="A491" s="786"/>
      <c r="B491" s="216"/>
      <c r="C491" s="789"/>
      <c r="D491" s="792"/>
      <c r="E491" s="393">
        <f>IF(D490&lt;=3,база!$I$4,
IF(D490=4,база!$I$5,
IF(D490=5,база!$I$6)))</f>
        <v>188.7912</v>
      </c>
      <c r="F491" s="390">
        <v>1</v>
      </c>
      <c r="G491" s="400">
        <f>SUMIFS(Таблица1[Столбец1],Таблица1[коэф],"1",Таблица1[р/р],"3/4",Таблица1[Ф. И. О.],B495)</f>
        <v>0</v>
      </c>
      <c r="H491" s="392">
        <f t="shared" si="156"/>
        <v>0</v>
      </c>
      <c r="I491" s="389">
        <f>IF(D490&lt;=3,база!$J$4,
IF(D490=4,база!$J$5,
IF(D490=5,база!$J$6)))</f>
        <v>196.05240000000001</v>
      </c>
      <c r="J491" s="390">
        <v>1</v>
      </c>
      <c r="K491" s="434">
        <f>SUMIFS(Таблица1[Столбец1],Таблица1[коэф],"1",Таблица1[р/р],"3/8",Таблица1[Ф. И. О.],B495)</f>
        <v>0</v>
      </c>
      <c r="L491" s="484">
        <f t="shared" si="157"/>
        <v>0</v>
      </c>
      <c r="M491" s="432"/>
      <c r="N491" s="434">
        <v>1</v>
      </c>
      <c r="O491" s="434">
        <f>SUMIFS(Data_Tech!$AM$3:$AM$67,Data_Tech!$E$3:$E$67,"1",Data_Tech!$G$3:$G$67,"4/12",Data_Tech!$F$3:$F$67,B495)</f>
        <v>0</v>
      </c>
      <c r="P491" s="434">
        <f>ROUND(M491*O491,2)</f>
        <v>0</v>
      </c>
      <c r="Q491" s="399">
        <f>база!$L$5</f>
        <v>231.45480000000001</v>
      </c>
      <c r="R491" s="390">
        <v>1</v>
      </c>
      <c r="S491" s="491">
        <f>SUMIFS(Таблица1[Столбец1],Таблица1[коэф],"1",Таблица1[р/р],"4/16",Таблица1[Ф. И. О.],B495)</f>
        <v>0</v>
      </c>
      <c r="T491" s="492">
        <f t="shared" si="158"/>
        <v>0</v>
      </c>
      <c r="U491" s="472">
        <f>база!$M$5</f>
        <v>247.41720000000001</v>
      </c>
      <c r="V491" s="390">
        <v>1</v>
      </c>
      <c r="W491" s="494">
        <f>SUMIFS(Таблица1[Столбец1],Таблица1[коэф],"1",Таблица1[р/р],"4/24",Таблица1[Ф. И. О.],B495)</f>
        <v>0</v>
      </c>
      <c r="X491" s="492">
        <f t="shared" si="159"/>
        <v>0</v>
      </c>
      <c r="Y491" s="795"/>
      <c r="Z491" s="797"/>
      <c r="AA491" s="786"/>
    </row>
    <row r="492" spans="1:29" ht="18.75">
      <c r="A492" s="786"/>
      <c r="B492" s="216"/>
      <c r="C492" s="789"/>
      <c r="D492" s="792"/>
      <c r="E492" s="393"/>
      <c r="F492" s="390"/>
      <c r="G492" s="400"/>
      <c r="H492" s="392">
        <f t="shared" si="156"/>
        <v>0</v>
      </c>
      <c r="I492" s="389"/>
      <c r="J492" s="390"/>
      <c r="K492" s="434"/>
      <c r="L492" s="484">
        <f t="shared" si="157"/>
        <v>0</v>
      </c>
      <c r="M492" s="432"/>
      <c r="N492" s="434"/>
      <c r="O492" s="434"/>
      <c r="P492" s="434"/>
      <c r="Q492" s="399">
        <f>база!$L$6</f>
        <v>261.04640000000001</v>
      </c>
      <c r="R492" s="390">
        <v>1</v>
      </c>
      <c r="S492" s="491">
        <f>SUMIFS(Таблица1[Столбец1],Таблица1[коэф],"1",Таблица1[р/р],"5/16",Таблица1[Ф. И. О.],B495)</f>
        <v>0</v>
      </c>
      <c r="T492" s="492">
        <f t="shared" si="158"/>
        <v>0</v>
      </c>
      <c r="U492" s="472">
        <f>база!$M$6</f>
        <v>279.0496</v>
      </c>
      <c r="V492" s="390">
        <v>1</v>
      </c>
      <c r="W492" s="494">
        <f>SUMIFS(Таблица1[Столбец1],Таблица1[коэф],"1",Таблица1[р/р],"5/24",Таблица1[Ф. И. О.],B495)</f>
        <v>0</v>
      </c>
      <c r="X492" s="492">
        <f t="shared" si="159"/>
        <v>0</v>
      </c>
      <c r="Y492" s="795"/>
      <c r="Z492" s="797"/>
      <c r="AA492" s="786"/>
    </row>
    <row r="493" spans="1:29" ht="18.75">
      <c r="A493" s="786"/>
      <c r="B493" s="216"/>
      <c r="C493" s="789"/>
      <c r="D493" s="792"/>
      <c r="E493" s="393"/>
      <c r="F493" s="390"/>
      <c r="G493" s="400"/>
      <c r="H493" s="392">
        <f t="shared" si="156"/>
        <v>0</v>
      </c>
      <c r="I493" s="389">
        <f>база!$J$5</f>
        <v>215.4924</v>
      </c>
      <c r="J493" s="390">
        <v>1.5</v>
      </c>
      <c r="K493" s="434">
        <f>SUMIFS(Таблица1[Столбец1],Таблица1[коэф],"1,5",Таблица1[р/р],"4/8",Таблица1[Ф. И. О.],B495)</f>
        <v>0</v>
      </c>
      <c r="L493" s="484">
        <f t="shared" si="157"/>
        <v>0</v>
      </c>
      <c r="M493" s="432"/>
      <c r="N493" s="434"/>
      <c r="O493" s="434"/>
      <c r="P493" s="434"/>
      <c r="Q493" s="399">
        <f>IF(D490&lt;=3,база!$L$4,
IF(D490=4,база!$L$5,
IF(D490=5,база!$L$6)))</f>
        <v>210.57480000000001</v>
      </c>
      <c r="R493" s="390">
        <v>1.2</v>
      </c>
      <c r="S493" s="491">
        <f>SUMIFS(Таблица1[Столбец1],Таблица1[коэф],"1,2",Таблица1[р/р],"3/16",Таблица1[Ф. И. О.],B495)</f>
        <v>0</v>
      </c>
      <c r="T493" s="492">
        <f t="shared" si="158"/>
        <v>0</v>
      </c>
      <c r="U493" s="472">
        <f>IF(D490&lt;=3,база!$M$4,
IF(D490=4,база!$M$5,
IF(D490=5,база!$M$6)))</f>
        <v>225.09719999999999</v>
      </c>
      <c r="V493" s="390">
        <v>1.2</v>
      </c>
      <c r="W493" s="494">
        <f>SUMIFS(Таблица1[Столбец1],Таблица1[коэф],"1,2",Таблица1[р/р],"3/24",Таблица1[Ф. И. О.],B495)</f>
        <v>0</v>
      </c>
      <c r="X493" s="492">
        <f t="shared" si="159"/>
        <v>0</v>
      </c>
      <c r="Y493" s="795"/>
      <c r="Z493" s="797"/>
      <c r="AA493" s="786"/>
    </row>
    <row r="494" spans="1:29" ht="18.75">
      <c r="A494" s="786"/>
      <c r="B494" s="216"/>
      <c r="C494" s="789"/>
      <c r="D494" s="792"/>
      <c r="E494" s="393"/>
      <c r="F494" s="390"/>
      <c r="G494" s="400"/>
      <c r="H494" s="392">
        <f t="shared" si="156"/>
        <v>0</v>
      </c>
      <c r="I494" s="389">
        <f>база!$J$6</f>
        <v>243.04319999999998</v>
      </c>
      <c r="J494" s="390">
        <v>1.5</v>
      </c>
      <c r="K494" s="434">
        <f>SUMIFS(Таблица1[Столбец1],Таблица1[коэф],"1,5",Таблица1[р/р],"5/8",Таблица1[Ф. И. О.],B495)</f>
        <v>0</v>
      </c>
      <c r="L494" s="484">
        <f t="shared" si="157"/>
        <v>0</v>
      </c>
      <c r="M494" s="432"/>
      <c r="N494" s="434"/>
      <c r="O494" s="434"/>
      <c r="P494" s="434"/>
      <c r="Q494" s="399">
        <f>база!$L$5</f>
        <v>231.45480000000001</v>
      </c>
      <c r="R494" s="390">
        <v>1.2</v>
      </c>
      <c r="S494" s="491">
        <f>SUMIFS(Таблица1[Столбец1],Таблица1[коэф],"1,2",Таблица1[р/р],"4/16",Таблица1[Ф. И. О.],B495)</f>
        <v>0</v>
      </c>
      <c r="T494" s="492">
        <f t="shared" si="158"/>
        <v>0</v>
      </c>
      <c r="U494" s="472">
        <f>база!$M$5</f>
        <v>247.41720000000001</v>
      </c>
      <c r="V494" s="390">
        <v>1.2</v>
      </c>
      <c r="W494" s="494">
        <f>SUMIFS(Таблица1[Столбец1],Таблица1[коэф],"1,2",Таблица1[р/р],"4/24",Таблица1[Ф. И. О.],B495)</f>
        <v>0</v>
      </c>
      <c r="X494" s="492">
        <f t="shared" si="159"/>
        <v>0</v>
      </c>
      <c r="Y494" s="795"/>
      <c r="Z494" s="797"/>
      <c r="AA494" s="786"/>
    </row>
    <row r="495" spans="1:29" ht="18" customHeight="1">
      <c r="A495" s="786"/>
      <c r="B495" s="216" t="str">
        <f>база!B46</f>
        <v>Маркова Ольга Евгеньевна</v>
      </c>
      <c r="C495" s="789"/>
      <c r="D495" s="792"/>
      <c r="E495" s="393"/>
      <c r="F495" s="390"/>
      <c r="G495" s="400"/>
      <c r="H495" s="392">
        <f t="shared" si="156"/>
        <v>0</v>
      </c>
      <c r="I495" s="389"/>
      <c r="J495" s="390"/>
      <c r="K495" s="434"/>
      <c r="L495" s="484">
        <f t="shared" si="157"/>
        <v>0</v>
      </c>
      <c r="M495" s="432"/>
      <c r="N495" s="434"/>
      <c r="O495" s="434"/>
      <c r="P495" s="434"/>
      <c r="Q495" s="399">
        <f>база!$L$6</f>
        <v>261.04640000000001</v>
      </c>
      <c r="R495" s="390">
        <v>1.2</v>
      </c>
      <c r="S495" s="491">
        <f>SUMIFS(Таблица1[Столбец1],Таблица1[коэф],"1,2",Таблица1[р/р],"5/16",Таблица1[Ф. И. О.],B495)</f>
        <v>0</v>
      </c>
      <c r="T495" s="492">
        <f t="shared" si="158"/>
        <v>0</v>
      </c>
      <c r="U495" s="472">
        <f>база!$M$6</f>
        <v>279.0496</v>
      </c>
      <c r="V495" s="390">
        <v>1.2</v>
      </c>
      <c r="W495" s="494">
        <f>SUMIFS(Таблица1[Столбец1],Таблица1[коэф],"1,2",Таблица1[р/р],"5/24",Таблица1[Ф. И. О.],B495)</f>
        <v>0</v>
      </c>
      <c r="X495" s="492">
        <f t="shared" si="159"/>
        <v>0</v>
      </c>
      <c r="Y495" s="795"/>
      <c r="Z495" s="797"/>
      <c r="AA495" s="786"/>
      <c r="AC495" s="727" t="str">
        <f>IF(SUMIFS(Таблица1[Столбец3],Таблица1[Ф. И. О.],B495)-Z490=0,"",SUMIFS(Таблица1[Столбец3],Таблица1[Ф. И. О.],B495)-Z490)</f>
        <v/>
      </c>
    </row>
    <row r="496" spans="1:29" ht="18.75">
      <c r="A496" s="786"/>
      <c r="B496" s="216"/>
      <c r="C496" s="789"/>
      <c r="D496" s="792"/>
      <c r="E496" s="393"/>
      <c r="F496" s="390"/>
      <c r="G496" s="400"/>
      <c r="H496" s="392">
        <f t="shared" si="156"/>
        <v>0</v>
      </c>
      <c r="I496" s="389"/>
      <c r="J496" s="390"/>
      <c r="K496" s="434"/>
      <c r="L496" s="484">
        <f t="shared" si="157"/>
        <v>0</v>
      </c>
      <c r="M496" s="432"/>
      <c r="N496" s="434"/>
      <c r="O496" s="434"/>
      <c r="P496" s="434"/>
      <c r="Q496" s="399">
        <f>IF(D490&lt;=3,база!$L$4,
IF(D490=4,база!$L$5,
IF(D490=5,база!$L$6)))</f>
        <v>210.57480000000001</v>
      </c>
      <c r="R496" s="390">
        <v>1.3</v>
      </c>
      <c r="S496" s="491">
        <f>SUMIFS(Таблица1[Столбец1],Таблица1[коэф],"1,3",Таблица1[р/р],"3/16",Таблица1[Ф. И. О.],B495)</f>
        <v>0</v>
      </c>
      <c r="T496" s="492">
        <f t="shared" si="158"/>
        <v>0</v>
      </c>
      <c r="U496" s="472">
        <f>IF(D490&lt;=3,база!$M$4,
IF(D490=4,база!$M$5,
IF(D490=5,база!$M$6)))</f>
        <v>225.09719999999999</v>
      </c>
      <c r="V496" s="390">
        <v>1.3</v>
      </c>
      <c r="W496" s="494">
        <f>SUMIFS(Таблица1[Столбец1],Таблица1[коэф],"1,3",Таблица1[р/р],"3/24",Таблица1[Ф. И. О.],B495)</f>
        <v>0</v>
      </c>
      <c r="X496" s="492">
        <f t="shared" si="159"/>
        <v>0</v>
      </c>
      <c r="Y496" s="795"/>
      <c r="Z496" s="797"/>
      <c r="AA496" s="786"/>
      <c r="AC496" s="727" t="str">
        <f>IF(SUMIFS(Таблица1[Столбец1],Таблица1[Ф. И. О.],B495)=Y490,"",B495&amp;"  часы не верны")</f>
        <v/>
      </c>
    </row>
    <row r="497" spans="1:29" ht="18.75">
      <c r="A497" s="786"/>
      <c r="B497" s="216"/>
      <c r="C497" s="789"/>
      <c r="D497" s="792"/>
      <c r="E497" s="393"/>
      <c r="F497" s="390"/>
      <c r="G497" s="400"/>
      <c r="H497" s="392">
        <f t="shared" si="156"/>
        <v>0</v>
      </c>
      <c r="I497" s="389"/>
      <c r="J497" s="390"/>
      <c r="K497" s="434"/>
      <c r="L497" s="484">
        <f t="shared" si="157"/>
        <v>0</v>
      </c>
      <c r="M497" s="432"/>
      <c r="N497" s="434"/>
      <c r="O497" s="434"/>
      <c r="P497" s="434"/>
      <c r="Q497" s="399">
        <f>база!$L$5</f>
        <v>231.45480000000001</v>
      </c>
      <c r="R497" s="390">
        <v>1.3</v>
      </c>
      <c r="S497" s="491">
        <f>SUMIFS(Таблица1[Столбец1],Таблица1[коэф],"1,3",Таблица1[р/р],"4/16",Таблица1[Ф. И. О.],B495)</f>
        <v>0</v>
      </c>
      <c r="T497" s="492">
        <f t="shared" si="158"/>
        <v>0</v>
      </c>
      <c r="U497" s="472">
        <f>база!$M$5</f>
        <v>247.41720000000001</v>
      </c>
      <c r="V497" s="390">
        <v>1.3</v>
      </c>
      <c r="W497" s="494">
        <f>SUMIFS(Таблица1[Столбец1],Таблица1[коэф],"1,3",Таблица1[р/р],"4/24",Таблица1[Ф. И. О.],B495)</f>
        <v>0</v>
      </c>
      <c r="X497" s="492">
        <f t="shared" si="159"/>
        <v>0</v>
      </c>
      <c r="Y497" s="795"/>
      <c r="Z497" s="797"/>
      <c r="AA497" s="786"/>
    </row>
    <row r="498" spans="1:29" ht="18.75">
      <c r="A498" s="786"/>
      <c r="B498" s="216"/>
      <c r="C498" s="789"/>
      <c r="D498" s="792"/>
      <c r="E498" s="393"/>
      <c r="F498" s="390"/>
      <c r="G498" s="400"/>
      <c r="H498" s="392">
        <f t="shared" si="156"/>
        <v>0</v>
      </c>
      <c r="I498" s="389"/>
      <c r="J498" s="390"/>
      <c r="K498" s="434"/>
      <c r="L498" s="484">
        <f t="shared" si="157"/>
        <v>0</v>
      </c>
      <c r="M498" s="432"/>
      <c r="N498" s="434"/>
      <c r="O498" s="434"/>
      <c r="P498" s="434"/>
      <c r="Q498" s="399">
        <f>IF(D490&lt;=3,база!$L$4,
IF(D490=4,база!$L$5,
IF(D490=5,база!$L$6)))</f>
        <v>210.57480000000001</v>
      </c>
      <c r="R498" s="390">
        <v>1.4</v>
      </c>
      <c r="S498" s="491">
        <f>SUMIFS(Таблица1[Столбец1],Таблица1[коэф],"1,4",Таблица1[р/р],"3/16",Таблица1[Ф. И. О.],B495)</f>
        <v>0</v>
      </c>
      <c r="T498" s="492">
        <f t="shared" si="158"/>
        <v>0</v>
      </c>
      <c r="U498" s="472">
        <f>IF(D490&lt;=3,база!$M$4,
IF(D490=4,база!$M$5,
IF(D490=5,база!$M$6)))</f>
        <v>225.09719999999999</v>
      </c>
      <c r="V498" s="390">
        <v>1.4</v>
      </c>
      <c r="W498" s="494">
        <f>SUMIFS(Таблица1[Столбец1],Таблица1[коэф],"1,4",Таблица1[р/р],"3/24",Таблица1[Ф. И. О.],B495)</f>
        <v>0</v>
      </c>
      <c r="X498" s="492">
        <f t="shared" si="159"/>
        <v>0</v>
      </c>
      <c r="Y498" s="795"/>
      <c r="Z498" s="797"/>
      <c r="AA498" s="786"/>
    </row>
    <row r="499" spans="1:29" ht="18.75">
      <c r="A499" s="786"/>
      <c r="B499" s="216"/>
      <c r="C499" s="789"/>
      <c r="D499" s="792"/>
      <c r="E499" s="393"/>
      <c r="F499" s="390"/>
      <c r="G499" s="400"/>
      <c r="H499" s="392">
        <f t="shared" si="156"/>
        <v>0</v>
      </c>
      <c r="I499" s="389"/>
      <c r="J499" s="390"/>
      <c r="K499" s="434"/>
      <c r="L499" s="395">
        <f t="shared" si="157"/>
        <v>0</v>
      </c>
      <c r="M499" s="432"/>
      <c r="N499" s="434"/>
      <c r="O499" s="434"/>
      <c r="P499" s="434"/>
      <c r="Q499" s="399">
        <f>база!$L$5</f>
        <v>231.45480000000001</v>
      </c>
      <c r="R499" s="390">
        <v>1.4</v>
      </c>
      <c r="S499" s="491">
        <f>SUMIFS(Таблица1[Столбец1],Таблица1[коэф],"1,4",Таблица1[р/р],"4/16",Таблица1[Ф. И. О.],B495)</f>
        <v>0</v>
      </c>
      <c r="T499" s="492">
        <f t="shared" si="158"/>
        <v>0</v>
      </c>
      <c r="U499" s="472">
        <f>база!$M$5</f>
        <v>247.41720000000001</v>
      </c>
      <c r="V499" s="390">
        <v>1.4</v>
      </c>
      <c r="W499" s="494">
        <f>SUMIFS(Таблица1[Столбец1],Таблица1[коэф],"1,4",Таблица1[р/р],"4/24",Таблица1[Ф. И. О.],B495)</f>
        <v>0</v>
      </c>
      <c r="X499" s="492">
        <f t="shared" si="159"/>
        <v>0</v>
      </c>
      <c r="Y499" s="795"/>
      <c r="Z499" s="797"/>
      <c r="AA499" s="786"/>
    </row>
    <row r="500" spans="1:29" ht="19.5" thickBot="1">
      <c r="A500" s="787"/>
      <c r="B500" s="352"/>
      <c r="C500" s="790"/>
      <c r="D500" s="793"/>
      <c r="E500" s="463"/>
      <c r="F500" s="464"/>
      <c r="G500" s="465"/>
      <c r="H500" s="468">
        <f t="shared" si="156"/>
        <v>0</v>
      </c>
      <c r="I500" s="473"/>
      <c r="J500" s="464"/>
      <c r="K500" s="457"/>
      <c r="L500" s="458">
        <f t="shared" si="157"/>
        <v>0</v>
      </c>
      <c r="M500" s="466"/>
      <c r="N500" s="457"/>
      <c r="O500" s="457"/>
      <c r="P500" s="457"/>
      <c r="Q500" s="467">
        <f>база!$L$6</f>
        <v>261.04640000000001</v>
      </c>
      <c r="R500" s="464">
        <v>1.4</v>
      </c>
      <c r="S500" s="512">
        <f>SUMIFS(Таблица1[Столбец1],Таблица1[коэф],"1,4",Таблица1[р/р],"5/16",Таблица1[Ф. И. О.],B495)</f>
        <v>0</v>
      </c>
      <c r="T500" s="513">
        <f t="shared" si="158"/>
        <v>0</v>
      </c>
      <c r="U500" s="474">
        <f>база!$M$6</f>
        <v>279.0496</v>
      </c>
      <c r="V500" s="464">
        <v>1.4</v>
      </c>
      <c r="W500" s="501">
        <f>SUMIFS(Таблица1[Столбец1],Таблица1[коэф],"1,4",Таблица1[р/р],"5/24",Таблица1[Ф. И. О.],B495)</f>
        <v>0</v>
      </c>
      <c r="X500" s="513">
        <f t="shared" si="159"/>
        <v>0</v>
      </c>
      <c r="Y500" s="796"/>
      <c r="Z500" s="798"/>
      <c r="AA500" s="787"/>
    </row>
    <row r="501" spans="1:29" ht="18.75">
      <c r="A501" s="785">
        <v>46</v>
      </c>
      <c r="B501" s="236"/>
      <c r="C501" s="788">
        <f>INDEX(база!$E$2:$E$81, MATCH(B506,база!$B$2:$B$60,0))</f>
        <v>16872</v>
      </c>
      <c r="D501" s="791">
        <f>INDEX(база!$D$2:$D$89, MATCH(B506,база!$B$2:$B$60,0))</f>
        <v>3</v>
      </c>
      <c r="E501" s="377">
        <f>IF(D501&lt;=3,база!$I$4,
IF(D501=4,база!$I$5,
IF(D501=5,база!$I$6)))</f>
        <v>188.7912</v>
      </c>
      <c r="F501" s="378">
        <v>1</v>
      </c>
      <c r="G501" s="387">
        <f>SUMIFS(Таблица1[Столбец1],Таблица1[коэф],"1",Таблица1[р/р],"2/4",Таблица1[Ф. И. О.],B506)</f>
        <v>0</v>
      </c>
      <c r="H501" s="402">
        <f t="shared" si="32"/>
        <v>0</v>
      </c>
      <c r="I501" s="426">
        <f>IF(D501&lt;=3,база!$J$4,
IF(D501=4,база!$J$5,
IF(D501=5,база!$J$6)))</f>
        <v>196.05240000000001</v>
      </c>
      <c r="J501" s="427">
        <v>1</v>
      </c>
      <c r="K501" s="428">
        <f>SUMIFS(Таблица1[Столбец1],Таблица1[коэф],"1",Таблица1[р/р],"2/8",Таблица1[Ф. И. О.],B506)</f>
        <v>0</v>
      </c>
      <c r="L501" s="383">
        <f t="shared" si="33"/>
        <v>0</v>
      </c>
      <c r="M501" s="428"/>
      <c r="N501" s="428">
        <v>1</v>
      </c>
      <c r="O501" s="428">
        <f>SUMIFS(Data_Tech!$AM$3:$AM$67,Data_Tech!$E$3:$E$67,"1",Data_Tech!$G$3:$G$67,"3/12",Data_Tech!$F$3:$F$67,B506)</f>
        <v>0</v>
      </c>
      <c r="P501" s="385">
        <f>ROUND(M501*N501*O501,2)</f>
        <v>0</v>
      </c>
      <c r="Q501" s="377">
        <f>IF(D501&lt;=3,база!$L$4,
IF(D501=4,база!$L$5,
IF(D501=5,база!$L$6)))</f>
        <v>210.57480000000001</v>
      </c>
      <c r="R501" s="378">
        <v>1</v>
      </c>
      <c r="S501" s="387">
        <f>SUMIFS(Таблица1[Столбец1],Таблица1[коэф],"1",Таблица1[р/р],"3/16",Таблица1[Ф. И. О.],B506)</f>
        <v>0</v>
      </c>
      <c r="T501" s="490">
        <f t="shared" si="34"/>
        <v>0</v>
      </c>
      <c r="U501" s="477">
        <f>IF(D501&lt;=3,база!$M$4,
IF(D501=4,база!$M$5,
IF(D501=5,база!$M$6)))</f>
        <v>225.09719999999999</v>
      </c>
      <c r="V501" s="378">
        <v>1</v>
      </c>
      <c r="W501" s="430">
        <f>SUMIFS(Таблица1[Столбец1],Таблица1[коэф],"1",Таблица1[р/р],"3/24",Таблица1[Ф. И. О.],B506)</f>
        <v>0</v>
      </c>
      <c r="X501" s="490">
        <f t="shared" si="35"/>
        <v>0</v>
      </c>
      <c r="Y501" s="795">
        <f t="shared" ref="Y501" si="162">SUM(G501:G511,K501:K511,O501:O511,S501:S511,W501:W511)</f>
        <v>0</v>
      </c>
      <c r="Z501" s="797">
        <f t="shared" ref="Z501" si="163">IFERROR(SUM(H501:H511,L501:L511,T501:T511,X501:X511),"")</f>
        <v>0</v>
      </c>
      <c r="AA501" s="786"/>
    </row>
    <row r="502" spans="1:29" ht="18.75">
      <c r="A502" s="786"/>
      <c r="B502" s="216"/>
      <c r="C502" s="789"/>
      <c r="D502" s="792"/>
      <c r="E502" s="389">
        <f>IF(D501&lt;=3,база!$I$4,
IF(D501=4,база!$I$5,
IF(D501=5,база!$I$6)))</f>
        <v>188.7912</v>
      </c>
      <c r="F502" s="390">
        <v>1</v>
      </c>
      <c r="G502" s="400">
        <f>SUMIFS(Таблица1[Столбец1],Таблица1[коэф],"1",Таблица1[р/р],"3/4",Таблица1[Ф. И. О.],B506)</f>
        <v>0</v>
      </c>
      <c r="H502" s="392">
        <f t="shared" si="32"/>
        <v>0</v>
      </c>
      <c r="I502" s="432">
        <f>IF(D501&lt;=3,база!$J$4,
IF(D501=4,база!$J$5,
IF(D501=5,база!$J$6)))</f>
        <v>196.05240000000001</v>
      </c>
      <c r="J502" s="433">
        <v>1</v>
      </c>
      <c r="K502" s="434">
        <f>SUMIFS(Таблица1[Столбец1],Таблица1[коэф],"1",Таблица1[р/р],"3/8",Таблица1[Ф. И. О.],B506)</f>
        <v>0</v>
      </c>
      <c r="L502" s="484">
        <f t="shared" si="33"/>
        <v>0</v>
      </c>
      <c r="M502" s="434"/>
      <c r="N502" s="434">
        <v>1</v>
      </c>
      <c r="O502" s="434">
        <f>SUMIFS(Data_Tech!$AM$3:$AM$67,Data_Tech!$E$3:$E$67,"1",Data_Tech!$G$3:$G$67,"4/12",Data_Tech!$F$3:$F$67,B506)</f>
        <v>0</v>
      </c>
      <c r="P502" s="406">
        <f>ROUND(M502*O502,2)</f>
        <v>0</v>
      </c>
      <c r="Q502" s="389">
        <f>база!$L$5</f>
        <v>231.45480000000001</v>
      </c>
      <c r="R502" s="390">
        <v>1</v>
      </c>
      <c r="S502" s="400">
        <f>SUMIFS(Таблица1[Столбец1],Таблица1[коэф],"1",Таблица1[р/р],"4/16",Таблица1[Ф. И. О.],B506)</f>
        <v>0</v>
      </c>
      <c r="T502" s="492">
        <f t="shared" si="34"/>
        <v>0</v>
      </c>
      <c r="U502" s="478">
        <f>база!$M$5</f>
        <v>247.41720000000001</v>
      </c>
      <c r="V502" s="390">
        <v>1</v>
      </c>
      <c r="W502" s="412">
        <f>SUMIFS(Таблица1[Столбец1],Таблица1[коэф],"1",Таблица1[р/р],"4/24",Таблица1[Ф. И. О.],B506)</f>
        <v>0</v>
      </c>
      <c r="X502" s="492">
        <f t="shared" si="35"/>
        <v>0</v>
      </c>
      <c r="Y502" s="795"/>
      <c r="Z502" s="797"/>
      <c r="AA502" s="786"/>
    </row>
    <row r="503" spans="1:29" ht="18.75">
      <c r="A503" s="786"/>
      <c r="B503" s="216"/>
      <c r="C503" s="789"/>
      <c r="D503" s="792"/>
      <c r="E503" s="389"/>
      <c r="F503" s="390"/>
      <c r="G503" s="400"/>
      <c r="H503" s="392">
        <f t="shared" si="32"/>
        <v>0</v>
      </c>
      <c r="I503" s="432"/>
      <c r="J503" s="433"/>
      <c r="K503" s="434"/>
      <c r="L503" s="484">
        <f t="shared" si="33"/>
        <v>0</v>
      </c>
      <c r="M503" s="434"/>
      <c r="N503" s="434"/>
      <c r="O503" s="434"/>
      <c r="P503" s="406"/>
      <c r="Q503" s="389">
        <f>база!$L$6</f>
        <v>261.04640000000001</v>
      </c>
      <c r="R503" s="390">
        <v>1</v>
      </c>
      <c r="S503" s="400">
        <f>SUMIFS(Таблица1[Столбец1],Таблица1[коэф],"1",Таблица1[р/р],"5/16",Таблица1[Ф. И. О.],B506)</f>
        <v>0</v>
      </c>
      <c r="T503" s="492">
        <f t="shared" si="34"/>
        <v>0</v>
      </c>
      <c r="U503" s="478">
        <f>база!$M$6</f>
        <v>279.0496</v>
      </c>
      <c r="V503" s="390">
        <v>1</v>
      </c>
      <c r="W503" s="412">
        <f>SUMIFS(Таблица1[Столбец1],Таблица1[коэф],"1",Таблица1[р/р],"5/24",Таблица1[Ф. И. О.],B506)</f>
        <v>0</v>
      </c>
      <c r="X503" s="492">
        <f t="shared" si="35"/>
        <v>0</v>
      </c>
      <c r="Y503" s="795"/>
      <c r="Z503" s="797"/>
      <c r="AA503" s="786"/>
    </row>
    <row r="504" spans="1:29" ht="18.75">
      <c r="A504" s="786"/>
      <c r="B504" s="216"/>
      <c r="C504" s="789"/>
      <c r="D504" s="792"/>
      <c r="E504" s="389"/>
      <c r="F504" s="390"/>
      <c r="G504" s="400"/>
      <c r="H504" s="392">
        <f t="shared" si="32"/>
        <v>0</v>
      </c>
      <c r="I504" s="432">
        <f>база!$J$5</f>
        <v>215.4924</v>
      </c>
      <c r="J504" s="433">
        <v>1.5</v>
      </c>
      <c r="K504" s="434">
        <f>SUMIFS(Таблица1[Столбец1],Таблица1[коэф],"1,5",Таблица1[р/р],"4/8",Таблица1[Ф. И. О.],B506)</f>
        <v>0</v>
      </c>
      <c r="L504" s="484">
        <f t="shared" si="33"/>
        <v>0</v>
      </c>
      <c r="M504" s="434"/>
      <c r="N504" s="434"/>
      <c r="O504" s="434"/>
      <c r="P504" s="406"/>
      <c r="Q504" s="389">
        <f>IF(D501&lt;=3,база!$L$4,
IF(D501=4,база!$L$5,
IF(D501=5,база!$L$6)))</f>
        <v>210.57480000000001</v>
      </c>
      <c r="R504" s="390">
        <v>1.2</v>
      </c>
      <c r="S504" s="400">
        <f>SUMIFS(Таблица1[Столбец1],Таблица1[коэф],"1,2",Таблица1[р/р],"3/16",Таблица1[Ф. И. О.],B506)</f>
        <v>0</v>
      </c>
      <c r="T504" s="492">
        <f t="shared" si="34"/>
        <v>0</v>
      </c>
      <c r="U504" s="478">
        <f>IF(D501&lt;=3,база!$M$4,
IF(D501=4,база!$M$5,
IF(D501=5,база!$M$6)))</f>
        <v>225.09719999999999</v>
      </c>
      <c r="V504" s="390">
        <v>1.2</v>
      </c>
      <c r="W504" s="412">
        <f>SUMIFS(Таблица1[Столбец1],Таблица1[коэф],"1,2",Таблица1[р/р],"3/24",Таблица1[Ф. И. О.],B506)</f>
        <v>0</v>
      </c>
      <c r="X504" s="492">
        <f t="shared" si="35"/>
        <v>0</v>
      </c>
      <c r="Y504" s="795"/>
      <c r="Z504" s="797"/>
      <c r="AA504" s="786"/>
    </row>
    <row r="505" spans="1:29" ht="18.75">
      <c r="A505" s="786"/>
      <c r="B505" s="216"/>
      <c r="C505" s="789"/>
      <c r="D505" s="792"/>
      <c r="E505" s="389"/>
      <c r="F505" s="390"/>
      <c r="G505" s="400"/>
      <c r="H505" s="392">
        <f t="shared" si="32"/>
        <v>0</v>
      </c>
      <c r="I505" s="432">
        <f>база!$J$6</f>
        <v>243.04319999999998</v>
      </c>
      <c r="J505" s="433">
        <v>1.5</v>
      </c>
      <c r="K505" s="434">
        <f>SUMIFS(Таблица1[Столбец1],Таблица1[коэф],"1,5",Таблица1[р/р],"5/8",Таблица1[Ф. И. О.],B506)</f>
        <v>0</v>
      </c>
      <c r="L505" s="484">
        <f t="shared" si="33"/>
        <v>0</v>
      </c>
      <c r="M505" s="434"/>
      <c r="N505" s="434"/>
      <c r="O505" s="434"/>
      <c r="P505" s="406"/>
      <c r="Q505" s="389">
        <f>база!$L$5</f>
        <v>231.45480000000001</v>
      </c>
      <c r="R505" s="390">
        <v>1.2</v>
      </c>
      <c r="S505" s="400">
        <f>SUMIFS(Таблица1[Столбец1],Таблица1[коэф],"1,2",Таблица1[р/р],"4/16",Таблица1[Ф. И. О.],B506)</f>
        <v>0</v>
      </c>
      <c r="T505" s="492">
        <f t="shared" si="34"/>
        <v>0</v>
      </c>
      <c r="U505" s="478">
        <f>база!$M$5</f>
        <v>247.41720000000001</v>
      </c>
      <c r="V505" s="390">
        <v>1.2</v>
      </c>
      <c r="W505" s="412">
        <f>SUMIFS(Таблица1[Столбец1],Таблица1[коэф],"1,2",Таблица1[р/р],"4/24",Таблица1[Ф. И. О.],B506)</f>
        <v>0</v>
      </c>
      <c r="X505" s="492">
        <f t="shared" si="35"/>
        <v>0</v>
      </c>
      <c r="Y505" s="795"/>
      <c r="Z505" s="797"/>
      <c r="AA505" s="786"/>
    </row>
    <row r="506" spans="1:29" ht="18.75">
      <c r="A506" s="786"/>
      <c r="B506" s="216" t="str">
        <f>база!B47</f>
        <v>Марченко Ирина Вячеславовна</v>
      </c>
      <c r="C506" s="789"/>
      <c r="D506" s="792"/>
      <c r="E506" s="389"/>
      <c r="F506" s="390"/>
      <c r="G506" s="400"/>
      <c r="H506" s="392">
        <f t="shared" si="32"/>
        <v>0</v>
      </c>
      <c r="I506" s="432"/>
      <c r="J506" s="433"/>
      <c r="K506" s="434"/>
      <c r="L506" s="484">
        <f t="shared" si="33"/>
        <v>0</v>
      </c>
      <c r="M506" s="434"/>
      <c r="N506" s="434"/>
      <c r="O506" s="434"/>
      <c r="P506" s="406"/>
      <c r="Q506" s="389">
        <f>база!$L$6</f>
        <v>261.04640000000001</v>
      </c>
      <c r="R506" s="390">
        <v>1.2</v>
      </c>
      <c r="S506" s="400">
        <f>SUMIFS(Таблица1[Столбец1],Таблица1[коэф],"1,2",Таблица1[р/р],"5/16",Таблица1[Ф. И. О.],B506)</f>
        <v>0</v>
      </c>
      <c r="T506" s="492">
        <f t="shared" si="34"/>
        <v>0</v>
      </c>
      <c r="U506" s="478">
        <f>база!$M$6</f>
        <v>279.0496</v>
      </c>
      <c r="V506" s="390">
        <v>1.2</v>
      </c>
      <c r="W506" s="412">
        <f>SUMIFS(Таблица1[Столбец1],Таблица1[коэф],"1,2",Таблица1[р/р],"5/24",Таблица1[Ф. И. О.],B506)</f>
        <v>0</v>
      </c>
      <c r="X506" s="492">
        <f t="shared" si="35"/>
        <v>0</v>
      </c>
      <c r="Y506" s="795"/>
      <c r="Z506" s="797"/>
      <c r="AA506" s="786"/>
      <c r="AC506" s="727" t="str">
        <f>IF(SUMIFS(Таблица1[Столбец3],Таблица1[Ф. И. О.],B506)-Z501=0,"",SUMIFS(Таблица1[Столбец3],Таблица1[Ф. И. О.],B506)-Z501)</f>
        <v/>
      </c>
    </row>
    <row r="507" spans="1:29" ht="18.75">
      <c r="A507" s="786"/>
      <c r="B507" s="216"/>
      <c r="C507" s="789"/>
      <c r="D507" s="792"/>
      <c r="E507" s="389"/>
      <c r="F507" s="390"/>
      <c r="G507" s="400"/>
      <c r="H507" s="392">
        <f t="shared" si="32"/>
        <v>0</v>
      </c>
      <c r="I507" s="432"/>
      <c r="J507" s="433"/>
      <c r="K507" s="434"/>
      <c r="L507" s="484">
        <f t="shared" si="33"/>
        <v>0</v>
      </c>
      <c r="M507" s="434"/>
      <c r="N507" s="434"/>
      <c r="O507" s="434"/>
      <c r="P507" s="406"/>
      <c r="Q507" s="389">
        <f>IF($D$6&lt;=3,база!$L$4,
IF($D$6=4,база!$L$5,
IF($D$6=5,база!$L$6)))</f>
        <v>231.45480000000001</v>
      </c>
      <c r="R507" s="390">
        <v>1.3</v>
      </c>
      <c r="S507" s="400">
        <f>SUMIFS(Таблица1[Столбец1],Таблица1[коэф],"1,3",Таблица1[р/р],"3/16",Таблица1[Ф. И. О.],B506)</f>
        <v>0</v>
      </c>
      <c r="T507" s="492">
        <f t="shared" si="34"/>
        <v>0</v>
      </c>
      <c r="U507" s="478">
        <f>IF(D501&lt;=3,база!$M$4,
IF(D501=4,база!$M$5,
IF(D501=5,база!$M$6)))</f>
        <v>225.09719999999999</v>
      </c>
      <c r="V507" s="390">
        <v>1.3</v>
      </c>
      <c r="W507" s="412">
        <f>SUMIFS(Таблица1[Столбец1],Таблица1[коэф],"1,3",Таблица1[р/р],"3/24",Таблица1[Ф. И. О.],B506)</f>
        <v>0</v>
      </c>
      <c r="X507" s="492">
        <f t="shared" si="35"/>
        <v>0</v>
      </c>
      <c r="Y507" s="795"/>
      <c r="Z507" s="797"/>
      <c r="AA507" s="786"/>
      <c r="AC507" s="727" t="str">
        <f>IF(SUMIFS(Таблица1[Столбец1],Таблица1[Ф. И. О.],B506)=Y501,"",B506&amp;"  часы не верны")</f>
        <v/>
      </c>
    </row>
    <row r="508" spans="1:29" ht="18.75">
      <c r="A508" s="786"/>
      <c r="B508" s="216"/>
      <c r="C508" s="789"/>
      <c r="D508" s="792"/>
      <c r="E508" s="389"/>
      <c r="F508" s="390"/>
      <c r="G508" s="400"/>
      <c r="H508" s="392">
        <f t="shared" si="32"/>
        <v>0</v>
      </c>
      <c r="I508" s="432"/>
      <c r="J508" s="433"/>
      <c r="K508" s="434"/>
      <c r="L508" s="484">
        <f t="shared" si="33"/>
        <v>0</v>
      </c>
      <c r="M508" s="434"/>
      <c r="N508" s="434"/>
      <c r="O508" s="434"/>
      <c r="P508" s="406"/>
      <c r="Q508" s="389">
        <f>база!$L$5</f>
        <v>231.45480000000001</v>
      </c>
      <c r="R508" s="390">
        <v>1.3</v>
      </c>
      <c r="S508" s="400">
        <f>SUMIFS(Таблица1[Столбец1],Таблица1[коэф],"1,3",Таблица1[р/р],"4/16",Таблица1[Ф. И. О.],B506)</f>
        <v>0</v>
      </c>
      <c r="T508" s="492">
        <f t="shared" si="34"/>
        <v>0</v>
      </c>
      <c r="U508" s="478">
        <f>база!$M$5</f>
        <v>247.41720000000001</v>
      </c>
      <c r="V508" s="390">
        <v>1.3</v>
      </c>
      <c r="W508" s="412">
        <f>SUMIFS(Таблица1[Столбец1],Таблица1[коэф],"1,3",Таблица1[р/р],"4/24",Таблица1[Ф. И. О.],B506)</f>
        <v>0</v>
      </c>
      <c r="X508" s="492">
        <f t="shared" si="35"/>
        <v>0</v>
      </c>
      <c r="Y508" s="795"/>
      <c r="Z508" s="797"/>
      <c r="AA508" s="786"/>
    </row>
    <row r="509" spans="1:29" ht="18.75">
      <c r="A509" s="786"/>
      <c r="B509" s="216"/>
      <c r="C509" s="789"/>
      <c r="D509" s="792"/>
      <c r="E509" s="389"/>
      <c r="F509" s="390"/>
      <c r="G509" s="400"/>
      <c r="H509" s="392">
        <f t="shared" si="32"/>
        <v>0</v>
      </c>
      <c r="I509" s="432"/>
      <c r="J509" s="433"/>
      <c r="K509" s="434"/>
      <c r="L509" s="484">
        <f t="shared" si="33"/>
        <v>0</v>
      </c>
      <c r="M509" s="434"/>
      <c r="N509" s="434"/>
      <c r="O509" s="434"/>
      <c r="P509" s="406"/>
      <c r="Q509" s="389">
        <f>IF(D501&lt;=3,база!$L$4,
IF(D501=4,база!$L$5,
IF(D501=5,база!$L$6)))</f>
        <v>210.57480000000001</v>
      </c>
      <c r="R509" s="390">
        <v>1.4</v>
      </c>
      <c r="S509" s="400">
        <f>SUMIFS(Таблица1[Столбец1],Таблица1[коэф],"1,4",Таблица1[р/р],"3/16",Таблица1[Ф. И. О.],B506)</f>
        <v>0</v>
      </c>
      <c r="T509" s="492">
        <f t="shared" si="34"/>
        <v>0</v>
      </c>
      <c r="U509" s="478">
        <f>IF(D501&lt;=3,база!$M$4,
IF(D501=4,база!$M$5,
IF(D501=5,база!$M$6)))</f>
        <v>225.09719999999999</v>
      </c>
      <c r="V509" s="390">
        <v>1.4</v>
      </c>
      <c r="W509" s="412">
        <f>SUMIFS(Таблица1[Столбец1],Таблица1[коэф],"1,4",Таблица1[р/р],"3/24",Таблица1[Ф. И. О.],B506)</f>
        <v>0</v>
      </c>
      <c r="X509" s="492">
        <f t="shared" si="35"/>
        <v>0</v>
      </c>
      <c r="Y509" s="795"/>
      <c r="Z509" s="797"/>
      <c r="AA509" s="786"/>
    </row>
    <row r="510" spans="1:29" ht="18.75">
      <c r="A510" s="786"/>
      <c r="B510" s="216"/>
      <c r="C510" s="789"/>
      <c r="D510" s="792"/>
      <c r="E510" s="389"/>
      <c r="F510" s="390"/>
      <c r="G510" s="400"/>
      <c r="H510" s="392">
        <f t="shared" si="32"/>
        <v>0</v>
      </c>
      <c r="I510" s="432"/>
      <c r="J510" s="433"/>
      <c r="K510" s="434"/>
      <c r="L510" s="484">
        <f t="shared" si="33"/>
        <v>0</v>
      </c>
      <c r="M510" s="434"/>
      <c r="N510" s="434"/>
      <c r="O510" s="434"/>
      <c r="P510" s="406"/>
      <c r="Q510" s="389">
        <f>база!$L$5</f>
        <v>231.45480000000001</v>
      </c>
      <c r="R510" s="390">
        <v>1.4</v>
      </c>
      <c r="S510" s="400">
        <f>SUMIFS(Таблица1[Столбец1],Таблица1[коэф],"1,4",Таблица1[р/р],"4/16",Таблица1[Ф. И. О.],B506)</f>
        <v>0</v>
      </c>
      <c r="T510" s="492">
        <f t="shared" si="34"/>
        <v>0</v>
      </c>
      <c r="U510" s="478">
        <f>база!$M$5</f>
        <v>247.41720000000001</v>
      </c>
      <c r="V510" s="390">
        <v>1.4</v>
      </c>
      <c r="W510" s="412">
        <f>SUMIFS(Таблица1[Столбец1],Таблица1[коэф],"1,4",Таблица1[р/р],"4/24",Таблица1[Ф. И. О.],B506)</f>
        <v>0</v>
      </c>
      <c r="X510" s="492">
        <f t="shared" si="35"/>
        <v>0</v>
      </c>
      <c r="Y510" s="795"/>
      <c r="Z510" s="797"/>
      <c r="AA510" s="786"/>
    </row>
    <row r="511" spans="1:29" ht="19.5" thickBot="1">
      <c r="A511" s="787"/>
      <c r="B511" s="203"/>
      <c r="C511" s="790"/>
      <c r="D511" s="793"/>
      <c r="E511" s="473"/>
      <c r="F511" s="464"/>
      <c r="G511" s="465"/>
      <c r="H511" s="440">
        <f t="shared" si="32"/>
        <v>0</v>
      </c>
      <c r="I511" s="466"/>
      <c r="J511" s="456"/>
      <c r="K511" s="457"/>
      <c r="L511" s="484">
        <f t="shared" si="33"/>
        <v>0</v>
      </c>
      <c r="M511" s="457"/>
      <c r="N511" s="457"/>
      <c r="O511" s="457"/>
      <c r="P511" s="476"/>
      <c r="Q511" s="473">
        <f>база!$L$6</f>
        <v>261.04640000000001</v>
      </c>
      <c r="R511" s="464">
        <v>1.4</v>
      </c>
      <c r="S511" s="465">
        <f>SUMIFS(Таблица1[Столбец1],Таблица1[коэф],"1,4",Таблица1[р/р],"5/16",Таблица1[Ф. И. О.],B506)</f>
        <v>0</v>
      </c>
      <c r="T511" s="492">
        <f t="shared" si="34"/>
        <v>0</v>
      </c>
      <c r="U511" s="480">
        <f>база!$M$6</f>
        <v>279.0496</v>
      </c>
      <c r="V511" s="464">
        <v>1.4</v>
      </c>
      <c r="W511" s="470">
        <f>SUMIFS(Таблица1[Столбец1],Таблица1[коэф],"1,4",Таблица1[р/р],"5/24",Таблица1[Ф. И. О.],B506)</f>
        <v>0</v>
      </c>
      <c r="X511" s="492">
        <f t="shared" si="35"/>
        <v>0</v>
      </c>
      <c r="Y511" s="796"/>
      <c r="Z511" s="798"/>
      <c r="AA511" s="787"/>
    </row>
    <row r="512" spans="1:29" ht="18.75">
      <c r="A512" s="785">
        <v>47</v>
      </c>
      <c r="B512" s="236"/>
      <c r="C512" s="788">
        <f>INDEX(база!$E$2:$E$81, MATCH(B517,база!$B$2:$B$60,0))</f>
        <v>15082</v>
      </c>
      <c r="D512" s="791">
        <f>INDEX(база!$D$2:$D$89, MATCH(B517,база!$B$2:$B$60,0))</f>
        <v>3</v>
      </c>
      <c r="E512" s="377">
        <f>IF(D512&lt;=3,база!$I$4,
IF(D512=4,база!$I$5,
IF(D512=5,база!$I$6)))</f>
        <v>188.7912</v>
      </c>
      <c r="F512" s="378">
        <v>1</v>
      </c>
      <c r="G512" s="387">
        <f>SUMIFS(Таблица1[Столбец1],Таблица1[коэф],"1",Таблица1[р/р],"2/4",Таблица1[Ф. И. О.],B517)</f>
        <v>0</v>
      </c>
      <c r="H512" s="380">
        <f t="shared" ref="H512:H522" si="164">ROUND(E512*F512*G512*2,2)</f>
        <v>0</v>
      </c>
      <c r="I512" s="426">
        <f>IF(D512&lt;=3,база!$J$4,
IF(D512=4,база!$J$5,
IF(D512=5,база!$J$6)))</f>
        <v>196.05240000000001</v>
      </c>
      <c r="J512" s="427">
        <v>1</v>
      </c>
      <c r="K512" s="428">
        <f>SUMIFS(Таблица1[Столбец1],Таблица1[коэф],"1",Таблица1[р/р],"2/8",Таблица1[Ф. И. О.],B517)</f>
        <v>0</v>
      </c>
      <c r="L512" s="383">
        <f t="shared" ref="L512:L522" si="165">ROUND(I512*J512*K512*2,2)</f>
        <v>0</v>
      </c>
      <c r="M512" s="428"/>
      <c r="N512" s="428">
        <v>1</v>
      </c>
      <c r="O512" s="428">
        <f>SUMIFS(Data_Tech!$AM$3:$AM$67,Data_Tech!$E$3:$E$67,"1",Data_Tech!$G$3:$G$67,"3/12",Data_Tech!$F$3:$F$67,B517)</f>
        <v>0</v>
      </c>
      <c r="P512" s="385">
        <f>ROUND(M512*N512*O512,2)</f>
        <v>0</v>
      </c>
      <c r="Q512" s="377">
        <f>IF(D512&lt;=3,база!$L$4,
IF(D512=4,база!$L$5,
IF(D512=5,база!$L$6)))</f>
        <v>210.57480000000001</v>
      </c>
      <c r="R512" s="378">
        <v>1</v>
      </c>
      <c r="S512" s="387">
        <f>SUMIFS(Таблица1[Столбец1],Таблица1[коэф],"1",Таблица1[р/р],"3/16",Таблица1[Ф. И. О.],B517)</f>
        <v>0</v>
      </c>
      <c r="T512" s="490">
        <f t="shared" ref="T512:T522" si="166">ROUND(Q512*R512*S512*2,2)</f>
        <v>0</v>
      </c>
      <c r="U512" s="477">
        <f>IF(D512&lt;=3,база!$M$4,
IF(D512=4,база!$M$5,
IF(D512=5,база!$M$6)))</f>
        <v>225.09719999999999</v>
      </c>
      <c r="V512" s="378">
        <v>1</v>
      </c>
      <c r="W512" s="430">
        <f>SUMIFS(Таблица1[Столбец1],Таблица1[коэф],"1",Таблица1[р/р],"3/24",Таблица1[Ф. И. О.],B517)</f>
        <v>0</v>
      </c>
      <c r="X512" s="490">
        <f t="shared" ref="X512:X522" si="167">ROUND(U512*V512*W512*2,2)</f>
        <v>0</v>
      </c>
      <c r="Y512" s="795">
        <f t="shared" ref="Y512" si="168">SUM(G512:G522,K512:K522,O512:O522,S512:S522,W512:W522)</f>
        <v>0</v>
      </c>
      <c r="Z512" s="797">
        <f t="shared" ref="Z512" si="169">IFERROR(SUM(H512:H522,L512:L522,T512:T522,X512:X522),"")</f>
        <v>0</v>
      </c>
      <c r="AA512" s="786"/>
    </row>
    <row r="513" spans="1:29" ht="18.75">
      <c r="A513" s="786"/>
      <c r="B513" s="216"/>
      <c r="C513" s="789"/>
      <c r="D513" s="792"/>
      <c r="E513" s="389">
        <f>IF(D512&lt;=3,база!$I$4,
IF(D512=4,база!$I$5,
IF(D512=5,база!$I$6)))</f>
        <v>188.7912</v>
      </c>
      <c r="F513" s="390">
        <v>1</v>
      </c>
      <c r="G513" s="400">
        <f>SUMIFS(Таблица1[Столбец1],Таблица1[коэф],"1",Таблица1[р/р],"3/4",Таблица1[Ф. И. О.],B517)</f>
        <v>0</v>
      </c>
      <c r="H513" s="392">
        <f t="shared" si="164"/>
        <v>0</v>
      </c>
      <c r="I513" s="432">
        <f>IF(D512&lt;=3,база!$J$4,
IF(D512=4,база!$J$5,
IF(D512=5,база!$J$6)))</f>
        <v>196.05240000000001</v>
      </c>
      <c r="J513" s="433">
        <v>1</v>
      </c>
      <c r="K513" s="434">
        <f>SUMIFS(Таблица1[Столбец1],Таблица1[коэф],"1",Таблица1[р/р],"3/8",Таблица1[Ф. И. О.],B517)</f>
        <v>0</v>
      </c>
      <c r="L513" s="484">
        <f t="shared" si="165"/>
        <v>0</v>
      </c>
      <c r="M513" s="434"/>
      <c r="N513" s="434">
        <v>1</v>
      </c>
      <c r="O513" s="434">
        <f>SUMIFS(Data_Tech!$AM$3:$AM$67,Data_Tech!$E$3:$E$67,"1",Data_Tech!$G$3:$G$67,"4/12",Data_Tech!$F$3:$F$67,B517)</f>
        <v>0</v>
      </c>
      <c r="P513" s="406">
        <f>ROUND(M513*O513,2)</f>
        <v>0</v>
      </c>
      <c r="Q513" s="389">
        <f>база!$L$5</f>
        <v>231.45480000000001</v>
      </c>
      <c r="R513" s="390">
        <v>1</v>
      </c>
      <c r="S513" s="400">
        <f>SUMIFS(Таблица1[Столбец1],Таблица1[коэф],"1",Таблица1[р/р],"4/16",Таблица1[Ф. И. О.],B517)</f>
        <v>0</v>
      </c>
      <c r="T513" s="492">
        <f t="shared" si="166"/>
        <v>0</v>
      </c>
      <c r="U513" s="478">
        <f>база!$M$5</f>
        <v>247.41720000000001</v>
      </c>
      <c r="V513" s="390">
        <v>1</v>
      </c>
      <c r="W513" s="412">
        <f>SUMIFS(Таблица1[Столбец1],Таблица1[коэф],"1",Таблица1[р/р],"4/24",Таблица1[Ф. И. О.],B517)</f>
        <v>0</v>
      </c>
      <c r="X513" s="492">
        <f t="shared" si="167"/>
        <v>0</v>
      </c>
      <c r="Y513" s="795"/>
      <c r="Z513" s="797"/>
      <c r="AA513" s="786"/>
    </row>
    <row r="514" spans="1:29" ht="18.75">
      <c r="A514" s="786"/>
      <c r="B514" s="216"/>
      <c r="C514" s="789"/>
      <c r="D514" s="792"/>
      <c r="E514" s="389"/>
      <c r="F514" s="390"/>
      <c r="G514" s="400"/>
      <c r="H514" s="392">
        <f t="shared" si="164"/>
        <v>0</v>
      </c>
      <c r="I514" s="432"/>
      <c r="J514" s="433"/>
      <c r="K514" s="434"/>
      <c r="L514" s="484">
        <f t="shared" si="165"/>
        <v>0</v>
      </c>
      <c r="M514" s="434"/>
      <c r="N514" s="434"/>
      <c r="O514" s="434"/>
      <c r="P514" s="406"/>
      <c r="Q514" s="389">
        <f>база!$L$6</f>
        <v>261.04640000000001</v>
      </c>
      <c r="R514" s="390">
        <v>1</v>
      </c>
      <c r="S514" s="400">
        <f>SUMIFS(Таблица1[Столбец1],Таблица1[коэф],"1",Таблица1[р/р],"5/16",Таблица1[Ф. И. О.],B517)</f>
        <v>0</v>
      </c>
      <c r="T514" s="492">
        <f t="shared" si="166"/>
        <v>0</v>
      </c>
      <c r="U514" s="478">
        <f>база!$M$6</f>
        <v>279.0496</v>
      </c>
      <c r="V514" s="390">
        <v>1</v>
      </c>
      <c r="W514" s="412">
        <f>SUMIFS(Таблица1[Столбец1],Таблица1[коэф],"1",Таблица1[р/р],"5/24",Таблица1[Ф. И. О.],B517)</f>
        <v>0</v>
      </c>
      <c r="X514" s="492">
        <f t="shared" si="167"/>
        <v>0</v>
      </c>
      <c r="Y514" s="795"/>
      <c r="Z514" s="797"/>
      <c r="AA514" s="786"/>
    </row>
    <row r="515" spans="1:29" ht="18.75">
      <c r="A515" s="786"/>
      <c r="B515" s="216"/>
      <c r="C515" s="789"/>
      <c r="D515" s="792"/>
      <c r="E515" s="389"/>
      <c r="F515" s="390"/>
      <c r="G515" s="400"/>
      <c r="H515" s="392">
        <f t="shared" si="164"/>
        <v>0</v>
      </c>
      <c r="I515" s="432">
        <f>база!$J$5</f>
        <v>215.4924</v>
      </c>
      <c r="J515" s="433">
        <v>1.5</v>
      </c>
      <c r="K515" s="434">
        <f>SUMIFS(Таблица1[Столбец1],Таблица1[коэф],"1,5",Таблица1[р/р],"4/8",Таблица1[Ф. И. О.],B517)</f>
        <v>0</v>
      </c>
      <c r="L515" s="484">
        <f t="shared" si="165"/>
        <v>0</v>
      </c>
      <c r="M515" s="434"/>
      <c r="N515" s="434"/>
      <c r="O515" s="434"/>
      <c r="P515" s="406"/>
      <c r="Q515" s="389">
        <f>IF(D512&lt;=3,база!$L$4,
IF(D512=4,база!$L$5,
IF(D512=5,база!$L$6)))</f>
        <v>210.57480000000001</v>
      </c>
      <c r="R515" s="390">
        <v>1.2</v>
      </c>
      <c r="S515" s="400">
        <f>SUMIFS(Таблица1[Столбец1],Таблица1[коэф],"1,2",Таблица1[р/р],"3/16",Таблица1[Ф. И. О.],B517)</f>
        <v>0</v>
      </c>
      <c r="T515" s="492">
        <f t="shared" si="166"/>
        <v>0</v>
      </c>
      <c r="U515" s="478">
        <f>IF(D512&lt;=3,база!$M$4,
IF(D512=4,база!$M$5,
IF(D512=5,база!$M$6)))</f>
        <v>225.09719999999999</v>
      </c>
      <c r="V515" s="390">
        <v>1.2</v>
      </c>
      <c r="W515" s="412">
        <f>SUMIFS(Таблица1[Столбец1],Таблица1[коэф],"1,2",Таблица1[р/р],"3/24",Таблица1[Ф. И. О.],B517)</f>
        <v>0</v>
      </c>
      <c r="X515" s="492">
        <f t="shared" si="167"/>
        <v>0</v>
      </c>
      <c r="Y515" s="795"/>
      <c r="Z515" s="797"/>
      <c r="AA515" s="786"/>
    </row>
    <row r="516" spans="1:29" ht="18.75">
      <c r="A516" s="786"/>
      <c r="B516" s="216"/>
      <c r="C516" s="789"/>
      <c r="D516" s="792"/>
      <c r="E516" s="389"/>
      <c r="F516" s="390"/>
      <c r="G516" s="400"/>
      <c r="H516" s="392">
        <f t="shared" si="164"/>
        <v>0</v>
      </c>
      <c r="I516" s="432">
        <f>база!$J$6</f>
        <v>243.04319999999998</v>
      </c>
      <c r="J516" s="433">
        <v>1.5</v>
      </c>
      <c r="K516" s="434">
        <f>SUMIFS(Таблица1[Столбец1],Таблица1[коэф],"1,5",Таблица1[р/р],"5/8",Таблица1[Ф. И. О.],B517)</f>
        <v>0</v>
      </c>
      <c r="L516" s="484">
        <f t="shared" si="165"/>
        <v>0</v>
      </c>
      <c r="M516" s="434"/>
      <c r="N516" s="434"/>
      <c r="O516" s="434"/>
      <c r="P516" s="406"/>
      <c r="Q516" s="389">
        <f>база!$L$5</f>
        <v>231.45480000000001</v>
      </c>
      <c r="R516" s="390">
        <v>1.2</v>
      </c>
      <c r="S516" s="400">
        <f>SUMIFS(Таблица1[Столбец1],Таблица1[коэф],"1,2",Таблица1[р/р],"4/16",Таблица1[Ф. И. О.],B517)</f>
        <v>0</v>
      </c>
      <c r="T516" s="492">
        <f t="shared" si="166"/>
        <v>0</v>
      </c>
      <c r="U516" s="478">
        <f>база!$M$5</f>
        <v>247.41720000000001</v>
      </c>
      <c r="V516" s="390">
        <v>1.2</v>
      </c>
      <c r="W516" s="412">
        <f>SUMIFS(Таблица1[Столбец1],Таблица1[коэф],"1,2",Таблица1[р/р],"4/24",Таблица1[Ф. И. О.],B517)</f>
        <v>0</v>
      </c>
      <c r="X516" s="492">
        <f t="shared" si="167"/>
        <v>0</v>
      </c>
      <c r="Y516" s="795"/>
      <c r="Z516" s="797"/>
      <c r="AA516" s="786"/>
    </row>
    <row r="517" spans="1:29" ht="18.75">
      <c r="A517" s="786"/>
      <c r="B517" s="216" t="str">
        <f>база!B48</f>
        <v>Матыгулина Наталья Энвировна</v>
      </c>
      <c r="C517" s="789"/>
      <c r="D517" s="792"/>
      <c r="E517" s="389"/>
      <c r="F517" s="390"/>
      <c r="G517" s="400"/>
      <c r="H517" s="392">
        <f t="shared" si="164"/>
        <v>0</v>
      </c>
      <c r="I517" s="432"/>
      <c r="J517" s="433"/>
      <c r="K517" s="434"/>
      <c r="L517" s="484">
        <f t="shared" si="165"/>
        <v>0</v>
      </c>
      <c r="M517" s="434"/>
      <c r="N517" s="434"/>
      <c r="O517" s="434"/>
      <c r="P517" s="406"/>
      <c r="Q517" s="389">
        <f>база!$L$6</f>
        <v>261.04640000000001</v>
      </c>
      <c r="R517" s="390">
        <v>1.2</v>
      </c>
      <c r="S517" s="400">
        <f>SUMIFS(Таблица1[Столбец1],Таблица1[коэф],"1,2",Таблица1[р/р],"5/16",Таблица1[Ф. И. О.],B517)</f>
        <v>0</v>
      </c>
      <c r="T517" s="492">
        <f t="shared" si="166"/>
        <v>0</v>
      </c>
      <c r="U517" s="478">
        <f>база!$M$6</f>
        <v>279.0496</v>
      </c>
      <c r="V517" s="390">
        <v>1.2</v>
      </c>
      <c r="W517" s="412">
        <f>SUMIFS(Таблица1[Столбец1],Таблица1[коэф],"1,2",Таблица1[р/р],"5/24",Таблица1[Ф. И. О.],B517)</f>
        <v>0</v>
      </c>
      <c r="X517" s="492">
        <f t="shared" si="167"/>
        <v>0</v>
      </c>
      <c r="Y517" s="795"/>
      <c r="Z517" s="797"/>
      <c r="AA517" s="786"/>
      <c r="AC517" s="727" t="str">
        <f>IF(SUMIFS(Таблица1[Столбец3],Таблица1[Ф. И. О.],B517)-Z512=0,"",SUMIFS(Таблица1[Столбец3],Таблица1[Ф. И. О.],B517)-Z512)</f>
        <v/>
      </c>
    </row>
    <row r="518" spans="1:29" ht="18.75">
      <c r="A518" s="786"/>
      <c r="B518" s="216"/>
      <c r="C518" s="789"/>
      <c r="D518" s="792"/>
      <c r="E518" s="389"/>
      <c r="F518" s="390"/>
      <c r="G518" s="400"/>
      <c r="H518" s="392">
        <f t="shared" si="164"/>
        <v>0</v>
      </c>
      <c r="I518" s="432"/>
      <c r="J518" s="433"/>
      <c r="K518" s="434"/>
      <c r="L518" s="484">
        <f t="shared" si="165"/>
        <v>0</v>
      </c>
      <c r="M518" s="434"/>
      <c r="N518" s="434"/>
      <c r="O518" s="434"/>
      <c r="P518" s="406"/>
      <c r="Q518" s="389">
        <f>IF($D$6&lt;=3,база!$L$4,
IF($D$6=4,база!$L$5,
IF($D$6=5,база!$L$6)))</f>
        <v>231.45480000000001</v>
      </c>
      <c r="R518" s="390">
        <v>1.3</v>
      </c>
      <c r="S518" s="400">
        <f>SUMIFS(Таблица1[Столбец1],Таблица1[коэф],"1,3",Таблица1[р/р],"3/16",Таблица1[Ф. И. О.],B517)</f>
        <v>0</v>
      </c>
      <c r="T518" s="492">
        <f t="shared" si="166"/>
        <v>0</v>
      </c>
      <c r="U518" s="478">
        <f>IF(D512&lt;=3,база!$M$4,
IF(D512=4,база!$M$5,
IF(D512=5,база!$M$6)))</f>
        <v>225.09719999999999</v>
      </c>
      <c r="V518" s="390">
        <v>1.3</v>
      </c>
      <c r="W518" s="412">
        <f>SUMIFS(Таблица1[Столбец1],Таблица1[коэф],"1,3",Таблица1[р/р],"3/24",Таблица1[Ф. И. О.],B517)</f>
        <v>0</v>
      </c>
      <c r="X518" s="492">
        <f t="shared" si="167"/>
        <v>0</v>
      </c>
      <c r="Y518" s="795"/>
      <c r="Z518" s="797"/>
      <c r="AA518" s="786"/>
      <c r="AC518" s="727" t="str">
        <f>IF(SUMIFS(Таблица1[Столбец1],Таблица1[Ф. И. О.],B517)=Y512,"",B517&amp;"  часы не верны")</f>
        <v/>
      </c>
    </row>
    <row r="519" spans="1:29" ht="18.75">
      <c r="A519" s="786"/>
      <c r="B519" s="216"/>
      <c r="C519" s="789"/>
      <c r="D519" s="792"/>
      <c r="E519" s="389"/>
      <c r="F519" s="390"/>
      <c r="G519" s="400"/>
      <c r="H519" s="392">
        <f t="shared" si="164"/>
        <v>0</v>
      </c>
      <c r="I519" s="432"/>
      <c r="J519" s="433"/>
      <c r="K519" s="434"/>
      <c r="L519" s="484">
        <f t="shared" si="165"/>
        <v>0</v>
      </c>
      <c r="M519" s="434"/>
      <c r="N519" s="434"/>
      <c r="O519" s="434"/>
      <c r="P519" s="406"/>
      <c r="Q519" s="389">
        <f>база!$L$5</f>
        <v>231.45480000000001</v>
      </c>
      <c r="R519" s="390">
        <v>1.3</v>
      </c>
      <c r="S519" s="400">
        <f>SUMIFS(Таблица1[Столбец1],Таблица1[коэф],"1,3",Таблица1[р/р],"4/16",Таблица1[Ф. И. О.],B517)</f>
        <v>0</v>
      </c>
      <c r="T519" s="492">
        <f t="shared" si="166"/>
        <v>0</v>
      </c>
      <c r="U519" s="478">
        <f>база!$M$5</f>
        <v>247.41720000000001</v>
      </c>
      <c r="V519" s="390">
        <v>1.3</v>
      </c>
      <c r="W519" s="412">
        <f>SUMIFS(Таблица1[Столбец1],Таблица1[коэф],"1,3",Таблица1[р/р],"4/24",Таблица1[Ф. И. О.],B517)</f>
        <v>0</v>
      </c>
      <c r="X519" s="492">
        <f t="shared" si="167"/>
        <v>0</v>
      </c>
      <c r="Y519" s="795"/>
      <c r="Z519" s="797"/>
      <c r="AA519" s="786"/>
    </row>
    <row r="520" spans="1:29" ht="18.75">
      <c r="A520" s="786"/>
      <c r="B520" s="216"/>
      <c r="C520" s="789"/>
      <c r="D520" s="792"/>
      <c r="E520" s="389"/>
      <c r="F520" s="390"/>
      <c r="G520" s="400"/>
      <c r="H520" s="392">
        <f t="shared" si="164"/>
        <v>0</v>
      </c>
      <c r="I520" s="432"/>
      <c r="J520" s="433"/>
      <c r="K520" s="434"/>
      <c r="L520" s="484">
        <f t="shared" si="165"/>
        <v>0</v>
      </c>
      <c r="M520" s="434"/>
      <c r="N520" s="434"/>
      <c r="O520" s="434"/>
      <c r="P520" s="406"/>
      <c r="Q520" s="389">
        <f>IF(D512&lt;=3,база!$L$4,
IF(D512=4,база!$L$5,
IF(D512=5,база!$L$6)))</f>
        <v>210.57480000000001</v>
      </c>
      <c r="R520" s="390">
        <v>1.4</v>
      </c>
      <c r="S520" s="400">
        <f>SUMIFS(Таблица1[Столбец1],Таблица1[коэф],"1,4",Таблица1[р/р],"3/16",Таблица1[Ф. И. О.],B517)</f>
        <v>0</v>
      </c>
      <c r="T520" s="492">
        <f t="shared" si="166"/>
        <v>0</v>
      </c>
      <c r="U520" s="478">
        <f>IF(D512&lt;=3,база!$M$4,
IF(D512=4,база!$M$5,
IF(D512=5,база!$M$6)))</f>
        <v>225.09719999999999</v>
      </c>
      <c r="V520" s="390">
        <v>1.4</v>
      </c>
      <c r="W520" s="412">
        <f>SUMIFS(Таблица1[Столбец1],Таблица1[коэф],"1,4",Таблица1[р/р],"3/24",Таблица1[Ф. И. О.],B517)</f>
        <v>0</v>
      </c>
      <c r="X520" s="492">
        <f t="shared" si="167"/>
        <v>0</v>
      </c>
      <c r="Y520" s="795"/>
      <c r="Z520" s="797"/>
      <c r="AA520" s="786"/>
    </row>
    <row r="521" spans="1:29" ht="18.75">
      <c r="A521" s="786"/>
      <c r="B521" s="216"/>
      <c r="C521" s="789"/>
      <c r="D521" s="792"/>
      <c r="E521" s="389"/>
      <c r="F521" s="390"/>
      <c r="G521" s="400"/>
      <c r="H521" s="392">
        <f t="shared" si="164"/>
        <v>0</v>
      </c>
      <c r="I521" s="432"/>
      <c r="J521" s="433"/>
      <c r="K521" s="434"/>
      <c r="L521" s="484">
        <f t="shared" si="165"/>
        <v>0</v>
      </c>
      <c r="M521" s="434"/>
      <c r="N521" s="434"/>
      <c r="O521" s="434"/>
      <c r="P521" s="406"/>
      <c r="Q521" s="389">
        <f>база!$L$5</f>
        <v>231.45480000000001</v>
      </c>
      <c r="R521" s="390">
        <v>1.4</v>
      </c>
      <c r="S521" s="400">
        <f>SUMIFS(Таблица1[Столбец1],Таблица1[коэф],"1,4",Таблица1[р/р],"4/16",Таблица1[Ф. И. О.],B517)</f>
        <v>0</v>
      </c>
      <c r="T521" s="492">
        <f t="shared" si="166"/>
        <v>0</v>
      </c>
      <c r="U521" s="478">
        <f>база!$M$5</f>
        <v>247.41720000000001</v>
      </c>
      <c r="V521" s="390">
        <v>1.4</v>
      </c>
      <c r="W521" s="412">
        <f>SUMIFS(Таблица1[Столбец1],Таблица1[коэф],"1,4",Таблица1[р/р],"4/24",Таблица1[Ф. И. О.],B517)</f>
        <v>0</v>
      </c>
      <c r="X521" s="492">
        <f t="shared" si="167"/>
        <v>0</v>
      </c>
      <c r="Y521" s="795"/>
      <c r="Z521" s="797"/>
      <c r="AA521" s="786"/>
    </row>
    <row r="522" spans="1:29" ht="19.5" thickBot="1">
      <c r="A522" s="787"/>
      <c r="B522" s="203"/>
      <c r="C522" s="790"/>
      <c r="D522" s="793"/>
      <c r="E522" s="473"/>
      <c r="F522" s="464"/>
      <c r="G522" s="465"/>
      <c r="H522" s="468">
        <f t="shared" si="164"/>
        <v>0</v>
      </c>
      <c r="I522" s="466"/>
      <c r="J522" s="456"/>
      <c r="K522" s="457"/>
      <c r="L522" s="484">
        <f t="shared" si="165"/>
        <v>0</v>
      </c>
      <c r="M522" s="457"/>
      <c r="N522" s="457"/>
      <c r="O522" s="457"/>
      <c r="P522" s="476"/>
      <c r="Q522" s="473">
        <f>база!$L$6</f>
        <v>261.04640000000001</v>
      </c>
      <c r="R522" s="464">
        <v>1.4</v>
      </c>
      <c r="S522" s="465">
        <f>SUMIFS(Таблица1[Столбец1],Таблица1[коэф],"1,4",Таблица1[р/р],"5/16",Таблица1[Ф. И. О.],B517)</f>
        <v>0</v>
      </c>
      <c r="T522" s="492">
        <f t="shared" si="166"/>
        <v>0</v>
      </c>
      <c r="U522" s="480">
        <f>база!$M$6</f>
        <v>279.0496</v>
      </c>
      <c r="V522" s="464">
        <v>1.4</v>
      </c>
      <c r="W522" s="470">
        <f>SUMIFS(Таблица1[Столбец1],Таблица1[коэф],"1,4",Таблица1[р/р],"5/24",Таблица1[Ф. И. О.],B517)</f>
        <v>0</v>
      </c>
      <c r="X522" s="492">
        <f t="shared" si="167"/>
        <v>0</v>
      </c>
      <c r="Y522" s="796"/>
      <c r="Z522" s="798"/>
      <c r="AA522" s="787"/>
    </row>
    <row r="523" spans="1:29" ht="18.75">
      <c r="A523" s="785">
        <v>48</v>
      </c>
      <c r="B523" s="236"/>
      <c r="C523" s="788">
        <f>INDEX(база!$E$2:$E$81, MATCH(B528,база!$B$2:$B$60,0))</f>
        <v>17341</v>
      </c>
      <c r="D523" s="791">
        <f>INDEX(база!$D$2:$D$89, MATCH(B528,база!$B$2:$B$60,0))</f>
        <v>3</v>
      </c>
      <c r="E523" s="377">
        <f>IF(D523&lt;=3,база!$I$4,
IF(D523=4,база!$I$5,
IF(D523=5,база!$I$6)))</f>
        <v>188.7912</v>
      </c>
      <c r="F523" s="378">
        <v>1</v>
      </c>
      <c r="G523" s="387">
        <f>SUMIFS(Таблица1[Столбец1],Таблица1[коэф],"1",Таблица1[р/р],"2/4",Таблица1[Ф. И. О.],B528)</f>
        <v>0</v>
      </c>
      <c r="H523" s="402">
        <f t="shared" ref="H523:H533" si="170">ROUND(E523*F523*G523*2,2)</f>
        <v>0</v>
      </c>
      <c r="I523" s="426">
        <f>IF(D523&lt;=3,база!$J$4,
IF(D523=4,база!$J$5,
IF(D523=5,база!$J$6)))</f>
        <v>196.05240000000001</v>
      </c>
      <c r="J523" s="427">
        <v>1</v>
      </c>
      <c r="K523" s="428">
        <f>SUMIFS(Таблица1[Столбец1],Таблица1[коэф],"1",Таблица1[р/р],"2/8",Таблица1[Ф. И. О.],B528)</f>
        <v>0</v>
      </c>
      <c r="L523" s="383">
        <f t="shared" ref="L523:L533" si="171">ROUND(I523*J523*K523*2,2)</f>
        <v>0</v>
      </c>
      <c r="M523" s="428"/>
      <c r="N523" s="428">
        <v>1</v>
      </c>
      <c r="O523" s="428">
        <f>SUMIFS(Data_Tech!$AM$3:$AM$67,Data_Tech!$E$3:$E$67,"1",Data_Tech!$G$3:$G$67,"3/12",Data_Tech!$F$3:$F$67,B528)</f>
        <v>0</v>
      </c>
      <c r="P523" s="385">
        <f>ROUND(M523*N523*O523,2)</f>
        <v>0</v>
      </c>
      <c r="Q523" s="377">
        <f>IF(D523&lt;=3,база!$L$4,
IF(D523=4,база!$L$5,
IF(D523=5,база!$L$6)))</f>
        <v>210.57480000000001</v>
      </c>
      <c r="R523" s="378">
        <v>1</v>
      </c>
      <c r="S523" s="387">
        <f>SUMIFS(Таблица1[Столбец1],Таблица1[коэф],"1",Таблица1[р/р],"3/16",Таблица1[Ф. И. О.],B528)</f>
        <v>0</v>
      </c>
      <c r="T523" s="490">
        <f t="shared" ref="T523:T533" si="172">ROUND(Q523*R523*S523*2,2)</f>
        <v>0</v>
      </c>
      <c r="U523" s="477">
        <f>IF(D523&lt;=3,база!$M$4,
IF(D523=4,база!$M$5,
IF(D523=5,база!$M$6)))</f>
        <v>225.09719999999999</v>
      </c>
      <c r="V523" s="378">
        <v>1</v>
      </c>
      <c r="W523" s="430">
        <f>SUMIFS(Таблица1[Столбец1],Таблица1[коэф],"1",Таблица1[р/р],"3/24",Таблица1[Ф. И. О.],B528)</f>
        <v>0</v>
      </c>
      <c r="X523" s="490">
        <f t="shared" ref="X523:X533" si="173">ROUND(U523*V523*W523*2,2)</f>
        <v>0</v>
      </c>
      <c r="Y523" s="795">
        <f t="shared" ref="Y523" si="174">SUM(G523:G533,K523:K533,O523:O533,S523:S533,W523:W533)</f>
        <v>0</v>
      </c>
      <c r="Z523" s="797">
        <f t="shared" ref="Z523" si="175">IFERROR(SUM(H523:H533,L523:L533,T523:T533,X523:X533),"")</f>
        <v>0</v>
      </c>
      <c r="AA523" s="786"/>
    </row>
    <row r="524" spans="1:29" ht="18.75">
      <c r="A524" s="786"/>
      <c r="B524" s="216"/>
      <c r="C524" s="789"/>
      <c r="D524" s="792"/>
      <c r="E524" s="389">
        <f>IF(D523&lt;=3,база!$I$4,
IF(D523=4,база!$I$5,
IF(D523=5,база!$I$6)))</f>
        <v>188.7912</v>
      </c>
      <c r="F524" s="390">
        <v>1</v>
      </c>
      <c r="G524" s="400">
        <f>SUMIFS(Таблица1[Столбец1],Таблица1[коэф],"1",Таблица1[р/р],"3/4",Таблица1[Ф. И. О.],B528)</f>
        <v>0</v>
      </c>
      <c r="H524" s="392">
        <f t="shared" si="170"/>
        <v>0</v>
      </c>
      <c r="I524" s="432">
        <f>IF(D523&lt;=3,база!$J$4,
IF(D523=4,база!$J$5,
IF(D523=5,база!$J$6)))</f>
        <v>196.05240000000001</v>
      </c>
      <c r="J524" s="433">
        <v>1</v>
      </c>
      <c r="K524" s="434">
        <f>SUMIFS(Таблица1[Столбец1],Таблица1[коэф],"1",Таблица1[р/р],"3/8",Таблица1[Ф. И. О.],B528)</f>
        <v>0</v>
      </c>
      <c r="L524" s="484">
        <f t="shared" si="171"/>
        <v>0</v>
      </c>
      <c r="M524" s="434"/>
      <c r="N524" s="434">
        <v>1</v>
      </c>
      <c r="O524" s="434">
        <f>SUMIFS(Data_Tech!$AM$3:$AM$67,Data_Tech!$E$3:$E$67,"1",Data_Tech!$G$3:$G$67,"4/12",Data_Tech!$F$3:$F$67,B528)</f>
        <v>0</v>
      </c>
      <c r="P524" s="406">
        <f>ROUND(M524*O524,2)</f>
        <v>0</v>
      </c>
      <c r="Q524" s="389">
        <f>база!$L$5</f>
        <v>231.45480000000001</v>
      </c>
      <c r="R524" s="390">
        <v>1</v>
      </c>
      <c r="S524" s="400">
        <f>SUMIFS(Таблица1[Столбец1],Таблица1[коэф],"1",Таблица1[р/р],"4/16",Таблица1[Ф. И. О.],B528)</f>
        <v>0</v>
      </c>
      <c r="T524" s="492">
        <f t="shared" si="172"/>
        <v>0</v>
      </c>
      <c r="U524" s="478">
        <f>база!$M$5</f>
        <v>247.41720000000001</v>
      </c>
      <c r="V524" s="390">
        <v>1</v>
      </c>
      <c r="W524" s="412">
        <f>SUMIFS(Таблица1[Столбец1],Таблица1[коэф],"1",Таблица1[р/р],"4/24",Таблица1[Ф. И. О.],B528)</f>
        <v>0</v>
      </c>
      <c r="X524" s="492">
        <f t="shared" si="173"/>
        <v>0</v>
      </c>
      <c r="Y524" s="795"/>
      <c r="Z524" s="797"/>
      <c r="AA524" s="786"/>
    </row>
    <row r="525" spans="1:29" ht="18.75">
      <c r="A525" s="786"/>
      <c r="B525" s="216"/>
      <c r="C525" s="789"/>
      <c r="D525" s="792"/>
      <c r="E525" s="389"/>
      <c r="F525" s="390"/>
      <c r="G525" s="400"/>
      <c r="H525" s="392">
        <f t="shared" si="170"/>
        <v>0</v>
      </c>
      <c r="I525" s="432"/>
      <c r="J525" s="433"/>
      <c r="K525" s="434"/>
      <c r="L525" s="484">
        <f t="shared" si="171"/>
        <v>0</v>
      </c>
      <c r="M525" s="434"/>
      <c r="N525" s="434"/>
      <c r="O525" s="434"/>
      <c r="P525" s="406"/>
      <c r="Q525" s="389">
        <f>база!$L$6</f>
        <v>261.04640000000001</v>
      </c>
      <c r="R525" s="390">
        <v>1</v>
      </c>
      <c r="S525" s="400">
        <f>SUMIFS(Таблица1[Столбец1],Таблица1[коэф],"1",Таблица1[р/р],"5/16",Таблица1[Ф. И. О.],B528)</f>
        <v>0</v>
      </c>
      <c r="T525" s="492">
        <f t="shared" si="172"/>
        <v>0</v>
      </c>
      <c r="U525" s="478">
        <f>база!$M$6</f>
        <v>279.0496</v>
      </c>
      <c r="V525" s="390">
        <v>1</v>
      </c>
      <c r="W525" s="412">
        <f>SUMIFS(Таблица1[Столбец1],Таблица1[коэф],"1",Таблица1[р/р],"5/24",Таблица1[Ф. И. О.],B528)</f>
        <v>0</v>
      </c>
      <c r="X525" s="492">
        <f t="shared" si="173"/>
        <v>0</v>
      </c>
      <c r="Y525" s="795"/>
      <c r="Z525" s="797"/>
      <c r="AA525" s="786"/>
    </row>
    <row r="526" spans="1:29" ht="18.75">
      <c r="A526" s="786"/>
      <c r="B526" s="216"/>
      <c r="C526" s="789"/>
      <c r="D526" s="792"/>
      <c r="E526" s="389"/>
      <c r="F526" s="390"/>
      <c r="G526" s="400"/>
      <c r="H526" s="392">
        <f t="shared" si="170"/>
        <v>0</v>
      </c>
      <c r="I526" s="432">
        <f>база!$J$5</f>
        <v>215.4924</v>
      </c>
      <c r="J526" s="433">
        <v>1.5</v>
      </c>
      <c r="K526" s="434">
        <f>SUMIFS(Таблица1[Столбец1],Таблица1[коэф],"1,5",Таблица1[р/р],"4/8",Таблица1[Ф. И. О.],B528)</f>
        <v>0</v>
      </c>
      <c r="L526" s="484">
        <f t="shared" si="171"/>
        <v>0</v>
      </c>
      <c r="M526" s="434"/>
      <c r="N526" s="434"/>
      <c r="O526" s="434"/>
      <c r="P526" s="406"/>
      <c r="Q526" s="389">
        <f>IF(D523&lt;=3,база!$L$4,
IF(D523=4,база!$L$5,
IF(D523=5,база!$L$6)))</f>
        <v>210.57480000000001</v>
      </c>
      <c r="R526" s="390">
        <v>1.2</v>
      </c>
      <c r="S526" s="400">
        <f>SUMIFS(Таблица1[Столбец1],Таблица1[коэф],"1,2",Таблица1[р/р],"3/16",Таблица1[Ф. И. О.],B528)</f>
        <v>0</v>
      </c>
      <c r="T526" s="492">
        <f t="shared" si="172"/>
        <v>0</v>
      </c>
      <c r="U526" s="478">
        <f>IF(D523&lt;=3,база!$M$4,
IF(D523=4,база!$M$5,
IF(D523=5,база!$M$6)))</f>
        <v>225.09719999999999</v>
      </c>
      <c r="V526" s="390">
        <v>1.2</v>
      </c>
      <c r="W526" s="412">
        <f>SUMIFS(Таблица1[Столбец1],Таблица1[коэф],"1,2",Таблица1[р/р],"3/24",Таблица1[Ф. И. О.],B528)</f>
        <v>0</v>
      </c>
      <c r="X526" s="492">
        <f t="shared" si="173"/>
        <v>0</v>
      </c>
      <c r="Y526" s="795"/>
      <c r="Z526" s="797"/>
      <c r="AA526" s="786"/>
    </row>
    <row r="527" spans="1:29" ht="18.75">
      <c r="A527" s="786"/>
      <c r="B527" s="216"/>
      <c r="C527" s="789"/>
      <c r="D527" s="792"/>
      <c r="E527" s="389"/>
      <c r="F527" s="390"/>
      <c r="G527" s="400"/>
      <c r="H527" s="392">
        <f t="shared" si="170"/>
        <v>0</v>
      </c>
      <c r="I527" s="432">
        <f>база!$J$6</f>
        <v>243.04319999999998</v>
      </c>
      <c r="J527" s="433">
        <v>1.5</v>
      </c>
      <c r="K527" s="434">
        <f>SUMIFS(Таблица1[Столбец1],Таблица1[коэф],"1,5",Таблица1[р/р],"5/8",Таблица1[Ф. И. О.],B528)</f>
        <v>0</v>
      </c>
      <c r="L527" s="484">
        <f t="shared" si="171"/>
        <v>0</v>
      </c>
      <c r="M527" s="434"/>
      <c r="N527" s="434"/>
      <c r="O527" s="434"/>
      <c r="P527" s="406"/>
      <c r="Q527" s="389">
        <f>база!$L$5</f>
        <v>231.45480000000001</v>
      </c>
      <c r="R527" s="390">
        <v>1.2</v>
      </c>
      <c r="S527" s="400">
        <f>SUMIFS(Таблица1[Столбец1],Таблица1[коэф],"1,2",Таблица1[р/р],"4/16",Таблица1[Ф. И. О.],B528)</f>
        <v>0</v>
      </c>
      <c r="T527" s="492">
        <f t="shared" si="172"/>
        <v>0</v>
      </c>
      <c r="U527" s="478">
        <f>база!$M$5</f>
        <v>247.41720000000001</v>
      </c>
      <c r="V527" s="390">
        <v>1.2</v>
      </c>
      <c r="W527" s="412">
        <f>SUMIFS(Таблица1[Столбец1],Таблица1[коэф],"1,2",Таблица1[р/р],"4/24",Таблица1[Ф. И. О.],B528)</f>
        <v>0</v>
      </c>
      <c r="X527" s="492">
        <f t="shared" si="173"/>
        <v>0</v>
      </c>
      <c r="Y527" s="795"/>
      <c r="Z527" s="797"/>
      <c r="AA527" s="786"/>
    </row>
    <row r="528" spans="1:29" ht="18.75">
      <c r="A528" s="786"/>
      <c r="B528" s="216" t="str">
        <f>база!B49</f>
        <v>Машталяр Анна Сергеевна</v>
      </c>
      <c r="C528" s="789"/>
      <c r="D528" s="792"/>
      <c r="E528" s="389"/>
      <c r="F528" s="390"/>
      <c r="G528" s="400"/>
      <c r="H528" s="392">
        <f t="shared" si="170"/>
        <v>0</v>
      </c>
      <c r="I528" s="432"/>
      <c r="J528" s="433"/>
      <c r="K528" s="434"/>
      <c r="L528" s="484">
        <f t="shared" si="171"/>
        <v>0</v>
      </c>
      <c r="M528" s="434"/>
      <c r="N528" s="434"/>
      <c r="O528" s="434"/>
      <c r="P528" s="406"/>
      <c r="Q528" s="389">
        <f>база!$L$6</f>
        <v>261.04640000000001</v>
      </c>
      <c r="R528" s="390">
        <v>1.2</v>
      </c>
      <c r="S528" s="400">
        <f>SUMIFS(Таблица1[Столбец1],Таблица1[коэф],"1,2",Таблица1[р/р],"5/16",Таблица1[Ф. И. О.],B528)</f>
        <v>0</v>
      </c>
      <c r="T528" s="492">
        <f t="shared" si="172"/>
        <v>0</v>
      </c>
      <c r="U528" s="478">
        <f>база!$M$6</f>
        <v>279.0496</v>
      </c>
      <c r="V528" s="390">
        <v>1.2</v>
      </c>
      <c r="W528" s="412">
        <f>SUMIFS(Таблица1[Столбец1],Таблица1[коэф],"1,2",Таблица1[р/р],"5/24",Таблица1[Ф. И. О.],B528)</f>
        <v>0</v>
      </c>
      <c r="X528" s="492">
        <f t="shared" si="173"/>
        <v>0</v>
      </c>
      <c r="Y528" s="795"/>
      <c r="Z528" s="797"/>
      <c r="AA528" s="786"/>
      <c r="AC528" s="727" t="str">
        <f>IF(SUMIFS(Таблица1[Столбец3],Таблица1[Ф. И. О.],B528)-Z523=0,"",SUMIFS(Таблица1[Столбец3],Таблица1[Ф. И. О.],B528)-Z523)</f>
        <v/>
      </c>
    </row>
    <row r="529" spans="1:29" ht="18.75">
      <c r="A529" s="786"/>
      <c r="B529" s="216"/>
      <c r="C529" s="789"/>
      <c r="D529" s="792"/>
      <c r="E529" s="389"/>
      <c r="F529" s="390"/>
      <c r="G529" s="400"/>
      <c r="H529" s="392">
        <f t="shared" si="170"/>
        <v>0</v>
      </c>
      <c r="I529" s="432"/>
      <c r="J529" s="433"/>
      <c r="K529" s="434"/>
      <c r="L529" s="484">
        <f t="shared" si="171"/>
        <v>0</v>
      </c>
      <c r="M529" s="434"/>
      <c r="N529" s="434"/>
      <c r="O529" s="434"/>
      <c r="P529" s="406"/>
      <c r="Q529" s="389">
        <f>IF($D$6&lt;=3,база!$L$4,
IF($D$6=4,база!$L$5,
IF($D$6=5,база!$L$6)))</f>
        <v>231.45480000000001</v>
      </c>
      <c r="R529" s="390">
        <v>1.3</v>
      </c>
      <c r="S529" s="400">
        <f>SUMIFS(Таблица1[Столбец1],Таблица1[коэф],"1,3",Таблица1[р/р],"3/16",Таблица1[Ф. И. О.],B528)</f>
        <v>0</v>
      </c>
      <c r="T529" s="492">
        <f t="shared" si="172"/>
        <v>0</v>
      </c>
      <c r="U529" s="478">
        <f>IF(D523&lt;=3,база!$M$4,
IF(D523=4,база!$M$5,
IF(D523=5,база!$M$6)))</f>
        <v>225.09719999999999</v>
      </c>
      <c r="V529" s="390">
        <v>1.3</v>
      </c>
      <c r="W529" s="412">
        <f>SUMIFS(Таблица1[Столбец1],Таблица1[коэф],"1,3",Таблица1[р/р],"3/24",Таблица1[Ф. И. О.],B528)</f>
        <v>0</v>
      </c>
      <c r="X529" s="492">
        <f t="shared" si="173"/>
        <v>0</v>
      </c>
      <c r="Y529" s="795"/>
      <c r="Z529" s="797"/>
      <c r="AA529" s="786"/>
      <c r="AC529" s="727" t="str">
        <f>IF(SUMIFS(Таблица1[Столбец1],Таблица1[Ф. И. О.],B528)=Y523,"",B528&amp;"  часы не верны")</f>
        <v/>
      </c>
    </row>
    <row r="530" spans="1:29" ht="18.75">
      <c r="A530" s="786"/>
      <c r="B530" s="216"/>
      <c r="C530" s="789"/>
      <c r="D530" s="792"/>
      <c r="E530" s="389"/>
      <c r="F530" s="390"/>
      <c r="G530" s="400"/>
      <c r="H530" s="392">
        <f t="shared" si="170"/>
        <v>0</v>
      </c>
      <c r="I530" s="432"/>
      <c r="J530" s="433"/>
      <c r="K530" s="434"/>
      <c r="L530" s="484">
        <f t="shared" si="171"/>
        <v>0</v>
      </c>
      <c r="M530" s="434"/>
      <c r="N530" s="434"/>
      <c r="O530" s="434"/>
      <c r="P530" s="406"/>
      <c r="Q530" s="389">
        <f>база!$L$5</f>
        <v>231.45480000000001</v>
      </c>
      <c r="R530" s="390">
        <v>1.3</v>
      </c>
      <c r="S530" s="400">
        <f>SUMIFS(Таблица1[Столбец1],Таблица1[коэф],"1,3",Таблица1[р/р],"4/16",Таблица1[Ф. И. О.],B528)</f>
        <v>0</v>
      </c>
      <c r="T530" s="492">
        <f t="shared" si="172"/>
        <v>0</v>
      </c>
      <c r="U530" s="478">
        <f>база!$M$5</f>
        <v>247.41720000000001</v>
      </c>
      <c r="V530" s="390">
        <v>1.3</v>
      </c>
      <c r="W530" s="412">
        <f>SUMIFS(Таблица1[Столбец1],Таблица1[коэф],"1,3",Таблица1[р/р],"4/24",Таблица1[Ф. И. О.],B528)</f>
        <v>0</v>
      </c>
      <c r="X530" s="492">
        <f t="shared" si="173"/>
        <v>0</v>
      </c>
      <c r="Y530" s="795"/>
      <c r="Z530" s="797"/>
      <c r="AA530" s="786"/>
    </row>
    <row r="531" spans="1:29" ht="18.75">
      <c r="A531" s="786"/>
      <c r="B531" s="216"/>
      <c r="C531" s="789"/>
      <c r="D531" s="792"/>
      <c r="E531" s="389"/>
      <c r="F531" s="390"/>
      <c r="G531" s="400"/>
      <c r="H531" s="392">
        <f t="shared" si="170"/>
        <v>0</v>
      </c>
      <c r="I531" s="432"/>
      <c r="J531" s="433"/>
      <c r="K531" s="434"/>
      <c r="L531" s="484">
        <f t="shared" si="171"/>
        <v>0</v>
      </c>
      <c r="M531" s="434"/>
      <c r="N531" s="434"/>
      <c r="O531" s="434"/>
      <c r="P531" s="406"/>
      <c r="Q531" s="389">
        <f>IF(D523&lt;=3,база!$L$4,
IF(D523=4,база!$L$5,
IF(D523=5,база!$L$6)))</f>
        <v>210.57480000000001</v>
      </c>
      <c r="R531" s="390">
        <v>1.4</v>
      </c>
      <c r="S531" s="400">
        <f>SUMIFS(Таблица1[Столбец1],Таблица1[коэф],"1,4",Таблица1[р/р],"3/16",Таблица1[Ф. И. О.],B528)</f>
        <v>0</v>
      </c>
      <c r="T531" s="492">
        <f t="shared" si="172"/>
        <v>0</v>
      </c>
      <c r="U531" s="478">
        <f>IF(D523&lt;=3,база!$M$4,
IF(D523=4,база!$M$5,
IF(D523=5,база!$M$6)))</f>
        <v>225.09719999999999</v>
      </c>
      <c r="V531" s="390">
        <v>1.4</v>
      </c>
      <c r="W531" s="412">
        <f>SUMIFS(Таблица1[Столбец1],Таблица1[коэф],"1,4",Таблица1[р/р],"3/24",Таблица1[Ф. И. О.],B528)</f>
        <v>0</v>
      </c>
      <c r="X531" s="492">
        <f t="shared" si="173"/>
        <v>0</v>
      </c>
      <c r="Y531" s="795"/>
      <c r="Z531" s="797"/>
      <c r="AA531" s="786"/>
    </row>
    <row r="532" spans="1:29" ht="18.75">
      <c r="A532" s="786"/>
      <c r="B532" s="216"/>
      <c r="C532" s="789"/>
      <c r="D532" s="792"/>
      <c r="E532" s="389"/>
      <c r="F532" s="390"/>
      <c r="G532" s="400"/>
      <c r="H532" s="392">
        <f t="shared" si="170"/>
        <v>0</v>
      </c>
      <c r="I532" s="432"/>
      <c r="J532" s="433"/>
      <c r="K532" s="434"/>
      <c r="L532" s="484">
        <f t="shared" si="171"/>
        <v>0</v>
      </c>
      <c r="M532" s="434"/>
      <c r="N532" s="434"/>
      <c r="O532" s="434"/>
      <c r="P532" s="406"/>
      <c r="Q532" s="389">
        <f>база!$L$5</f>
        <v>231.45480000000001</v>
      </c>
      <c r="R532" s="390">
        <v>1.4</v>
      </c>
      <c r="S532" s="400">
        <f>SUMIFS(Таблица1[Столбец1],Таблица1[коэф],"1,4",Таблица1[р/р],"4/16",Таблица1[Ф. И. О.],B528)</f>
        <v>0</v>
      </c>
      <c r="T532" s="492">
        <f t="shared" si="172"/>
        <v>0</v>
      </c>
      <c r="U532" s="478">
        <f>база!$M$5</f>
        <v>247.41720000000001</v>
      </c>
      <c r="V532" s="390">
        <v>1.4</v>
      </c>
      <c r="W532" s="412">
        <f>SUMIFS(Таблица1[Столбец1],Таблица1[коэф],"1,4",Таблица1[р/р],"4/24",Таблица1[Ф. И. О.],B528)</f>
        <v>0</v>
      </c>
      <c r="X532" s="492">
        <f t="shared" si="173"/>
        <v>0</v>
      </c>
      <c r="Y532" s="795"/>
      <c r="Z532" s="797"/>
      <c r="AA532" s="786"/>
    </row>
    <row r="533" spans="1:29" ht="19.5" thickBot="1">
      <c r="A533" s="787"/>
      <c r="B533" s="203"/>
      <c r="C533" s="790"/>
      <c r="D533" s="793"/>
      <c r="E533" s="473"/>
      <c r="F533" s="464"/>
      <c r="G533" s="465"/>
      <c r="H533" s="468">
        <f t="shared" si="170"/>
        <v>0</v>
      </c>
      <c r="I533" s="466"/>
      <c r="J533" s="456"/>
      <c r="K533" s="457"/>
      <c r="L533" s="484">
        <f t="shared" si="171"/>
        <v>0</v>
      </c>
      <c r="M533" s="457"/>
      <c r="N533" s="457"/>
      <c r="O533" s="457"/>
      <c r="P533" s="476"/>
      <c r="Q533" s="473">
        <f>база!$L$6</f>
        <v>261.04640000000001</v>
      </c>
      <c r="R533" s="464">
        <v>1.4</v>
      </c>
      <c r="S533" s="465">
        <f>SUMIFS(Таблица1[Столбец1],Таблица1[коэф],"1,4",Таблица1[р/р],"5/16",Таблица1[Ф. И. О.],B528)</f>
        <v>0</v>
      </c>
      <c r="T533" s="492">
        <f t="shared" si="172"/>
        <v>0</v>
      </c>
      <c r="U533" s="480">
        <f>база!$M$6</f>
        <v>279.0496</v>
      </c>
      <c r="V533" s="464">
        <v>1.4</v>
      </c>
      <c r="W533" s="470">
        <f>SUMIFS(Таблица1[Столбец1],Таблица1[коэф],"1,4",Таблица1[р/р],"5/24",Таблица1[Ф. И. О.],B528)</f>
        <v>0</v>
      </c>
      <c r="X533" s="492">
        <f t="shared" si="173"/>
        <v>0</v>
      </c>
      <c r="Y533" s="796"/>
      <c r="Z533" s="798"/>
      <c r="AA533" s="787"/>
    </row>
    <row r="534" spans="1:29" ht="18.75">
      <c r="A534" s="785">
        <v>49</v>
      </c>
      <c r="B534" s="236"/>
      <c r="C534" s="788">
        <f>INDEX(база!$E$2:$E$81, MATCH(B539,база!$B$2:$B$60,0))</f>
        <v>17121</v>
      </c>
      <c r="D534" s="791">
        <f>INDEX(база!$D$2:$D$89, MATCH(B539,база!$B$2:$B$60,0))</f>
        <v>3</v>
      </c>
      <c r="E534" s="377">
        <f>IF(D534&lt;=3,база!$I$4,
IF(D534=4,база!$I$5,
IF(D534=5,база!$I$6)))</f>
        <v>188.7912</v>
      </c>
      <c r="F534" s="378">
        <v>1</v>
      </c>
      <c r="G534" s="387">
        <f>SUMIFS(Таблица1[Столбец1],Таблица1[коэф],"1",Таблица1[р/р],"2/4",Таблица1[Ф. И. О.],B539)</f>
        <v>0</v>
      </c>
      <c r="H534" s="402">
        <f t="shared" ref="H534:H544" si="176">ROUND(E534*F534*G534*2,2)</f>
        <v>0</v>
      </c>
      <c r="I534" s="426">
        <f>IF(D534&lt;=3,база!$J$4,
IF(D534=4,база!$J$5,
IF(D534=5,база!$J$6)))</f>
        <v>196.05240000000001</v>
      </c>
      <c r="J534" s="427">
        <v>1</v>
      </c>
      <c r="K534" s="428">
        <f>SUMIFS(Таблица1[Столбец1],Таблица1[коэф],"1",Таблица1[р/р],"2/8",Таблица1[Ф. И. О.],B539)</f>
        <v>0</v>
      </c>
      <c r="L534" s="383">
        <f t="shared" ref="L534:L544" si="177">ROUND(I534*J534*K534*2,2)</f>
        <v>0</v>
      </c>
      <c r="M534" s="428"/>
      <c r="N534" s="428">
        <v>1</v>
      </c>
      <c r="O534" s="428">
        <f>SUMIFS(Data_Tech!$AM$3:$AM$67,Data_Tech!$E$3:$E$67,"1",Data_Tech!$G$3:$G$67,"3/12",Data_Tech!$F$3:$F$67,B539)</f>
        <v>0</v>
      </c>
      <c r="P534" s="385">
        <f>ROUND(M534*N534*O534,2)</f>
        <v>0</v>
      </c>
      <c r="Q534" s="377">
        <f>IF(D534&lt;=3,база!$L$4,
IF(D534=4,база!$L$5,
IF(D534=5,база!$L$6)))</f>
        <v>210.57480000000001</v>
      </c>
      <c r="R534" s="378">
        <v>1</v>
      </c>
      <c r="S534" s="387">
        <f>SUMIFS(Таблица1[Столбец1],Таблица1[коэф],"1",Таблица1[р/р],"3/16",Таблица1[Ф. И. О.],B539)</f>
        <v>0</v>
      </c>
      <c r="T534" s="490">
        <f t="shared" ref="T534:T544" si="178">ROUND(Q534*R534*S534*2,2)</f>
        <v>0</v>
      </c>
      <c r="U534" s="477">
        <f>IF(D534&lt;=3,база!$M$4,
IF(D534=4,база!$M$5,
IF(D534=5,база!$M$6)))</f>
        <v>225.09719999999999</v>
      </c>
      <c r="V534" s="378">
        <v>1</v>
      </c>
      <c r="W534" s="430">
        <f>SUMIFS(Таблица1[Столбец1],Таблица1[коэф],"1",Таблица1[р/р],"3/24",Таблица1[Ф. И. О.],B539)</f>
        <v>0</v>
      </c>
      <c r="X534" s="490">
        <f t="shared" ref="X534:X544" si="179">ROUND(U534*V534*W534*2,2)</f>
        <v>0</v>
      </c>
      <c r="Y534" s="795">
        <f t="shared" ref="Y534" si="180">SUM(G534:G544,K534:K544,O534:O544,S534:S544,W534:W544)</f>
        <v>0</v>
      </c>
      <c r="Z534" s="797">
        <f t="shared" ref="Z534" si="181">IFERROR(SUM(H534:H544,L534:L544,T534:T544,X534:X544),"")</f>
        <v>0</v>
      </c>
      <c r="AA534" s="786"/>
    </row>
    <row r="535" spans="1:29" ht="18.75">
      <c r="A535" s="786"/>
      <c r="B535" s="216"/>
      <c r="C535" s="789"/>
      <c r="D535" s="792"/>
      <c r="E535" s="389">
        <f>IF(D534&lt;=3,база!$I$4,
IF(D534=4,база!$I$5,
IF(D534=5,база!$I$6)))</f>
        <v>188.7912</v>
      </c>
      <c r="F535" s="390">
        <v>1</v>
      </c>
      <c r="G535" s="400">
        <f>SUMIFS(Таблица1[Столбец1],Таблица1[коэф],"1",Таблица1[р/р],"3/4",Таблица1[Ф. И. О.],B539)</f>
        <v>0</v>
      </c>
      <c r="H535" s="392">
        <f t="shared" si="176"/>
        <v>0</v>
      </c>
      <c r="I535" s="432">
        <f>IF(D534&lt;=3,база!$J$4,
IF(D534=4,база!$J$5,
IF(D534=5,база!$J$6)))</f>
        <v>196.05240000000001</v>
      </c>
      <c r="J535" s="433">
        <v>1</v>
      </c>
      <c r="K535" s="434">
        <f>SUMIFS(Таблица1[Столбец1],Таблица1[коэф],"1",Таблица1[р/р],"3/8",Таблица1[Ф. И. О.],B539)</f>
        <v>0</v>
      </c>
      <c r="L535" s="484">
        <f t="shared" si="177"/>
        <v>0</v>
      </c>
      <c r="M535" s="434"/>
      <c r="N535" s="434">
        <v>1</v>
      </c>
      <c r="O535" s="434">
        <f>SUMIFS(Data_Tech!$AM$3:$AM$67,Data_Tech!$E$3:$E$67,"1",Data_Tech!$G$3:$G$67,"4/12",Data_Tech!$F$3:$F$67,B539)</f>
        <v>0</v>
      </c>
      <c r="P535" s="406">
        <f>ROUND(M535*O535,2)</f>
        <v>0</v>
      </c>
      <c r="Q535" s="389">
        <f>база!$L$5</f>
        <v>231.45480000000001</v>
      </c>
      <c r="R535" s="390">
        <v>1</v>
      </c>
      <c r="S535" s="400">
        <f>SUMIFS(Таблица1[Столбец1],Таблица1[коэф],"1",Таблица1[р/р],"4/16",Таблица1[Ф. И. О.],B539)</f>
        <v>0</v>
      </c>
      <c r="T535" s="492">
        <f t="shared" si="178"/>
        <v>0</v>
      </c>
      <c r="U535" s="478">
        <f>база!$M$5</f>
        <v>247.41720000000001</v>
      </c>
      <c r="V535" s="390">
        <v>1</v>
      </c>
      <c r="W535" s="412">
        <f>SUMIFS(Таблица1[Столбец1],Таблица1[коэф],"1",Таблица1[р/р],"4/24",Таблица1[Ф. И. О.],B539)</f>
        <v>0</v>
      </c>
      <c r="X535" s="492">
        <f t="shared" si="179"/>
        <v>0</v>
      </c>
      <c r="Y535" s="795"/>
      <c r="Z535" s="797"/>
      <c r="AA535" s="786"/>
    </row>
    <row r="536" spans="1:29" ht="18.75">
      <c r="A536" s="786"/>
      <c r="B536" s="216"/>
      <c r="C536" s="789"/>
      <c r="D536" s="792"/>
      <c r="E536" s="389"/>
      <c r="F536" s="390"/>
      <c r="G536" s="400"/>
      <c r="H536" s="392">
        <f t="shared" si="176"/>
        <v>0</v>
      </c>
      <c r="I536" s="432"/>
      <c r="J536" s="433"/>
      <c r="K536" s="434"/>
      <c r="L536" s="484">
        <f t="shared" si="177"/>
        <v>0</v>
      </c>
      <c r="M536" s="434"/>
      <c r="N536" s="434"/>
      <c r="O536" s="434"/>
      <c r="P536" s="406"/>
      <c r="Q536" s="389">
        <f>база!$L$6</f>
        <v>261.04640000000001</v>
      </c>
      <c r="R536" s="390">
        <v>1</v>
      </c>
      <c r="S536" s="400">
        <f>SUMIFS(Таблица1[Столбец1],Таблица1[коэф],"1",Таблица1[р/р],"5/16",Таблица1[Ф. И. О.],B539)</f>
        <v>0</v>
      </c>
      <c r="T536" s="492">
        <f t="shared" si="178"/>
        <v>0</v>
      </c>
      <c r="U536" s="478">
        <f>база!$M$6</f>
        <v>279.0496</v>
      </c>
      <c r="V536" s="390">
        <v>1</v>
      </c>
      <c r="W536" s="412">
        <f>SUMIFS(Таблица1[Столбец1],Таблица1[коэф],"1",Таблица1[р/р],"5/24",Таблица1[Ф. И. О.],B539)</f>
        <v>0</v>
      </c>
      <c r="X536" s="492">
        <f t="shared" si="179"/>
        <v>0</v>
      </c>
      <c r="Y536" s="795"/>
      <c r="Z536" s="797"/>
      <c r="AA536" s="786"/>
    </row>
    <row r="537" spans="1:29" ht="18.75">
      <c r="A537" s="786"/>
      <c r="B537" s="216"/>
      <c r="C537" s="789"/>
      <c r="D537" s="792"/>
      <c r="E537" s="389"/>
      <c r="F537" s="390"/>
      <c r="G537" s="400"/>
      <c r="H537" s="392">
        <f t="shared" si="176"/>
        <v>0</v>
      </c>
      <c r="I537" s="432">
        <f>база!$J$5</f>
        <v>215.4924</v>
      </c>
      <c r="J537" s="433">
        <v>1.5</v>
      </c>
      <c r="K537" s="434">
        <f>SUMIFS(Таблица1[Столбец1],Таблица1[коэф],"1,5",Таблица1[р/р],"4/8",Таблица1[Ф. И. О.],B539)</f>
        <v>0</v>
      </c>
      <c r="L537" s="484">
        <f t="shared" si="177"/>
        <v>0</v>
      </c>
      <c r="M537" s="434"/>
      <c r="N537" s="434"/>
      <c r="O537" s="434"/>
      <c r="P537" s="406"/>
      <c r="Q537" s="389">
        <f>IF(D534&lt;=3,база!$L$4,
IF(D534=4,база!$L$5,
IF(D534=5,база!$L$6)))</f>
        <v>210.57480000000001</v>
      </c>
      <c r="R537" s="390">
        <v>1.2</v>
      </c>
      <c r="S537" s="400">
        <f>SUMIFS(Таблица1[Столбец1],Таблица1[коэф],"1,2",Таблица1[р/р],"3/16",Таблица1[Ф. И. О.],B539)</f>
        <v>0</v>
      </c>
      <c r="T537" s="492">
        <f t="shared" si="178"/>
        <v>0</v>
      </c>
      <c r="U537" s="478">
        <f>IF(D534&lt;=3,база!$M$4,
IF(D534=4,база!$M$5,
IF(D534=5,база!$M$6)))</f>
        <v>225.09719999999999</v>
      </c>
      <c r="V537" s="390">
        <v>1.2</v>
      </c>
      <c r="W537" s="412">
        <f>SUMIFS(Таблица1[Столбец1],Таблица1[коэф],"1,2",Таблица1[р/р],"3/24",Таблица1[Ф. И. О.],B539)</f>
        <v>0</v>
      </c>
      <c r="X537" s="492">
        <f t="shared" si="179"/>
        <v>0</v>
      </c>
      <c r="Y537" s="795"/>
      <c r="Z537" s="797"/>
      <c r="AA537" s="786"/>
    </row>
    <row r="538" spans="1:29" ht="18.75">
      <c r="A538" s="786"/>
      <c r="B538" s="216"/>
      <c r="C538" s="789"/>
      <c r="D538" s="792"/>
      <c r="E538" s="389"/>
      <c r="F538" s="390"/>
      <c r="G538" s="400"/>
      <c r="H538" s="392">
        <f t="shared" si="176"/>
        <v>0</v>
      </c>
      <c r="I538" s="432">
        <f>база!$J$6</f>
        <v>243.04319999999998</v>
      </c>
      <c r="J538" s="433">
        <v>1.5</v>
      </c>
      <c r="K538" s="434">
        <f>SUMIFS(Таблица1[Столбец1],Таблица1[коэф],"1,5",Таблица1[р/р],"5/8",Таблица1[Ф. И. О.],B539)</f>
        <v>0</v>
      </c>
      <c r="L538" s="484">
        <f t="shared" si="177"/>
        <v>0</v>
      </c>
      <c r="M538" s="434"/>
      <c r="N538" s="434"/>
      <c r="O538" s="434"/>
      <c r="P538" s="406"/>
      <c r="Q538" s="389">
        <f>база!$L$5</f>
        <v>231.45480000000001</v>
      </c>
      <c r="R538" s="390">
        <v>1.2</v>
      </c>
      <c r="S538" s="400">
        <f>SUMIFS(Таблица1[Столбец1],Таблица1[коэф],"1,2",Таблица1[р/р],"4/16",Таблица1[Ф. И. О.],B539)</f>
        <v>0</v>
      </c>
      <c r="T538" s="492">
        <f t="shared" si="178"/>
        <v>0</v>
      </c>
      <c r="U538" s="478">
        <f>база!$M$5</f>
        <v>247.41720000000001</v>
      </c>
      <c r="V538" s="390">
        <v>1.2</v>
      </c>
      <c r="W538" s="412">
        <f>SUMIFS(Таблица1[Столбец1],Таблица1[коэф],"1,2",Таблица1[р/р],"4/24",Таблица1[Ф. И. О.],B539)</f>
        <v>0</v>
      </c>
      <c r="X538" s="492">
        <f t="shared" si="179"/>
        <v>0</v>
      </c>
      <c r="Y538" s="795"/>
      <c r="Z538" s="797"/>
      <c r="AA538" s="786"/>
    </row>
    <row r="539" spans="1:29" ht="18.75">
      <c r="A539" s="786"/>
      <c r="B539" s="216" t="str">
        <f>база!B50</f>
        <v>Мельникова Анна Юрьевна</v>
      </c>
      <c r="C539" s="789"/>
      <c r="D539" s="792"/>
      <c r="E539" s="389"/>
      <c r="F539" s="390"/>
      <c r="G539" s="400"/>
      <c r="H539" s="392">
        <f t="shared" si="176"/>
        <v>0</v>
      </c>
      <c r="I539" s="432"/>
      <c r="J539" s="433"/>
      <c r="K539" s="434"/>
      <c r="L539" s="484">
        <f t="shared" si="177"/>
        <v>0</v>
      </c>
      <c r="M539" s="434"/>
      <c r="N539" s="434"/>
      <c r="O539" s="434"/>
      <c r="P539" s="406"/>
      <c r="Q539" s="389">
        <f>база!$L$6</f>
        <v>261.04640000000001</v>
      </c>
      <c r="R539" s="390">
        <v>1.2</v>
      </c>
      <c r="S539" s="400">
        <f>SUMIFS(Таблица1[Столбец1],Таблица1[коэф],"1,2",Таблица1[р/р],"5/16",Таблица1[Ф. И. О.],B539)</f>
        <v>0</v>
      </c>
      <c r="T539" s="492">
        <f t="shared" si="178"/>
        <v>0</v>
      </c>
      <c r="U539" s="478">
        <f>база!$M$6</f>
        <v>279.0496</v>
      </c>
      <c r="V539" s="390">
        <v>1.2</v>
      </c>
      <c r="W539" s="412">
        <f>SUMIFS(Таблица1[Столбец1],Таблица1[коэф],"1,2",Таблица1[р/р],"5/24",Таблица1[Ф. И. О.],B539)</f>
        <v>0</v>
      </c>
      <c r="X539" s="492">
        <f t="shared" si="179"/>
        <v>0</v>
      </c>
      <c r="Y539" s="795"/>
      <c r="Z539" s="797"/>
      <c r="AA539" s="786"/>
      <c r="AC539" s="727" t="str">
        <f>IF(SUMIFS(Таблица1[Столбец3],Таблица1[Ф. И. О.],B539)-Z534=0,"",SUMIFS(Таблица1[Столбец3],Таблица1[Ф. И. О.],B539)-Z534)</f>
        <v/>
      </c>
    </row>
    <row r="540" spans="1:29" ht="18.75">
      <c r="A540" s="786"/>
      <c r="B540" s="216"/>
      <c r="C540" s="789"/>
      <c r="D540" s="792"/>
      <c r="E540" s="389"/>
      <c r="F540" s="390"/>
      <c r="G540" s="400"/>
      <c r="H540" s="392">
        <f t="shared" si="176"/>
        <v>0</v>
      </c>
      <c r="I540" s="432"/>
      <c r="J540" s="433"/>
      <c r="K540" s="434"/>
      <c r="L540" s="484">
        <f t="shared" si="177"/>
        <v>0</v>
      </c>
      <c r="M540" s="434"/>
      <c r="N540" s="434"/>
      <c r="O540" s="434"/>
      <c r="P540" s="406"/>
      <c r="Q540" s="389">
        <f>IF($D$6&lt;=3,база!$L$4,
IF($D$6=4,база!$L$5,
IF($D$6=5,база!$L$6)))</f>
        <v>231.45480000000001</v>
      </c>
      <c r="R540" s="390">
        <v>1.3</v>
      </c>
      <c r="S540" s="400">
        <f>SUMIFS(Таблица1[Столбец1],Таблица1[коэф],"1,3",Таблица1[р/р],"3/16",Таблица1[Ф. И. О.],B539)</f>
        <v>0</v>
      </c>
      <c r="T540" s="492">
        <f t="shared" si="178"/>
        <v>0</v>
      </c>
      <c r="U540" s="478">
        <f>IF(D534&lt;=3,база!$M$4,
IF(D534=4,база!$M$5,
IF(D534=5,база!$M$6)))</f>
        <v>225.09719999999999</v>
      </c>
      <c r="V540" s="390">
        <v>1.3</v>
      </c>
      <c r="W540" s="412">
        <f>SUMIFS(Таблица1[Столбец1],Таблица1[коэф],"1,3",Таблица1[р/р],"3/24",Таблица1[Ф. И. О.],B539)</f>
        <v>0</v>
      </c>
      <c r="X540" s="492">
        <f t="shared" si="179"/>
        <v>0</v>
      </c>
      <c r="Y540" s="795"/>
      <c r="Z540" s="797"/>
      <c r="AA540" s="786"/>
      <c r="AC540" s="727" t="str">
        <f>IF(SUMIFS(Таблица1[Столбец1],Таблица1[Ф. И. О.],B539)=Y534,"",B539&amp;"  часы не верны")</f>
        <v/>
      </c>
    </row>
    <row r="541" spans="1:29" ht="18.75">
      <c r="A541" s="786"/>
      <c r="B541" s="216"/>
      <c r="C541" s="789"/>
      <c r="D541" s="792"/>
      <c r="E541" s="389"/>
      <c r="F541" s="390"/>
      <c r="G541" s="400"/>
      <c r="H541" s="392">
        <f t="shared" si="176"/>
        <v>0</v>
      </c>
      <c r="I541" s="432"/>
      <c r="J541" s="433"/>
      <c r="K541" s="434"/>
      <c r="L541" s="484">
        <f t="shared" si="177"/>
        <v>0</v>
      </c>
      <c r="M541" s="434"/>
      <c r="N541" s="434"/>
      <c r="O541" s="434"/>
      <c r="P541" s="406"/>
      <c r="Q541" s="389">
        <f>база!$L$5</f>
        <v>231.45480000000001</v>
      </c>
      <c r="R541" s="390">
        <v>1.3</v>
      </c>
      <c r="S541" s="400">
        <f>SUMIFS(Таблица1[Столбец1],Таблица1[коэф],"1,3",Таблица1[р/р],"4/16",Таблица1[Ф. И. О.],B539)</f>
        <v>0</v>
      </c>
      <c r="T541" s="492">
        <f t="shared" si="178"/>
        <v>0</v>
      </c>
      <c r="U541" s="478">
        <f>база!$M$5</f>
        <v>247.41720000000001</v>
      </c>
      <c r="V541" s="390">
        <v>1.3</v>
      </c>
      <c r="W541" s="412">
        <f>SUMIFS(Таблица1[Столбец1],Таблица1[коэф],"1,3",Таблица1[р/р],"4/24",Таблица1[Ф. И. О.],B539)</f>
        <v>0</v>
      </c>
      <c r="X541" s="492">
        <f t="shared" si="179"/>
        <v>0</v>
      </c>
      <c r="Y541" s="795"/>
      <c r="Z541" s="797"/>
      <c r="AA541" s="786"/>
    </row>
    <row r="542" spans="1:29" ht="18.75">
      <c r="A542" s="786"/>
      <c r="B542" s="216"/>
      <c r="C542" s="789"/>
      <c r="D542" s="792"/>
      <c r="E542" s="389"/>
      <c r="F542" s="390"/>
      <c r="G542" s="400"/>
      <c r="H542" s="392">
        <f t="shared" si="176"/>
        <v>0</v>
      </c>
      <c r="I542" s="432"/>
      <c r="J542" s="433"/>
      <c r="K542" s="434"/>
      <c r="L542" s="484">
        <f t="shared" si="177"/>
        <v>0</v>
      </c>
      <c r="M542" s="434"/>
      <c r="N542" s="434"/>
      <c r="O542" s="434"/>
      <c r="P542" s="406"/>
      <c r="Q542" s="389">
        <f>IF(D534&lt;=3,база!$L$4,
IF(D534=4,база!$L$5,
IF(D534=5,база!$L$6)))</f>
        <v>210.57480000000001</v>
      </c>
      <c r="R542" s="390">
        <v>1.4</v>
      </c>
      <c r="S542" s="400">
        <f>SUMIFS(Таблица1[Столбец1],Таблица1[коэф],"1,4",Таблица1[р/р],"3/16",Таблица1[Ф. И. О.],B539)</f>
        <v>0</v>
      </c>
      <c r="T542" s="492">
        <f t="shared" si="178"/>
        <v>0</v>
      </c>
      <c r="U542" s="478">
        <f>IF(D534&lt;=3,база!$M$4,
IF(D534=4,база!$M$5,
IF(D534=5,база!$M$6)))</f>
        <v>225.09719999999999</v>
      </c>
      <c r="V542" s="390">
        <v>1.4</v>
      </c>
      <c r="W542" s="412">
        <f>SUMIFS(Таблица1[Столбец1],Таблица1[коэф],"1,4",Таблица1[р/р],"3/24",Таблица1[Ф. И. О.],B539)</f>
        <v>0</v>
      </c>
      <c r="X542" s="492">
        <f t="shared" si="179"/>
        <v>0</v>
      </c>
      <c r="Y542" s="795"/>
      <c r="Z542" s="797"/>
      <c r="AA542" s="786"/>
    </row>
    <row r="543" spans="1:29" ht="18.75">
      <c r="A543" s="786"/>
      <c r="B543" s="216"/>
      <c r="C543" s="789"/>
      <c r="D543" s="792"/>
      <c r="E543" s="389"/>
      <c r="F543" s="390"/>
      <c r="G543" s="400"/>
      <c r="H543" s="392">
        <f t="shared" si="176"/>
        <v>0</v>
      </c>
      <c r="I543" s="432"/>
      <c r="J543" s="433"/>
      <c r="K543" s="434"/>
      <c r="L543" s="484">
        <f t="shared" si="177"/>
        <v>0</v>
      </c>
      <c r="M543" s="434"/>
      <c r="N543" s="434"/>
      <c r="O543" s="434"/>
      <c r="P543" s="406"/>
      <c r="Q543" s="389">
        <f>база!$L$5</f>
        <v>231.45480000000001</v>
      </c>
      <c r="R543" s="390">
        <v>1.4</v>
      </c>
      <c r="S543" s="400">
        <f>SUMIFS(Таблица1[Столбец1],Таблица1[коэф],"1,4",Таблица1[р/р],"4/16",Таблица1[Ф. И. О.],B539)</f>
        <v>0</v>
      </c>
      <c r="T543" s="492">
        <f t="shared" si="178"/>
        <v>0</v>
      </c>
      <c r="U543" s="478">
        <f>база!$M$5</f>
        <v>247.41720000000001</v>
      </c>
      <c r="V543" s="390">
        <v>1.4</v>
      </c>
      <c r="W543" s="412">
        <f>SUMIFS(Таблица1[Столбец1],Таблица1[коэф],"1,4",Таблица1[р/р],"4/24",Таблица1[Ф. И. О.],B539)</f>
        <v>0</v>
      </c>
      <c r="X543" s="492">
        <f t="shared" si="179"/>
        <v>0</v>
      </c>
      <c r="Y543" s="795"/>
      <c r="Z543" s="797"/>
      <c r="AA543" s="786"/>
    </row>
    <row r="544" spans="1:29" ht="19.5" thickBot="1">
      <c r="A544" s="787"/>
      <c r="B544" s="203"/>
      <c r="C544" s="790"/>
      <c r="D544" s="793"/>
      <c r="E544" s="473"/>
      <c r="F544" s="464"/>
      <c r="G544" s="465"/>
      <c r="H544" s="440">
        <f t="shared" si="176"/>
        <v>0</v>
      </c>
      <c r="I544" s="466"/>
      <c r="J544" s="456"/>
      <c r="K544" s="457"/>
      <c r="L544" s="484">
        <f t="shared" si="177"/>
        <v>0</v>
      </c>
      <c r="M544" s="457"/>
      <c r="N544" s="457"/>
      <c r="O544" s="457"/>
      <c r="P544" s="476"/>
      <c r="Q544" s="473">
        <f>база!$L$6</f>
        <v>261.04640000000001</v>
      </c>
      <c r="R544" s="464">
        <v>1.4</v>
      </c>
      <c r="S544" s="465">
        <f>SUMIFS(Таблица1[Столбец1],Таблица1[коэф],"1,4",Таблица1[р/р],"5/16",Таблица1[Ф. И. О.],B539)</f>
        <v>0</v>
      </c>
      <c r="T544" s="492">
        <f t="shared" si="178"/>
        <v>0</v>
      </c>
      <c r="U544" s="480">
        <f>база!$M$6</f>
        <v>279.0496</v>
      </c>
      <c r="V544" s="464">
        <v>1.4</v>
      </c>
      <c r="W544" s="470">
        <f>SUMIFS(Таблица1[Столбец1],Таблица1[коэф],"1,4",Таблица1[р/р],"5/24",Таблица1[Ф. И. О.],B539)</f>
        <v>0</v>
      </c>
      <c r="X544" s="492">
        <f t="shared" si="179"/>
        <v>0</v>
      </c>
      <c r="Y544" s="796"/>
      <c r="Z544" s="798"/>
      <c r="AA544" s="787"/>
    </row>
    <row r="545" spans="1:29" ht="18.75">
      <c r="A545" s="785">
        <v>50</v>
      </c>
      <c r="B545" s="236"/>
      <c r="C545" s="788">
        <f>INDEX(база!$E$2:$E$81, MATCH(B550,база!$B$2:$B$60,0))</f>
        <v>14883</v>
      </c>
      <c r="D545" s="791">
        <f>INDEX(база!$D$2:$D$89, MATCH(B550,база!$B$2:$B$60,0))</f>
        <v>4</v>
      </c>
      <c r="E545" s="377">
        <f>IF(D545&lt;=3,база!$I$4,
IF(D545=4,база!$I$5,
IF(D545=5,база!$I$6)))</f>
        <v>207.5112</v>
      </c>
      <c r="F545" s="378">
        <v>1</v>
      </c>
      <c r="G545" s="387">
        <f>SUMIFS(Таблица1[Столбец1],Таблица1[коэф],"1",Таблица1[р/р],"2/4",Таблица1[Ф. И. О.],B550)</f>
        <v>0</v>
      </c>
      <c r="H545" s="380">
        <f t="shared" ref="H545:H555" si="182">ROUND(E545*F545*G545*2,2)</f>
        <v>0</v>
      </c>
      <c r="I545" s="426">
        <f>IF(D545&lt;=3,база!$J$4,
IF(D545=4,база!$J$5,
IF(D545=5,база!$J$6)))</f>
        <v>215.4924</v>
      </c>
      <c r="J545" s="427">
        <v>1</v>
      </c>
      <c r="K545" s="428">
        <f>SUMIFS(Таблица1[Столбец1],Таблица1[коэф],"1",Таблица1[р/р],"2/8",Таблица1[Ф. И. О.],B550)</f>
        <v>0</v>
      </c>
      <c r="L545" s="383">
        <f t="shared" ref="L545:L555" si="183">ROUND(I545*J545*K545*2,2)</f>
        <v>0</v>
      </c>
      <c r="M545" s="428"/>
      <c r="N545" s="428">
        <v>1</v>
      </c>
      <c r="O545" s="428">
        <f>SUMIFS(Data_Tech!$AM$3:$AM$67,Data_Tech!$E$3:$E$67,"1",Data_Tech!$G$3:$G$67,"3/12",Data_Tech!$F$3:$F$67,B550)</f>
        <v>0</v>
      </c>
      <c r="P545" s="385">
        <f>ROUND(M545*N545*O545,2)</f>
        <v>0</v>
      </c>
      <c r="Q545" s="377">
        <f>IF(D545&lt;=3,база!$L$4,
IF(D545=4,база!$L$5,
IF(D545=5,база!$L$6)))</f>
        <v>231.45480000000001</v>
      </c>
      <c r="R545" s="378">
        <v>1</v>
      </c>
      <c r="S545" s="387">
        <f>SUMIFS(Таблица1[Столбец1],Таблица1[коэф],"1",Таблица1[р/р],"3/16",Таблица1[Ф. И. О.],B550)</f>
        <v>0</v>
      </c>
      <c r="T545" s="490">
        <f t="shared" ref="T545:T555" si="184">ROUND(Q545*R545*S545*2,2)</f>
        <v>0</v>
      </c>
      <c r="U545" s="477">
        <f>IF(D545&lt;=3,база!$M$4,
IF(D545=4,база!$M$5,
IF(D545=5,база!$M$6)))</f>
        <v>247.41720000000001</v>
      </c>
      <c r="V545" s="378">
        <v>1</v>
      </c>
      <c r="W545" s="430">
        <f>SUMIFS(Таблица1[Столбец1],Таблица1[коэф],"1",Таблица1[р/р],"3/24",Таблица1[Ф. И. О.],B550)</f>
        <v>0</v>
      </c>
      <c r="X545" s="490">
        <f t="shared" ref="X545:X555" si="185">ROUND(U545*V545*W545*2,2)</f>
        <v>0</v>
      </c>
      <c r="Y545" s="795">
        <f t="shared" ref="Y545" si="186">SUM(G545:G555,K545:K555,O545:O555,S545:S555,W545:W555)</f>
        <v>0</v>
      </c>
      <c r="Z545" s="797">
        <f t="shared" ref="Z545" si="187">IFERROR(SUM(H545:H555,L545:L555,T545:T555,X545:X555),"")</f>
        <v>0</v>
      </c>
      <c r="AA545" s="786"/>
    </row>
    <row r="546" spans="1:29" ht="18.75">
      <c r="A546" s="786"/>
      <c r="B546" s="216"/>
      <c r="C546" s="789"/>
      <c r="D546" s="792"/>
      <c r="E546" s="389">
        <f>IF(D545&lt;=3,база!$I$4,
IF(D545=4,база!$I$5,
IF(D545=5,база!$I$6)))</f>
        <v>207.5112</v>
      </c>
      <c r="F546" s="390">
        <v>1</v>
      </c>
      <c r="G546" s="400">
        <f>SUMIFS(Таблица1[Столбец1],Таблица1[коэф],"1",Таблица1[р/р],"3/4",Таблица1[Ф. И. О.],B550)</f>
        <v>0</v>
      </c>
      <c r="H546" s="392">
        <f t="shared" si="182"/>
        <v>0</v>
      </c>
      <c r="I546" s="432">
        <f>IF(D545&lt;=3,база!$J$4,
IF(D545=4,база!$J$5,
IF(D545=5,база!$J$6)))</f>
        <v>215.4924</v>
      </c>
      <c r="J546" s="433">
        <v>1</v>
      </c>
      <c r="K546" s="434">
        <f>SUMIFS(Таблица1[Столбец1],Таблица1[коэф],"1",Таблица1[р/р],"3/8",Таблица1[Ф. И. О.],B550)</f>
        <v>0</v>
      </c>
      <c r="L546" s="484">
        <f t="shared" si="183"/>
        <v>0</v>
      </c>
      <c r="M546" s="434"/>
      <c r="N546" s="434">
        <v>1</v>
      </c>
      <c r="O546" s="434">
        <f>SUMIFS(Data_Tech!$AM$3:$AM$67,Data_Tech!$E$3:$E$67,"1",Data_Tech!$G$3:$G$67,"4/12",Data_Tech!$F$3:$F$67,B550)</f>
        <v>0</v>
      </c>
      <c r="P546" s="406">
        <f>ROUND(M546*O546,2)</f>
        <v>0</v>
      </c>
      <c r="Q546" s="389">
        <f>база!$L$5</f>
        <v>231.45480000000001</v>
      </c>
      <c r="R546" s="390">
        <v>1</v>
      </c>
      <c r="S546" s="400">
        <f>SUMIFS(Таблица1[Столбец1],Таблица1[коэф],"1",Таблица1[р/р],"4/16",Таблица1[Ф. И. О.],B550)</f>
        <v>0</v>
      </c>
      <c r="T546" s="492">
        <f t="shared" si="184"/>
        <v>0</v>
      </c>
      <c r="U546" s="478">
        <f>база!$M$5</f>
        <v>247.41720000000001</v>
      </c>
      <c r="V546" s="390">
        <v>1</v>
      </c>
      <c r="W546" s="412">
        <f>SUMIFS(Таблица1[Столбец1],Таблица1[коэф],"1",Таблица1[р/р],"4/24",Таблица1[Ф. И. О.],B550)</f>
        <v>0</v>
      </c>
      <c r="X546" s="492">
        <f t="shared" si="185"/>
        <v>0</v>
      </c>
      <c r="Y546" s="795"/>
      <c r="Z546" s="797"/>
      <c r="AA546" s="786"/>
    </row>
    <row r="547" spans="1:29" ht="18.75">
      <c r="A547" s="786"/>
      <c r="B547" s="216"/>
      <c r="C547" s="789"/>
      <c r="D547" s="792"/>
      <c r="E547" s="389"/>
      <c r="F547" s="390"/>
      <c r="G547" s="400"/>
      <c r="H547" s="392">
        <f t="shared" si="182"/>
        <v>0</v>
      </c>
      <c r="I547" s="432"/>
      <c r="J547" s="433"/>
      <c r="K547" s="434"/>
      <c r="L547" s="484">
        <f t="shared" si="183"/>
        <v>0</v>
      </c>
      <c r="M547" s="434"/>
      <c r="N547" s="434"/>
      <c r="O547" s="434"/>
      <c r="P547" s="406"/>
      <c r="Q547" s="389">
        <f>база!$L$6</f>
        <v>261.04640000000001</v>
      </c>
      <c r="R547" s="390">
        <v>1</v>
      </c>
      <c r="S547" s="400">
        <f>SUMIFS(Таблица1[Столбец1],Таблица1[коэф],"1",Таблица1[р/р],"5/16",Таблица1[Ф. И. О.],B550)</f>
        <v>0</v>
      </c>
      <c r="T547" s="492">
        <f t="shared" si="184"/>
        <v>0</v>
      </c>
      <c r="U547" s="478">
        <f>база!$M$6</f>
        <v>279.0496</v>
      </c>
      <c r="V547" s="390">
        <v>1</v>
      </c>
      <c r="W547" s="412">
        <f>SUMIFS(Таблица1[Столбец1],Таблица1[коэф],"1",Таблица1[р/р],"5/24",Таблица1[Ф. И. О.],B550)</f>
        <v>0</v>
      </c>
      <c r="X547" s="492">
        <f t="shared" si="185"/>
        <v>0</v>
      </c>
      <c r="Y547" s="795"/>
      <c r="Z547" s="797"/>
      <c r="AA547" s="786"/>
    </row>
    <row r="548" spans="1:29" ht="18.75">
      <c r="A548" s="786"/>
      <c r="B548" s="216"/>
      <c r="C548" s="789"/>
      <c r="D548" s="792"/>
      <c r="E548" s="389"/>
      <c r="F548" s="390"/>
      <c r="G548" s="400"/>
      <c r="H548" s="392">
        <f t="shared" si="182"/>
        <v>0</v>
      </c>
      <c r="I548" s="432">
        <f>база!$J$5</f>
        <v>215.4924</v>
      </c>
      <c r="J548" s="433">
        <v>1.5</v>
      </c>
      <c r="K548" s="434">
        <f>SUMIFS(Таблица1[Столбец1],Таблица1[коэф],"1,5",Таблица1[р/р],"4/8",Таблица1[Ф. И. О.],B550)</f>
        <v>0</v>
      </c>
      <c r="L548" s="484">
        <f t="shared" si="183"/>
        <v>0</v>
      </c>
      <c r="M548" s="434"/>
      <c r="N548" s="434"/>
      <c r="O548" s="434"/>
      <c r="P548" s="406"/>
      <c r="Q548" s="389">
        <f>IF(D545&lt;=3,база!$L$4,
IF(D545=4,база!$L$5,
IF(D545=5,база!$L$6)))</f>
        <v>231.45480000000001</v>
      </c>
      <c r="R548" s="390">
        <v>1.2</v>
      </c>
      <c r="S548" s="400">
        <f>SUMIFS(Таблица1[Столбец1],Таблица1[коэф],"1,2",Таблица1[р/р],"3/16",Таблица1[Ф. И. О.],B550)</f>
        <v>0</v>
      </c>
      <c r="T548" s="492">
        <f t="shared" si="184"/>
        <v>0</v>
      </c>
      <c r="U548" s="478">
        <f>IF(D545&lt;=3,база!$M$4,
IF(D545=4,база!$M$5,
IF(D545=5,база!$M$6)))</f>
        <v>247.41720000000001</v>
      </c>
      <c r="V548" s="390">
        <v>1.2</v>
      </c>
      <c r="W548" s="412">
        <f>SUMIFS(Таблица1[Столбец1],Таблица1[коэф],"1,2",Таблица1[р/р],"3/24",Таблица1[Ф. И. О.],B550)</f>
        <v>0</v>
      </c>
      <c r="X548" s="492">
        <f t="shared" si="185"/>
        <v>0</v>
      </c>
      <c r="Y548" s="795"/>
      <c r="Z548" s="797"/>
      <c r="AA548" s="786"/>
    </row>
    <row r="549" spans="1:29" ht="18.75">
      <c r="A549" s="786"/>
      <c r="B549" s="216"/>
      <c r="C549" s="789"/>
      <c r="D549" s="792"/>
      <c r="E549" s="389"/>
      <c r="F549" s="390"/>
      <c r="G549" s="400"/>
      <c r="H549" s="392">
        <f t="shared" si="182"/>
        <v>0</v>
      </c>
      <c r="I549" s="432">
        <f>база!$J$6</f>
        <v>243.04319999999998</v>
      </c>
      <c r="J549" s="433">
        <v>1.5</v>
      </c>
      <c r="K549" s="434">
        <f>SUMIFS(Таблица1[Столбец1],Таблица1[коэф],"1,5",Таблица1[р/р],"5/8",Таблица1[Ф. И. О.],B550)</f>
        <v>0</v>
      </c>
      <c r="L549" s="484">
        <f t="shared" si="183"/>
        <v>0</v>
      </c>
      <c r="M549" s="434"/>
      <c r="N549" s="434"/>
      <c r="O549" s="434"/>
      <c r="P549" s="406"/>
      <c r="Q549" s="389">
        <f>база!$L$5</f>
        <v>231.45480000000001</v>
      </c>
      <c r="R549" s="390">
        <v>1.2</v>
      </c>
      <c r="S549" s="400">
        <f>SUMIFS(Таблица1[Столбец1],Таблица1[коэф],"1,2",Таблица1[р/р],"4/16",Таблица1[Ф. И. О.],B550)</f>
        <v>0</v>
      </c>
      <c r="T549" s="492">
        <f t="shared" si="184"/>
        <v>0</v>
      </c>
      <c r="U549" s="478">
        <f>база!$M$5</f>
        <v>247.41720000000001</v>
      </c>
      <c r="V549" s="390">
        <v>1.2</v>
      </c>
      <c r="W549" s="412">
        <f>SUMIFS(Таблица1[Столбец1],Таблица1[коэф],"1,2",Таблица1[р/р],"4/24",Таблица1[Ф. И. О.],B550)</f>
        <v>0</v>
      </c>
      <c r="X549" s="492">
        <f t="shared" si="185"/>
        <v>0</v>
      </c>
      <c r="Y549" s="795"/>
      <c r="Z549" s="797"/>
      <c r="AA549" s="786"/>
    </row>
    <row r="550" spans="1:29" ht="18.75">
      <c r="A550" s="786"/>
      <c r="B550" s="216" t="str">
        <f>база!B51</f>
        <v>Минко Елена Анатольевна</v>
      </c>
      <c r="C550" s="789"/>
      <c r="D550" s="792"/>
      <c r="E550" s="389"/>
      <c r="F550" s="390"/>
      <c r="G550" s="400"/>
      <c r="H550" s="392">
        <f t="shared" si="182"/>
        <v>0</v>
      </c>
      <c r="I550" s="432"/>
      <c r="J550" s="433"/>
      <c r="K550" s="434"/>
      <c r="L550" s="484">
        <f t="shared" si="183"/>
        <v>0</v>
      </c>
      <c r="M550" s="434"/>
      <c r="N550" s="434"/>
      <c r="O550" s="434"/>
      <c r="P550" s="406"/>
      <c r="Q550" s="389">
        <f>база!$L$6</f>
        <v>261.04640000000001</v>
      </c>
      <c r="R550" s="390">
        <v>1.2</v>
      </c>
      <c r="S550" s="400">
        <f>SUMIFS(Таблица1[Столбец1],Таблица1[коэф],"1,2",Таблица1[р/р],"5/16",Таблица1[Ф. И. О.],B550)</f>
        <v>0</v>
      </c>
      <c r="T550" s="492">
        <f t="shared" si="184"/>
        <v>0</v>
      </c>
      <c r="U550" s="478">
        <f>база!$M$6</f>
        <v>279.0496</v>
      </c>
      <c r="V550" s="390">
        <v>1.2</v>
      </c>
      <c r="W550" s="412">
        <f>SUMIFS(Таблица1[Столбец1],Таблица1[коэф],"1,2",Таблица1[р/р],"5/24",Таблица1[Ф. И. О.],B550)</f>
        <v>0</v>
      </c>
      <c r="X550" s="492">
        <f t="shared" si="185"/>
        <v>0</v>
      </c>
      <c r="Y550" s="795"/>
      <c r="Z550" s="797"/>
      <c r="AA550" s="786"/>
      <c r="AC550" s="727" t="str">
        <f>IF(SUMIFS(Таблица1[Столбец3],Таблица1[Ф. И. О.],B550)-Z545=0,"",SUMIFS(Таблица1[Столбец3],Таблица1[Ф. И. О.],B550)-Z545)</f>
        <v/>
      </c>
    </row>
    <row r="551" spans="1:29" ht="18.75">
      <c r="A551" s="786"/>
      <c r="B551" s="216"/>
      <c r="C551" s="789"/>
      <c r="D551" s="792"/>
      <c r="E551" s="389"/>
      <c r="F551" s="390"/>
      <c r="G551" s="400"/>
      <c r="H551" s="392">
        <f t="shared" si="182"/>
        <v>0</v>
      </c>
      <c r="I551" s="432"/>
      <c r="J551" s="433"/>
      <c r="K551" s="434"/>
      <c r="L551" s="484">
        <f t="shared" si="183"/>
        <v>0</v>
      </c>
      <c r="M551" s="434"/>
      <c r="N551" s="434"/>
      <c r="O551" s="434"/>
      <c r="P551" s="406"/>
      <c r="Q551" s="389">
        <f>IF($D$6&lt;=3,база!$L$4,
IF($D$6=4,база!$L$5,
IF($D$6=5,база!$L$6)))</f>
        <v>231.45480000000001</v>
      </c>
      <c r="R551" s="390">
        <v>1.3</v>
      </c>
      <c r="S551" s="400">
        <f>SUMIFS(Таблица1[Столбец1],Таблица1[коэф],"1,3",Таблица1[р/р],"3/16",Таблица1[Ф. И. О.],B550)</f>
        <v>0</v>
      </c>
      <c r="T551" s="492">
        <f t="shared" si="184"/>
        <v>0</v>
      </c>
      <c r="U551" s="478">
        <f>IF(D545&lt;=3,база!$M$4,
IF(D545=4,база!$M$5,
IF(D545=5,база!$M$6)))</f>
        <v>247.41720000000001</v>
      </c>
      <c r="V551" s="390">
        <v>1.3</v>
      </c>
      <c r="W551" s="412">
        <f>SUMIFS(Таблица1[Столбец1],Таблица1[коэф],"1,3",Таблица1[р/р],"3/24",Таблица1[Ф. И. О.],B550)</f>
        <v>0</v>
      </c>
      <c r="X551" s="492">
        <f t="shared" si="185"/>
        <v>0</v>
      </c>
      <c r="Y551" s="795"/>
      <c r="Z551" s="797"/>
      <c r="AA551" s="786"/>
      <c r="AC551" s="727" t="str">
        <f>IF(SUMIFS(Таблица1[Столбец1],Таблица1[Ф. И. О.],B550)=Y545,"",B550&amp;"  часы не верны")</f>
        <v/>
      </c>
    </row>
    <row r="552" spans="1:29" ht="18.75">
      <c r="A552" s="786"/>
      <c r="B552" s="216"/>
      <c r="C552" s="789"/>
      <c r="D552" s="792"/>
      <c r="E552" s="389"/>
      <c r="F552" s="390"/>
      <c r="G552" s="400"/>
      <c r="H552" s="392">
        <f t="shared" si="182"/>
        <v>0</v>
      </c>
      <c r="I552" s="432"/>
      <c r="J552" s="433"/>
      <c r="K552" s="434"/>
      <c r="L552" s="484">
        <f t="shared" si="183"/>
        <v>0</v>
      </c>
      <c r="M552" s="434"/>
      <c r="N552" s="434"/>
      <c r="O552" s="434"/>
      <c r="P552" s="406"/>
      <c r="Q552" s="389">
        <f>база!$L$5</f>
        <v>231.45480000000001</v>
      </c>
      <c r="R552" s="390">
        <v>1.3</v>
      </c>
      <c r="S552" s="400">
        <f>SUMIFS(Таблица1[Столбец1],Таблица1[коэф],"1,3",Таблица1[р/р],"4/16",Таблица1[Ф. И. О.],B550)</f>
        <v>0</v>
      </c>
      <c r="T552" s="492">
        <f t="shared" si="184"/>
        <v>0</v>
      </c>
      <c r="U552" s="478">
        <f>база!$M$5</f>
        <v>247.41720000000001</v>
      </c>
      <c r="V552" s="390">
        <v>1.3</v>
      </c>
      <c r="W552" s="412">
        <f>SUMIFS(Таблица1[Столбец1],Таблица1[коэф],"1,3",Таблица1[р/р],"4/24",Таблица1[Ф. И. О.],B550)</f>
        <v>0</v>
      </c>
      <c r="X552" s="492">
        <f t="shared" si="185"/>
        <v>0</v>
      </c>
      <c r="Y552" s="795"/>
      <c r="Z552" s="797"/>
      <c r="AA552" s="786"/>
    </row>
    <row r="553" spans="1:29" ht="18.75">
      <c r="A553" s="786"/>
      <c r="B553" s="216"/>
      <c r="C553" s="789"/>
      <c r="D553" s="792"/>
      <c r="E553" s="389"/>
      <c r="F553" s="390"/>
      <c r="G553" s="400"/>
      <c r="H553" s="392">
        <f t="shared" si="182"/>
        <v>0</v>
      </c>
      <c r="I553" s="432"/>
      <c r="J553" s="433"/>
      <c r="K553" s="434"/>
      <c r="L553" s="484">
        <f t="shared" si="183"/>
        <v>0</v>
      </c>
      <c r="M553" s="434"/>
      <c r="N553" s="434"/>
      <c r="O553" s="434"/>
      <c r="P553" s="406"/>
      <c r="Q553" s="389">
        <f>IF(D545&lt;=3,база!$L$4,
IF(D545=4,база!$L$5,
IF(D545=5,база!$L$6)))</f>
        <v>231.45480000000001</v>
      </c>
      <c r="R553" s="390">
        <v>1.4</v>
      </c>
      <c r="S553" s="400">
        <f>SUMIFS(Таблица1[Столбец1],Таблица1[коэф],"1,4",Таблица1[р/р],"3/16",Таблица1[Ф. И. О.],B550)</f>
        <v>0</v>
      </c>
      <c r="T553" s="492">
        <f t="shared" si="184"/>
        <v>0</v>
      </c>
      <c r="U553" s="478">
        <f>IF(D545&lt;=3,база!$M$4,
IF(D545=4,база!$M$5,
IF(D545=5,база!$M$6)))</f>
        <v>247.41720000000001</v>
      </c>
      <c r="V553" s="390">
        <v>1.4</v>
      </c>
      <c r="W553" s="412">
        <f>SUMIFS(Таблица1[Столбец1],Таблица1[коэф],"1,4",Таблица1[р/р],"3/24",Таблица1[Ф. И. О.],B550)</f>
        <v>0</v>
      </c>
      <c r="X553" s="492">
        <f t="shared" si="185"/>
        <v>0</v>
      </c>
      <c r="Y553" s="795"/>
      <c r="Z553" s="797"/>
      <c r="AA553" s="786"/>
    </row>
    <row r="554" spans="1:29" ht="18.75">
      <c r="A554" s="786"/>
      <c r="B554" s="216"/>
      <c r="C554" s="789"/>
      <c r="D554" s="792"/>
      <c r="E554" s="389"/>
      <c r="F554" s="390"/>
      <c r="G554" s="400"/>
      <c r="H554" s="392">
        <f t="shared" si="182"/>
        <v>0</v>
      </c>
      <c r="I554" s="432"/>
      <c r="J554" s="433"/>
      <c r="K554" s="434"/>
      <c r="L554" s="484">
        <f t="shared" si="183"/>
        <v>0</v>
      </c>
      <c r="M554" s="434"/>
      <c r="N554" s="434"/>
      <c r="O554" s="434"/>
      <c r="P554" s="406"/>
      <c r="Q554" s="389">
        <f>база!$L$5</f>
        <v>231.45480000000001</v>
      </c>
      <c r="R554" s="390">
        <v>1.4</v>
      </c>
      <c r="S554" s="400">
        <f>SUMIFS(Таблица1[Столбец1],Таблица1[коэф],"1,4",Таблица1[р/р],"4/16",Таблица1[Ф. И. О.],B550)</f>
        <v>0</v>
      </c>
      <c r="T554" s="492">
        <f t="shared" si="184"/>
        <v>0</v>
      </c>
      <c r="U554" s="478">
        <f>база!$M$5</f>
        <v>247.41720000000001</v>
      </c>
      <c r="V554" s="390">
        <v>1.4</v>
      </c>
      <c r="W554" s="412">
        <f>SUMIFS(Таблица1[Столбец1],Таблица1[коэф],"1,4",Таблица1[р/р],"4/24",Таблица1[Ф. И. О.],B550)</f>
        <v>0</v>
      </c>
      <c r="X554" s="492">
        <f t="shared" si="185"/>
        <v>0</v>
      </c>
      <c r="Y554" s="795"/>
      <c r="Z554" s="797"/>
      <c r="AA554" s="786"/>
    </row>
    <row r="555" spans="1:29" ht="19.5" thickBot="1">
      <c r="A555" s="787"/>
      <c r="B555" s="203"/>
      <c r="C555" s="790"/>
      <c r="D555" s="793"/>
      <c r="E555" s="473"/>
      <c r="F555" s="464"/>
      <c r="G555" s="465"/>
      <c r="H555" s="440">
        <f t="shared" si="182"/>
        <v>0</v>
      </c>
      <c r="I555" s="466"/>
      <c r="J555" s="456"/>
      <c r="K555" s="457"/>
      <c r="L555" s="484">
        <f t="shared" si="183"/>
        <v>0</v>
      </c>
      <c r="M555" s="457"/>
      <c r="N555" s="457"/>
      <c r="O555" s="457"/>
      <c r="P555" s="476"/>
      <c r="Q555" s="473">
        <f>база!$L$6</f>
        <v>261.04640000000001</v>
      </c>
      <c r="R555" s="464">
        <v>1.4</v>
      </c>
      <c r="S555" s="465">
        <f>SUMIFS(Таблица1[Столбец1],Таблица1[коэф],"1,4",Таблица1[р/р],"5/16",Таблица1[Ф. И. О.],B550)</f>
        <v>0</v>
      </c>
      <c r="T555" s="492">
        <f t="shared" si="184"/>
        <v>0</v>
      </c>
      <c r="U555" s="480">
        <f>база!$M$6</f>
        <v>279.0496</v>
      </c>
      <c r="V555" s="464">
        <v>1.4</v>
      </c>
      <c r="W555" s="470">
        <f>SUMIFS(Таблица1[Столбец1],Таблица1[коэф],"1,4",Таблица1[р/р],"5/24",Таблица1[Ф. И. О.],B550)</f>
        <v>0</v>
      </c>
      <c r="X555" s="492">
        <f t="shared" si="185"/>
        <v>0</v>
      </c>
      <c r="Y555" s="796"/>
      <c r="Z555" s="798"/>
      <c r="AA555" s="787"/>
    </row>
    <row r="556" spans="1:29" ht="18.75">
      <c r="A556" s="785">
        <v>51</v>
      </c>
      <c r="B556" s="236"/>
      <c r="C556" s="788">
        <f>INDEX(база!$E$2:$E$81, MATCH(B561,база!$B$2:$B$60,0))</f>
        <v>17312</v>
      </c>
      <c r="D556" s="791">
        <f>INDEX(база!$D$2:$D$89, MATCH(B561,база!$B$2:$B$60,0))</f>
        <v>3</v>
      </c>
      <c r="E556" s="377">
        <f>IF(D556&lt;=3,база!$I$4,
IF(D556=4,база!$I$5,
IF(D556=5,база!$I$6)))</f>
        <v>188.7912</v>
      </c>
      <c r="F556" s="378">
        <v>1</v>
      </c>
      <c r="G556" s="387">
        <f>SUMIFS(Таблица1[Столбец1],Таблица1[коэф],"1",Таблица1[р/р],"2/4",Таблица1[Ф. И. О.],B561)</f>
        <v>0</v>
      </c>
      <c r="H556" s="380">
        <f t="shared" ref="H556:H566" si="188">ROUND(E556*F556*G556*2,2)</f>
        <v>0</v>
      </c>
      <c r="I556" s="426">
        <f>IF(D556&lt;=3,база!$J$4,
IF(D556=4,база!$J$5,
IF(D556=5,база!$J$6)))</f>
        <v>196.05240000000001</v>
      </c>
      <c r="J556" s="427">
        <v>1</v>
      </c>
      <c r="K556" s="428">
        <f>SUMIFS(Таблица1[Столбец1],Таблица1[коэф],"1",Таблица1[р/р],"2/8",Таблица1[Ф. И. О.],B561)</f>
        <v>0</v>
      </c>
      <c r="L556" s="383">
        <f t="shared" ref="L556:L566" si="189">ROUND(I556*J556*K556*2,2)</f>
        <v>0</v>
      </c>
      <c r="M556" s="428"/>
      <c r="N556" s="428">
        <v>1</v>
      </c>
      <c r="O556" s="428">
        <f>SUMIFS(Data_Tech!$AM$3:$AM$67,Data_Tech!$E$3:$E$67,"1",Data_Tech!$G$3:$G$67,"3/12",Data_Tech!$F$3:$F$67,B561)</f>
        <v>0</v>
      </c>
      <c r="P556" s="385">
        <f>ROUND(M556*N556*O556,2)</f>
        <v>0</v>
      </c>
      <c r="Q556" s="377">
        <f>IF(D556&lt;=3,база!$L$4,
IF(D556=4,база!$L$5,
IF(D556=5,база!$L$6)))</f>
        <v>210.57480000000001</v>
      </c>
      <c r="R556" s="378">
        <v>1</v>
      </c>
      <c r="S556" s="387">
        <f>SUMIFS(Таблица1[Столбец1],Таблица1[коэф],"1",Таблица1[р/р],"3/16",Таблица1[Ф. И. О.],B561)</f>
        <v>0</v>
      </c>
      <c r="T556" s="490">
        <f t="shared" ref="T556:T566" si="190">ROUND(Q556*R556*S556*2,2)</f>
        <v>0</v>
      </c>
      <c r="U556" s="477">
        <f>IF(D556&lt;=3,база!$M$4,
IF(D556=4,база!$M$5,
IF(D556=5,база!$M$6)))</f>
        <v>225.09719999999999</v>
      </c>
      <c r="V556" s="378">
        <v>1</v>
      </c>
      <c r="W556" s="430">
        <f>SUMIFS(Таблица1[Столбец1],Таблица1[коэф],"1",Таблица1[р/р],"3/24",Таблица1[Ф. И. О.],B561)</f>
        <v>0</v>
      </c>
      <c r="X556" s="490">
        <f t="shared" ref="X556:X566" si="191">ROUND(U556*V556*W556*2,2)</f>
        <v>0</v>
      </c>
      <c r="Y556" s="795">
        <f t="shared" ref="Y556" si="192">SUM(G556:G566,K556:K566,O556:O566,S556:S566,W556:W566)</f>
        <v>0</v>
      </c>
      <c r="Z556" s="797">
        <f t="shared" ref="Z556" si="193">IFERROR(SUM(H556:H566,L556:L566,T556:T566,X556:X566),"")</f>
        <v>0</v>
      </c>
      <c r="AA556" s="786"/>
    </row>
    <row r="557" spans="1:29" ht="18.75">
      <c r="A557" s="786"/>
      <c r="B557" s="216"/>
      <c r="C557" s="789"/>
      <c r="D557" s="792"/>
      <c r="E557" s="389">
        <f>IF(D556&lt;=3,база!$I$4,
IF(D556=4,база!$I$5,
IF(D556=5,база!$I$6)))</f>
        <v>188.7912</v>
      </c>
      <c r="F557" s="390">
        <v>1</v>
      </c>
      <c r="G557" s="400">
        <f>SUMIFS(Таблица1[Столбец1],Таблица1[коэф],"1",Таблица1[р/р],"3/4",Таблица1[Ф. И. О.],B561)</f>
        <v>0</v>
      </c>
      <c r="H557" s="392">
        <f t="shared" si="188"/>
        <v>0</v>
      </c>
      <c r="I557" s="432">
        <f>IF(D556&lt;=3,база!$J$4,
IF(D556=4,база!$J$5,
IF(D556=5,база!$J$6)))</f>
        <v>196.05240000000001</v>
      </c>
      <c r="J557" s="433">
        <v>1</v>
      </c>
      <c r="K557" s="434">
        <f>SUMIFS(Таблица1[Столбец1],Таблица1[коэф],"1",Таблица1[р/р],"3/8",Таблица1[Ф. И. О.],B561)</f>
        <v>0</v>
      </c>
      <c r="L557" s="484">
        <f t="shared" si="189"/>
        <v>0</v>
      </c>
      <c r="M557" s="434"/>
      <c r="N557" s="434">
        <v>1</v>
      </c>
      <c r="O557" s="434">
        <f>SUMIFS(Data_Tech!$AM$3:$AM$67,Data_Tech!$E$3:$E$67,"1",Data_Tech!$G$3:$G$67,"4/12",Data_Tech!$F$3:$F$67,B561)</f>
        <v>0</v>
      </c>
      <c r="P557" s="406">
        <f>ROUND(M557*O557,2)</f>
        <v>0</v>
      </c>
      <c r="Q557" s="389">
        <f>база!$L$5</f>
        <v>231.45480000000001</v>
      </c>
      <c r="R557" s="390">
        <v>1</v>
      </c>
      <c r="S557" s="400">
        <f>SUMIFS(Таблица1[Столбец1],Таблица1[коэф],"1",Таблица1[р/р],"4/16",Таблица1[Ф. И. О.],B561)</f>
        <v>0</v>
      </c>
      <c r="T557" s="492">
        <f t="shared" si="190"/>
        <v>0</v>
      </c>
      <c r="U557" s="478">
        <f>база!$M$5</f>
        <v>247.41720000000001</v>
      </c>
      <c r="V557" s="390">
        <v>1</v>
      </c>
      <c r="W557" s="412">
        <f>SUMIFS(Таблица1[Столбец1],Таблица1[коэф],"1",Таблица1[р/р],"4/24",Таблица1[Ф. И. О.],B561)</f>
        <v>0</v>
      </c>
      <c r="X557" s="492">
        <f t="shared" si="191"/>
        <v>0</v>
      </c>
      <c r="Y557" s="795"/>
      <c r="Z557" s="797"/>
      <c r="AA557" s="786"/>
    </row>
    <row r="558" spans="1:29" ht="18.75">
      <c r="A558" s="786"/>
      <c r="B558" s="216"/>
      <c r="C558" s="789"/>
      <c r="D558" s="792"/>
      <c r="E558" s="389"/>
      <c r="F558" s="390"/>
      <c r="G558" s="400"/>
      <c r="H558" s="392">
        <f t="shared" si="188"/>
        <v>0</v>
      </c>
      <c r="I558" s="432"/>
      <c r="J558" s="433"/>
      <c r="K558" s="434"/>
      <c r="L558" s="484">
        <f t="shared" si="189"/>
        <v>0</v>
      </c>
      <c r="M558" s="434"/>
      <c r="N558" s="434"/>
      <c r="O558" s="434"/>
      <c r="P558" s="406"/>
      <c r="Q558" s="389">
        <f>база!$L$6</f>
        <v>261.04640000000001</v>
      </c>
      <c r="R558" s="390">
        <v>1</v>
      </c>
      <c r="S558" s="400">
        <f>SUMIFS(Таблица1[Столбец1],Таблица1[коэф],"1",Таблица1[р/р],"5/16",Таблица1[Ф. И. О.],B561)</f>
        <v>0</v>
      </c>
      <c r="T558" s="492">
        <f t="shared" si="190"/>
        <v>0</v>
      </c>
      <c r="U558" s="478">
        <f>база!$M$6</f>
        <v>279.0496</v>
      </c>
      <c r="V558" s="390">
        <v>1</v>
      </c>
      <c r="W558" s="412">
        <f>SUMIFS(Таблица1[Столбец1],Таблица1[коэф],"1",Таблица1[р/р],"5/24",Таблица1[Ф. И. О.],B561)</f>
        <v>0</v>
      </c>
      <c r="X558" s="492">
        <f t="shared" si="191"/>
        <v>0</v>
      </c>
      <c r="Y558" s="795"/>
      <c r="Z558" s="797"/>
      <c r="AA558" s="786"/>
    </row>
    <row r="559" spans="1:29" ht="18.75">
      <c r="A559" s="786"/>
      <c r="B559" s="216"/>
      <c r="C559" s="789"/>
      <c r="D559" s="792"/>
      <c r="E559" s="389"/>
      <c r="F559" s="390"/>
      <c r="G559" s="400"/>
      <c r="H559" s="392">
        <f t="shared" si="188"/>
        <v>0</v>
      </c>
      <c r="I559" s="432">
        <f>база!$J$5</f>
        <v>215.4924</v>
      </c>
      <c r="J559" s="433">
        <v>1.5</v>
      </c>
      <c r="K559" s="434">
        <f>SUMIFS(Таблица1[Столбец1],Таблица1[коэф],"1,5",Таблица1[р/р],"4/8",Таблица1[Ф. И. О.],B561)</f>
        <v>0</v>
      </c>
      <c r="L559" s="484">
        <f t="shared" si="189"/>
        <v>0</v>
      </c>
      <c r="M559" s="434"/>
      <c r="N559" s="434"/>
      <c r="O559" s="434"/>
      <c r="P559" s="406"/>
      <c r="Q559" s="389">
        <f>IF(D556&lt;=3,база!$L$4,
IF(D556=4,база!$L$5,
IF(D556=5,база!$L$6)))</f>
        <v>210.57480000000001</v>
      </c>
      <c r="R559" s="390">
        <v>1.2</v>
      </c>
      <c r="S559" s="400">
        <f>SUMIFS(Таблица1[Столбец1],Таблица1[коэф],"1,2",Таблица1[р/р],"3/16",Таблица1[Ф. И. О.],B561)</f>
        <v>0</v>
      </c>
      <c r="T559" s="492">
        <f t="shared" si="190"/>
        <v>0</v>
      </c>
      <c r="U559" s="478">
        <f>IF(D556&lt;=3,база!$M$4,
IF(D556=4,база!$M$5,
IF(D556=5,база!$M$6)))</f>
        <v>225.09719999999999</v>
      </c>
      <c r="V559" s="390">
        <v>1.2</v>
      </c>
      <c r="W559" s="412">
        <f>SUMIFS(Таблица1[Столбец1],Таблица1[коэф],"1,2",Таблица1[р/р],"3/24",Таблица1[Ф. И. О.],B561)</f>
        <v>0</v>
      </c>
      <c r="X559" s="492">
        <f t="shared" si="191"/>
        <v>0</v>
      </c>
      <c r="Y559" s="795"/>
      <c r="Z559" s="797"/>
      <c r="AA559" s="786"/>
    </row>
    <row r="560" spans="1:29" ht="18.75">
      <c r="A560" s="786"/>
      <c r="B560" s="216"/>
      <c r="C560" s="789"/>
      <c r="D560" s="792"/>
      <c r="E560" s="389"/>
      <c r="F560" s="390"/>
      <c r="G560" s="400"/>
      <c r="H560" s="392">
        <f t="shared" si="188"/>
        <v>0</v>
      </c>
      <c r="I560" s="432">
        <f>база!$J$6</f>
        <v>243.04319999999998</v>
      </c>
      <c r="J560" s="433">
        <v>1.5</v>
      </c>
      <c r="K560" s="434">
        <f>SUMIFS(Таблица1[Столбец1],Таблица1[коэф],"1,5",Таблица1[р/р],"5/8",Таблица1[Ф. И. О.],B561)</f>
        <v>0</v>
      </c>
      <c r="L560" s="484">
        <f t="shared" si="189"/>
        <v>0</v>
      </c>
      <c r="M560" s="434"/>
      <c r="N560" s="434"/>
      <c r="O560" s="434"/>
      <c r="P560" s="406"/>
      <c r="Q560" s="389">
        <f>база!$L$5</f>
        <v>231.45480000000001</v>
      </c>
      <c r="R560" s="390">
        <v>1.2</v>
      </c>
      <c r="S560" s="400">
        <f>SUMIFS(Таблица1[Столбец1],Таблица1[коэф],"1,2",Таблица1[р/р],"4/16",Таблица1[Ф. И. О.],B561)</f>
        <v>0</v>
      </c>
      <c r="T560" s="492">
        <f t="shared" si="190"/>
        <v>0</v>
      </c>
      <c r="U560" s="478">
        <f>база!$M$5</f>
        <v>247.41720000000001</v>
      </c>
      <c r="V560" s="390">
        <v>1.2</v>
      </c>
      <c r="W560" s="412">
        <f>SUMIFS(Таблица1[Столбец1],Таблица1[коэф],"1,2",Таблица1[р/р],"4/24",Таблица1[Ф. И. О.],B561)</f>
        <v>0</v>
      </c>
      <c r="X560" s="492">
        <f t="shared" si="191"/>
        <v>0</v>
      </c>
      <c r="Y560" s="795"/>
      <c r="Z560" s="797"/>
      <c r="AA560" s="786"/>
    </row>
    <row r="561" spans="1:29" ht="18.75">
      <c r="A561" s="786"/>
      <c r="B561" s="216" t="str">
        <f>база!B52</f>
        <v>Михалочкина Наталья Ивановна</v>
      </c>
      <c r="C561" s="789"/>
      <c r="D561" s="792"/>
      <c r="E561" s="389"/>
      <c r="F561" s="390"/>
      <c r="G561" s="400"/>
      <c r="H561" s="392">
        <f t="shared" si="188"/>
        <v>0</v>
      </c>
      <c r="I561" s="432"/>
      <c r="J561" s="433"/>
      <c r="K561" s="434"/>
      <c r="L561" s="484">
        <f t="shared" si="189"/>
        <v>0</v>
      </c>
      <c r="M561" s="434"/>
      <c r="N561" s="434"/>
      <c r="O561" s="434"/>
      <c r="P561" s="406"/>
      <c r="Q561" s="389">
        <f>база!$L$6</f>
        <v>261.04640000000001</v>
      </c>
      <c r="R561" s="390">
        <v>1.2</v>
      </c>
      <c r="S561" s="400">
        <f>SUMIFS(Таблица1[Столбец1],Таблица1[коэф],"1,2",Таблица1[р/р],"5/16",Таблица1[Ф. И. О.],B561)</f>
        <v>0</v>
      </c>
      <c r="T561" s="492">
        <f t="shared" si="190"/>
        <v>0</v>
      </c>
      <c r="U561" s="478">
        <f>база!$M$6</f>
        <v>279.0496</v>
      </c>
      <c r="V561" s="390">
        <v>1.2</v>
      </c>
      <c r="W561" s="412">
        <f>SUMIFS(Таблица1[Столбец1],Таблица1[коэф],"1,2",Таблица1[р/р],"5/24",Таблица1[Ф. И. О.],B561)</f>
        <v>0</v>
      </c>
      <c r="X561" s="492">
        <f t="shared" si="191"/>
        <v>0</v>
      </c>
      <c r="Y561" s="795"/>
      <c r="Z561" s="797"/>
      <c r="AA561" s="786"/>
      <c r="AC561" s="727" t="str">
        <f>IF(SUMIFS(Таблица1[Столбец3],Таблица1[Ф. И. О.],B561)-Z556=0,"",SUMIFS(Таблица1[Столбец3],Таблица1[Ф. И. О.],B561)-Z556)</f>
        <v/>
      </c>
    </row>
    <row r="562" spans="1:29" ht="18.75">
      <c r="A562" s="786"/>
      <c r="B562" s="216"/>
      <c r="C562" s="789"/>
      <c r="D562" s="792"/>
      <c r="E562" s="389"/>
      <c r="F562" s="390"/>
      <c r="G562" s="400"/>
      <c r="H562" s="392">
        <f t="shared" si="188"/>
        <v>0</v>
      </c>
      <c r="I562" s="432"/>
      <c r="J562" s="433"/>
      <c r="K562" s="434"/>
      <c r="L562" s="484">
        <f t="shared" si="189"/>
        <v>0</v>
      </c>
      <c r="M562" s="434"/>
      <c r="N562" s="434"/>
      <c r="O562" s="434"/>
      <c r="P562" s="406"/>
      <c r="Q562" s="389">
        <f>IF($D$6&lt;=3,база!$L$4,
IF($D$6=4,база!$L$5,
IF($D$6=5,база!$L$6)))</f>
        <v>231.45480000000001</v>
      </c>
      <c r="R562" s="390">
        <v>1.3</v>
      </c>
      <c r="S562" s="400">
        <f>SUMIFS(Таблица1[Столбец1],Таблица1[коэф],"1,3",Таблица1[р/р],"3/16",Таблица1[Ф. И. О.],B561)</f>
        <v>0</v>
      </c>
      <c r="T562" s="492">
        <f t="shared" si="190"/>
        <v>0</v>
      </c>
      <c r="U562" s="478">
        <f>IF(D556&lt;=3,база!$M$4,
IF(D556=4,база!$M$5,
IF(D556=5,база!$M$6)))</f>
        <v>225.09719999999999</v>
      </c>
      <c r="V562" s="390">
        <v>1.3</v>
      </c>
      <c r="W562" s="412">
        <f>SUMIFS(Таблица1[Столбец1],Таблица1[коэф],"1,3",Таблица1[р/р],"3/24",Таблица1[Ф. И. О.],B561)</f>
        <v>0</v>
      </c>
      <c r="X562" s="492">
        <f t="shared" si="191"/>
        <v>0</v>
      </c>
      <c r="Y562" s="795"/>
      <c r="Z562" s="797"/>
      <c r="AA562" s="786"/>
      <c r="AC562" s="727" t="str">
        <f>IF(SUMIFS(Таблица1[Столбец1],Таблица1[Ф. И. О.],B561)=Y556,"",B561&amp;"  часы не верны")</f>
        <v/>
      </c>
    </row>
    <row r="563" spans="1:29" ht="18.75">
      <c r="A563" s="786"/>
      <c r="B563" s="216"/>
      <c r="C563" s="789"/>
      <c r="D563" s="792"/>
      <c r="E563" s="389"/>
      <c r="F563" s="390"/>
      <c r="G563" s="400"/>
      <c r="H563" s="392">
        <f t="shared" si="188"/>
        <v>0</v>
      </c>
      <c r="I563" s="432"/>
      <c r="J563" s="433"/>
      <c r="K563" s="434"/>
      <c r="L563" s="484">
        <f t="shared" si="189"/>
        <v>0</v>
      </c>
      <c r="M563" s="434"/>
      <c r="N563" s="434"/>
      <c r="O563" s="434"/>
      <c r="P563" s="406"/>
      <c r="Q563" s="389">
        <f>база!$L$5</f>
        <v>231.45480000000001</v>
      </c>
      <c r="R563" s="390">
        <v>1.3</v>
      </c>
      <c r="S563" s="400">
        <f>SUMIFS(Таблица1[Столбец1],Таблица1[коэф],"1,3",Таблица1[р/р],"4/16",Таблица1[Ф. И. О.],B561)</f>
        <v>0</v>
      </c>
      <c r="T563" s="492">
        <f t="shared" si="190"/>
        <v>0</v>
      </c>
      <c r="U563" s="478">
        <f>база!$M$5</f>
        <v>247.41720000000001</v>
      </c>
      <c r="V563" s="390">
        <v>1.3</v>
      </c>
      <c r="W563" s="412">
        <f>SUMIFS(Таблица1[Столбец1],Таблица1[коэф],"1,3",Таблица1[р/р],"4/24",Таблица1[Ф. И. О.],B561)</f>
        <v>0</v>
      </c>
      <c r="X563" s="492">
        <f t="shared" si="191"/>
        <v>0</v>
      </c>
      <c r="Y563" s="795"/>
      <c r="Z563" s="797"/>
      <c r="AA563" s="786"/>
    </row>
    <row r="564" spans="1:29" ht="18.75">
      <c r="A564" s="786"/>
      <c r="B564" s="216"/>
      <c r="C564" s="789"/>
      <c r="D564" s="792"/>
      <c r="E564" s="389"/>
      <c r="F564" s="390"/>
      <c r="G564" s="400"/>
      <c r="H564" s="392">
        <f t="shared" si="188"/>
        <v>0</v>
      </c>
      <c r="I564" s="432"/>
      <c r="J564" s="433"/>
      <c r="K564" s="434"/>
      <c r="L564" s="484">
        <f t="shared" si="189"/>
        <v>0</v>
      </c>
      <c r="M564" s="434"/>
      <c r="N564" s="434"/>
      <c r="O564" s="434"/>
      <c r="P564" s="406"/>
      <c r="Q564" s="389">
        <f>IF(D556&lt;=3,база!$L$4,
IF(D556=4,база!$L$5,
IF(D556=5,база!$L$6)))</f>
        <v>210.57480000000001</v>
      </c>
      <c r="R564" s="390">
        <v>1.4</v>
      </c>
      <c r="S564" s="400">
        <f>SUMIFS(Таблица1[Столбец1],Таблица1[коэф],"1,4",Таблица1[р/р],"3/16",Таблица1[Ф. И. О.],B561)</f>
        <v>0</v>
      </c>
      <c r="T564" s="492">
        <f t="shared" si="190"/>
        <v>0</v>
      </c>
      <c r="U564" s="478">
        <f>IF(D556&lt;=3,база!$M$4,
IF(D556=4,база!$M$5,
IF(D556=5,база!$M$6)))</f>
        <v>225.09719999999999</v>
      </c>
      <c r="V564" s="390">
        <v>1.4</v>
      </c>
      <c r="W564" s="412">
        <f>SUMIFS(Таблица1[Столбец1],Таблица1[коэф],"1,4",Таблица1[р/р],"3/24",Таблица1[Ф. И. О.],B561)</f>
        <v>0</v>
      </c>
      <c r="X564" s="492">
        <f t="shared" si="191"/>
        <v>0</v>
      </c>
      <c r="Y564" s="795"/>
      <c r="Z564" s="797"/>
      <c r="AA564" s="786"/>
    </row>
    <row r="565" spans="1:29" ht="18.75">
      <c r="A565" s="786"/>
      <c r="B565" s="216"/>
      <c r="C565" s="789"/>
      <c r="D565" s="792"/>
      <c r="E565" s="389"/>
      <c r="F565" s="390"/>
      <c r="G565" s="400"/>
      <c r="H565" s="392">
        <f t="shared" si="188"/>
        <v>0</v>
      </c>
      <c r="I565" s="432"/>
      <c r="J565" s="433"/>
      <c r="K565" s="434"/>
      <c r="L565" s="484">
        <f t="shared" si="189"/>
        <v>0</v>
      </c>
      <c r="M565" s="434"/>
      <c r="N565" s="434"/>
      <c r="O565" s="434"/>
      <c r="P565" s="406"/>
      <c r="Q565" s="389">
        <f>база!$L$5</f>
        <v>231.45480000000001</v>
      </c>
      <c r="R565" s="390">
        <v>1.4</v>
      </c>
      <c r="S565" s="400">
        <f>SUMIFS(Таблица1[Столбец1],Таблица1[коэф],"1,4",Таблица1[р/р],"4/16",Таблица1[Ф. И. О.],B561)</f>
        <v>0</v>
      </c>
      <c r="T565" s="492">
        <f t="shared" si="190"/>
        <v>0</v>
      </c>
      <c r="U565" s="478">
        <f>база!$M$5</f>
        <v>247.41720000000001</v>
      </c>
      <c r="V565" s="390">
        <v>1.4</v>
      </c>
      <c r="W565" s="412">
        <f>SUMIFS(Таблица1[Столбец1],Таблица1[коэф],"1,4",Таблица1[р/р],"4/24",Таблица1[Ф. И. О.],B561)</f>
        <v>0</v>
      </c>
      <c r="X565" s="492">
        <f t="shared" si="191"/>
        <v>0</v>
      </c>
      <c r="Y565" s="795"/>
      <c r="Z565" s="797"/>
      <c r="AA565" s="786"/>
    </row>
    <row r="566" spans="1:29" ht="19.5" thickBot="1">
      <c r="A566" s="787"/>
      <c r="B566" s="203"/>
      <c r="C566" s="790"/>
      <c r="D566" s="793"/>
      <c r="E566" s="473"/>
      <c r="F566" s="464"/>
      <c r="G566" s="465"/>
      <c r="H566" s="468">
        <f t="shared" si="188"/>
        <v>0</v>
      </c>
      <c r="I566" s="466"/>
      <c r="J566" s="456"/>
      <c r="K566" s="457"/>
      <c r="L566" s="484">
        <f t="shared" si="189"/>
        <v>0</v>
      </c>
      <c r="M566" s="457"/>
      <c r="N566" s="457"/>
      <c r="O566" s="457"/>
      <c r="P566" s="476"/>
      <c r="Q566" s="473">
        <f>база!$L$6</f>
        <v>261.04640000000001</v>
      </c>
      <c r="R566" s="464">
        <v>1.4</v>
      </c>
      <c r="S566" s="465">
        <f>SUMIFS(Таблица1[Столбец1],Таблица1[коэф],"1,4",Таблица1[р/р],"5/16",Таблица1[Ф. И. О.],B561)</f>
        <v>0</v>
      </c>
      <c r="T566" s="492">
        <f t="shared" si="190"/>
        <v>0</v>
      </c>
      <c r="U566" s="480">
        <f>база!$M$6</f>
        <v>279.0496</v>
      </c>
      <c r="V566" s="464">
        <v>1.4</v>
      </c>
      <c r="W566" s="470">
        <f>SUMIFS(Таблица1[Столбец1],Таблица1[коэф],"1,4",Таблица1[р/р],"5/24",Таблица1[Ф. И. О.],B561)</f>
        <v>0</v>
      </c>
      <c r="X566" s="492">
        <f t="shared" si="191"/>
        <v>0</v>
      </c>
      <c r="Y566" s="796"/>
      <c r="Z566" s="798"/>
      <c r="AA566" s="787"/>
    </row>
    <row r="567" spans="1:29" ht="18.75">
      <c r="A567" s="785">
        <v>52</v>
      </c>
      <c r="B567" s="236"/>
      <c r="C567" s="788">
        <f>INDEX(база!$E$2:$E$81, MATCH(B572,база!$B$2:$B$60,0))</f>
        <v>15239</v>
      </c>
      <c r="D567" s="791">
        <f>INDEX(база!$D$2:$D$89, MATCH(B572,база!$B$2:$B$60,0))</f>
        <v>3</v>
      </c>
      <c r="E567" s="377">
        <f>IF(D567&lt;=3,база!$I$4,
IF(D567=4,база!$I$5,
IF(D567=5,база!$I$6)))</f>
        <v>188.7912</v>
      </c>
      <c r="F567" s="378">
        <v>1</v>
      </c>
      <c r="G567" s="387">
        <f>SUMIFS(Таблица1[Столбец1],Таблица1[коэф],"1",Таблица1[р/р],"2/4",Таблица1[Ф. И. О.],B572)</f>
        <v>0</v>
      </c>
      <c r="H567" s="402">
        <f t="shared" ref="H567:H577" si="194">ROUND(E567*F567*G567*2,2)</f>
        <v>0</v>
      </c>
      <c r="I567" s="426">
        <f>IF(D567&lt;=3,база!$J$4,
IF(D567=4,база!$J$5,
IF(D567=5,база!$J$6)))</f>
        <v>196.05240000000001</v>
      </c>
      <c r="J567" s="427">
        <v>1</v>
      </c>
      <c r="K567" s="428">
        <f>SUMIFS(Таблица1[Столбец1],Таблица1[коэф],"1",Таблица1[р/р],"2/8",Таблица1[Ф. И. О.],B572)</f>
        <v>0</v>
      </c>
      <c r="L567" s="383">
        <f t="shared" ref="L567:L577" si="195">ROUND(I567*J567*K567*2,2)</f>
        <v>0</v>
      </c>
      <c r="M567" s="428"/>
      <c r="N567" s="428">
        <v>1</v>
      </c>
      <c r="O567" s="428">
        <f>SUMIFS(Data_Tech!$AM$3:$AM$67,Data_Tech!$E$3:$E$67,"1",Data_Tech!$G$3:$G$67,"3/12",Data_Tech!$F$3:$F$67,B572)</f>
        <v>0</v>
      </c>
      <c r="P567" s="385">
        <f>ROUND(M567*N567*O567,2)</f>
        <v>0</v>
      </c>
      <c r="Q567" s="377">
        <f>IF(D567&lt;=3,база!$L$4,
IF(D567=4,база!$L$5,
IF(D567=5,база!$L$6)))</f>
        <v>210.57480000000001</v>
      </c>
      <c r="R567" s="378">
        <v>1</v>
      </c>
      <c r="S567" s="387">
        <f>SUMIFS(Таблица1[Столбец1],Таблица1[коэф],"1",Таблица1[р/р],"3/16",Таблица1[Ф. И. О.],B572)</f>
        <v>0</v>
      </c>
      <c r="T567" s="490">
        <f t="shared" ref="T567:T577" si="196">ROUND(Q567*R567*S567*2,2)</f>
        <v>0</v>
      </c>
      <c r="U567" s="477">
        <f>IF(D567&lt;=3,база!$M$4,
IF(D567=4,база!$M$5,
IF(D567=5,база!$M$6)))</f>
        <v>225.09719999999999</v>
      </c>
      <c r="V567" s="378">
        <v>1</v>
      </c>
      <c r="W567" s="430">
        <f>SUMIFS(Таблица1[Столбец1],Таблица1[коэф],"1",Таблица1[р/р],"3/24",Таблица1[Ф. И. О.],B572)</f>
        <v>0</v>
      </c>
      <c r="X567" s="490">
        <f t="shared" ref="X567:X577" si="197">ROUND(U567*V567*W567*2,2)</f>
        <v>0</v>
      </c>
      <c r="Y567" s="795">
        <f t="shared" ref="Y567" si="198">SUM(G567:G577,K567:K577,O567:O577,S567:S577,W567:W577)</f>
        <v>0</v>
      </c>
      <c r="Z567" s="797">
        <f t="shared" ref="Z567" si="199">IFERROR(SUM(H567:H577,L567:L577,T567:T577,X567:X577),"")</f>
        <v>0</v>
      </c>
      <c r="AA567" s="786"/>
    </row>
    <row r="568" spans="1:29" ht="18.75">
      <c r="A568" s="786"/>
      <c r="B568" s="216"/>
      <c r="C568" s="789"/>
      <c r="D568" s="792"/>
      <c r="E568" s="389">
        <f>IF(D567&lt;=3,база!$I$4,
IF(D567=4,база!$I$5,
IF(D567=5,база!$I$6)))</f>
        <v>188.7912</v>
      </c>
      <c r="F568" s="390">
        <v>1</v>
      </c>
      <c r="G568" s="400">
        <f>SUMIFS(Таблица1[Столбец1],Таблица1[коэф],"1",Таблица1[р/р],"3/4",Таблица1[Ф. И. О.],B572)</f>
        <v>0</v>
      </c>
      <c r="H568" s="392">
        <f t="shared" si="194"/>
        <v>0</v>
      </c>
      <c r="I568" s="432">
        <f>IF(D567&lt;=3,база!$J$4,
IF(D567=4,база!$J$5,
IF(D567=5,база!$J$6)))</f>
        <v>196.05240000000001</v>
      </c>
      <c r="J568" s="433">
        <v>1</v>
      </c>
      <c r="K568" s="434">
        <f>SUMIFS(Таблица1[Столбец1],Таблица1[коэф],"1",Таблица1[р/р],"3/8",Таблица1[Ф. И. О.],B572)</f>
        <v>0</v>
      </c>
      <c r="L568" s="484">
        <f t="shared" si="195"/>
        <v>0</v>
      </c>
      <c r="M568" s="434"/>
      <c r="N568" s="434">
        <v>1</v>
      </c>
      <c r="O568" s="434">
        <f>SUMIFS(Data_Tech!$AM$3:$AM$67,Data_Tech!$E$3:$E$67,"1",Data_Tech!$G$3:$G$67,"4/12",Data_Tech!$F$3:$F$67,B572)</f>
        <v>0</v>
      </c>
      <c r="P568" s="406">
        <f>ROUND(M568*O568,2)</f>
        <v>0</v>
      </c>
      <c r="Q568" s="389">
        <f>база!$L$5</f>
        <v>231.45480000000001</v>
      </c>
      <c r="R568" s="390">
        <v>1</v>
      </c>
      <c r="S568" s="400">
        <f>SUMIFS(Таблица1[Столбец1],Таблица1[коэф],"1",Таблица1[р/р],"4/16",Таблица1[Ф. И. О.],B572)</f>
        <v>0</v>
      </c>
      <c r="T568" s="492">
        <f t="shared" si="196"/>
        <v>0</v>
      </c>
      <c r="U568" s="478">
        <f>база!$M$5</f>
        <v>247.41720000000001</v>
      </c>
      <c r="V568" s="390">
        <v>1</v>
      </c>
      <c r="W568" s="412">
        <f>SUMIFS(Таблица1[Столбец1],Таблица1[коэф],"1",Таблица1[р/р],"4/24",Таблица1[Ф. И. О.],B572)</f>
        <v>0</v>
      </c>
      <c r="X568" s="492">
        <f t="shared" si="197"/>
        <v>0</v>
      </c>
      <c r="Y568" s="795"/>
      <c r="Z568" s="797"/>
      <c r="AA568" s="786"/>
    </row>
    <row r="569" spans="1:29" ht="18.75">
      <c r="A569" s="786"/>
      <c r="B569" s="216"/>
      <c r="C569" s="789"/>
      <c r="D569" s="792"/>
      <c r="E569" s="389"/>
      <c r="F569" s="390"/>
      <c r="G569" s="400"/>
      <c r="H569" s="392">
        <f t="shared" si="194"/>
        <v>0</v>
      </c>
      <c r="I569" s="432"/>
      <c r="J569" s="433"/>
      <c r="K569" s="434"/>
      <c r="L569" s="484">
        <f t="shared" si="195"/>
        <v>0</v>
      </c>
      <c r="M569" s="434"/>
      <c r="N569" s="434"/>
      <c r="O569" s="434"/>
      <c r="P569" s="406"/>
      <c r="Q569" s="389">
        <f>база!$L$6</f>
        <v>261.04640000000001</v>
      </c>
      <c r="R569" s="390">
        <v>1</v>
      </c>
      <c r="S569" s="400">
        <f>SUMIFS(Таблица1[Столбец1],Таблица1[коэф],"1",Таблица1[р/р],"5/16",Таблица1[Ф. И. О.],B572)</f>
        <v>0</v>
      </c>
      <c r="T569" s="492">
        <f t="shared" si="196"/>
        <v>0</v>
      </c>
      <c r="U569" s="478">
        <f>база!$M$6</f>
        <v>279.0496</v>
      </c>
      <c r="V569" s="390">
        <v>1</v>
      </c>
      <c r="W569" s="412">
        <f>SUMIFS(Таблица1[Столбец1],Таблица1[коэф],"1",Таблица1[р/р],"5/24",Таблица1[Ф. И. О.],B572)</f>
        <v>0</v>
      </c>
      <c r="X569" s="492">
        <f t="shared" si="197"/>
        <v>0</v>
      </c>
      <c r="Y569" s="795"/>
      <c r="Z569" s="797"/>
      <c r="AA569" s="786"/>
    </row>
    <row r="570" spans="1:29" ht="18.75">
      <c r="A570" s="786"/>
      <c r="B570" s="216"/>
      <c r="C570" s="789"/>
      <c r="D570" s="792"/>
      <c r="E570" s="389"/>
      <c r="F570" s="390"/>
      <c r="G570" s="400"/>
      <c r="H570" s="392">
        <f t="shared" si="194"/>
        <v>0</v>
      </c>
      <c r="I570" s="432">
        <f>база!$J$5</f>
        <v>215.4924</v>
      </c>
      <c r="J570" s="433">
        <v>1.5</v>
      </c>
      <c r="K570" s="434">
        <f>SUMIFS(Таблица1[Столбец1],Таблица1[коэф],"1,5",Таблица1[р/р],"4/8",Таблица1[Ф. И. О.],B572)</f>
        <v>0</v>
      </c>
      <c r="L570" s="484">
        <f t="shared" si="195"/>
        <v>0</v>
      </c>
      <c r="M570" s="434"/>
      <c r="N570" s="434"/>
      <c r="O570" s="434"/>
      <c r="P570" s="406"/>
      <c r="Q570" s="389">
        <f>IF(D567&lt;=3,база!$L$4,
IF(D567=4,база!$L$5,
IF(D567=5,база!$L$6)))</f>
        <v>210.57480000000001</v>
      </c>
      <c r="R570" s="390">
        <v>1.2</v>
      </c>
      <c r="S570" s="400">
        <f>SUMIFS(Таблица1[Столбец1],Таблица1[коэф],"1,2",Таблица1[р/р],"3/16",Таблица1[Ф. И. О.],B572)</f>
        <v>0</v>
      </c>
      <c r="T570" s="492">
        <f t="shared" si="196"/>
        <v>0</v>
      </c>
      <c r="U570" s="478">
        <f>IF(D567&lt;=3,база!$M$4,
IF(D567=4,база!$M$5,
IF(D567=5,база!$M$6)))</f>
        <v>225.09719999999999</v>
      </c>
      <c r="V570" s="390">
        <v>1.2</v>
      </c>
      <c r="W570" s="412">
        <f>SUMIFS(Таблица1[Столбец1],Таблица1[коэф],"1,2",Таблица1[р/р],"3/24",Таблица1[Ф. И. О.],B572)</f>
        <v>0</v>
      </c>
      <c r="X570" s="492">
        <f t="shared" si="197"/>
        <v>0</v>
      </c>
      <c r="Y570" s="795"/>
      <c r="Z570" s="797"/>
      <c r="AA570" s="786"/>
    </row>
    <row r="571" spans="1:29" ht="18.75">
      <c r="A571" s="786"/>
      <c r="B571" s="216"/>
      <c r="C571" s="789"/>
      <c r="D571" s="792"/>
      <c r="E571" s="389"/>
      <c r="F571" s="390"/>
      <c r="G571" s="400"/>
      <c r="H571" s="392">
        <f t="shared" si="194"/>
        <v>0</v>
      </c>
      <c r="I571" s="432">
        <f>база!$J$6</f>
        <v>243.04319999999998</v>
      </c>
      <c r="J571" s="433">
        <v>1.5</v>
      </c>
      <c r="K571" s="434">
        <f>SUMIFS(Таблица1[Столбец1],Таблица1[коэф],"1,5",Таблица1[р/р],"5/8",Таблица1[Ф. И. О.],B572)</f>
        <v>0</v>
      </c>
      <c r="L571" s="484">
        <f t="shared" si="195"/>
        <v>0</v>
      </c>
      <c r="M571" s="434"/>
      <c r="N571" s="434"/>
      <c r="O571" s="434"/>
      <c r="P571" s="406"/>
      <c r="Q571" s="389">
        <f>база!$L$5</f>
        <v>231.45480000000001</v>
      </c>
      <c r="R571" s="390">
        <v>1.2</v>
      </c>
      <c r="S571" s="400">
        <f>SUMIFS(Таблица1[Столбец1],Таблица1[коэф],"1,2",Таблица1[р/р],"4/16",Таблица1[Ф. И. О.],B572)</f>
        <v>0</v>
      </c>
      <c r="T571" s="492">
        <f t="shared" si="196"/>
        <v>0</v>
      </c>
      <c r="U571" s="478">
        <f>база!$M$5</f>
        <v>247.41720000000001</v>
      </c>
      <c r="V571" s="390">
        <v>1.2</v>
      </c>
      <c r="W571" s="412">
        <f>SUMIFS(Таблица1[Столбец1],Таблица1[коэф],"1,2",Таблица1[р/р],"4/24",Таблица1[Ф. И. О.],B572)</f>
        <v>0</v>
      </c>
      <c r="X571" s="492">
        <f t="shared" si="197"/>
        <v>0</v>
      </c>
      <c r="Y571" s="795"/>
      <c r="Z571" s="797"/>
      <c r="AA571" s="786"/>
    </row>
    <row r="572" spans="1:29" ht="18.75">
      <c r="A572" s="786"/>
      <c r="B572" s="216" t="str">
        <f>база!B53</f>
        <v>Михно Татьяна Николаевна</v>
      </c>
      <c r="C572" s="789"/>
      <c r="D572" s="792"/>
      <c r="E572" s="389"/>
      <c r="F572" s="390"/>
      <c r="G572" s="400"/>
      <c r="H572" s="392">
        <f t="shared" si="194"/>
        <v>0</v>
      </c>
      <c r="I572" s="432"/>
      <c r="J572" s="433"/>
      <c r="K572" s="434"/>
      <c r="L572" s="484">
        <f t="shared" si="195"/>
        <v>0</v>
      </c>
      <c r="M572" s="434"/>
      <c r="N572" s="434"/>
      <c r="O572" s="434"/>
      <c r="P572" s="406"/>
      <c r="Q572" s="389">
        <f>база!$L$6</f>
        <v>261.04640000000001</v>
      </c>
      <c r="R572" s="390">
        <v>1.2</v>
      </c>
      <c r="S572" s="400">
        <f>SUMIFS(Таблица1[Столбец1],Таблица1[коэф],"1,2",Таблица1[р/р],"5/16",Таблица1[Ф. И. О.],B572)</f>
        <v>0</v>
      </c>
      <c r="T572" s="492">
        <f t="shared" si="196"/>
        <v>0</v>
      </c>
      <c r="U572" s="478">
        <f>база!$M$6</f>
        <v>279.0496</v>
      </c>
      <c r="V572" s="390">
        <v>1.2</v>
      </c>
      <c r="W572" s="412">
        <f>SUMIFS(Таблица1[Столбец1],Таблица1[коэф],"1,2",Таблица1[р/р],"5/24",Таблица1[Ф. И. О.],B572)</f>
        <v>0</v>
      </c>
      <c r="X572" s="492">
        <f t="shared" si="197"/>
        <v>0</v>
      </c>
      <c r="Y572" s="795"/>
      <c r="Z572" s="797"/>
      <c r="AA572" s="786"/>
      <c r="AC572" s="727" t="str">
        <f>IF(SUMIFS(Таблица1[Столбец3],Таблица1[Ф. И. О.],B572)-Z567=0,"",SUMIFS(Таблица1[Столбец3],Таблица1[Ф. И. О.],B572)-Z567)</f>
        <v/>
      </c>
    </row>
    <row r="573" spans="1:29" ht="18.75">
      <c r="A573" s="786"/>
      <c r="B573" s="216"/>
      <c r="C573" s="789"/>
      <c r="D573" s="792"/>
      <c r="E573" s="389"/>
      <c r="F573" s="390"/>
      <c r="G573" s="400"/>
      <c r="H573" s="392">
        <f t="shared" si="194"/>
        <v>0</v>
      </c>
      <c r="I573" s="432"/>
      <c r="J573" s="433"/>
      <c r="K573" s="434"/>
      <c r="L573" s="484">
        <f t="shared" si="195"/>
        <v>0</v>
      </c>
      <c r="M573" s="434"/>
      <c r="N573" s="434"/>
      <c r="O573" s="434"/>
      <c r="P573" s="406"/>
      <c r="Q573" s="389">
        <f>IF($D$6&lt;=3,база!$L$4,
IF($D$6=4,база!$L$5,
IF($D$6=5,база!$L$6)))</f>
        <v>231.45480000000001</v>
      </c>
      <c r="R573" s="390">
        <v>1.3</v>
      </c>
      <c r="S573" s="400">
        <f>SUMIFS(Таблица1[Столбец1],Таблица1[коэф],"1,3",Таблица1[р/р],"3/16",Таблица1[Ф. И. О.],B572)</f>
        <v>0</v>
      </c>
      <c r="T573" s="492">
        <f t="shared" si="196"/>
        <v>0</v>
      </c>
      <c r="U573" s="478">
        <f>IF(D567&lt;=3,база!$M$4,
IF(D567=4,база!$M$5,
IF(D567=5,база!$M$6)))</f>
        <v>225.09719999999999</v>
      </c>
      <c r="V573" s="390">
        <v>1.3</v>
      </c>
      <c r="W573" s="412">
        <f>SUMIFS(Таблица1[Столбец1],Таблица1[коэф],"1,3",Таблица1[р/р],"3/24",Таблица1[Ф. И. О.],B572)</f>
        <v>0</v>
      </c>
      <c r="X573" s="492">
        <f t="shared" si="197"/>
        <v>0</v>
      </c>
      <c r="Y573" s="795"/>
      <c r="Z573" s="797"/>
      <c r="AA573" s="786"/>
      <c r="AC573" s="727" t="str">
        <f>IF(SUMIFS(Таблица1[Столбец1],Таблица1[Ф. И. О.],B572)=Y567,"",B572&amp;"  часы не верны")</f>
        <v/>
      </c>
    </row>
    <row r="574" spans="1:29" ht="18.75">
      <c r="A574" s="786"/>
      <c r="B574" s="216"/>
      <c r="C574" s="789"/>
      <c r="D574" s="792"/>
      <c r="E574" s="389"/>
      <c r="F574" s="390"/>
      <c r="G574" s="400"/>
      <c r="H574" s="392">
        <f t="shared" si="194"/>
        <v>0</v>
      </c>
      <c r="I574" s="432"/>
      <c r="J574" s="433"/>
      <c r="K574" s="434"/>
      <c r="L574" s="484">
        <f t="shared" si="195"/>
        <v>0</v>
      </c>
      <c r="M574" s="434"/>
      <c r="N574" s="434"/>
      <c r="O574" s="434"/>
      <c r="P574" s="406"/>
      <c r="Q574" s="389">
        <f>база!$L$5</f>
        <v>231.45480000000001</v>
      </c>
      <c r="R574" s="390">
        <v>1.3</v>
      </c>
      <c r="S574" s="400">
        <f>SUMIFS(Таблица1[Столбец1],Таблица1[коэф],"1,3",Таблица1[р/р],"4/16",Таблица1[Ф. И. О.],B572)</f>
        <v>0</v>
      </c>
      <c r="T574" s="492">
        <f t="shared" si="196"/>
        <v>0</v>
      </c>
      <c r="U574" s="478">
        <f>база!$M$5</f>
        <v>247.41720000000001</v>
      </c>
      <c r="V574" s="390">
        <v>1.3</v>
      </c>
      <c r="W574" s="412">
        <f>SUMIFS(Таблица1[Столбец1],Таблица1[коэф],"1,3",Таблица1[р/р],"4/24",Таблица1[Ф. И. О.],B572)</f>
        <v>0</v>
      </c>
      <c r="X574" s="492">
        <f t="shared" si="197"/>
        <v>0</v>
      </c>
      <c r="Y574" s="795"/>
      <c r="Z574" s="797"/>
      <c r="AA574" s="786"/>
    </row>
    <row r="575" spans="1:29" ht="18.75">
      <c r="A575" s="786"/>
      <c r="B575" s="216"/>
      <c r="C575" s="789"/>
      <c r="D575" s="792"/>
      <c r="E575" s="389"/>
      <c r="F575" s="390"/>
      <c r="G575" s="400"/>
      <c r="H575" s="392">
        <f t="shared" si="194"/>
        <v>0</v>
      </c>
      <c r="I575" s="432"/>
      <c r="J575" s="433"/>
      <c r="K575" s="434"/>
      <c r="L575" s="484">
        <f t="shared" si="195"/>
        <v>0</v>
      </c>
      <c r="M575" s="434"/>
      <c r="N575" s="434"/>
      <c r="O575" s="434"/>
      <c r="P575" s="406"/>
      <c r="Q575" s="389">
        <f>IF(D567&lt;=3,база!$L$4,
IF(D567=4,база!$L$5,
IF(D567=5,база!$L$6)))</f>
        <v>210.57480000000001</v>
      </c>
      <c r="R575" s="390">
        <v>1.4</v>
      </c>
      <c r="S575" s="400">
        <f>SUMIFS(Таблица1[Столбец1],Таблица1[коэф],"1,4",Таблица1[р/р],"3/16",Таблица1[Ф. И. О.],B572)</f>
        <v>0</v>
      </c>
      <c r="T575" s="492">
        <f t="shared" si="196"/>
        <v>0</v>
      </c>
      <c r="U575" s="478">
        <f>IF(D567&lt;=3,база!$M$4,
IF(D567=4,база!$M$5,
IF(D567=5,база!$M$6)))</f>
        <v>225.09719999999999</v>
      </c>
      <c r="V575" s="390">
        <v>1.4</v>
      </c>
      <c r="W575" s="412">
        <f>SUMIFS(Таблица1[Столбец1],Таблица1[коэф],"1,4",Таблица1[р/р],"3/24",Таблица1[Ф. И. О.],B572)</f>
        <v>0</v>
      </c>
      <c r="X575" s="492">
        <f t="shared" si="197"/>
        <v>0</v>
      </c>
      <c r="Y575" s="795"/>
      <c r="Z575" s="797"/>
      <c r="AA575" s="786"/>
    </row>
    <row r="576" spans="1:29" ht="18.75">
      <c r="A576" s="786"/>
      <c r="B576" s="216"/>
      <c r="C576" s="789"/>
      <c r="D576" s="792"/>
      <c r="E576" s="389"/>
      <c r="F576" s="390"/>
      <c r="G576" s="400"/>
      <c r="H576" s="392">
        <f t="shared" si="194"/>
        <v>0</v>
      </c>
      <c r="I576" s="432"/>
      <c r="J576" s="433"/>
      <c r="K576" s="434"/>
      <c r="L576" s="484">
        <f t="shared" si="195"/>
        <v>0</v>
      </c>
      <c r="M576" s="434"/>
      <c r="N576" s="434"/>
      <c r="O576" s="434"/>
      <c r="P576" s="406"/>
      <c r="Q576" s="389">
        <f>база!$L$5</f>
        <v>231.45480000000001</v>
      </c>
      <c r="R576" s="390">
        <v>1.4</v>
      </c>
      <c r="S576" s="400">
        <f>SUMIFS(Таблица1[Столбец1],Таблица1[коэф],"1,4",Таблица1[р/р],"4/16",Таблица1[Ф. И. О.],B572)</f>
        <v>0</v>
      </c>
      <c r="T576" s="492">
        <f t="shared" si="196"/>
        <v>0</v>
      </c>
      <c r="U576" s="478">
        <f>база!$M$5</f>
        <v>247.41720000000001</v>
      </c>
      <c r="V576" s="390">
        <v>1.4</v>
      </c>
      <c r="W576" s="412">
        <f>SUMIFS(Таблица1[Столбец1],Таблица1[коэф],"1,4",Таблица1[р/р],"4/24",Таблица1[Ф. И. О.],B572)</f>
        <v>0</v>
      </c>
      <c r="X576" s="492">
        <f t="shared" si="197"/>
        <v>0</v>
      </c>
      <c r="Y576" s="795"/>
      <c r="Z576" s="797"/>
      <c r="AA576" s="786"/>
    </row>
    <row r="577" spans="1:29" ht="19.5" thickBot="1">
      <c r="A577" s="787"/>
      <c r="B577" s="203"/>
      <c r="C577" s="790"/>
      <c r="D577" s="793"/>
      <c r="E577" s="473"/>
      <c r="F577" s="464"/>
      <c r="G577" s="465"/>
      <c r="H577" s="468">
        <f t="shared" si="194"/>
        <v>0</v>
      </c>
      <c r="I577" s="466"/>
      <c r="J577" s="456"/>
      <c r="K577" s="457"/>
      <c r="L577" s="484">
        <f t="shared" si="195"/>
        <v>0</v>
      </c>
      <c r="M577" s="457"/>
      <c r="N577" s="457"/>
      <c r="O577" s="457"/>
      <c r="P577" s="476"/>
      <c r="Q577" s="473">
        <f>база!$L$6</f>
        <v>261.04640000000001</v>
      </c>
      <c r="R577" s="464">
        <v>1.4</v>
      </c>
      <c r="S577" s="465">
        <f>SUMIFS(Таблица1[Столбец1],Таблица1[коэф],"1,4",Таблица1[р/р],"5/16",Таблица1[Ф. И. О.],B572)</f>
        <v>0</v>
      </c>
      <c r="T577" s="492">
        <f t="shared" si="196"/>
        <v>0</v>
      </c>
      <c r="U577" s="480">
        <f>база!$M$6</f>
        <v>279.0496</v>
      </c>
      <c r="V577" s="464">
        <v>1.4</v>
      </c>
      <c r="W577" s="470">
        <f>SUMIFS(Таблица1[Столбец1],Таблица1[коэф],"1,4",Таблица1[р/р],"5/24",Таблица1[Ф. И. О.],B572)</f>
        <v>0</v>
      </c>
      <c r="X577" s="492">
        <f t="shared" si="197"/>
        <v>0</v>
      </c>
      <c r="Y577" s="796"/>
      <c r="Z577" s="798"/>
      <c r="AA577" s="787"/>
    </row>
    <row r="578" spans="1:29" ht="18.75">
      <c r="A578" s="785">
        <v>53</v>
      </c>
      <c r="B578" s="236"/>
      <c r="C578" s="788">
        <f>INDEX(база!$E$2:$E$81, MATCH(B583,база!$B$2:$B$60,0))</f>
        <v>17354</v>
      </c>
      <c r="D578" s="791">
        <f>INDEX(база!$D$2:$D$89, MATCH(B583,база!$B$2:$B$60,0))</f>
        <v>3</v>
      </c>
      <c r="E578" s="377">
        <f>IF(D578&lt;=3,база!$I$4,
IF(D578=4,база!$I$5,
IF(D578=5,база!$I$6)))</f>
        <v>188.7912</v>
      </c>
      <c r="F578" s="378">
        <v>1</v>
      </c>
      <c r="G578" s="387">
        <f>SUMIFS(Таблица1[Столбец1],Таблица1[коэф],"1",Таблица1[р/р],"2/4",Таблица1[Ф. И. О.],B583)</f>
        <v>0</v>
      </c>
      <c r="H578" s="402">
        <f t="shared" ref="H578:H588" si="200">ROUND(E578*F578*G578*2,2)</f>
        <v>0</v>
      </c>
      <c r="I578" s="426">
        <f>IF(D578&lt;=3,база!$J$4,
IF(D578=4,база!$J$5,
IF(D578=5,база!$J$6)))</f>
        <v>196.05240000000001</v>
      </c>
      <c r="J578" s="427">
        <v>1</v>
      </c>
      <c r="K578" s="428">
        <f>SUMIFS(Таблица1[Столбец1],Таблица1[коэф],"1",Таблица1[р/р],"2/8",Таблица1[Ф. И. О.],B583)</f>
        <v>0</v>
      </c>
      <c r="L578" s="383">
        <f t="shared" ref="L578:L588" si="201">ROUND(I578*J578*K578*2,2)</f>
        <v>0</v>
      </c>
      <c r="M578" s="428"/>
      <c r="N578" s="428">
        <v>1</v>
      </c>
      <c r="O578" s="428">
        <f>SUMIFS(Data_Tech!$AM$3:$AM$67,Data_Tech!$E$3:$E$67,"1",Data_Tech!$G$3:$G$67,"3/12",Data_Tech!$F$3:$F$67,B583)</f>
        <v>0</v>
      </c>
      <c r="P578" s="385">
        <f>ROUND(M578*N578*O578,2)</f>
        <v>0</v>
      </c>
      <c r="Q578" s="377">
        <f>IF(D578&lt;=3,база!$L$4,
IF(D578=4,база!$L$5,
IF(D578=5,база!$L$6)))</f>
        <v>210.57480000000001</v>
      </c>
      <c r="R578" s="378">
        <v>1</v>
      </c>
      <c r="S578" s="387">
        <f>SUMIFS(Таблица1[Столбец1],Таблица1[коэф],"1",Таблица1[р/р],"3/16",Таблица1[Ф. И. О.],B583)</f>
        <v>0</v>
      </c>
      <c r="T578" s="490">
        <f t="shared" ref="T578:T588" si="202">ROUND(Q578*R578*S578*2,2)</f>
        <v>0</v>
      </c>
      <c r="U578" s="477">
        <f>IF(D578&lt;=3,база!$M$4,
IF(D578=4,база!$M$5,
IF(D578=5,база!$M$6)))</f>
        <v>225.09719999999999</v>
      </c>
      <c r="V578" s="378">
        <v>1</v>
      </c>
      <c r="W578" s="430">
        <f>SUMIFS(Таблица1[Столбец1],Таблица1[коэф],"1",Таблица1[р/р],"3/24",Таблица1[Ф. И. О.],B583)</f>
        <v>0</v>
      </c>
      <c r="X578" s="490">
        <f t="shared" ref="X578:X588" si="203">ROUND(U578*V578*W578*2,2)</f>
        <v>0</v>
      </c>
      <c r="Y578" s="795">
        <f t="shared" ref="Y578" si="204">SUM(G578:G588,K578:K588,O578:O588,S578:S588,W578:W588)</f>
        <v>0</v>
      </c>
      <c r="Z578" s="797">
        <f t="shared" ref="Z578" si="205">IFERROR(SUM(H578:H588,L578:L588,T578:T588,X578:X588),"")</f>
        <v>0</v>
      </c>
      <c r="AA578" s="786"/>
    </row>
    <row r="579" spans="1:29" ht="18.75">
      <c r="A579" s="786"/>
      <c r="B579" s="216"/>
      <c r="C579" s="789"/>
      <c r="D579" s="792"/>
      <c r="E579" s="389">
        <f>IF(D578&lt;=3,база!$I$4,
IF(D578=4,база!$I$5,
IF(D578=5,база!$I$6)))</f>
        <v>188.7912</v>
      </c>
      <c r="F579" s="390">
        <v>1</v>
      </c>
      <c r="G579" s="400">
        <f>SUMIFS(Таблица1[Столбец1],Таблица1[коэф],"1",Таблица1[р/р],"3/4",Таблица1[Ф. И. О.],B583)</f>
        <v>0</v>
      </c>
      <c r="H579" s="392">
        <f t="shared" si="200"/>
        <v>0</v>
      </c>
      <c r="I579" s="432">
        <f>IF(D578&lt;=3,база!$J$4,
IF(D578=4,база!$J$5,
IF(D578=5,база!$J$6)))</f>
        <v>196.05240000000001</v>
      </c>
      <c r="J579" s="433">
        <v>1</v>
      </c>
      <c r="K579" s="434">
        <f>SUMIFS(Таблица1[Столбец1],Таблица1[коэф],"1",Таблица1[р/р],"3/8",Таблица1[Ф. И. О.],B583)</f>
        <v>0</v>
      </c>
      <c r="L579" s="484">
        <f t="shared" si="201"/>
        <v>0</v>
      </c>
      <c r="M579" s="434"/>
      <c r="N579" s="434">
        <v>1</v>
      </c>
      <c r="O579" s="434">
        <f>SUMIFS(Data_Tech!$AM$3:$AM$67,Data_Tech!$E$3:$E$67,"1",Data_Tech!$G$3:$G$67,"4/12",Data_Tech!$F$3:$F$67,B583)</f>
        <v>0</v>
      </c>
      <c r="P579" s="406">
        <f>ROUND(M579*O579,2)</f>
        <v>0</v>
      </c>
      <c r="Q579" s="389">
        <f>база!$L$5</f>
        <v>231.45480000000001</v>
      </c>
      <c r="R579" s="390">
        <v>1</v>
      </c>
      <c r="S579" s="400">
        <f>SUMIFS(Таблица1[Столбец1],Таблица1[коэф],"1",Таблица1[р/р],"4/16",Таблица1[Ф. И. О.],B583)</f>
        <v>0</v>
      </c>
      <c r="T579" s="492">
        <f t="shared" si="202"/>
        <v>0</v>
      </c>
      <c r="U579" s="478">
        <f>база!$M$5</f>
        <v>247.41720000000001</v>
      </c>
      <c r="V579" s="390">
        <v>1</v>
      </c>
      <c r="W579" s="412">
        <f>SUMIFS(Таблица1[Столбец1],Таблица1[коэф],"1",Таблица1[р/р],"4/24",Таблица1[Ф. И. О.],B583)</f>
        <v>0</v>
      </c>
      <c r="X579" s="492">
        <f t="shared" si="203"/>
        <v>0</v>
      </c>
      <c r="Y579" s="795"/>
      <c r="Z579" s="797"/>
      <c r="AA579" s="786"/>
    </row>
    <row r="580" spans="1:29" ht="18.75">
      <c r="A580" s="786"/>
      <c r="B580" s="216"/>
      <c r="C580" s="789"/>
      <c r="D580" s="792"/>
      <c r="E580" s="389"/>
      <c r="F580" s="390"/>
      <c r="G580" s="400"/>
      <c r="H580" s="392">
        <f t="shared" si="200"/>
        <v>0</v>
      </c>
      <c r="I580" s="432"/>
      <c r="J580" s="433"/>
      <c r="K580" s="434"/>
      <c r="L580" s="484">
        <f t="shared" si="201"/>
        <v>0</v>
      </c>
      <c r="M580" s="434"/>
      <c r="N580" s="434"/>
      <c r="O580" s="434"/>
      <c r="P580" s="406"/>
      <c r="Q580" s="389">
        <f>база!$L$6</f>
        <v>261.04640000000001</v>
      </c>
      <c r="R580" s="390">
        <v>1</v>
      </c>
      <c r="S580" s="400">
        <f>SUMIFS(Таблица1[Столбец1],Таблица1[коэф],"1",Таблица1[р/р],"5/16",Таблица1[Ф. И. О.],B583)</f>
        <v>0</v>
      </c>
      <c r="T580" s="492">
        <f t="shared" si="202"/>
        <v>0</v>
      </c>
      <c r="U580" s="478">
        <f>база!$M$6</f>
        <v>279.0496</v>
      </c>
      <c r="V580" s="390">
        <v>1</v>
      </c>
      <c r="W580" s="412">
        <f>SUMIFS(Таблица1[Столбец1],Таблица1[коэф],"1",Таблица1[р/р],"5/24",Таблица1[Ф. И. О.],B583)</f>
        <v>0</v>
      </c>
      <c r="X580" s="492">
        <f t="shared" si="203"/>
        <v>0</v>
      </c>
      <c r="Y580" s="795"/>
      <c r="Z580" s="797"/>
      <c r="AA580" s="786"/>
    </row>
    <row r="581" spans="1:29" ht="18.75">
      <c r="A581" s="786"/>
      <c r="B581" s="216"/>
      <c r="C581" s="789"/>
      <c r="D581" s="792"/>
      <c r="E581" s="389"/>
      <c r="F581" s="390"/>
      <c r="G581" s="400"/>
      <c r="H581" s="392">
        <f t="shared" si="200"/>
        <v>0</v>
      </c>
      <c r="I581" s="432">
        <f>база!$J$5</f>
        <v>215.4924</v>
      </c>
      <c r="J581" s="433">
        <v>1.5</v>
      </c>
      <c r="K581" s="434">
        <f>SUMIFS(Таблица1[Столбец1],Таблица1[коэф],"1,5",Таблица1[р/р],"4/8",Таблица1[Ф. И. О.],B583)</f>
        <v>0</v>
      </c>
      <c r="L581" s="484">
        <f t="shared" si="201"/>
        <v>0</v>
      </c>
      <c r="M581" s="434"/>
      <c r="N581" s="434"/>
      <c r="O581" s="434"/>
      <c r="P581" s="406"/>
      <c r="Q581" s="389">
        <f>IF(D578&lt;=3,база!$L$4,
IF(D578=4,база!$L$5,
IF(D578=5,база!$L$6)))</f>
        <v>210.57480000000001</v>
      </c>
      <c r="R581" s="390">
        <v>1.2</v>
      </c>
      <c r="S581" s="400">
        <f>SUMIFS(Таблица1[Столбец1],Таблица1[коэф],"1,2",Таблица1[р/р],"3/16",Таблица1[Ф. И. О.],B583)</f>
        <v>0</v>
      </c>
      <c r="T581" s="492">
        <f t="shared" si="202"/>
        <v>0</v>
      </c>
      <c r="U581" s="478">
        <f>IF(D578&lt;=3,база!$M$4,
IF(D578=4,база!$M$5,
IF(D578=5,база!$M$6)))</f>
        <v>225.09719999999999</v>
      </c>
      <c r="V581" s="390">
        <v>1.2</v>
      </c>
      <c r="W581" s="412">
        <f>SUMIFS(Таблица1[Столбец1],Таблица1[коэф],"1,2",Таблица1[р/р],"3/24",Таблица1[Ф. И. О.],B583)</f>
        <v>0</v>
      </c>
      <c r="X581" s="492">
        <f t="shared" si="203"/>
        <v>0</v>
      </c>
      <c r="Y581" s="795"/>
      <c r="Z581" s="797"/>
      <c r="AA581" s="786"/>
    </row>
    <row r="582" spans="1:29" ht="18.75">
      <c r="A582" s="786"/>
      <c r="B582" s="216"/>
      <c r="C582" s="789"/>
      <c r="D582" s="792"/>
      <c r="E582" s="389"/>
      <c r="F582" s="390"/>
      <c r="G582" s="400"/>
      <c r="H582" s="392">
        <f t="shared" si="200"/>
        <v>0</v>
      </c>
      <c r="I582" s="432">
        <f>база!$J$6</f>
        <v>243.04319999999998</v>
      </c>
      <c r="J582" s="433">
        <v>1.5</v>
      </c>
      <c r="K582" s="434">
        <f>SUMIFS(Таблица1[Столбец1],Таблица1[коэф],"1,5",Таблица1[р/р],"5/8",Таблица1[Ф. И. О.],B583)</f>
        <v>0</v>
      </c>
      <c r="L582" s="484">
        <f t="shared" si="201"/>
        <v>0</v>
      </c>
      <c r="M582" s="434"/>
      <c r="N582" s="434"/>
      <c r="O582" s="434"/>
      <c r="P582" s="406"/>
      <c r="Q582" s="389">
        <f>база!$L$5</f>
        <v>231.45480000000001</v>
      </c>
      <c r="R582" s="390">
        <v>1.2</v>
      </c>
      <c r="S582" s="400">
        <f>SUMIFS(Таблица1[Столбец1],Таблица1[коэф],"1,2",Таблица1[р/р],"4/16",Таблица1[Ф. И. О.],B583)</f>
        <v>0</v>
      </c>
      <c r="T582" s="492">
        <f t="shared" si="202"/>
        <v>0</v>
      </c>
      <c r="U582" s="478">
        <f>база!$M$5</f>
        <v>247.41720000000001</v>
      </c>
      <c r="V582" s="390">
        <v>1.2</v>
      </c>
      <c r="W582" s="412">
        <f>SUMIFS(Таблица1[Столбец1],Таблица1[коэф],"1,2",Таблица1[р/р],"4/24",Таблица1[Ф. И. О.],B583)</f>
        <v>0</v>
      </c>
      <c r="X582" s="492">
        <f t="shared" si="203"/>
        <v>0</v>
      </c>
      <c r="Y582" s="795"/>
      <c r="Z582" s="797"/>
      <c r="AA582" s="786"/>
    </row>
    <row r="583" spans="1:29" ht="18.75">
      <c r="A583" s="786"/>
      <c r="B583" s="216" t="str">
        <f>база!B54</f>
        <v>Мунтян Жанна Алексеевна</v>
      </c>
      <c r="C583" s="789"/>
      <c r="D583" s="792"/>
      <c r="E583" s="389"/>
      <c r="F583" s="390"/>
      <c r="G583" s="400"/>
      <c r="H583" s="392">
        <f t="shared" si="200"/>
        <v>0</v>
      </c>
      <c r="I583" s="432"/>
      <c r="J583" s="433"/>
      <c r="K583" s="434"/>
      <c r="L583" s="484">
        <f t="shared" si="201"/>
        <v>0</v>
      </c>
      <c r="M583" s="434"/>
      <c r="N583" s="434"/>
      <c r="O583" s="434"/>
      <c r="P583" s="406"/>
      <c r="Q583" s="389">
        <f>база!$L$6</f>
        <v>261.04640000000001</v>
      </c>
      <c r="R583" s="390">
        <v>1.2</v>
      </c>
      <c r="S583" s="400">
        <f>SUMIFS(Таблица1[Столбец1],Таблица1[коэф],"1,2",Таблица1[р/р],"5/16",Таблица1[Ф. И. О.],B583)</f>
        <v>0</v>
      </c>
      <c r="T583" s="492">
        <f t="shared" si="202"/>
        <v>0</v>
      </c>
      <c r="U583" s="478">
        <f>база!$M$6</f>
        <v>279.0496</v>
      </c>
      <c r="V583" s="390">
        <v>1.2</v>
      </c>
      <c r="W583" s="412">
        <f>SUMIFS(Таблица1[Столбец1],Таблица1[коэф],"1,2",Таблица1[р/р],"5/24",Таблица1[Ф. И. О.],B583)</f>
        <v>0</v>
      </c>
      <c r="X583" s="492">
        <f t="shared" si="203"/>
        <v>0</v>
      </c>
      <c r="Y583" s="795"/>
      <c r="Z583" s="797"/>
      <c r="AA583" s="786"/>
      <c r="AC583" s="727" t="str">
        <f>IF(SUMIFS(Таблица1[Столбец3],Таблица1[Ф. И. О.],B583)-Z578=0,"",SUMIFS(Таблица1[Столбец3],Таблица1[Ф. И. О.],B583)-Z578)</f>
        <v/>
      </c>
    </row>
    <row r="584" spans="1:29" ht="18.75">
      <c r="A584" s="786"/>
      <c r="B584" s="216"/>
      <c r="C584" s="789"/>
      <c r="D584" s="792"/>
      <c r="E584" s="389"/>
      <c r="F584" s="390"/>
      <c r="G584" s="400"/>
      <c r="H584" s="392">
        <f t="shared" si="200"/>
        <v>0</v>
      </c>
      <c r="I584" s="432"/>
      <c r="J584" s="433"/>
      <c r="K584" s="434"/>
      <c r="L584" s="484">
        <f t="shared" si="201"/>
        <v>0</v>
      </c>
      <c r="M584" s="434"/>
      <c r="N584" s="434"/>
      <c r="O584" s="434"/>
      <c r="P584" s="406"/>
      <c r="Q584" s="389">
        <f>IF($D$6&lt;=3,база!$L$4,
IF($D$6=4,база!$L$5,
IF($D$6=5,база!$L$6)))</f>
        <v>231.45480000000001</v>
      </c>
      <c r="R584" s="390">
        <v>1.3</v>
      </c>
      <c r="S584" s="400">
        <f>SUMIFS(Таблица1[Столбец1],Таблица1[коэф],"1,3",Таблица1[р/р],"3/16",Таблица1[Ф. И. О.],B583)</f>
        <v>0</v>
      </c>
      <c r="T584" s="492">
        <f t="shared" si="202"/>
        <v>0</v>
      </c>
      <c r="U584" s="478">
        <f>IF(D578&lt;=3,база!$M$4,
IF(D578=4,база!$M$5,
IF(D578=5,база!$M$6)))</f>
        <v>225.09719999999999</v>
      </c>
      <c r="V584" s="390">
        <v>1.3</v>
      </c>
      <c r="W584" s="412">
        <f>SUMIFS(Таблица1[Столбец1],Таблица1[коэф],"1,3",Таблица1[р/р],"3/24",Таблица1[Ф. И. О.],B583)</f>
        <v>0</v>
      </c>
      <c r="X584" s="492">
        <f t="shared" si="203"/>
        <v>0</v>
      </c>
      <c r="Y584" s="795"/>
      <c r="Z584" s="797"/>
      <c r="AA584" s="786"/>
      <c r="AC584" s="727" t="str">
        <f>IF(SUMIFS(Таблица1[Столбец1],Таблица1[Ф. И. О.],B583)=Y578,"",B583&amp;"  часы не верны")</f>
        <v/>
      </c>
    </row>
    <row r="585" spans="1:29" ht="18.75">
      <c r="A585" s="786"/>
      <c r="B585" s="216"/>
      <c r="C585" s="789"/>
      <c r="D585" s="792"/>
      <c r="E585" s="389"/>
      <c r="F585" s="390"/>
      <c r="G585" s="400"/>
      <c r="H585" s="392">
        <f t="shared" si="200"/>
        <v>0</v>
      </c>
      <c r="I585" s="432"/>
      <c r="J585" s="433"/>
      <c r="K585" s="434"/>
      <c r="L585" s="484">
        <f t="shared" si="201"/>
        <v>0</v>
      </c>
      <c r="M585" s="434"/>
      <c r="N585" s="434"/>
      <c r="O585" s="434"/>
      <c r="P585" s="406"/>
      <c r="Q585" s="389">
        <f>база!$L$5</f>
        <v>231.45480000000001</v>
      </c>
      <c r="R585" s="390">
        <v>1.3</v>
      </c>
      <c r="S585" s="400">
        <f>SUMIFS(Таблица1[Столбец1],Таблица1[коэф],"1,3",Таблица1[р/р],"4/16",Таблица1[Ф. И. О.],B583)</f>
        <v>0</v>
      </c>
      <c r="T585" s="492">
        <f t="shared" si="202"/>
        <v>0</v>
      </c>
      <c r="U585" s="478">
        <f>база!$M$5</f>
        <v>247.41720000000001</v>
      </c>
      <c r="V585" s="390">
        <v>1.3</v>
      </c>
      <c r="W585" s="412">
        <f>SUMIFS(Таблица1[Столбец1],Таблица1[коэф],"1,3",Таблица1[р/р],"4/24",Таблица1[Ф. И. О.],B583)</f>
        <v>0</v>
      </c>
      <c r="X585" s="492">
        <f t="shared" si="203"/>
        <v>0</v>
      </c>
      <c r="Y585" s="795"/>
      <c r="Z585" s="797"/>
      <c r="AA585" s="786"/>
    </row>
    <row r="586" spans="1:29" ht="18.75">
      <c r="A586" s="786"/>
      <c r="B586" s="216"/>
      <c r="C586" s="789"/>
      <c r="D586" s="792"/>
      <c r="E586" s="389"/>
      <c r="F586" s="390"/>
      <c r="G586" s="400"/>
      <c r="H586" s="392">
        <f t="shared" si="200"/>
        <v>0</v>
      </c>
      <c r="I586" s="432"/>
      <c r="J586" s="433"/>
      <c r="K586" s="434"/>
      <c r="L586" s="484">
        <f t="shared" si="201"/>
        <v>0</v>
      </c>
      <c r="M586" s="434"/>
      <c r="N586" s="434"/>
      <c r="O586" s="434"/>
      <c r="P586" s="406"/>
      <c r="Q586" s="389">
        <f>IF(D578&lt;=3,база!$L$4,
IF(D578=4,база!$L$5,
IF(D578=5,база!$L$6)))</f>
        <v>210.57480000000001</v>
      </c>
      <c r="R586" s="390">
        <v>1.4</v>
      </c>
      <c r="S586" s="400">
        <f>SUMIFS(Таблица1[Столбец1],Таблица1[коэф],"1,4",Таблица1[р/р],"3/16",Таблица1[Ф. И. О.],B583)</f>
        <v>0</v>
      </c>
      <c r="T586" s="492">
        <f t="shared" si="202"/>
        <v>0</v>
      </c>
      <c r="U586" s="478">
        <f>IF(D578&lt;=3,база!$M$4,
IF(D578=4,база!$M$5,
IF(D578=5,база!$M$6)))</f>
        <v>225.09719999999999</v>
      </c>
      <c r="V586" s="390">
        <v>1.4</v>
      </c>
      <c r="W586" s="412">
        <f>SUMIFS(Таблица1[Столбец1],Таблица1[коэф],"1,4",Таблица1[р/р],"3/24",Таблица1[Ф. И. О.],B583)</f>
        <v>0</v>
      </c>
      <c r="X586" s="492">
        <f t="shared" si="203"/>
        <v>0</v>
      </c>
      <c r="Y586" s="795"/>
      <c r="Z586" s="797"/>
      <c r="AA586" s="786"/>
    </row>
    <row r="587" spans="1:29" ht="18.75">
      <c r="A587" s="786"/>
      <c r="B587" s="216"/>
      <c r="C587" s="789"/>
      <c r="D587" s="792"/>
      <c r="E587" s="389"/>
      <c r="F587" s="390"/>
      <c r="G587" s="400"/>
      <c r="H587" s="392">
        <f t="shared" si="200"/>
        <v>0</v>
      </c>
      <c r="I587" s="432"/>
      <c r="J587" s="433"/>
      <c r="K587" s="434"/>
      <c r="L587" s="484">
        <f t="shared" si="201"/>
        <v>0</v>
      </c>
      <c r="M587" s="434"/>
      <c r="N587" s="434"/>
      <c r="O587" s="434"/>
      <c r="P587" s="406"/>
      <c r="Q587" s="389">
        <f>база!$L$5</f>
        <v>231.45480000000001</v>
      </c>
      <c r="R587" s="390">
        <v>1.4</v>
      </c>
      <c r="S587" s="400">
        <f>SUMIFS(Таблица1[Столбец1],Таблица1[коэф],"1,4",Таблица1[р/р],"4/16",Таблица1[Ф. И. О.],B583)</f>
        <v>0</v>
      </c>
      <c r="T587" s="492">
        <f t="shared" si="202"/>
        <v>0</v>
      </c>
      <c r="U587" s="478">
        <f>база!$M$5</f>
        <v>247.41720000000001</v>
      </c>
      <c r="V587" s="390">
        <v>1.4</v>
      </c>
      <c r="W587" s="412">
        <f>SUMIFS(Таблица1[Столбец1],Таблица1[коэф],"1,4",Таблица1[р/р],"4/24",Таблица1[Ф. И. О.],B583)</f>
        <v>0</v>
      </c>
      <c r="X587" s="492">
        <f t="shared" si="203"/>
        <v>0</v>
      </c>
      <c r="Y587" s="795"/>
      <c r="Z587" s="797"/>
      <c r="AA587" s="786"/>
    </row>
    <row r="588" spans="1:29" ht="19.5" thickBot="1">
      <c r="A588" s="787"/>
      <c r="B588" s="203"/>
      <c r="C588" s="790"/>
      <c r="D588" s="793"/>
      <c r="E588" s="473"/>
      <c r="F588" s="464"/>
      <c r="G588" s="465"/>
      <c r="H588" s="468">
        <f t="shared" si="200"/>
        <v>0</v>
      </c>
      <c r="I588" s="466"/>
      <c r="J588" s="456"/>
      <c r="K588" s="457"/>
      <c r="L588" s="484">
        <f t="shared" si="201"/>
        <v>0</v>
      </c>
      <c r="M588" s="457"/>
      <c r="N588" s="457"/>
      <c r="O588" s="457"/>
      <c r="P588" s="476"/>
      <c r="Q588" s="473">
        <f>база!$L$6</f>
        <v>261.04640000000001</v>
      </c>
      <c r="R588" s="464">
        <v>1.4</v>
      </c>
      <c r="S588" s="465">
        <f>SUMIFS(Таблица1[Столбец1],Таблица1[коэф],"1,4",Таблица1[р/р],"5/16",Таблица1[Ф. И. О.],B583)</f>
        <v>0</v>
      </c>
      <c r="T588" s="492">
        <f t="shared" si="202"/>
        <v>0</v>
      </c>
      <c r="U588" s="480">
        <f>база!$M$6</f>
        <v>279.0496</v>
      </c>
      <c r="V588" s="464">
        <v>1.4</v>
      </c>
      <c r="W588" s="470">
        <f>SUMIFS(Таблица1[Столбец1],Таблица1[коэф],"1,4",Таблица1[р/р],"5/24",Таблица1[Ф. И. О.],B583)</f>
        <v>0</v>
      </c>
      <c r="X588" s="492">
        <f t="shared" si="203"/>
        <v>0</v>
      </c>
      <c r="Y588" s="796"/>
      <c r="Z588" s="798"/>
      <c r="AA588" s="787"/>
    </row>
    <row r="589" spans="1:29" ht="18.75">
      <c r="A589" s="785">
        <v>54</v>
      </c>
      <c r="B589" s="236"/>
      <c r="C589" s="788">
        <f>INDEX(база!$E$2:$E$81, MATCH(B594,база!$B$2:$B$60,0))</f>
        <v>15041</v>
      </c>
      <c r="D589" s="791">
        <f>INDEX(база!$D$2:$D$89, MATCH(B594,база!$B$2:$B$60,0))</f>
        <v>3</v>
      </c>
      <c r="E589" s="377">
        <f>IF(D589&lt;=3,база!$I$4,
IF(D589=4,база!$I$5,
IF(D589=5,база!$I$6)))</f>
        <v>188.7912</v>
      </c>
      <c r="F589" s="378">
        <v>1</v>
      </c>
      <c r="G589" s="387">
        <f>SUMIFS(Таблица1[Столбец1],Таблица1[коэф],"1",Таблица1[р/р],"2/4",Таблица1[Ф. И. О.],B594)</f>
        <v>0</v>
      </c>
      <c r="H589" s="402">
        <f t="shared" ref="H589:H599" si="206">ROUND(E589*F589*G589*2,2)</f>
        <v>0</v>
      </c>
      <c r="I589" s="426">
        <f>IF(D589&lt;=3,база!$J$4,
IF(D589=4,база!$J$5,
IF(D589=5,база!$J$6)))</f>
        <v>196.05240000000001</v>
      </c>
      <c r="J589" s="427">
        <v>1</v>
      </c>
      <c r="K589" s="428">
        <f>SUMIFS(Таблица1[Столбец1],Таблица1[коэф],"1",Таблица1[р/р],"2/8",Таблица1[Ф. И. О.],B594)</f>
        <v>0</v>
      </c>
      <c r="L589" s="383">
        <f t="shared" ref="L589:L599" si="207">ROUND(I589*J589*K589*2,2)</f>
        <v>0</v>
      </c>
      <c r="M589" s="428"/>
      <c r="N589" s="428">
        <v>1</v>
      </c>
      <c r="O589" s="428">
        <f>SUMIFS(Data_Tech!$AM$3:$AM$67,Data_Tech!$E$3:$E$67,"1",Data_Tech!$G$3:$G$67,"3/12",Data_Tech!$F$3:$F$67,B594)</f>
        <v>0</v>
      </c>
      <c r="P589" s="385">
        <f>ROUND(M589*N589*O589,2)</f>
        <v>0</v>
      </c>
      <c r="Q589" s="377">
        <f>IF(D589&lt;=3,база!$L$4,
IF(D589=4,база!$L$5,
IF(D589=5,база!$L$6)))</f>
        <v>210.57480000000001</v>
      </c>
      <c r="R589" s="378">
        <v>1</v>
      </c>
      <c r="S589" s="387">
        <f>SUMIFS(Таблица1[Столбец1],Таблица1[коэф],"1",Таблица1[р/р],"3/16",Таблица1[Ф. И. О.],B594)</f>
        <v>0</v>
      </c>
      <c r="T589" s="490">
        <f t="shared" ref="T589:T599" si="208">ROUND(Q589*R589*S589*2,2)</f>
        <v>0</v>
      </c>
      <c r="U589" s="477">
        <f>IF(D589&lt;=3,база!$M$4,
IF(D589=4,база!$M$5,
IF(D589=5,база!$M$6)))</f>
        <v>225.09719999999999</v>
      </c>
      <c r="V589" s="378">
        <v>1</v>
      </c>
      <c r="W589" s="430">
        <f>SUMIFS(Таблица1[Столбец1],Таблица1[коэф],"1",Таблица1[р/р],"3/24",Таблица1[Ф. И. О.],B594)</f>
        <v>0</v>
      </c>
      <c r="X589" s="490">
        <f t="shared" ref="X589:X599" si="209">ROUND(U589*V589*W589*2,2)</f>
        <v>0</v>
      </c>
      <c r="Y589" s="795">
        <f t="shared" ref="Y589" si="210">SUM(G589:G599,K589:K599,O589:O599,S589:S599,W589:W599)</f>
        <v>0</v>
      </c>
      <c r="Z589" s="797">
        <f t="shared" ref="Z589" si="211">IFERROR(SUM(H589:H599,L589:L599,T589:T599,X589:X599),"")</f>
        <v>0</v>
      </c>
      <c r="AA589" s="786"/>
    </row>
    <row r="590" spans="1:29" ht="18.75">
      <c r="A590" s="786"/>
      <c r="B590" s="216"/>
      <c r="C590" s="789"/>
      <c r="D590" s="792"/>
      <c r="E590" s="389">
        <f>IF(D589&lt;=3,база!$I$4,
IF(D589=4,база!$I$5,
IF(D589=5,база!$I$6)))</f>
        <v>188.7912</v>
      </c>
      <c r="F590" s="390">
        <v>1</v>
      </c>
      <c r="G590" s="400">
        <f>SUMIFS(Таблица1[Столбец1],Таблица1[коэф],"1",Таблица1[р/р],"3/4",Таблица1[Ф. И. О.],B594)</f>
        <v>0</v>
      </c>
      <c r="H590" s="392">
        <f t="shared" si="206"/>
        <v>0</v>
      </c>
      <c r="I590" s="432">
        <f>IF(D589&lt;=3,база!$J$4,
IF(D589=4,база!$J$5,
IF(D589=5,база!$J$6)))</f>
        <v>196.05240000000001</v>
      </c>
      <c r="J590" s="433">
        <v>1</v>
      </c>
      <c r="K590" s="434">
        <f>SUMIFS(Таблица1[Столбец1],Таблица1[коэф],"1",Таблица1[р/р],"3/8",Таблица1[Ф. И. О.],B594)</f>
        <v>0</v>
      </c>
      <c r="L590" s="484">
        <f t="shared" si="207"/>
        <v>0</v>
      </c>
      <c r="M590" s="434"/>
      <c r="N590" s="434">
        <v>1</v>
      </c>
      <c r="O590" s="434">
        <f>SUMIFS(Data_Tech!$AM$3:$AM$67,Data_Tech!$E$3:$E$67,"1",Data_Tech!$G$3:$G$67,"4/12",Data_Tech!$F$3:$F$67,B594)</f>
        <v>0</v>
      </c>
      <c r="P590" s="406">
        <f>ROUND(M590*O590,2)</f>
        <v>0</v>
      </c>
      <c r="Q590" s="389">
        <f>база!$L$5</f>
        <v>231.45480000000001</v>
      </c>
      <c r="R590" s="390">
        <v>1</v>
      </c>
      <c r="S590" s="400">
        <f>SUMIFS(Таблица1[Столбец1],Таблица1[коэф],"1",Таблица1[р/р],"4/16",Таблица1[Ф. И. О.],B594)</f>
        <v>0</v>
      </c>
      <c r="T590" s="492">
        <f t="shared" si="208"/>
        <v>0</v>
      </c>
      <c r="U590" s="478">
        <f>база!$M$5</f>
        <v>247.41720000000001</v>
      </c>
      <c r="V590" s="390">
        <v>1</v>
      </c>
      <c r="W590" s="412">
        <f>SUMIFS(Таблица1[Столбец1],Таблица1[коэф],"1",Таблица1[р/р],"4/24",Таблица1[Ф. И. О.],B594)</f>
        <v>0</v>
      </c>
      <c r="X590" s="492">
        <f t="shared" si="209"/>
        <v>0</v>
      </c>
      <c r="Y590" s="795"/>
      <c r="Z590" s="797"/>
      <c r="AA590" s="786"/>
    </row>
    <row r="591" spans="1:29" ht="18.75">
      <c r="A591" s="786"/>
      <c r="B591" s="216"/>
      <c r="C591" s="789"/>
      <c r="D591" s="792"/>
      <c r="E591" s="389"/>
      <c r="F591" s="390"/>
      <c r="G591" s="400"/>
      <c r="H591" s="392">
        <f t="shared" si="206"/>
        <v>0</v>
      </c>
      <c r="I591" s="432"/>
      <c r="J591" s="433"/>
      <c r="K591" s="434"/>
      <c r="L591" s="484">
        <f t="shared" si="207"/>
        <v>0</v>
      </c>
      <c r="M591" s="434"/>
      <c r="N591" s="434"/>
      <c r="O591" s="434"/>
      <c r="P591" s="406"/>
      <c r="Q591" s="389">
        <f>база!$L$6</f>
        <v>261.04640000000001</v>
      </c>
      <c r="R591" s="390">
        <v>1</v>
      </c>
      <c r="S591" s="400">
        <f>SUMIFS(Таблица1[Столбец1],Таблица1[коэф],"1",Таблица1[р/р],"5/16",Таблица1[Ф. И. О.],B594)</f>
        <v>0</v>
      </c>
      <c r="T591" s="492">
        <f t="shared" si="208"/>
        <v>0</v>
      </c>
      <c r="U591" s="478">
        <f>база!$M$6</f>
        <v>279.0496</v>
      </c>
      <c r="V591" s="390">
        <v>1</v>
      </c>
      <c r="W591" s="412">
        <f>SUMIFS(Таблица1[Столбец1],Таблица1[коэф],"1",Таблица1[р/р],"5/24",Таблица1[Ф. И. О.],B594)</f>
        <v>0</v>
      </c>
      <c r="X591" s="492">
        <f t="shared" si="209"/>
        <v>0</v>
      </c>
      <c r="Y591" s="795"/>
      <c r="Z591" s="797"/>
      <c r="AA591" s="786"/>
    </row>
    <row r="592" spans="1:29" ht="18.75">
      <c r="A592" s="786"/>
      <c r="B592" s="216"/>
      <c r="C592" s="789"/>
      <c r="D592" s="792"/>
      <c r="E592" s="389"/>
      <c r="F592" s="390"/>
      <c r="G592" s="400"/>
      <c r="H592" s="392">
        <f t="shared" si="206"/>
        <v>0</v>
      </c>
      <c r="I592" s="432">
        <f>база!$J$5</f>
        <v>215.4924</v>
      </c>
      <c r="J592" s="433">
        <v>1.5</v>
      </c>
      <c r="K592" s="434">
        <f>SUMIFS(Таблица1[Столбец1],Таблица1[коэф],"1,5",Таблица1[р/р],"4/8",Таблица1[Ф. И. О.],B594)</f>
        <v>0</v>
      </c>
      <c r="L592" s="484">
        <f t="shared" si="207"/>
        <v>0</v>
      </c>
      <c r="M592" s="434"/>
      <c r="N592" s="434"/>
      <c r="O592" s="434"/>
      <c r="P592" s="406"/>
      <c r="Q592" s="389">
        <f>IF(D589&lt;=3,база!$L$4,
IF(D589=4,база!$L$5,
IF(D589=5,база!$L$6)))</f>
        <v>210.57480000000001</v>
      </c>
      <c r="R592" s="390">
        <v>1.2</v>
      </c>
      <c r="S592" s="400">
        <f>SUMIFS(Таблица1[Столбец1],Таблица1[коэф],"1,2",Таблица1[р/р],"3/16",Таблица1[Ф. И. О.],B594)</f>
        <v>0</v>
      </c>
      <c r="T592" s="492">
        <f t="shared" si="208"/>
        <v>0</v>
      </c>
      <c r="U592" s="478">
        <f>IF(D589&lt;=3,база!$M$4,
IF(D589=4,база!$M$5,
IF(D589=5,база!$M$6)))</f>
        <v>225.09719999999999</v>
      </c>
      <c r="V592" s="390">
        <v>1.2</v>
      </c>
      <c r="W592" s="412">
        <f>SUMIFS(Таблица1[Столбец1],Таблица1[коэф],"1,2",Таблица1[р/р],"3/24",Таблица1[Ф. И. О.],B594)</f>
        <v>0</v>
      </c>
      <c r="X592" s="492">
        <f t="shared" si="209"/>
        <v>0</v>
      </c>
      <c r="Y592" s="795"/>
      <c r="Z592" s="797"/>
      <c r="AA592" s="786"/>
    </row>
    <row r="593" spans="1:29" ht="18.75">
      <c r="A593" s="786"/>
      <c r="B593" s="216"/>
      <c r="C593" s="789"/>
      <c r="D593" s="792"/>
      <c r="E593" s="389"/>
      <c r="F593" s="390"/>
      <c r="G593" s="400"/>
      <c r="H593" s="392">
        <f t="shared" si="206"/>
        <v>0</v>
      </c>
      <c r="I593" s="432">
        <f>база!$J$6</f>
        <v>243.04319999999998</v>
      </c>
      <c r="J593" s="433">
        <v>1.5</v>
      </c>
      <c r="K593" s="434">
        <f>SUMIFS(Таблица1[Столбец1],Таблица1[коэф],"1,5",Таблица1[р/р],"5/8",Таблица1[Ф. И. О.],B594)</f>
        <v>0</v>
      </c>
      <c r="L593" s="484">
        <f t="shared" si="207"/>
        <v>0</v>
      </c>
      <c r="M593" s="434"/>
      <c r="N593" s="434"/>
      <c r="O593" s="434"/>
      <c r="P593" s="406"/>
      <c r="Q593" s="389">
        <f>база!$L$5</f>
        <v>231.45480000000001</v>
      </c>
      <c r="R593" s="390">
        <v>1.2</v>
      </c>
      <c r="S593" s="400">
        <f>SUMIFS(Таблица1[Столбец1],Таблица1[коэф],"1,2",Таблица1[р/р],"4/16",Таблица1[Ф. И. О.],B594)</f>
        <v>0</v>
      </c>
      <c r="T593" s="492">
        <f t="shared" si="208"/>
        <v>0</v>
      </c>
      <c r="U593" s="478">
        <f>база!$M$5</f>
        <v>247.41720000000001</v>
      </c>
      <c r="V593" s="390">
        <v>1.2</v>
      </c>
      <c r="W593" s="412">
        <f>SUMIFS(Таблица1[Столбец1],Таблица1[коэф],"1,2",Таблица1[р/р],"4/24",Таблица1[Ф. И. О.],B594)</f>
        <v>0</v>
      </c>
      <c r="X593" s="492">
        <f t="shared" si="209"/>
        <v>0</v>
      </c>
      <c r="Y593" s="795"/>
      <c r="Z593" s="797"/>
      <c r="AA593" s="786"/>
    </row>
    <row r="594" spans="1:29" ht="18.75">
      <c r="A594" s="786"/>
      <c r="B594" s="216" t="str">
        <f>база!B55</f>
        <v>Набойченко Седа Хамидовна</v>
      </c>
      <c r="C594" s="789"/>
      <c r="D594" s="792"/>
      <c r="E594" s="389"/>
      <c r="F594" s="390"/>
      <c r="G594" s="400"/>
      <c r="H594" s="392">
        <f t="shared" si="206"/>
        <v>0</v>
      </c>
      <c r="I594" s="432"/>
      <c r="J594" s="433"/>
      <c r="K594" s="434"/>
      <c r="L594" s="484">
        <f t="shared" si="207"/>
        <v>0</v>
      </c>
      <c r="M594" s="434"/>
      <c r="N594" s="434"/>
      <c r="O594" s="434"/>
      <c r="P594" s="406"/>
      <c r="Q594" s="389">
        <f>база!$L$6</f>
        <v>261.04640000000001</v>
      </c>
      <c r="R594" s="390">
        <v>1.2</v>
      </c>
      <c r="S594" s="400">
        <f>SUMIFS(Таблица1[Столбец1],Таблица1[коэф],"1,2",Таблица1[р/р],"5/16",Таблица1[Ф. И. О.],B594)</f>
        <v>0</v>
      </c>
      <c r="T594" s="492">
        <f t="shared" si="208"/>
        <v>0</v>
      </c>
      <c r="U594" s="478">
        <f>база!$M$6</f>
        <v>279.0496</v>
      </c>
      <c r="V594" s="390">
        <v>1.2</v>
      </c>
      <c r="W594" s="412">
        <f>SUMIFS(Таблица1[Столбец1],Таблица1[коэф],"1,2",Таблица1[р/р],"5/24",Таблица1[Ф. И. О.],B594)</f>
        <v>0</v>
      </c>
      <c r="X594" s="492">
        <f t="shared" si="209"/>
        <v>0</v>
      </c>
      <c r="Y594" s="795"/>
      <c r="Z594" s="797"/>
      <c r="AA594" s="786"/>
      <c r="AC594" s="727" t="str">
        <f>IF(SUMIFS(Таблица1[Столбец3],Таблица1[Ф. И. О.],B594)-Z589=0,"",SUMIFS(Таблица1[Столбец3],Таблица1[Ф. И. О.],B594)-Z589)</f>
        <v/>
      </c>
    </row>
    <row r="595" spans="1:29" ht="18.75">
      <c r="A595" s="786"/>
      <c r="B595" s="216"/>
      <c r="C595" s="789"/>
      <c r="D595" s="792"/>
      <c r="E595" s="389"/>
      <c r="F595" s="390"/>
      <c r="G595" s="400"/>
      <c r="H595" s="392">
        <f t="shared" si="206"/>
        <v>0</v>
      </c>
      <c r="I595" s="432"/>
      <c r="J595" s="433"/>
      <c r="K595" s="434"/>
      <c r="L595" s="484">
        <f t="shared" si="207"/>
        <v>0</v>
      </c>
      <c r="M595" s="434"/>
      <c r="N595" s="434"/>
      <c r="O595" s="434"/>
      <c r="P595" s="406"/>
      <c r="Q595" s="389">
        <f>IF($D$6&lt;=3,база!$L$4,
IF($D$6=4,база!$L$5,
IF($D$6=5,база!$L$6)))</f>
        <v>231.45480000000001</v>
      </c>
      <c r="R595" s="390">
        <v>1.3</v>
      </c>
      <c r="S595" s="400">
        <f>SUMIFS(Таблица1[Столбец1],Таблица1[коэф],"1,3",Таблица1[р/р],"3/16",Таблица1[Ф. И. О.],B594)</f>
        <v>0</v>
      </c>
      <c r="T595" s="492">
        <f t="shared" si="208"/>
        <v>0</v>
      </c>
      <c r="U595" s="478">
        <f>IF(D589&lt;=3,база!$M$4,
IF(D589=4,база!$M$5,
IF(D589=5,база!$M$6)))</f>
        <v>225.09719999999999</v>
      </c>
      <c r="V595" s="390">
        <v>1.3</v>
      </c>
      <c r="W595" s="412">
        <f>SUMIFS(Таблица1[Столбец1],Таблица1[коэф],"1,3",Таблица1[р/р],"3/24",Таблица1[Ф. И. О.],B594)</f>
        <v>0</v>
      </c>
      <c r="X595" s="492">
        <f t="shared" si="209"/>
        <v>0</v>
      </c>
      <c r="Y595" s="795"/>
      <c r="Z595" s="797"/>
      <c r="AA595" s="786"/>
      <c r="AC595" s="727" t="str">
        <f>IF(SUMIFS(Таблица1[Столбец1],Таблица1[Ф. И. О.],B594)=Y589,"",B594&amp;"  часы не верны")</f>
        <v/>
      </c>
    </row>
    <row r="596" spans="1:29" ht="18.75">
      <c r="A596" s="786"/>
      <c r="B596" s="216"/>
      <c r="C596" s="789"/>
      <c r="D596" s="792"/>
      <c r="E596" s="389"/>
      <c r="F596" s="390"/>
      <c r="G596" s="400"/>
      <c r="H596" s="392">
        <f t="shared" si="206"/>
        <v>0</v>
      </c>
      <c r="I596" s="432"/>
      <c r="J596" s="433"/>
      <c r="K596" s="434"/>
      <c r="L596" s="484">
        <f t="shared" si="207"/>
        <v>0</v>
      </c>
      <c r="M596" s="434"/>
      <c r="N596" s="434"/>
      <c r="O596" s="434"/>
      <c r="P596" s="406"/>
      <c r="Q596" s="389">
        <f>база!$L$5</f>
        <v>231.45480000000001</v>
      </c>
      <c r="R596" s="390">
        <v>1.3</v>
      </c>
      <c r="S596" s="400">
        <f>SUMIFS(Таблица1[Столбец1],Таблица1[коэф],"1,3",Таблица1[р/р],"4/16",Таблица1[Ф. И. О.],B594)</f>
        <v>0</v>
      </c>
      <c r="T596" s="492">
        <f t="shared" si="208"/>
        <v>0</v>
      </c>
      <c r="U596" s="478">
        <f>база!$M$5</f>
        <v>247.41720000000001</v>
      </c>
      <c r="V596" s="390">
        <v>1.3</v>
      </c>
      <c r="W596" s="412">
        <f>SUMIFS(Таблица1[Столбец1],Таблица1[коэф],"1,3",Таблица1[р/р],"4/24",Таблица1[Ф. И. О.],B594)</f>
        <v>0</v>
      </c>
      <c r="X596" s="492">
        <f t="shared" si="209"/>
        <v>0</v>
      </c>
      <c r="Y596" s="795"/>
      <c r="Z596" s="797"/>
      <c r="AA596" s="786"/>
    </row>
    <row r="597" spans="1:29" ht="18.75">
      <c r="A597" s="786"/>
      <c r="B597" s="216"/>
      <c r="C597" s="789"/>
      <c r="D597" s="792"/>
      <c r="E597" s="389"/>
      <c r="F597" s="390"/>
      <c r="G597" s="400"/>
      <c r="H597" s="392">
        <f t="shared" si="206"/>
        <v>0</v>
      </c>
      <c r="I597" s="432"/>
      <c r="J597" s="433"/>
      <c r="K597" s="434"/>
      <c r="L597" s="484">
        <f t="shared" si="207"/>
        <v>0</v>
      </c>
      <c r="M597" s="434"/>
      <c r="N597" s="434"/>
      <c r="O597" s="434"/>
      <c r="P597" s="406"/>
      <c r="Q597" s="389">
        <f>IF(D589&lt;=3,база!$L$4,
IF(D589=4,база!$L$5,
IF(D589=5,база!$L$6)))</f>
        <v>210.57480000000001</v>
      </c>
      <c r="R597" s="390">
        <v>1.4</v>
      </c>
      <c r="S597" s="400">
        <f>SUMIFS(Таблица1[Столбец1],Таблица1[коэф],"1,4",Таблица1[р/р],"3/16",Таблица1[Ф. И. О.],B594)</f>
        <v>0</v>
      </c>
      <c r="T597" s="492">
        <f t="shared" si="208"/>
        <v>0</v>
      </c>
      <c r="U597" s="478">
        <f>IF(D589&lt;=3,база!$M$4,
IF(D589=4,база!$M$5,
IF(D589=5,база!$M$6)))</f>
        <v>225.09719999999999</v>
      </c>
      <c r="V597" s="390">
        <v>1.4</v>
      </c>
      <c r="W597" s="412">
        <f>SUMIFS(Таблица1[Столбец1],Таблица1[коэф],"1,4",Таблица1[р/р],"3/24",Таблица1[Ф. И. О.],B594)</f>
        <v>0</v>
      </c>
      <c r="X597" s="492">
        <f t="shared" si="209"/>
        <v>0</v>
      </c>
      <c r="Y597" s="795"/>
      <c r="Z597" s="797"/>
      <c r="AA597" s="786"/>
    </row>
    <row r="598" spans="1:29" ht="18.75">
      <c r="A598" s="786"/>
      <c r="B598" s="216"/>
      <c r="C598" s="789"/>
      <c r="D598" s="792"/>
      <c r="E598" s="389"/>
      <c r="F598" s="390"/>
      <c r="G598" s="400"/>
      <c r="H598" s="392">
        <f t="shared" si="206"/>
        <v>0</v>
      </c>
      <c r="I598" s="432"/>
      <c r="J598" s="433"/>
      <c r="K598" s="434"/>
      <c r="L598" s="484">
        <f t="shared" si="207"/>
        <v>0</v>
      </c>
      <c r="M598" s="434"/>
      <c r="N598" s="434"/>
      <c r="O598" s="434"/>
      <c r="P598" s="406"/>
      <c r="Q598" s="389">
        <f>база!$L$5</f>
        <v>231.45480000000001</v>
      </c>
      <c r="R598" s="390">
        <v>1.4</v>
      </c>
      <c r="S598" s="400">
        <f>SUMIFS(Таблица1[Столбец1],Таблица1[коэф],"1,4",Таблица1[р/р],"4/16",Таблица1[Ф. И. О.],B594)</f>
        <v>0</v>
      </c>
      <c r="T598" s="492">
        <f t="shared" si="208"/>
        <v>0</v>
      </c>
      <c r="U598" s="478">
        <f>база!$M$5</f>
        <v>247.41720000000001</v>
      </c>
      <c r="V598" s="390">
        <v>1.4</v>
      </c>
      <c r="W598" s="412">
        <f>SUMIFS(Таблица1[Столбец1],Таблица1[коэф],"1,4",Таблица1[р/р],"4/24",Таблица1[Ф. И. О.],B594)</f>
        <v>0</v>
      </c>
      <c r="X598" s="492">
        <f t="shared" si="209"/>
        <v>0</v>
      </c>
      <c r="Y598" s="795"/>
      <c r="Z598" s="797"/>
      <c r="AA598" s="786"/>
    </row>
    <row r="599" spans="1:29" ht="19.5" thickBot="1">
      <c r="A599" s="787"/>
      <c r="B599" s="203"/>
      <c r="C599" s="790"/>
      <c r="D599" s="793"/>
      <c r="E599" s="473"/>
      <c r="F599" s="464"/>
      <c r="G599" s="465"/>
      <c r="H599" s="440">
        <f t="shared" si="206"/>
        <v>0</v>
      </c>
      <c r="I599" s="466"/>
      <c r="J599" s="456"/>
      <c r="K599" s="457"/>
      <c r="L599" s="484">
        <f t="shared" si="207"/>
        <v>0</v>
      </c>
      <c r="M599" s="457"/>
      <c r="N599" s="457"/>
      <c r="O599" s="457"/>
      <c r="P599" s="476"/>
      <c r="Q599" s="473">
        <f>база!$L$6</f>
        <v>261.04640000000001</v>
      </c>
      <c r="R599" s="464">
        <v>1.4</v>
      </c>
      <c r="S599" s="465">
        <f>SUMIFS(Таблица1[Столбец1],Таблица1[коэф],"1,4",Таблица1[р/р],"5/16",Таблица1[Ф. И. О.],B594)</f>
        <v>0</v>
      </c>
      <c r="T599" s="492">
        <f t="shared" si="208"/>
        <v>0</v>
      </c>
      <c r="U599" s="480">
        <f>база!$M$6</f>
        <v>279.0496</v>
      </c>
      <c r="V599" s="464">
        <v>1.4</v>
      </c>
      <c r="W599" s="470">
        <f>SUMIFS(Таблица1[Столбец1],Таблица1[коэф],"1,4",Таблица1[р/р],"5/24",Таблица1[Ф. И. О.],B594)</f>
        <v>0</v>
      </c>
      <c r="X599" s="492">
        <f t="shared" si="209"/>
        <v>0</v>
      </c>
      <c r="Y599" s="796"/>
      <c r="Z599" s="798"/>
      <c r="AA599" s="787"/>
    </row>
    <row r="600" spans="1:29" ht="18.75">
      <c r="A600" s="785">
        <v>55</v>
      </c>
      <c r="B600" s="236"/>
      <c r="C600" s="788">
        <f>INDEX(база!$E$2:$E$81, MATCH(B605,база!$B$2:$B$60,0))</f>
        <v>16303</v>
      </c>
      <c r="D600" s="791">
        <f>INDEX(база!$D$2:$D$89, MATCH(B605,база!$B$2:$B$60,0))</f>
        <v>3</v>
      </c>
      <c r="E600" s="377">
        <f>IF(D600&lt;=3,база!$I$4,
IF(D600=4,база!$I$5,
IF(D600=5,база!$I$6)))</f>
        <v>188.7912</v>
      </c>
      <c r="F600" s="378">
        <v>1</v>
      </c>
      <c r="G600" s="387">
        <f>SUMIFS(Таблица1[Столбец1],Таблица1[коэф],"1",Таблица1[р/р],"2/4",Таблица1[Ф. И. О.],B605)</f>
        <v>0</v>
      </c>
      <c r="H600" s="380">
        <f t="shared" ref="H600:H610" si="212">ROUND(E600*F600*G600*2,2)</f>
        <v>0</v>
      </c>
      <c r="I600" s="426">
        <f>IF(D600&lt;=3,база!$J$4,
IF(D600=4,база!$J$5,
IF(D600=5,база!$J$6)))</f>
        <v>196.05240000000001</v>
      </c>
      <c r="J600" s="427">
        <v>1</v>
      </c>
      <c r="K600" s="428">
        <f>SUMIFS(Таблица1[Столбец1],Таблица1[коэф],"1",Таблица1[р/р],"2/8",Таблица1[Ф. И. О.],B605)</f>
        <v>0</v>
      </c>
      <c r="L600" s="383">
        <f t="shared" ref="L600:L610" si="213">ROUND(I600*J600*K600*2,2)</f>
        <v>0</v>
      </c>
      <c r="M600" s="428"/>
      <c r="N600" s="428">
        <v>1</v>
      </c>
      <c r="O600" s="428">
        <f>SUMIFS(Data_Tech!$AM$3:$AM$67,Data_Tech!$E$3:$E$67,"1",Data_Tech!$G$3:$G$67,"3/12",Data_Tech!$F$3:$F$67,B605)</f>
        <v>0</v>
      </c>
      <c r="P600" s="385">
        <f>ROUND(M600*N600*O600,2)</f>
        <v>0</v>
      </c>
      <c r="Q600" s="377">
        <f>IF(D600&lt;=3,база!$L$4,
IF(D600=4,база!$L$5,
IF(D600=5,база!$L$6)))</f>
        <v>210.57480000000001</v>
      </c>
      <c r="R600" s="378">
        <v>1</v>
      </c>
      <c r="S600" s="387">
        <f>SUMIFS(Таблица1[Столбец1],Таблица1[коэф],"1",Таблица1[р/р],"3/16",Таблица1[Ф. И. О.],B605)</f>
        <v>0</v>
      </c>
      <c r="T600" s="490">
        <f t="shared" ref="T600:T610" si="214">ROUND(Q600*R600*S600*2,2)</f>
        <v>0</v>
      </c>
      <c r="U600" s="477">
        <f>IF(D600&lt;=3,база!$M$4,
IF(D600=4,база!$M$5,
IF(D600=5,база!$M$6)))</f>
        <v>225.09719999999999</v>
      </c>
      <c r="V600" s="378">
        <v>1</v>
      </c>
      <c r="W600" s="430">
        <f>SUMIFS(Таблица1[Столбец1],Таблица1[коэф],"1",Таблица1[р/р],"3/24",Таблица1[Ф. И. О.],B605)</f>
        <v>0</v>
      </c>
      <c r="X600" s="490">
        <f t="shared" ref="X600:X610" si="215">ROUND(U600*V600*W600*2,2)</f>
        <v>0</v>
      </c>
      <c r="Y600" s="795">
        <f t="shared" ref="Y600" si="216">SUM(G600:G610,K600:K610,O600:O610,S600:S610,W600:W610)</f>
        <v>0</v>
      </c>
      <c r="Z600" s="797">
        <f t="shared" ref="Z600" si="217">IFERROR(SUM(H600:H610,L600:L610,T600:T610,X600:X610),"")</f>
        <v>0</v>
      </c>
      <c r="AA600" s="786"/>
    </row>
    <row r="601" spans="1:29" ht="18.75">
      <c r="A601" s="786"/>
      <c r="B601" s="216"/>
      <c r="C601" s="789"/>
      <c r="D601" s="792"/>
      <c r="E601" s="389">
        <f>IF(D600&lt;=3,база!$I$4,
IF(D600=4,база!$I$5,
IF(D600=5,база!$I$6)))</f>
        <v>188.7912</v>
      </c>
      <c r="F601" s="390">
        <v>1</v>
      </c>
      <c r="G601" s="400">
        <f>SUMIFS(Таблица1[Столбец1],Таблица1[коэф],"1",Таблица1[р/р],"3/4",Таблица1[Ф. И. О.],B605)</f>
        <v>0</v>
      </c>
      <c r="H601" s="392">
        <f t="shared" si="212"/>
        <v>0</v>
      </c>
      <c r="I601" s="432">
        <f>IF(D600&lt;=3,база!$J$4,
IF(D600=4,база!$J$5,
IF(D600=5,база!$J$6)))</f>
        <v>196.05240000000001</v>
      </c>
      <c r="J601" s="433">
        <v>1</v>
      </c>
      <c r="K601" s="434">
        <f>SUMIFS(Таблица1[Столбец1],Таблица1[коэф],"1",Таблица1[р/р],"3/8",Таблица1[Ф. И. О.],B605)</f>
        <v>0</v>
      </c>
      <c r="L601" s="484">
        <f t="shared" si="213"/>
        <v>0</v>
      </c>
      <c r="M601" s="434"/>
      <c r="N601" s="434">
        <v>1</v>
      </c>
      <c r="O601" s="434">
        <f>SUMIFS(Data_Tech!$AM$3:$AM$67,Data_Tech!$E$3:$E$67,"1",Data_Tech!$G$3:$G$67,"4/12",Data_Tech!$F$3:$F$67,B605)</f>
        <v>0</v>
      </c>
      <c r="P601" s="406">
        <f>ROUND(M601*O601,2)</f>
        <v>0</v>
      </c>
      <c r="Q601" s="389">
        <f>база!$L$5</f>
        <v>231.45480000000001</v>
      </c>
      <c r="R601" s="390">
        <v>1</v>
      </c>
      <c r="S601" s="400">
        <f>SUMIFS(Таблица1[Столбец1],Таблица1[коэф],"1",Таблица1[р/р],"4/16",Таблица1[Ф. И. О.],B605)</f>
        <v>0</v>
      </c>
      <c r="T601" s="492">
        <f t="shared" si="214"/>
        <v>0</v>
      </c>
      <c r="U601" s="478">
        <f>база!$M$5</f>
        <v>247.41720000000001</v>
      </c>
      <c r="V601" s="390">
        <v>1</v>
      </c>
      <c r="W601" s="412">
        <f>SUMIFS(Таблица1[Столбец1],Таблица1[коэф],"1",Таблица1[р/р],"4/24",Таблица1[Ф. И. О.],B605)</f>
        <v>0</v>
      </c>
      <c r="X601" s="492">
        <f t="shared" si="215"/>
        <v>0</v>
      </c>
      <c r="Y601" s="795"/>
      <c r="Z601" s="797"/>
      <c r="AA601" s="786"/>
    </row>
    <row r="602" spans="1:29" ht="18.75">
      <c r="A602" s="786"/>
      <c r="B602" s="216"/>
      <c r="C602" s="789"/>
      <c r="D602" s="792"/>
      <c r="E602" s="389"/>
      <c r="F602" s="390"/>
      <c r="G602" s="400"/>
      <c r="H602" s="392">
        <f t="shared" si="212"/>
        <v>0</v>
      </c>
      <c r="I602" s="432"/>
      <c r="J602" s="433"/>
      <c r="K602" s="434"/>
      <c r="L602" s="484">
        <f t="shared" si="213"/>
        <v>0</v>
      </c>
      <c r="M602" s="434"/>
      <c r="N602" s="434"/>
      <c r="O602" s="434"/>
      <c r="P602" s="406"/>
      <c r="Q602" s="389">
        <f>база!$L$6</f>
        <v>261.04640000000001</v>
      </c>
      <c r="R602" s="390">
        <v>1</v>
      </c>
      <c r="S602" s="400">
        <f>SUMIFS(Таблица1[Столбец1],Таблица1[коэф],"1",Таблица1[р/р],"5/16",Таблица1[Ф. И. О.],B605)</f>
        <v>0</v>
      </c>
      <c r="T602" s="492">
        <f t="shared" si="214"/>
        <v>0</v>
      </c>
      <c r="U602" s="478">
        <f>база!$M$6</f>
        <v>279.0496</v>
      </c>
      <c r="V602" s="390">
        <v>1</v>
      </c>
      <c r="W602" s="412">
        <f>SUMIFS(Таблица1[Столбец1],Таблица1[коэф],"1",Таблица1[р/р],"5/24",Таблица1[Ф. И. О.],B605)</f>
        <v>0</v>
      </c>
      <c r="X602" s="492">
        <f t="shared" si="215"/>
        <v>0</v>
      </c>
      <c r="Y602" s="795"/>
      <c r="Z602" s="797"/>
      <c r="AA602" s="786"/>
    </row>
    <row r="603" spans="1:29" ht="18.75">
      <c r="A603" s="786"/>
      <c r="B603" s="216"/>
      <c r="C603" s="789"/>
      <c r="D603" s="792"/>
      <c r="E603" s="389"/>
      <c r="F603" s="390"/>
      <c r="G603" s="400"/>
      <c r="H603" s="392">
        <f t="shared" si="212"/>
        <v>0</v>
      </c>
      <c r="I603" s="432">
        <f>база!$J$5</f>
        <v>215.4924</v>
      </c>
      <c r="J603" s="433">
        <v>1.5</v>
      </c>
      <c r="K603" s="434">
        <f>SUMIFS(Таблица1[Столбец1],Таблица1[коэф],"1,5",Таблица1[р/р],"4/8",Таблица1[Ф. И. О.],B605)</f>
        <v>0</v>
      </c>
      <c r="L603" s="484">
        <f t="shared" si="213"/>
        <v>0</v>
      </c>
      <c r="M603" s="434"/>
      <c r="N603" s="434"/>
      <c r="O603" s="434"/>
      <c r="P603" s="406"/>
      <c r="Q603" s="389">
        <f>IF(D600&lt;=3,база!$L$4,
IF(D600=4,база!$L$5,
IF(D600=5,база!$L$6)))</f>
        <v>210.57480000000001</v>
      </c>
      <c r="R603" s="390">
        <v>1.2</v>
      </c>
      <c r="S603" s="400">
        <f>SUMIFS(Таблица1[Столбец1],Таблица1[коэф],"1,2",Таблица1[р/р],"3/16",Таблица1[Ф. И. О.],B605)</f>
        <v>0</v>
      </c>
      <c r="T603" s="492">
        <f t="shared" si="214"/>
        <v>0</v>
      </c>
      <c r="U603" s="478">
        <f>IF(D600&lt;=3,база!$M$4,
IF(D600=4,база!$M$5,
IF(D600=5,база!$M$6)))</f>
        <v>225.09719999999999</v>
      </c>
      <c r="V603" s="390">
        <v>1.2</v>
      </c>
      <c r="W603" s="412">
        <f>SUMIFS(Таблица1[Столбец1],Таблица1[коэф],"1,2",Таблица1[р/р],"3/24",Таблица1[Ф. И. О.],B605)</f>
        <v>0</v>
      </c>
      <c r="X603" s="492">
        <f t="shared" si="215"/>
        <v>0</v>
      </c>
      <c r="Y603" s="795"/>
      <c r="Z603" s="797"/>
      <c r="AA603" s="786"/>
    </row>
    <row r="604" spans="1:29" ht="18.75">
      <c r="A604" s="786"/>
      <c r="B604" s="216"/>
      <c r="C604" s="789"/>
      <c r="D604" s="792"/>
      <c r="E604" s="389"/>
      <c r="F604" s="390"/>
      <c r="G604" s="400"/>
      <c r="H604" s="392">
        <f t="shared" si="212"/>
        <v>0</v>
      </c>
      <c r="I604" s="432">
        <f>база!$J$6</f>
        <v>243.04319999999998</v>
      </c>
      <c r="J604" s="433">
        <v>1.5</v>
      </c>
      <c r="K604" s="434">
        <f>SUMIFS(Таблица1[Столбец1],Таблица1[коэф],"1,5",Таблица1[р/р],"5/8",Таблица1[Ф. И. О.],B605)</f>
        <v>0</v>
      </c>
      <c r="L604" s="484">
        <f t="shared" si="213"/>
        <v>0</v>
      </c>
      <c r="M604" s="434"/>
      <c r="N604" s="434"/>
      <c r="O604" s="434"/>
      <c r="P604" s="406"/>
      <c r="Q604" s="389">
        <f>база!$L$5</f>
        <v>231.45480000000001</v>
      </c>
      <c r="R604" s="390">
        <v>1.2</v>
      </c>
      <c r="S604" s="400">
        <f>SUMIFS(Таблица1[Столбец1],Таблица1[коэф],"1,2",Таблица1[р/р],"4/16",Таблица1[Ф. И. О.],B605)</f>
        <v>0</v>
      </c>
      <c r="T604" s="492">
        <f t="shared" si="214"/>
        <v>0</v>
      </c>
      <c r="U604" s="478">
        <f>база!$M$5</f>
        <v>247.41720000000001</v>
      </c>
      <c r="V604" s="390">
        <v>1.2</v>
      </c>
      <c r="W604" s="412">
        <f>SUMIFS(Таблица1[Столбец1],Таблица1[коэф],"1,2",Таблица1[р/р],"4/24",Таблица1[Ф. И. О.],B605)</f>
        <v>0</v>
      </c>
      <c r="X604" s="492">
        <f t="shared" si="215"/>
        <v>0</v>
      </c>
      <c r="Y604" s="795"/>
      <c r="Z604" s="797"/>
      <c r="AA604" s="786"/>
    </row>
    <row r="605" spans="1:29" ht="18.75">
      <c r="A605" s="786"/>
      <c r="B605" s="216" t="str">
        <f>база!B56</f>
        <v>Нагловская Наталья Анатольевна</v>
      </c>
      <c r="C605" s="789"/>
      <c r="D605" s="792"/>
      <c r="E605" s="389"/>
      <c r="F605" s="390"/>
      <c r="G605" s="400"/>
      <c r="H605" s="392">
        <f t="shared" si="212"/>
        <v>0</v>
      </c>
      <c r="I605" s="432"/>
      <c r="J605" s="433"/>
      <c r="K605" s="434"/>
      <c r="L605" s="484">
        <f t="shared" si="213"/>
        <v>0</v>
      </c>
      <c r="M605" s="434"/>
      <c r="N605" s="434"/>
      <c r="O605" s="434"/>
      <c r="P605" s="406"/>
      <c r="Q605" s="389">
        <f>база!$L$6</f>
        <v>261.04640000000001</v>
      </c>
      <c r="R605" s="390">
        <v>1.2</v>
      </c>
      <c r="S605" s="400">
        <f>SUMIFS(Таблица1[Столбец1],Таблица1[коэф],"1,2",Таблица1[р/р],"5/16",Таблица1[Ф. И. О.],B605)</f>
        <v>0</v>
      </c>
      <c r="T605" s="492">
        <f t="shared" si="214"/>
        <v>0</v>
      </c>
      <c r="U605" s="478">
        <f>база!$M$6</f>
        <v>279.0496</v>
      </c>
      <c r="V605" s="390">
        <v>1.2</v>
      </c>
      <c r="W605" s="412">
        <f>SUMIFS(Таблица1[Столбец1],Таблица1[коэф],"1,2",Таблица1[р/р],"5/24",Таблица1[Ф. И. О.],B605)</f>
        <v>0</v>
      </c>
      <c r="X605" s="492">
        <f t="shared" si="215"/>
        <v>0</v>
      </c>
      <c r="Y605" s="795"/>
      <c r="Z605" s="797"/>
      <c r="AA605" s="786"/>
      <c r="AC605" s="727" t="str">
        <f>IF(SUMIFS(Таблица1[Столбец3],Таблица1[Ф. И. О.],B605)-Z600=0,"",SUMIFS(Таблица1[Столбец3],Таблица1[Ф. И. О.],B605)-Z600)</f>
        <v/>
      </c>
    </row>
    <row r="606" spans="1:29" ht="18.75">
      <c r="A606" s="786"/>
      <c r="B606" s="216"/>
      <c r="C606" s="789"/>
      <c r="D606" s="792"/>
      <c r="E606" s="389"/>
      <c r="F606" s="390"/>
      <c r="G606" s="400"/>
      <c r="H606" s="392">
        <f t="shared" si="212"/>
        <v>0</v>
      </c>
      <c r="I606" s="432"/>
      <c r="J606" s="433"/>
      <c r="K606" s="434"/>
      <c r="L606" s="484">
        <f t="shared" si="213"/>
        <v>0</v>
      </c>
      <c r="M606" s="434"/>
      <c r="N606" s="434"/>
      <c r="O606" s="434"/>
      <c r="P606" s="406"/>
      <c r="Q606" s="389">
        <f>IF($D$6&lt;=3,база!$L$4,
IF($D$6=4,база!$L$5,
IF($D$6=5,база!$L$6)))</f>
        <v>231.45480000000001</v>
      </c>
      <c r="R606" s="390">
        <v>1.3</v>
      </c>
      <c r="S606" s="400">
        <f>SUMIFS(Таблица1[Столбец1],Таблица1[коэф],"1,3",Таблица1[р/р],"3/16",Таблица1[Ф. И. О.],B605)</f>
        <v>0</v>
      </c>
      <c r="T606" s="492">
        <f t="shared" si="214"/>
        <v>0</v>
      </c>
      <c r="U606" s="478">
        <f>IF(D600&lt;=3,база!$M$4,
IF(D600=4,база!$M$5,
IF(D600=5,база!$M$6)))</f>
        <v>225.09719999999999</v>
      </c>
      <c r="V606" s="390">
        <v>1.3</v>
      </c>
      <c r="W606" s="412">
        <f>SUMIFS(Таблица1[Столбец1],Таблица1[коэф],"1,3",Таблица1[р/р],"3/24",Таблица1[Ф. И. О.],B605)</f>
        <v>0</v>
      </c>
      <c r="X606" s="492">
        <f t="shared" si="215"/>
        <v>0</v>
      </c>
      <c r="Y606" s="795"/>
      <c r="Z606" s="797"/>
      <c r="AA606" s="786"/>
      <c r="AC606" s="727" t="str">
        <f>IF(SUMIFS(Таблица1[Столбец1],Таблица1[Ф. И. О.],B605)=Y600,"",B605&amp;"  часы не верны")</f>
        <v/>
      </c>
    </row>
    <row r="607" spans="1:29" ht="18.75">
      <c r="A607" s="786"/>
      <c r="B607" s="216"/>
      <c r="C607" s="789"/>
      <c r="D607" s="792"/>
      <c r="E607" s="389"/>
      <c r="F607" s="390"/>
      <c r="G607" s="400"/>
      <c r="H607" s="392">
        <f t="shared" si="212"/>
        <v>0</v>
      </c>
      <c r="I607" s="432"/>
      <c r="J607" s="433"/>
      <c r="K607" s="434"/>
      <c r="L607" s="484">
        <f t="shared" si="213"/>
        <v>0</v>
      </c>
      <c r="M607" s="434"/>
      <c r="N607" s="434"/>
      <c r="O607" s="434"/>
      <c r="P607" s="406"/>
      <c r="Q607" s="389">
        <f>база!$L$5</f>
        <v>231.45480000000001</v>
      </c>
      <c r="R607" s="390">
        <v>1.3</v>
      </c>
      <c r="S607" s="400">
        <f>SUMIFS(Таблица1[Столбец1],Таблица1[коэф],"1,3",Таблица1[р/р],"4/16",Таблица1[Ф. И. О.],B605)</f>
        <v>0</v>
      </c>
      <c r="T607" s="492">
        <f t="shared" si="214"/>
        <v>0</v>
      </c>
      <c r="U607" s="478">
        <f>база!$M$5</f>
        <v>247.41720000000001</v>
      </c>
      <c r="V607" s="390">
        <v>1.3</v>
      </c>
      <c r="W607" s="412">
        <f>SUMIFS(Таблица1[Столбец1],Таблица1[коэф],"1,3",Таблица1[р/р],"4/24",Таблица1[Ф. И. О.],B605)</f>
        <v>0</v>
      </c>
      <c r="X607" s="492">
        <f t="shared" si="215"/>
        <v>0</v>
      </c>
      <c r="Y607" s="795"/>
      <c r="Z607" s="797"/>
      <c r="AA607" s="786"/>
    </row>
    <row r="608" spans="1:29" ht="18.75">
      <c r="A608" s="786"/>
      <c r="B608" s="216"/>
      <c r="C608" s="789"/>
      <c r="D608" s="792"/>
      <c r="E608" s="389"/>
      <c r="F608" s="390"/>
      <c r="G608" s="400"/>
      <c r="H608" s="392">
        <f t="shared" si="212"/>
        <v>0</v>
      </c>
      <c r="I608" s="432"/>
      <c r="J608" s="433"/>
      <c r="K608" s="434"/>
      <c r="L608" s="484">
        <f t="shared" si="213"/>
        <v>0</v>
      </c>
      <c r="M608" s="434"/>
      <c r="N608" s="434"/>
      <c r="O608" s="434"/>
      <c r="P608" s="406"/>
      <c r="Q608" s="389">
        <f>IF(D600&lt;=3,база!$L$4,
IF(D600=4,база!$L$5,
IF(D600=5,база!$L$6)))</f>
        <v>210.57480000000001</v>
      </c>
      <c r="R608" s="390">
        <v>1.4</v>
      </c>
      <c r="S608" s="400">
        <f>SUMIFS(Таблица1[Столбец1],Таблица1[коэф],"1,4",Таблица1[р/р],"3/16",Таблица1[Ф. И. О.],B605)</f>
        <v>0</v>
      </c>
      <c r="T608" s="492">
        <f t="shared" si="214"/>
        <v>0</v>
      </c>
      <c r="U608" s="478">
        <f>IF(D600&lt;=3,база!$M$4,
IF(D600=4,база!$M$5,
IF(D600=5,база!$M$6)))</f>
        <v>225.09719999999999</v>
      </c>
      <c r="V608" s="390">
        <v>1.4</v>
      </c>
      <c r="W608" s="412">
        <f>SUMIFS(Таблица1[Столбец1],Таблица1[коэф],"1,4",Таблица1[р/р],"3/24",Таблица1[Ф. И. О.],B605)</f>
        <v>0</v>
      </c>
      <c r="X608" s="492">
        <f t="shared" si="215"/>
        <v>0</v>
      </c>
      <c r="Y608" s="795"/>
      <c r="Z608" s="797"/>
      <c r="AA608" s="786"/>
    </row>
    <row r="609" spans="1:29" ht="18.75">
      <c r="A609" s="786"/>
      <c r="B609" s="216"/>
      <c r="C609" s="789"/>
      <c r="D609" s="792"/>
      <c r="E609" s="389"/>
      <c r="F609" s="390"/>
      <c r="G609" s="400"/>
      <c r="H609" s="392">
        <f t="shared" si="212"/>
        <v>0</v>
      </c>
      <c r="I609" s="432"/>
      <c r="J609" s="433"/>
      <c r="K609" s="434"/>
      <c r="L609" s="484">
        <f t="shared" si="213"/>
        <v>0</v>
      </c>
      <c r="M609" s="434"/>
      <c r="N609" s="434"/>
      <c r="O609" s="434"/>
      <c r="P609" s="406"/>
      <c r="Q609" s="389">
        <f>база!$L$5</f>
        <v>231.45480000000001</v>
      </c>
      <c r="R609" s="390">
        <v>1.4</v>
      </c>
      <c r="S609" s="400">
        <f>SUMIFS(Таблица1[Столбец1],Таблица1[коэф],"1,4",Таблица1[р/р],"4/16",Таблица1[Ф. И. О.],B605)</f>
        <v>0</v>
      </c>
      <c r="T609" s="492">
        <f t="shared" si="214"/>
        <v>0</v>
      </c>
      <c r="U609" s="478">
        <f>база!$M$5</f>
        <v>247.41720000000001</v>
      </c>
      <c r="V609" s="390">
        <v>1.4</v>
      </c>
      <c r="W609" s="412">
        <f>SUMIFS(Таблица1[Столбец1],Таблица1[коэф],"1,4",Таблица1[р/р],"4/24",Таблица1[Ф. И. О.],B605)</f>
        <v>0</v>
      </c>
      <c r="X609" s="492">
        <f t="shared" si="215"/>
        <v>0</v>
      </c>
      <c r="Y609" s="795"/>
      <c r="Z609" s="797"/>
      <c r="AA609" s="786"/>
    </row>
    <row r="610" spans="1:29" ht="19.5" thickBot="1">
      <c r="A610" s="787"/>
      <c r="B610" s="203"/>
      <c r="C610" s="790"/>
      <c r="D610" s="793"/>
      <c r="E610" s="473"/>
      <c r="F610" s="464"/>
      <c r="G610" s="465"/>
      <c r="H610" s="402">
        <f t="shared" si="212"/>
        <v>0</v>
      </c>
      <c r="I610" s="466"/>
      <c r="J610" s="456"/>
      <c r="K610" s="457"/>
      <c r="L610" s="484">
        <f t="shared" si="213"/>
        <v>0</v>
      </c>
      <c r="M610" s="457"/>
      <c r="N610" s="457"/>
      <c r="O610" s="457"/>
      <c r="P610" s="476"/>
      <c r="Q610" s="473">
        <f>база!$L$6</f>
        <v>261.04640000000001</v>
      </c>
      <c r="R610" s="464">
        <v>1.4</v>
      </c>
      <c r="S610" s="465">
        <f>SUMIFS(Таблица1[Столбец1],Таблица1[коэф],"1,4",Таблица1[р/р],"5/16",Таблица1[Ф. И. О.],B605)</f>
        <v>0</v>
      </c>
      <c r="T610" s="492">
        <f t="shared" si="214"/>
        <v>0</v>
      </c>
      <c r="U610" s="480">
        <f>база!$M$6</f>
        <v>279.0496</v>
      </c>
      <c r="V610" s="464">
        <v>1.4</v>
      </c>
      <c r="W610" s="470">
        <f>SUMIFS(Таблица1[Столбец1],Таблица1[коэф],"1,4",Таблица1[р/р],"5/24",Таблица1[Ф. И. О.],B605)</f>
        <v>0</v>
      </c>
      <c r="X610" s="492">
        <f t="shared" si="215"/>
        <v>0</v>
      </c>
      <c r="Y610" s="796"/>
      <c r="Z610" s="798"/>
      <c r="AA610" s="787"/>
    </row>
    <row r="611" spans="1:29" ht="18.75">
      <c r="A611" s="785">
        <v>56</v>
      </c>
      <c r="B611" s="236"/>
      <c r="C611" s="788">
        <f>INDEX(база!$E$2:$E$81, MATCH(B616,база!$B$2:$B$60,0))</f>
        <v>17164</v>
      </c>
      <c r="D611" s="791">
        <f>INDEX(база!$D$2:$D$89, MATCH(B616,база!$B$2:$B$60,0))</f>
        <v>3</v>
      </c>
      <c r="E611" s="377">
        <f>IF(D611&lt;=3,база!$I$4,
IF(D611=4,база!$I$5,
IF(D611=5,база!$I$6)))</f>
        <v>188.7912</v>
      </c>
      <c r="F611" s="378">
        <v>1</v>
      </c>
      <c r="G611" s="387">
        <f>SUMIFS(Таблица1[Столбец1],Таблица1[коэф],"1",Таблица1[р/р],"2/4",Таблица1[Ф. И. О.],B616)</f>
        <v>0</v>
      </c>
      <c r="H611" s="402">
        <f t="shared" ref="H611:H621" si="218">ROUND(E611*F611*G611*2,2)</f>
        <v>0</v>
      </c>
      <c r="I611" s="426">
        <f>IF(D611&lt;=3,база!$J$4,
IF(D611=4,база!$J$5,
IF(D611=5,база!$J$6)))</f>
        <v>196.05240000000001</v>
      </c>
      <c r="J611" s="427">
        <v>1</v>
      </c>
      <c r="K611" s="428">
        <f>SUMIFS(Таблица1[Столбец1],Таблица1[коэф],"1",Таблица1[р/р],"2/8",Таблица1[Ф. И. О.],B616)</f>
        <v>0</v>
      </c>
      <c r="L611" s="383">
        <f t="shared" ref="L611:L621" si="219">ROUND(I611*J611*K611*2,2)</f>
        <v>0</v>
      </c>
      <c r="M611" s="428"/>
      <c r="N611" s="428">
        <v>1</v>
      </c>
      <c r="O611" s="428">
        <f>SUMIFS(Data_Tech!$AM$3:$AM$67,Data_Tech!$E$3:$E$67,"1",Data_Tech!$G$3:$G$67,"3/12",Data_Tech!$F$3:$F$67,B616)</f>
        <v>0</v>
      </c>
      <c r="P611" s="385">
        <f>ROUND(M611*N611*O611,2)</f>
        <v>0</v>
      </c>
      <c r="Q611" s="377">
        <f>IF(D611&lt;=3,база!$L$4,
IF(D611=4,база!$L$5,
IF(D611=5,база!$L$6)))</f>
        <v>210.57480000000001</v>
      </c>
      <c r="R611" s="378">
        <v>1</v>
      </c>
      <c r="S611" s="387">
        <f>SUMIFS(Таблица1[Столбец1],Таблица1[коэф],"1",Таблица1[р/р],"3/16",Таблица1[Ф. И. О.],B616)</f>
        <v>0</v>
      </c>
      <c r="T611" s="490">
        <f t="shared" ref="T611:T621" si="220">ROUND(Q611*R611*S611*2,2)</f>
        <v>0</v>
      </c>
      <c r="U611" s="477">
        <f>IF(D611&lt;=3,база!$M$4,
IF(D611=4,база!$M$5,
IF(D611=5,база!$M$6)))</f>
        <v>225.09719999999999</v>
      </c>
      <c r="V611" s="378">
        <v>1</v>
      </c>
      <c r="W611" s="430">
        <f>SUMIFS(Таблица1[Столбец1],Таблица1[коэф],"1",Таблица1[р/р],"3/24",Таблица1[Ф. И. О.],B616)</f>
        <v>0</v>
      </c>
      <c r="X611" s="490">
        <f t="shared" ref="X611:X621" si="221">ROUND(U611*V611*W611*2,2)</f>
        <v>0</v>
      </c>
      <c r="Y611" s="795">
        <f t="shared" ref="Y611" si="222">SUM(G611:G621,K611:K621,O611:O621,S611:S621,W611:W621)</f>
        <v>0</v>
      </c>
      <c r="Z611" s="797">
        <f t="shared" ref="Z611" si="223">IFERROR(SUM(H611:H621,L611:L621,T611:T621,X611:X621),"")</f>
        <v>0</v>
      </c>
      <c r="AA611" s="786"/>
    </row>
    <row r="612" spans="1:29" ht="18.75">
      <c r="A612" s="786"/>
      <c r="B612" s="216"/>
      <c r="C612" s="789"/>
      <c r="D612" s="792"/>
      <c r="E612" s="389">
        <f>IF(D611&lt;=3,база!$I$4,
IF(D611=4,база!$I$5,
IF(D611=5,база!$I$6)))</f>
        <v>188.7912</v>
      </c>
      <c r="F612" s="390">
        <v>1</v>
      </c>
      <c r="G612" s="400">
        <f>SUMIFS(Таблица1[Столбец1],Таблица1[коэф],"1",Таблица1[р/р],"3/4",Таблица1[Ф. И. О.],B616)</f>
        <v>0</v>
      </c>
      <c r="H612" s="392">
        <f t="shared" si="218"/>
        <v>0</v>
      </c>
      <c r="I612" s="432">
        <f>IF(D611&lt;=3,база!$J$4,
IF(D611=4,база!$J$5,
IF(D611=5,база!$J$6)))</f>
        <v>196.05240000000001</v>
      </c>
      <c r="J612" s="433">
        <v>1</v>
      </c>
      <c r="K612" s="434">
        <f>SUMIFS(Таблица1[Столбец1],Таблица1[коэф],"1",Таблица1[р/р],"3/8",Таблица1[Ф. И. О.],B616)</f>
        <v>0</v>
      </c>
      <c r="L612" s="484">
        <f t="shared" si="219"/>
        <v>0</v>
      </c>
      <c r="M612" s="434"/>
      <c r="N612" s="434">
        <v>1</v>
      </c>
      <c r="O612" s="434">
        <f>SUMIFS(Data_Tech!$AM$3:$AM$67,Data_Tech!$E$3:$E$67,"1",Data_Tech!$G$3:$G$67,"4/12",Data_Tech!$F$3:$F$67,B616)</f>
        <v>0</v>
      </c>
      <c r="P612" s="406">
        <f>ROUND(M612*O612,2)</f>
        <v>0</v>
      </c>
      <c r="Q612" s="389">
        <f>база!$L$5</f>
        <v>231.45480000000001</v>
      </c>
      <c r="R612" s="390">
        <v>1</v>
      </c>
      <c r="S612" s="400">
        <f>SUMIFS(Таблица1[Столбец1],Таблица1[коэф],"1",Таблица1[р/р],"4/16",Таблица1[Ф. И. О.],B616)</f>
        <v>0</v>
      </c>
      <c r="T612" s="492">
        <f t="shared" si="220"/>
        <v>0</v>
      </c>
      <c r="U612" s="478">
        <f>база!$M$5</f>
        <v>247.41720000000001</v>
      </c>
      <c r="V612" s="390">
        <v>1</v>
      </c>
      <c r="W612" s="412">
        <f>SUMIFS(Таблица1[Столбец1],Таблица1[коэф],"1",Таблица1[р/р],"4/24",Таблица1[Ф. И. О.],B616)</f>
        <v>0</v>
      </c>
      <c r="X612" s="492">
        <f t="shared" si="221"/>
        <v>0</v>
      </c>
      <c r="Y612" s="795"/>
      <c r="Z612" s="797"/>
      <c r="AA612" s="786"/>
    </row>
    <row r="613" spans="1:29" ht="18.75">
      <c r="A613" s="786"/>
      <c r="B613" s="216"/>
      <c r="C613" s="789"/>
      <c r="D613" s="792"/>
      <c r="E613" s="389"/>
      <c r="F613" s="390"/>
      <c r="G613" s="400"/>
      <c r="H613" s="392">
        <f t="shared" si="218"/>
        <v>0</v>
      </c>
      <c r="I613" s="432"/>
      <c r="J613" s="433"/>
      <c r="K613" s="434"/>
      <c r="L613" s="484">
        <f t="shared" si="219"/>
        <v>0</v>
      </c>
      <c r="M613" s="434"/>
      <c r="N613" s="434"/>
      <c r="O613" s="434"/>
      <c r="P613" s="406"/>
      <c r="Q613" s="389">
        <f>база!$L$6</f>
        <v>261.04640000000001</v>
      </c>
      <c r="R613" s="390">
        <v>1</v>
      </c>
      <c r="S613" s="400">
        <f>SUMIFS(Таблица1[Столбец1],Таблица1[коэф],"1",Таблица1[р/р],"5/16",Таблица1[Ф. И. О.],B616)</f>
        <v>0</v>
      </c>
      <c r="T613" s="492">
        <f t="shared" si="220"/>
        <v>0</v>
      </c>
      <c r="U613" s="478">
        <f>база!$M$6</f>
        <v>279.0496</v>
      </c>
      <c r="V613" s="390">
        <v>1</v>
      </c>
      <c r="W613" s="412">
        <f>SUMIFS(Таблица1[Столбец1],Таблица1[коэф],"1",Таблица1[р/р],"5/24",Таблица1[Ф. И. О.],B616)</f>
        <v>0</v>
      </c>
      <c r="X613" s="492">
        <f t="shared" si="221"/>
        <v>0</v>
      </c>
      <c r="Y613" s="795"/>
      <c r="Z613" s="797"/>
      <c r="AA613" s="786"/>
    </row>
    <row r="614" spans="1:29" ht="18.75">
      <c r="A614" s="786"/>
      <c r="B614" s="216"/>
      <c r="C614" s="789"/>
      <c r="D614" s="792"/>
      <c r="E614" s="389"/>
      <c r="F614" s="390"/>
      <c r="G614" s="400"/>
      <c r="H614" s="392">
        <f t="shared" si="218"/>
        <v>0</v>
      </c>
      <c r="I614" s="432">
        <f>база!$J$5</f>
        <v>215.4924</v>
      </c>
      <c r="J614" s="433">
        <v>1.5</v>
      </c>
      <c r="K614" s="434">
        <f>SUMIFS(Таблица1[Столбец1],Таблица1[коэф],"1,5",Таблица1[р/р],"4/8",Таблица1[Ф. И. О.],B616)</f>
        <v>0</v>
      </c>
      <c r="L614" s="484">
        <f t="shared" si="219"/>
        <v>0</v>
      </c>
      <c r="M614" s="434"/>
      <c r="N614" s="434"/>
      <c r="O614" s="434"/>
      <c r="P614" s="406"/>
      <c r="Q614" s="389">
        <f>IF(D611&lt;=3,база!$L$4,
IF(D611=4,база!$L$5,
IF(D611=5,база!$L$6)))</f>
        <v>210.57480000000001</v>
      </c>
      <c r="R614" s="390">
        <v>1.2</v>
      </c>
      <c r="S614" s="400">
        <f>SUMIFS(Таблица1[Столбец1],Таблица1[коэф],"1,2",Таблица1[р/р],"3/16",Таблица1[Ф. И. О.],B616)</f>
        <v>0</v>
      </c>
      <c r="T614" s="492">
        <f t="shared" si="220"/>
        <v>0</v>
      </c>
      <c r="U614" s="478">
        <f>IF(D611&lt;=3,база!$M$4,
IF(D611=4,база!$M$5,
IF(D611=5,база!$M$6)))</f>
        <v>225.09719999999999</v>
      </c>
      <c r="V614" s="390">
        <v>1.2</v>
      </c>
      <c r="W614" s="412">
        <f>SUMIFS(Таблица1[Столбец1],Таблица1[коэф],"1,2",Таблица1[р/р],"3/24",Таблица1[Ф. И. О.],B616)</f>
        <v>0</v>
      </c>
      <c r="X614" s="492">
        <f t="shared" si="221"/>
        <v>0</v>
      </c>
      <c r="Y614" s="795"/>
      <c r="Z614" s="797"/>
      <c r="AA614" s="786"/>
    </row>
    <row r="615" spans="1:29" ht="18.75">
      <c r="A615" s="786"/>
      <c r="B615" s="216"/>
      <c r="C615" s="789"/>
      <c r="D615" s="792"/>
      <c r="E615" s="389"/>
      <c r="F615" s="390"/>
      <c r="G615" s="400"/>
      <c r="H615" s="392">
        <f t="shared" si="218"/>
        <v>0</v>
      </c>
      <c r="I615" s="432">
        <f>база!$J$6</f>
        <v>243.04319999999998</v>
      </c>
      <c r="J615" s="433">
        <v>1.5</v>
      </c>
      <c r="K615" s="434">
        <f>SUMIFS(Таблица1[Столбец1],Таблица1[коэф],"1,5",Таблица1[р/р],"5/8",Таблица1[Ф. И. О.],B616)</f>
        <v>0</v>
      </c>
      <c r="L615" s="484">
        <f t="shared" si="219"/>
        <v>0</v>
      </c>
      <c r="M615" s="434"/>
      <c r="N615" s="434"/>
      <c r="O615" s="434"/>
      <c r="P615" s="406"/>
      <c r="Q615" s="389">
        <f>база!$L$5</f>
        <v>231.45480000000001</v>
      </c>
      <c r="R615" s="390">
        <v>1.2</v>
      </c>
      <c r="S615" s="400">
        <f>SUMIFS(Таблица1[Столбец1],Таблица1[коэф],"1,2",Таблица1[р/р],"4/16",Таблица1[Ф. И. О.],B616)</f>
        <v>0</v>
      </c>
      <c r="T615" s="492">
        <f t="shared" si="220"/>
        <v>0</v>
      </c>
      <c r="U615" s="478">
        <f>база!$M$5</f>
        <v>247.41720000000001</v>
      </c>
      <c r="V615" s="390">
        <v>1.2</v>
      </c>
      <c r="W615" s="412">
        <f>SUMIFS(Таблица1[Столбец1],Таблица1[коэф],"1,2",Таблица1[р/р],"4/24",Таблица1[Ф. И. О.],B616)</f>
        <v>0</v>
      </c>
      <c r="X615" s="492">
        <f t="shared" si="221"/>
        <v>0</v>
      </c>
      <c r="Y615" s="795"/>
      <c r="Z615" s="797"/>
      <c r="AA615" s="786"/>
    </row>
    <row r="616" spans="1:29" ht="18.75">
      <c r="A616" s="786"/>
      <c r="B616" s="216" t="str">
        <f>база!B57</f>
        <v>Никифорова Юлия Анатольевна</v>
      </c>
      <c r="C616" s="789"/>
      <c r="D616" s="792"/>
      <c r="E616" s="389"/>
      <c r="F616" s="390"/>
      <c r="G616" s="400"/>
      <c r="H616" s="392">
        <f t="shared" si="218"/>
        <v>0</v>
      </c>
      <c r="I616" s="432"/>
      <c r="J616" s="433"/>
      <c r="K616" s="434"/>
      <c r="L616" s="484">
        <f t="shared" si="219"/>
        <v>0</v>
      </c>
      <c r="M616" s="434"/>
      <c r="N616" s="434"/>
      <c r="O616" s="434"/>
      <c r="P616" s="406"/>
      <c r="Q616" s="389">
        <f>база!$L$6</f>
        <v>261.04640000000001</v>
      </c>
      <c r="R616" s="390">
        <v>1.2</v>
      </c>
      <c r="S616" s="400">
        <f>SUMIFS(Таблица1[Столбец1],Таблица1[коэф],"1,2",Таблица1[р/р],"5/16",Таблица1[Ф. И. О.],B616)</f>
        <v>0</v>
      </c>
      <c r="T616" s="492">
        <f t="shared" si="220"/>
        <v>0</v>
      </c>
      <c r="U616" s="478">
        <f>база!$M$6</f>
        <v>279.0496</v>
      </c>
      <c r="V616" s="390">
        <v>1.2</v>
      </c>
      <c r="W616" s="412">
        <f>SUMIFS(Таблица1[Столбец1],Таблица1[коэф],"1,2",Таблица1[р/р],"5/24",Таблица1[Ф. И. О.],B616)</f>
        <v>0</v>
      </c>
      <c r="X616" s="492">
        <f t="shared" si="221"/>
        <v>0</v>
      </c>
      <c r="Y616" s="795"/>
      <c r="Z616" s="797"/>
      <c r="AA616" s="786"/>
      <c r="AC616" s="727" t="str">
        <f>IF(SUMIFS(Таблица1[Столбец3],Таблица1[Ф. И. О.],B616)-Z611=0,"",SUMIFS(Таблица1[Столбец3],Таблица1[Ф. И. О.],B616)-Z611)</f>
        <v/>
      </c>
    </row>
    <row r="617" spans="1:29" ht="18.75">
      <c r="A617" s="786"/>
      <c r="B617" s="216"/>
      <c r="C617" s="789"/>
      <c r="D617" s="792"/>
      <c r="E617" s="389"/>
      <c r="F617" s="390"/>
      <c r="G617" s="400"/>
      <c r="H617" s="392">
        <f t="shared" si="218"/>
        <v>0</v>
      </c>
      <c r="I617" s="432"/>
      <c r="J617" s="433"/>
      <c r="K617" s="434"/>
      <c r="L617" s="484">
        <f t="shared" si="219"/>
        <v>0</v>
      </c>
      <c r="M617" s="434"/>
      <c r="N617" s="434"/>
      <c r="O617" s="434"/>
      <c r="P617" s="406"/>
      <c r="Q617" s="389">
        <f>IF($D$6&lt;=3,база!$L$4,
IF($D$6=4,база!$L$5,
IF($D$6=5,база!$L$6)))</f>
        <v>231.45480000000001</v>
      </c>
      <c r="R617" s="390">
        <v>1.3</v>
      </c>
      <c r="S617" s="400">
        <f>SUMIFS(Таблица1[Столбец1],Таблица1[коэф],"1,3",Таблица1[р/р],"3/16",Таблица1[Ф. И. О.],B616)</f>
        <v>0</v>
      </c>
      <c r="T617" s="492">
        <f t="shared" si="220"/>
        <v>0</v>
      </c>
      <c r="U617" s="478">
        <f>IF(D611&lt;=3,база!$M$4,
IF(D611=4,база!$M$5,
IF(D611=5,база!$M$6)))</f>
        <v>225.09719999999999</v>
      </c>
      <c r="V617" s="390">
        <v>1.3</v>
      </c>
      <c r="W617" s="412">
        <f>SUMIFS(Таблица1[Столбец1],Таблица1[коэф],"1,3",Таблица1[р/р],"3/24",Таблица1[Ф. И. О.],B616)</f>
        <v>0</v>
      </c>
      <c r="X617" s="492">
        <f t="shared" si="221"/>
        <v>0</v>
      </c>
      <c r="Y617" s="795"/>
      <c r="Z617" s="797"/>
      <c r="AA617" s="786"/>
      <c r="AC617" s="727" t="str">
        <f>IF(SUMIFS(Таблица1[Столбец1],Таблица1[Ф. И. О.],B616)=Y611,"",B616&amp;"  часы не верны")</f>
        <v/>
      </c>
    </row>
    <row r="618" spans="1:29" ht="18.75">
      <c r="A618" s="786"/>
      <c r="B618" s="216"/>
      <c r="C618" s="789"/>
      <c r="D618" s="792"/>
      <c r="E618" s="389"/>
      <c r="F618" s="390"/>
      <c r="G618" s="400"/>
      <c r="H618" s="392">
        <f t="shared" si="218"/>
        <v>0</v>
      </c>
      <c r="I618" s="432"/>
      <c r="J618" s="433"/>
      <c r="K618" s="434"/>
      <c r="L618" s="484">
        <f t="shared" si="219"/>
        <v>0</v>
      </c>
      <c r="M618" s="434"/>
      <c r="N618" s="434"/>
      <c r="O618" s="434"/>
      <c r="P618" s="406"/>
      <c r="Q618" s="389">
        <f>база!$L$5</f>
        <v>231.45480000000001</v>
      </c>
      <c r="R618" s="390">
        <v>1.3</v>
      </c>
      <c r="S618" s="400">
        <f>SUMIFS(Таблица1[Столбец1],Таблица1[коэф],"1,3",Таблица1[р/р],"4/16",Таблица1[Ф. И. О.],B616)</f>
        <v>0</v>
      </c>
      <c r="T618" s="492">
        <f t="shared" si="220"/>
        <v>0</v>
      </c>
      <c r="U618" s="478">
        <f>база!$M$5</f>
        <v>247.41720000000001</v>
      </c>
      <c r="V618" s="390">
        <v>1.3</v>
      </c>
      <c r="W618" s="412">
        <f>SUMIFS(Таблица1[Столбец1],Таблица1[коэф],"1,3",Таблица1[р/р],"4/24",Таблица1[Ф. И. О.],B616)</f>
        <v>0</v>
      </c>
      <c r="X618" s="492">
        <f t="shared" si="221"/>
        <v>0</v>
      </c>
      <c r="Y618" s="795"/>
      <c r="Z618" s="797"/>
      <c r="AA618" s="786"/>
    </row>
    <row r="619" spans="1:29" ht="18.75">
      <c r="A619" s="786"/>
      <c r="B619" s="216"/>
      <c r="C619" s="789"/>
      <c r="D619" s="792"/>
      <c r="E619" s="389"/>
      <c r="F619" s="390"/>
      <c r="G619" s="400"/>
      <c r="H619" s="392">
        <f t="shared" si="218"/>
        <v>0</v>
      </c>
      <c r="I619" s="432"/>
      <c r="J619" s="433"/>
      <c r="K619" s="434"/>
      <c r="L619" s="484">
        <f t="shared" si="219"/>
        <v>0</v>
      </c>
      <c r="M619" s="434"/>
      <c r="N619" s="434"/>
      <c r="O619" s="434"/>
      <c r="P619" s="406"/>
      <c r="Q619" s="389">
        <f>IF(D611&lt;=3,база!$L$4,
IF(D611=4,база!$L$5,
IF(D611=5,база!$L$6)))</f>
        <v>210.57480000000001</v>
      </c>
      <c r="R619" s="390">
        <v>1.4</v>
      </c>
      <c r="S619" s="400">
        <f>SUMIFS(Таблица1[Столбец1],Таблица1[коэф],"1,4",Таблица1[р/р],"3/16",Таблица1[Ф. И. О.],B616)</f>
        <v>0</v>
      </c>
      <c r="T619" s="492">
        <f t="shared" si="220"/>
        <v>0</v>
      </c>
      <c r="U619" s="478">
        <f>IF(D611&lt;=3,база!$M$4,
IF(D611=4,база!$M$5,
IF(D611=5,база!$M$6)))</f>
        <v>225.09719999999999</v>
      </c>
      <c r="V619" s="390">
        <v>1.4</v>
      </c>
      <c r="W619" s="412">
        <f>SUMIFS(Таблица1[Столбец1],Таблица1[коэф],"1,4",Таблица1[р/р],"3/24",Таблица1[Ф. И. О.],B616)</f>
        <v>0</v>
      </c>
      <c r="X619" s="492">
        <f t="shared" si="221"/>
        <v>0</v>
      </c>
      <c r="Y619" s="795"/>
      <c r="Z619" s="797"/>
      <c r="AA619" s="786"/>
    </row>
    <row r="620" spans="1:29" ht="18.75">
      <c r="A620" s="786"/>
      <c r="B620" s="216"/>
      <c r="C620" s="789"/>
      <c r="D620" s="792"/>
      <c r="E620" s="389"/>
      <c r="F620" s="390"/>
      <c r="G620" s="400"/>
      <c r="H620" s="392">
        <f t="shared" si="218"/>
        <v>0</v>
      </c>
      <c r="I620" s="432"/>
      <c r="J620" s="433"/>
      <c r="K620" s="434"/>
      <c r="L620" s="484">
        <f t="shared" si="219"/>
        <v>0</v>
      </c>
      <c r="M620" s="434"/>
      <c r="N620" s="434"/>
      <c r="O620" s="434"/>
      <c r="P620" s="406"/>
      <c r="Q620" s="389">
        <f>база!$L$5</f>
        <v>231.45480000000001</v>
      </c>
      <c r="R620" s="390">
        <v>1.4</v>
      </c>
      <c r="S620" s="400">
        <f>SUMIFS(Таблица1[Столбец1],Таблица1[коэф],"1,4",Таблица1[р/р],"4/16",Таблица1[Ф. И. О.],B616)</f>
        <v>0</v>
      </c>
      <c r="T620" s="492">
        <f t="shared" si="220"/>
        <v>0</v>
      </c>
      <c r="U620" s="478">
        <f>база!$M$5</f>
        <v>247.41720000000001</v>
      </c>
      <c r="V620" s="390">
        <v>1.4</v>
      </c>
      <c r="W620" s="412">
        <f>SUMIFS(Таблица1[Столбец1],Таблица1[коэф],"1,4",Таблица1[р/р],"4/24",Таблица1[Ф. И. О.],B616)</f>
        <v>0</v>
      </c>
      <c r="X620" s="492">
        <f t="shared" si="221"/>
        <v>0</v>
      </c>
      <c r="Y620" s="795"/>
      <c r="Z620" s="797"/>
      <c r="AA620" s="786"/>
    </row>
    <row r="621" spans="1:29" ht="19.5" thickBot="1">
      <c r="A621" s="787"/>
      <c r="B621" s="203"/>
      <c r="C621" s="790"/>
      <c r="D621" s="793"/>
      <c r="E621" s="473"/>
      <c r="F621" s="464"/>
      <c r="G621" s="465"/>
      <c r="H621" s="440">
        <f t="shared" si="218"/>
        <v>0</v>
      </c>
      <c r="I621" s="466"/>
      <c r="J621" s="456"/>
      <c r="K621" s="457"/>
      <c r="L621" s="484">
        <f t="shared" si="219"/>
        <v>0</v>
      </c>
      <c r="M621" s="457"/>
      <c r="N621" s="457"/>
      <c r="O621" s="457"/>
      <c r="P621" s="476"/>
      <c r="Q621" s="473">
        <f>база!$L$6</f>
        <v>261.04640000000001</v>
      </c>
      <c r="R621" s="464">
        <v>1.4</v>
      </c>
      <c r="S621" s="465">
        <f>SUMIFS(Таблица1[Столбец1],Таблица1[коэф],"1,4",Таблица1[р/р],"5/16",Таблица1[Ф. И. О.],B616)</f>
        <v>0</v>
      </c>
      <c r="T621" s="492">
        <f t="shared" si="220"/>
        <v>0</v>
      </c>
      <c r="U621" s="480">
        <f>база!$M$6</f>
        <v>279.0496</v>
      </c>
      <c r="V621" s="464">
        <v>1.4</v>
      </c>
      <c r="W621" s="470">
        <f>SUMIFS(Таблица1[Столбец1],Таблица1[коэф],"1,4",Таблица1[р/р],"5/24",Таблица1[Ф. И. О.],B616)</f>
        <v>0</v>
      </c>
      <c r="X621" s="492">
        <f t="shared" si="221"/>
        <v>0</v>
      </c>
      <c r="Y621" s="796"/>
      <c r="Z621" s="798"/>
      <c r="AA621" s="787"/>
    </row>
    <row r="622" spans="1:29" ht="18.75">
      <c r="A622" s="785">
        <v>57</v>
      </c>
      <c r="B622" s="236"/>
      <c r="C622" s="788">
        <f>INDEX(база!$E$2:$E$81, MATCH(B627,база!$B$2:$B$60,0))</f>
        <v>17307</v>
      </c>
      <c r="D622" s="791">
        <f>INDEX(база!$D$2:$D$89, MATCH(B627,база!$B$2:$B$60,0))</f>
        <v>3</v>
      </c>
      <c r="E622" s="377">
        <f>IF(D622&lt;=3,база!$I$4,
IF(D622=4,база!$I$5,
IF(D622=5,база!$I$6)))</f>
        <v>188.7912</v>
      </c>
      <c r="F622" s="378">
        <v>1</v>
      </c>
      <c r="G622" s="387">
        <f>SUMIFS(Таблица1[Столбец1],Таблица1[коэф],"1",Таблица1[р/р],"2/4",Таблица1[Ф. И. О.],B627)</f>
        <v>0</v>
      </c>
      <c r="H622" s="380">
        <f t="shared" ref="H622:H632" si="224">ROUND(E622*F622*G622*2,2)</f>
        <v>0</v>
      </c>
      <c r="I622" s="426">
        <f>IF(D622&lt;=3,база!$J$4,
IF(D622=4,база!$J$5,
IF(D622=5,база!$J$6)))</f>
        <v>196.05240000000001</v>
      </c>
      <c r="J622" s="427">
        <v>1</v>
      </c>
      <c r="K622" s="428">
        <f>SUMIFS(Таблица1[Столбец1],Таблица1[коэф],"1",Таблица1[р/р],"2/8",Таблица1[Ф. И. О.],B627)</f>
        <v>0</v>
      </c>
      <c r="L622" s="383">
        <f t="shared" ref="L622:L632" si="225">ROUND(I622*J622*K622*2,2)</f>
        <v>0</v>
      </c>
      <c r="M622" s="428"/>
      <c r="N622" s="428">
        <v>1</v>
      </c>
      <c r="O622" s="428">
        <f>SUMIFS(Data_Tech!$AM$3:$AM$67,Data_Tech!$E$3:$E$67,"1",Data_Tech!$G$3:$G$67,"3/12",Data_Tech!$F$3:$F$67,B627)</f>
        <v>0</v>
      </c>
      <c r="P622" s="385">
        <f>ROUND(M622*N622*O622,2)</f>
        <v>0</v>
      </c>
      <c r="Q622" s="377">
        <f>IF(D622&lt;=3,база!$L$4,
IF(D622=4,база!$L$5,
IF(D622=5,база!$L$6)))</f>
        <v>210.57480000000001</v>
      </c>
      <c r="R622" s="378">
        <v>1</v>
      </c>
      <c r="S622" s="387">
        <f>SUMIFS(Таблица1[Столбец1],Таблица1[коэф],"1",Таблица1[р/р],"3/16",Таблица1[Ф. И. О.],B627)</f>
        <v>0</v>
      </c>
      <c r="T622" s="490">
        <f t="shared" ref="T622:T632" si="226">ROUND(Q622*R622*S622*2,2)</f>
        <v>0</v>
      </c>
      <c r="U622" s="477">
        <f>IF(D622&lt;=3,база!$M$4,
IF(D622=4,база!$M$5,
IF(D622=5,база!$M$6)))</f>
        <v>225.09719999999999</v>
      </c>
      <c r="V622" s="378">
        <v>1</v>
      </c>
      <c r="W622" s="430">
        <f>SUMIFS(Таблица1[Столбец1],Таблица1[коэф],"1",Таблица1[р/р],"3/24",Таблица1[Ф. И. О.],B627)</f>
        <v>0</v>
      </c>
      <c r="X622" s="490">
        <f t="shared" ref="X622:X632" si="227">ROUND(U622*V622*W622*2,2)</f>
        <v>0</v>
      </c>
      <c r="Y622" s="795">
        <f t="shared" ref="Y622" si="228">SUM(G622:G632,K622:K632,O622:O632,S622:S632,W622:W632)</f>
        <v>0</v>
      </c>
      <c r="Z622" s="797">
        <f t="shared" ref="Z622" si="229">IFERROR(SUM(H622:H632,L622:L632,T622:T632,X622:X632),"")</f>
        <v>0</v>
      </c>
      <c r="AA622" s="786"/>
    </row>
    <row r="623" spans="1:29" ht="18.75">
      <c r="A623" s="786"/>
      <c r="B623" s="216"/>
      <c r="C623" s="789"/>
      <c r="D623" s="792"/>
      <c r="E623" s="389">
        <f>IF(D622&lt;=3,база!$I$4,
IF(D622=4,база!$I$5,
IF(D622=5,база!$I$6)))</f>
        <v>188.7912</v>
      </c>
      <c r="F623" s="390">
        <v>1</v>
      </c>
      <c r="G623" s="400">
        <f>SUMIFS(Таблица1[Столбец1],Таблица1[коэф],"1",Таблица1[р/р],"3/4",Таблица1[Ф. И. О.],B627)</f>
        <v>0</v>
      </c>
      <c r="H623" s="392">
        <f t="shared" si="224"/>
        <v>0</v>
      </c>
      <c r="I623" s="432">
        <f>IF(D622&lt;=3,база!$J$4,
IF(D622=4,база!$J$5,
IF(D622=5,база!$J$6)))</f>
        <v>196.05240000000001</v>
      </c>
      <c r="J623" s="433">
        <v>1</v>
      </c>
      <c r="K623" s="434">
        <f>SUMIFS(Таблица1[Столбец1],Таблица1[коэф],"1",Таблица1[р/р],"3/8",Таблица1[Ф. И. О.],B627)</f>
        <v>0</v>
      </c>
      <c r="L623" s="484">
        <f t="shared" si="225"/>
        <v>0</v>
      </c>
      <c r="M623" s="434"/>
      <c r="N623" s="434">
        <v>1</v>
      </c>
      <c r="O623" s="434">
        <f>SUMIFS(Data_Tech!$AM$3:$AM$67,Data_Tech!$E$3:$E$67,"1",Data_Tech!$G$3:$G$67,"4/12",Data_Tech!$F$3:$F$67,B627)</f>
        <v>0</v>
      </c>
      <c r="P623" s="406">
        <f>ROUND(M623*O623,2)</f>
        <v>0</v>
      </c>
      <c r="Q623" s="389">
        <f>база!$L$5</f>
        <v>231.45480000000001</v>
      </c>
      <c r="R623" s="390">
        <v>1</v>
      </c>
      <c r="S623" s="400">
        <f>SUMIFS(Таблица1[Столбец1],Таблица1[коэф],"1",Таблица1[р/р],"4/16",Таблица1[Ф. И. О.],B627)</f>
        <v>0</v>
      </c>
      <c r="T623" s="492">
        <f t="shared" si="226"/>
        <v>0</v>
      </c>
      <c r="U623" s="478">
        <f>база!$M$5</f>
        <v>247.41720000000001</v>
      </c>
      <c r="V623" s="390">
        <v>1</v>
      </c>
      <c r="W623" s="412">
        <f>SUMIFS(Таблица1[Столбец1],Таблица1[коэф],"1",Таблица1[р/р],"4/24",Таблица1[Ф. И. О.],B627)</f>
        <v>0</v>
      </c>
      <c r="X623" s="492">
        <f t="shared" si="227"/>
        <v>0</v>
      </c>
      <c r="Y623" s="795"/>
      <c r="Z623" s="797"/>
      <c r="AA623" s="786"/>
    </row>
    <row r="624" spans="1:29" ht="18.75">
      <c r="A624" s="786"/>
      <c r="B624" s="216"/>
      <c r="C624" s="789"/>
      <c r="D624" s="792"/>
      <c r="E624" s="389"/>
      <c r="F624" s="390"/>
      <c r="G624" s="400"/>
      <c r="H624" s="392">
        <f t="shared" si="224"/>
        <v>0</v>
      </c>
      <c r="I624" s="432"/>
      <c r="J624" s="433"/>
      <c r="K624" s="434"/>
      <c r="L624" s="484">
        <f t="shared" si="225"/>
        <v>0</v>
      </c>
      <c r="M624" s="434"/>
      <c r="N624" s="434"/>
      <c r="O624" s="434"/>
      <c r="P624" s="406"/>
      <c r="Q624" s="389">
        <f>база!$L$6</f>
        <v>261.04640000000001</v>
      </c>
      <c r="R624" s="390">
        <v>1</v>
      </c>
      <c r="S624" s="400">
        <f>SUMIFS(Таблица1[Столбец1],Таблица1[коэф],"1",Таблица1[р/р],"5/16",Таблица1[Ф. И. О.],B627)</f>
        <v>0</v>
      </c>
      <c r="T624" s="492">
        <f t="shared" si="226"/>
        <v>0</v>
      </c>
      <c r="U624" s="478">
        <f>база!$M$6</f>
        <v>279.0496</v>
      </c>
      <c r="V624" s="390">
        <v>1</v>
      </c>
      <c r="W624" s="412">
        <f>SUMIFS(Таблица1[Столбец1],Таблица1[коэф],"1",Таблица1[р/р],"5/24",Таблица1[Ф. И. О.],B627)</f>
        <v>0</v>
      </c>
      <c r="X624" s="492">
        <f t="shared" si="227"/>
        <v>0</v>
      </c>
      <c r="Y624" s="795"/>
      <c r="Z624" s="797"/>
      <c r="AA624" s="786"/>
    </row>
    <row r="625" spans="1:29" ht="18.75">
      <c r="A625" s="786"/>
      <c r="B625" s="216"/>
      <c r="C625" s="789"/>
      <c r="D625" s="792"/>
      <c r="E625" s="389"/>
      <c r="F625" s="390"/>
      <c r="G625" s="400"/>
      <c r="H625" s="392">
        <f t="shared" si="224"/>
        <v>0</v>
      </c>
      <c r="I625" s="432">
        <f>база!$J$5</f>
        <v>215.4924</v>
      </c>
      <c r="J625" s="433">
        <v>1.5</v>
      </c>
      <c r="K625" s="434">
        <f>SUMIFS(Таблица1[Столбец1],Таблица1[коэф],"1,5",Таблица1[р/р],"4/8",Таблица1[Ф. И. О.],B627)</f>
        <v>0</v>
      </c>
      <c r="L625" s="484">
        <f t="shared" si="225"/>
        <v>0</v>
      </c>
      <c r="M625" s="434"/>
      <c r="N625" s="434"/>
      <c r="O625" s="434"/>
      <c r="P625" s="406"/>
      <c r="Q625" s="389">
        <f>IF(D622&lt;=3,база!$L$4,
IF(D622=4,база!$L$5,
IF(D622=5,база!$L$6)))</f>
        <v>210.57480000000001</v>
      </c>
      <c r="R625" s="390">
        <v>1.2</v>
      </c>
      <c r="S625" s="400">
        <f>SUMIFS(Таблица1[Столбец1],Таблица1[коэф],"1,2",Таблица1[р/р],"3/16",Таблица1[Ф. И. О.],B627)</f>
        <v>0</v>
      </c>
      <c r="T625" s="492">
        <f t="shared" si="226"/>
        <v>0</v>
      </c>
      <c r="U625" s="478">
        <f>IF(D622&lt;=3,база!$M$4,
IF(D622=4,база!$M$5,
IF(D622=5,база!$M$6)))</f>
        <v>225.09719999999999</v>
      </c>
      <c r="V625" s="390">
        <v>1.2</v>
      </c>
      <c r="W625" s="412">
        <f>SUMIFS(Таблица1[Столбец1],Таблица1[коэф],"1,2",Таблица1[р/р],"3/24",Таблица1[Ф. И. О.],B627)</f>
        <v>0</v>
      </c>
      <c r="X625" s="492">
        <f t="shared" si="227"/>
        <v>0</v>
      </c>
      <c r="Y625" s="795"/>
      <c r="Z625" s="797"/>
      <c r="AA625" s="786"/>
    </row>
    <row r="626" spans="1:29" ht="18.75">
      <c r="A626" s="786"/>
      <c r="B626" s="216"/>
      <c r="C626" s="789"/>
      <c r="D626" s="792"/>
      <c r="E626" s="389"/>
      <c r="F626" s="390"/>
      <c r="G626" s="400"/>
      <c r="H626" s="392">
        <f t="shared" si="224"/>
        <v>0</v>
      </c>
      <c r="I626" s="432">
        <f>база!$J$6</f>
        <v>243.04319999999998</v>
      </c>
      <c r="J626" s="433">
        <v>1.5</v>
      </c>
      <c r="K626" s="434">
        <f>SUMIFS(Таблица1[Столбец1],Таблица1[коэф],"1,5",Таблица1[р/р],"5/8",Таблица1[Ф. И. О.],B627)</f>
        <v>0</v>
      </c>
      <c r="L626" s="484">
        <f t="shared" si="225"/>
        <v>0</v>
      </c>
      <c r="M626" s="434"/>
      <c r="N626" s="434"/>
      <c r="O626" s="434"/>
      <c r="P626" s="406"/>
      <c r="Q626" s="389">
        <f>база!$L$5</f>
        <v>231.45480000000001</v>
      </c>
      <c r="R626" s="390">
        <v>1.2</v>
      </c>
      <c r="S626" s="400">
        <f>SUMIFS(Таблица1[Столбец1],Таблица1[коэф],"1,2",Таблица1[р/р],"4/16",Таблица1[Ф. И. О.],B627)</f>
        <v>0</v>
      </c>
      <c r="T626" s="492">
        <f t="shared" si="226"/>
        <v>0</v>
      </c>
      <c r="U626" s="478">
        <f>база!$M$5</f>
        <v>247.41720000000001</v>
      </c>
      <c r="V626" s="390">
        <v>1.2</v>
      </c>
      <c r="W626" s="412">
        <f>SUMIFS(Таблица1[Столбец1],Таблица1[коэф],"1,2",Таблица1[р/р],"4/24",Таблица1[Ф. И. О.],B627)</f>
        <v>0</v>
      </c>
      <c r="X626" s="492">
        <f t="shared" si="227"/>
        <v>0</v>
      </c>
      <c r="Y626" s="795"/>
      <c r="Z626" s="797"/>
      <c r="AA626" s="786"/>
    </row>
    <row r="627" spans="1:29" ht="18.75">
      <c r="A627" s="786"/>
      <c r="B627" s="216" t="str">
        <f>база!B58</f>
        <v>Новикова Александра Владимировна</v>
      </c>
      <c r="C627" s="789"/>
      <c r="D627" s="792"/>
      <c r="E627" s="389"/>
      <c r="F627" s="390"/>
      <c r="G627" s="400"/>
      <c r="H627" s="392">
        <f t="shared" si="224"/>
        <v>0</v>
      </c>
      <c r="I627" s="432"/>
      <c r="J627" s="433"/>
      <c r="K627" s="434"/>
      <c r="L627" s="484">
        <f t="shared" si="225"/>
        <v>0</v>
      </c>
      <c r="M627" s="434"/>
      <c r="N627" s="434"/>
      <c r="O627" s="434"/>
      <c r="P627" s="406"/>
      <c r="Q627" s="389">
        <f>база!$L$6</f>
        <v>261.04640000000001</v>
      </c>
      <c r="R627" s="390">
        <v>1.2</v>
      </c>
      <c r="S627" s="400">
        <f>SUMIFS(Таблица1[Столбец1],Таблица1[коэф],"1,2",Таблица1[р/р],"5/16",Таблица1[Ф. И. О.],B627)</f>
        <v>0</v>
      </c>
      <c r="T627" s="492">
        <f t="shared" si="226"/>
        <v>0</v>
      </c>
      <c r="U627" s="478">
        <f>база!$M$6</f>
        <v>279.0496</v>
      </c>
      <c r="V627" s="390">
        <v>1.2</v>
      </c>
      <c r="W627" s="412">
        <f>SUMIFS(Таблица1[Столбец1],Таблица1[коэф],"1,2",Таблица1[р/р],"5/24",Таблица1[Ф. И. О.],B627)</f>
        <v>0</v>
      </c>
      <c r="X627" s="492">
        <f t="shared" si="227"/>
        <v>0</v>
      </c>
      <c r="Y627" s="795"/>
      <c r="Z627" s="797"/>
      <c r="AA627" s="786"/>
      <c r="AC627" s="727" t="str">
        <f>IF(SUMIFS(Таблица1[Столбец3],Таблица1[Ф. И. О.],B627)-Z622=0,"",SUMIFS(Таблица1[Столбец3],Таблица1[Ф. И. О.],B627)-Z622)</f>
        <v/>
      </c>
    </row>
    <row r="628" spans="1:29" ht="18.75">
      <c r="A628" s="786"/>
      <c r="B628" s="216"/>
      <c r="C628" s="789"/>
      <c r="D628" s="792"/>
      <c r="E628" s="389"/>
      <c r="F628" s="390"/>
      <c r="G628" s="400"/>
      <c r="H628" s="392">
        <f t="shared" si="224"/>
        <v>0</v>
      </c>
      <c r="I628" s="432"/>
      <c r="J628" s="433"/>
      <c r="K628" s="434"/>
      <c r="L628" s="484">
        <f t="shared" si="225"/>
        <v>0</v>
      </c>
      <c r="M628" s="434"/>
      <c r="N628" s="434"/>
      <c r="O628" s="434"/>
      <c r="P628" s="406"/>
      <c r="Q628" s="389">
        <f>IF($D$6&lt;=3,база!$L$4,
IF($D$6=4,база!$L$5,
IF($D$6=5,база!$L$6)))</f>
        <v>231.45480000000001</v>
      </c>
      <c r="R628" s="390">
        <v>1.3</v>
      </c>
      <c r="S628" s="400">
        <f>SUMIFS(Таблица1[Столбец1],Таблица1[коэф],"1,3",Таблица1[р/р],"3/16",Таблица1[Ф. И. О.],B627)</f>
        <v>0</v>
      </c>
      <c r="T628" s="492">
        <f t="shared" si="226"/>
        <v>0</v>
      </c>
      <c r="U628" s="478">
        <f>IF(D622&lt;=3,база!$M$4,
IF(D622=4,база!$M$5,
IF(D622=5,база!$M$6)))</f>
        <v>225.09719999999999</v>
      </c>
      <c r="V628" s="390">
        <v>1.3</v>
      </c>
      <c r="W628" s="412">
        <f>SUMIFS(Таблица1[Столбец1],Таблица1[коэф],"1,3",Таблица1[р/р],"3/24",Таблица1[Ф. И. О.],B627)</f>
        <v>0</v>
      </c>
      <c r="X628" s="492">
        <f t="shared" si="227"/>
        <v>0</v>
      </c>
      <c r="Y628" s="795"/>
      <c r="Z628" s="797"/>
      <c r="AA628" s="786"/>
      <c r="AC628" s="727" t="str">
        <f>IF(SUMIFS(Таблица1[Столбец1],Таблица1[Ф. И. О.],B627)=Y622,"",B627&amp;"  часы не верны")</f>
        <v/>
      </c>
    </row>
    <row r="629" spans="1:29" ht="18.75">
      <c r="A629" s="786"/>
      <c r="B629" s="216"/>
      <c r="C629" s="789"/>
      <c r="D629" s="792"/>
      <c r="E629" s="389"/>
      <c r="F629" s="390"/>
      <c r="G629" s="400"/>
      <c r="H629" s="392">
        <f t="shared" si="224"/>
        <v>0</v>
      </c>
      <c r="I629" s="432"/>
      <c r="J629" s="433"/>
      <c r="K629" s="434"/>
      <c r="L629" s="484">
        <f t="shared" si="225"/>
        <v>0</v>
      </c>
      <c r="M629" s="434"/>
      <c r="N629" s="434"/>
      <c r="O629" s="434"/>
      <c r="P629" s="406"/>
      <c r="Q629" s="389">
        <f>база!$L$5</f>
        <v>231.45480000000001</v>
      </c>
      <c r="R629" s="390">
        <v>1.3</v>
      </c>
      <c r="S629" s="400">
        <f>SUMIFS(Таблица1[Столбец1],Таблица1[коэф],"1,3",Таблица1[р/р],"4/16",Таблица1[Ф. И. О.],B627)</f>
        <v>0</v>
      </c>
      <c r="T629" s="492">
        <f t="shared" si="226"/>
        <v>0</v>
      </c>
      <c r="U629" s="478">
        <f>база!$M$5</f>
        <v>247.41720000000001</v>
      </c>
      <c r="V629" s="390">
        <v>1.3</v>
      </c>
      <c r="W629" s="412">
        <f>SUMIFS(Таблица1[Столбец1],Таблица1[коэф],"1,3",Таблица1[р/р],"4/24",Таблица1[Ф. И. О.],B627)</f>
        <v>0</v>
      </c>
      <c r="X629" s="492">
        <f t="shared" si="227"/>
        <v>0</v>
      </c>
      <c r="Y629" s="795"/>
      <c r="Z629" s="797"/>
      <c r="AA629" s="786"/>
    </row>
    <row r="630" spans="1:29" ht="18.75">
      <c r="A630" s="786"/>
      <c r="B630" s="216"/>
      <c r="C630" s="789"/>
      <c r="D630" s="792"/>
      <c r="E630" s="389"/>
      <c r="F630" s="390"/>
      <c r="G630" s="400"/>
      <c r="H630" s="392">
        <f t="shared" si="224"/>
        <v>0</v>
      </c>
      <c r="I630" s="432"/>
      <c r="J630" s="433"/>
      <c r="K630" s="434"/>
      <c r="L630" s="484">
        <f t="shared" si="225"/>
        <v>0</v>
      </c>
      <c r="M630" s="434"/>
      <c r="N630" s="434"/>
      <c r="O630" s="434"/>
      <c r="P630" s="406"/>
      <c r="Q630" s="389">
        <f>IF(D622&lt;=3,база!$L$4,
IF(D622=4,база!$L$5,
IF(D622=5,база!$L$6)))</f>
        <v>210.57480000000001</v>
      </c>
      <c r="R630" s="390">
        <v>1.4</v>
      </c>
      <c r="S630" s="400">
        <f>SUMIFS(Таблица1[Столбец1],Таблица1[коэф],"1,4",Таблица1[р/р],"3/16",Таблица1[Ф. И. О.],B627)</f>
        <v>0</v>
      </c>
      <c r="T630" s="492">
        <f t="shared" si="226"/>
        <v>0</v>
      </c>
      <c r="U630" s="478">
        <f>IF(D622&lt;=3,база!$M$4,
IF(D622=4,база!$M$5,
IF(D622=5,база!$M$6)))</f>
        <v>225.09719999999999</v>
      </c>
      <c r="V630" s="390">
        <v>1.4</v>
      </c>
      <c r="W630" s="412">
        <f>SUMIFS(Таблица1[Столбец1],Таблица1[коэф],"1,4",Таблица1[р/р],"3/24",Таблица1[Ф. И. О.],B627)</f>
        <v>0</v>
      </c>
      <c r="X630" s="492">
        <f t="shared" si="227"/>
        <v>0</v>
      </c>
      <c r="Y630" s="795"/>
      <c r="Z630" s="797"/>
      <c r="AA630" s="786"/>
    </row>
    <row r="631" spans="1:29" ht="18.75">
      <c r="A631" s="786"/>
      <c r="B631" s="216"/>
      <c r="C631" s="789"/>
      <c r="D631" s="792"/>
      <c r="E631" s="389"/>
      <c r="F631" s="390"/>
      <c r="G631" s="400"/>
      <c r="H631" s="392">
        <f t="shared" si="224"/>
        <v>0</v>
      </c>
      <c r="I631" s="432"/>
      <c r="J631" s="433"/>
      <c r="K631" s="434"/>
      <c r="L631" s="484">
        <f t="shared" si="225"/>
        <v>0</v>
      </c>
      <c r="M631" s="434"/>
      <c r="N631" s="434"/>
      <c r="O631" s="434"/>
      <c r="P631" s="406"/>
      <c r="Q631" s="389">
        <f>база!$L$5</f>
        <v>231.45480000000001</v>
      </c>
      <c r="R631" s="390">
        <v>1.4</v>
      </c>
      <c r="S631" s="400">
        <f>SUMIFS(Таблица1[Столбец1],Таблица1[коэф],"1,4",Таблица1[р/р],"4/16",Таблица1[Ф. И. О.],B627)</f>
        <v>0</v>
      </c>
      <c r="T631" s="492">
        <f t="shared" si="226"/>
        <v>0</v>
      </c>
      <c r="U631" s="478">
        <f>база!$M$5</f>
        <v>247.41720000000001</v>
      </c>
      <c r="V631" s="390">
        <v>1.4</v>
      </c>
      <c r="W631" s="412">
        <f>SUMIFS(Таблица1[Столбец1],Таблица1[коэф],"1,4",Таблица1[р/р],"4/24",Таблица1[Ф. И. О.],B627)</f>
        <v>0</v>
      </c>
      <c r="X631" s="492">
        <f t="shared" si="227"/>
        <v>0</v>
      </c>
      <c r="Y631" s="795"/>
      <c r="Z631" s="797"/>
      <c r="AA631" s="786"/>
    </row>
    <row r="632" spans="1:29" ht="19.5" thickBot="1">
      <c r="A632" s="787"/>
      <c r="B632" s="203"/>
      <c r="C632" s="790"/>
      <c r="D632" s="793"/>
      <c r="E632" s="473"/>
      <c r="F632" s="464"/>
      <c r="G632" s="465"/>
      <c r="H632" s="468">
        <f t="shared" si="224"/>
        <v>0</v>
      </c>
      <c r="I632" s="466"/>
      <c r="J632" s="456"/>
      <c r="K632" s="457"/>
      <c r="L632" s="484">
        <f t="shared" si="225"/>
        <v>0</v>
      </c>
      <c r="M632" s="457"/>
      <c r="N632" s="457"/>
      <c r="O632" s="457"/>
      <c r="P632" s="476"/>
      <c r="Q632" s="473">
        <f>база!$L$6</f>
        <v>261.04640000000001</v>
      </c>
      <c r="R632" s="464">
        <v>1.4</v>
      </c>
      <c r="S632" s="465">
        <f>SUMIFS(Таблица1[Столбец1],Таблица1[коэф],"1,4",Таблица1[р/р],"5/16",Таблица1[Ф. И. О.],B627)</f>
        <v>0</v>
      </c>
      <c r="T632" s="492">
        <f t="shared" si="226"/>
        <v>0</v>
      </c>
      <c r="U632" s="480">
        <f>база!$M$6</f>
        <v>279.0496</v>
      </c>
      <c r="V632" s="464">
        <v>1.4</v>
      </c>
      <c r="W632" s="470">
        <f>SUMIFS(Таблица1[Столбец1],Таблица1[коэф],"1,4",Таблица1[р/р],"5/24",Таблица1[Ф. И. О.],B627)</f>
        <v>0</v>
      </c>
      <c r="X632" s="492">
        <f t="shared" si="227"/>
        <v>0</v>
      </c>
      <c r="Y632" s="796"/>
      <c r="Z632" s="798"/>
      <c r="AA632" s="787"/>
    </row>
    <row r="633" spans="1:29" ht="18.75">
      <c r="A633" s="785">
        <v>58</v>
      </c>
      <c r="B633" s="236"/>
      <c r="C633" s="788">
        <f>INDEX(база!$E$2:$E$81, MATCH(B638,база!$B$2:$B$60,0))</f>
        <v>16950</v>
      </c>
      <c r="D633" s="791">
        <f>INDEX(база!$D$2:$D$89, MATCH(B638,база!$B$2:$B$60,0))</f>
        <v>3</v>
      </c>
      <c r="E633" s="377">
        <f>IF(D633&lt;=3,база!$I$4,
IF(D633=4,база!$I$5,
IF(D633=5,база!$I$6)))</f>
        <v>188.7912</v>
      </c>
      <c r="F633" s="378">
        <v>1</v>
      </c>
      <c r="G633" s="387">
        <f>SUMIFS(Таблица1[Столбец1],Таблица1[коэф],"1",Таблица1[р/р],"2/4",Таблица1[Ф. И. О.],B638)</f>
        <v>0</v>
      </c>
      <c r="H633" s="402">
        <f t="shared" ref="H633:H696" si="230">ROUND(E633*F633*G633*2,2)</f>
        <v>0</v>
      </c>
      <c r="I633" s="426">
        <f>IF(D633&lt;=3,база!$J$4,
IF(D633=4,база!$J$5,
IF(D633=5,база!$J$6)))</f>
        <v>196.05240000000001</v>
      </c>
      <c r="J633" s="427">
        <v>1</v>
      </c>
      <c r="K633" s="428">
        <f>SUMIFS(Таблица1[Столбец1],Таблица1[коэф],"1",Таблица1[р/р],"2/8",Таблица1[Ф. И. О.],B638)</f>
        <v>0</v>
      </c>
      <c r="L633" s="383">
        <f t="shared" ref="L633:L696" si="231">ROUND(I633*J633*K633*2,2)</f>
        <v>0</v>
      </c>
      <c r="M633" s="428"/>
      <c r="N633" s="428">
        <v>1</v>
      </c>
      <c r="O633" s="428">
        <f>SUMIFS(Data_Tech!$AM$3:$AM$67,Data_Tech!$E$3:$E$67,"1",Data_Tech!$G$3:$G$67,"3/12",Data_Tech!$F$3:$F$67,B638)</f>
        <v>0</v>
      </c>
      <c r="P633" s="385">
        <f>ROUND(M633*N633*O633,2)</f>
        <v>0</v>
      </c>
      <c r="Q633" s="377">
        <f>IF(D633&lt;=3,база!$L$4,
IF(D633=4,база!$L$5,
IF(D633=5,база!$L$6)))</f>
        <v>210.57480000000001</v>
      </c>
      <c r="R633" s="378">
        <v>1</v>
      </c>
      <c r="S633" s="387">
        <f>SUMIFS(Таблица1[Столбец1],Таблица1[коэф],"1",Таблица1[р/р],"3/16",Таблица1[Ф. И. О.],B638)</f>
        <v>0</v>
      </c>
      <c r="T633" s="490">
        <f t="shared" ref="T633:T696" si="232">ROUND(Q633*R633*S633*2,2)</f>
        <v>0</v>
      </c>
      <c r="U633" s="477">
        <f>IF(D633&lt;=3,база!$M$4,
IF(D633=4,база!$M$5,
IF(D633=5,база!$M$6)))</f>
        <v>225.09719999999999</v>
      </c>
      <c r="V633" s="378">
        <v>1</v>
      </c>
      <c r="W633" s="430">
        <f>SUMIFS(Таблица1[Столбец1],Таблица1[коэф],"1",Таблица1[р/р],"3/24",Таблица1[Ф. И. О.],B638)</f>
        <v>0</v>
      </c>
      <c r="X633" s="490">
        <f t="shared" ref="X633:X696" si="233">ROUND(U633*V633*W633*2,2)</f>
        <v>0</v>
      </c>
      <c r="Y633" s="795">
        <f t="shared" ref="Y633" si="234">SUM(G633:G643,K633:K643,O633:O643,S633:S643,W633:W643)</f>
        <v>0</v>
      </c>
      <c r="Z633" s="797">
        <f t="shared" ref="Z633" si="235">IFERROR(SUM(H633:H643,L633:L643,T633:T643,X633:X643),"")</f>
        <v>0</v>
      </c>
      <c r="AA633" s="786"/>
    </row>
    <row r="634" spans="1:29" ht="18.75">
      <c r="A634" s="786"/>
      <c r="B634" s="216"/>
      <c r="C634" s="789"/>
      <c r="D634" s="792"/>
      <c r="E634" s="389">
        <f>IF(D633&lt;=3,база!$I$4,
IF(D633=4,база!$I$5,
IF(D633=5,база!$I$6)))</f>
        <v>188.7912</v>
      </c>
      <c r="F634" s="390">
        <v>1</v>
      </c>
      <c r="G634" s="400">
        <f>SUMIFS(Таблица1[Столбец1],Таблица1[коэф],"1",Таблица1[р/р],"3/4",Таблица1[Ф. И. О.],B638)</f>
        <v>0</v>
      </c>
      <c r="H634" s="392">
        <f t="shared" si="230"/>
        <v>0</v>
      </c>
      <c r="I634" s="432">
        <f>IF(D633&lt;=3,база!$J$4,
IF(D633=4,база!$J$5,
IF(D633=5,база!$J$6)))</f>
        <v>196.05240000000001</v>
      </c>
      <c r="J634" s="433">
        <v>1</v>
      </c>
      <c r="K634" s="434">
        <f>SUMIFS(Таблица1[Столбец1],Таблица1[коэф],"1",Таблица1[р/р],"3/8",Таблица1[Ф. И. О.],B638)</f>
        <v>0</v>
      </c>
      <c r="L634" s="484">
        <f t="shared" si="231"/>
        <v>0</v>
      </c>
      <c r="M634" s="434"/>
      <c r="N634" s="434">
        <v>1</v>
      </c>
      <c r="O634" s="434">
        <f>SUMIFS(Data_Tech!$AM$3:$AM$67,Data_Tech!$E$3:$E$67,"1",Data_Tech!$G$3:$G$67,"4/12",Data_Tech!$F$3:$F$67,B638)</f>
        <v>0</v>
      </c>
      <c r="P634" s="406">
        <f>ROUND(M634*O634,2)</f>
        <v>0</v>
      </c>
      <c r="Q634" s="389">
        <f>база!$L$5</f>
        <v>231.45480000000001</v>
      </c>
      <c r="R634" s="390">
        <v>1</v>
      </c>
      <c r="S634" s="400">
        <f>SUMIFS(Таблица1[Столбец1],Таблица1[коэф],"1",Таблица1[р/р],"4/16",Таблица1[Ф. И. О.],B638)</f>
        <v>0</v>
      </c>
      <c r="T634" s="492">
        <f t="shared" si="232"/>
        <v>0</v>
      </c>
      <c r="U634" s="478">
        <f>база!$M$5</f>
        <v>247.41720000000001</v>
      </c>
      <c r="V634" s="390">
        <v>1</v>
      </c>
      <c r="W634" s="412">
        <f>SUMIFS(Таблица1[Столбец1],Таблица1[коэф],"1",Таблица1[р/р],"4/24",Таблица1[Ф. И. О.],B638)</f>
        <v>0</v>
      </c>
      <c r="X634" s="492">
        <f t="shared" si="233"/>
        <v>0</v>
      </c>
      <c r="Y634" s="795"/>
      <c r="Z634" s="797"/>
      <c r="AA634" s="786"/>
    </row>
    <row r="635" spans="1:29" ht="18.75">
      <c r="A635" s="786"/>
      <c r="B635" s="216"/>
      <c r="C635" s="789"/>
      <c r="D635" s="792"/>
      <c r="E635" s="389"/>
      <c r="F635" s="390"/>
      <c r="G635" s="400"/>
      <c r="H635" s="392">
        <f t="shared" si="230"/>
        <v>0</v>
      </c>
      <c r="I635" s="432"/>
      <c r="J635" s="433"/>
      <c r="K635" s="434"/>
      <c r="L635" s="484">
        <f t="shared" si="231"/>
        <v>0</v>
      </c>
      <c r="M635" s="434"/>
      <c r="N635" s="434"/>
      <c r="O635" s="434"/>
      <c r="P635" s="406"/>
      <c r="Q635" s="389">
        <f>база!$L$6</f>
        <v>261.04640000000001</v>
      </c>
      <c r="R635" s="390">
        <v>1</v>
      </c>
      <c r="S635" s="400">
        <f>SUMIFS(Таблица1[Столбец1],Таблица1[коэф],"1",Таблица1[р/р],"5/16",Таблица1[Ф. И. О.],B638)</f>
        <v>0</v>
      </c>
      <c r="T635" s="492">
        <f t="shared" si="232"/>
        <v>0</v>
      </c>
      <c r="U635" s="478">
        <f>база!$M$6</f>
        <v>279.0496</v>
      </c>
      <c r="V635" s="390">
        <v>1</v>
      </c>
      <c r="W635" s="412">
        <f>SUMIFS(Таблица1[Столбец1],Таблица1[коэф],"1",Таблица1[р/р],"5/24",Таблица1[Ф. И. О.],B638)</f>
        <v>0</v>
      </c>
      <c r="X635" s="492">
        <f t="shared" si="233"/>
        <v>0</v>
      </c>
      <c r="Y635" s="795"/>
      <c r="Z635" s="797"/>
      <c r="AA635" s="786"/>
    </row>
    <row r="636" spans="1:29" ht="18.75">
      <c r="A636" s="786"/>
      <c r="B636" s="216"/>
      <c r="C636" s="789"/>
      <c r="D636" s="792"/>
      <c r="E636" s="389"/>
      <c r="F636" s="390"/>
      <c r="G636" s="400"/>
      <c r="H636" s="392">
        <f t="shared" si="230"/>
        <v>0</v>
      </c>
      <c r="I636" s="432">
        <f>база!$J$5</f>
        <v>215.4924</v>
      </c>
      <c r="J636" s="433">
        <v>1.5</v>
      </c>
      <c r="K636" s="434">
        <f>SUMIFS(Таблица1[Столбец1],Таблица1[коэф],"1,5",Таблица1[р/р],"4/8",Таблица1[Ф. И. О.],B638)</f>
        <v>0</v>
      </c>
      <c r="L636" s="484">
        <f t="shared" si="231"/>
        <v>0</v>
      </c>
      <c r="M636" s="434"/>
      <c r="N636" s="434"/>
      <c r="O636" s="434"/>
      <c r="P636" s="406"/>
      <c r="Q636" s="389">
        <f>IF(D633&lt;=3,база!$L$4,
IF(D633=4,база!$L$5,
IF(D633=5,база!$L$6)))</f>
        <v>210.57480000000001</v>
      </c>
      <c r="R636" s="390">
        <v>1.2</v>
      </c>
      <c r="S636" s="400">
        <f>SUMIFS(Таблица1[Столбец1],Таблица1[коэф],"1,2",Таблица1[р/р],"3/16",Таблица1[Ф. И. О.],B638)</f>
        <v>0</v>
      </c>
      <c r="T636" s="492">
        <f t="shared" si="232"/>
        <v>0</v>
      </c>
      <c r="U636" s="478">
        <f>IF(D633&lt;=3,база!$M$4,
IF(D633=4,база!$M$5,
IF(D633=5,база!$M$6)))</f>
        <v>225.09719999999999</v>
      </c>
      <c r="V636" s="390">
        <v>1.2</v>
      </c>
      <c r="W636" s="412">
        <f>SUMIFS(Таблица1[Столбец1],Таблица1[коэф],"1,2",Таблица1[р/р],"3/24",Таблица1[Ф. И. О.],B638)</f>
        <v>0</v>
      </c>
      <c r="X636" s="492">
        <f t="shared" si="233"/>
        <v>0</v>
      </c>
      <c r="Y636" s="795"/>
      <c r="Z636" s="797"/>
      <c r="AA636" s="786"/>
    </row>
    <row r="637" spans="1:29" ht="18.75">
      <c r="A637" s="786"/>
      <c r="B637" s="216"/>
      <c r="C637" s="789"/>
      <c r="D637" s="792"/>
      <c r="E637" s="389"/>
      <c r="F637" s="390"/>
      <c r="G637" s="400"/>
      <c r="H637" s="392">
        <f t="shared" si="230"/>
        <v>0</v>
      </c>
      <c r="I637" s="432">
        <f>база!$J$6</f>
        <v>243.04319999999998</v>
      </c>
      <c r="J637" s="433">
        <v>1.5</v>
      </c>
      <c r="K637" s="434">
        <f>SUMIFS(Таблица1[Столбец1],Таблица1[коэф],"1,5",Таблица1[р/р],"5/8",Таблица1[Ф. И. О.],B638)</f>
        <v>0</v>
      </c>
      <c r="L637" s="484">
        <f t="shared" si="231"/>
        <v>0</v>
      </c>
      <c r="M637" s="434"/>
      <c r="N637" s="434"/>
      <c r="O637" s="434"/>
      <c r="P637" s="406"/>
      <c r="Q637" s="389">
        <f>база!$L$5</f>
        <v>231.45480000000001</v>
      </c>
      <c r="R637" s="390">
        <v>1.2</v>
      </c>
      <c r="S637" s="400">
        <f>SUMIFS(Таблица1[Столбец1],Таблица1[коэф],"1,2",Таблица1[р/р],"4/16",Таблица1[Ф. И. О.],B638)</f>
        <v>0</v>
      </c>
      <c r="T637" s="492">
        <f t="shared" si="232"/>
        <v>0</v>
      </c>
      <c r="U637" s="478">
        <f>база!$M$5</f>
        <v>247.41720000000001</v>
      </c>
      <c r="V637" s="390">
        <v>1.2</v>
      </c>
      <c r="W637" s="412">
        <f>SUMIFS(Таблица1[Столбец1],Таблица1[коэф],"1,2",Таблица1[р/р],"4/24",Таблица1[Ф. И. О.],B638)</f>
        <v>0</v>
      </c>
      <c r="X637" s="492">
        <f t="shared" si="233"/>
        <v>0</v>
      </c>
      <c r="Y637" s="795"/>
      <c r="Z637" s="797"/>
      <c r="AA637" s="786"/>
    </row>
    <row r="638" spans="1:29" ht="18.75">
      <c r="A638" s="786"/>
      <c r="B638" s="216" t="str">
        <f>база!B59</f>
        <v>Овчинников Глеб Эдуардович</v>
      </c>
      <c r="C638" s="789"/>
      <c r="D638" s="792"/>
      <c r="E638" s="389"/>
      <c r="F638" s="390"/>
      <c r="G638" s="400"/>
      <c r="H638" s="392">
        <f t="shared" si="230"/>
        <v>0</v>
      </c>
      <c r="I638" s="432"/>
      <c r="J638" s="433"/>
      <c r="K638" s="434"/>
      <c r="L638" s="484">
        <f t="shared" si="231"/>
        <v>0</v>
      </c>
      <c r="M638" s="434"/>
      <c r="N638" s="434"/>
      <c r="O638" s="434"/>
      <c r="P638" s="406"/>
      <c r="Q638" s="389">
        <f>база!$L$6</f>
        <v>261.04640000000001</v>
      </c>
      <c r="R638" s="390">
        <v>1.2</v>
      </c>
      <c r="S638" s="400">
        <f>SUMIFS(Таблица1[Столбец1],Таблица1[коэф],"1,2",Таблица1[р/р],"5/16",Таблица1[Ф. И. О.],B638)</f>
        <v>0</v>
      </c>
      <c r="T638" s="492">
        <f t="shared" si="232"/>
        <v>0</v>
      </c>
      <c r="U638" s="478">
        <f>база!$M$6</f>
        <v>279.0496</v>
      </c>
      <c r="V638" s="390">
        <v>1.2</v>
      </c>
      <c r="W638" s="412">
        <f>SUMIFS(Таблица1[Столбец1],Таблица1[коэф],"1,2",Таблица1[р/р],"5/24",Таблица1[Ф. И. О.],B638)</f>
        <v>0</v>
      </c>
      <c r="X638" s="492">
        <f t="shared" si="233"/>
        <v>0</v>
      </c>
      <c r="Y638" s="795"/>
      <c r="Z638" s="797"/>
      <c r="AA638" s="786"/>
      <c r="AC638" s="727" t="str">
        <f>IF(SUMIFS(Таблица1[Столбец3],Таблица1[Ф. И. О.],B638)-Z633=0,"",SUMIFS(Таблица1[Столбец3],Таблица1[Ф. И. О.],B638)-Z633)</f>
        <v/>
      </c>
    </row>
    <row r="639" spans="1:29" ht="18.75">
      <c r="A639" s="786"/>
      <c r="B639" s="216"/>
      <c r="C639" s="789"/>
      <c r="D639" s="792"/>
      <c r="E639" s="389"/>
      <c r="F639" s="390"/>
      <c r="G639" s="400"/>
      <c r="H639" s="392">
        <f t="shared" si="230"/>
        <v>0</v>
      </c>
      <c r="I639" s="432"/>
      <c r="J639" s="433"/>
      <c r="K639" s="434"/>
      <c r="L639" s="484">
        <f t="shared" si="231"/>
        <v>0</v>
      </c>
      <c r="M639" s="434"/>
      <c r="N639" s="434"/>
      <c r="O639" s="434"/>
      <c r="P639" s="406"/>
      <c r="Q639" s="389">
        <f>IF($D$6&lt;=3,база!$L$4,
IF($D$6=4,база!$L$5,
IF($D$6=5,база!$L$6)))</f>
        <v>231.45480000000001</v>
      </c>
      <c r="R639" s="390">
        <v>1.3</v>
      </c>
      <c r="S639" s="400">
        <f>SUMIFS(Таблица1[Столбец1],Таблица1[коэф],"1,3",Таблица1[р/р],"3/16",Таблица1[Ф. И. О.],B638)</f>
        <v>0</v>
      </c>
      <c r="T639" s="492">
        <f t="shared" si="232"/>
        <v>0</v>
      </c>
      <c r="U639" s="478">
        <f>IF(D633&lt;=3,база!$M$4,
IF(D633=4,база!$M$5,
IF(D633=5,база!$M$6)))</f>
        <v>225.09719999999999</v>
      </c>
      <c r="V639" s="390">
        <v>1.3</v>
      </c>
      <c r="W639" s="412">
        <f>SUMIFS(Таблица1[Столбец1],Таблица1[коэф],"1,3",Таблица1[р/р],"3/24",Таблица1[Ф. И. О.],B638)</f>
        <v>0</v>
      </c>
      <c r="X639" s="492">
        <f t="shared" si="233"/>
        <v>0</v>
      </c>
      <c r="Y639" s="795"/>
      <c r="Z639" s="797"/>
      <c r="AA639" s="786"/>
      <c r="AC639" s="727" t="str">
        <f>IF(SUMIFS(Таблица1[Столбец1],Таблица1[Ф. И. О.],B638)=Y633,"",B638&amp;"  часы не верны")</f>
        <v/>
      </c>
    </row>
    <row r="640" spans="1:29" ht="18.75">
      <c r="A640" s="786"/>
      <c r="B640" s="216"/>
      <c r="C640" s="789"/>
      <c r="D640" s="792"/>
      <c r="E640" s="389"/>
      <c r="F640" s="390"/>
      <c r="G640" s="400"/>
      <c r="H640" s="392">
        <f t="shared" si="230"/>
        <v>0</v>
      </c>
      <c r="I640" s="432"/>
      <c r="J640" s="433"/>
      <c r="K640" s="434"/>
      <c r="L640" s="484">
        <f t="shared" si="231"/>
        <v>0</v>
      </c>
      <c r="M640" s="434"/>
      <c r="N640" s="434"/>
      <c r="O640" s="434"/>
      <c r="P640" s="406"/>
      <c r="Q640" s="389">
        <f>база!$L$5</f>
        <v>231.45480000000001</v>
      </c>
      <c r="R640" s="390">
        <v>1.3</v>
      </c>
      <c r="S640" s="400">
        <f>SUMIFS(Таблица1[Столбец1],Таблица1[коэф],"1,3",Таблица1[р/р],"4/16",Таблица1[Ф. И. О.],B638)</f>
        <v>0</v>
      </c>
      <c r="T640" s="492">
        <f t="shared" si="232"/>
        <v>0</v>
      </c>
      <c r="U640" s="478">
        <f>база!$M$5</f>
        <v>247.41720000000001</v>
      </c>
      <c r="V640" s="390">
        <v>1.3</v>
      </c>
      <c r="W640" s="412">
        <f>SUMIFS(Таблица1[Столбец1],Таблица1[коэф],"1,3",Таблица1[р/р],"4/24",Таблица1[Ф. И. О.],B638)</f>
        <v>0</v>
      </c>
      <c r="X640" s="492">
        <f t="shared" si="233"/>
        <v>0</v>
      </c>
      <c r="Y640" s="795"/>
      <c r="Z640" s="797"/>
      <c r="AA640" s="786"/>
    </row>
    <row r="641" spans="1:29" ht="18.75">
      <c r="A641" s="786"/>
      <c r="B641" s="216"/>
      <c r="C641" s="789"/>
      <c r="D641" s="792"/>
      <c r="E641" s="389"/>
      <c r="F641" s="390"/>
      <c r="G641" s="400"/>
      <c r="H641" s="392">
        <f t="shared" si="230"/>
        <v>0</v>
      </c>
      <c r="I641" s="432"/>
      <c r="J641" s="433"/>
      <c r="K641" s="434"/>
      <c r="L641" s="484">
        <f t="shared" si="231"/>
        <v>0</v>
      </c>
      <c r="M641" s="434"/>
      <c r="N641" s="434"/>
      <c r="O641" s="434"/>
      <c r="P641" s="406"/>
      <c r="Q641" s="389">
        <f>IF(D633&lt;=3,база!$L$4,
IF(D633=4,база!$L$5,
IF(D633=5,база!$L$6)))</f>
        <v>210.57480000000001</v>
      </c>
      <c r="R641" s="390">
        <v>1.4</v>
      </c>
      <c r="S641" s="400">
        <f>SUMIFS(Таблица1[Столбец1],Таблица1[коэф],"1,4",Таблица1[р/р],"3/16",Таблица1[Ф. И. О.],B638)</f>
        <v>0</v>
      </c>
      <c r="T641" s="492">
        <f t="shared" si="232"/>
        <v>0</v>
      </c>
      <c r="U641" s="478">
        <f>IF(D633&lt;=3,база!$M$4,
IF(D633=4,база!$M$5,
IF(D633=5,база!$M$6)))</f>
        <v>225.09719999999999</v>
      </c>
      <c r="V641" s="390">
        <v>1.4</v>
      </c>
      <c r="W641" s="412">
        <f>SUMIFS(Таблица1[Столбец1],Таблица1[коэф],"1,4",Таблица1[р/р],"3/24",Таблица1[Ф. И. О.],B638)</f>
        <v>0</v>
      </c>
      <c r="X641" s="492">
        <f t="shared" si="233"/>
        <v>0</v>
      </c>
      <c r="Y641" s="795"/>
      <c r="Z641" s="797"/>
      <c r="AA641" s="786"/>
    </row>
    <row r="642" spans="1:29" ht="18.75">
      <c r="A642" s="786"/>
      <c r="B642" s="216"/>
      <c r="C642" s="789"/>
      <c r="D642" s="792"/>
      <c r="E642" s="389"/>
      <c r="F642" s="390"/>
      <c r="G642" s="400"/>
      <c r="H642" s="392">
        <f t="shared" si="230"/>
        <v>0</v>
      </c>
      <c r="I642" s="432"/>
      <c r="J642" s="433"/>
      <c r="K642" s="434"/>
      <c r="L642" s="484">
        <f t="shared" si="231"/>
        <v>0</v>
      </c>
      <c r="M642" s="434"/>
      <c r="N642" s="434"/>
      <c r="O642" s="434"/>
      <c r="P642" s="406"/>
      <c r="Q642" s="389">
        <f>база!$L$5</f>
        <v>231.45480000000001</v>
      </c>
      <c r="R642" s="390">
        <v>1.4</v>
      </c>
      <c r="S642" s="400">
        <f>SUMIFS(Таблица1[Столбец1],Таблица1[коэф],"1,4",Таблица1[р/р],"4/16",Таблица1[Ф. И. О.],B638)</f>
        <v>0</v>
      </c>
      <c r="T642" s="492">
        <f t="shared" si="232"/>
        <v>0</v>
      </c>
      <c r="U642" s="478">
        <f>база!$M$5</f>
        <v>247.41720000000001</v>
      </c>
      <c r="V642" s="390">
        <v>1.4</v>
      </c>
      <c r="W642" s="412">
        <f>SUMIFS(Таблица1[Столбец1],Таблица1[коэф],"1,4",Таблица1[р/р],"4/24",Таблица1[Ф. И. О.],B638)</f>
        <v>0</v>
      </c>
      <c r="X642" s="492">
        <f t="shared" si="233"/>
        <v>0</v>
      </c>
      <c r="Y642" s="795"/>
      <c r="Z642" s="797"/>
      <c r="AA642" s="786"/>
    </row>
    <row r="643" spans="1:29" ht="19.5" thickBot="1">
      <c r="A643" s="787"/>
      <c r="B643" s="203"/>
      <c r="C643" s="790"/>
      <c r="D643" s="793"/>
      <c r="E643" s="473"/>
      <c r="F643" s="464"/>
      <c r="G643" s="465"/>
      <c r="H643" s="402">
        <f t="shared" si="230"/>
        <v>0</v>
      </c>
      <c r="I643" s="466"/>
      <c r="J643" s="456"/>
      <c r="K643" s="457"/>
      <c r="L643" s="484">
        <f t="shared" si="231"/>
        <v>0</v>
      </c>
      <c r="M643" s="457"/>
      <c r="N643" s="457"/>
      <c r="O643" s="457"/>
      <c r="P643" s="476"/>
      <c r="Q643" s="473">
        <f>база!$L$6</f>
        <v>261.04640000000001</v>
      </c>
      <c r="R643" s="464">
        <v>1.4</v>
      </c>
      <c r="S643" s="465">
        <f>SUMIFS(Таблица1[Столбец1],Таблица1[коэф],"1,4",Таблица1[р/р],"5/16",Таблица1[Ф. И. О.],B638)</f>
        <v>0</v>
      </c>
      <c r="T643" s="492">
        <f t="shared" si="232"/>
        <v>0</v>
      </c>
      <c r="U643" s="480">
        <f>база!$M$6</f>
        <v>279.0496</v>
      </c>
      <c r="V643" s="464">
        <v>1.4</v>
      </c>
      <c r="W643" s="470">
        <f>SUMIFS(Таблица1[Столбец1],Таблица1[коэф],"1,4",Таблица1[р/р],"5/24",Таблица1[Ф. И. О.],B638)</f>
        <v>0</v>
      </c>
      <c r="X643" s="492">
        <f t="shared" si="233"/>
        <v>0</v>
      </c>
      <c r="Y643" s="796"/>
      <c r="Z643" s="798"/>
      <c r="AA643" s="787"/>
    </row>
    <row r="644" spans="1:29" ht="18.75">
      <c r="A644" s="785">
        <v>59</v>
      </c>
      <c r="B644" s="216"/>
      <c r="C644" s="788">
        <f>INDEX(база!$E$2:$E$150, MATCH(B649,база!$B$2:$B$150,0))</f>
        <v>16311</v>
      </c>
      <c r="D644" s="791">
        <f>INDEX(база!$D$2:$D$150, MATCH(B649,база!$B$2:$B$150,0))</f>
        <v>3</v>
      </c>
      <c r="E644" s="377">
        <f>IF(D644&lt;=3,база!$I$4,
IF(D644=4,база!$I$5,
IF(D644=5,база!$I$6)))</f>
        <v>188.7912</v>
      </c>
      <c r="F644" s="378">
        <v>1</v>
      </c>
      <c r="G644" s="387">
        <f>SUMIFS(Таблица1[Столбец1],Таблица1[коэф],"1",Таблица1[р/р],"2/4",Таблица1[Ф. И. О.],B649)</f>
        <v>0</v>
      </c>
      <c r="H644" s="380">
        <f t="shared" si="230"/>
        <v>0</v>
      </c>
      <c r="I644" s="452">
        <f>IF(D644&lt;=3,база!$J$4,
IF(D644=4,база!$J$5,
IF(D644=5,база!$J$6)))</f>
        <v>196.05240000000001</v>
      </c>
      <c r="J644" s="475">
        <v>1</v>
      </c>
      <c r="K644" s="453">
        <f>SUMIFS(Таблица1[Столбец1],Таблица1[коэф],"1",Таблица1[р/р],"2/8",Таблица1[Ф. И. О.],B649)</f>
        <v>0</v>
      </c>
      <c r="L644" s="383">
        <f t="shared" si="231"/>
        <v>0</v>
      </c>
      <c r="M644" s="453"/>
      <c r="N644" s="453">
        <v>1</v>
      </c>
      <c r="O644" s="453">
        <f>SUMIFS(Data_Tech!$AM$3:$AM$67,Data_Tech!$E$3:$E$67,"1",Data_Tech!$G$3:$G$67,"3/12",Data_Tech!$F$3:$F$67,B649)</f>
        <v>0</v>
      </c>
      <c r="P644" s="398">
        <f>ROUND(M644*N644*O644,2)</f>
        <v>0</v>
      </c>
      <c r="Q644" s="377">
        <f>IF(D644&lt;=3,база!$L$4,
IF(D644=4,база!$L$5,
IF(D644=5,база!$L$6)))</f>
        <v>210.57480000000001</v>
      </c>
      <c r="R644" s="378">
        <v>1</v>
      </c>
      <c r="S644" s="387">
        <f>SUMIFS(Таблица1[Столбец1],Таблица1[коэф],"1",Таблица1[р/р],"3/16",Таблица1[Ф. И. О.],B649)</f>
        <v>0</v>
      </c>
      <c r="T644" s="490">
        <f t="shared" si="232"/>
        <v>0</v>
      </c>
      <c r="U644" s="483">
        <f>IF(D644&lt;=3,база!$M$4,
IF(D644=4,база!$M$5,
IF(D644=5,база!$M$6)))</f>
        <v>225.09719999999999</v>
      </c>
      <c r="V644" s="417">
        <v>1</v>
      </c>
      <c r="W644" s="455">
        <f>SUMIFS(Таблица1[Столбец1],Таблица1[коэф],"1",Таблица1[р/р],"3/24",Таблица1[Ф. И. О.],B649)</f>
        <v>0</v>
      </c>
      <c r="X644" s="490">
        <f t="shared" si="233"/>
        <v>0</v>
      </c>
      <c r="Y644" s="795">
        <f t="shared" ref="Y644" si="236">SUM(G644:G654,K644:K654,O644:O654,S644:S654,W644:W654)</f>
        <v>0</v>
      </c>
      <c r="Z644" s="797">
        <f t="shared" ref="Z644" si="237">IFERROR(SUM(H644:H654,L644:L654,T644:T654,X644:X654),"")</f>
        <v>0</v>
      </c>
      <c r="AA644" s="786"/>
    </row>
    <row r="645" spans="1:29" ht="18.75">
      <c r="A645" s="786"/>
      <c r="B645" s="216"/>
      <c r="C645" s="789"/>
      <c r="D645" s="792"/>
      <c r="E645" s="389">
        <f>IF(D644&lt;=3,база!$I$4,
IF(D644=4,база!$I$5,
IF(D644=5,база!$I$6)))</f>
        <v>188.7912</v>
      </c>
      <c r="F645" s="390">
        <v>1</v>
      </c>
      <c r="G645" s="400">
        <f>SUMIFS(Таблица1[Столбец1],Таблица1[коэф],"1",Таблица1[р/р],"3/4",Таблица1[Ф. И. О.],B649)</f>
        <v>0</v>
      </c>
      <c r="H645" s="392">
        <f t="shared" si="230"/>
        <v>0</v>
      </c>
      <c r="I645" s="432">
        <f>IF(D644&lt;=3,база!$J$4,
IF(D644=4,база!$J$5,
IF(D644=5,база!$J$6)))</f>
        <v>196.05240000000001</v>
      </c>
      <c r="J645" s="433">
        <v>1</v>
      </c>
      <c r="K645" s="434">
        <f>SUMIFS(Таблица1[Столбец1],Таблица1[коэф],"1",Таблица1[р/р],"3/8",Таблица1[Ф. И. О.],B649)</f>
        <v>0</v>
      </c>
      <c r="L645" s="484">
        <f t="shared" si="231"/>
        <v>0</v>
      </c>
      <c r="M645" s="434"/>
      <c r="N645" s="434">
        <v>1</v>
      </c>
      <c r="O645" s="434">
        <f>SUMIFS(Data_Tech!$AM$3:$AM$67,Data_Tech!$E$3:$E$67,"1",Data_Tech!$G$3:$G$67,"4/12",Data_Tech!$F$3:$F$67,B649)</f>
        <v>0</v>
      </c>
      <c r="P645" s="406">
        <f>ROUND(M645*O645,2)</f>
        <v>0</v>
      </c>
      <c r="Q645" s="389">
        <f>база!$L$5</f>
        <v>231.45480000000001</v>
      </c>
      <c r="R645" s="390">
        <v>1</v>
      </c>
      <c r="S645" s="400">
        <f>SUMIFS(Таблица1[Столбец1],Таблица1[коэф],"1",Таблица1[р/р],"4/16",Таблица1[Ф. И. О.],B649)</f>
        <v>0</v>
      </c>
      <c r="T645" s="492">
        <f t="shared" si="232"/>
        <v>0</v>
      </c>
      <c r="U645" s="478">
        <f>база!$M$5</f>
        <v>247.41720000000001</v>
      </c>
      <c r="V645" s="390">
        <v>1</v>
      </c>
      <c r="W645" s="412">
        <f>SUMIFS(Таблица1[Столбец1],Таблица1[коэф],"1",Таблица1[р/р],"4/24",Таблица1[Ф. И. О.],B649)</f>
        <v>0</v>
      </c>
      <c r="X645" s="492">
        <f t="shared" si="233"/>
        <v>0</v>
      </c>
      <c r="Y645" s="795"/>
      <c r="Z645" s="797"/>
      <c r="AA645" s="786"/>
    </row>
    <row r="646" spans="1:29" ht="18.75">
      <c r="A646" s="786"/>
      <c r="B646" s="216"/>
      <c r="C646" s="789"/>
      <c r="D646" s="792"/>
      <c r="E646" s="389"/>
      <c r="F646" s="390"/>
      <c r="G646" s="400"/>
      <c r="H646" s="392">
        <f t="shared" si="230"/>
        <v>0</v>
      </c>
      <c r="I646" s="432"/>
      <c r="J646" s="433"/>
      <c r="K646" s="434"/>
      <c r="L646" s="484">
        <f t="shared" si="231"/>
        <v>0</v>
      </c>
      <c r="M646" s="434"/>
      <c r="N646" s="434"/>
      <c r="O646" s="434"/>
      <c r="P646" s="406"/>
      <c r="Q646" s="389">
        <f>база!$L$6</f>
        <v>261.04640000000001</v>
      </c>
      <c r="R646" s="390">
        <v>1</v>
      </c>
      <c r="S646" s="400">
        <f>SUMIFS(Таблица1[Столбец1],Таблица1[коэф],"1",Таблица1[р/р],"5/16",Таблица1[Ф. И. О.],B649)</f>
        <v>0</v>
      </c>
      <c r="T646" s="492">
        <f t="shared" si="232"/>
        <v>0</v>
      </c>
      <c r="U646" s="478">
        <f>база!$M$6</f>
        <v>279.0496</v>
      </c>
      <c r="V646" s="390">
        <v>1</v>
      </c>
      <c r="W646" s="412">
        <f>SUMIFS(Таблица1[Столбец1],Таблица1[коэф],"1",Таблица1[р/р],"5/24",Таблица1[Ф. И. О.],B649)</f>
        <v>0</v>
      </c>
      <c r="X646" s="492">
        <f t="shared" si="233"/>
        <v>0</v>
      </c>
      <c r="Y646" s="795"/>
      <c r="Z646" s="797"/>
      <c r="AA646" s="786"/>
    </row>
    <row r="647" spans="1:29" ht="18.75">
      <c r="A647" s="786"/>
      <c r="B647" s="216"/>
      <c r="C647" s="789"/>
      <c r="D647" s="792"/>
      <c r="E647" s="389"/>
      <c r="F647" s="390"/>
      <c r="G647" s="400"/>
      <c r="H647" s="392">
        <f t="shared" si="230"/>
        <v>0</v>
      </c>
      <c r="I647" s="432">
        <f>база!$J$5</f>
        <v>215.4924</v>
      </c>
      <c r="J647" s="433">
        <v>1.5</v>
      </c>
      <c r="K647" s="434">
        <f>SUMIFS(Таблица1[Столбец1],Таблица1[коэф],"1,5",Таблица1[р/р],"4/8",Таблица1[Ф. И. О.],B649)</f>
        <v>0</v>
      </c>
      <c r="L647" s="484">
        <f t="shared" si="231"/>
        <v>0</v>
      </c>
      <c r="M647" s="434"/>
      <c r="N647" s="434"/>
      <c r="O647" s="434"/>
      <c r="P647" s="406"/>
      <c r="Q647" s="389">
        <f>IF(D644&lt;=3,база!$L$4,
IF(D644=4,база!$L$5,
IF(D644=5,база!$L$6)))</f>
        <v>210.57480000000001</v>
      </c>
      <c r="R647" s="390">
        <v>1.2</v>
      </c>
      <c r="S647" s="400">
        <f>SUMIFS(Таблица1[Столбец1],Таблица1[коэф],"1,2",Таблица1[р/р],"3/16",Таблица1[Ф. И. О.],B649)</f>
        <v>0</v>
      </c>
      <c r="T647" s="492">
        <f t="shared" si="232"/>
        <v>0</v>
      </c>
      <c r="U647" s="478">
        <f>IF(D644&lt;=3,база!$M$4,
IF(D644=4,база!$M$5,
IF(D644=5,база!$M$6)))</f>
        <v>225.09719999999999</v>
      </c>
      <c r="V647" s="390">
        <v>1.2</v>
      </c>
      <c r="W647" s="412">
        <f>SUMIFS(Таблица1[Столбец1],Таблица1[коэф],"1,2",Таблица1[р/р],"3/24",Таблица1[Ф. И. О.],B649)</f>
        <v>0</v>
      </c>
      <c r="X647" s="492">
        <f t="shared" si="233"/>
        <v>0</v>
      </c>
      <c r="Y647" s="795"/>
      <c r="Z647" s="797"/>
      <c r="AA647" s="786"/>
    </row>
    <row r="648" spans="1:29" ht="18.75">
      <c r="A648" s="786"/>
      <c r="B648" s="216"/>
      <c r="C648" s="789"/>
      <c r="D648" s="792"/>
      <c r="E648" s="389"/>
      <c r="F648" s="390"/>
      <c r="G648" s="400"/>
      <c r="H648" s="392">
        <f t="shared" si="230"/>
        <v>0</v>
      </c>
      <c r="I648" s="432">
        <f>база!$J$6</f>
        <v>243.04319999999998</v>
      </c>
      <c r="J648" s="433">
        <v>1.5</v>
      </c>
      <c r="K648" s="434">
        <f>SUMIFS(Таблица1[Столбец1],Таблица1[коэф],"1,5",Таблица1[р/р],"5/8",Таблица1[Ф. И. О.],B649)</f>
        <v>0</v>
      </c>
      <c r="L648" s="484">
        <f t="shared" si="231"/>
        <v>0</v>
      </c>
      <c r="M648" s="434"/>
      <c r="N648" s="434"/>
      <c r="O648" s="434"/>
      <c r="P648" s="406"/>
      <c r="Q648" s="389">
        <f>база!$L$5</f>
        <v>231.45480000000001</v>
      </c>
      <c r="R648" s="390">
        <v>1.2</v>
      </c>
      <c r="S648" s="400">
        <f>SUMIFS(Таблица1[Столбец1],Таблица1[коэф],"1,2",Таблица1[р/р],"4/16",Таблица1[Ф. И. О.],B649)</f>
        <v>0</v>
      </c>
      <c r="T648" s="492">
        <f t="shared" si="232"/>
        <v>0</v>
      </c>
      <c r="U648" s="478">
        <f>база!$M$5</f>
        <v>247.41720000000001</v>
      </c>
      <c r="V648" s="390">
        <v>1.2</v>
      </c>
      <c r="W648" s="412">
        <f>SUMIFS(Таблица1[Столбец1],Таблица1[коэф],"1,2",Таблица1[р/р],"4/24",Таблица1[Ф. И. О.],B649)</f>
        <v>0</v>
      </c>
      <c r="X648" s="492">
        <f t="shared" si="233"/>
        <v>0</v>
      </c>
      <c r="Y648" s="795"/>
      <c r="Z648" s="797"/>
      <c r="AA648" s="786"/>
    </row>
    <row r="649" spans="1:29" ht="18.75">
      <c r="A649" s="786"/>
      <c r="B649" s="216" t="str">
        <f>база!B60</f>
        <v>Оленева Анна Викторовна</v>
      </c>
      <c r="C649" s="789"/>
      <c r="D649" s="792"/>
      <c r="E649" s="389"/>
      <c r="F649" s="390"/>
      <c r="G649" s="400"/>
      <c r="H649" s="392">
        <f t="shared" si="230"/>
        <v>0</v>
      </c>
      <c r="I649" s="432"/>
      <c r="J649" s="433"/>
      <c r="K649" s="434"/>
      <c r="L649" s="484">
        <f t="shared" si="231"/>
        <v>0</v>
      </c>
      <c r="M649" s="434"/>
      <c r="N649" s="434"/>
      <c r="O649" s="434"/>
      <c r="P649" s="406"/>
      <c r="Q649" s="389">
        <f>база!$L$6</f>
        <v>261.04640000000001</v>
      </c>
      <c r="R649" s="390">
        <v>1.2</v>
      </c>
      <c r="S649" s="400">
        <f>SUMIFS(Таблица1[Столбец1],Таблица1[коэф],"1,2",Таблица1[р/р],"5/16",Таблица1[Ф. И. О.],B649)</f>
        <v>0</v>
      </c>
      <c r="T649" s="492">
        <f t="shared" si="232"/>
        <v>0</v>
      </c>
      <c r="U649" s="478">
        <f>база!$M$6</f>
        <v>279.0496</v>
      </c>
      <c r="V649" s="390">
        <v>1.2</v>
      </c>
      <c r="W649" s="412">
        <f>SUMIFS(Таблица1[Столбец1],Таблица1[коэф],"1,2",Таблица1[р/р],"5/24",Таблица1[Ф. И. О.],B649)</f>
        <v>0</v>
      </c>
      <c r="X649" s="492">
        <f t="shared" si="233"/>
        <v>0</v>
      </c>
      <c r="Y649" s="795"/>
      <c r="Z649" s="797"/>
      <c r="AA649" s="786"/>
      <c r="AC649" s="727" t="str">
        <f>IF(SUMIFS(Таблица1[Столбец3],Таблица1[Ф. И. О.],B649)-Z644=0,"",SUMIFS(Таблица1[Столбец3],Таблица1[Ф. И. О.],B649)-Z644)</f>
        <v/>
      </c>
    </row>
    <row r="650" spans="1:29" ht="18.75">
      <c r="A650" s="786"/>
      <c r="B650" s="216"/>
      <c r="C650" s="789"/>
      <c r="D650" s="792"/>
      <c r="E650" s="389"/>
      <c r="F650" s="390"/>
      <c r="G650" s="400"/>
      <c r="H650" s="392">
        <f t="shared" si="230"/>
        <v>0</v>
      </c>
      <c r="I650" s="432"/>
      <c r="J650" s="433"/>
      <c r="K650" s="434"/>
      <c r="L650" s="484">
        <f t="shared" si="231"/>
        <v>0</v>
      </c>
      <c r="M650" s="434"/>
      <c r="N650" s="434"/>
      <c r="O650" s="434"/>
      <c r="P650" s="406"/>
      <c r="Q650" s="389">
        <f>IF($D$6&lt;=3,база!$L$4,
IF($D$6=4,база!$L$5,
IF($D$6=5,база!$L$6)))</f>
        <v>231.45480000000001</v>
      </c>
      <c r="R650" s="390">
        <v>1.3</v>
      </c>
      <c r="S650" s="400">
        <f>SUMIFS(Таблица1[Столбец1],Таблица1[коэф],"1,3",Таблица1[р/р],"3/16",Таблица1[Ф. И. О.],B649)</f>
        <v>0</v>
      </c>
      <c r="T650" s="492">
        <f t="shared" si="232"/>
        <v>0</v>
      </c>
      <c r="U650" s="478">
        <f>IF(D644&lt;=3,база!$M$4,
IF(D644=4,база!$M$5,
IF(D644=5,база!$M$6)))</f>
        <v>225.09719999999999</v>
      </c>
      <c r="V650" s="390">
        <v>1.3</v>
      </c>
      <c r="W650" s="412">
        <f>SUMIFS(Таблица1[Столбец1],Таблица1[коэф],"1,3",Таблица1[р/р],"3/24",Таблица1[Ф. И. О.],B649)</f>
        <v>0</v>
      </c>
      <c r="X650" s="492">
        <f t="shared" si="233"/>
        <v>0</v>
      </c>
      <c r="Y650" s="795"/>
      <c r="Z650" s="797"/>
      <c r="AA650" s="786"/>
      <c r="AC650" s="727" t="str">
        <f>IF(SUMIFS(Таблица1[Столбец1],Таблица1[Ф. И. О.],B649)=Y644,"",B649&amp;"  часы не верны")</f>
        <v/>
      </c>
    </row>
    <row r="651" spans="1:29" ht="18.75">
      <c r="A651" s="786"/>
      <c r="B651" s="216"/>
      <c r="C651" s="789"/>
      <c r="D651" s="792"/>
      <c r="E651" s="389"/>
      <c r="F651" s="390"/>
      <c r="G651" s="400"/>
      <c r="H651" s="392">
        <f t="shared" si="230"/>
        <v>0</v>
      </c>
      <c r="I651" s="432"/>
      <c r="J651" s="433"/>
      <c r="K651" s="434"/>
      <c r="L651" s="484">
        <f t="shared" si="231"/>
        <v>0</v>
      </c>
      <c r="M651" s="434"/>
      <c r="N651" s="434"/>
      <c r="O651" s="434"/>
      <c r="P651" s="406"/>
      <c r="Q651" s="389">
        <f>база!$L$5</f>
        <v>231.45480000000001</v>
      </c>
      <c r="R651" s="390">
        <v>1.3</v>
      </c>
      <c r="S651" s="400">
        <f>SUMIFS(Таблица1[Столбец1],Таблица1[коэф],"1,3",Таблица1[р/р],"4/16",Таблица1[Ф. И. О.],B649)</f>
        <v>0</v>
      </c>
      <c r="T651" s="492">
        <f t="shared" si="232"/>
        <v>0</v>
      </c>
      <c r="U651" s="478">
        <f>база!$M$5</f>
        <v>247.41720000000001</v>
      </c>
      <c r="V651" s="390">
        <v>1.3</v>
      </c>
      <c r="W651" s="412">
        <f>SUMIFS(Таблица1[Столбец1],Таблица1[коэф],"1,3",Таблица1[р/р],"4/24",Таблица1[Ф. И. О.],B649)</f>
        <v>0</v>
      </c>
      <c r="X651" s="492">
        <f t="shared" si="233"/>
        <v>0</v>
      </c>
      <c r="Y651" s="795"/>
      <c r="Z651" s="797"/>
      <c r="AA651" s="786"/>
    </row>
    <row r="652" spans="1:29" ht="18.75">
      <c r="A652" s="786"/>
      <c r="B652" s="216"/>
      <c r="C652" s="789"/>
      <c r="D652" s="792"/>
      <c r="E652" s="389"/>
      <c r="F652" s="390"/>
      <c r="G652" s="400"/>
      <c r="H652" s="392">
        <f t="shared" si="230"/>
        <v>0</v>
      </c>
      <c r="I652" s="432"/>
      <c r="J652" s="433"/>
      <c r="K652" s="434"/>
      <c r="L652" s="484">
        <f t="shared" si="231"/>
        <v>0</v>
      </c>
      <c r="M652" s="434"/>
      <c r="N652" s="434"/>
      <c r="O652" s="434"/>
      <c r="P652" s="406"/>
      <c r="Q652" s="389">
        <f>IF(D644&lt;=3,база!$L$4,
IF(D644=4,база!$L$5,
IF(D644=5,база!$L$6)))</f>
        <v>210.57480000000001</v>
      </c>
      <c r="R652" s="390">
        <v>1.4</v>
      </c>
      <c r="S652" s="400">
        <f>SUMIFS(Таблица1[Столбец1],Таблица1[коэф],"1,4",Таблица1[р/р],"3/16",Таблица1[Ф. И. О.],B649)</f>
        <v>0</v>
      </c>
      <c r="T652" s="492">
        <f t="shared" si="232"/>
        <v>0</v>
      </c>
      <c r="U652" s="478">
        <f>IF(D644&lt;=3,база!$M$4,
IF(D644=4,база!$M$5,
IF(D644=5,база!$M$6)))</f>
        <v>225.09719999999999</v>
      </c>
      <c r="V652" s="390">
        <v>1.4</v>
      </c>
      <c r="W652" s="412">
        <f>SUMIFS(Таблица1[Столбец1],Таблица1[коэф],"1,4",Таблица1[р/р],"3/24",Таблица1[Ф. И. О.],B649)</f>
        <v>0</v>
      </c>
      <c r="X652" s="492">
        <f t="shared" si="233"/>
        <v>0</v>
      </c>
      <c r="Y652" s="795"/>
      <c r="Z652" s="797"/>
      <c r="AA652" s="786"/>
    </row>
    <row r="653" spans="1:29" ht="18.75">
      <c r="A653" s="786"/>
      <c r="B653" s="216"/>
      <c r="C653" s="789"/>
      <c r="D653" s="792"/>
      <c r="E653" s="389"/>
      <c r="F653" s="390"/>
      <c r="G653" s="400"/>
      <c r="H653" s="392">
        <f t="shared" si="230"/>
        <v>0</v>
      </c>
      <c r="I653" s="432"/>
      <c r="J653" s="433"/>
      <c r="K653" s="434"/>
      <c r="L653" s="484">
        <f t="shared" si="231"/>
        <v>0</v>
      </c>
      <c r="M653" s="434"/>
      <c r="N653" s="434"/>
      <c r="O653" s="434"/>
      <c r="P653" s="406"/>
      <c r="Q653" s="389">
        <f>база!$L$5</f>
        <v>231.45480000000001</v>
      </c>
      <c r="R653" s="390">
        <v>1.4</v>
      </c>
      <c r="S653" s="400">
        <f>SUMIFS(Таблица1[Столбец1],Таблица1[коэф],"1,4",Таблица1[р/р],"4/16",Таблица1[Ф. И. О.],B649)</f>
        <v>0</v>
      </c>
      <c r="T653" s="492">
        <f t="shared" si="232"/>
        <v>0</v>
      </c>
      <c r="U653" s="478">
        <f>база!$M$5</f>
        <v>247.41720000000001</v>
      </c>
      <c r="V653" s="390">
        <v>1.4</v>
      </c>
      <c r="W653" s="412">
        <f>SUMIFS(Таблица1[Столбец1],Таблица1[коэф],"1,4",Таблица1[р/р],"4/24",Таблица1[Ф. И. О.],B649)</f>
        <v>0</v>
      </c>
      <c r="X653" s="492">
        <f t="shared" si="233"/>
        <v>0</v>
      </c>
      <c r="Y653" s="795"/>
      <c r="Z653" s="797"/>
      <c r="AA653" s="786"/>
    </row>
    <row r="654" spans="1:29" ht="19.5" thickBot="1">
      <c r="A654" s="787"/>
      <c r="B654" s="352"/>
      <c r="C654" s="790"/>
      <c r="D654" s="793"/>
      <c r="E654" s="481"/>
      <c r="F654" s="417"/>
      <c r="G654" s="486"/>
      <c r="H654" s="468">
        <f t="shared" si="230"/>
        <v>0</v>
      </c>
      <c r="I654" s="651"/>
      <c r="J654" s="456"/>
      <c r="K654" s="652"/>
      <c r="L654" s="484">
        <f t="shared" si="231"/>
        <v>0</v>
      </c>
      <c r="M654" s="396"/>
      <c r="N654" s="397"/>
      <c r="O654" s="397"/>
      <c r="P654" s="398"/>
      <c r="Q654" s="487">
        <f>база!$L$6</f>
        <v>261.04640000000001</v>
      </c>
      <c r="R654" s="417">
        <v>1.4</v>
      </c>
      <c r="S654" s="418">
        <f>SUMIFS(Таблица1[Столбец1],Таблица1[коэф],"1,4",Таблица1[р/р],"5/16",Таблица1[Ф. И. О.],B649)</f>
        <v>0</v>
      </c>
      <c r="T654" s="492">
        <f t="shared" si="232"/>
        <v>0</v>
      </c>
      <c r="U654" s="473">
        <f>база!$M$6</f>
        <v>279.0496</v>
      </c>
      <c r="V654" s="464">
        <v>1.4</v>
      </c>
      <c r="W654" s="465">
        <f>SUMIFS(Таблица1[Столбец1],Таблица1[коэф],"1,4",Таблица1[р/р],"5/24",Таблица1[Ф. И. О.],B649)</f>
        <v>0</v>
      </c>
      <c r="X654" s="513">
        <f t="shared" si="233"/>
        <v>0</v>
      </c>
      <c r="Y654" s="796"/>
      <c r="Z654" s="798"/>
      <c r="AA654" s="787"/>
    </row>
    <row r="655" spans="1:29" ht="18.75">
      <c r="A655" s="785">
        <v>60</v>
      </c>
      <c r="B655" s="216"/>
      <c r="C655" s="788">
        <f>INDEX(база!$E$2:$E$150, MATCH(B660,база!$B$2:$B$150,0))</f>
        <v>17343</v>
      </c>
      <c r="D655" s="791">
        <f>INDEX(база!$D$2:$D$150, MATCH(B660,база!$B$2:$B$150,0))</f>
        <v>3</v>
      </c>
      <c r="E655" s="377">
        <f>IF(D655&lt;=3,база!$I$4,
IF(D655=4,база!$I$5,
IF(D655=5,база!$I$6)))</f>
        <v>188.7912</v>
      </c>
      <c r="F655" s="378">
        <v>1</v>
      </c>
      <c r="G655" s="387">
        <f>SUMIFS(Таблица1[Столбец1],Таблица1[коэф],"1",Таблица1[р/р],"2/4",Таблица1[Ф. И. О.],B660)</f>
        <v>0</v>
      </c>
      <c r="H655" s="402">
        <f t="shared" si="230"/>
        <v>0</v>
      </c>
      <c r="I655" s="452">
        <f>IF(D655&lt;=3,база!$J$4,
IF(D655=4,база!$J$5,
IF(D655=5,база!$J$6)))</f>
        <v>196.05240000000001</v>
      </c>
      <c r="J655" s="475">
        <v>1</v>
      </c>
      <c r="K655" s="453">
        <f>SUMIFS(Таблица1[Столбец1],Таблица1[коэф],"1",Таблица1[р/р],"2/8",Таблица1[Ф. И. О.],B660)</f>
        <v>0</v>
      </c>
      <c r="L655" s="383">
        <f t="shared" si="231"/>
        <v>0</v>
      </c>
      <c r="M655" s="453"/>
      <c r="N655" s="453">
        <v>1</v>
      </c>
      <c r="O655" s="453">
        <f>SUMIFS(Data_Tech!$AM$3:$AM$67,Data_Tech!$E$3:$E$67,"1",Data_Tech!$G$3:$G$67,"3/12",Data_Tech!$F$3:$F$67,B660)</f>
        <v>0</v>
      </c>
      <c r="P655" s="398">
        <f>ROUND(M655*N655*O655,2)</f>
        <v>0</v>
      </c>
      <c r="Q655" s="377">
        <f>IF(D655&lt;=3,база!$L$4,
IF(D655=4,база!$L$5,
IF(D655=5,база!$L$6)))</f>
        <v>210.57480000000001</v>
      </c>
      <c r="R655" s="378">
        <v>1</v>
      </c>
      <c r="S655" s="387">
        <f>SUMIFS(Таблица1[Столбец1],Таблица1[коэф],"1",Таблица1[р/р],"3/16",Таблица1[Ф. И. О.],B660)</f>
        <v>0</v>
      </c>
      <c r="T655" s="490">
        <f t="shared" si="232"/>
        <v>0</v>
      </c>
      <c r="U655" s="483">
        <f>IF(D655&lt;=3,база!$M$4,
IF(D655=4,база!$M$5,
IF(D655=5,база!$M$6)))</f>
        <v>225.09719999999999</v>
      </c>
      <c r="V655" s="417">
        <v>1</v>
      </c>
      <c r="W655" s="455">
        <f>SUMIFS(Таблица1[Столбец1],Таблица1[коэф],"1",Таблица1[р/р],"3/24",Таблица1[Ф. И. О.],B660)</f>
        <v>0</v>
      </c>
      <c r="X655" s="492">
        <f t="shared" si="233"/>
        <v>0</v>
      </c>
      <c r="Y655" s="795">
        <f t="shared" ref="Y655" si="238">SUM(G655:G665,K655:K665,O655:O665,S655:S665,W655:W665)</f>
        <v>0</v>
      </c>
      <c r="Z655" s="797">
        <f t="shared" ref="Z655" si="239">IFERROR(SUM(H655:H665,L655:L665,T655:T665,X655:X665),"")</f>
        <v>0</v>
      </c>
      <c r="AA655" s="786"/>
    </row>
    <row r="656" spans="1:29" ht="18.75">
      <c r="A656" s="786"/>
      <c r="B656" s="216"/>
      <c r="C656" s="789"/>
      <c r="D656" s="792"/>
      <c r="E656" s="389">
        <f>IF(D655&lt;=3,база!$I$4,
IF(D655=4,база!$I$5,
IF(D655=5,база!$I$6)))</f>
        <v>188.7912</v>
      </c>
      <c r="F656" s="390">
        <v>1</v>
      </c>
      <c r="G656" s="400">
        <f>SUMIFS(Таблица1[Столбец1],Таблица1[коэф],"1",Таблица1[р/р],"3/4",Таблица1[Ф. И. О.],B660)</f>
        <v>0</v>
      </c>
      <c r="H656" s="392">
        <f t="shared" si="230"/>
        <v>0</v>
      </c>
      <c r="I656" s="432">
        <f>IF(D655&lt;=3,база!$J$4,
IF(D655=4,база!$J$5,
IF(D655=5,база!$J$6)))</f>
        <v>196.05240000000001</v>
      </c>
      <c r="J656" s="433">
        <v>1</v>
      </c>
      <c r="K656" s="434">
        <f>SUMIFS(Таблица1[Столбец1],Таблица1[коэф],"1",Таблица1[р/р],"3/8",Таблица1[Ф. И. О.],B660)</f>
        <v>0</v>
      </c>
      <c r="L656" s="484">
        <f t="shared" si="231"/>
        <v>0</v>
      </c>
      <c r="M656" s="434"/>
      <c r="N656" s="434">
        <v>1</v>
      </c>
      <c r="O656" s="434">
        <f>SUMIFS(Data_Tech!$AM$3:$AM$67,Data_Tech!$E$3:$E$67,"1",Data_Tech!$G$3:$G$67,"4/12",Data_Tech!$F$3:$F$67,B660)</f>
        <v>0</v>
      </c>
      <c r="P656" s="406">
        <f>ROUND(M656*O656,2)</f>
        <v>0</v>
      </c>
      <c r="Q656" s="389">
        <f>база!$L$5</f>
        <v>231.45480000000001</v>
      </c>
      <c r="R656" s="390">
        <v>1</v>
      </c>
      <c r="S656" s="400">
        <f>SUMIFS(Таблица1[Столбец1],Таблица1[коэф],"1",Таблица1[р/р],"4/16",Таблица1[Ф. И. О.],B660)</f>
        <v>0</v>
      </c>
      <c r="T656" s="492">
        <f t="shared" si="232"/>
        <v>0</v>
      </c>
      <c r="U656" s="478">
        <f>база!$M$5</f>
        <v>247.41720000000001</v>
      </c>
      <c r="V656" s="390">
        <v>1</v>
      </c>
      <c r="W656" s="412">
        <f>SUMIFS(Таблица1[Столбец1],Таблица1[коэф],"1",Таблица1[р/р],"4/24",Таблица1[Ф. И. О.],B660)</f>
        <v>0</v>
      </c>
      <c r="X656" s="492">
        <f t="shared" si="233"/>
        <v>0</v>
      </c>
      <c r="Y656" s="795"/>
      <c r="Z656" s="797"/>
      <c r="AA656" s="786"/>
    </row>
    <row r="657" spans="1:29" ht="18.75">
      <c r="A657" s="786"/>
      <c r="B657" s="216"/>
      <c r="C657" s="789"/>
      <c r="D657" s="792"/>
      <c r="E657" s="389"/>
      <c r="F657" s="390"/>
      <c r="G657" s="400"/>
      <c r="H657" s="392">
        <f t="shared" si="230"/>
        <v>0</v>
      </c>
      <c r="I657" s="432"/>
      <c r="J657" s="433"/>
      <c r="K657" s="434"/>
      <c r="L657" s="484">
        <f t="shared" si="231"/>
        <v>0</v>
      </c>
      <c r="M657" s="434"/>
      <c r="N657" s="434"/>
      <c r="O657" s="434"/>
      <c r="P657" s="406"/>
      <c r="Q657" s="389">
        <f>база!$L$6</f>
        <v>261.04640000000001</v>
      </c>
      <c r="R657" s="390">
        <v>1</v>
      </c>
      <c r="S657" s="400">
        <f>SUMIFS(Таблица1[Столбец1],Таблица1[коэф],"1",Таблица1[р/р],"5/16",Таблица1[Ф. И. О.],B660)</f>
        <v>0</v>
      </c>
      <c r="T657" s="492">
        <f t="shared" si="232"/>
        <v>0</v>
      </c>
      <c r="U657" s="478">
        <f>база!$M$6</f>
        <v>279.0496</v>
      </c>
      <c r="V657" s="390">
        <v>1</v>
      </c>
      <c r="W657" s="412">
        <f>SUMIFS(Таблица1[Столбец1],Таблица1[коэф],"1",Таблица1[р/р],"5/24",Таблица1[Ф. И. О.],B660)</f>
        <v>0</v>
      </c>
      <c r="X657" s="492">
        <f t="shared" si="233"/>
        <v>0</v>
      </c>
      <c r="Y657" s="795"/>
      <c r="Z657" s="797"/>
      <c r="AA657" s="786"/>
    </row>
    <row r="658" spans="1:29" ht="18.75">
      <c r="A658" s="786"/>
      <c r="B658" s="216"/>
      <c r="C658" s="789"/>
      <c r="D658" s="792"/>
      <c r="E658" s="389"/>
      <c r="F658" s="390"/>
      <c r="G658" s="400"/>
      <c r="H658" s="392">
        <f t="shared" si="230"/>
        <v>0</v>
      </c>
      <c r="I658" s="432">
        <f>база!$J$5</f>
        <v>215.4924</v>
      </c>
      <c r="J658" s="433">
        <v>1.5</v>
      </c>
      <c r="K658" s="434">
        <f>SUMIFS(Таблица1[Столбец1],Таблица1[коэф],"1,5",Таблица1[р/р],"4/8",Таблица1[Ф. И. О.],B660)</f>
        <v>0</v>
      </c>
      <c r="L658" s="484">
        <f t="shared" si="231"/>
        <v>0</v>
      </c>
      <c r="M658" s="434"/>
      <c r="N658" s="434"/>
      <c r="O658" s="434"/>
      <c r="P658" s="406"/>
      <c r="Q658" s="389">
        <f>IF(D655&lt;=3,база!$L$4,
IF(D655=4,база!$L$5,
IF(D655=5,база!$L$6)))</f>
        <v>210.57480000000001</v>
      </c>
      <c r="R658" s="390">
        <v>1.2</v>
      </c>
      <c r="S658" s="400">
        <f>SUMIFS(Таблица1[Столбец1],Таблица1[коэф],"1,2",Таблица1[р/р],"3/16",Таблица1[Ф. И. О.],B660)</f>
        <v>0</v>
      </c>
      <c r="T658" s="492">
        <f t="shared" si="232"/>
        <v>0</v>
      </c>
      <c r="U658" s="478">
        <f>IF(D655&lt;=3,база!$M$4,
IF(D655=4,база!$M$5,
IF(D655=5,база!$M$6)))</f>
        <v>225.09719999999999</v>
      </c>
      <c r="V658" s="390">
        <v>1.2</v>
      </c>
      <c r="W658" s="412">
        <f>SUMIFS(Таблица1[Столбец1],Таблица1[коэф],"1,2",Таблица1[р/р],"3/24",Таблица1[Ф. И. О.],B660)</f>
        <v>0</v>
      </c>
      <c r="X658" s="492">
        <f t="shared" si="233"/>
        <v>0</v>
      </c>
      <c r="Y658" s="795"/>
      <c r="Z658" s="797"/>
      <c r="AA658" s="786"/>
    </row>
    <row r="659" spans="1:29" ht="18.75">
      <c r="A659" s="786"/>
      <c r="B659" s="216"/>
      <c r="C659" s="789"/>
      <c r="D659" s="792"/>
      <c r="E659" s="389"/>
      <c r="F659" s="390"/>
      <c r="G659" s="400"/>
      <c r="H659" s="392">
        <f t="shared" si="230"/>
        <v>0</v>
      </c>
      <c r="I659" s="432">
        <f>база!$J$6</f>
        <v>243.04319999999998</v>
      </c>
      <c r="J659" s="433">
        <v>1.5</v>
      </c>
      <c r="K659" s="434">
        <f>SUMIFS(Таблица1[Столбец1],Таблица1[коэф],"1,5",Таблица1[р/р],"5/8",Таблица1[Ф. И. О.],B660)</f>
        <v>0</v>
      </c>
      <c r="L659" s="484">
        <f t="shared" si="231"/>
        <v>0</v>
      </c>
      <c r="M659" s="434"/>
      <c r="N659" s="434"/>
      <c r="O659" s="434"/>
      <c r="P659" s="406"/>
      <c r="Q659" s="389">
        <f>база!$L$5</f>
        <v>231.45480000000001</v>
      </c>
      <c r="R659" s="390">
        <v>1.2</v>
      </c>
      <c r="S659" s="400">
        <f>SUMIFS(Таблица1[Столбец1],Таблица1[коэф],"1,2",Таблица1[р/р],"4/16",Таблица1[Ф. И. О.],B660)</f>
        <v>0</v>
      </c>
      <c r="T659" s="492">
        <f t="shared" si="232"/>
        <v>0</v>
      </c>
      <c r="U659" s="478">
        <f>база!$M$5</f>
        <v>247.41720000000001</v>
      </c>
      <c r="V659" s="390">
        <v>1.2</v>
      </c>
      <c r="W659" s="412">
        <f>SUMIFS(Таблица1[Столбец1],Таблица1[коэф],"1,2",Таблица1[р/р],"4/24",Таблица1[Ф. И. О.],B660)</f>
        <v>0</v>
      </c>
      <c r="X659" s="492">
        <f t="shared" si="233"/>
        <v>0</v>
      </c>
      <c r="Y659" s="795"/>
      <c r="Z659" s="797"/>
      <c r="AA659" s="786"/>
    </row>
    <row r="660" spans="1:29" ht="18.75">
      <c r="A660" s="786"/>
      <c r="B660" s="216" t="str">
        <f>база!B61</f>
        <v>Ополченова Ольга Валерьевна</v>
      </c>
      <c r="C660" s="789"/>
      <c r="D660" s="792"/>
      <c r="E660" s="389"/>
      <c r="F660" s="390"/>
      <c r="G660" s="400"/>
      <c r="H660" s="392">
        <f t="shared" si="230"/>
        <v>0</v>
      </c>
      <c r="I660" s="432"/>
      <c r="J660" s="433"/>
      <c r="K660" s="434"/>
      <c r="L660" s="484">
        <f t="shared" si="231"/>
        <v>0</v>
      </c>
      <c r="M660" s="434"/>
      <c r="N660" s="434"/>
      <c r="O660" s="434"/>
      <c r="P660" s="406"/>
      <c r="Q660" s="389">
        <f>база!$L$6</f>
        <v>261.04640000000001</v>
      </c>
      <c r="R660" s="390">
        <v>1.2</v>
      </c>
      <c r="S660" s="400">
        <f>SUMIFS(Таблица1[Столбец1],Таблица1[коэф],"1,2",Таблица1[р/р],"5/16",Таблица1[Ф. И. О.],B660)</f>
        <v>0</v>
      </c>
      <c r="T660" s="492">
        <f t="shared" si="232"/>
        <v>0</v>
      </c>
      <c r="U660" s="478">
        <f>база!$M$6</f>
        <v>279.0496</v>
      </c>
      <c r="V660" s="390">
        <v>1.2</v>
      </c>
      <c r="W660" s="412">
        <f>SUMIFS(Таблица1[Столбец1],Таблица1[коэф],"1,2",Таблица1[р/р],"5/24",Таблица1[Ф. И. О.],B660)</f>
        <v>0</v>
      </c>
      <c r="X660" s="492">
        <f t="shared" si="233"/>
        <v>0</v>
      </c>
      <c r="Y660" s="795"/>
      <c r="Z660" s="797"/>
      <c r="AA660" s="786"/>
      <c r="AC660" s="727" t="str">
        <f>IF(SUMIFS(Таблица1[Столбец3],Таблица1[Ф. И. О.],B660)-Z655=0,"",SUMIFS(Таблица1[Столбец3],Таблица1[Ф. И. О.],B660)-Z655)</f>
        <v/>
      </c>
    </row>
    <row r="661" spans="1:29" ht="18.75">
      <c r="A661" s="786"/>
      <c r="B661" s="216"/>
      <c r="C661" s="789"/>
      <c r="D661" s="792"/>
      <c r="E661" s="389"/>
      <c r="F661" s="390"/>
      <c r="G661" s="400"/>
      <c r="H661" s="392">
        <f t="shared" si="230"/>
        <v>0</v>
      </c>
      <c r="I661" s="432"/>
      <c r="J661" s="433"/>
      <c r="K661" s="434"/>
      <c r="L661" s="484">
        <f t="shared" si="231"/>
        <v>0</v>
      </c>
      <c r="M661" s="434"/>
      <c r="N661" s="434"/>
      <c r="O661" s="434"/>
      <c r="P661" s="406"/>
      <c r="Q661" s="389">
        <f>IF($D$6&lt;=3,база!$L$4,
IF($D$6=4,база!$L$5,
IF($D$6=5,база!$L$6)))</f>
        <v>231.45480000000001</v>
      </c>
      <c r="R661" s="390">
        <v>1.3</v>
      </c>
      <c r="S661" s="400">
        <f>SUMIFS(Таблица1[Столбец1],Таблица1[коэф],"1,3",Таблица1[р/р],"3/16",Таблица1[Ф. И. О.],B660)</f>
        <v>0</v>
      </c>
      <c r="T661" s="492">
        <f t="shared" si="232"/>
        <v>0</v>
      </c>
      <c r="U661" s="478">
        <f>IF(D655&lt;=3,база!$M$4,
IF(D655=4,база!$M$5,
IF(D655=5,база!$M$6)))</f>
        <v>225.09719999999999</v>
      </c>
      <c r="V661" s="390">
        <v>1.3</v>
      </c>
      <c r="W661" s="412">
        <f>SUMIFS(Таблица1[Столбец1],Таблица1[коэф],"1,3",Таблица1[р/р],"3/24",Таблица1[Ф. И. О.],B660)</f>
        <v>0</v>
      </c>
      <c r="X661" s="492">
        <f t="shared" si="233"/>
        <v>0</v>
      </c>
      <c r="Y661" s="795"/>
      <c r="Z661" s="797"/>
      <c r="AA661" s="786"/>
      <c r="AC661" s="727" t="str">
        <f>IF(SUMIFS(Таблица1[Столбец1],Таблица1[Ф. И. О.],B660)=Y655,"",B660&amp;"  часы не верны")</f>
        <v/>
      </c>
    </row>
    <row r="662" spans="1:29" ht="18.75">
      <c r="A662" s="786"/>
      <c r="B662" s="216"/>
      <c r="C662" s="789"/>
      <c r="D662" s="792"/>
      <c r="E662" s="389"/>
      <c r="F662" s="390"/>
      <c r="G662" s="400"/>
      <c r="H662" s="392">
        <f t="shared" si="230"/>
        <v>0</v>
      </c>
      <c r="I662" s="432"/>
      <c r="J662" s="433"/>
      <c r="K662" s="434"/>
      <c r="L662" s="484">
        <f t="shared" si="231"/>
        <v>0</v>
      </c>
      <c r="M662" s="434"/>
      <c r="N662" s="434"/>
      <c r="O662" s="434"/>
      <c r="P662" s="406"/>
      <c r="Q662" s="389">
        <f>база!$L$5</f>
        <v>231.45480000000001</v>
      </c>
      <c r="R662" s="390">
        <v>1.3</v>
      </c>
      <c r="S662" s="400">
        <f>SUMIFS(Таблица1[Столбец1],Таблица1[коэф],"1,3",Таблица1[р/р],"4/16",Таблица1[Ф. И. О.],B660)</f>
        <v>0</v>
      </c>
      <c r="T662" s="492">
        <f t="shared" si="232"/>
        <v>0</v>
      </c>
      <c r="U662" s="478">
        <f>база!$M$5</f>
        <v>247.41720000000001</v>
      </c>
      <c r="V662" s="390">
        <v>1.3</v>
      </c>
      <c r="W662" s="412">
        <f>SUMIFS(Таблица1[Столбец1],Таблица1[коэф],"1,3",Таблица1[р/р],"4/24",Таблица1[Ф. И. О.],B660)</f>
        <v>0</v>
      </c>
      <c r="X662" s="492">
        <f t="shared" si="233"/>
        <v>0</v>
      </c>
      <c r="Y662" s="795"/>
      <c r="Z662" s="797"/>
      <c r="AA662" s="786"/>
    </row>
    <row r="663" spans="1:29" ht="18.75">
      <c r="A663" s="786"/>
      <c r="B663" s="216"/>
      <c r="C663" s="789"/>
      <c r="D663" s="792"/>
      <c r="E663" s="389"/>
      <c r="F663" s="390"/>
      <c r="G663" s="400"/>
      <c r="H663" s="392">
        <f t="shared" si="230"/>
        <v>0</v>
      </c>
      <c r="I663" s="432"/>
      <c r="J663" s="433"/>
      <c r="K663" s="434"/>
      <c r="L663" s="484">
        <f t="shared" si="231"/>
        <v>0</v>
      </c>
      <c r="M663" s="434"/>
      <c r="N663" s="434"/>
      <c r="O663" s="434"/>
      <c r="P663" s="406"/>
      <c r="Q663" s="389">
        <f>IF(D655&lt;=3,база!$L$4,
IF(D655=4,база!$L$5,
IF(D655=5,база!$L$6)))</f>
        <v>210.57480000000001</v>
      </c>
      <c r="R663" s="390">
        <v>1.4</v>
      </c>
      <c r="S663" s="400">
        <f>SUMIFS(Таблица1[Столбец1],Таблица1[коэф],"1,4",Таблица1[р/р],"3/16",Таблица1[Ф. И. О.],B660)</f>
        <v>0</v>
      </c>
      <c r="T663" s="492">
        <f t="shared" si="232"/>
        <v>0</v>
      </c>
      <c r="U663" s="478">
        <f>IF(D655&lt;=3,база!$M$4,
IF(D655=4,база!$M$5,
IF(D655=5,база!$M$6)))</f>
        <v>225.09719999999999</v>
      </c>
      <c r="V663" s="390">
        <v>1.4</v>
      </c>
      <c r="W663" s="412">
        <f>SUMIFS(Таблица1[Столбец1],Таблица1[коэф],"1,4",Таблица1[р/р],"3/24",Таблица1[Ф. И. О.],B660)</f>
        <v>0</v>
      </c>
      <c r="X663" s="492">
        <f t="shared" si="233"/>
        <v>0</v>
      </c>
      <c r="Y663" s="795"/>
      <c r="Z663" s="797"/>
      <c r="AA663" s="786"/>
    </row>
    <row r="664" spans="1:29" ht="18.75">
      <c r="A664" s="786"/>
      <c r="B664" s="216"/>
      <c r="C664" s="789"/>
      <c r="D664" s="792"/>
      <c r="E664" s="389"/>
      <c r="F664" s="390"/>
      <c r="G664" s="400"/>
      <c r="H664" s="392">
        <f t="shared" si="230"/>
        <v>0</v>
      </c>
      <c r="I664" s="432"/>
      <c r="J664" s="433"/>
      <c r="K664" s="434"/>
      <c r="L664" s="484">
        <f t="shared" si="231"/>
        <v>0</v>
      </c>
      <c r="M664" s="434"/>
      <c r="N664" s="434"/>
      <c r="O664" s="434"/>
      <c r="P664" s="406"/>
      <c r="Q664" s="389">
        <f>база!$L$5</f>
        <v>231.45480000000001</v>
      </c>
      <c r="R664" s="390">
        <v>1.4</v>
      </c>
      <c r="S664" s="400">
        <f>SUMIFS(Таблица1[Столбец1],Таблица1[коэф],"1,4",Таблица1[р/р],"4/16",Таблица1[Ф. И. О.],B660)</f>
        <v>0</v>
      </c>
      <c r="T664" s="492">
        <f t="shared" si="232"/>
        <v>0</v>
      </c>
      <c r="U664" s="478">
        <f>база!$M$5</f>
        <v>247.41720000000001</v>
      </c>
      <c r="V664" s="390">
        <v>1.4</v>
      </c>
      <c r="W664" s="412">
        <f>SUMIFS(Таблица1[Столбец1],Таблица1[коэф],"1,4",Таблица1[р/р],"4/24",Таблица1[Ф. И. О.],B660)</f>
        <v>0</v>
      </c>
      <c r="X664" s="492">
        <f t="shared" si="233"/>
        <v>0</v>
      </c>
      <c r="Y664" s="795"/>
      <c r="Z664" s="797"/>
      <c r="AA664" s="786"/>
    </row>
    <row r="665" spans="1:29" ht="19.5" thickBot="1">
      <c r="A665" s="787"/>
      <c r="B665" s="352"/>
      <c r="C665" s="790"/>
      <c r="D665" s="793"/>
      <c r="E665" s="481"/>
      <c r="F665" s="417"/>
      <c r="G665" s="486"/>
      <c r="H665" s="468">
        <f t="shared" si="230"/>
        <v>0</v>
      </c>
      <c r="I665" s="651"/>
      <c r="J665" s="456"/>
      <c r="K665" s="652"/>
      <c r="L665" s="458">
        <f t="shared" si="231"/>
        <v>0</v>
      </c>
      <c r="M665" s="396"/>
      <c r="N665" s="397"/>
      <c r="O665" s="397"/>
      <c r="P665" s="398"/>
      <c r="Q665" s="487">
        <f>база!$L$6</f>
        <v>261.04640000000001</v>
      </c>
      <c r="R665" s="417">
        <v>1.4</v>
      </c>
      <c r="S665" s="418">
        <f>SUMIFS(Таблица1[Столбец1],Таблица1[коэф],"1,4",Таблица1[р/р],"5/16",Таблица1[Ф. И. О.],B660)</f>
        <v>0</v>
      </c>
      <c r="T665" s="492">
        <f t="shared" si="232"/>
        <v>0</v>
      </c>
      <c r="U665" s="473">
        <f>база!$M$6</f>
        <v>279.0496</v>
      </c>
      <c r="V665" s="464">
        <v>1.4</v>
      </c>
      <c r="W665" s="465">
        <f>SUMIFS(Таблица1[Столбец1],Таблица1[коэф],"1,4",Таблица1[р/р],"5/24",Таблица1[Ф. И. О.],B660)</f>
        <v>0</v>
      </c>
      <c r="X665" s="513">
        <f t="shared" si="233"/>
        <v>0</v>
      </c>
      <c r="Y665" s="796"/>
      <c r="Z665" s="798"/>
      <c r="AA665" s="787"/>
    </row>
    <row r="666" spans="1:29" ht="18.75">
      <c r="A666" s="785">
        <v>61</v>
      </c>
      <c r="B666" s="216"/>
      <c r="C666" s="788">
        <f>INDEX(база!$E$2:$E$150, MATCH(B671,база!$B$2:$B$150,0))</f>
        <v>15556</v>
      </c>
      <c r="D666" s="791">
        <f>INDEX(база!$D$2:$D$150, MATCH(B671,база!$B$2:$B$160,0))</f>
        <v>3</v>
      </c>
      <c r="E666" s="377">
        <f>IF(D666&lt;=3,база!$I$4,
IF(D666=4,база!$I$5,
IF(D666=5,база!$I$6)))</f>
        <v>188.7912</v>
      </c>
      <c r="F666" s="378">
        <v>1</v>
      </c>
      <c r="G666" s="387">
        <f>SUMIFS(Таблица1[Столбец1],Таблица1[коэф],"1",Таблица1[р/р],"2/4",Таблица1[Ф. И. О.],B671)</f>
        <v>0</v>
      </c>
      <c r="H666" s="402">
        <f t="shared" si="230"/>
        <v>0</v>
      </c>
      <c r="I666" s="452">
        <f>IF(D666&lt;=3,база!$J$4,
IF(D666=4,база!$J$5,
IF(D666=5,база!$J$6)))</f>
        <v>196.05240000000001</v>
      </c>
      <c r="J666" s="475">
        <v>1</v>
      </c>
      <c r="K666" s="453">
        <f>SUMIFS(Таблица1[Столбец1],Таблица1[коэф],"1",Таблица1[р/р],"2/8",Таблица1[Ф. И. О.],B671)</f>
        <v>0</v>
      </c>
      <c r="L666" s="484">
        <f t="shared" si="231"/>
        <v>0</v>
      </c>
      <c r="M666" s="453"/>
      <c r="N666" s="453">
        <v>1</v>
      </c>
      <c r="O666" s="453">
        <f>SUMIFS(Data_Tech!$AM$3:$AM$67,Data_Tech!$E$3:$E$67,"1",Data_Tech!$G$3:$G$67,"3/12",Data_Tech!$F$3:$F$67,B671)</f>
        <v>0</v>
      </c>
      <c r="P666" s="398">
        <f>ROUND(M666*N666*O666,2)</f>
        <v>0</v>
      </c>
      <c r="Q666" s="377">
        <f>IF(D666&lt;=3,база!$L$4,
IF(D666=4,база!$L$5,
IF(D666=5,база!$L$6)))</f>
        <v>210.57480000000001</v>
      </c>
      <c r="R666" s="378">
        <v>1</v>
      </c>
      <c r="S666" s="387">
        <f>SUMIFS(Таблица1[Столбец1],Таблица1[коэф],"1",Таблица1[р/р],"3/16",Таблица1[Ф. И. О.],B671)</f>
        <v>0</v>
      </c>
      <c r="T666" s="490">
        <f t="shared" si="232"/>
        <v>0</v>
      </c>
      <c r="U666" s="483">
        <f>IF(D666&lt;=3,база!$M$4,
IF(D666=4,база!$M$5,
IF(D666=5,база!$M$6)))</f>
        <v>225.09719999999999</v>
      </c>
      <c r="V666" s="417">
        <v>1</v>
      </c>
      <c r="W666" s="455">
        <f>SUMIFS(Таблица1[Столбец1],Таблица1[коэф],"1",Таблица1[р/р],"3/24",Таблица1[Ф. И. О.],B671)</f>
        <v>0</v>
      </c>
      <c r="X666" s="492">
        <f t="shared" si="233"/>
        <v>0</v>
      </c>
      <c r="Y666" s="795">
        <f t="shared" ref="Y666" si="240">SUM(G666:G676,K666:K676,O666:O676,S666:S676,W666:W676)</f>
        <v>0</v>
      </c>
      <c r="Z666" s="797">
        <f t="shared" ref="Z666" si="241">IFERROR(SUM(H666:H676,L666:L676,T666:T676,X666:X676),"")</f>
        <v>0</v>
      </c>
      <c r="AA666" s="786"/>
    </row>
    <row r="667" spans="1:29" ht="18.75">
      <c r="A667" s="786"/>
      <c r="B667" s="216"/>
      <c r="C667" s="789"/>
      <c r="D667" s="792"/>
      <c r="E667" s="389">
        <f>IF(D666&lt;=3,база!$I$4,
IF(D666=4,база!$I$5,
IF(D666=5,база!$I$6)))</f>
        <v>188.7912</v>
      </c>
      <c r="F667" s="390">
        <v>1</v>
      </c>
      <c r="G667" s="400">
        <f>SUMIFS(Таблица1[Столбец1],Таблица1[коэф],"1",Таблица1[р/р],"3/4",Таблица1[Ф. И. О.],B671)</f>
        <v>0</v>
      </c>
      <c r="H667" s="392">
        <f t="shared" si="230"/>
        <v>0</v>
      </c>
      <c r="I667" s="432">
        <f>IF(D666&lt;=3,база!$J$4,
IF(D666=4,база!$J$5,
IF(D666=5,база!$J$6)))</f>
        <v>196.05240000000001</v>
      </c>
      <c r="J667" s="433">
        <v>1</v>
      </c>
      <c r="K667" s="434">
        <f>SUMIFS(Таблица1[Столбец1],Таблица1[коэф],"1",Таблица1[р/р],"3/8",Таблица1[Ф. И. О.],B671)</f>
        <v>0</v>
      </c>
      <c r="L667" s="484">
        <f t="shared" si="231"/>
        <v>0</v>
      </c>
      <c r="M667" s="434"/>
      <c r="N667" s="434">
        <v>1</v>
      </c>
      <c r="O667" s="434">
        <f>SUMIFS(Data_Tech!$AM$3:$AM$67,Data_Tech!$E$3:$E$67,"1",Data_Tech!$G$3:$G$67,"4/12",Data_Tech!$F$3:$F$67,B671)</f>
        <v>0</v>
      </c>
      <c r="P667" s="406">
        <f>ROUND(M667*O667,2)</f>
        <v>0</v>
      </c>
      <c r="Q667" s="389">
        <f>база!$L$5</f>
        <v>231.45480000000001</v>
      </c>
      <c r="R667" s="390">
        <v>1</v>
      </c>
      <c r="S667" s="400">
        <f>SUMIFS(Таблица1[Столбец1],Таблица1[коэф],"1",Таблица1[р/р],"4/16",Таблица1[Ф. И. О.],B671)</f>
        <v>0</v>
      </c>
      <c r="T667" s="492">
        <f t="shared" si="232"/>
        <v>0</v>
      </c>
      <c r="U667" s="478">
        <f>база!$M$5</f>
        <v>247.41720000000001</v>
      </c>
      <c r="V667" s="390">
        <v>1</v>
      </c>
      <c r="W667" s="412">
        <f>SUMIFS(Таблица1[Столбец1],Таблица1[коэф],"1",Таблица1[р/р],"4/24",Таблица1[Ф. И. О.],B671)</f>
        <v>0</v>
      </c>
      <c r="X667" s="492">
        <f t="shared" si="233"/>
        <v>0</v>
      </c>
      <c r="Y667" s="795"/>
      <c r="Z667" s="797"/>
      <c r="AA667" s="786"/>
    </row>
    <row r="668" spans="1:29" ht="18.75">
      <c r="A668" s="786"/>
      <c r="B668" s="216"/>
      <c r="C668" s="789"/>
      <c r="D668" s="792"/>
      <c r="E668" s="389"/>
      <c r="F668" s="390"/>
      <c r="G668" s="400"/>
      <c r="H668" s="392">
        <f t="shared" si="230"/>
        <v>0</v>
      </c>
      <c r="I668" s="432"/>
      <c r="J668" s="433"/>
      <c r="K668" s="434"/>
      <c r="L668" s="484">
        <f t="shared" si="231"/>
        <v>0</v>
      </c>
      <c r="M668" s="434"/>
      <c r="N668" s="434"/>
      <c r="O668" s="434"/>
      <c r="P668" s="406"/>
      <c r="Q668" s="389">
        <f>база!$L$6</f>
        <v>261.04640000000001</v>
      </c>
      <c r="R668" s="390">
        <v>1</v>
      </c>
      <c r="S668" s="400">
        <f>SUMIFS(Таблица1[Столбец1],Таблица1[коэф],"1",Таблица1[р/р],"5/16",Таблица1[Ф. И. О.],B671)</f>
        <v>0</v>
      </c>
      <c r="T668" s="492">
        <f t="shared" si="232"/>
        <v>0</v>
      </c>
      <c r="U668" s="478">
        <f>база!$M$6</f>
        <v>279.0496</v>
      </c>
      <c r="V668" s="390">
        <v>1</v>
      </c>
      <c r="W668" s="412">
        <f>SUMIFS(Таблица1[Столбец1],Таблица1[коэф],"1",Таблица1[р/р],"5/24",Таблица1[Ф. И. О.],B671)</f>
        <v>0</v>
      </c>
      <c r="X668" s="492">
        <f t="shared" si="233"/>
        <v>0</v>
      </c>
      <c r="Y668" s="795"/>
      <c r="Z668" s="797"/>
      <c r="AA668" s="786"/>
    </row>
    <row r="669" spans="1:29" ht="18.75">
      <c r="A669" s="786"/>
      <c r="B669" s="216"/>
      <c r="C669" s="789"/>
      <c r="D669" s="792"/>
      <c r="E669" s="389"/>
      <c r="F669" s="390"/>
      <c r="G669" s="400"/>
      <c r="H669" s="392">
        <f t="shared" si="230"/>
        <v>0</v>
      </c>
      <c r="I669" s="432">
        <f>база!$J$5</f>
        <v>215.4924</v>
      </c>
      <c r="J669" s="433">
        <v>1.5</v>
      </c>
      <c r="K669" s="434">
        <f>SUMIFS(Таблица1[Столбец1],Таблица1[коэф],"1,5",Таблица1[р/р],"4/8",Таблица1[Ф. И. О.],B671)</f>
        <v>0</v>
      </c>
      <c r="L669" s="484">
        <f t="shared" si="231"/>
        <v>0</v>
      </c>
      <c r="M669" s="434"/>
      <c r="N669" s="434"/>
      <c r="O669" s="434"/>
      <c r="P669" s="406"/>
      <c r="Q669" s="389">
        <f>IF(D666&lt;=3,база!$L$4,
IF(D666=4,база!$L$5,
IF(D666=5,база!$L$6)))</f>
        <v>210.57480000000001</v>
      </c>
      <c r="R669" s="390">
        <v>1.2</v>
      </c>
      <c r="S669" s="400">
        <f>SUMIFS(Таблица1[Столбец1],Таблица1[коэф],"1,2",Таблица1[р/р],"3/16",Таблица1[Ф. И. О.],B671)</f>
        <v>0</v>
      </c>
      <c r="T669" s="492">
        <f t="shared" si="232"/>
        <v>0</v>
      </c>
      <c r="U669" s="478">
        <f>IF(D666&lt;=3,база!$M$4,
IF(D666=4,база!$M$5,
IF(D666=5,база!$M$6)))</f>
        <v>225.09719999999999</v>
      </c>
      <c r="V669" s="390">
        <v>1.2</v>
      </c>
      <c r="W669" s="412">
        <f>SUMIFS(Таблица1[Столбец1],Таблица1[коэф],"1,2",Таблица1[р/р],"3/24",Таблица1[Ф. И. О.],B671)</f>
        <v>0</v>
      </c>
      <c r="X669" s="492">
        <f t="shared" si="233"/>
        <v>0</v>
      </c>
      <c r="Y669" s="795"/>
      <c r="Z669" s="797"/>
      <c r="AA669" s="786"/>
    </row>
    <row r="670" spans="1:29" ht="18.75">
      <c r="A670" s="786"/>
      <c r="B670" s="216"/>
      <c r="C670" s="789"/>
      <c r="D670" s="792"/>
      <c r="E670" s="389"/>
      <c r="F670" s="390"/>
      <c r="G670" s="400"/>
      <c r="H670" s="392">
        <f t="shared" si="230"/>
        <v>0</v>
      </c>
      <c r="I670" s="432">
        <f>база!$J$6</f>
        <v>243.04319999999998</v>
      </c>
      <c r="J670" s="433">
        <v>1.5</v>
      </c>
      <c r="K670" s="434">
        <f>SUMIFS(Таблица1[Столбец1],Таблица1[коэф],"1,5",Таблица1[р/р],"5/8",Таблица1[Ф. И. О.],B671)</f>
        <v>0</v>
      </c>
      <c r="L670" s="484">
        <f t="shared" si="231"/>
        <v>0</v>
      </c>
      <c r="M670" s="434"/>
      <c r="N670" s="434"/>
      <c r="O670" s="434"/>
      <c r="P670" s="406"/>
      <c r="Q670" s="389">
        <f>база!$L$5</f>
        <v>231.45480000000001</v>
      </c>
      <c r="R670" s="390">
        <v>1.2</v>
      </c>
      <c r="S670" s="400">
        <f>SUMIFS(Таблица1[Столбец1],Таблица1[коэф],"1,2",Таблица1[р/р],"4/16",Таблица1[Ф. И. О.],B671)</f>
        <v>0</v>
      </c>
      <c r="T670" s="492">
        <f t="shared" si="232"/>
        <v>0</v>
      </c>
      <c r="U670" s="478">
        <f>база!$M$5</f>
        <v>247.41720000000001</v>
      </c>
      <c r="V670" s="390">
        <v>1.2</v>
      </c>
      <c r="W670" s="412">
        <f>SUMIFS(Таблица1[Столбец1],Таблица1[коэф],"1,2",Таблица1[р/р],"4/24",Таблица1[Ф. И. О.],B671)</f>
        <v>0</v>
      </c>
      <c r="X670" s="492">
        <f t="shared" si="233"/>
        <v>0</v>
      </c>
      <c r="Y670" s="795"/>
      <c r="Z670" s="797"/>
      <c r="AA670" s="786"/>
    </row>
    <row r="671" spans="1:29" ht="18.75">
      <c r="A671" s="786"/>
      <c r="B671" s="216" t="str">
        <f>база!B62</f>
        <v>Петрова Анна Сергеевна</v>
      </c>
      <c r="C671" s="789"/>
      <c r="D671" s="792"/>
      <c r="E671" s="389"/>
      <c r="F671" s="390"/>
      <c r="G671" s="400"/>
      <c r="H671" s="392">
        <f t="shared" si="230"/>
        <v>0</v>
      </c>
      <c r="I671" s="432"/>
      <c r="J671" s="433"/>
      <c r="K671" s="434"/>
      <c r="L671" s="484">
        <f t="shared" si="231"/>
        <v>0</v>
      </c>
      <c r="M671" s="434"/>
      <c r="N671" s="434"/>
      <c r="O671" s="434"/>
      <c r="P671" s="406"/>
      <c r="Q671" s="389">
        <f>база!$L$6</f>
        <v>261.04640000000001</v>
      </c>
      <c r="R671" s="390">
        <v>1.2</v>
      </c>
      <c r="S671" s="400">
        <f>SUMIFS(Таблица1[Столбец1],Таблица1[коэф],"1,2",Таблица1[р/р],"5/16",Таблица1[Ф. И. О.],B671)</f>
        <v>0</v>
      </c>
      <c r="T671" s="492">
        <f t="shared" si="232"/>
        <v>0</v>
      </c>
      <c r="U671" s="478">
        <f>база!$M$6</f>
        <v>279.0496</v>
      </c>
      <c r="V671" s="390">
        <v>1.2</v>
      </c>
      <c r="W671" s="412">
        <f>SUMIFS(Таблица1[Столбец1],Таблица1[коэф],"1,2",Таблица1[р/р],"5/24",Таблица1[Ф. И. О.],B671)</f>
        <v>0</v>
      </c>
      <c r="X671" s="492">
        <f t="shared" si="233"/>
        <v>0</v>
      </c>
      <c r="Y671" s="795"/>
      <c r="Z671" s="797"/>
      <c r="AA671" s="786"/>
      <c r="AC671" s="727" t="str">
        <f>IF(SUMIFS(Таблица1[Столбец3],Таблица1[Ф. И. О.],B671)-Z666=0,"",SUMIFS(Таблица1[Столбец3],Таблица1[Ф. И. О.],B671)-Z666)</f>
        <v/>
      </c>
    </row>
    <row r="672" spans="1:29" ht="18.75">
      <c r="A672" s="786"/>
      <c r="B672" s="216"/>
      <c r="C672" s="789"/>
      <c r="D672" s="792"/>
      <c r="E672" s="389"/>
      <c r="F672" s="390"/>
      <c r="G672" s="400"/>
      <c r="H672" s="392">
        <f t="shared" si="230"/>
        <v>0</v>
      </c>
      <c r="I672" s="432"/>
      <c r="J672" s="433"/>
      <c r="K672" s="434"/>
      <c r="L672" s="484">
        <f t="shared" si="231"/>
        <v>0</v>
      </c>
      <c r="M672" s="434"/>
      <c r="N672" s="434"/>
      <c r="O672" s="434"/>
      <c r="P672" s="406"/>
      <c r="Q672" s="389">
        <f>IF($D$6&lt;=3,база!$L$4,
IF($D$6=4,база!$L$5,
IF($D$6=5,база!$L$6)))</f>
        <v>231.45480000000001</v>
      </c>
      <c r="R672" s="390">
        <v>1.3</v>
      </c>
      <c r="S672" s="400">
        <f>SUMIFS(Таблица1[Столбец1],Таблица1[коэф],"1,3",Таблица1[р/р],"3/16",Таблица1[Ф. И. О.],B671)</f>
        <v>0</v>
      </c>
      <c r="T672" s="492">
        <f t="shared" si="232"/>
        <v>0</v>
      </c>
      <c r="U672" s="478">
        <f>IF(D666&lt;=3,база!$M$4,
IF(D666=4,база!$M$5,
IF(D666=5,база!$M$6)))</f>
        <v>225.09719999999999</v>
      </c>
      <c r="V672" s="390">
        <v>1.3</v>
      </c>
      <c r="W672" s="412">
        <f>SUMIFS(Таблица1[Столбец1],Таблица1[коэф],"1,3",Таблица1[р/р],"3/24",Таблица1[Ф. И. О.],B671)</f>
        <v>0</v>
      </c>
      <c r="X672" s="492">
        <f t="shared" si="233"/>
        <v>0</v>
      </c>
      <c r="Y672" s="795"/>
      <c r="Z672" s="797"/>
      <c r="AA672" s="786"/>
      <c r="AC672" s="727" t="str">
        <f>IF(SUMIFS(Таблица1[Столбец1],Таблица1[Ф. И. О.],B671)=Y666,"",B671&amp;"  часы не верны")</f>
        <v/>
      </c>
    </row>
    <row r="673" spans="1:29" ht="18.75">
      <c r="A673" s="786"/>
      <c r="B673" s="216"/>
      <c r="C673" s="789"/>
      <c r="D673" s="792"/>
      <c r="E673" s="389"/>
      <c r="F673" s="390"/>
      <c r="G673" s="400"/>
      <c r="H673" s="392">
        <f t="shared" si="230"/>
        <v>0</v>
      </c>
      <c r="I673" s="432"/>
      <c r="J673" s="433"/>
      <c r="K673" s="434"/>
      <c r="L673" s="484">
        <f t="shared" si="231"/>
        <v>0</v>
      </c>
      <c r="M673" s="434"/>
      <c r="N673" s="434"/>
      <c r="O673" s="434"/>
      <c r="P673" s="406"/>
      <c r="Q673" s="389">
        <f>база!$L$5</f>
        <v>231.45480000000001</v>
      </c>
      <c r="R673" s="390">
        <v>1.3</v>
      </c>
      <c r="S673" s="400">
        <f>SUMIFS(Таблица1[Столбец1],Таблица1[коэф],"1,3",Таблица1[р/р],"4/16",Таблица1[Ф. И. О.],B671)</f>
        <v>0</v>
      </c>
      <c r="T673" s="492">
        <f t="shared" si="232"/>
        <v>0</v>
      </c>
      <c r="U673" s="478">
        <f>база!$M$5</f>
        <v>247.41720000000001</v>
      </c>
      <c r="V673" s="390">
        <v>1.3</v>
      </c>
      <c r="W673" s="412">
        <f>SUMIFS(Таблица1[Столбец1],Таблица1[коэф],"1,3",Таблица1[р/р],"4/24",Таблица1[Ф. И. О.],B671)</f>
        <v>0</v>
      </c>
      <c r="X673" s="492">
        <f t="shared" si="233"/>
        <v>0</v>
      </c>
      <c r="Y673" s="795"/>
      <c r="Z673" s="797"/>
      <c r="AA673" s="786"/>
    </row>
    <row r="674" spans="1:29" ht="18.75">
      <c r="A674" s="786"/>
      <c r="B674" s="216"/>
      <c r="C674" s="789"/>
      <c r="D674" s="792"/>
      <c r="E674" s="389"/>
      <c r="F674" s="390"/>
      <c r="G674" s="400"/>
      <c r="H674" s="392">
        <f t="shared" si="230"/>
        <v>0</v>
      </c>
      <c r="I674" s="432"/>
      <c r="J674" s="433"/>
      <c r="K674" s="434"/>
      <c r="L674" s="484">
        <f t="shared" si="231"/>
        <v>0</v>
      </c>
      <c r="M674" s="434"/>
      <c r="N674" s="434"/>
      <c r="O674" s="434"/>
      <c r="P674" s="406"/>
      <c r="Q674" s="389">
        <f>IF(D666&lt;=3,база!$L$4,
IF(D666=4,база!$L$5,
IF(D666=5,база!$L$6)))</f>
        <v>210.57480000000001</v>
      </c>
      <c r="R674" s="390">
        <v>1.4</v>
      </c>
      <c r="S674" s="400">
        <f>SUMIFS(Таблица1[Столбец1],Таблица1[коэф],"1,4",Таблица1[р/р],"3/16",Таблица1[Ф. И. О.],B671)</f>
        <v>0</v>
      </c>
      <c r="T674" s="492">
        <f t="shared" si="232"/>
        <v>0</v>
      </c>
      <c r="U674" s="478">
        <f>IF(D666&lt;=3,база!$M$4,
IF(D666=4,база!$M$5,
IF(D666=5,база!$M$6)))</f>
        <v>225.09719999999999</v>
      </c>
      <c r="V674" s="390">
        <v>1.4</v>
      </c>
      <c r="W674" s="412">
        <f>SUMIFS(Таблица1[Столбец1],Таблица1[коэф],"1,4",Таблица1[р/р],"3/24",Таблица1[Ф. И. О.],B671)</f>
        <v>0</v>
      </c>
      <c r="X674" s="492">
        <f t="shared" si="233"/>
        <v>0</v>
      </c>
      <c r="Y674" s="795"/>
      <c r="Z674" s="797"/>
      <c r="AA674" s="786"/>
    </row>
    <row r="675" spans="1:29" ht="18.75">
      <c r="A675" s="786"/>
      <c r="B675" s="216"/>
      <c r="C675" s="789"/>
      <c r="D675" s="792"/>
      <c r="E675" s="389"/>
      <c r="F675" s="390"/>
      <c r="G675" s="400"/>
      <c r="H675" s="392">
        <f t="shared" si="230"/>
        <v>0</v>
      </c>
      <c r="I675" s="432"/>
      <c r="J675" s="433"/>
      <c r="K675" s="434"/>
      <c r="L675" s="484">
        <f t="shared" si="231"/>
        <v>0</v>
      </c>
      <c r="M675" s="434"/>
      <c r="N675" s="434"/>
      <c r="O675" s="434"/>
      <c r="P675" s="406"/>
      <c r="Q675" s="389">
        <f>база!$L$5</f>
        <v>231.45480000000001</v>
      </c>
      <c r="R675" s="390">
        <v>1.4</v>
      </c>
      <c r="S675" s="400">
        <f>SUMIFS(Таблица1[Столбец1],Таблица1[коэф],"1,4",Таблица1[р/р],"4/16",Таблица1[Ф. И. О.],B671)</f>
        <v>0</v>
      </c>
      <c r="T675" s="492">
        <f t="shared" si="232"/>
        <v>0</v>
      </c>
      <c r="U675" s="478">
        <f>база!$M$5</f>
        <v>247.41720000000001</v>
      </c>
      <c r="V675" s="390">
        <v>1.4</v>
      </c>
      <c r="W675" s="412">
        <f>SUMIFS(Таблица1[Столбец1],Таблица1[коэф],"1,4",Таблица1[р/р],"4/24",Таблица1[Ф. И. О.],B671)</f>
        <v>0</v>
      </c>
      <c r="X675" s="492">
        <f t="shared" si="233"/>
        <v>0</v>
      </c>
      <c r="Y675" s="795"/>
      <c r="Z675" s="797"/>
      <c r="AA675" s="786"/>
    </row>
    <row r="676" spans="1:29" ht="19.5" thickBot="1">
      <c r="A676" s="787"/>
      <c r="B676" s="352"/>
      <c r="C676" s="790"/>
      <c r="D676" s="793"/>
      <c r="E676" s="481"/>
      <c r="F676" s="417"/>
      <c r="G676" s="486"/>
      <c r="H676" s="468">
        <f t="shared" si="230"/>
        <v>0</v>
      </c>
      <c r="I676" s="651"/>
      <c r="J676" s="456"/>
      <c r="K676" s="652"/>
      <c r="L676" s="484">
        <f t="shared" si="231"/>
        <v>0</v>
      </c>
      <c r="M676" s="396"/>
      <c r="N676" s="397"/>
      <c r="O676" s="397"/>
      <c r="P676" s="398"/>
      <c r="Q676" s="487">
        <f>база!$L$6</f>
        <v>261.04640000000001</v>
      </c>
      <c r="R676" s="417">
        <v>1.4</v>
      </c>
      <c r="S676" s="418">
        <f>SUMIFS(Таблица1[Столбец1],Таблица1[коэф],"1,4",Таблица1[р/р],"5/16",Таблица1[Ф. И. О.],B671)</f>
        <v>0</v>
      </c>
      <c r="T676" s="492">
        <f t="shared" si="232"/>
        <v>0</v>
      </c>
      <c r="U676" s="473">
        <f>база!$M$6</f>
        <v>279.0496</v>
      </c>
      <c r="V676" s="464">
        <v>1.4</v>
      </c>
      <c r="W676" s="465">
        <f>SUMIFS(Таблица1[Столбец1],Таблица1[коэф],"1,4",Таблица1[р/р],"5/24",Таблица1[Ф. И. О.],B671)</f>
        <v>0</v>
      </c>
      <c r="X676" s="513">
        <f t="shared" si="233"/>
        <v>0</v>
      </c>
      <c r="Y676" s="796"/>
      <c r="Z676" s="798"/>
      <c r="AA676" s="787"/>
    </row>
    <row r="677" spans="1:29" ht="18.75">
      <c r="A677" s="785">
        <v>62</v>
      </c>
      <c r="B677" s="216"/>
      <c r="C677" s="788">
        <f>INDEX(база!$E$2:$E$181, MATCH(B682,база!$B$2:$B$160,0))</f>
        <v>15589</v>
      </c>
      <c r="D677" s="791">
        <f>INDEX(база!$D$2:$D$189, MATCH(B682,база!$B$2:$B$160,0))</f>
        <v>3</v>
      </c>
      <c r="E677" s="377">
        <f>IF(D677&lt;=3,база!$I$4,
IF(D677=4,база!$I$5,
IF(D677=5,база!$I$6)))</f>
        <v>188.7912</v>
      </c>
      <c r="F677" s="378">
        <v>1</v>
      </c>
      <c r="G677" s="387">
        <f>SUMIFS(Таблица1[Столбец1],Таблица1[коэф],"1",Таблица1[р/р],"2/4",Таблица1[Ф. И. О.],B682)</f>
        <v>0</v>
      </c>
      <c r="H677" s="402">
        <f t="shared" si="230"/>
        <v>0</v>
      </c>
      <c r="I677" s="452">
        <f>IF(D677&lt;=3,база!$J$4,
IF(D677=4,база!$J$5,
IF(D677=5,база!$J$6)))</f>
        <v>196.05240000000001</v>
      </c>
      <c r="J677" s="475">
        <v>1</v>
      </c>
      <c r="K677" s="453">
        <f>SUMIFS(Таблица1[Столбец1],Таблица1[коэф],"1",Таблица1[р/р],"2/8",Таблица1[Ф. И. О.],B682)</f>
        <v>0</v>
      </c>
      <c r="L677" s="383">
        <f t="shared" si="231"/>
        <v>0</v>
      </c>
      <c r="M677" s="453"/>
      <c r="N677" s="453">
        <v>1</v>
      </c>
      <c r="O677" s="453">
        <f>SUMIFS(Data_Tech!$AM$3:$AM$67,Data_Tech!$E$3:$E$67,"1",Data_Tech!$G$3:$G$67,"3/12",Data_Tech!$F$3:$F$67,B682)</f>
        <v>0</v>
      </c>
      <c r="P677" s="398">
        <f>ROUND(M677*N677*O677,2)</f>
        <v>0</v>
      </c>
      <c r="Q677" s="377">
        <f>IF(D677&lt;=3,база!$L$4,
IF(D677=4,база!$L$5,
IF(D677=5,база!$L$6)))</f>
        <v>210.57480000000001</v>
      </c>
      <c r="R677" s="378">
        <v>1</v>
      </c>
      <c r="S677" s="387">
        <f>SUMIFS(Таблица1[Столбец1],Таблица1[коэф],"1",Таблица1[р/р],"3/16",Таблица1[Ф. И. О.],B682)</f>
        <v>0</v>
      </c>
      <c r="T677" s="490">
        <f t="shared" si="232"/>
        <v>0</v>
      </c>
      <c r="U677" s="483">
        <f>IF(D677&lt;=3,база!$M$4,
IF(D677=4,база!$M$5,
IF(D677=5,база!$M$6)))</f>
        <v>225.09719999999999</v>
      </c>
      <c r="V677" s="417">
        <v>1</v>
      </c>
      <c r="W677" s="455">
        <f>SUMIFS(Таблица1[Столбец1],Таблица1[коэф],"1",Таблица1[р/р],"3/24",Таблица1[Ф. И. О.],B682)</f>
        <v>0</v>
      </c>
      <c r="X677" s="492">
        <f t="shared" si="233"/>
        <v>0</v>
      </c>
      <c r="Y677" s="795">
        <f t="shared" ref="Y677" si="242">SUM(G677:G687,K677:K687,O677:O687,S677:S687,W677:W687)</f>
        <v>0</v>
      </c>
      <c r="Z677" s="797">
        <f t="shared" ref="Z677" si="243">IFERROR(SUM(H677:H687,L677:L687,T677:T687,X677:X687),"")</f>
        <v>0</v>
      </c>
      <c r="AA677" s="786"/>
    </row>
    <row r="678" spans="1:29" ht="18.75">
      <c r="A678" s="786"/>
      <c r="B678" s="216"/>
      <c r="C678" s="789"/>
      <c r="D678" s="792"/>
      <c r="E678" s="389">
        <f>IF(D677&lt;=3,база!$I$4,
IF(D677=4,база!$I$5,
IF(D677=5,база!$I$6)))</f>
        <v>188.7912</v>
      </c>
      <c r="F678" s="390">
        <v>1</v>
      </c>
      <c r="G678" s="400">
        <f>SUMIFS(Таблица1[Столбец1],Таблица1[коэф],"1",Таблица1[р/р],"3/4",Таблица1[Ф. И. О.],B682)</f>
        <v>0</v>
      </c>
      <c r="H678" s="392">
        <f t="shared" si="230"/>
        <v>0</v>
      </c>
      <c r="I678" s="432">
        <f>IF(D677&lt;=3,база!$J$4,
IF(D677=4,база!$J$5,
IF(D677=5,база!$J$6)))</f>
        <v>196.05240000000001</v>
      </c>
      <c r="J678" s="433">
        <v>1</v>
      </c>
      <c r="K678" s="434">
        <f>SUMIFS(Таблица1[Столбец1],Таблица1[коэф],"1",Таблица1[р/р],"3/8",Таблица1[Ф. И. О.],B682)</f>
        <v>0</v>
      </c>
      <c r="L678" s="484">
        <f t="shared" si="231"/>
        <v>0</v>
      </c>
      <c r="M678" s="434"/>
      <c r="N678" s="434">
        <v>1</v>
      </c>
      <c r="O678" s="434">
        <f>SUMIFS(Data_Tech!$AM$3:$AM$67,Data_Tech!$E$3:$E$67,"1",Data_Tech!$G$3:$G$67,"4/12",Data_Tech!$F$3:$F$67,B682)</f>
        <v>0</v>
      </c>
      <c r="P678" s="406">
        <f>ROUND(M678*O678,2)</f>
        <v>0</v>
      </c>
      <c r="Q678" s="389">
        <f>база!$L$5</f>
        <v>231.45480000000001</v>
      </c>
      <c r="R678" s="390">
        <v>1</v>
      </c>
      <c r="S678" s="400">
        <f>SUMIFS(Таблица1[Столбец1],Таблица1[коэф],"1",Таблица1[р/р],"4/16",Таблица1[Ф. И. О.],B682)</f>
        <v>0</v>
      </c>
      <c r="T678" s="492">
        <f t="shared" si="232"/>
        <v>0</v>
      </c>
      <c r="U678" s="478">
        <f>база!$M$5</f>
        <v>247.41720000000001</v>
      </c>
      <c r="V678" s="390">
        <v>1</v>
      </c>
      <c r="W678" s="412">
        <f>SUMIFS(Таблица1[Столбец1],Таблица1[коэф],"1",Таблица1[р/р],"4/24",Таблица1[Ф. И. О.],B682)</f>
        <v>0</v>
      </c>
      <c r="X678" s="492">
        <f t="shared" si="233"/>
        <v>0</v>
      </c>
      <c r="Y678" s="795"/>
      <c r="Z678" s="797"/>
      <c r="AA678" s="786"/>
    </row>
    <row r="679" spans="1:29" ht="18.75">
      <c r="A679" s="786"/>
      <c r="B679" s="216"/>
      <c r="C679" s="789"/>
      <c r="D679" s="792"/>
      <c r="E679" s="389"/>
      <c r="F679" s="390"/>
      <c r="G679" s="400"/>
      <c r="H679" s="392">
        <f t="shared" si="230"/>
        <v>0</v>
      </c>
      <c r="I679" s="432"/>
      <c r="J679" s="433"/>
      <c r="K679" s="434"/>
      <c r="L679" s="484">
        <f t="shared" si="231"/>
        <v>0</v>
      </c>
      <c r="M679" s="434"/>
      <c r="N679" s="434"/>
      <c r="O679" s="434"/>
      <c r="P679" s="406"/>
      <c r="Q679" s="389">
        <f>база!$L$6</f>
        <v>261.04640000000001</v>
      </c>
      <c r="R679" s="390">
        <v>1</v>
      </c>
      <c r="S679" s="400">
        <f>SUMIFS(Таблица1[Столбец1],Таблица1[коэф],"1",Таблица1[р/р],"5/16",Таблица1[Ф. И. О.],B682)</f>
        <v>0</v>
      </c>
      <c r="T679" s="492">
        <f t="shared" si="232"/>
        <v>0</v>
      </c>
      <c r="U679" s="478">
        <f>база!$M$6</f>
        <v>279.0496</v>
      </c>
      <c r="V679" s="390">
        <v>1</v>
      </c>
      <c r="W679" s="412">
        <f>SUMIFS(Таблица1[Столбец1],Таблица1[коэф],"1",Таблица1[р/р],"5/24",Таблица1[Ф. И. О.],B682)</f>
        <v>0</v>
      </c>
      <c r="X679" s="492">
        <f t="shared" si="233"/>
        <v>0</v>
      </c>
      <c r="Y679" s="795"/>
      <c r="Z679" s="797"/>
      <c r="AA679" s="786"/>
    </row>
    <row r="680" spans="1:29" ht="18.75">
      <c r="A680" s="786"/>
      <c r="B680" s="216"/>
      <c r="C680" s="789"/>
      <c r="D680" s="792"/>
      <c r="E680" s="389"/>
      <c r="F680" s="390"/>
      <c r="G680" s="400"/>
      <c r="H680" s="392">
        <f t="shared" si="230"/>
        <v>0</v>
      </c>
      <c r="I680" s="432">
        <f>база!$J$5</f>
        <v>215.4924</v>
      </c>
      <c r="J680" s="433">
        <v>1.5</v>
      </c>
      <c r="K680" s="434">
        <f>SUMIFS(Таблица1[Столбец1],Таблица1[коэф],"1,5",Таблица1[р/р],"4/8",Таблица1[Ф. И. О.],B682)</f>
        <v>0</v>
      </c>
      <c r="L680" s="484">
        <f t="shared" si="231"/>
        <v>0</v>
      </c>
      <c r="M680" s="434"/>
      <c r="N680" s="434"/>
      <c r="O680" s="434"/>
      <c r="P680" s="406"/>
      <c r="Q680" s="389">
        <f>IF(D677&lt;=3,база!$L$4,
IF(D677=4,база!$L$5,
IF(D677=5,база!$L$6)))</f>
        <v>210.57480000000001</v>
      </c>
      <c r="R680" s="390">
        <v>1.2</v>
      </c>
      <c r="S680" s="400">
        <f>SUMIFS(Таблица1[Столбец1],Таблица1[коэф],"1,2",Таблица1[р/р],"3/16",Таблица1[Ф. И. О.],B682)</f>
        <v>0</v>
      </c>
      <c r="T680" s="492">
        <f t="shared" si="232"/>
        <v>0</v>
      </c>
      <c r="U680" s="478">
        <f>IF(D677&lt;=3,база!$M$4,
IF(D677=4,база!$M$5,
IF(D677=5,база!$M$6)))</f>
        <v>225.09719999999999</v>
      </c>
      <c r="V680" s="390">
        <v>1.2</v>
      </c>
      <c r="W680" s="412">
        <f>SUMIFS(Таблица1[Столбец1],Таблица1[коэф],"1,2",Таблица1[р/р],"3/24",Таблица1[Ф. И. О.],B682)</f>
        <v>0</v>
      </c>
      <c r="X680" s="492">
        <f t="shared" si="233"/>
        <v>0</v>
      </c>
      <c r="Y680" s="795"/>
      <c r="Z680" s="797"/>
      <c r="AA680" s="786"/>
    </row>
    <row r="681" spans="1:29" ht="18.75">
      <c r="A681" s="786"/>
      <c r="B681" s="216"/>
      <c r="C681" s="789"/>
      <c r="D681" s="792"/>
      <c r="E681" s="389"/>
      <c r="F681" s="390"/>
      <c r="G681" s="400"/>
      <c r="H681" s="392">
        <f t="shared" si="230"/>
        <v>0</v>
      </c>
      <c r="I681" s="432">
        <f>база!$J$6</f>
        <v>243.04319999999998</v>
      </c>
      <c r="J681" s="433">
        <v>1.5</v>
      </c>
      <c r="K681" s="434">
        <f>SUMIFS(Таблица1[Столбец1],Таблица1[коэф],"1,5",Таблица1[р/р],"5/8",Таблица1[Ф. И. О.],B682)</f>
        <v>0</v>
      </c>
      <c r="L681" s="484">
        <f t="shared" si="231"/>
        <v>0</v>
      </c>
      <c r="M681" s="434"/>
      <c r="N681" s="434"/>
      <c r="O681" s="434"/>
      <c r="P681" s="406"/>
      <c r="Q681" s="389">
        <f>база!$L$5</f>
        <v>231.45480000000001</v>
      </c>
      <c r="R681" s="390">
        <v>1.2</v>
      </c>
      <c r="S681" s="400">
        <f>SUMIFS(Таблица1[Столбец1],Таблица1[коэф],"1,2",Таблица1[р/р],"4/16",Таблица1[Ф. И. О.],B682)</f>
        <v>0</v>
      </c>
      <c r="T681" s="492">
        <f t="shared" si="232"/>
        <v>0</v>
      </c>
      <c r="U681" s="478">
        <f>база!$M$5</f>
        <v>247.41720000000001</v>
      </c>
      <c r="V681" s="390">
        <v>1.2</v>
      </c>
      <c r="W681" s="412">
        <f>SUMIFS(Таблица1[Столбец1],Таблица1[коэф],"1,2",Таблица1[р/р],"4/24",Таблица1[Ф. И. О.],B682)</f>
        <v>0</v>
      </c>
      <c r="X681" s="492">
        <f t="shared" si="233"/>
        <v>0</v>
      </c>
      <c r="Y681" s="795"/>
      <c r="Z681" s="797"/>
      <c r="AA681" s="786"/>
    </row>
    <row r="682" spans="1:29" ht="18.75">
      <c r="A682" s="786"/>
      <c r="B682" s="216" t="str">
        <f>база!B63</f>
        <v>Пириева Виктория Хозеиновна</v>
      </c>
      <c r="C682" s="789"/>
      <c r="D682" s="792"/>
      <c r="E682" s="389"/>
      <c r="F682" s="390"/>
      <c r="G682" s="400"/>
      <c r="H682" s="392">
        <f t="shared" si="230"/>
        <v>0</v>
      </c>
      <c r="I682" s="432"/>
      <c r="J682" s="433"/>
      <c r="K682" s="434"/>
      <c r="L682" s="484">
        <f t="shared" si="231"/>
        <v>0</v>
      </c>
      <c r="M682" s="434"/>
      <c r="N682" s="434"/>
      <c r="O682" s="434"/>
      <c r="P682" s="406"/>
      <c r="Q682" s="389">
        <f>база!$L$6</f>
        <v>261.04640000000001</v>
      </c>
      <c r="R682" s="390">
        <v>1.2</v>
      </c>
      <c r="S682" s="400">
        <f>SUMIFS(Таблица1[Столбец1],Таблица1[коэф],"1,2",Таблица1[р/р],"5/16",Таблица1[Ф. И. О.],B682)</f>
        <v>0</v>
      </c>
      <c r="T682" s="492">
        <f t="shared" si="232"/>
        <v>0</v>
      </c>
      <c r="U682" s="478">
        <f>база!$M$6</f>
        <v>279.0496</v>
      </c>
      <c r="V682" s="390">
        <v>1.2</v>
      </c>
      <c r="W682" s="412">
        <f>SUMIFS(Таблица1[Столбец1],Таблица1[коэф],"1,2",Таблица1[р/р],"5/24",Таблица1[Ф. И. О.],B682)</f>
        <v>0</v>
      </c>
      <c r="X682" s="492">
        <f t="shared" si="233"/>
        <v>0</v>
      </c>
      <c r="Y682" s="795"/>
      <c r="Z682" s="797"/>
      <c r="AA682" s="786"/>
      <c r="AC682" s="727" t="str">
        <f>IF(SUMIFS(Таблица1[Столбец3],Таблица1[Ф. И. О.],B682)-Z677=0,"",SUMIFS(Таблица1[Столбец3],Таблица1[Ф. И. О.],B682)-Z677)</f>
        <v/>
      </c>
    </row>
    <row r="683" spans="1:29" ht="18.75">
      <c r="A683" s="786"/>
      <c r="B683" s="216"/>
      <c r="C683" s="789"/>
      <c r="D683" s="792"/>
      <c r="E683" s="389"/>
      <c r="F683" s="390"/>
      <c r="G683" s="400"/>
      <c r="H683" s="392">
        <f t="shared" si="230"/>
        <v>0</v>
      </c>
      <c r="I683" s="432"/>
      <c r="J683" s="433"/>
      <c r="K683" s="434"/>
      <c r="L683" s="484">
        <f t="shared" si="231"/>
        <v>0</v>
      </c>
      <c r="M683" s="434"/>
      <c r="N683" s="434"/>
      <c r="O683" s="434"/>
      <c r="P683" s="406"/>
      <c r="Q683" s="389">
        <f>IF($D$6&lt;=3,база!$L$4,
IF($D$6=4,база!$L$5,
IF($D$6=5,база!$L$6)))</f>
        <v>231.45480000000001</v>
      </c>
      <c r="R683" s="390">
        <v>1.3</v>
      </c>
      <c r="S683" s="400">
        <f>SUMIFS(Таблица1[Столбец1],Таблица1[коэф],"1,3",Таблица1[р/р],"3/16",Таблица1[Ф. И. О.],B682)</f>
        <v>0</v>
      </c>
      <c r="T683" s="492">
        <f t="shared" si="232"/>
        <v>0</v>
      </c>
      <c r="U683" s="478">
        <f>IF(D677&lt;=3,база!$M$4,
IF(D677=4,база!$M$5,
IF(D677=5,база!$M$6)))</f>
        <v>225.09719999999999</v>
      </c>
      <c r="V683" s="390">
        <v>1.3</v>
      </c>
      <c r="W683" s="412">
        <f>SUMIFS(Таблица1[Столбец1],Таблица1[коэф],"1,3",Таблица1[р/р],"3/24",Таблица1[Ф. И. О.],B682)</f>
        <v>0</v>
      </c>
      <c r="X683" s="492">
        <f t="shared" si="233"/>
        <v>0</v>
      </c>
      <c r="Y683" s="795"/>
      <c r="Z683" s="797"/>
      <c r="AA683" s="786"/>
      <c r="AC683" s="727" t="str">
        <f>IF(SUMIFS(Таблица1[Столбец1],Таблица1[Ф. И. О.],B682)=Y677,"",B682&amp;"  часы не верны")</f>
        <v/>
      </c>
    </row>
    <row r="684" spans="1:29" ht="18.75">
      <c r="A684" s="786"/>
      <c r="B684" s="216"/>
      <c r="C684" s="789"/>
      <c r="D684" s="792"/>
      <c r="E684" s="389"/>
      <c r="F684" s="390"/>
      <c r="G684" s="400"/>
      <c r="H684" s="392">
        <f t="shared" si="230"/>
        <v>0</v>
      </c>
      <c r="I684" s="432"/>
      <c r="J684" s="433"/>
      <c r="K684" s="434"/>
      <c r="L684" s="484">
        <f t="shared" si="231"/>
        <v>0</v>
      </c>
      <c r="M684" s="434"/>
      <c r="N684" s="434"/>
      <c r="O684" s="434"/>
      <c r="P684" s="406"/>
      <c r="Q684" s="389">
        <f>база!$L$5</f>
        <v>231.45480000000001</v>
      </c>
      <c r="R684" s="390">
        <v>1.3</v>
      </c>
      <c r="S684" s="400">
        <f>SUMIFS(Таблица1[Столбец1],Таблица1[коэф],"1,3",Таблица1[р/р],"4/16",Таблица1[Ф. И. О.],B682)</f>
        <v>0</v>
      </c>
      <c r="T684" s="492">
        <f t="shared" si="232"/>
        <v>0</v>
      </c>
      <c r="U684" s="478">
        <f>база!$M$5</f>
        <v>247.41720000000001</v>
      </c>
      <c r="V684" s="390">
        <v>1.3</v>
      </c>
      <c r="W684" s="412">
        <f>SUMIFS(Таблица1[Столбец1],Таблица1[коэф],"1,3",Таблица1[р/р],"4/24",Таблица1[Ф. И. О.],B682)</f>
        <v>0</v>
      </c>
      <c r="X684" s="492">
        <f t="shared" si="233"/>
        <v>0</v>
      </c>
      <c r="Y684" s="795"/>
      <c r="Z684" s="797"/>
      <c r="AA684" s="786"/>
    </row>
    <row r="685" spans="1:29" ht="18.75">
      <c r="A685" s="786"/>
      <c r="B685" s="216"/>
      <c r="C685" s="789"/>
      <c r="D685" s="792"/>
      <c r="E685" s="389"/>
      <c r="F685" s="390"/>
      <c r="G685" s="400"/>
      <c r="H685" s="392">
        <f t="shared" si="230"/>
        <v>0</v>
      </c>
      <c r="I685" s="432"/>
      <c r="J685" s="433"/>
      <c r="K685" s="434"/>
      <c r="L685" s="484">
        <f t="shared" si="231"/>
        <v>0</v>
      </c>
      <c r="M685" s="434"/>
      <c r="N685" s="434"/>
      <c r="O685" s="434"/>
      <c r="P685" s="406"/>
      <c r="Q685" s="389">
        <f>IF(D677&lt;=3,база!$L$4,
IF(D677=4,база!$L$5,
IF(D677=5,база!$L$6)))</f>
        <v>210.57480000000001</v>
      </c>
      <c r="R685" s="390">
        <v>1.4</v>
      </c>
      <c r="S685" s="400">
        <f>SUMIFS(Таблица1[Столбец1],Таблица1[коэф],"1,4",Таблица1[р/р],"3/16",Таблица1[Ф. И. О.],B682)</f>
        <v>0</v>
      </c>
      <c r="T685" s="492">
        <f t="shared" si="232"/>
        <v>0</v>
      </c>
      <c r="U685" s="478">
        <f>IF(D677&lt;=3,база!$M$4,
IF(D677=4,база!$M$5,
IF(D677=5,база!$M$6)))</f>
        <v>225.09719999999999</v>
      </c>
      <c r="V685" s="390">
        <v>1.4</v>
      </c>
      <c r="W685" s="412">
        <f>SUMIFS(Таблица1[Столбец1],Таблица1[коэф],"1,4",Таблица1[р/р],"3/24",Таблица1[Ф. И. О.],B682)</f>
        <v>0</v>
      </c>
      <c r="X685" s="492">
        <f t="shared" si="233"/>
        <v>0</v>
      </c>
      <c r="Y685" s="795"/>
      <c r="Z685" s="797"/>
      <c r="AA685" s="786"/>
    </row>
    <row r="686" spans="1:29" ht="18.75">
      <c r="A686" s="786"/>
      <c r="B686" s="216"/>
      <c r="C686" s="789"/>
      <c r="D686" s="792"/>
      <c r="E686" s="389"/>
      <c r="F686" s="390"/>
      <c r="G686" s="400"/>
      <c r="H686" s="392">
        <f t="shared" si="230"/>
        <v>0</v>
      </c>
      <c r="I686" s="432"/>
      <c r="J686" s="433"/>
      <c r="K686" s="434"/>
      <c r="L686" s="484">
        <f t="shared" si="231"/>
        <v>0</v>
      </c>
      <c r="M686" s="434"/>
      <c r="N686" s="434"/>
      <c r="O686" s="434"/>
      <c r="P686" s="406"/>
      <c r="Q686" s="389">
        <f>база!$L$5</f>
        <v>231.45480000000001</v>
      </c>
      <c r="R686" s="390">
        <v>1.4</v>
      </c>
      <c r="S686" s="400">
        <f>SUMIFS(Таблица1[Столбец1],Таблица1[коэф],"1,4",Таблица1[р/р],"4/16",Таблица1[Ф. И. О.],B682)</f>
        <v>0</v>
      </c>
      <c r="T686" s="492">
        <f t="shared" si="232"/>
        <v>0</v>
      </c>
      <c r="U686" s="478">
        <f>база!$M$5</f>
        <v>247.41720000000001</v>
      </c>
      <c r="V686" s="390">
        <v>1.4</v>
      </c>
      <c r="W686" s="412">
        <f>SUMIFS(Таблица1[Столбец1],Таблица1[коэф],"1,4",Таблица1[р/р],"4/24",Таблица1[Ф. И. О.],B682)</f>
        <v>0</v>
      </c>
      <c r="X686" s="492">
        <f t="shared" si="233"/>
        <v>0</v>
      </c>
      <c r="Y686" s="795"/>
      <c r="Z686" s="797"/>
      <c r="AA686" s="786"/>
    </row>
    <row r="687" spans="1:29" ht="19.5" thickBot="1">
      <c r="A687" s="787"/>
      <c r="B687" s="352"/>
      <c r="C687" s="790"/>
      <c r="D687" s="793"/>
      <c r="E687" s="481"/>
      <c r="F687" s="417"/>
      <c r="G687" s="486"/>
      <c r="H687" s="468">
        <f t="shared" si="230"/>
        <v>0</v>
      </c>
      <c r="I687" s="651"/>
      <c r="J687" s="456"/>
      <c r="K687" s="652"/>
      <c r="L687" s="484">
        <f t="shared" si="231"/>
        <v>0</v>
      </c>
      <c r="M687" s="396"/>
      <c r="N687" s="397"/>
      <c r="O687" s="397"/>
      <c r="P687" s="398"/>
      <c r="Q687" s="487">
        <f>база!$L$6</f>
        <v>261.04640000000001</v>
      </c>
      <c r="R687" s="417">
        <v>1.4</v>
      </c>
      <c r="S687" s="418">
        <f>SUMIFS(Таблица1[Столбец1],Таблица1[коэф],"1,4",Таблица1[р/р],"5/16",Таблица1[Ф. И. О.],B682)</f>
        <v>0</v>
      </c>
      <c r="T687" s="492">
        <f t="shared" si="232"/>
        <v>0</v>
      </c>
      <c r="U687" s="473">
        <f>база!$M$6</f>
        <v>279.0496</v>
      </c>
      <c r="V687" s="464">
        <v>1.4</v>
      </c>
      <c r="W687" s="465">
        <f>SUMIFS(Таблица1[Столбец1],Таблица1[коэф],"1,4",Таблица1[р/р],"5/24",Таблица1[Ф. И. О.],B682)</f>
        <v>0</v>
      </c>
      <c r="X687" s="513">
        <f t="shared" si="233"/>
        <v>0</v>
      </c>
      <c r="Y687" s="796"/>
      <c r="Z687" s="798"/>
      <c r="AA687" s="787"/>
    </row>
    <row r="688" spans="1:29" ht="18.75">
      <c r="A688" s="785">
        <v>63</v>
      </c>
      <c r="B688" s="216"/>
      <c r="C688" s="788">
        <f>INDEX(база!$E$2:$E$181, MATCH(B693,база!$B$2:$B$160,0))</f>
        <v>16858</v>
      </c>
      <c r="D688" s="791">
        <f>INDEX(база!$D$2:$D$189, MATCH(B693,база!$B$2:$B$160,0))</f>
        <v>3</v>
      </c>
      <c r="E688" s="377">
        <f>IF(D688&lt;=3,база!$I$4,
IF(D688=4,база!$I$5,
IF(D688=5,база!$I$6)))</f>
        <v>188.7912</v>
      </c>
      <c r="F688" s="378">
        <v>1</v>
      </c>
      <c r="G688" s="387">
        <f>SUMIFS(Таблица1[Столбец1],Таблица1[коэф],"1",Таблица1[р/р],"2/4",Таблица1[Ф. И. О.],B693)</f>
        <v>0</v>
      </c>
      <c r="H688" s="402">
        <f t="shared" si="230"/>
        <v>0</v>
      </c>
      <c r="I688" s="452">
        <f>IF(D688&lt;=3,база!$J$4,
IF(D688=4,база!$J$5,
IF(D688=5,база!$J$6)))</f>
        <v>196.05240000000001</v>
      </c>
      <c r="J688" s="475">
        <v>1</v>
      </c>
      <c r="K688" s="453">
        <f>SUMIFS(Таблица1[Столбец1],Таблица1[коэф],"1",Таблица1[р/р],"2/8",Таблица1[Ф. И. О.],B693)</f>
        <v>0</v>
      </c>
      <c r="L688" s="383">
        <f t="shared" si="231"/>
        <v>0</v>
      </c>
      <c r="M688" s="453"/>
      <c r="N688" s="453">
        <v>1</v>
      </c>
      <c r="O688" s="453">
        <f>SUMIFS(Data_Tech!$AM$3:$AM$67,Data_Tech!$E$3:$E$67,"1",Data_Tech!$G$3:$G$67,"3/12",Data_Tech!$F$3:$F$67,B693)</f>
        <v>0</v>
      </c>
      <c r="P688" s="398">
        <f>ROUND(M688*N688*O688,2)</f>
        <v>0</v>
      </c>
      <c r="Q688" s="377">
        <f>IF(D688&lt;=3,база!$L$4,
IF(D688=4,база!$L$5,
IF(D688=5,база!$L$6)))</f>
        <v>210.57480000000001</v>
      </c>
      <c r="R688" s="378">
        <v>1</v>
      </c>
      <c r="S688" s="387">
        <f>SUMIFS(Таблица1[Столбец1],Таблица1[коэф],"1",Таблица1[р/р],"3/16",Таблица1[Ф. И. О.],B693)</f>
        <v>0</v>
      </c>
      <c r="T688" s="490">
        <f t="shared" si="232"/>
        <v>0</v>
      </c>
      <c r="U688" s="483">
        <f>IF(D688&lt;=3,база!$M$4,
IF(D688=4,база!$M$5,
IF(D688=5,база!$M$6)))</f>
        <v>225.09719999999999</v>
      </c>
      <c r="V688" s="417">
        <v>1</v>
      </c>
      <c r="W688" s="455">
        <f>SUMIFS(Таблица1[Столбец1],Таблица1[коэф],"1",Таблица1[р/р],"3/24",Таблица1[Ф. И. О.],B693)</f>
        <v>0</v>
      </c>
      <c r="X688" s="492">
        <f t="shared" si="233"/>
        <v>0</v>
      </c>
      <c r="Y688" s="795">
        <f t="shared" ref="Y688" si="244">SUM(G688:G698,K688:K698,O688:O698,S688:S698,W688:W698)</f>
        <v>0</v>
      </c>
      <c r="Z688" s="797">
        <f t="shared" ref="Z688" si="245">IFERROR(SUM(H688:H698,L688:L698,T688:T698,X688:X698),"")</f>
        <v>0</v>
      </c>
      <c r="AA688" s="786"/>
    </row>
    <row r="689" spans="1:29" ht="18.75">
      <c r="A689" s="786"/>
      <c r="B689" s="216"/>
      <c r="C689" s="789"/>
      <c r="D689" s="792"/>
      <c r="E689" s="389">
        <f>IF(D688&lt;=3,база!$I$4,
IF(D688=4,база!$I$5,
IF(D688=5,база!$I$6)))</f>
        <v>188.7912</v>
      </c>
      <c r="F689" s="390">
        <v>1</v>
      </c>
      <c r="G689" s="400">
        <f>SUMIFS(Таблица1[Столбец1],Таблица1[коэф],"1",Таблица1[р/р],"3/4",Таблица1[Ф. И. О.],B693)</f>
        <v>0</v>
      </c>
      <c r="H689" s="392">
        <f t="shared" si="230"/>
        <v>0</v>
      </c>
      <c r="I689" s="432">
        <f>IF(D688&lt;=3,база!$J$4,
IF(D688=4,база!$J$5,
IF(D688=5,база!$J$6)))</f>
        <v>196.05240000000001</v>
      </c>
      <c r="J689" s="433">
        <v>1</v>
      </c>
      <c r="K689" s="434">
        <f>SUMIFS(Таблица1[Столбец1],Таблица1[коэф],"1",Таблица1[р/р],"3/8",Таблица1[Ф. И. О.],B693)</f>
        <v>0</v>
      </c>
      <c r="L689" s="484">
        <f t="shared" si="231"/>
        <v>0</v>
      </c>
      <c r="M689" s="434"/>
      <c r="N689" s="434">
        <v>1</v>
      </c>
      <c r="O689" s="434">
        <f>SUMIFS(Data_Tech!$AM$3:$AM$67,Data_Tech!$E$3:$E$67,"1",Data_Tech!$G$3:$G$67,"4/12",Data_Tech!$F$3:$F$67,B693)</f>
        <v>0</v>
      </c>
      <c r="P689" s="406">
        <f>ROUND(M689*O689,2)</f>
        <v>0</v>
      </c>
      <c r="Q689" s="389">
        <f>база!$L$5</f>
        <v>231.45480000000001</v>
      </c>
      <c r="R689" s="390">
        <v>1</v>
      </c>
      <c r="S689" s="400">
        <f>SUMIFS(Таблица1[Столбец1],Таблица1[коэф],"1",Таблица1[р/р],"4/16",Таблица1[Ф. И. О.],B693)</f>
        <v>0</v>
      </c>
      <c r="T689" s="492">
        <f t="shared" si="232"/>
        <v>0</v>
      </c>
      <c r="U689" s="478">
        <f>база!$M$5</f>
        <v>247.41720000000001</v>
      </c>
      <c r="V689" s="390">
        <v>1</v>
      </c>
      <c r="W689" s="412">
        <f>SUMIFS(Таблица1[Столбец1],Таблица1[коэф],"1",Таблица1[р/р],"4/24",Таблица1[Ф. И. О.],B693)</f>
        <v>0</v>
      </c>
      <c r="X689" s="492">
        <f t="shared" si="233"/>
        <v>0</v>
      </c>
      <c r="Y689" s="795"/>
      <c r="Z689" s="797"/>
      <c r="AA689" s="786"/>
    </row>
    <row r="690" spans="1:29" ht="18.75">
      <c r="A690" s="786"/>
      <c r="B690" s="216"/>
      <c r="C690" s="789"/>
      <c r="D690" s="792"/>
      <c r="E690" s="389"/>
      <c r="F690" s="390"/>
      <c r="G690" s="400"/>
      <c r="H690" s="392">
        <f t="shared" si="230"/>
        <v>0</v>
      </c>
      <c r="I690" s="432"/>
      <c r="J690" s="433"/>
      <c r="K690" s="434"/>
      <c r="L690" s="484">
        <f t="shared" si="231"/>
        <v>0</v>
      </c>
      <c r="M690" s="434"/>
      <c r="N690" s="434"/>
      <c r="O690" s="434"/>
      <c r="P690" s="406"/>
      <c r="Q690" s="389">
        <f>база!$L$6</f>
        <v>261.04640000000001</v>
      </c>
      <c r="R690" s="390">
        <v>1</v>
      </c>
      <c r="S690" s="400">
        <f>SUMIFS(Таблица1[Столбец1],Таблица1[коэф],"1",Таблица1[р/р],"5/16",Таблица1[Ф. И. О.],B693)</f>
        <v>0</v>
      </c>
      <c r="T690" s="492">
        <f t="shared" si="232"/>
        <v>0</v>
      </c>
      <c r="U690" s="478">
        <f>база!$M$6</f>
        <v>279.0496</v>
      </c>
      <c r="V690" s="390">
        <v>1</v>
      </c>
      <c r="W690" s="412">
        <f>SUMIFS(Таблица1[Столбец1],Таблица1[коэф],"1",Таблица1[р/р],"5/24",Таблица1[Ф. И. О.],B693)</f>
        <v>0</v>
      </c>
      <c r="X690" s="492">
        <f t="shared" si="233"/>
        <v>0</v>
      </c>
      <c r="Y690" s="795"/>
      <c r="Z690" s="797"/>
      <c r="AA690" s="786"/>
    </row>
    <row r="691" spans="1:29" ht="18.75">
      <c r="A691" s="786"/>
      <c r="B691" s="216"/>
      <c r="C691" s="789"/>
      <c r="D691" s="792"/>
      <c r="E691" s="389"/>
      <c r="F691" s="390"/>
      <c r="G691" s="400"/>
      <c r="H691" s="392">
        <f t="shared" si="230"/>
        <v>0</v>
      </c>
      <c r="I691" s="432">
        <f>база!$J$5</f>
        <v>215.4924</v>
      </c>
      <c r="J691" s="433">
        <v>1.5</v>
      </c>
      <c r="K691" s="434">
        <f>SUMIFS(Таблица1[Столбец1],Таблица1[коэф],"1,5",Таблица1[р/р],"4/8",Таблица1[Ф. И. О.],B693)</f>
        <v>0</v>
      </c>
      <c r="L691" s="484">
        <f t="shared" si="231"/>
        <v>0</v>
      </c>
      <c r="M691" s="434"/>
      <c r="N691" s="434"/>
      <c r="O691" s="434"/>
      <c r="P691" s="406"/>
      <c r="Q691" s="389">
        <f>IF(D688&lt;=3,база!$L$4,
IF(D688=4,база!$L$5,
IF(D688=5,база!$L$6)))</f>
        <v>210.57480000000001</v>
      </c>
      <c r="R691" s="390">
        <v>1.2</v>
      </c>
      <c r="S691" s="400">
        <f>SUMIFS(Таблица1[Столбец1],Таблица1[коэф],"1,2",Таблица1[р/р],"3/16",Таблица1[Ф. И. О.],B693)</f>
        <v>0</v>
      </c>
      <c r="T691" s="492">
        <f t="shared" si="232"/>
        <v>0</v>
      </c>
      <c r="U691" s="478">
        <f>IF(D688&lt;=3,база!$M$4,
IF(D688=4,база!$M$5,
IF(D688=5,база!$M$6)))</f>
        <v>225.09719999999999</v>
      </c>
      <c r="V691" s="390">
        <v>1.2</v>
      </c>
      <c r="W691" s="412">
        <f>SUMIFS(Таблица1[Столбец1],Таблица1[коэф],"1,2",Таблица1[р/р],"3/24",Таблица1[Ф. И. О.],B693)</f>
        <v>0</v>
      </c>
      <c r="X691" s="492">
        <f t="shared" si="233"/>
        <v>0</v>
      </c>
      <c r="Y691" s="795"/>
      <c r="Z691" s="797"/>
      <c r="AA691" s="786"/>
    </row>
    <row r="692" spans="1:29" ht="18.75">
      <c r="A692" s="786"/>
      <c r="B692" s="216"/>
      <c r="C692" s="789"/>
      <c r="D692" s="792"/>
      <c r="E692" s="389"/>
      <c r="F692" s="390"/>
      <c r="G692" s="400"/>
      <c r="H692" s="392">
        <f t="shared" si="230"/>
        <v>0</v>
      </c>
      <c r="I692" s="432">
        <f>база!$J$6</f>
        <v>243.04319999999998</v>
      </c>
      <c r="J692" s="433">
        <v>1.5</v>
      </c>
      <c r="K692" s="434">
        <f>SUMIFS(Таблица1[Столбец1],Таблица1[коэф],"1,5",Таблица1[р/р],"5/8",Таблица1[Ф. И. О.],B693)</f>
        <v>0</v>
      </c>
      <c r="L692" s="484">
        <f t="shared" si="231"/>
        <v>0</v>
      </c>
      <c r="M692" s="434"/>
      <c r="N692" s="434"/>
      <c r="O692" s="434"/>
      <c r="P692" s="406"/>
      <c r="Q692" s="389">
        <f>база!$L$5</f>
        <v>231.45480000000001</v>
      </c>
      <c r="R692" s="390">
        <v>1.2</v>
      </c>
      <c r="S692" s="400">
        <f>SUMIFS(Таблица1[Столбец1],Таблица1[коэф],"1,2",Таблица1[р/р],"4/16",Таблица1[Ф. И. О.],B693)</f>
        <v>0</v>
      </c>
      <c r="T692" s="492">
        <f t="shared" si="232"/>
        <v>0</v>
      </c>
      <c r="U692" s="478">
        <f>база!$M$5</f>
        <v>247.41720000000001</v>
      </c>
      <c r="V692" s="390">
        <v>1.2</v>
      </c>
      <c r="W692" s="412">
        <f>SUMIFS(Таблица1[Столбец1],Таблица1[коэф],"1,2",Таблица1[р/р],"4/24",Таблица1[Ф. И. О.],B693)</f>
        <v>0</v>
      </c>
      <c r="X692" s="492">
        <f t="shared" si="233"/>
        <v>0</v>
      </c>
      <c r="Y692" s="795"/>
      <c r="Z692" s="797"/>
      <c r="AA692" s="786"/>
    </row>
    <row r="693" spans="1:29" ht="18.75">
      <c r="A693" s="786"/>
      <c r="B693" s="216" t="str">
        <f>база!B64</f>
        <v>Полушкина Анастасия Юрьевна</v>
      </c>
      <c r="C693" s="789"/>
      <c r="D693" s="792"/>
      <c r="E693" s="389"/>
      <c r="F693" s="390"/>
      <c r="G693" s="400"/>
      <c r="H693" s="392">
        <f t="shared" si="230"/>
        <v>0</v>
      </c>
      <c r="I693" s="432"/>
      <c r="J693" s="433"/>
      <c r="K693" s="434"/>
      <c r="L693" s="484">
        <f t="shared" si="231"/>
        <v>0</v>
      </c>
      <c r="M693" s="434"/>
      <c r="N693" s="434"/>
      <c r="O693" s="434"/>
      <c r="P693" s="406"/>
      <c r="Q693" s="389">
        <f>база!$L$6</f>
        <v>261.04640000000001</v>
      </c>
      <c r="R693" s="390">
        <v>1.2</v>
      </c>
      <c r="S693" s="400">
        <f>SUMIFS(Таблица1[Столбец1],Таблица1[коэф],"1,2",Таблица1[р/р],"5/16",Таблица1[Ф. И. О.],B693)</f>
        <v>0</v>
      </c>
      <c r="T693" s="492">
        <f t="shared" si="232"/>
        <v>0</v>
      </c>
      <c r="U693" s="478">
        <f>база!$M$6</f>
        <v>279.0496</v>
      </c>
      <c r="V693" s="390">
        <v>1.2</v>
      </c>
      <c r="W693" s="412">
        <f>SUMIFS(Таблица1[Столбец1],Таблица1[коэф],"1,2",Таблица1[р/р],"5/24",Таблица1[Ф. И. О.],B693)</f>
        <v>0</v>
      </c>
      <c r="X693" s="492">
        <f t="shared" si="233"/>
        <v>0</v>
      </c>
      <c r="Y693" s="795"/>
      <c r="Z693" s="797"/>
      <c r="AA693" s="786"/>
      <c r="AC693" s="727" t="str">
        <f>IF(SUMIFS(Таблица1[Столбец3],Таблица1[Ф. И. О.],B693)-Z688=0,"",SUMIFS(Таблица1[Столбец3],Таблица1[Ф. И. О.],B693)-Z688)</f>
        <v/>
      </c>
    </row>
    <row r="694" spans="1:29" ht="18.75">
      <c r="A694" s="786"/>
      <c r="B694" s="216"/>
      <c r="C694" s="789"/>
      <c r="D694" s="792"/>
      <c r="E694" s="389"/>
      <c r="F694" s="390"/>
      <c r="G694" s="400"/>
      <c r="H694" s="392">
        <f t="shared" si="230"/>
        <v>0</v>
      </c>
      <c r="I694" s="432"/>
      <c r="J694" s="433"/>
      <c r="K694" s="434"/>
      <c r="L694" s="484">
        <f t="shared" si="231"/>
        <v>0</v>
      </c>
      <c r="M694" s="434"/>
      <c r="N694" s="434"/>
      <c r="O694" s="434"/>
      <c r="P694" s="406"/>
      <c r="Q694" s="389">
        <f>IF($D$6&lt;=3,база!$L$4,
IF($D$6=4,база!$L$5,
IF($D$6=5,база!$L$6)))</f>
        <v>231.45480000000001</v>
      </c>
      <c r="R694" s="390">
        <v>1.3</v>
      </c>
      <c r="S694" s="400">
        <f>SUMIFS(Таблица1[Столбец1],Таблица1[коэф],"1,3",Таблица1[р/р],"3/16",Таблица1[Ф. И. О.],B693)</f>
        <v>0</v>
      </c>
      <c r="T694" s="492">
        <f t="shared" si="232"/>
        <v>0</v>
      </c>
      <c r="U694" s="478">
        <f>IF(D688&lt;=3,база!$M$4,
IF(D688=4,база!$M$5,
IF(D688=5,база!$M$6)))</f>
        <v>225.09719999999999</v>
      </c>
      <c r="V694" s="390">
        <v>1.3</v>
      </c>
      <c r="W694" s="412">
        <f>SUMIFS(Таблица1[Столбец1],Таблица1[коэф],"1,3",Таблица1[р/р],"3/24",Таблица1[Ф. И. О.],B693)</f>
        <v>0</v>
      </c>
      <c r="X694" s="492">
        <f t="shared" si="233"/>
        <v>0</v>
      </c>
      <c r="Y694" s="795"/>
      <c r="Z694" s="797"/>
      <c r="AA694" s="786"/>
      <c r="AC694" s="727" t="str">
        <f>IF(SUMIFS(Таблица1[Столбец1],Таблица1[Ф. И. О.],B693)=Y688,"",B693&amp;"  часы не верны")</f>
        <v/>
      </c>
    </row>
    <row r="695" spans="1:29" ht="18.75">
      <c r="A695" s="786"/>
      <c r="B695" s="216"/>
      <c r="C695" s="789"/>
      <c r="D695" s="792"/>
      <c r="E695" s="389"/>
      <c r="F695" s="390"/>
      <c r="G695" s="400"/>
      <c r="H695" s="392">
        <f t="shared" si="230"/>
        <v>0</v>
      </c>
      <c r="I695" s="432"/>
      <c r="J695" s="433"/>
      <c r="K695" s="434"/>
      <c r="L695" s="484">
        <f t="shared" si="231"/>
        <v>0</v>
      </c>
      <c r="M695" s="434"/>
      <c r="N695" s="434"/>
      <c r="O695" s="434"/>
      <c r="P695" s="406"/>
      <c r="Q695" s="389">
        <f>база!$L$5</f>
        <v>231.45480000000001</v>
      </c>
      <c r="R695" s="390">
        <v>1.3</v>
      </c>
      <c r="S695" s="400">
        <f>SUMIFS(Таблица1[Столбец1],Таблица1[коэф],"1,3",Таблица1[р/р],"4/16",Таблица1[Ф. И. О.],B693)</f>
        <v>0</v>
      </c>
      <c r="T695" s="492">
        <f t="shared" si="232"/>
        <v>0</v>
      </c>
      <c r="U695" s="478">
        <f>база!$M$5</f>
        <v>247.41720000000001</v>
      </c>
      <c r="V695" s="390">
        <v>1.3</v>
      </c>
      <c r="W695" s="412">
        <f>SUMIFS(Таблица1[Столбец1],Таблица1[коэф],"1,3",Таблица1[р/р],"4/24",Таблица1[Ф. И. О.],B693)</f>
        <v>0</v>
      </c>
      <c r="X695" s="492">
        <f t="shared" si="233"/>
        <v>0</v>
      </c>
      <c r="Y695" s="795"/>
      <c r="Z695" s="797"/>
      <c r="AA695" s="786"/>
    </row>
    <row r="696" spans="1:29" ht="18.75">
      <c r="A696" s="786"/>
      <c r="B696" s="216"/>
      <c r="C696" s="789"/>
      <c r="D696" s="792"/>
      <c r="E696" s="389"/>
      <c r="F696" s="390"/>
      <c r="G696" s="400"/>
      <c r="H696" s="392">
        <f t="shared" si="230"/>
        <v>0</v>
      </c>
      <c r="I696" s="432"/>
      <c r="J696" s="433"/>
      <c r="K696" s="434"/>
      <c r="L696" s="484">
        <f t="shared" si="231"/>
        <v>0</v>
      </c>
      <c r="M696" s="434"/>
      <c r="N696" s="434"/>
      <c r="O696" s="434"/>
      <c r="P696" s="406"/>
      <c r="Q696" s="389">
        <f>IF(D688&lt;=3,база!$L$4,
IF(D688=4,база!$L$5,
IF(D688=5,база!$L$6)))</f>
        <v>210.57480000000001</v>
      </c>
      <c r="R696" s="390">
        <v>1.4</v>
      </c>
      <c r="S696" s="400">
        <f>SUMIFS(Таблица1[Столбец1],Таблица1[коэф],"1,4",Таблица1[р/р],"3/16",Таблица1[Ф. И. О.],B693)</f>
        <v>0</v>
      </c>
      <c r="T696" s="492">
        <f t="shared" si="232"/>
        <v>0</v>
      </c>
      <c r="U696" s="478">
        <f>IF(D688&lt;=3,база!$M$4,
IF(D688=4,база!$M$5,
IF(D688=5,база!$M$6)))</f>
        <v>225.09719999999999</v>
      </c>
      <c r="V696" s="390">
        <v>1.4</v>
      </c>
      <c r="W696" s="412">
        <f>SUMIFS(Таблица1[Столбец1],Таблица1[коэф],"1,4",Таблица1[р/р],"3/24",Таблица1[Ф. И. О.],B693)</f>
        <v>0</v>
      </c>
      <c r="X696" s="492">
        <f t="shared" si="233"/>
        <v>0</v>
      </c>
      <c r="Y696" s="795"/>
      <c r="Z696" s="797"/>
      <c r="AA696" s="786"/>
    </row>
    <row r="697" spans="1:29" ht="18.75">
      <c r="A697" s="786"/>
      <c r="B697" s="216"/>
      <c r="C697" s="789"/>
      <c r="D697" s="792"/>
      <c r="E697" s="389"/>
      <c r="F697" s="390"/>
      <c r="G697" s="400"/>
      <c r="H697" s="392">
        <f t="shared" ref="H697:H753" si="246">ROUND(E697*F697*G697*2,2)</f>
        <v>0</v>
      </c>
      <c r="I697" s="432"/>
      <c r="J697" s="433"/>
      <c r="K697" s="434"/>
      <c r="L697" s="484">
        <f t="shared" ref="L697:L753" si="247">ROUND(I697*J697*K697*2,2)</f>
        <v>0</v>
      </c>
      <c r="M697" s="434"/>
      <c r="N697" s="434"/>
      <c r="O697" s="434"/>
      <c r="P697" s="406"/>
      <c r="Q697" s="389">
        <f>база!$L$5</f>
        <v>231.45480000000001</v>
      </c>
      <c r="R697" s="390">
        <v>1.4</v>
      </c>
      <c r="S697" s="400">
        <f>SUMIFS(Таблица1[Столбец1],Таблица1[коэф],"1,4",Таблица1[р/р],"4/16",Таблица1[Ф. И. О.],B693)</f>
        <v>0</v>
      </c>
      <c r="T697" s="492">
        <f t="shared" ref="T697:T753" si="248">ROUND(Q697*R697*S697*2,2)</f>
        <v>0</v>
      </c>
      <c r="U697" s="478">
        <f>база!$M$5</f>
        <v>247.41720000000001</v>
      </c>
      <c r="V697" s="390">
        <v>1.4</v>
      </c>
      <c r="W697" s="412">
        <f>SUMIFS(Таблица1[Столбец1],Таблица1[коэф],"1,4",Таблица1[р/р],"4/24",Таблица1[Ф. И. О.],B693)</f>
        <v>0</v>
      </c>
      <c r="X697" s="492">
        <f t="shared" ref="X697:X753" si="249">ROUND(U697*V697*W697*2,2)</f>
        <v>0</v>
      </c>
      <c r="Y697" s="795"/>
      <c r="Z697" s="797"/>
      <c r="AA697" s="786"/>
    </row>
    <row r="698" spans="1:29" ht="19.5" thickBot="1">
      <c r="A698" s="787"/>
      <c r="B698" s="352"/>
      <c r="C698" s="790"/>
      <c r="D698" s="793"/>
      <c r="E698" s="481"/>
      <c r="F698" s="417"/>
      <c r="G698" s="486"/>
      <c r="H698" s="468">
        <f t="shared" si="246"/>
        <v>0</v>
      </c>
      <c r="I698" s="651"/>
      <c r="J698" s="456"/>
      <c r="K698" s="652"/>
      <c r="L698" s="458">
        <f t="shared" si="247"/>
        <v>0</v>
      </c>
      <c r="M698" s="396"/>
      <c r="N698" s="397"/>
      <c r="O698" s="397"/>
      <c r="P698" s="398"/>
      <c r="Q698" s="487">
        <f>база!$L$6</f>
        <v>261.04640000000001</v>
      </c>
      <c r="R698" s="417">
        <v>1.4</v>
      </c>
      <c r="S698" s="418">
        <f>SUMIFS(Таблица1[Столбец1],Таблица1[коэф],"1,4",Таблица1[р/р],"5/16",Таблица1[Ф. И. О.],B693)</f>
        <v>0</v>
      </c>
      <c r="T698" s="492">
        <f t="shared" si="248"/>
        <v>0</v>
      </c>
      <c r="U698" s="473">
        <f>база!$M$6</f>
        <v>279.0496</v>
      </c>
      <c r="V698" s="464">
        <v>1.4</v>
      </c>
      <c r="W698" s="465">
        <f>SUMIFS(Таблица1[Столбец1],Таблица1[коэф],"1,4",Таблица1[р/р],"5/24",Таблица1[Ф. И. О.],B693)</f>
        <v>0</v>
      </c>
      <c r="X698" s="492">
        <f t="shared" si="249"/>
        <v>0</v>
      </c>
      <c r="Y698" s="796"/>
      <c r="Z698" s="798"/>
      <c r="AA698" s="787"/>
    </row>
    <row r="699" spans="1:29" ht="18.75">
      <c r="A699" s="785">
        <v>64</v>
      </c>
      <c r="B699" s="216"/>
      <c r="C699" s="788">
        <f>INDEX(база!$E$2:$E$181, MATCH(B704,база!$B$2:$B$160,0))</f>
        <v>15098</v>
      </c>
      <c r="D699" s="791">
        <f>INDEX(база!$D$2:$D$189, MATCH(B704,база!$B$2:$B$160,0))</f>
        <v>3</v>
      </c>
      <c r="E699" s="377">
        <f>IF(D699&lt;=3,база!$I$4,
IF(D699=4,база!$I$5,
IF(D699=5,база!$I$6)))</f>
        <v>188.7912</v>
      </c>
      <c r="F699" s="378">
        <v>1</v>
      </c>
      <c r="G699" s="387">
        <f>SUMIFS(Таблица1[Столбец1],Таблица1[коэф],"1",Таблица1[р/р],"2/4",Таблица1[Ф. И. О.],B704)</f>
        <v>0</v>
      </c>
      <c r="H699" s="402">
        <f t="shared" si="246"/>
        <v>0</v>
      </c>
      <c r="I699" s="452">
        <f>IF(D699&lt;=3,база!$J$4,
IF(D699=4,база!$J$5,
IF(D699=5,база!$J$6)))</f>
        <v>196.05240000000001</v>
      </c>
      <c r="J699" s="475">
        <v>1</v>
      </c>
      <c r="K699" s="453">
        <f>SUMIFS(Таблица1[Столбец1],Таблица1[коэф],"1",Таблица1[р/р],"2/8",Таблица1[Ф. И. О.],B704)</f>
        <v>0</v>
      </c>
      <c r="L699" s="484">
        <f t="shared" si="247"/>
        <v>0</v>
      </c>
      <c r="M699" s="453"/>
      <c r="N699" s="453">
        <v>1</v>
      </c>
      <c r="O699" s="453">
        <f>SUMIFS(Data_Tech!$AM$3:$AM$67,Data_Tech!$E$3:$E$67,"1",Data_Tech!$G$3:$G$67,"3/12",Data_Tech!$F$3:$F$67,B704)</f>
        <v>0</v>
      </c>
      <c r="P699" s="398">
        <f>ROUND(M699*N699*O699,2)</f>
        <v>0</v>
      </c>
      <c r="Q699" s="377">
        <f>IF(D699&lt;=3,база!$L$4,
IF(D699=4,база!$L$5,
IF(D699=5,база!$L$6)))</f>
        <v>210.57480000000001</v>
      </c>
      <c r="R699" s="378">
        <v>1</v>
      </c>
      <c r="S699" s="387">
        <f>SUMIFS(Таблица1[Столбец1],Таблица1[коэф],"1",Таблица1[р/р],"3/16",Таблица1[Ф. И. О.],B704)</f>
        <v>0</v>
      </c>
      <c r="T699" s="490">
        <f t="shared" si="248"/>
        <v>0</v>
      </c>
      <c r="U699" s="483">
        <f>IF(D699&lt;=3,база!$M$4,
IF(D699=4,база!$M$5,
IF(D699=5,база!$M$6)))</f>
        <v>225.09719999999999</v>
      </c>
      <c r="V699" s="417">
        <v>1</v>
      </c>
      <c r="W699" s="455">
        <f>SUMIFS(Таблица1[Столбец1],Таблица1[коэф],"1",Таблица1[р/р],"3/24",Таблица1[Ф. И. О.],B704)</f>
        <v>0</v>
      </c>
      <c r="X699" s="490">
        <f t="shared" si="249"/>
        <v>0</v>
      </c>
      <c r="Y699" s="795">
        <f t="shared" ref="Y699" si="250">SUM(G699:G709,K699:K709,O699:O709,S699:S709,W699:W709)</f>
        <v>0</v>
      </c>
      <c r="Z699" s="797">
        <f t="shared" ref="Z699" si="251">IFERROR(SUM(H699:H709,L699:L709,T699:T709,X699:X709),"")</f>
        <v>0</v>
      </c>
      <c r="AA699" s="786"/>
    </row>
    <row r="700" spans="1:29" ht="18.75">
      <c r="A700" s="786"/>
      <c r="B700" s="216"/>
      <c r="C700" s="789"/>
      <c r="D700" s="792"/>
      <c r="E700" s="389">
        <f>IF(D699&lt;=3,база!$I$4,
IF(D699=4,база!$I$5,
IF(D699=5,база!$I$6)))</f>
        <v>188.7912</v>
      </c>
      <c r="F700" s="390">
        <v>1</v>
      </c>
      <c r="G700" s="400">
        <f>SUMIFS(Таблица1[Столбец1],Таблица1[коэф],"1",Таблица1[р/р],"3/4",Таблица1[Ф. И. О.],B704)</f>
        <v>0</v>
      </c>
      <c r="H700" s="392">
        <f t="shared" si="246"/>
        <v>0</v>
      </c>
      <c r="I700" s="432">
        <f>IF(D699&lt;=3,база!$J$4,
IF(D699=4,база!$J$5,
IF(D699=5,база!$J$6)))</f>
        <v>196.05240000000001</v>
      </c>
      <c r="J700" s="433">
        <v>1</v>
      </c>
      <c r="K700" s="434">
        <f>SUMIFS(Таблица1[Столбец1],Таблица1[коэф],"1",Таблица1[р/р],"3/8",Таблица1[Ф. И. О.],B704)</f>
        <v>0</v>
      </c>
      <c r="L700" s="484">
        <f t="shared" si="247"/>
        <v>0</v>
      </c>
      <c r="M700" s="434"/>
      <c r="N700" s="434">
        <v>1</v>
      </c>
      <c r="O700" s="434">
        <f>SUMIFS(Data_Tech!$AM$3:$AM$67,Data_Tech!$E$3:$E$67,"1",Data_Tech!$G$3:$G$67,"4/12",Data_Tech!$F$3:$F$67,B704)</f>
        <v>0</v>
      </c>
      <c r="P700" s="406">
        <f>ROUND(M700*O700,2)</f>
        <v>0</v>
      </c>
      <c r="Q700" s="389">
        <f>база!$L$5</f>
        <v>231.45480000000001</v>
      </c>
      <c r="R700" s="390">
        <v>1</v>
      </c>
      <c r="S700" s="400">
        <f>SUMIFS(Таблица1[Столбец1],Таблица1[коэф],"1",Таблица1[р/р],"4/16",Таблица1[Ф. И. О.],B704)</f>
        <v>0</v>
      </c>
      <c r="T700" s="492">
        <f t="shared" si="248"/>
        <v>0</v>
      </c>
      <c r="U700" s="478">
        <f>база!$M$5</f>
        <v>247.41720000000001</v>
      </c>
      <c r="V700" s="390">
        <v>1</v>
      </c>
      <c r="W700" s="412">
        <f>SUMIFS(Таблица1[Столбец1],Таблица1[коэф],"1",Таблица1[р/р],"4/24",Таблица1[Ф. И. О.],B704)</f>
        <v>0</v>
      </c>
      <c r="X700" s="492">
        <f t="shared" si="249"/>
        <v>0</v>
      </c>
      <c r="Y700" s="795"/>
      <c r="Z700" s="797"/>
      <c r="AA700" s="786"/>
    </row>
    <row r="701" spans="1:29" ht="18.75">
      <c r="A701" s="786"/>
      <c r="B701" s="216"/>
      <c r="C701" s="789"/>
      <c r="D701" s="792"/>
      <c r="E701" s="389"/>
      <c r="F701" s="390"/>
      <c r="G701" s="400"/>
      <c r="H701" s="392">
        <f t="shared" si="246"/>
        <v>0</v>
      </c>
      <c r="I701" s="432"/>
      <c r="J701" s="433"/>
      <c r="K701" s="434"/>
      <c r="L701" s="484">
        <f t="shared" si="247"/>
        <v>0</v>
      </c>
      <c r="M701" s="434"/>
      <c r="N701" s="434"/>
      <c r="O701" s="434"/>
      <c r="P701" s="406"/>
      <c r="Q701" s="389">
        <f>база!$L$6</f>
        <v>261.04640000000001</v>
      </c>
      <c r="R701" s="390">
        <v>1</v>
      </c>
      <c r="S701" s="400">
        <f>SUMIFS(Таблица1[Столбец1],Таблица1[коэф],"1",Таблица1[р/р],"5/16",Таблица1[Ф. И. О.],B704)</f>
        <v>0</v>
      </c>
      <c r="T701" s="492">
        <f t="shared" si="248"/>
        <v>0</v>
      </c>
      <c r="U701" s="478">
        <f>база!$M$6</f>
        <v>279.0496</v>
      </c>
      <c r="V701" s="390">
        <v>1</v>
      </c>
      <c r="W701" s="412">
        <f>SUMIFS(Таблица1[Столбец1],Таблица1[коэф],"1",Таблица1[р/р],"5/24",Таблица1[Ф. И. О.],B704)</f>
        <v>0</v>
      </c>
      <c r="X701" s="492">
        <f t="shared" si="249"/>
        <v>0</v>
      </c>
      <c r="Y701" s="795"/>
      <c r="Z701" s="797"/>
      <c r="AA701" s="786"/>
    </row>
    <row r="702" spans="1:29" ht="18.75">
      <c r="A702" s="786"/>
      <c r="B702" s="216"/>
      <c r="C702" s="789"/>
      <c r="D702" s="792"/>
      <c r="E702" s="389"/>
      <c r="F702" s="390"/>
      <c r="G702" s="400"/>
      <c r="H702" s="392">
        <f t="shared" si="246"/>
        <v>0</v>
      </c>
      <c r="I702" s="432">
        <f>база!$J$5</f>
        <v>215.4924</v>
      </c>
      <c r="J702" s="433">
        <v>1.5</v>
      </c>
      <c r="K702" s="434">
        <f>SUMIFS(Таблица1[Столбец1],Таблица1[коэф],"1,5",Таблица1[р/р],"4/8",Таблица1[Ф. И. О.],B704)</f>
        <v>0</v>
      </c>
      <c r="L702" s="484">
        <f t="shared" si="247"/>
        <v>0</v>
      </c>
      <c r="M702" s="434"/>
      <c r="N702" s="434"/>
      <c r="O702" s="434"/>
      <c r="P702" s="406"/>
      <c r="Q702" s="389">
        <f>IF(D699&lt;=3,база!$L$4,
IF(D699=4,база!$L$5,
IF(D699=5,база!$L$6)))</f>
        <v>210.57480000000001</v>
      </c>
      <c r="R702" s="390">
        <v>1.2</v>
      </c>
      <c r="S702" s="400">
        <f>SUMIFS(Таблица1[Столбец1],Таблица1[коэф],"1,2",Таблица1[р/р],"3/16",Таблица1[Ф. И. О.],B704)</f>
        <v>0</v>
      </c>
      <c r="T702" s="492">
        <f t="shared" si="248"/>
        <v>0</v>
      </c>
      <c r="U702" s="478">
        <f>IF(D699&lt;=3,база!$M$4,
IF(D699=4,база!$M$5,
IF(D699=5,база!$M$6)))</f>
        <v>225.09719999999999</v>
      </c>
      <c r="V702" s="390">
        <v>1.2</v>
      </c>
      <c r="W702" s="412">
        <f>SUMIFS(Таблица1[Столбец1],Таблица1[коэф],"1,2",Таблица1[р/р],"3/24",Таблица1[Ф. И. О.],B704)</f>
        <v>0</v>
      </c>
      <c r="X702" s="492">
        <f t="shared" si="249"/>
        <v>0</v>
      </c>
      <c r="Y702" s="795"/>
      <c r="Z702" s="797"/>
      <c r="AA702" s="786"/>
    </row>
    <row r="703" spans="1:29" ht="18.75">
      <c r="A703" s="786"/>
      <c r="B703" s="216"/>
      <c r="C703" s="789"/>
      <c r="D703" s="792"/>
      <c r="E703" s="389"/>
      <c r="F703" s="390"/>
      <c r="G703" s="400"/>
      <c r="H703" s="392">
        <f t="shared" si="246"/>
        <v>0</v>
      </c>
      <c r="I703" s="432">
        <f>база!$J$6</f>
        <v>243.04319999999998</v>
      </c>
      <c r="J703" s="433">
        <v>1.5</v>
      </c>
      <c r="K703" s="434">
        <f>SUMIFS(Таблица1[Столбец1],Таблица1[коэф],"1,5",Таблица1[р/р],"5/8",Таблица1[Ф. И. О.],B704)</f>
        <v>0</v>
      </c>
      <c r="L703" s="484">
        <f t="shared" si="247"/>
        <v>0</v>
      </c>
      <c r="M703" s="434"/>
      <c r="N703" s="434"/>
      <c r="O703" s="434"/>
      <c r="P703" s="406"/>
      <c r="Q703" s="389">
        <f>база!$L$5</f>
        <v>231.45480000000001</v>
      </c>
      <c r="R703" s="390">
        <v>1.2</v>
      </c>
      <c r="S703" s="400">
        <f>SUMIFS(Таблица1[Столбец1],Таблица1[коэф],"1,2",Таблица1[р/р],"4/16",Таблица1[Ф. И. О.],B704)</f>
        <v>0</v>
      </c>
      <c r="T703" s="492">
        <f t="shared" si="248"/>
        <v>0</v>
      </c>
      <c r="U703" s="478">
        <f>база!$M$5</f>
        <v>247.41720000000001</v>
      </c>
      <c r="V703" s="390">
        <v>1.2</v>
      </c>
      <c r="W703" s="412">
        <f>SUMIFS(Таблица1[Столбец1],Таблица1[коэф],"1,2",Таблица1[р/р],"4/24",Таблица1[Ф. И. О.],B704)</f>
        <v>0</v>
      </c>
      <c r="X703" s="492">
        <f t="shared" si="249"/>
        <v>0</v>
      </c>
      <c r="Y703" s="795"/>
      <c r="Z703" s="797"/>
      <c r="AA703" s="786"/>
    </row>
    <row r="704" spans="1:29" ht="18.75">
      <c r="A704" s="786"/>
      <c r="B704" s="216" t="str">
        <f>база!B65</f>
        <v>Потемкина Елена Анатольевна</v>
      </c>
      <c r="C704" s="789"/>
      <c r="D704" s="792"/>
      <c r="E704" s="389"/>
      <c r="F704" s="390"/>
      <c r="G704" s="400"/>
      <c r="H704" s="392">
        <f t="shared" si="246"/>
        <v>0</v>
      </c>
      <c r="I704" s="432"/>
      <c r="J704" s="433"/>
      <c r="K704" s="434"/>
      <c r="L704" s="484">
        <f t="shared" si="247"/>
        <v>0</v>
      </c>
      <c r="M704" s="434"/>
      <c r="N704" s="434"/>
      <c r="O704" s="434"/>
      <c r="P704" s="406"/>
      <c r="Q704" s="389">
        <f>база!$L$6</f>
        <v>261.04640000000001</v>
      </c>
      <c r="R704" s="390">
        <v>1.2</v>
      </c>
      <c r="S704" s="400">
        <f>SUMIFS(Таблица1[Столбец1],Таблица1[коэф],"1,2",Таблица1[р/р],"5/16",Таблица1[Ф. И. О.],B704)</f>
        <v>0</v>
      </c>
      <c r="T704" s="492">
        <f t="shared" si="248"/>
        <v>0</v>
      </c>
      <c r="U704" s="478">
        <f>база!$M$6</f>
        <v>279.0496</v>
      </c>
      <c r="V704" s="390">
        <v>1.2</v>
      </c>
      <c r="W704" s="412">
        <f>SUMIFS(Таблица1[Столбец1],Таблица1[коэф],"1,2",Таблица1[р/р],"5/24",Таблица1[Ф. И. О.],B704)</f>
        <v>0</v>
      </c>
      <c r="X704" s="492">
        <f t="shared" si="249"/>
        <v>0</v>
      </c>
      <c r="Y704" s="795"/>
      <c r="Z704" s="797"/>
      <c r="AA704" s="786"/>
      <c r="AC704" s="727" t="str">
        <f>IF(SUMIFS(Таблица1[Столбец3],Таблица1[Ф. И. О.],B704)-Z699=0,"",SUMIFS(Таблица1[Столбец3],Таблица1[Ф. И. О.],B704)-Z699)</f>
        <v/>
      </c>
    </row>
    <row r="705" spans="1:29" ht="18.75">
      <c r="A705" s="786"/>
      <c r="B705" s="216"/>
      <c r="C705" s="789"/>
      <c r="D705" s="792"/>
      <c r="E705" s="389"/>
      <c r="F705" s="390"/>
      <c r="G705" s="400"/>
      <c r="H705" s="392">
        <f t="shared" si="246"/>
        <v>0</v>
      </c>
      <c r="I705" s="432"/>
      <c r="J705" s="433"/>
      <c r="K705" s="434"/>
      <c r="L705" s="484">
        <f t="shared" si="247"/>
        <v>0</v>
      </c>
      <c r="M705" s="434"/>
      <c r="N705" s="434"/>
      <c r="O705" s="434"/>
      <c r="P705" s="406"/>
      <c r="Q705" s="389">
        <f>IF($D$6&lt;=3,база!$L$4,
IF($D$6=4,база!$L$5,
IF($D$6=5,база!$L$6)))</f>
        <v>231.45480000000001</v>
      </c>
      <c r="R705" s="390">
        <v>1.3</v>
      </c>
      <c r="S705" s="400">
        <f>SUMIFS(Таблица1[Столбец1],Таблица1[коэф],"1,3",Таблица1[р/р],"3/16",Таблица1[Ф. И. О.],B704)</f>
        <v>0</v>
      </c>
      <c r="T705" s="492">
        <f t="shared" si="248"/>
        <v>0</v>
      </c>
      <c r="U705" s="478">
        <f>IF(D699&lt;=3,база!$M$4,
IF(D699=4,база!$M$5,
IF(D699=5,база!$M$6)))</f>
        <v>225.09719999999999</v>
      </c>
      <c r="V705" s="390">
        <v>1.3</v>
      </c>
      <c r="W705" s="412">
        <f>SUMIFS(Таблица1[Столбец1],Таблица1[коэф],"1,3",Таблица1[р/р],"3/24",Таблица1[Ф. И. О.],B704)</f>
        <v>0</v>
      </c>
      <c r="X705" s="492">
        <f t="shared" si="249"/>
        <v>0</v>
      </c>
      <c r="Y705" s="795"/>
      <c r="Z705" s="797"/>
      <c r="AA705" s="786"/>
      <c r="AC705" s="727" t="str">
        <f>IF(SUMIFS(Таблица1[Столбец1],Таблица1[Ф. И. О.],B704)=Y699,"",B704&amp;"  часы не верны")</f>
        <v/>
      </c>
    </row>
    <row r="706" spans="1:29" ht="18.75">
      <c r="A706" s="786"/>
      <c r="B706" s="216"/>
      <c r="C706" s="789"/>
      <c r="D706" s="792"/>
      <c r="E706" s="389"/>
      <c r="F706" s="390"/>
      <c r="G706" s="400"/>
      <c r="H706" s="392">
        <f t="shared" si="246"/>
        <v>0</v>
      </c>
      <c r="I706" s="432"/>
      <c r="J706" s="433"/>
      <c r="K706" s="434"/>
      <c r="L706" s="484">
        <f t="shared" si="247"/>
        <v>0</v>
      </c>
      <c r="M706" s="434"/>
      <c r="N706" s="434"/>
      <c r="O706" s="434"/>
      <c r="P706" s="406"/>
      <c r="Q706" s="389">
        <f>база!$L$5</f>
        <v>231.45480000000001</v>
      </c>
      <c r="R706" s="390">
        <v>1.3</v>
      </c>
      <c r="S706" s="400">
        <f>SUMIFS(Таблица1[Столбец1],Таблица1[коэф],"1,3",Таблица1[р/р],"4/16",Таблица1[Ф. И. О.],B704)</f>
        <v>0</v>
      </c>
      <c r="T706" s="492">
        <f t="shared" si="248"/>
        <v>0</v>
      </c>
      <c r="U706" s="478">
        <f>база!$M$5</f>
        <v>247.41720000000001</v>
      </c>
      <c r="V706" s="390">
        <v>1.3</v>
      </c>
      <c r="W706" s="412">
        <f>SUMIFS(Таблица1[Столбец1],Таблица1[коэф],"1,3",Таблица1[р/р],"4/24",Таблица1[Ф. И. О.],B704)</f>
        <v>0</v>
      </c>
      <c r="X706" s="492">
        <f t="shared" si="249"/>
        <v>0</v>
      </c>
      <c r="Y706" s="795"/>
      <c r="Z706" s="797"/>
      <c r="AA706" s="786"/>
    </row>
    <row r="707" spans="1:29" ht="18.75">
      <c r="A707" s="786"/>
      <c r="B707" s="216"/>
      <c r="C707" s="789"/>
      <c r="D707" s="792"/>
      <c r="E707" s="389"/>
      <c r="F707" s="390"/>
      <c r="G707" s="400"/>
      <c r="H707" s="392">
        <f t="shared" si="246"/>
        <v>0</v>
      </c>
      <c r="I707" s="432"/>
      <c r="J707" s="433"/>
      <c r="K707" s="434"/>
      <c r="L707" s="484">
        <f t="shared" si="247"/>
        <v>0</v>
      </c>
      <c r="M707" s="434"/>
      <c r="N707" s="434"/>
      <c r="O707" s="434"/>
      <c r="P707" s="406"/>
      <c r="Q707" s="389">
        <f>IF(D699&lt;=3,база!$L$4,
IF(D699=4,база!$L$5,
IF(D699=5,база!$L$6)))</f>
        <v>210.57480000000001</v>
      </c>
      <c r="R707" s="390">
        <v>1.4</v>
      </c>
      <c r="S707" s="400">
        <f>SUMIFS(Таблица1[Столбец1],Таблица1[коэф],"1,4",Таблица1[р/р],"3/16",Таблица1[Ф. И. О.],B704)</f>
        <v>0</v>
      </c>
      <c r="T707" s="492">
        <f t="shared" si="248"/>
        <v>0</v>
      </c>
      <c r="U707" s="478">
        <f>IF(D699&lt;=3,база!$M$4,
IF(D699=4,база!$M$5,
IF(D699=5,база!$M$6)))</f>
        <v>225.09719999999999</v>
      </c>
      <c r="V707" s="390">
        <v>1.4</v>
      </c>
      <c r="W707" s="412">
        <f>SUMIFS(Таблица1[Столбец1],Таблица1[коэф],"1,4",Таблица1[р/р],"3/24",Таблица1[Ф. И. О.],B704)</f>
        <v>0</v>
      </c>
      <c r="X707" s="492">
        <f t="shared" si="249"/>
        <v>0</v>
      </c>
      <c r="Y707" s="795"/>
      <c r="Z707" s="797"/>
      <c r="AA707" s="786"/>
    </row>
    <row r="708" spans="1:29" ht="18.75">
      <c r="A708" s="786"/>
      <c r="B708" s="216"/>
      <c r="C708" s="789"/>
      <c r="D708" s="792"/>
      <c r="E708" s="389"/>
      <c r="F708" s="390"/>
      <c r="G708" s="400"/>
      <c r="H708" s="392">
        <f t="shared" si="246"/>
        <v>0</v>
      </c>
      <c r="I708" s="432"/>
      <c r="J708" s="433"/>
      <c r="K708" s="434"/>
      <c r="L708" s="484">
        <f t="shared" si="247"/>
        <v>0</v>
      </c>
      <c r="M708" s="434"/>
      <c r="N708" s="434"/>
      <c r="O708" s="434"/>
      <c r="P708" s="406"/>
      <c r="Q708" s="389">
        <f>база!$L$5</f>
        <v>231.45480000000001</v>
      </c>
      <c r="R708" s="390">
        <v>1.4</v>
      </c>
      <c r="S708" s="400">
        <f>SUMIFS(Таблица1[Столбец1],Таблица1[коэф],"1,4",Таблица1[р/р],"4/16",Таблица1[Ф. И. О.],B704)</f>
        <v>0</v>
      </c>
      <c r="T708" s="492">
        <f t="shared" si="248"/>
        <v>0</v>
      </c>
      <c r="U708" s="478">
        <f>база!$M$5</f>
        <v>247.41720000000001</v>
      </c>
      <c r="V708" s="390">
        <v>1.4</v>
      </c>
      <c r="W708" s="412">
        <f>SUMIFS(Таблица1[Столбец1],Таблица1[коэф],"1,4",Таблица1[р/р],"4/24",Таблица1[Ф. И. О.],B704)</f>
        <v>0</v>
      </c>
      <c r="X708" s="492">
        <f t="shared" si="249"/>
        <v>0</v>
      </c>
      <c r="Y708" s="795"/>
      <c r="Z708" s="797"/>
      <c r="AA708" s="786"/>
    </row>
    <row r="709" spans="1:29" ht="19.5" thickBot="1">
      <c r="A709" s="787"/>
      <c r="B709" s="352"/>
      <c r="C709" s="790"/>
      <c r="D709" s="793"/>
      <c r="E709" s="481"/>
      <c r="F709" s="417"/>
      <c r="G709" s="486"/>
      <c r="H709" s="468">
        <f t="shared" si="246"/>
        <v>0</v>
      </c>
      <c r="I709" s="651"/>
      <c r="J709" s="456"/>
      <c r="K709" s="652"/>
      <c r="L709" s="458">
        <f t="shared" si="247"/>
        <v>0</v>
      </c>
      <c r="M709" s="651"/>
      <c r="N709" s="652"/>
      <c r="O709" s="652"/>
      <c r="P709" s="476"/>
      <c r="Q709" s="658">
        <f>база!$L$6</f>
        <v>261.04640000000001</v>
      </c>
      <c r="R709" s="464">
        <v>1.4</v>
      </c>
      <c r="S709" s="465">
        <f>SUMIFS(Таблица1[Столбец1],Таблица1[коэф],"1,4",Таблица1[р/р],"5/16",Таблица1[Ф. И. О.],B704)</f>
        <v>0</v>
      </c>
      <c r="T709" s="513">
        <f t="shared" si="248"/>
        <v>0</v>
      </c>
      <c r="U709" s="463">
        <f>база!$M$6</f>
        <v>279.0496</v>
      </c>
      <c r="V709" s="464">
        <v>1.4</v>
      </c>
      <c r="W709" s="465">
        <f>SUMIFS(Таблица1[Столбец1],Таблица1[коэф],"1,4",Таблица1[р/р],"5/24",Таблица1[Ф. И. О.],B704)</f>
        <v>0</v>
      </c>
      <c r="X709" s="513">
        <f t="shared" si="249"/>
        <v>0</v>
      </c>
      <c r="Y709" s="796"/>
      <c r="Z709" s="798"/>
      <c r="AA709" s="787"/>
    </row>
    <row r="710" spans="1:29" ht="18.75">
      <c r="A710" s="785">
        <v>65</v>
      </c>
      <c r="B710" s="216"/>
      <c r="C710" s="788">
        <f>INDEX(база!$E$2:$E$181, MATCH(B715,база!$B$2:$B$160,0))</f>
        <v>15237</v>
      </c>
      <c r="D710" s="791">
        <f>INDEX(база!$D$2:$D$189, MATCH(B715,база!$B$2:$B$160,0))</f>
        <v>3</v>
      </c>
      <c r="E710" s="377">
        <f>IF(D710&lt;=3,база!$I$4,
IF(D710=4,база!$I$5,
IF(D710=5,база!$I$6)))</f>
        <v>188.7912</v>
      </c>
      <c r="F710" s="378">
        <v>1</v>
      </c>
      <c r="G710" s="387">
        <f>SUMIFS(Таблица1[Столбец1],Таблица1[коэф],"1",Таблица1[р/р],"2/4",Таблица1[Ф. И. О.],B715)</f>
        <v>0</v>
      </c>
      <c r="H710" s="402">
        <f t="shared" si="246"/>
        <v>0</v>
      </c>
      <c r="I710" s="452">
        <f>IF(D710&lt;=3,база!$J$4,
IF(D710=4,база!$J$5,
IF(D710=5,база!$J$6)))</f>
        <v>196.05240000000001</v>
      </c>
      <c r="J710" s="475">
        <v>1</v>
      </c>
      <c r="K710" s="453">
        <f>SUMIFS(Таблица1[Столбец1],Таблица1[коэф],"1",Таблица1[р/р],"2/8",Таблица1[Ф. И. О.],B715)</f>
        <v>0</v>
      </c>
      <c r="L710" s="484">
        <f t="shared" si="247"/>
        <v>0</v>
      </c>
      <c r="M710" s="453"/>
      <c r="N710" s="453">
        <v>1</v>
      </c>
      <c r="O710" s="453">
        <f>SUMIFS(Data_Tech!$AM$3:$AM$67,Data_Tech!$E$3:$E$67,"1",Data_Tech!$G$3:$G$67,"3/12",Data_Tech!$F$3:$F$67,B715)</f>
        <v>0</v>
      </c>
      <c r="P710" s="398">
        <f>ROUND(M710*N710*O710,2)</f>
        <v>0</v>
      </c>
      <c r="Q710" s="481">
        <f>IF(D710&lt;=3,база!$L$4,
IF(D710=4,база!$L$5,
IF(D710=5,база!$L$6)))</f>
        <v>210.57480000000001</v>
      </c>
      <c r="R710" s="417">
        <v>1</v>
      </c>
      <c r="S710" s="418">
        <f>SUMIFS(Таблица1[Столбец1],Таблица1[коэф],"1",Таблица1[р/р],"3/16",Таблица1[Ф. И. О.],B715)</f>
        <v>0</v>
      </c>
      <c r="T710" s="492">
        <f t="shared" si="248"/>
        <v>0</v>
      </c>
      <c r="U710" s="483">
        <f>IF(D710&lt;=3,база!$M$4,
IF(D710=4,база!$M$5,
IF(D710=5,база!$M$6)))</f>
        <v>225.09719999999999</v>
      </c>
      <c r="V710" s="417">
        <v>1</v>
      </c>
      <c r="W710" s="455">
        <f>SUMIFS(Таблица1[Столбец1],Таблица1[коэф],"1",Таблица1[р/р],"3/24",Таблица1[Ф. И. О.],B715)</f>
        <v>0</v>
      </c>
      <c r="X710" s="492">
        <f t="shared" si="249"/>
        <v>0</v>
      </c>
      <c r="Y710" s="795">
        <f t="shared" ref="Y710" si="252">SUM(G710:G720,K710:K720,O710:O720,S710:S720,W710:W720)</f>
        <v>0</v>
      </c>
      <c r="Z710" s="797">
        <f t="shared" ref="Z710" si="253">IFERROR(SUM(H710:H720,L710:L720,T710:T720,X710:X720),"")</f>
        <v>0</v>
      </c>
      <c r="AA710" s="786"/>
    </row>
    <row r="711" spans="1:29" ht="18.75">
      <c r="A711" s="786"/>
      <c r="B711" s="216"/>
      <c r="C711" s="789"/>
      <c r="D711" s="792"/>
      <c r="E711" s="389">
        <f>IF(D710&lt;=3,база!$I$4,
IF(D710=4,база!$I$5,
IF(D710=5,база!$I$6)))</f>
        <v>188.7912</v>
      </c>
      <c r="F711" s="390">
        <v>1</v>
      </c>
      <c r="G711" s="400">
        <f>SUMIFS(Таблица1[Столбец1],Таблица1[коэф],"1",Таблица1[р/р],"3/4",Таблица1[Ф. И. О.],B715)</f>
        <v>0</v>
      </c>
      <c r="H711" s="392">
        <f t="shared" si="246"/>
        <v>0</v>
      </c>
      <c r="I711" s="432">
        <f>IF(D710&lt;=3,база!$J$4,
IF(D710=4,база!$J$5,
IF(D710=5,база!$J$6)))</f>
        <v>196.05240000000001</v>
      </c>
      <c r="J711" s="433">
        <v>1</v>
      </c>
      <c r="K711" s="434">
        <f>SUMIFS(Таблица1[Столбец1],Таблица1[коэф],"1",Таблица1[р/р],"3/8",Таблица1[Ф. И. О.],B715)</f>
        <v>0</v>
      </c>
      <c r="L711" s="484">
        <f t="shared" si="247"/>
        <v>0</v>
      </c>
      <c r="M711" s="434"/>
      <c r="N711" s="434">
        <v>1</v>
      </c>
      <c r="O711" s="434">
        <f>SUMIFS(Data_Tech!$AM$3:$AM$67,Data_Tech!$E$3:$E$67,"1",Data_Tech!$G$3:$G$67,"4/12",Data_Tech!$F$3:$F$67,B715)</f>
        <v>0</v>
      </c>
      <c r="P711" s="406">
        <f>ROUND(M711*O711,2)</f>
        <v>0</v>
      </c>
      <c r="Q711" s="389">
        <f>база!$L$5</f>
        <v>231.45480000000001</v>
      </c>
      <c r="R711" s="390">
        <v>1</v>
      </c>
      <c r="S711" s="400">
        <f>SUMIFS(Таблица1[Столбец1],Таблица1[коэф],"1",Таблица1[р/р],"4/16",Таблица1[Ф. И. О.],B715)</f>
        <v>0</v>
      </c>
      <c r="T711" s="492">
        <f t="shared" si="248"/>
        <v>0</v>
      </c>
      <c r="U711" s="478">
        <f>база!$M$5</f>
        <v>247.41720000000001</v>
      </c>
      <c r="V711" s="390">
        <v>1</v>
      </c>
      <c r="W711" s="412">
        <f>SUMIFS(Таблица1[Столбец1],Таблица1[коэф],"1",Таблица1[р/р],"4/24",Таблица1[Ф. И. О.],B715)</f>
        <v>0</v>
      </c>
      <c r="X711" s="492">
        <f t="shared" si="249"/>
        <v>0</v>
      </c>
      <c r="Y711" s="795"/>
      <c r="Z711" s="797"/>
      <c r="AA711" s="786"/>
    </row>
    <row r="712" spans="1:29" ht="18.75">
      <c r="A712" s="786"/>
      <c r="B712" s="216"/>
      <c r="C712" s="789"/>
      <c r="D712" s="792"/>
      <c r="E712" s="389"/>
      <c r="F712" s="390"/>
      <c r="G712" s="400"/>
      <c r="H712" s="392">
        <f t="shared" si="246"/>
        <v>0</v>
      </c>
      <c r="I712" s="432"/>
      <c r="J712" s="433"/>
      <c r="K712" s="434"/>
      <c r="L712" s="484">
        <f t="shared" si="247"/>
        <v>0</v>
      </c>
      <c r="M712" s="434"/>
      <c r="N712" s="434"/>
      <c r="O712" s="434"/>
      <c r="P712" s="406"/>
      <c r="Q712" s="389">
        <f>база!$L$6</f>
        <v>261.04640000000001</v>
      </c>
      <c r="R712" s="390">
        <v>1</v>
      </c>
      <c r="S712" s="400">
        <f>SUMIFS(Таблица1[Столбец1],Таблица1[коэф],"1",Таблица1[р/р],"5/16",Таблица1[Ф. И. О.],B715)</f>
        <v>0</v>
      </c>
      <c r="T712" s="492">
        <f t="shared" si="248"/>
        <v>0</v>
      </c>
      <c r="U712" s="478">
        <f>база!$M$6</f>
        <v>279.0496</v>
      </c>
      <c r="V712" s="390">
        <v>1</v>
      </c>
      <c r="W712" s="412">
        <f>SUMIFS(Таблица1[Столбец1],Таблица1[коэф],"1",Таблица1[р/р],"5/24",Таблица1[Ф. И. О.],B715)</f>
        <v>0</v>
      </c>
      <c r="X712" s="492">
        <f t="shared" si="249"/>
        <v>0</v>
      </c>
      <c r="Y712" s="795"/>
      <c r="Z712" s="797"/>
      <c r="AA712" s="786"/>
    </row>
    <row r="713" spans="1:29" ht="18.75">
      <c r="A713" s="786"/>
      <c r="B713" s="216"/>
      <c r="C713" s="789"/>
      <c r="D713" s="792"/>
      <c r="E713" s="389"/>
      <c r="F713" s="390"/>
      <c r="G713" s="400"/>
      <c r="H713" s="392">
        <f t="shared" si="246"/>
        <v>0</v>
      </c>
      <c r="I713" s="432">
        <f>база!$J$5</f>
        <v>215.4924</v>
      </c>
      <c r="J713" s="433">
        <v>1.5</v>
      </c>
      <c r="K713" s="434">
        <f>SUMIFS(Таблица1[Столбец1],Таблица1[коэф],"1,5",Таблица1[р/р],"4/8",Таблица1[Ф. И. О.],B715)</f>
        <v>0</v>
      </c>
      <c r="L713" s="484">
        <f t="shared" si="247"/>
        <v>0</v>
      </c>
      <c r="M713" s="434"/>
      <c r="N713" s="434"/>
      <c r="O713" s="434"/>
      <c r="P713" s="406"/>
      <c r="Q713" s="389">
        <f>IF(D710&lt;=3,база!$L$4,
IF(D710=4,база!$L$5,
IF(D710=5,база!$L$6)))</f>
        <v>210.57480000000001</v>
      </c>
      <c r="R713" s="390">
        <v>1.2</v>
      </c>
      <c r="S713" s="400">
        <f>SUMIFS(Таблица1[Столбец1],Таблица1[коэф],"1,2",Таблица1[р/р],"3/16",Таблица1[Ф. И. О.],B715)</f>
        <v>0</v>
      </c>
      <c r="T713" s="492">
        <f t="shared" si="248"/>
        <v>0</v>
      </c>
      <c r="U713" s="478">
        <f>IF(D710&lt;=3,база!$M$4,
IF(D710=4,база!$M$5,
IF(D710=5,база!$M$6)))</f>
        <v>225.09719999999999</v>
      </c>
      <c r="V713" s="390">
        <v>1.2</v>
      </c>
      <c r="W713" s="412">
        <f>SUMIFS(Таблица1[Столбец1],Таблица1[коэф],"1,2",Таблица1[р/р],"3/24",Таблица1[Ф. И. О.],B715)</f>
        <v>0</v>
      </c>
      <c r="X713" s="492">
        <f t="shared" si="249"/>
        <v>0</v>
      </c>
      <c r="Y713" s="795"/>
      <c r="Z713" s="797"/>
      <c r="AA713" s="786"/>
    </row>
    <row r="714" spans="1:29" ht="18.75">
      <c r="A714" s="786"/>
      <c r="B714" s="216"/>
      <c r="C714" s="789"/>
      <c r="D714" s="792"/>
      <c r="E714" s="389"/>
      <c r="F714" s="390"/>
      <c r="G714" s="400"/>
      <c r="H714" s="392">
        <f t="shared" si="246"/>
        <v>0</v>
      </c>
      <c r="I714" s="432">
        <f>база!$J$6</f>
        <v>243.04319999999998</v>
      </c>
      <c r="J714" s="433">
        <v>1.5</v>
      </c>
      <c r="K714" s="434">
        <f>SUMIFS(Таблица1[Столбец1],Таблица1[коэф],"1,5",Таблица1[р/р],"5/8",Таблица1[Ф. И. О.],B715)</f>
        <v>0</v>
      </c>
      <c r="L714" s="484">
        <f t="shared" si="247"/>
        <v>0</v>
      </c>
      <c r="M714" s="434"/>
      <c r="N714" s="434"/>
      <c r="O714" s="434"/>
      <c r="P714" s="406"/>
      <c r="Q714" s="389">
        <f>база!$L$5</f>
        <v>231.45480000000001</v>
      </c>
      <c r="R714" s="390">
        <v>1.2</v>
      </c>
      <c r="S714" s="400">
        <f>SUMIFS(Таблица1[Столбец1],Таблица1[коэф],"1,2",Таблица1[р/р],"4/16",Таблица1[Ф. И. О.],B715)</f>
        <v>0</v>
      </c>
      <c r="T714" s="492">
        <f t="shared" si="248"/>
        <v>0</v>
      </c>
      <c r="U714" s="478">
        <f>база!$M$5</f>
        <v>247.41720000000001</v>
      </c>
      <c r="V714" s="390">
        <v>1.2</v>
      </c>
      <c r="W714" s="412">
        <f>SUMIFS(Таблица1[Столбец1],Таблица1[коэф],"1,2",Таблица1[р/р],"4/24",Таблица1[Ф. И. О.],B715)</f>
        <v>0</v>
      </c>
      <c r="X714" s="492">
        <f t="shared" si="249"/>
        <v>0</v>
      </c>
      <c r="Y714" s="795"/>
      <c r="Z714" s="797"/>
      <c r="AA714" s="786"/>
    </row>
    <row r="715" spans="1:29" ht="18.75">
      <c r="A715" s="786"/>
      <c r="B715" s="216" t="str">
        <f>база!B66</f>
        <v>Пригоженкова Ольга Сергеевна</v>
      </c>
      <c r="C715" s="789"/>
      <c r="D715" s="792"/>
      <c r="E715" s="389"/>
      <c r="F715" s="390"/>
      <c r="G715" s="400"/>
      <c r="H715" s="392">
        <f t="shared" si="246"/>
        <v>0</v>
      </c>
      <c r="I715" s="432"/>
      <c r="J715" s="433"/>
      <c r="K715" s="434"/>
      <c r="L715" s="484">
        <f t="shared" si="247"/>
        <v>0</v>
      </c>
      <c r="M715" s="434"/>
      <c r="N715" s="434"/>
      <c r="O715" s="434"/>
      <c r="P715" s="406"/>
      <c r="Q715" s="389">
        <f>база!$L$6</f>
        <v>261.04640000000001</v>
      </c>
      <c r="R715" s="390">
        <v>1.2</v>
      </c>
      <c r="S715" s="400">
        <f>SUMIFS(Таблица1[Столбец1],Таблица1[коэф],"1,2",Таблица1[р/р],"5/16",Таблица1[Ф. И. О.],B715)</f>
        <v>0</v>
      </c>
      <c r="T715" s="492">
        <f t="shared" si="248"/>
        <v>0</v>
      </c>
      <c r="U715" s="478">
        <f>база!$M$6</f>
        <v>279.0496</v>
      </c>
      <c r="V715" s="390">
        <v>1.2</v>
      </c>
      <c r="W715" s="412">
        <f>SUMIFS(Таблица1[Столбец1],Таблица1[коэф],"1,2",Таблица1[р/р],"5/24",Таблица1[Ф. И. О.],B715)</f>
        <v>0</v>
      </c>
      <c r="X715" s="492">
        <f t="shared" si="249"/>
        <v>0</v>
      </c>
      <c r="Y715" s="795"/>
      <c r="Z715" s="797"/>
      <c r="AA715" s="786"/>
      <c r="AC715" s="727" t="str">
        <f>IF(SUMIFS(Таблица1[Столбец3],Таблица1[Ф. И. О.],B715)-Z710=0,"",SUMIFS(Таблица1[Столбец3],Таблица1[Ф. И. О.],B715)-Z710)</f>
        <v/>
      </c>
    </row>
    <row r="716" spans="1:29" ht="18.75">
      <c r="A716" s="786"/>
      <c r="B716" s="216"/>
      <c r="C716" s="789"/>
      <c r="D716" s="792"/>
      <c r="E716" s="389"/>
      <c r="F716" s="390"/>
      <c r="G716" s="400"/>
      <c r="H716" s="392">
        <f t="shared" si="246"/>
        <v>0</v>
      </c>
      <c r="I716" s="432"/>
      <c r="J716" s="433"/>
      <c r="K716" s="434"/>
      <c r="L716" s="484">
        <f t="shared" si="247"/>
        <v>0</v>
      </c>
      <c r="M716" s="434"/>
      <c r="N716" s="434"/>
      <c r="O716" s="434"/>
      <c r="P716" s="406"/>
      <c r="Q716" s="389">
        <f>IF($D$6&lt;=3,база!$L$4,
IF($D$6=4,база!$L$5,
IF($D$6=5,база!$L$6)))</f>
        <v>231.45480000000001</v>
      </c>
      <c r="R716" s="390">
        <v>1.3</v>
      </c>
      <c r="S716" s="400">
        <f>SUMIFS(Таблица1[Столбец1],Таблица1[коэф],"1,3",Таблица1[р/р],"3/16",Таблица1[Ф. И. О.],B715)</f>
        <v>0</v>
      </c>
      <c r="T716" s="492">
        <f t="shared" si="248"/>
        <v>0</v>
      </c>
      <c r="U716" s="478">
        <f>IF(D710&lt;=3,база!$M$4,
IF(D710=4,база!$M$5,
IF(D710=5,база!$M$6)))</f>
        <v>225.09719999999999</v>
      </c>
      <c r="V716" s="390">
        <v>1.3</v>
      </c>
      <c r="W716" s="412">
        <f>SUMIFS(Таблица1[Столбец1],Таблица1[коэф],"1,3",Таблица1[р/р],"3/24",Таблица1[Ф. И. О.],B715)</f>
        <v>0</v>
      </c>
      <c r="X716" s="492">
        <f t="shared" si="249"/>
        <v>0</v>
      </c>
      <c r="Y716" s="795"/>
      <c r="Z716" s="797"/>
      <c r="AA716" s="786"/>
      <c r="AC716" s="727" t="str">
        <f>IF(SUMIFS(Таблица1[Столбец1],Таблица1[Ф. И. О.],B715)=Y710,"",B715&amp;"  часы не верны")</f>
        <v/>
      </c>
    </row>
    <row r="717" spans="1:29" ht="18.75">
      <c r="A717" s="786"/>
      <c r="B717" s="216"/>
      <c r="C717" s="789"/>
      <c r="D717" s="792"/>
      <c r="E717" s="389"/>
      <c r="F717" s="390"/>
      <c r="G717" s="400"/>
      <c r="H717" s="392">
        <f t="shared" si="246"/>
        <v>0</v>
      </c>
      <c r="I717" s="432"/>
      <c r="J717" s="433"/>
      <c r="K717" s="434"/>
      <c r="L717" s="484">
        <f t="shared" si="247"/>
        <v>0</v>
      </c>
      <c r="M717" s="434"/>
      <c r="N717" s="434"/>
      <c r="O717" s="434"/>
      <c r="P717" s="406"/>
      <c r="Q717" s="389">
        <f>база!$L$5</f>
        <v>231.45480000000001</v>
      </c>
      <c r="R717" s="390">
        <v>1.3</v>
      </c>
      <c r="S717" s="400">
        <f>SUMIFS(Таблица1[Столбец1],Таблица1[коэф],"1,3",Таблица1[р/р],"4/16",Таблица1[Ф. И. О.],B715)</f>
        <v>0</v>
      </c>
      <c r="T717" s="492">
        <f t="shared" si="248"/>
        <v>0</v>
      </c>
      <c r="U717" s="478">
        <f>база!$M$5</f>
        <v>247.41720000000001</v>
      </c>
      <c r="V717" s="390">
        <v>1.3</v>
      </c>
      <c r="W717" s="412">
        <f>SUMIFS(Таблица1[Столбец1],Таблица1[коэф],"1,3",Таблица1[р/р],"4/24",Таблица1[Ф. И. О.],B715)</f>
        <v>0</v>
      </c>
      <c r="X717" s="492">
        <f t="shared" si="249"/>
        <v>0</v>
      </c>
      <c r="Y717" s="795"/>
      <c r="Z717" s="797"/>
      <c r="AA717" s="786"/>
    </row>
    <row r="718" spans="1:29" ht="18.75">
      <c r="A718" s="786"/>
      <c r="B718" s="216"/>
      <c r="C718" s="789"/>
      <c r="D718" s="792"/>
      <c r="E718" s="389"/>
      <c r="F718" s="390"/>
      <c r="G718" s="400"/>
      <c r="H718" s="392">
        <f t="shared" si="246"/>
        <v>0</v>
      </c>
      <c r="I718" s="432"/>
      <c r="J718" s="433"/>
      <c r="K718" s="434"/>
      <c r="L718" s="484">
        <f t="shared" si="247"/>
        <v>0</v>
      </c>
      <c r="M718" s="434"/>
      <c r="N718" s="434"/>
      <c r="O718" s="434"/>
      <c r="P718" s="406"/>
      <c r="Q718" s="389">
        <f>IF(D710&lt;=3,база!$L$4,
IF(D710=4,база!$L$5,
IF(D710=5,база!$L$6)))</f>
        <v>210.57480000000001</v>
      </c>
      <c r="R718" s="390">
        <v>1.4</v>
      </c>
      <c r="S718" s="400">
        <f>SUMIFS(Таблица1[Столбец1],Таблица1[коэф],"1,4",Таблица1[р/р],"3/16",Таблица1[Ф. И. О.],B715)</f>
        <v>0</v>
      </c>
      <c r="T718" s="492">
        <f t="shared" si="248"/>
        <v>0</v>
      </c>
      <c r="U718" s="478">
        <f>IF(D710&lt;=3,база!$M$4,
IF(D710=4,база!$M$5,
IF(D710=5,база!$M$6)))</f>
        <v>225.09719999999999</v>
      </c>
      <c r="V718" s="390">
        <v>1.4</v>
      </c>
      <c r="W718" s="412">
        <f>SUMIFS(Таблица1[Столбец1],Таблица1[коэф],"1,4",Таблица1[р/р],"3/24",Таблица1[Ф. И. О.],B715)</f>
        <v>0</v>
      </c>
      <c r="X718" s="492">
        <f t="shared" si="249"/>
        <v>0</v>
      </c>
      <c r="Y718" s="795"/>
      <c r="Z718" s="797"/>
      <c r="AA718" s="786"/>
    </row>
    <row r="719" spans="1:29" ht="18.75">
      <c r="A719" s="786"/>
      <c r="B719" s="216"/>
      <c r="C719" s="789"/>
      <c r="D719" s="792"/>
      <c r="E719" s="389"/>
      <c r="F719" s="390"/>
      <c r="G719" s="400"/>
      <c r="H719" s="392">
        <f t="shared" si="246"/>
        <v>0</v>
      </c>
      <c r="I719" s="432"/>
      <c r="J719" s="433"/>
      <c r="K719" s="434"/>
      <c r="L719" s="484">
        <f t="shared" si="247"/>
        <v>0</v>
      </c>
      <c r="M719" s="434"/>
      <c r="N719" s="434"/>
      <c r="O719" s="434"/>
      <c r="P719" s="406"/>
      <c r="Q719" s="389">
        <f>база!$L$5</f>
        <v>231.45480000000001</v>
      </c>
      <c r="R719" s="390">
        <v>1.4</v>
      </c>
      <c r="S719" s="400">
        <f>SUMIFS(Таблица1[Столбец1],Таблица1[коэф],"1,4",Таблица1[р/р],"4/16",Таблица1[Ф. И. О.],B715)</f>
        <v>0</v>
      </c>
      <c r="T719" s="492">
        <f t="shared" si="248"/>
        <v>0</v>
      </c>
      <c r="U719" s="478">
        <f>база!$M$5</f>
        <v>247.41720000000001</v>
      </c>
      <c r="V719" s="390">
        <v>1.4</v>
      </c>
      <c r="W719" s="412">
        <f>SUMIFS(Таблица1[Столбец1],Таблица1[коэф],"1,4",Таблица1[р/р],"4/24",Таблица1[Ф. И. О.],B715)</f>
        <v>0</v>
      </c>
      <c r="X719" s="492">
        <f t="shared" si="249"/>
        <v>0</v>
      </c>
      <c r="Y719" s="795"/>
      <c r="Z719" s="797"/>
      <c r="AA719" s="786"/>
    </row>
    <row r="720" spans="1:29" ht="19.5" thickBot="1">
      <c r="A720" s="787"/>
      <c r="B720" s="352"/>
      <c r="C720" s="790"/>
      <c r="D720" s="793"/>
      <c r="E720" s="481"/>
      <c r="F720" s="417"/>
      <c r="G720" s="486"/>
      <c r="H720" s="468">
        <f t="shared" si="246"/>
        <v>0</v>
      </c>
      <c r="I720" s="651"/>
      <c r="J720" s="456"/>
      <c r="K720" s="652"/>
      <c r="L720" s="458">
        <f t="shared" si="247"/>
        <v>0</v>
      </c>
      <c r="M720" s="651"/>
      <c r="N720" s="652"/>
      <c r="O720" s="652"/>
      <c r="P720" s="476"/>
      <c r="Q720" s="658">
        <f>база!$L$6</f>
        <v>261.04640000000001</v>
      </c>
      <c r="R720" s="464">
        <v>1.4</v>
      </c>
      <c r="S720" s="465">
        <f>SUMIFS(Таблица1[Столбец1],Таблица1[коэф],"1,4",Таблица1[р/р],"5/16",Таблица1[Ф. И. О.],B715)</f>
        <v>0</v>
      </c>
      <c r="T720" s="513">
        <f t="shared" si="248"/>
        <v>0</v>
      </c>
      <c r="U720" s="463">
        <f>база!$M$6</f>
        <v>279.0496</v>
      </c>
      <c r="V720" s="464">
        <v>1.4</v>
      </c>
      <c r="W720" s="465">
        <f>SUMIFS(Таблица1[Столбец1],Таблица1[коэф],"1,4",Таблица1[р/р],"5/24",Таблица1[Ф. И. О.],B715)</f>
        <v>0</v>
      </c>
      <c r="X720" s="513">
        <f t="shared" si="249"/>
        <v>0</v>
      </c>
      <c r="Y720" s="796"/>
      <c r="Z720" s="798"/>
      <c r="AA720" s="787"/>
    </row>
    <row r="721" spans="1:29" ht="18.75">
      <c r="A721" s="785">
        <v>66</v>
      </c>
      <c r="B721" s="216"/>
      <c r="C721" s="788">
        <f>INDEX(база!$E$2:$E$181, MATCH(B726,база!$B$2:$B$160,0))</f>
        <v>17208</v>
      </c>
      <c r="D721" s="791">
        <f>INDEX(база!$D$2:$D$189, MATCH(B726,база!$B$2:$B$160,0))</f>
        <v>3</v>
      </c>
      <c r="E721" s="377">
        <f>IF(D721&lt;=3,база!$I$4,
IF(D721=4,база!$I$5,
IF(D721=5,база!$I$6)))</f>
        <v>188.7912</v>
      </c>
      <c r="F721" s="378">
        <v>1</v>
      </c>
      <c r="G721" s="387">
        <f>SUMIFS(Таблица1[Столбец1],Таблица1[коэф],"1",Таблица1[р/р],"2/4",Таблица1[Ф. И. О.],B726)</f>
        <v>0</v>
      </c>
      <c r="H721" s="402">
        <f t="shared" si="246"/>
        <v>0</v>
      </c>
      <c r="I721" s="452">
        <f>IF(D721&lt;=3,база!$J$4,
IF(D721=4,база!$J$5,
IF(D721=5,база!$J$6)))</f>
        <v>196.05240000000001</v>
      </c>
      <c r="J721" s="475">
        <v>1</v>
      </c>
      <c r="K721" s="453">
        <f>SUMIFS(Таблица1[Столбец1],Таблица1[коэф],"1",Таблица1[р/р],"2/8",Таблица1[Ф. И. О.],B726)</f>
        <v>0</v>
      </c>
      <c r="L721" s="484">
        <f t="shared" si="247"/>
        <v>0</v>
      </c>
      <c r="M721" s="453"/>
      <c r="N721" s="453">
        <v>1</v>
      </c>
      <c r="O721" s="453">
        <f>SUMIFS(Data_Tech!$AM$3:$AM$67,Data_Tech!$E$3:$E$67,"1",Data_Tech!$G$3:$G$67,"3/12",Data_Tech!$F$3:$F$67,B726)</f>
        <v>0</v>
      </c>
      <c r="P721" s="398">
        <f>ROUND(M721*N721*O721,2)</f>
        <v>0</v>
      </c>
      <c r="Q721" s="481">
        <f>IF(D721&lt;=3,база!$L$4,
IF(D721=4,база!$L$5,
IF(D721=5,база!$L$6)))</f>
        <v>210.57480000000001</v>
      </c>
      <c r="R721" s="417">
        <v>1</v>
      </c>
      <c r="S721" s="418">
        <f>SUMIFS(Таблица1[Столбец1],Таблица1[коэф],"1",Таблица1[р/р],"3/16",Таблица1[Ф. И. О.],B726)</f>
        <v>0</v>
      </c>
      <c r="T721" s="492">
        <f t="shared" si="248"/>
        <v>0</v>
      </c>
      <c r="U721" s="483">
        <f>IF(D721&lt;=3,база!$M$4,
IF(D721=4,база!$M$5,
IF(D721=5,база!$M$6)))</f>
        <v>225.09719999999999</v>
      </c>
      <c r="V721" s="417">
        <v>1</v>
      </c>
      <c r="W721" s="455">
        <f>SUMIFS(Таблица1[Столбец1],Таблица1[коэф],"1",Таблица1[р/р],"3/24",Таблица1[Ф. И. О.],B726)</f>
        <v>0</v>
      </c>
      <c r="X721" s="492">
        <f t="shared" si="249"/>
        <v>0</v>
      </c>
      <c r="Y721" s="795">
        <f t="shared" ref="Y721" si="254">SUM(G721:G731,K721:K731,O721:O731,S721:S731,W721:W731)</f>
        <v>0</v>
      </c>
      <c r="Z721" s="797">
        <f t="shared" ref="Z721" si="255">IFERROR(SUM(H721:H731,L721:L731,T721:T731,X721:X731),"")</f>
        <v>0</v>
      </c>
      <c r="AA721" s="786"/>
    </row>
    <row r="722" spans="1:29" ht="18.75">
      <c r="A722" s="786"/>
      <c r="B722" s="216"/>
      <c r="C722" s="789"/>
      <c r="D722" s="792"/>
      <c r="E722" s="389">
        <f>IF(D721&lt;=3,база!$I$4,
IF(D721=4,база!$I$5,
IF(D721=5,база!$I$6)))</f>
        <v>188.7912</v>
      </c>
      <c r="F722" s="390">
        <v>1</v>
      </c>
      <c r="G722" s="400">
        <f>SUMIFS(Таблица1[Столбец1],Таблица1[коэф],"1",Таблица1[р/р],"3/4",Таблица1[Ф. И. О.],B726)</f>
        <v>0</v>
      </c>
      <c r="H722" s="392">
        <f t="shared" si="246"/>
        <v>0</v>
      </c>
      <c r="I722" s="432">
        <f>IF(D721&lt;=3,база!$J$4,
IF(D721=4,база!$J$5,
IF(D721=5,база!$J$6)))</f>
        <v>196.05240000000001</v>
      </c>
      <c r="J722" s="433">
        <v>1</v>
      </c>
      <c r="K722" s="434">
        <f>SUMIFS(Таблица1[Столбец1],Таблица1[коэф],"1",Таблица1[р/р],"3/8",Таблица1[Ф. И. О.],B726)</f>
        <v>0</v>
      </c>
      <c r="L722" s="484">
        <f t="shared" si="247"/>
        <v>0</v>
      </c>
      <c r="M722" s="434"/>
      <c r="N722" s="434">
        <v>1</v>
      </c>
      <c r="O722" s="434">
        <f>SUMIFS(Data_Tech!$AM$3:$AM$67,Data_Tech!$E$3:$E$67,"1",Data_Tech!$G$3:$G$67,"4/12",Data_Tech!$F$3:$F$67,B726)</f>
        <v>0</v>
      </c>
      <c r="P722" s="406">
        <f>ROUND(M722*O722,2)</f>
        <v>0</v>
      </c>
      <c r="Q722" s="389">
        <f>база!$L$5</f>
        <v>231.45480000000001</v>
      </c>
      <c r="R722" s="390">
        <v>1</v>
      </c>
      <c r="S722" s="400">
        <f>SUMIFS(Таблица1[Столбец1],Таблица1[коэф],"1",Таблица1[р/р],"4/16",Таблица1[Ф. И. О.],B726)</f>
        <v>0</v>
      </c>
      <c r="T722" s="492">
        <f t="shared" si="248"/>
        <v>0</v>
      </c>
      <c r="U722" s="478">
        <f>база!$M$5</f>
        <v>247.41720000000001</v>
      </c>
      <c r="V722" s="390">
        <v>1</v>
      </c>
      <c r="W722" s="412">
        <f>SUMIFS(Таблица1[Столбец1],Таблица1[коэф],"1",Таблица1[р/р],"4/24",Таблица1[Ф. И. О.],B726)</f>
        <v>0</v>
      </c>
      <c r="X722" s="492">
        <f t="shared" si="249"/>
        <v>0</v>
      </c>
      <c r="Y722" s="795"/>
      <c r="Z722" s="797"/>
      <c r="AA722" s="786"/>
    </row>
    <row r="723" spans="1:29" ht="18.75">
      <c r="A723" s="786"/>
      <c r="B723" s="216"/>
      <c r="C723" s="789"/>
      <c r="D723" s="792"/>
      <c r="E723" s="389"/>
      <c r="F723" s="390"/>
      <c r="G723" s="400"/>
      <c r="H723" s="392">
        <f t="shared" si="246"/>
        <v>0</v>
      </c>
      <c r="I723" s="432"/>
      <c r="J723" s="433"/>
      <c r="K723" s="434"/>
      <c r="L723" s="484">
        <f t="shared" si="247"/>
        <v>0</v>
      </c>
      <c r="M723" s="434"/>
      <c r="N723" s="434"/>
      <c r="O723" s="434"/>
      <c r="P723" s="406"/>
      <c r="Q723" s="389">
        <f>база!$L$6</f>
        <v>261.04640000000001</v>
      </c>
      <c r="R723" s="390">
        <v>1</v>
      </c>
      <c r="S723" s="400">
        <f>SUMIFS(Таблица1[Столбец1],Таблица1[коэф],"1",Таблица1[р/р],"5/16",Таблица1[Ф. И. О.],B726)</f>
        <v>0</v>
      </c>
      <c r="T723" s="492">
        <f t="shared" si="248"/>
        <v>0</v>
      </c>
      <c r="U723" s="478">
        <f>база!$M$6</f>
        <v>279.0496</v>
      </c>
      <c r="V723" s="390">
        <v>1</v>
      </c>
      <c r="W723" s="412">
        <f>SUMIFS(Таблица1[Столбец1],Таблица1[коэф],"1",Таблица1[р/р],"5/24",Таблица1[Ф. И. О.],B726)</f>
        <v>0</v>
      </c>
      <c r="X723" s="492">
        <f t="shared" si="249"/>
        <v>0</v>
      </c>
      <c r="Y723" s="795"/>
      <c r="Z723" s="797"/>
      <c r="AA723" s="786"/>
    </row>
    <row r="724" spans="1:29" ht="18.75">
      <c r="A724" s="786"/>
      <c r="B724" s="216"/>
      <c r="C724" s="789"/>
      <c r="D724" s="792"/>
      <c r="E724" s="389"/>
      <c r="F724" s="390"/>
      <c r="G724" s="400"/>
      <c r="H724" s="392">
        <f t="shared" si="246"/>
        <v>0</v>
      </c>
      <c r="I724" s="432">
        <f>база!$J$5</f>
        <v>215.4924</v>
      </c>
      <c r="J724" s="433">
        <v>1.5</v>
      </c>
      <c r="K724" s="434">
        <f>SUMIFS(Таблица1[Столбец1],Таблица1[коэф],"1,5",Таблица1[р/р],"4/8",Таблица1[Ф. И. О.],B726)</f>
        <v>0</v>
      </c>
      <c r="L724" s="484">
        <f t="shared" si="247"/>
        <v>0</v>
      </c>
      <c r="M724" s="434"/>
      <c r="N724" s="434"/>
      <c r="O724" s="434"/>
      <c r="P724" s="406"/>
      <c r="Q724" s="389">
        <f>IF(D721&lt;=3,база!$L$4,
IF(D721=4,база!$L$5,
IF(D721=5,база!$L$6)))</f>
        <v>210.57480000000001</v>
      </c>
      <c r="R724" s="390">
        <v>1.2</v>
      </c>
      <c r="S724" s="400">
        <f>SUMIFS(Таблица1[Столбец1],Таблица1[коэф],"1,2",Таблица1[р/р],"3/16",Таблица1[Ф. И. О.],B726)</f>
        <v>0</v>
      </c>
      <c r="T724" s="492">
        <f t="shared" si="248"/>
        <v>0</v>
      </c>
      <c r="U724" s="478">
        <f>IF(D721&lt;=3,база!$M$4,
IF(D721=4,база!$M$5,
IF(D721=5,база!$M$6)))</f>
        <v>225.09719999999999</v>
      </c>
      <c r="V724" s="390">
        <v>1.2</v>
      </c>
      <c r="W724" s="412">
        <f>SUMIFS(Таблица1[Столбец1],Таблица1[коэф],"1,2",Таблица1[р/р],"3/24",Таблица1[Ф. И. О.],B726)</f>
        <v>0</v>
      </c>
      <c r="X724" s="492">
        <f t="shared" si="249"/>
        <v>0</v>
      </c>
      <c r="Y724" s="795"/>
      <c r="Z724" s="797"/>
      <c r="AA724" s="786"/>
    </row>
    <row r="725" spans="1:29" ht="18.75">
      <c r="A725" s="786"/>
      <c r="B725" s="216"/>
      <c r="C725" s="789"/>
      <c r="D725" s="792"/>
      <c r="E725" s="389"/>
      <c r="F725" s="390"/>
      <c r="G725" s="400"/>
      <c r="H725" s="392">
        <f t="shared" si="246"/>
        <v>0</v>
      </c>
      <c r="I725" s="432">
        <f>база!$J$6</f>
        <v>243.04319999999998</v>
      </c>
      <c r="J725" s="433">
        <v>1.5</v>
      </c>
      <c r="K725" s="434">
        <f>SUMIFS(Таблица1[Столбец1],Таблица1[коэф],"1,5",Таблица1[р/р],"5/8",Таблица1[Ф. И. О.],B726)</f>
        <v>0</v>
      </c>
      <c r="L725" s="484">
        <f t="shared" si="247"/>
        <v>0</v>
      </c>
      <c r="M725" s="434"/>
      <c r="N725" s="434"/>
      <c r="O725" s="434"/>
      <c r="P725" s="406"/>
      <c r="Q725" s="389">
        <f>база!$L$5</f>
        <v>231.45480000000001</v>
      </c>
      <c r="R725" s="390">
        <v>1.2</v>
      </c>
      <c r="S725" s="400">
        <f>SUMIFS(Таблица1[Столбец1],Таблица1[коэф],"1,2",Таблица1[р/р],"4/16",Таблица1[Ф. И. О.],B726)</f>
        <v>0</v>
      </c>
      <c r="T725" s="492">
        <f t="shared" si="248"/>
        <v>0</v>
      </c>
      <c r="U725" s="478">
        <f>база!$M$5</f>
        <v>247.41720000000001</v>
      </c>
      <c r="V725" s="390">
        <v>1.2</v>
      </c>
      <c r="W725" s="412">
        <f>SUMIFS(Таблица1[Столбец1],Таблица1[коэф],"1,2",Таблица1[р/р],"4/24",Таблица1[Ф. И. О.],B726)</f>
        <v>0</v>
      </c>
      <c r="X725" s="492">
        <f t="shared" si="249"/>
        <v>0</v>
      </c>
      <c r="Y725" s="795"/>
      <c r="Z725" s="797"/>
      <c r="AA725" s="786"/>
    </row>
    <row r="726" spans="1:29" ht="18.75">
      <c r="A726" s="786"/>
      <c r="B726" s="216" t="str">
        <f>база!B67</f>
        <v>Рысев Иван Александрович</v>
      </c>
      <c r="C726" s="789"/>
      <c r="D726" s="792"/>
      <c r="E726" s="389"/>
      <c r="F726" s="390"/>
      <c r="G726" s="400"/>
      <c r="H726" s="392">
        <f t="shared" si="246"/>
        <v>0</v>
      </c>
      <c r="I726" s="432"/>
      <c r="J726" s="433"/>
      <c r="K726" s="434"/>
      <c r="L726" s="484">
        <f t="shared" si="247"/>
        <v>0</v>
      </c>
      <c r="M726" s="434"/>
      <c r="N726" s="434"/>
      <c r="O726" s="434"/>
      <c r="P726" s="406"/>
      <c r="Q726" s="389">
        <f>база!$L$6</f>
        <v>261.04640000000001</v>
      </c>
      <c r="R726" s="390">
        <v>1.2</v>
      </c>
      <c r="S726" s="400">
        <f>SUMIFS(Таблица1[Столбец1],Таблица1[коэф],"1,2",Таблица1[р/р],"5/16",Таблица1[Ф. И. О.],B726)</f>
        <v>0</v>
      </c>
      <c r="T726" s="492">
        <f t="shared" si="248"/>
        <v>0</v>
      </c>
      <c r="U726" s="478">
        <f>база!$M$6</f>
        <v>279.0496</v>
      </c>
      <c r="V726" s="390">
        <v>1.2</v>
      </c>
      <c r="W726" s="412">
        <f>SUMIFS(Таблица1[Столбец1],Таблица1[коэф],"1,2",Таблица1[р/р],"5/24",Таблица1[Ф. И. О.],B726)</f>
        <v>0</v>
      </c>
      <c r="X726" s="492">
        <f t="shared" si="249"/>
        <v>0</v>
      </c>
      <c r="Y726" s="795"/>
      <c r="Z726" s="797"/>
      <c r="AA726" s="786"/>
      <c r="AC726" s="727" t="str">
        <f>IF(SUMIFS(Таблица1[Столбец3],Таблица1[Ф. И. О.],B726)-Z721=0,"",SUMIFS(Таблица1[Столбец3],Таблица1[Ф. И. О.],B726)-Z721)</f>
        <v/>
      </c>
    </row>
    <row r="727" spans="1:29" ht="18.75">
      <c r="A727" s="786"/>
      <c r="B727" s="216"/>
      <c r="C727" s="789"/>
      <c r="D727" s="792"/>
      <c r="E727" s="389"/>
      <c r="F727" s="390"/>
      <c r="G727" s="400"/>
      <c r="H727" s="392">
        <f t="shared" si="246"/>
        <v>0</v>
      </c>
      <c r="I727" s="432"/>
      <c r="J727" s="433"/>
      <c r="K727" s="434"/>
      <c r="L727" s="484">
        <f t="shared" si="247"/>
        <v>0</v>
      </c>
      <c r="M727" s="434"/>
      <c r="N727" s="434"/>
      <c r="O727" s="434"/>
      <c r="P727" s="406"/>
      <c r="Q727" s="389">
        <f>IF($D$6&lt;=3,база!$L$4,
IF($D$6=4,база!$L$5,
IF($D$6=5,база!$L$6)))</f>
        <v>231.45480000000001</v>
      </c>
      <c r="R727" s="390">
        <v>1.3</v>
      </c>
      <c r="S727" s="400">
        <f>SUMIFS(Таблица1[Столбец1],Таблица1[коэф],"1,3",Таблица1[р/р],"3/16",Таблица1[Ф. И. О.],B726)</f>
        <v>0</v>
      </c>
      <c r="T727" s="492">
        <f t="shared" si="248"/>
        <v>0</v>
      </c>
      <c r="U727" s="478">
        <f>IF(D721&lt;=3,база!$M$4,
IF(D721=4,база!$M$5,
IF(D721=5,база!$M$6)))</f>
        <v>225.09719999999999</v>
      </c>
      <c r="V727" s="390">
        <v>1.3</v>
      </c>
      <c r="W727" s="412">
        <f>SUMIFS(Таблица1[Столбец1],Таблица1[коэф],"1,3",Таблица1[р/р],"3/24",Таблица1[Ф. И. О.],B726)</f>
        <v>0</v>
      </c>
      <c r="X727" s="492">
        <f t="shared" si="249"/>
        <v>0</v>
      </c>
      <c r="Y727" s="795"/>
      <c r="Z727" s="797"/>
      <c r="AA727" s="786"/>
      <c r="AC727" s="727" t="str">
        <f>IF(SUMIFS(Таблица1[Столбец1],Таблица1[Ф. И. О.],B726)=Y721,"",B726&amp;"  часы не верны")</f>
        <v/>
      </c>
    </row>
    <row r="728" spans="1:29" ht="18.75">
      <c r="A728" s="786"/>
      <c r="B728" s="216"/>
      <c r="C728" s="789"/>
      <c r="D728" s="792"/>
      <c r="E728" s="389"/>
      <c r="F728" s="390"/>
      <c r="G728" s="400"/>
      <c r="H728" s="392">
        <f t="shared" si="246"/>
        <v>0</v>
      </c>
      <c r="I728" s="432"/>
      <c r="J728" s="433"/>
      <c r="K728" s="434"/>
      <c r="L728" s="484">
        <f t="shared" si="247"/>
        <v>0</v>
      </c>
      <c r="M728" s="434"/>
      <c r="N728" s="434"/>
      <c r="O728" s="434"/>
      <c r="P728" s="406"/>
      <c r="Q728" s="389">
        <f>база!$L$5</f>
        <v>231.45480000000001</v>
      </c>
      <c r="R728" s="390">
        <v>1.3</v>
      </c>
      <c r="S728" s="400">
        <f>SUMIFS(Таблица1[Столбец1],Таблица1[коэф],"1,3",Таблица1[р/р],"4/16",Таблица1[Ф. И. О.],B726)</f>
        <v>0</v>
      </c>
      <c r="T728" s="492">
        <f t="shared" si="248"/>
        <v>0</v>
      </c>
      <c r="U728" s="478">
        <f>база!$M$5</f>
        <v>247.41720000000001</v>
      </c>
      <c r="V728" s="390">
        <v>1.3</v>
      </c>
      <c r="W728" s="412">
        <f>SUMIFS(Таблица1[Столбец1],Таблица1[коэф],"1,3",Таблица1[р/р],"4/24",Таблица1[Ф. И. О.],B726)</f>
        <v>0</v>
      </c>
      <c r="X728" s="492">
        <f t="shared" si="249"/>
        <v>0</v>
      </c>
      <c r="Y728" s="795"/>
      <c r="Z728" s="797"/>
      <c r="AA728" s="786"/>
    </row>
    <row r="729" spans="1:29" ht="18.75">
      <c r="A729" s="786"/>
      <c r="B729" s="216"/>
      <c r="C729" s="789"/>
      <c r="D729" s="792"/>
      <c r="E729" s="389"/>
      <c r="F729" s="390"/>
      <c r="G729" s="400"/>
      <c r="H729" s="392">
        <f t="shared" si="246"/>
        <v>0</v>
      </c>
      <c r="I729" s="432"/>
      <c r="J729" s="433"/>
      <c r="K729" s="434"/>
      <c r="L729" s="484">
        <f t="shared" si="247"/>
        <v>0</v>
      </c>
      <c r="M729" s="434"/>
      <c r="N729" s="434"/>
      <c r="O729" s="434"/>
      <c r="P729" s="406"/>
      <c r="Q729" s="389">
        <f>IF(D721&lt;=3,база!$L$4,
IF(D721=4,база!$L$5,
IF(D721=5,база!$L$6)))</f>
        <v>210.57480000000001</v>
      </c>
      <c r="R729" s="390">
        <v>1.4</v>
      </c>
      <c r="S729" s="400">
        <f>SUMIFS(Таблица1[Столбец1],Таблица1[коэф],"1,4",Таблица1[р/р],"3/16",Таблица1[Ф. И. О.],B726)</f>
        <v>0</v>
      </c>
      <c r="T729" s="492">
        <f t="shared" si="248"/>
        <v>0</v>
      </c>
      <c r="U729" s="478">
        <f>IF(D721&lt;=3,база!$M$4,
IF(D721=4,база!$M$5,
IF(D721=5,база!$M$6)))</f>
        <v>225.09719999999999</v>
      </c>
      <c r="V729" s="390">
        <v>1.4</v>
      </c>
      <c r="W729" s="412">
        <f>SUMIFS(Таблица1[Столбец1],Таблица1[коэф],"1,4",Таблица1[р/р],"3/24",Таблица1[Ф. И. О.],B726)</f>
        <v>0</v>
      </c>
      <c r="X729" s="492">
        <f t="shared" si="249"/>
        <v>0</v>
      </c>
      <c r="Y729" s="795"/>
      <c r="Z729" s="797"/>
      <c r="AA729" s="786"/>
    </row>
    <row r="730" spans="1:29" ht="18.75">
      <c r="A730" s="786"/>
      <c r="B730" s="216"/>
      <c r="C730" s="789"/>
      <c r="D730" s="792"/>
      <c r="E730" s="389"/>
      <c r="F730" s="390"/>
      <c r="G730" s="400"/>
      <c r="H730" s="392">
        <f t="shared" si="246"/>
        <v>0</v>
      </c>
      <c r="I730" s="432"/>
      <c r="J730" s="433"/>
      <c r="K730" s="434"/>
      <c r="L730" s="484">
        <f t="shared" si="247"/>
        <v>0</v>
      </c>
      <c r="M730" s="434"/>
      <c r="N730" s="434"/>
      <c r="O730" s="434"/>
      <c r="P730" s="406"/>
      <c r="Q730" s="389">
        <f>база!$L$5</f>
        <v>231.45480000000001</v>
      </c>
      <c r="R730" s="390">
        <v>1.4</v>
      </c>
      <c r="S730" s="400">
        <f>SUMIFS(Таблица1[Столбец1],Таблица1[коэф],"1,4",Таблица1[р/р],"4/16",Таблица1[Ф. И. О.],B726)</f>
        <v>0</v>
      </c>
      <c r="T730" s="492">
        <f t="shared" si="248"/>
        <v>0</v>
      </c>
      <c r="U730" s="478">
        <f>база!$M$5</f>
        <v>247.41720000000001</v>
      </c>
      <c r="V730" s="390">
        <v>1.4</v>
      </c>
      <c r="W730" s="412">
        <f>SUMIFS(Таблица1[Столбец1],Таблица1[коэф],"1,4",Таблица1[р/р],"4/24",Таблица1[Ф. И. О.],B726)</f>
        <v>0</v>
      </c>
      <c r="X730" s="492">
        <f t="shared" si="249"/>
        <v>0</v>
      </c>
      <c r="Y730" s="795"/>
      <c r="Z730" s="797"/>
      <c r="AA730" s="786"/>
    </row>
    <row r="731" spans="1:29" ht="19.5" thickBot="1">
      <c r="A731" s="787"/>
      <c r="B731" s="352"/>
      <c r="C731" s="790"/>
      <c r="D731" s="793"/>
      <c r="E731" s="481"/>
      <c r="F731" s="417"/>
      <c r="G731" s="486"/>
      <c r="H731" s="468">
        <f t="shared" si="246"/>
        <v>0</v>
      </c>
      <c r="I731" s="651"/>
      <c r="J731" s="456"/>
      <c r="K731" s="652"/>
      <c r="L731" s="458">
        <f t="shared" si="247"/>
        <v>0</v>
      </c>
      <c r="M731" s="396"/>
      <c r="N731" s="397"/>
      <c r="O731" s="397"/>
      <c r="P731" s="398"/>
      <c r="Q731" s="487">
        <f>база!$L$6</f>
        <v>261.04640000000001</v>
      </c>
      <c r="R731" s="417">
        <v>1.4</v>
      </c>
      <c r="S731" s="418">
        <f>SUMIFS(Таблица1[Столбец1],Таблица1[коэф],"1,4",Таблица1[р/р],"5/16",Таблица1[Ф. И. О.],B726)</f>
        <v>0</v>
      </c>
      <c r="T731" s="492">
        <f t="shared" si="248"/>
        <v>0</v>
      </c>
      <c r="U731" s="473">
        <f>база!$M$6</f>
        <v>279.0496</v>
      </c>
      <c r="V731" s="464">
        <v>1.4</v>
      </c>
      <c r="W731" s="465">
        <f>SUMIFS(Таблица1[Столбец1],Таблица1[коэф],"1,4",Таблица1[р/р],"5/24",Таблица1[Ф. И. О.],B726)</f>
        <v>0</v>
      </c>
      <c r="X731" s="513">
        <f t="shared" si="249"/>
        <v>0</v>
      </c>
      <c r="Y731" s="796"/>
      <c r="Z731" s="798"/>
      <c r="AA731" s="787"/>
    </row>
    <row r="732" spans="1:29" ht="18.75">
      <c r="A732" s="785">
        <v>67</v>
      </c>
      <c r="B732" s="216"/>
      <c r="C732" s="788">
        <f>INDEX(база!$E$2:$E$181, MATCH(B737,база!$B$2:$B$160,0))</f>
        <v>17324</v>
      </c>
      <c r="D732" s="791">
        <f>INDEX(база!$D$2:$D$189, MATCH(B737,база!$B$2:$B$160,0))</f>
        <v>3</v>
      </c>
      <c r="E732" s="377">
        <f>IF(D732&lt;=3,база!$I$4,
IF(D732=4,база!$I$5,
IF(D732=5,база!$I$6)))</f>
        <v>188.7912</v>
      </c>
      <c r="F732" s="378">
        <v>1</v>
      </c>
      <c r="G732" s="387">
        <f>SUMIFS(Таблица1[Столбец1],Таблица1[коэф],"1",Таблица1[р/р],"2/4",Таблица1[Ф. И. О.],B737)</f>
        <v>0</v>
      </c>
      <c r="H732" s="402">
        <f t="shared" si="246"/>
        <v>0</v>
      </c>
      <c r="I732" s="452">
        <f>IF(D732&lt;=3,база!$J$4,
IF(D732=4,база!$J$5,
IF(D732=5,база!$J$6)))</f>
        <v>196.05240000000001</v>
      </c>
      <c r="J732" s="475">
        <v>1</v>
      </c>
      <c r="K732" s="453">
        <f>SUMIFS(Таблица1[Столбец1],Таблица1[коэф],"1",Таблица1[р/р],"2/8",Таблица1[Ф. И. О.],B737)</f>
        <v>0</v>
      </c>
      <c r="L732" s="484">
        <f t="shared" si="247"/>
        <v>0</v>
      </c>
      <c r="M732" s="453"/>
      <c r="N732" s="453">
        <v>1</v>
      </c>
      <c r="O732" s="453">
        <f>SUMIFS(Data_Tech!$AM$3:$AM$67,Data_Tech!$E$3:$E$67,"1",Data_Tech!$G$3:$G$67,"3/12",Data_Tech!$F$3:$F$67,B737)</f>
        <v>0</v>
      </c>
      <c r="P732" s="398">
        <f>ROUND(M732*N732*O732,2)</f>
        <v>0</v>
      </c>
      <c r="Q732" s="377">
        <f>IF(D732&lt;=3,база!$L$4,
IF(D732=4,база!$L$5,
IF(D732=5,база!$L$6)))</f>
        <v>210.57480000000001</v>
      </c>
      <c r="R732" s="378">
        <v>1</v>
      </c>
      <c r="S732" s="387">
        <f>SUMIFS(Таблица1[Столбец1],Таблица1[коэф],"1",Таблица1[р/р],"3/16",Таблица1[Ф. И. О.],B737)</f>
        <v>0</v>
      </c>
      <c r="T732" s="490">
        <f t="shared" si="248"/>
        <v>0</v>
      </c>
      <c r="U732" s="483">
        <f>IF(D732&lt;=3,база!$M$4,
IF(D732=4,база!$M$5,
IF(D732=5,база!$M$6)))</f>
        <v>225.09719999999999</v>
      </c>
      <c r="V732" s="417">
        <v>1</v>
      </c>
      <c r="W732" s="455">
        <f>SUMIFS(Таблица1[Столбец1],Таблица1[коэф],"1",Таблица1[р/р],"3/24",Таблица1[Ф. И. О.],B737)</f>
        <v>0</v>
      </c>
      <c r="X732" s="492">
        <f t="shared" si="249"/>
        <v>0</v>
      </c>
      <c r="Y732" s="795">
        <f t="shared" ref="Y732" si="256">SUM(G732:G742,K732:K742,O732:O742,S732:S742,W732:W742)</f>
        <v>0</v>
      </c>
      <c r="Z732" s="797">
        <f t="shared" ref="Z732" si="257">IFERROR(SUM(H732:H742,L732:L742,T732:T742,X732:X742),"")</f>
        <v>0</v>
      </c>
      <c r="AA732" s="786"/>
    </row>
    <row r="733" spans="1:29" ht="18.75">
      <c r="A733" s="786"/>
      <c r="B733" s="216"/>
      <c r="C733" s="789"/>
      <c r="D733" s="792"/>
      <c r="E733" s="389">
        <f>IF(D732&lt;=3,база!$I$4,
IF(D732=4,база!$I$5,
IF(D732=5,база!$I$6)))</f>
        <v>188.7912</v>
      </c>
      <c r="F733" s="390">
        <v>1</v>
      </c>
      <c r="G733" s="400">
        <f>SUMIFS(Таблица1[Столбец1],Таблица1[коэф],"1",Таблица1[р/р],"3/4",Таблица1[Ф. И. О.],B737)</f>
        <v>0</v>
      </c>
      <c r="H733" s="392">
        <f t="shared" si="246"/>
        <v>0</v>
      </c>
      <c r="I733" s="432">
        <f>IF(D732&lt;=3,база!$J$4,
IF(D732=4,база!$J$5,
IF(D732=5,база!$J$6)))</f>
        <v>196.05240000000001</v>
      </c>
      <c r="J733" s="433">
        <v>1</v>
      </c>
      <c r="K733" s="434">
        <f>SUMIFS(Таблица1[Столбец1],Таблица1[коэф],"1",Таблица1[р/р],"3/8",Таблица1[Ф. И. О.],B737)</f>
        <v>0</v>
      </c>
      <c r="L733" s="484">
        <f t="shared" si="247"/>
        <v>0</v>
      </c>
      <c r="M733" s="434"/>
      <c r="N733" s="434">
        <v>1</v>
      </c>
      <c r="O733" s="434">
        <f>SUMIFS(Data_Tech!$AM$3:$AM$67,Data_Tech!$E$3:$E$67,"1",Data_Tech!$G$3:$G$67,"4/12",Data_Tech!$F$3:$F$67,B737)</f>
        <v>0</v>
      </c>
      <c r="P733" s="406">
        <f>ROUND(M733*O733,2)</f>
        <v>0</v>
      </c>
      <c r="Q733" s="389">
        <f>база!$L$5</f>
        <v>231.45480000000001</v>
      </c>
      <c r="R733" s="390">
        <v>1</v>
      </c>
      <c r="S733" s="400">
        <f>SUMIFS(Таблица1[Столбец1],Таблица1[коэф],"1",Таблица1[р/р],"4/16",Таблица1[Ф. И. О.],B737)</f>
        <v>0</v>
      </c>
      <c r="T733" s="492">
        <f t="shared" si="248"/>
        <v>0</v>
      </c>
      <c r="U733" s="478">
        <f>база!$M$5</f>
        <v>247.41720000000001</v>
      </c>
      <c r="V733" s="390">
        <v>1</v>
      </c>
      <c r="W733" s="412">
        <f>SUMIFS(Таблица1[Столбец1],Таблица1[коэф],"1",Таблица1[р/р],"4/24",Таблица1[Ф. И. О.],B737)</f>
        <v>0</v>
      </c>
      <c r="X733" s="492">
        <f t="shared" si="249"/>
        <v>0</v>
      </c>
      <c r="Y733" s="795"/>
      <c r="Z733" s="797"/>
      <c r="AA733" s="786"/>
    </row>
    <row r="734" spans="1:29" ht="18.75">
      <c r="A734" s="786"/>
      <c r="B734" s="216"/>
      <c r="C734" s="789"/>
      <c r="D734" s="792"/>
      <c r="E734" s="389"/>
      <c r="F734" s="390"/>
      <c r="G734" s="400"/>
      <c r="H734" s="392">
        <f t="shared" si="246"/>
        <v>0</v>
      </c>
      <c r="I734" s="432"/>
      <c r="J734" s="433"/>
      <c r="K734" s="434"/>
      <c r="L734" s="484">
        <f t="shared" si="247"/>
        <v>0</v>
      </c>
      <c r="M734" s="434"/>
      <c r="N734" s="434"/>
      <c r="O734" s="434"/>
      <c r="P734" s="406"/>
      <c r="Q734" s="389">
        <f>база!$L$6</f>
        <v>261.04640000000001</v>
      </c>
      <c r="R734" s="390">
        <v>1</v>
      </c>
      <c r="S734" s="400">
        <f>SUMIFS(Таблица1[Столбец1],Таблица1[коэф],"1",Таблица1[р/р],"5/16",Таблица1[Ф. И. О.],B737)</f>
        <v>0</v>
      </c>
      <c r="T734" s="492">
        <f t="shared" si="248"/>
        <v>0</v>
      </c>
      <c r="U734" s="478">
        <f>база!$M$6</f>
        <v>279.0496</v>
      </c>
      <c r="V734" s="390">
        <v>1</v>
      </c>
      <c r="W734" s="412">
        <f>SUMIFS(Таблица1[Столбец1],Таблица1[коэф],"1",Таблица1[р/р],"5/24",Таблица1[Ф. И. О.],B737)</f>
        <v>0</v>
      </c>
      <c r="X734" s="492">
        <f t="shared" si="249"/>
        <v>0</v>
      </c>
      <c r="Y734" s="795"/>
      <c r="Z734" s="797"/>
      <c r="AA734" s="786"/>
    </row>
    <row r="735" spans="1:29" ht="18.75">
      <c r="A735" s="786"/>
      <c r="B735" s="216"/>
      <c r="C735" s="789"/>
      <c r="D735" s="792"/>
      <c r="E735" s="389"/>
      <c r="F735" s="390"/>
      <c r="G735" s="400"/>
      <c r="H735" s="392">
        <f t="shared" si="246"/>
        <v>0</v>
      </c>
      <c r="I735" s="432">
        <f>база!$J$5</f>
        <v>215.4924</v>
      </c>
      <c r="J735" s="433">
        <v>1.5</v>
      </c>
      <c r="K735" s="434">
        <f>SUMIFS(Таблица1[Столбец1],Таблица1[коэф],"1,5",Таблица1[р/р],"4/8",Таблица1[Ф. И. О.],B737)</f>
        <v>0</v>
      </c>
      <c r="L735" s="484">
        <f t="shared" si="247"/>
        <v>0</v>
      </c>
      <c r="M735" s="434"/>
      <c r="N735" s="434"/>
      <c r="O735" s="434"/>
      <c r="P735" s="406"/>
      <c r="Q735" s="389">
        <f>IF(D732&lt;=3,база!$L$4,
IF(D732=4,база!$L$5,
IF(D732=5,база!$L$6)))</f>
        <v>210.57480000000001</v>
      </c>
      <c r="R735" s="390">
        <v>1.2</v>
      </c>
      <c r="S735" s="400">
        <f>SUMIFS(Таблица1[Столбец1],Таблица1[коэф],"1,2",Таблица1[р/р],"3/16",Таблица1[Ф. И. О.],B737)</f>
        <v>0</v>
      </c>
      <c r="T735" s="492">
        <f t="shared" si="248"/>
        <v>0</v>
      </c>
      <c r="U735" s="478">
        <f>IF(D732&lt;=3,база!$M$4,
IF(D732=4,база!$M$5,
IF(D732=5,база!$M$6)))</f>
        <v>225.09719999999999</v>
      </c>
      <c r="V735" s="390">
        <v>1.2</v>
      </c>
      <c r="W735" s="412">
        <f>SUMIFS(Таблица1[Столбец1],Таблица1[коэф],"1,2",Таблица1[р/р],"3/24",Таблица1[Ф. И. О.],B737)</f>
        <v>0</v>
      </c>
      <c r="X735" s="492">
        <f t="shared" si="249"/>
        <v>0</v>
      </c>
      <c r="Y735" s="795"/>
      <c r="Z735" s="797"/>
      <c r="AA735" s="786"/>
    </row>
    <row r="736" spans="1:29" ht="18.75">
      <c r="A736" s="786"/>
      <c r="B736" s="216"/>
      <c r="C736" s="789"/>
      <c r="D736" s="792"/>
      <c r="E736" s="389"/>
      <c r="F736" s="390"/>
      <c r="G736" s="400"/>
      <c r="H736" s="392">
        <f t="shared" si="246"/>
        <v>0</v>
      </c>
      <c r="I736" s="432">
        <f>база!$J$6</f>
        <v>243.04319999999998</v>
      </c>
      <c r="J736" s="433">
        <v>1.5</v>
      </c>
      <c r="K736" s="434">
        <f>SUMIFS(Таблица1[Столбец1],Таблица1[коэф],"1,5",Таблица1[р/р],"5/8",Таблица1[Ф. И. О.],B737)</f>
        <v>0</v>
      </c>
      <c r="L736" s="484">
        <f t="shared" si="247"/>
        <v>0</v>
      </c>
      <c r="M736" s="434"/>
      <c r="N736" s="434"/>
      <c r="O736" s="434"/>
      <c r="P736" s="406"/>
      <c r="Q736" s="389">
        <f>база!$L$5</f>
        <v>231.45480000000001</v>
      </c>
      <c r="R736" s="390">
        <v>1.2</v>
      </c>
      <c r="S736" s="400">
        <f>SUMIFS(Таблица1[Столбец1],Таблица1[коэф],"1,2",Таблица1[р/р],"4/16",Таблица1[Ф. И. О.],B737)</f>
        <v>0</v>
      </c>
      <c r="T736" s="492">
        <f t="shared" si="248"/>
        <v>0</v>
      </c>
      <c r="U736" s="478">
        <f>база!$M$5</f>
        <v>247.41720000000001</v>
      </c>
      <c r="V736" s="390">
        <v>1.2</v>
      </c>
      <c r="W736" s="412">
        <f>SUMIFS(Таблица1[Столбец1],Таблица1[коэф],"1,2",Таблица1[р/р],"4/24",Таблица1[Ф. И. О.],B737)</f>
        <v>0</v>
      </c>
      <c r="X736" s="492">
        <f t="shared" si="249"/>
        <v>0</v>
      </c>
      <c r="Y736" s="795"/>
      <c r="Z736" s="797"/>
      <c r="AA736" s="786"/>
    </row>
    <row r="737" spans="1:29" ht="18.75">
      <c r="A737" s="786"/>
      <c r="B737" s="216" t="str">
        <f>база!B68</f>
        <v>Саидова Ольга Владимировна</v>
      </c>
      <c r="C737" s="789"/>
      <c r="D737" s="792"/>
      <c r="E737" s="389"/>
      <c r="F737" s="390"/>
      <c r="G737" s="400"/>
      <c r="H737" s="392">
        <f t="shared" si="246"/>
        <v>0</v>
      </c>
      <c r="I737" s="432"/>
      <c r="J737" s="433"/>
      <c r="K737" s="434"/>
      <c r="L737" s="484">
        <f t="shared" si="247"/>
        <v>0</v>
      </c>
      <c r="M737" s="434"/>
      <c r="N737" s="434"/>
      <c r="O737" s="434"/>
      <c r="P737" s="406"/>
      <c r="Q737" s="389">
        <f>база!$L$6</f>
        <v>261.04640000000001</v>
      </c>
      <c r="R737" s="390">
        <v>1.2</v>
      </c>
      <c r="S737" s="400">
        <f>SUMIFS(Таблица1[Столбец1],Таблица1[коэф],"1,2",Таблица1[р/р],"5/16",Таблица1[Ф. И. О.],B737)</f>
        <v>0</v>
      </c>
      <c r="T737" s="492">
        <f t="shared" si="248"/>
        <v>0</v>
      </c>
      <c r="U737" s="478">
        <f>база!$M$6</f>
        <v>279.0496</v>
      </c>
      <c r="V737" s="390">
        <v>1.2</v>
      </c>
      <c r="W737" s="412">
        <f>SUMIFS(Таблица1[Столбец1],Таблица1[коэф],"1,2",Таблица1[р/р],"5/24",Таблица1[Ф. И. О.],B737)</f>
        <v>0</v>
      </c>
      <c r="X737" s="492">
        <f t="shared" si="249"/>
        <v>0</v>
      </c>
      <c r="Y737" s="795"/>
      <c r="Z737" s="797"/>
      <c r="AA737" s="786"/>
      <c r="AC737" s="727" t="str">
        <f>IF(SUMIFS(Таблица1[Столбец3],Таблица1[Ф. И. О.],B737)-Z732=0,"",SUMIFS(Таблица1[Столбец3],Таблица1[Ф. И. О.],B737)-Z732)</f>
        <v/>
      </c>
    </row>
    <row r="738" spans="1:29" ht="18.75">
      <c r="A738" s="786"/>
      <c r="B738" s="216"/>
      <c r="C738" s="789"/>
      <c r="D738" s="792"/>
      <c r="E738" s="389"/>
      <c r="F738" s="390"/>
      <c r="G738" s="400"/>
      <c r="H738" s="392">
        <f t="shared" si="246"/>
        <v>0</v>
      </c>
      <c r="I738" s="432"/>
      <c r="J738" s="433"/>
      <c r="K738" s="434"/>
      <c r="L738" s="484">
        <f t="shared" si="247"/>
        <v>0</v>
      </c>
      <c r="M738" s="434"/>
      <c r="N738" s="434"/>
      <c r="O738" s="434"/>
      <c r="P738" s="406"/>
      <c r="Q738" s="389">
        <f>IF($D$6&lt;=3,база!$L$4,
IF($D$6=4,база!$L$5,
IF($D$6=5,база!$L$6)))</f>
        <v>231.45480000000001</v>
      </c>
      <c r="R738" s="390">
        <v>1.3</v>
      </c>
      <c r="S738" s="400">
        <f>SUMIFS(Таблица1[Столбец1],Таблица1[коэф],"1,3",Таблица1[р/р],"3/16",Таблица1[Ф. И. О.],B737)</f>
        <v>0</v>
      </c>
      <c r="T738" s="492">
        <f t="shared" si="248"/>
        <v>0</v>
      </c>
      <c r="U738" s="478">
        <f>IF(D732&lt;=3,база!$M$4,
IF(D732=4,база!$M$5,
IF(D732=5,база!$M$6)))</f>
        <v>225.09719999999999</v>
      </c>
      <c r="V738" s="390">
        <v>1.3</v>
      </c>
      <c r="W738" s="412">
        <f>SUMIFS(Таблица1[Столбец1],Таблица1[коэф],"1,3",Таблица1[р/р],"3/24",Таблица1[Ф. И. О.],B737)</f>
        <v>0</v>
      </c>
      <c r="X738" s="492">
        <f t="shared" si="249"/>
        <v>0</v>
      </c>
      <c r="Y738" s="795"/>
      <c r="Z738" s="797"/>
      <c r="AA738" s="786"/>
      <c r="AC738" s="727" t="str">
        <f>IF(SUMIFS(Таблица1[Столбец1],Таблица1[Ф. И. О.],B737)=Y732,"",B737&amp;"  часы не верны")</f>
        <v/>
      </c>
    </row>
    <row r="739" spans="1:29" ht="18.75">
      <c r="A739" s="786"/>
      <c r="B739" s="216"/>
      <c r="C739" s="789"/>
      <c r="D739" s="792"/>
      <c r="E739" s="389"/>
      <c r="F739" s="390"/>
      <c r="G739" s="400"/>
      <c r="H739" s="392">
        <f t="shared" si="246"/>
        <v>0</v>
      </c>
      <c r="I739" s="432"/>
      <c r="J739" s="433"/>
      <c r="K739" s="434"/>
      <c r="L739" s="484">
        <f t="shared" si="247"/>
        <v>0</v>
      </c>
      <c r="M739" s="434"/>
      <c r="N739" s="434"/>
      <c r="O739" s="434"/>
      <c r="P739" s="406"/>
      <c r="Q739" s="389">
        <f>база!$L$5</f>
        <v>231.45480000000001</v>
      </c>
      <c r="R739" s="390">
        <v>1.3</v>
      </c>
      <c r="S739" s="400">
        <f>SUMIFS(Таблица1[Столбец1],Таблица1[коэф],"1,3",Таблица1[р/р],"4/16",Таблица1[Ф. И. О.],B737)</f>
        <v>0</v>
      </c>
      <c r="T739" s="492">
        <f t="shared" si="248"/>
        <v>0</v>
      </c>
      <c r="U739" s="478">
        <f>база!$M$5</f>
        <v>247.41720000000001</v>
      </c>
      <c r="V739" s="390">
        <v>1.3</v>
      </c>
      <c r="W739" s="412">
        <f>SUMIFS(Таблица1[Столбец1],Таблица1[коэф],"1,3",Таблица1[р/р],"4/24",Таблица1[Ф. И. О.],B737)</f>
        <v>0</v>
      </c>
      <c r="X739" s="492">
        <f t="shared" si="249"/>
        <v>0</v>
      </c>
      <c r="Y739" s="795"/>
      <c r="Z739" s="797"/>
      <c r="AA739" s="786"/>
    </row>
    <row r="740" spans="1:29" ht="18.75">
      <c r="A740" s="786"/>
      <c r="B740" s="216"/>
      <c r="C740" s="789"/>
      <c r="D740" s="792"/>
      <c r="E740" s="389"/>
      <c r="F740" s="390"/>
      <c r="G740" s="400"/>
      <c r="H740" s="392">
        <f t="shared" si="246"/>
        <v>0</v>
      </c>
      <c r="I740" s="432"/>
      <c r="J740" s="433"/>
      <c r="K740" s="434"/>
      <c r="L740" s="484">
        <f t="shared" si="247"/>
        <v>0</v>
      </c>
      <c r="M740" s="434"/>
      <c r="N740" s="434"/>
      <c r="O740" s="434"/>
      <c r="P740" s="406"/>
      <c r="Q740" s="389">
        <f>IF(D732&lt;=3,база!$L$4,
IF(D732=4,база!$L$5,
IF(D732=5,база!$L$6)))</f>
        <v>210.57480000000001</v>
      </c>
      <c r="R740" s="390">
        <v>1.4</v>
      </c>
      <c r="S740" s="400">
        <f>SUMIFS(Таблица1[Столбец1],Таблица1[коэф],"1,4",Таблица1[р/р],"3/16",Таблица1[Ф. И. О.],B737)</f>
        <v>0</v>
      </c>
      <c r="T740" s="492">
        <f t="shared" si="248"/>
        <v>0</v>
      </c>
      <c r="U740" s="478">
        <f>IF(D732&lt;=3,база!$M$4,
IF(D732=4,база!$M$5,
IF(D732=5,база!$M$6)))</f>
        <v>225.09719999999999</v>
      </c>
      <c r="V740" s="390">
        <v>1.4</v>
      </c>
      <c r="W740" s="412">
        <f>SUMIFS(Таблица1[Столбец1],Таблица1[коэф],"1,4",Таблица1[р/р],"3/24",Таблица1[Ф. И. О.],B737)</f>
        <v>0</v>
      </c>
      <c r="X740" s="492">
        <f t="shared" si="249"/>
        <v>0</v>
      </c>
      <c r="Y740" s="795"/>
      <c r="Z740" s="797"/>
      <c r="AA740" s="786"/>
    </row>
    <row r="741" spans="1:29" ht="18.75">
      <c r="A741" s="786"/>
      <c r="B741" s="216"/>
      <c r="C741" s="789"/>
      <c r="D741" s="792"/>
      <c r="E741" s="389"/>
      <c r="F741" s="390"/>
      <c r="G741" s="400"/>
      <c r="H741" s="392">
        <f t="shared" si="246"/>
        <v>0</v>
      </c>
      <c r="I741" s="432"/>
      <c r="J741" s="433"/>
      <c r="K741" s="434"/>
      <c r="L741" s="484">
        <f t="shared" si="247"/>
        <v>0</v>
      </c>
      <c r="M741" s="434"/>
      <c r="N741" s="434"/>
      <c r="O741" s="434"/>
      <c r="P741" s="406"/>
      <c r="Q741" s="389">
        <f>база!$L$5</f>
        <v>231.45480000000001</v>
      </c>
      <c r="R741" s="390">
        <v>1.4</v>
      </c>
      <c r="S741" s="400">
        <f>SUMIFS(Таблица1[Столбец1],Таблица1[коэф],"1,4",Таблица1[р/р],"4/16",Таблица1[Ф. И. О.],B737)</f>
        <v>0</v>
      </c>
      <c r="T741" s="492">
        <f t="shared" si="248"/>
        <v>0</v>
      </c>
      <c r="U741" s="478">
        <f>база!$M$5</f>
        <v>247.41720000000001</v>
      </c>
      <c r="V741" s="390">
        <v>1.4</v>
      </c>
      <c r="W741" s="412">
        <f>SUMIFS(Таблица1[Столбец1],Таблица1[коэф],"1,4",Таблица1[р/р],"4/24",Таблица1[Ф. И. О.],B737)</f>
        <v>0</v>
      </c>
      <c r="X741" s="492">
        <f t="shared" si="249"/>
        <v>0</v>
      </c>
      <c r="Y741" s="795"/>
      <c r="Z741" s="797"/>
      <c r="AA741" s="786"/>
    </row>
    <row r="742" spans="1:29" ht="19.5" thickBot="1">
      <c r="A742" s="787"/>
      <c r="B742" s="352"/>
      <c r="C742" s="790"/>
      <c r="D742" s="793"/>
      <c r="E742" s="481"/>
      <c r="F742" s="417"/>
      <c r="G742" s="486"/>
      <c r="H742" s="468">
        <f t="shared" si="246"/>
        <v>0</v>
      </c>
      <c r="I742" s="651"/>
      <c r="J742" s="456"/>
      <c r="K742" s="652"/>
      <c r="L742" s="458">
        <f t="shared" si="247"/>
        <v>0</v>
      </c>
      <c r="M742" s="651"/>
      <c r="N742" s="652"/>
      <c r="O742" s="652"/>
      <c r="P742" s="476"/>
      <c r="Q742" s="658">
        <f>база!$L$6</f>
        <v>261.04640000000001</v>
      </c>
      <c r="R742" s="464">
        <v>1.4</v>
      </c>
      <c r="S742" s="465">
        <f>SUMIFS(Таблица1[Столбец1],Таблица1[коэф],"1,4",Таблица1[р/р],"5/16",Таблица1[Ф. И. О.],B737)</f>
        <v>0</v>
      </c>
      <c r="T742" s="513">
        <f t="shared" si="248"/>
        <v>0</v>
      </c>
      <c r="U742" s="463">
        <f>база!$M$6</f>
        <v>279.0496</v>
      </c>
      <c r="V742" s="464">
        <v>1.4</v>
      </c>
      <c r="W742" s="465">
        <f>SUMIFS(Таблица1[Столбец1],Таблица1[коэф],"1,4",Таблица1[р/р],"5/24",Таблица1[Ф. И. О.],B737)</f>
        <v>0</v>
      </c>
      <c r="X742" s="513">
        <f t="shared" si="249"/>
        <v>0</v>
      </c>
      <c r="Y742" s="796"/>
      <c r="Z742" s="798"/>
      <c r="AA742" s="787"/>
    </row>
    <row r="743" spans="1:29" ht="18.75">
      <c r="A743" s="785">
        <v>68</v>
      </c>
      <c r="B743" s="216"/>
      <c r="C743" s="788">
        <f>INDEX(база!$E$2:$E$181, MATCH(B748,база!$B$2:$B$160,0))</f>
        <v>17102</v>
      </c>
      <c r="D743" s="791">
        <f>INDEX(база!$D$2:$D$189, MATCH(B748,база!$B$2:$B$160,0))</f>
        <v>3</v>
      </c>
      <c r="E743" s="377">
        <f>IF(D743&lt;=3,база!$I$4,
IF(D743=4,база!$I$5,
IF(D743=5,база!$I$6)))</f>
        <v>188.7912</v>
      </c>
      <c r="F743" s="378">
        <v>1</v>
      </c>
      <c r="G743" s="387">
        <f>SUMIFS(Таблица1[Столбец1],Таблица1[коэф],"1",Таблица1[р/р],"2/4",Таблица1[Ф. И. О.],B748)</f>
        <v>0</v>
      </c>
      <c r="H743" s="402">
        <f t="shared" si="246"/>
        <v>0</v>
      </c>
      <c r="I743" s="452">
        <f>IF(D743&lt;=3,база!$J$4,
IF(D743=4,база!$J$5,
IF(D743=5,база!$J$6)))</f>
        <v>196.05240000000001</v>
      </c>
      <c r="J743" s="475">
        <v>1</v>
      </c>
      <c r="K743" s="453">
        <f>SUMIFS(Таблица1[Столбец1],Таблица1[коэф],"1",Таблица1[р/р],"2/8",Таблица1[Ф. И. О.],B748)</f>
        <v>0</v>
      </c>
      <c r="L743" s="484">
        <f t="shared" si="247"/>
        <v>0</v>
      </c>
      <c r="M743" s="453"/>
      <c r="N743" s="453">
        <v>1</v>
      </c>
      <c r="O743" s="453">
        <f>SUMIFS(Data_Tech!$AM$3:$AM$67,Data_Tech!$E$3:$E$67,"1",Data_Tech!$G$3:$G$67,"3/12",Data_Tech!$F$3:$F$67,B748)</f>
        <v>0</v>
      </c>
      <c r="P743" s="398">
        <f>ROUND(M743*N743*O743,2)</f>
        <v>0</v>
      </c>
      <c r="Q743" s="481">
        <f>IF(D743&lt;=3,база!$L$4,
IF(D743=4,база!$L$5,
IF(D743=5,база!$L$6)))</f>
        <v>210.57480000000001</v>
      </c>
      <c r="R743" s="417">
        <v>1</v>
      </c>
      <c r="S743" s="418">
        <f>SUMIFS(Таблица1[Столбец1],Таблица1[коэф],"1",Таблица1[р/р],"3/16",Таблица1[Ф. И. О.],B748)</f>
        <v>0</v>
      </c>
      <c r="T743" s="492">
        <f t="shared" si="248"/>
        <v>0</v>
      </c>
      <c r="U743" s="483">
        <f>IF(D743&lt;=3,база!$M$4,
IF(D743=4,база!$M$5,
IF(D743=5,база!$M$6)))</f>
        <v>225.09719999999999</v>
      </c>
      <c r="V743" s="417">
        <v>1</v>
      </c>
      <c r="W743" s="455">
        <f>SUMIFS(Таблица1[Столбец1],Таблица1[коэф],"1",Таблица1[р/р],"3/24",Таблица1[Ф. И. О.],B748)</f>
        <v>0</v>
      </c>
      <c r="X743" s="492">
        <f t="shared" si="249"/>
        <v>0</v>
      </c>
      <c r="Y743" s="795">
        <f>SUM(G743:G753,K743:K753,O743:O753,S743:S753,W743:W753)</f>
        <v>0</v>
      </c>
      <c r="Z743" s="797">
        <f t="shared" ref="Z743" si="258">IFERROR(SUM(H743:H753,L743:L753,T743:T753,X743:X753),"")</f>
        <v>0</v>
      </c>
      <c r="AA743" s="786"/>
    </row>
    <row r="744" spans="1:29" ht="18.75">
      <c r="A744" s="786"/>
      <c r="B744" s="216"/>
      <c r="C744" s="789"/>
      <c r="D744" s="792"/>
      <c r="E744" s="389">
        <f>IF(D743&lt;=3,база!$I$4,
IF(D743=4,база!$I$5,
IF(D743=5,база!$I$6)))</f>
        <v>188.7912</v>
      </c>
      <c r="F744" s="390">
        <v>1</v>
      </c>
      <c r="G744" s="400">
        <f>SUMIFS(Таблица1[Столбец1],Таблица1[коэф],"1",Таблица1[р/р],"3/4",Таблица1[Ф. И. О.],B748)</f>
        <v>0</v>
      </c>
      <c r="H744" s="392">
        <f>ROUND(E744*F744*G744*2,2)</f>
        <v>0</v>
      </c>
      <c r="I744" s="432">
        <f>IF(D743&lt;=3,база!$J$4,
IF(D743=4,база!$J$5,
IF(D743=5,база!$J$6)))</f>
        <v>196.05240000000001</v>
      </c>
      <c r="J744" s="433">
        <v>1</v>
      </c>
      <c r="K744" s="434">
        <f>SUMIFS(Таблица1[Столбец1],Таблица1[коэф],"1",Таблица1[р/р],"3/8",Таблица1[Ф. И. О.],B748)</f>
        <v>0</v>
      </c>
      <c r="L744" s="484">
        <f t="shared" si="247"/>
        <v>0</v>
      </c>
      <c r="M744" s="434"/>
      <c r="N744" s="434">
        <v>1</v>
      </c>
      <c r="O744" s="434">
        <f>SUMIFS(Data_Tech!$AM$3:$AM$67,Data_Tech!$E$3:$E$67,"1",Data_Tech!$G$3:$G$67,"4/12",Data_Tech!$F$3:$F$67,B748)</f>
        <v>0</v>
      </c>
      <c r="P744" s="406">
        <f>ROUND(M744*O744,2)</f>
        <v>0</v>
      </c>
      <c r="Q744" s="389">
        <f>база!$L$5</f>
        <v>231.45480000000001</v>
      </c>
      <c r="R744" s="390">
        <v>1</v>
      </c>
      <c r="S744" s="400">
        <f>SUMIFS(Таблица1[Столбец1],Таблица1[коэф],"1",Таблица1[р/р],"4/16",Таблица1[Ф. И. О.],B748)</f>
        <v>0</v>
      </c>
      <c r="T744" s="492">
        <f t="shared" si="248"/>
        <v>0</v>
      </c>
      <c r="U744" s="478">
        <f>база!$M$5</f>
        <v>247.41720000000001</v>
      </c>
      <c r="V744" s="390">
        <v>1</v>
      </c>
      <c r="W744" s="412">
        <f>SUMIFS(Таблица1[Столбец1],Таблица1[коэф],"1",Таблица1[р/р],"4/24",Таблица1[Ф. И. О.],B748)</f>
        <v>0</v>
      </c>
      <c r="X744" s="492">
        <f t="shared" si="249"/>
        <v>0</v>
      </c>
      <c r="Y744" s="795"/>
      <c r="Z744" s="797"/>
      <c r="AA744" s="786"/>
    </row>
    <row r="745" spans="1:29" ht="18.75">
      <c r="A745" s="786"/>
      <c r="B745" s="216"/>
      <c r="C745" s="789"/>
      <c r="D745" s="792"/>
      <c r="E745" s="389"/>
      <c r="F745" s="390"/>
      <c r="G745" s="400"/>
      <c r="H745" s="392">
        <f t="shared" si="246"/>
        <v>0</v>
      </c>
      <c r="I745" s="432"/>
      <c r="J745" s="433"/>
      <c r="K745" s="434"/>
      <c r="L745" s="484">
        <f t="shared" si="247"/>
        <v>0</v>
      </c>
      <c r="M745" s="434"/>
      <c r="N745" s="434"/>
      <c r="O745" s="434"/>
      <c r="P745" s="406"/>
      <c r="Q745" s="389">
        <f>база!$L$6</f>
        <v>261.04640000000001</v>
      </c>
      <c r="R745" s="390">
        <v>1</v>
      </c>
      <c r="S745" s="400">
        <f>SUMIFS(Таблица1[Столбец1],Таблица1[коэф],"1",Таблица1[р/р],"5/16",Таблица1[Ф. И. О.],B748)</f>
        <v>0</v>
      </c>
      <c r="T745" s="492">
        <f t="shared" si="248"/>
        <v>0</v>
      </c>
      <c r="U745" s="478">
        <f>база!$M$6</f>
        <v>279.0496</v>
      </c>
      <c r="V745" s="390">
        <v>1</v>
      </c>
      <c r="W745" s="412">
        <f>SUMIFS(Таблица1[Столбец1],Таблица1[коэф],"1",Таблица1[р/р],"5/24",Таблица1[Ф. И. О.],B748)</f>
        <v>0</v>
      </c>
      <c r="X745" s="492">
        <f t="shared" si="249"/>
        <v>0</v>
      </c>
      <c r="Y745" s="795"/>
      <c r="Z745" s="797"/>
      <c r="AA745" s="786"/>
    </row>
    <row r="746" spans="1:29" ht="18.75">
      <c r="A746" s="786"/>
      <c r="B746" s="216"/>
      <c r="C746" s="789"/>
      <c r="D746" s="792"/>
      <c r="E746" s="389"/>
      <c r="F746" s="390"/>
      <c r="G746" s="400"/>
      <c r="H746" s="392">
        <f t="shared" si="246"/>
        <v>0</v>
      </c>
      <c r="I746" s="432">
        <f>база!$J$5</f>
        <v>215.4924</v>
      </c>
      <c r="J746" s="433">
        <v>1.5</v>
      </c>
      <c r="K746" s="434">
        <f>SUMIFS(Таблица1[Столбец1],Таблица1[коэф],"1,5",Таблица1[р/р],"4/8",Таблица1[Ф. И. О.],B748)</f>
        <v>0</v>
      </c>
      <c r="L746" s="484">
        <f t="shared" si="247"/>
        <v>0</v>
      </c>
      <c r="M746" s="434"/>
      <c r="N746" s="434"/>
      <c r="O746" s="434"/>
      <c r="P746" s="406"/>
      <c r="Q746" s="389">
        <f>IF(D743&lt;=3,база!$L$4,
IF(D743=4,база!$L$5,
IF(D743=5,база!$L$6)))</f>
        <v>210.57480000000001</v>
      </c>
      <c r="R746" s="390">
        <v>1.2</v>
      </c>
      <c r="S746" s="400">
        <f>SUMIFS(Таблица1[Столбец1],Таблица1[коэф],"1,2",Таблица1[р/р],"3/16",Таблица1[Ф. И. О.],B748)</f>
        <v>0</v>
      </c>
      <c r="T746" s="492">
        <f t="shared" si="248"/>
        <v>0</v>
      </c>
      <c r="U746" s="478">
        <f>IF(D743&lt;=3,база!$M$4,
IF(D743=4,база!$M$5,
IF(D743=5,база!$M$6)))</f>
        <v>225.09719999999999</v>
      </c>
      <c r="V746" s="390">
        <v>1.2</v>
      </c>
      <c r="W746" s="412">
        <f>SUMIFS(Таблица1[Столбец1],Таблица1[коэф],"1,2",Таблица1[р/р],"3/24",Таблица1[Ф. И. О.],B748)</f>
        <v>0</v>
      </c>
      <c r="X746" s="492">
        <f t="shared" si="249"/>
        <v>0</v>
      </c>
      <c r="Y746" s="795"/>
      <c r="Z746" s="797"/>
      <c r="AA746" s="786"/>
    </row>
    <row r="747" spans="1:29" ht="18.75">
      <c r="A747" s="786"/>
      <c r="B747" s="216"/>
      <c r="C747" s="789"/>
      <c r="D747" s="792"/>
      <c r="E747" s="389"/>
      <c r="F747" s="390"/>
      <c r="G747" s="400"/>
      <c r="H747" s="392">
        <f t="shared" si="246"/>
        <v>0</v>
      </c>
      <c r="I747" s="432">
        <f>база!$J$6</f>
        <v>243.04319999999998</v>
      </c>
      <c r="J747" s="433">
        <v>1.5</v>
      </c>
      <c r="K747" s="434">
        <f>SUMIFS(Таблица1[Столбец1],Таблица1[коэф],"1,5",Таблица1[р/р],"5/8",Таблица1[Ф. И. О.],B748)</f>
        <v>0</v>
      </c>
      <c r="L747" s="484">
        <f t="shared" si="247"/>
        <v>0</v>
      </c>
      <c r="M747" s="434"/>
      <c r="N747" s="434"/>
      <c r="O747" s="434"/>
      <c r="P747" s="406"/>
      <c r="Q747" s="389">
        <f>база!$L$5</f>
        <v>231.45480000000001</v>
      </c>
      <c r="R747" s="390">
        <v>1.2</v>
      </c>
      <c r="S747" s="400">
        <f>SUMIFS(Таблица1[Столбец1],Таблица1[коэф],"1,2",Таблица1[р/р],"4/16",Таблица1[Ф. И. О.],B748)</f>
        <v>0</v>
      </c>
      <c r="T747" s="492">
        <f t="shared" si="248"/>
        <v>0</v>
      </c>
      <c r="U747" s="478">
        <f>база!$M$5</f>
        <v>247.41720000000001</v>
      </c>
      <c r="V747" s="390">
        <v>1.2</v>
      </c>
      <c r="W747" s="412">
        <f>SUMIFS(Таблица1[Столбец1],Таблица1[коэф],"1,2",Таблица1[р/р],"4/24",Таблица1[Ф. И. О.],B748)</f>
        <v>0</v>
      </c>
      <c r="X747" s="492">
        <f t="shared" si="249"/>
        <v>0</v>
      </c>
      <c r="Y747" s="795"/>
      <c r="Z747" s="797"/>
      <c r="AA747" s="786"/>
    </row>
    <row r="748" spans="1:29" ht="18.75">
      <c r="A748" s="786"/>
      <c r="B748" s="216" t="str">
        <f>база!B69</f>
        <v>Сайпулаева Феодосия Андреевна</v>
      </c>
      <c r="C748" s="789"/>
      <c r="D748" s="792"/>
      <c r="E748" s="389"/>
      <c r="F748" s="390"/>
      <c r="G748" s="400"/>
      <c r="H748" s="392">
        <f t="shared" si="246"/>
        <v>0</v>
      </c>
      <c r="I748" s="432"/>
      <c r="J748" s="433"/>
      <c r="K748" s="434"/>
      <c r="L748" s="484">
        <f t="shared" si="247"/>
        <v>0</v>
      </c>
      <c r="M748" s="434"/>
      <c r="N748" s="434"/>
      <c r="O748" s="434"/>
      <c r="P748" s="406"/>
      <c r="Q748" s="389">
        <f>база!$L$6</f>
        <v>261.04640000000001</v>
      </c>
      <c r="R748" s="390">
        <v>1.2</v>
      </c>
      <c r="S748" s="400">
        <f>SUMIFS(Таблица1[Столбец1],Таблица1[коэф],"1,2",Таблица1[р/р],"5/16",Таблица1[Ф. И. О.],B748)</f>
        <v>0</v>
      </c>
      <c r="T748" s="492">
        <f t="shared" si="248"/>
        <v>0</v>
      </c>
      <c r="U748" s="478">
        <f>база!$M$6</f>
        <v>279.0496</v>
      </c>
      <c r="V748" s="390">
        <v>1.2</v>
      </c>
      <c r="W748" s="412">
        <f>SUMIFS(Таблица1[Столбец1],Таблица1[коэф],"1,2",Таблица1[р/р],"5/24",Таблица1[Ф. И. О.],B748)</f>
        <v>0</v>
      </c>
      <c r="X748" s="492">
        <f t="shared" si="249"/>
        <v>0</v>
      </c>
      <c r="Y748" s="795"/>
      <c r="Z748" s="797"/>
      <c r="AA748" s="786"/>
      <c r="AC748" s="727" t="str">
        <f>IF(SUMIFS(Таблица1[Столбец3],Таблица1[Ф. И. О.],B748)-Z743=0,"",SUMIFS(Таблица1[Столбец3],Таблица1[Ф. И. О.],B748)-Z743)</f>
        <v/>
      </c>
    </row>
    <row r="749" spans="1:29" ht="18.75">
      <c r="A749" s="786"/>
      <c r="B749" s="216"/>
      <c r="C749" s="789"/>
      <c r="D749" s="792"/>
      <c r="E749" s="389"/>
      <c r="F749" s="390"/>
      <c r="G749" s="400"/>
      <c r="H749" s="392">
        <f t="shared" si="246"/>
        <v>0</v>
      </c>
      <c r="I749" s="432"/>
      <c r="J749" s="433"/>
      <c r="K749" s="434"/>
      <c r="L749" s="484">
        <f t="shared" si="247"/>
        <v>0</v>
      </c>
      <c r="M749" s="434"/>
      <c r="N749" s="434"/>
      <c r="O749" s="434"/>
      <c r="P749" s="406"/>
      <c r="Q749" s="389">
        <f>IF($D$6&lt;=3,база!$L$4,
IF($D$6=4,база!$L$5,
IF($D$6=5,база!$L$6)))</f>
        <v>231.45480000000001</v>
      </c>
      <c r="R749" s="390">
        <v>1.3</v>
      </c>
      <c r="S749" s="400">
        <f>SUMIFS(Таблица1[Столбец1],Таблица1[коэф],"1,3",Таблица1[р/р],"3/16",Таблица1[Ф. И. О.],B748)</f>
        <v>0</v>
      </c>
      <c r="T749" s="492">
        <f t="shared" si="248"/>
        <v>0</v>
      </c>
      <c r="U749" s="478">
        <f>IF(D743&lt;=3,база!$M$4,
IF(D743=4,база!$M$5,
IF(D743=5,база!$M$6)))</f>
        <v>225.09719999999999</v>
      </c>
      <c r="V749" s="390">
        <v>1.3</v>
      </c>
      <c r="W749" s="412">
        <f>SUMIFS(Таблица1[Столбец1],Таблица1[коэф],"1,3",Таблица1[р/р],"3/24",Таблица1[Ф. И. О.],B748)</f>
        <v>0</v>
      </c>
      <c r="X749" s="492">
        <f t="shared" si="249"/>
        <v>0</v>
      </c>
      <c r="Y749" s="795"/>
      <c r="Z749" s="797"/>
      <c r="AA749" s="786"/>
      <c r="AC749" s="727" t="str">
        <f>IF(SUMIFS(Таблица1[Столбец1],Таблица1[Ф. И. О.],B748)=Y743,"",B748&amp;"  часы не верны")</f>
        <v/>
      </c>
    </row>
    <row r="750" spans="1:29" ht="18.75">
      <c r="A750" s="786"/>
      <c r="B750" s="216"/>
      <c r="C750" s="789"/>
      <c r="D750" s="792"/>
      <c r="E750" s="389"/>
      <c r="F750" s="390"/>
      <c r="G750" s="400"/>
      <c r="H750" s="392">
        <f t="shared" si="246"/>
        <v>0</v>
      </c>
      <c r="I750" s="432"/>
      <c r="J750" s="433"/>
      <c r="K750" s="434"/>
      <c r="L750" s="484">
        <f t="shared" si="247"/>
        <v>0</v>
      </c>
      <c r="M750" s="434"/>
      <c r="N750" s="434"/>
      <c r="O750" s="434"/>
      <c r="P750" s="406"/>
      <c r="Q750" s="389">
        <f>база!$L$5</f>
        <v>231.45480000000001</v>
      </c>
      <c r="R750" s="390">
        <v>1.3</v>
      </c>
      <c r="S750" s="400">
        <f>SUMIFS(Таблица1[Столбец1],Таблица1[коэф],"1,3",Таблица1[р/р],"4/16",Таблица1[Ф. И. О.],B748)</f>
        <v>0</v>
      </c>
      <c r="T750" s="492">
        <f t="shared" si="248"/>
        <v>0</v>
      </c>
      <c r="U750" s="478">
        <f>база!$M$5</f>
        <v>247.41720000000001</v>
      </c>
      <c r="V750" s="390">
        <v>1.3</v>
      </c>
      <c r="W750" s="412">
        <f>SUMIFS(Таблица1[Столбец1],Таблица1[коэф],"1,3",Таблица1[р/р],"4/24",Таблица1[Ф. И. О.],B748)</f>
        <v>0</v>
      </c>
      <c r="X750" s="492">
        <f t="shared" si="249"/>
        <v>0</v>
      </c>
      <c r="Y750" s="795"/>
      <c r="Z750" s="797"/>
      <c r="AA750" s="786"/>
    </row>
    <row r="751" spans="1:29" ht="18.75">
      <c r="A751" s="786"/>
      <c r="B751" s="216"/>
      <c r="C751" s="789"/>
      <c r="D751" s="792"/>
      <c r="E751" s="389"/>
      <c r="F751" s="390"/>
      <c r="G751" s="400"/>
      <c r="H751" s="392">
        <f t="shared" si="246"/>
        <v>0</v>
      </c>
      <c r="I751" s="432"/>
      <c r="J751" s="433"/>
      <c r="K751" s="434"/>
      <c r="L751" s="484">
        <f t="shared" si="247"/>
        <v>0</v>
      </c>
      <c r="M751" s="434"/>
      <c r="N751" s="434"/>
      <c r="O751" s="434"/>
      <c r="P751" s="406"/>
      <c r="Q751" s="389">
        <f>IF(D743&lt;=3,база!$L$4,
IF(D743=4,база!$L$5,
IF(D743=5,база!$L$6)))</f>
        <v>210.57480000000001</v>
      </c>
      <c r="R751" s="390">
        <v>1.4</v>
      </c>
      <c r="S751" s="400">
        <f>SUMIFS(Таблица1[Столбец1],Таблица1[коэф],"1,4",Таблица1[р/р],"3/16",Таблица1[Ф. И. О.],B748)</f>
        <v>0</v>
      </c>
      <c r="T751" s="492">
        <f t="shared" si="248"/>
        <v>0</v>
      </c>
      <c r="U751" s="478">
        <f>IF(D743&lt;=3,база!$M$4,
IF(D743=4,база!$M$5,
IF(D743=5,база!$M$6)))</f>
        <v>225.09719999999999</v>
      </c>
      <c r="V751" s="390">
        <v>1.4</v>
      </c>
      <c r="W751" s="412">
        <f>SUMIFS(Таблица1[Столбец1],Таблица1[коэф],"1,4",Таблица1[р/р],"3/24",Таблица1[Ф. И. О.],B748)</f>
        <v>0</v>
      </c>
      <c r="X751" s="492">
        <f t="shared" si="249"/>
        <v>0</v>
      </c>
      <c r="Y751" s="795"/>
      <c r="Z751" s="797"/>
      <c r="AA751" s="786"/>
    </row>
    <row r="752" spans="1:29" ht="18.75">
      <c r="A752" s="786"/>
      <c r="B752" s="216"/>
      <c r="C752" s="789"/>
      <c r="D752" s="792"/>
      <c r="E752" s="389"/>
      <c r="F752" s="390"/>
      <c r="G752" s="400"/>
      <c r="H752" s="392">
        <f t="shared" si="246"/>
        <v>0</v>
      </c>
      <c r="I752" s="432"/>
      <c r="J752" s="433"/>
      <c r="K752" s="434"/>
      <c r="L752" s="484">
        <f t="shared" si="247"/>
        <v>0</v>
      </c>
      <c r="M752" s="434"/>
      <c r="N752" s="434"/>
      <c r="O752" s="434"/>
      <c r="P752" s="406"/>
      <c r="Q752" s="389">
        <f>база!$L$5</f>
        <v>231.45480000000001</v>
      </c>
      <c r="R752" s="390">
        <v>1.4</v>
      </c>
      <c r="S752" s="400">
        <f>SUMIFS(Таблица1[Столбец1],Таблица1[коэф],"1,4",Таблица1[р/р],"4/16",Таблица1[Ф. И. О.],B748)</f>
        <v>0</v>
      </c>
      <c r="T752" s="492">
        <f t="shared" si="248"/>
        <v>0</v>
      </c>
      <c r="U752" s="478">
        <f>база!$M$5</f>
        <v>247.41720000000001</v>
      </c>
      <c r="V752" s="390">
        <v>1.4</v>
      </c>
      <c r="W752" s="412">
        <f>SUMIFS(Таблица1[Столбец1],Таблица1[коэф],"1,4",Таблица1[р/р],"4/24",Таблица1[Ф. И. О.],B748)</f>
        <v>0</v>
      </c>
      <c r="X752" s="492">
        <f t="shared" si="249"/>
        <v>0</v>
      </c>
      <c r="Y752" s="795"/>
      <c r="Z752" s="797"/>
      <c r="AA752" s="786"/>
    </row>
    <row r="753" spans="1:29" ht="19.5" thickBot="1">
      <c r="A753" s="787"/>
      <c r="B753" s="352"/>
      <c r="C753" s="790"/>
      <c r="D753" s="793"/>
      <c r="E753" s="481"/>
      <c r="F753" s="417"/>
      <c r="G753" s="486"/>
      <c r="H753" s="468">
        <f t="shared" si="246"/>
        <v>0</v>
      </c>
      <c r="I753" s="651"/>
      <c r="J753" s="456"/>
      <c r="K753" s="652"/>
      <c r="L753" s="458">
        <f t="shared" si="247"/>
        <v>0</v>
      </c>
      <c r="M753" s="651"/>
      <c r="N753" s="652"/>
      <c r="O753" s="652"/>
      <c r="P753" s="476"/>
      <c r="Q753" s="658">
        <f>база!$L$6</f>
        <v>261.04640000000001</v>
      </c>
      <c r="R753" s="464">
        <v>1.4</v>
      </c>
      <c r="S753" s="465">
        <f>SUMIFS(Таблица1[Столбец1],Таблица1[коэф],"1,4",Таблица1[р/р],"5/16",Таблица1[Ф. И. О.],B748)</f>
        <v>0</v>
      </c>
      <c r="T753" s="513">
        <f t="shared" si="248"/>
        <v>0</v>
      </c>
      <c r="U753" s="463">
        <f>база!$M$6</f>
        <v>279.0496</v>
      </c>
      <c r="V753" s="464">
        <v>1.4</v>
      </c>
      <c r="W753" s="465">
        <f>SUMIFS(Таблица1[Столбец1],Таблица1[коэф],"1,4",Таблица1[р/р],"5/24",Таблица1[Ф. И. О.],B748)</f>
        <v>0</v>
      </c>
      <c r="X753" s="513">
        <f t="shared" si="249"/>
        <v>0</v>
      </c>
      <c r="Y753" s="796"/>
      <c r="Z753" s="798"/>
      <c r="AA753" s="787"/>
    </row>
    <row r="754" spans="1:29" ht="18.75" customHeight="1">
      <c r="A754" s="785">
        <v>69</v>
      </c>
      <c r="B754" s="216"/>
      <c r="C754" s="788">
        <f>INDEX(база!$E$2:$E$181, MATCH(B759,база!$B$2:$B$160,0))</f>
        <v>17329</v>
      </c>
      <c r="D754" s="791">
        <f>INDEX(база!$D$2:$D$189, MATCH(B759,база!$B$2:$B$160,0))</f>
        <v>3</v>
      </c>
      <c r="E754" s="377">
        <f>IF(D754&lt;=3,база!$I$4,
IF(D754=4,база!$I$5,
IF(D754=5,база!$I$6)))</f>
        <v>188.7912</v>
      </c>
      <c r="F754" s="378">
        <v>1</v>
      </c>
      <c r="G754" s="387">
        <f>SUMIFS(Таблица1[Столбец1],Таблица1[коэф],"1",Таблица1[р/р],"2/4",Таблица1[Ф. И. О.],B759)</f>
        <v>0</v>
      </c>
      <c r="H754" s="402">
        <f t="shared" ref="H754" si="259">ROUND(E754*F754*G754*2,2)</f>
        <v>0</v>
      </c>
      <c r="I754" s="452">
        <f>IF(D754&lt;=3,база!$J$4,
IF(D754=4,база!$J$5,
IF(D754=5,база!$J$6)))</f>
        <v>196.05240000000001</v>
      </c>
      <c r="J754" s="475">
        <v>1</v>
      </c>
      <c r="K754" s="453">
        <f>SUMIFS(Таблица1[Столбец1],Таблица1[коэф],"1",Таблица1[р/р],"2/8",Таблица1[Ф. И. О.],B759)</f>
        <v>0</v>
      </c>
      <c r="L754" s="484">
        <f t="shared" ref="L754:L940" si="260">ROUND(I754*J754*K754*2,2)</f>
        <v>0</v>
      </c>
      <c r="M754" s="453"/>
      <c r="N754" s="453">
        <v>1</v>
      </c>
      <c r="O754" s="453">
        <f>SUMIFS(Data_Tech!$AM$3:$AM$67,Data_Tech!$E$3:$E$67,"1",Data_Tech!$G$3:$G$67,"3/12",Data_Tech!$F$3:$F$67,B759)</f>
        <v>0</v>
      </c>
      <c r="P754" s="398">
        <f>ROUND(M754*N754*O754,2)</f>
        <v>0</v>
      </c>
      <c r="Q754" s="481">
        <f>IF(D754&lt;=3,база!$L$4,
IF(D754=4,база!$L$5,
IF(D754=5,база!$L$6)))</f>
        <v>210.57480000000001</v>
      </c>
      <c r="R754" s="417">
        <v>1</v>
      </c>
      <c r="S754" s="418">
        <f>SUMIFS(Таблица1[Столбец1],Таблица1[коэф],"1",Таблица1[р/р],"3/16",Таблица1[Ф. И. О.],B759)</f>
        <v>0</v>
      </c>
      <c r="T754" s="492">
        <f t="shared" ref="T754:T940" si="261">ROUND(Q754*R754*S754*2,2)</f>
        <v>0</v>
      </c>
      <c r="U754" s="483">
        <f>IF(D754&lt;=3,база!$M$4,
IF(D754=4,база!$M$5,
IF(D754=5,база!$M$6)))</f>
        <v>225.09719999999999</v>
      </c>
      <c r="V754" s="417">
        <v>1</v>
      </c>
      <c r="W754" s="455">
        <f>SUMIFS(Таблица1[Столбец1],Таблица1[коэф],"1",Таблица1[р/р],"3/24",Таблица1[Ф. И. О.],B759)</f>
        <v>0</v>
      </c>
      <c r="X754" s="492">
        <f t="shared" ref="X754:X940" si="262">ROUND(U754*V754*W754*2,2)</f>
        <v>0</v>
      </c>
      <c r="Y754" s="795">
        <f t="shared" ref="Y754" si="263">SUM(G754:G764,K754:K764,O754:O764,S754:S764,W754:W764)</f>
        <v>0</v>
      </c>
      <c r="Z754" s="797">
        <f t="shared" ref="Z754:Z930" si="264">IFERROR(SUM(H754:H764,L754:L764,T754:T764,X754:X764),"")</f>
        <v>0</v>
      </c>
      <c r="AA754" s="786"/>
    </row>
    <row r="755" spans="1:29" ht="18.75" customHeight="1">
      <c r="A755" s="786"/>
      <c r="B755" s="216"/>
      <c r="C755" s="789"/>
      <c r="D755" s="792"/>
      <c r="E755" s="389">
        <f>IF(D754&lt;=3,база!$I$4,
IF(D754=4,база!$I$5,
IF(D754=5,база!$I$6)))</f>
        <v>188.7912</v>
      </c>
      <c r="F755" s="390">
        <v>1</v>
      </c>
      <c r="G755" s="400">
        <f>SUMIFS(Таблица1[Столбец1],Таблица1[коэф],"1",Таблица1[р/р],"3/4",Таблица1[Ф. И. О.],B759)</f>
        <v>0</v>
      </c>
      <c r="H755" s="392">
        <f>ROUND(E755*F755*G755*2,2)</f>
        <v>0</v>
      </c>
      <c r="I755" s="432">
        <f>IF(D754&lt;=3,база!$J$4,
IF(D754=4,база!$J$5,
IF(D754=5,база!$J$6)))</f>
        <v>196.05240000000001</v>
      </c>
      <c r="J755" s="433">
        <v>1</v>
      </c>
      <c r="K755" s="434">
        <f>SUMIFS(Таблица1[Столбец1],Таблица1[коэф],"1",Таблица1[р/р],"3/8",Таблица1[Ф. И. О.],B759)</f>
        <v>0</v>
      </c>
      <c r="L755" s="484">
        <f t="shared" si="260"/>
        <v>0</v>
      </c>
      <c r="M755" s="434"/>
      <c r="N755" s="434">
        <v>1</v>
      </c>
      <c r="O755" s="434">
        <f>SUMIFS(Data_Tech!$AM$3:$AM$67,Data_Tech!$E$3:$E$67,"1",Data_Tech!$G$3:$G$67,"4/12",Data_Tech!$F$3:$F$67,B759)</f>
        <v>0</v>
      </c>
      <c r="P755" s="406">
        <f>ROUND(M755*O755,2)</f>
        <v>0</v>
      </c>
      <c r="Q755" s="389">
        <f>база!$L$5</f>
        <v>231.45480000000001</v>
      </c>
      <c r="R755" s="390">
        <v>1</v>
      </c>
      <c r="S755" s="400">
        <f>SUMIFS(Таблица1[Столбец1],Таблица1[коэф],"1",Таблица1[р/р],"4/16",Таблица1[Ф. И. О.],B759)</f>
        <v>0</v>
      </c>
      <c r="T755" s="492">
        <f t="shared" si="261"/>
        <v>0</v>
      </c>
      <c r="U755" s="478">
        <f>база!$M$5</f>
        <v>247.41720000000001</v>
      </c>
      <c r="V755" s="390">
        <v>1</v>
      </c>
      <c r="W755" s="412">
        <f>SUMIFS(Таблица1[Столбец1],Таблица1[коэф],"1",Таблица1[р/р],"4/24",Таблица1[Ф. И. О.],B759)</f>
        <v>0</v>
      </c>
      <c r="X755" s="492">
        <f t="shared" si="262"/>
        <v>0</v>
      </c>
      <c r="Y755" s="795"/>
      <c r="Z755" s="797"/>
      <c r="AA755" s="786"/>
    </row>
    <row r="756" spans="1:29" ht="18.75" customHeight="1">
      <c r="A756" s="786"/>
      <c r="B756" s="216"/>
      <c r="C756" s="789"/>
      <c r="D756" s="792"/>
      <c r="E756" s="389"/>
      <c r="F756" s="390"/>
      <c r="G756" s="400"/>
      <c r="H756" s="392">
        <f t="shared" ref="H756:H886" si="265">ROUND(E756*F756*G756*2,2)</f>
        <v>0</v>
      </c>
      <c r="I756" s="432"/>
      <c r="J756" s="433"/>
      <c r="K756" s="434"/>
      <c r="L756" s="484">
        <f t="shared" si="260"/>
        <v>0</v>
      </c>
      <c r="M756" s="434"/>
      <c r="N756" s="434"/>
      <c r="O756" s="434"/>
      <c r="P756" s="406"/>
      <c r="Q756" s="389">
        <f>база!$L$6</f>
        <v>261.04640000000001</v>
      </c>
      <c r="R756" s="390">
        <v>1</v>
      </c>
      <c r="S756" s="400">
        <f>SUMIFS(Таблица1[Столбец1],Таблица1[коэф],"1",Таблица1[р/р],"5/16",Таблица1[Ф. И. О.],B759)</f>
        <v>0</v>
      </c>
      <c r="T756" s="492">
        <f t="shared" si="261"/>
        <v>0</v>
      </c>
      <c r="U756" s="478">
        <f>база!$M$6</f>
        <v>279.0496</v>
      </c>
      <c r="V756" s="390">
        <v>1</v>
      </c>
      <c r="W756" s="412">
        <f>SUMIFS(Таблица1[Столбец1],Таблица1[коэф],"1",Таблица1[р/р],"5/24",Таблица1[Ф. И. О.],B759)</f>
        <v>0</v>
      </c>
      <c r="X756" s="492">
        <f t="shared" si="262"/>
        <v>0</v>
      </c>
      <c r="Y756" s="795"/>
      <c r="Z756" s="797"/>
      <c r="AA756" s="786"/>
    </row>
    <row r="757" spans="1:29" ht="18.75" customHeight="1">
      <c r="A757" s="786"/>
      <c r="B757" s="216"/>
      <c r="C757" s="789"/>
      <c r="D757" s="792"/>
      <c r="E757" s="389"/>
      <c r="F757" s="390"/>
      <c r="G757" s="400"/>
      <c r="H757" s="392">
        <f t="shared" si="265"/>
        <v>0</v>
      </c>
      <c r="I757" s="432">
        <f>база!$J$5</f>
        <v>215.4924</v>
      </c>
      <c r="J757" s="433">
        <v>1.5</v>
      </c>
      <c r="K757" s="434">
        <f>SUMIFS(Таблица1[Столбец1],Таблица1[коэф],"1,5",Таблица1[р/р],"4/8",Таблица1[Ф. И. О.],B759)</f>
        <v>0</v>
      </c>
      <c r="L757" s="484">
        <f t="shared" si="260"/>
        <v>0</v>
      </c>
      <c r="M757" s="434"/>
      <c r="N757" s="434"/>
      <c r="O757" s="434"/>
      <c r="P757" s="406"/>
      <c r="Q757" s="389">
        <f>IF(D754&lt;=3,база!$L$4,
IF(D754=4,база!$L$5,
IF(D754=5,база!$L$6)))</f>
        <v>210.57480000000001</v>
      </c>
      <c r="R757" s="390">
        <v>1.2</v>
      </c>
      <c r="S757" s="400">
        <f>SUMIFS(Таблица1[Столбец1],Таблица1[коэф],"1,2",Таблица1[р/р],"3/16",Таблица1[Ф. И. О.],B759)</f>
        <v>0</v>
      </c>
      <c r="T757" s="492">
        <f t="shared" si="261"/>
        <v>0</v>
      </c>
      <c r="U757" s="478">
        <f>IF(D754&lt;=3,база!$M$4,
IF(D754=4,база!$M$5,
IF(D754=5,база!$M$6)))</f>
        <v>225.09719999999999</v>
      </c>
      <c r="V757" s="390">
        <v>1.2</v>
      </c>
      <c r="W757" s="412">
        <f>SUMIFS(Таблица1[Столбец1],Таблица1[коэф],"1,2",Таблица1[р/р],"3/24",Таблица1[Ф. И. О.],B759)</f>
        <v>0</v>
      </c>
      <c r="X757" s="492">
        <f t="shared" si="262"/>
        <v>0</v>
      </c>
      <c r="Y757" s="795"/>
      <c r="Z757" s="797"/>
      <c r="AA757" s="786"/>
    </row>
    <row r="758" spans="1:29" ht="18.75" customHeight="1">
      <c r="A758" s="786"/>
      <c r="B758" s="216"/>
      <c r="C758" s="789"/>
      <c r="D758" s="792"/>
      <c r="E758" s="389"/>
      <c r="F758" s="390"/>
      <c r="G758" s="400"/>
      <c r="H758" s="392">
        <f t="shared" si="265"/>
        <v>0</v>
      </c>
      <c r="I758" s="432">
        <f>база!$J$6</f>
        <v>243.04319999999998</v>
      </c>
      <c r="J758" s="433">
        <v>1.5</v>
      </c>
      <c r="K758" s="434">
        <f>SUMIFS(Таблица1[Столбец1],Таблица1[коэф],"1,5",Таблица1[р/р],"5/8",Таблица1[Ф. И. О.],B759)</f>
        <v>0</v>
      </c>
      <c r="L758" s="484">
        <f t="shared" si="260"/>
        <v>0</v>
      </c>
      <c r="M758" s="434"/>
      <c r="N758" s="434"/>
      <c r="O758" s="434"/>
      <c r="P758" s="406"/>
      <c r="Q758" s="389">
        <f>база!$L$5</f>
        <v>231.45480000000001</v>
      </c>
      <c r="R758" s="390">
        <v>1.2</v>
      </c>
      <c r="S758" s="400">
        <f>SUMIFS(Таблица1[Столбец1],Таблица1[коэф],"1,2",Таблица1[р/р],"4/16",Таблица1[Ф. И. О.],B759)</f>
        <v>0</v>
      </c>
      <c r="T758" s="492">
        <f t="shared" si="261"/>
        <v>0</v>
      </c>
      <c r="U758" s="478">
        <f>база!$M$5</f>
        <v>247.41720000000001</v>
      </c>
      <c r="V758" s="390">
        <v>1.2</v>
      </c>
      <c r="W758" s="412">
        <f>SUMIFS(Таблица1[Столбец1],Таблица1[коэф],"1,2",Таблица1[р/р],"4/24",Таблица1[Ф. И. О.],B759)</f>
        <v>0</v>
      </c>
      <c r="X758" s="492">
        <f t="shared" si="262"/>
        <v>0</v>
      </c>
      <c r="Y758" s="795"/>
      <c r="Z758" s="797"/>
      <c r="AA758" s="786"/>
    </row>
    <row r="759" spans="1:29" ht="18.75" customHeight="1">
      <c r="A759" s="786"/>
      <c r="B759" s="216" t="str">
        <f>база!B70</f>
        <v>Силаева Ольга Владимировна</v>
      </c>
      <c r="C759" s="789"/>
      <c r="D759" s="792"/>
      <c r="E759" s="389"/>
      <c r="F759" s="390"/>
      <c r="G759" s="400"/>
      <c r="H759" s="392">
        <f t="shared" si="265"/>
        <v>0</v>
      </c>
      <c r="I759" s="432"/>
      <c r="J759" s="433"/>
      <c r="K759" s="434"/>
      <c r="L759" s="484">
        <f t="shared" si="260"/>
        <v>0</v>
      </c>
      <c r="M759" s="434"/>
      <c r="N759" s="434"/>
      <c r="O759" s="434"/>
      <c r="P759" s="406"/>
      <c r="Q759" s="389">
        <f>база!$L$6</f>
        <v>261.04640000000001</v>
      </c>
      <c r="R759" s="390">
        <v>1.2</v>
      </c>
      <c r="S759" s="400">
        <f>SUMIFS(Таблица1[Столбец1],Таблица1[коэф],"1,2",Таблица1[р/р],"5/16",Таблица1[Ф. И. О.],B759)</f>
        <v>0</v>
      </c>
      <c r="T759" s="492">
        <f t="shared" si="261"/>
        <v>0</v>
      </c>
      <c r="U759" s="478">
        <f>база!$M$6</f>
        <v>279.0496</v>
      </c>
      <c r="V759" s="390">
        <v>1.2</v>
      </c>
      <c r="W759" s="412">
        <f>SUMIFS(Таблица1[Столбец1],Таблица1[коэф],"1,2",Таблица1[р/р],"5/24",Таблица1[Ф. И. О.],B759)</f>
        <v>0</v>
      </c>
      <c r="X759" s="492">
        <f t="shared" si="262"/>
        <v>0</v>
      </c>
      <c r="Y759" s="795"/>
      <c r="Z759" s="797"/>
      <c r="AA759" s="786"/>
      <c r="AC759" s="727" t="str">
        <f>IF(SUMIFS(Таблица1[Столбец3],Таблица1[Ф. И. О.],B759)-Z754=0,"",SUMIFS(Таблица1[Столбец3],Таблица1[Ф. И. О.],B759)-Z754)</f>
        <v/>
      </c>
    </row>
    <row r="760" spans="1:29" ht="18.75" customHeight="1">
      <c r="A760" s="786"/>
      <c r="B760" s="216"/>
      <c r="C760" s="789"/>
      <c r="D760" s="792"/>
      <c r="E760" s="389"/>
      <c r="F760" s="390"/>
      <c r="G760" s="400"/>
      <c r="H760" s="392">
        <f t="shared" si="265"/>
        <v>0</v>
      </c>
      <c r="I760" s="432"/>
      <c r="J760" s="433"/>
      <c r="K760" s="434"/>
      <c r="L760" s="484">
        <f t="shared" si="260"/>
        <v>0</v>
      </c>
      <c r="M760" s="434"/>
      <c r="N760" s="434"/>
      <c r="O760" s="434"/>
      <c r="P760" s="406"/>
      <c r="Q760" s="389">
        <f>IF($D$6&lt;=3,база!$L$4,
IF($D$6=4,база!$L$5,
IF($D$6=5,база!$L$6)))</f>
        <v>231.45480000000001</v>
      </c>
      <c r="R760" s="390">
        <v>1.3</v>
      </c>
      <c r="S760" s="400">
        <f>SUMIFS(Таблица1[Столбец1],Таблица1[коэф],"1,3",Таблица1[р/р],"3/16",Таблица1[Ф. И. О.],B759)</f>
        <v>0</v>
      </c>
      <c r="T760" s="492">
        <f t="shared" si="261"/>
        <v>0</v>
      </c>
      <c r="U760" s="478">
        <f>IF(D754&lt;=3,база!$M$4,
IF(D754=4,база!$M$5,
IF(D754=5,база!$M$6)))</f>
        <v>225.09719999999999</v>
      </c>
      <c r="V760" s="390">
        <v>1.3</v>
      </c>
      <c r="W760" s="412">
        <f>SUMIFS(Таблица1[Столбец1],Таблица1[коэф],"1,3",Таблица1[р/р],"3/24",Таблица1[Ф. И. О.],B759)</f>
        <v>0</v>
      </c>
      <c r="X760" s="492">
        <f t="shared" si="262"/>
        <v>0</v>
      </c>
      <c r="Y760" s="795"/>
      <c r="Z760" s="797"/>
      <c r="AA760" s="786"/>
      <c r="AC760" s="727" t="str">
        <f>IF(SUMIFS(Таблица1[Столбец1],Таблица1[Ф. И. О.],B759)=Y754,"",B759&amp;"  часы не верны")</f>
        <v/>
      </c>
    </row>
    <row r="761" spans="1:29" ht="18.75" customHeight="1">
      <c r="A761" s="786"/>
      <c r="B761" s="216"/>
      <c r="C761" s="789"/>
      <c r="D761" s="792"/>
      <c r="E761" s="389"/>
      <c r="F761" s="390"/>
      <c r="G761" s="400"/>
      <c r="H761" s="392">
        <f t="shared" si="265"/>
        <v>0</v>
      </c>
      <c r="I761" s="432"/>
      <c r="J761" s="433"/>
      <c r="K761" s="434"/>
      <c r="L761" s="484">
        <f t="shared" si="260"/>
        <v>0</v>
      </c>
      <c r="M761" s="434"/>
      <c r="N761" s="434"/>
      <c r="O761" s="434"/>
      <c r="P761" s="406"/>
      <c r="Q761" s="389">
        <f>база!$L$5</f>
        <v>231.45480000000001</v>
      </c>
      <c r="R761" s="390">
        <v>1.3</v>
      </c>
      <c r="S761" s="400">
        <f>SUMIFS(Таблица1[Столбец1],Таблица1[коэф],"1,3",Таблица1[р/р],"4/16",Таблица1[Ф. И. О.],B759)</f>
        <v>0</v>
      </c>
      <c r="T761" s="492">
        <f t="shared" si="261"/>
        <v>0</v>
      </c>
      <c r="U761" s="478">
        <f>база!$M$5</f>
        <v>247.41720000000001</v>
      </c>
      <c r="V761" s="390">
        <v>1.3</v>
      </c>
      <c r="W761" s="412">
        <f>SUMIFS(Таблица1[Столбец1],Таблица1[коэф],"1,3",Таблица1[р/р],"4/24",Таблица1[Ф. И. О.],B759)</f>
        <v>0</v>
      </c>
      <c r="X761" s="492">
        <f t="shared" si="262"/>
        <v>0</v>
      </c>
      <c r="Y761" s="795"/>
      <c r="Z761" s="797"/>
      <c r="AA761" s="786"/>
    </row>
    <row r="762" spans="1:29" ht="18.75" customHeight="1">
      <c r="A762" s="786"/>
      <c r="B762" s="216"/>
      <c r="C762" s="789"/>
      <c r="D762" s="792"/>
      <c r="E762" s="389"/>
      <c r="F762" s="390"/>
      <c r="G762" s="400"/>
      <c r="H762" s="392">
        <f t="shared" si="265"/>
        <v>0</v>
      </c>
      <c r="I762" s="432"/>
      <c r="J762" s="433"/>
      <c r="K762" s="434"/>
      <c r="L762" s="484">
        <f t="shared" si="260"/>
        <v>0</v>
      </c>
      <c r="M762" s="434"/>
      <c r="N762" s="434"/>
      <c r="O762" s="434"/>
      <c r="P762" s="406"/>
      <c r="Q762" s="389">
        <f>IF(D754&lt;=3,база!$L$4,
IF(D754=4,база!$L$5,
IF(D754=5,база!$L$6)))</f>
        <v>210.57480000000001</v>
      </c>
      <c r="R762" s="390">
        <v>1.4</v>
      </c>
      <c r="S762" s="400">
        <f>SUMIFS(Таблица1[Столбец1],Таблица1[коэф],"1,4",Таблица1[р/р],"3/16",Таблица1[Ф. И. О.],B759)</f>
        <v>0</v>
      </c>
      <c r="T762" s="492">
        <f t="shared" si="261"/>
        <v>0</v>
      </c>
      <c r="U762" s="478">
        <f>IF(D754&lt;=3,база!$M$4,
IF(D754=4,база!$M$5,
IF(D754=5,база!$M$6)))</f>
        <v>225.09719999999999</v>
      </c>
      <c r="V762" s="390">
        <v>1.4</v>
      </c>
      <c r="W762" s="412">
        <f>SUMIFS(Таблица1[Столбец1],Таблица1[коэф],"1,4",Таблица1[р/р],"3/24",Таблица1[Ф. И. О.],B759)</f>
        <v>0</v>
      </c>
      <c r="X762" s="492">
        <f t="shared" si="262"/>
        <v>0</v>
      </c>
      <c r="Y762" s="795"/>
      <c r="Z762" s="797"/>
      <c r="AA762" s="786"/>
    </row>
    <row r="763" spans="1:29" ht="18.75" customHeight="1">
      <c r="A763" s="786"/>
      <c r="B763" s="216"/>
      <c r="C763" s="789"/>
      <c r="D763" s="792"/>
      <c r="E763" s="389"/>
      <c r="F763" s="390"/>
      <c r="G763" s="400"/>
      <c r="H763" s="392">
        <f t="shared" si="265"/>
        <v>0</v>
      </c>
      <c r="I763" s="432"/>
      <c r="J763" s="433"/>
      <c r="K763" s="434"/>
      <c r="L763" s="484">
        <f t="shared" si="260"/>
        <v>0</v>
      </c>
      <c r="M763" s="434"/>
      <c r="N763" s="434"/>
      <c r="O763" s="434"/>
      <c r="P763" s="406"/>
      <c r="Q763" s="389">
        <f>база!$L$5</f>
        <v>231.45480000000001</v>
      </c>
      <c r="R763" s="390">
        <v>1.4</v>
      </c>
      <c r="S763" s="400">
        <f>SUMIFS(Таблица1[Столбец1],Таблица1[коэф],"1,4",Таблица1[р/р],"4/16",Таблица1[Ф. И. О.],B759)</f>
        <v>0</v>
      </c>
      <c r="T763" s="492">
        <f t="shared" si="261"/>
        <v>0</v>
      </c>
      <c r="U763" s="478">
        <f>база!$M$5</f>
        <v>247.41720000000001</v>
      </c>
      <c r="V763" s="390">
        <v>1.4</v>
      </c>
      <c r="W763" s="412">
        <f>SUMIFS(Таблица1[Столбец1],Таблица1[коэф],"1,4",Таблица1[р/р],"4/24",Таблица1[Ф. И. О.],B759)</f>
        <v>0</v>
      </c>
      <c r="X763" s="492">
        <f t="shared" si="262"/>
        <v>0</v>
      </c>
      <c r="Y763" s="795"/>
      <c r="Z763" s="797"/>
      <c r="AA763" s="786"/>
    </row>
    <row r="764" spans="1:29" ht="19.5" customHeight="1" thickBot="1">
      <c r="A764" s="787"/>
      <c r="B764" s="352"/>
      <c r="C764" s="790"/>
      <c r="D764" s="793"/>
      <c r="E764" s="481"/>
      <c r="F764" s="417"/>
      <c r="G764" s="486"/>
      <c r="H764" s="468">
        <f t="shared" si="265"/>
        <v>0</v>
      </c>
      <c r="I764" s="651"/>
      <c r="J764" s="456"/>
      <c r="K764" s="652"/>
      <c r="L764" s="458">
        <f t="shared" si="260"/>
        <v>0</v>
      </c>
      <c r="M764" s="651"/>
      <c r="N764" s="652"/>
      <c r="O764" s="652"/>
      <c r="P764" s="476"/>
      <c r="Q764" s="658">
        <f>база!$L$6</f>
        <v>261.04640000000001</v>
      </c>
      <c r="R764" s="464">
        <v>1.4</v>
      </c>
      <c r="S764" s="465">
        <f>SUMIFS(Таблица1[Столбец1],Таблица1[коэф],"1,4",Таблица1[р/р],"5/16",Таблица1[Ф. И. О.],B759)</f>
        <v>0</v>
      </c>
      <c r="T764" s="513">
        <f t="shared" si="261"/>
        <v>0</v>
      </c>
      <c r="U764" s="463">
        <f>база!$M$6</f>
        <v>279.0496</v>
      </c>
      <c r="V764" s="464">
        <v>1.4</v>
      </c>
      <c r="W764" s="465">
        <f>SUMIFS(Таблица1[Столбец1],Таблица1[коэф],"1,4",Таблица1[р/р],"5/24",Таблица1[Ф. И. О.],B759)</f>
        <v>0</v>
      </c>
      <c r="X764" s="513">
        <f t="shared" si="262"/>
        <v>0</v>
      </c>
      <c r="Y764" s="796"/>
      <c r="Z764" s="798"/>
      <c r="AA764" s="787"/>
    </row>
    <row r="765" spans="1:29" ht="18.75" customHeight="1">
      <c r="A765" s="785">
        <v>70</v>
      </c>
      <c r="B765" s="216"/>
      <c r="C765" s="788">
        <f>INDEX(база!$E$2:$E$181, MATCH(B770,база!$B$2:$B$160,0))</f>
        <v>17289</v>
      </c>
      <c r="D765" s="791">
        <f>INDEX(база!$D$2:$D$189, MATCH(B770,база!$B$2:$B$160,0))</f>
        <v>3</v>
      </c>
      <c r="E765" s="377">
        <f>IF(D765&lt;=3,база!$I$4,
IF(D765=4,база!$I$5,
IF(D765=5,база!$I$6)))</f>
        <v>188.7912</v>
      </c>
      <c r="F765" s="378">
        <v>1</v>
      </c>
      <c r="G765" s="387">
        <f>SUMIFS(Таблица1[Столбец1],Таблица1[коэф],"1",Таблица1[р/р],"2/4",Таблица1[Ф. И. О.],B770)</f>
        <v>0</v>
      </c>
      <c r="H765" s="402">
        <f t="shared" si="265"/>
        <v>0</v>
      </c>
      <c r="I765" s="452">
        <f>IF(D765&lt;=3,база!$J$4,
IF(D765=4,база!$J$5,
IF(D765=5,база!$J$6)))</f>
        <v>196.05240000000001</v>
      </c>
      <c r="J765" s="475">
        <v>1</v>
      </c>
      <c r="K765" s="453">
        <f>SUMIFS(Таблица1[Столбец1],Таблица1[коэф],"1",Таблица1[р/р],"2/8",Таблица1[Ф. И. О.],B770)</f>
        <v>0</v>
      </c>
      <c r="L765" s="484">
        <f t="shared" si="260"/>
        <v>0</v>
      </c>
      <c r="M765" s="453"/>
      <c r="N765" s="453">
        <v>1</v>
      </c>
      <c r="O765" s="453">
        <f>SUMIFS(Data_Tech!$AM$3:$AM$67,Data_Tech!$E$3:$E$67,"1",Data_Tech!$G$3:$G$67,"3/12",Data_Tech!$F$3:$F$67,B770)</f>
        <v>0</v>
      </c>
      <c r="P765" s="398">
        <f>ROUND(M765*N765*O765,2)</f>
        <v>0</v>
      </c>
      <c r="Q765" s="481">
        <f>IF(D765&lt;=3,база!$L$4,
IF(D765=4,база!$L$5,
IF(D765=5,база!$L$6)))</f>
        <v>210.57480000000001</v>
      </c>
      <c r="R765" s="417">
        <v>1</v>
      </c>
      <c r="S765" s="418">
        <f>SUMIFS(Таблица1[Столбец1],Таблица1[коэф],"1",Таблица1[р/р],"3/16",Таблица1[Ф. И. О.],B770)</f>
        <v>0</v>
      </c>
      <c r="T765" s="492">
        <f t="shared" si="261"/>
        <v>0</v>
      </c>
      <c r="U765" s="483">
        <f>IF(D765&lt;=3,база!$M$4,
IF(D765=4,база!$M$5,
IF(D765=5,база!$M$6)))</f>
        <v>225.09719999999999</v>
      </c>
      <c r="V765" s="417">
        <v>1</v>
      </c>
      <c r="W765" s="455">
        <f>SUMIFS(Таблица1[Столбец1],Таблица1[коэф],"1",Таблица1[р/р],"3/24",Таблица1[Ф. И. О.],B770)</f>
        <v>0</v>
      </c>
      <c r="X765" s="492">
        <f t="shared" si="262"/>
        <v>0</v>
      </c>
      <c r="Y765" s="795">
        <f t="shared" ref="Y765" si="266">SUM(G765:G775,K765:K775,O765:O775,S765:S775,W765:W775)</f>
        <v>0</v>
      </c>
      <c r="Z765" s="797">
        <f t="shared" ref="Z765" si="267">IFERROR(SUM(H765:H775,L765:L775,T765:T775,X765:X775),"")</f>
        <v>0</v>
      </c>
      <c r="AA765" s="786"/>
    </row>
    <row r="766" spans="1:29" ht="18.75" customHeight="1">
      <c r="A766" s="786"/>
      <c r="B766" s="216"/>
      <c r="C766" s="789"/>
      <c r="D766" s="792"/>
      <c r="E766" s="389">
        <f>IF(D765&lt;=3,база!$I$4,
IF(D765=4,база!$I$5,
IF(D765=5,база!$I$6)))</f>
        <v>188.7912</v>
      </c>
      <c r="F766" s="390">
        <v>1</v>
      </c>
      <c r="G766" s="400">
        <f>SUMIFS(Таблица1[Столбец1],Таблица1[коэф],"1",Таблица1[р/р],"3/4",Таблица1[Ф. И. О.],B770)</f>
        <v>0</v>
      </c>
      <c r="H766" s="392">
        <f>ROUND(E766*F766*G766*2,2)</f>
        <v>0</v>
      </c>
      <c r="I766" s="432">
        <f>IF(D765&lt;=3,база!$J$4,
IF(D765=4,база!$J$5,
IF(D765=5,база!$J$6)))</f>
        <v>196.05240000000001</v>
      </c>
      <c r="J766" s="433">
        <v>1</v>
      </c>
      <c r="K766" s="434">
        <f>SUMIFS(Таблица1[Столбец1],Таблица1[коэф],"1",Таблица1[р/р],"3/8",Таблица1[Ф. И. О.],B770)</f>
        <v>0</v>
      </c>
      <c r="L766" s="484">
        <f t="shared" si="260"/>
        <v>0</v>
      </c>
      <c r="M766" s="434"/>
      <c r="N766" s="434">
        <v>1</v>
      </c>
      <c r="O766" s="434">
        <f>SUMIFS(Data_Tech!$AM$3:$AM$67,Data_Tech!$E$3:$E$67,"1",Data_Tech!$G$3:$G$67,"4/12",Data_Tech!$F$3:$F$67,B770)</f>
        <v>0</v>
      </c>
      <c r="P766" s="406">
        <f>ROUND(M766*O766,2)</f>
        <v>0</v>
      </c>
      <c r="Q766" s="389">
        <f>база!$L$5</f>
        <v>231.45480000000001</v>
      </c>
      <c r="R766" s="390">
        <v>1</v>
      </c>
      <c r="S766" s="400">
        <f>SUMIFS(Таблица1[Столбец1],Таблица1[коэф],"1",Таблица1[р/р],"4/16",Таблица1[Ф. И. О.],B770)</f>
        <v>0</v>
      </c>
      <c r="T766" s="492">
        <f t="shared" si="261"/>
        <v>0</v>
      </c>
      <c r="U766" s="478">
        <f>база!$M$5</f>
        <v>247.41720000000001</v>
      </c>
      <c r="V766" s="390">
        <v>1</v>
      </c>
      <c r="W766" s="412">
        <f>SUMIFS(Таблица1[Столбец1],Таблица1[коэф],"1",Таблица1[р/р],"4/24",Таблица1[Ф. И. О.],B770)</f>
        <v>0</v>
      </c>
      <c r="X766" s="492">
        <f t="shared" si="262"/>
        <v>0</v>
      </c>
      <c r="Y766" s="795"/>
      <c r="Z766" s="797"/>
      <c r="AA766" s="786"/>
    </row>
    <row r="767" spans="1:29" ht="18.75" customHeight="1">
      <c r="A767" s="786"/>
      <c r="B767" s="216"/>
      <c r="C767" s="789"/>
      <c r="D767" s="792"/>
      <c r="E767" s="389"/>
      <c r="F767" s="390"/>
      <c r="G767" s="400"/>
      <c r="H767" s="392">
        <f t="shared" ref="H767:H776" si="268">ROUND(E767*F767*G767*2,2)</f>
        <v>0</v>
      </c>
      <c r="I767" s="432"/>
      <c r="J767" s="433"/>
      <c r="K767" s="434"/>
      <c r="L767" s="484">
        <f t="shared" si="260"/>
        <v>0</v>
      </c>
      <c r="M767" s="434"/>
      <c r="N767" s="434"/>
      <c r="O767" s="434"/>
      <c r="P767" s="406"/>
      <c r="Q767" s="389">
        <f>база!$L$6</f>
        <v>261.04640000000001</v>
      </c>
      <c r="R767" s="390">
        <v>1</v>
      </c>
      <c r="S767" s="400">
        <f>SUMIFS(Таблица1[Столбец1],Таблица1[коэф],"1",Таблица1[р/р],"5/16",Таблица1[Ф. И. О.],B770)</f>
        <v>0</v>
      </c>
      <c r="T767" s="492">
        <f t="shared" si="261"/>
        <v>0</v>
      </c>
      <c r="U767" s="478">
        <f>база!$M$6</f>
        <v>279.0496</v>
      </c>
      <c r="V767" s="390">
        <v>1</v>
      </c>
      <c r="W767" s="412">
        <f>SUMIFS(Таблица1[Столбец1],Таблица1[коэф],"1",Таблица1[р/р],"5/24",Таблица1[Ф. И. О.],B770)</f>
        <v>0</v>
      </c>
      <c r="X767" s="492">
        <f t="shared" si="262"/>
        <v>0</v>
      </c>
      <c r="Y767" s="795"/>
      <c r="Z767" s="797"/>
      <c r="AA767" s="786"/>
    </row>
    <row r="768" spans="1:29" ht="18.75" customHeight="1">
      <c r="A768" s="786"/>
      <c r="B768" s="216"/>
      <c r="C768" s="789"/>
      <c r="D768" s="792"/>
      <c r="E768" s="389"/>
      <c r="F768" s="390"/>
      <c r="G768" s="400"/>
      <c r="H768" s="392">
        <f t="shared" si="268"/>
        <v>0</v>
      </c>
      <c r="I768" s="432">
        <f>база!$J$5</f>
        <v>215.4924</v>
      </c>
      <c r="J768" s="433">
        <v>1.5</v>
      </c>
      <c r="K768" s="434">
        <f>SUMIFS(Таблица1[Столбец1],Таблица1[коэф],"1,5",Таблица1[р/р],"4/8",Таблица1[Ф. И. О.],B770)</f>
        <v>0</v>
      </c>
      <c r="L768" s="484">
        <f t="shared" si="260"/>
        <v>0</v>
      </c>
      <c r="M768" s="434"/>
      <c r="N768" s="434"/>
      <c r="O768" s="434"/>
      <c r="P768" s="406"/>
      <c r="Q768" s="389">
        <f>IF(D765&lt;=3,база!$L$4,
IF(D765=4,база!$L$5,
IF(D765=5,база!$L$6)))</f>
        <v>210.57480000000001</v>
      </c>
      <c r="R768" s="390">
        <v>1.2</v>
      </c>
      <c r="S768" s="400">
        <f>SUMIFS(Таблица1[Столбец1],Таблица1[коэф],"1,2",Таблица1[р/р],"3/16",Таблица1[Ф. И. О.],B770)</f>
        <v>0</v>
      </c>
      <c r="T768" s="492">
        <f t="shared" si="261"/>
        <v>0</v>
      </c>
      <c r="U768" s="478">
        <f>IF(D765&lt;=3,база!$M$4,
IF(D765=4,база!$M$5,
IF(D765=5,база!$M$6)))</f>
        <v>225.09719999999999</v>
      </c>
      <c r="V768" s="390">
        <v>1.2</v>
      </c>
      <c r="W768" s="412">
        <f>SUMIFS(Таблица1[Столбец1],Таблица1[коэф],"1,2",Таблица1[р/р],"3/24",Таблица1[Ф. И. О.],B770)</f>
        <v>0</v>
      </c>
      <c r="X768" s="492">
        <f t="shared" si="262"/>
        <v>0</v>
      </c>
      <c r="Y768" s="795"/>
      <c r="Z768" s="797"/>
      <c r="AA768" s="786"/>
    </row>
    <row r="769" spans="1:29" ht="18.75" customHeight="1">
      <c r="A769" s="786"/>
      <c r="B769" s="216"/>
      <c r="C769" s="789"/>
      <c r="D769" s="792"/>
      <c r="E769" s="389"/>
      <c r="F769" s="390"/>
      <c r="G769" s="400"/>
      <c r="H769" s="392">
        <f t="shared" si="268"/>
        <v>0</v>
      </c>
      <c r="I769" s="432">
        <f>база!$J$6</f>
        <v>243.04319999999998</v>
      </c>
      <c r="J769" s="433">
        <v>1.5</v>
      </c>
      <c r="K769" s="434">
        <f>SUMIFS(Таблица1[Столбец1],Таблица1[коэф],"1,5",Таблица1[р/р],"5/8",Таблица1[Ф. И. О.],B770)</f>
        <v>0</v>
      </c>
      <c r="L769" s="484">
        <f t="shared" si="260"/>
        <v>0</v>
      </c>
      <c r="M769" s="434"/>
      <c r="N769" s="434"/>
      <c r="O769" s="434"/>
      <c r="P769" s="406"/>
      <c r="Q769" s="389">
        <f>база!$L$5</f>
        <v>231.45480000000001</v>
      </c>
      <c r="R769" s="390">
        <v>1.2</v>
      </c>
      <c r="S769" s="400">
        <f>SUMIFS(Таблица1[Столбец1],Таблица1[коэф],"1,2",Таблица1[р/р],"4/16",Таблица1[Ф. И. О.],B770)</f>
        <v>0</v>
      </c>
      <c r="T769" s="492">
        <f t="shared" si="261"/>
        <v>0</v>
      </c>
      <c r="U769" s="478">
        <f>база!$M$5</f>
        <v>247.41720000000001</v>
      </c>
      <c r="V769" s="390">
        <v>1.2</v>
      </c>
      <c r="W769" s="412">
        <f>SUMIFS(Таблица1[Столбец1],Таблица1[коэф],"1,2",Таблица1[р/р],"4/24",Таблица1[Ф. И. О.],B770)</f>
        <v>0</v>
      </c>
      <c r="X769" s="492">
        <f t="shared" si="262"/>
        <v>0</v>
      </c>
      <c r="Y769" s="795"/>
      <c r="Z769" s="797"/>
      <c r="AA769" s="786"/>
    </row>
    <row r="770" spans="1:29" ht="18.75" customHeight="1">
      <c r="A770" s="786"/>
      <c r="B770" s="216" t="str">
        <f>база!B71</f>
        <v>Скрынникова Виктория Геннадьевна</v>
      </c>
      <c r="C770" s="789"/>
      <c r="D770" s="792"/>
      <c r="E770" s="389"/>
      <c r="F770" s="390"/>
      <c r="G770" s="400"/>
      <c r="H770" s="392">
        <f t="shared" si="268"/>
        <v>0</v>
      </c>
      <c r="I770" s="432"/>
      <c r="J770" s="433"/>
      <c r="K770" s="434"/>
      <c r="L770" s="484">
        <f t="shared" si="260"/>
        <v>0</v>
      </c>
      <c r="M770" s="434"/>
      <c r="N770" s="434"/>
      <c r="O770" s="434"/>
      <c r="P770" s="406"/>
      <c r="Q770" s="389">
        <f>база!$L$6</f>
        <v>261.04640000000001</v>
      </c>
      <c r="R770" s="390">
        <v>1.2</v>
      </c>
      <c r="S770" s="400">
        <f>SUMIFS(Таблица1[Столбец1],Таблица1[коэф],"1,2",Таблица1[р/р],"5/16",Таблица1[Ф. И. О.],B770)</f>
        <v>0</v>
      </c>
      <c r="T770" s="492">
        <f t="shared" si="261"/>
        <v>0</v>
      </c>
      <c r="U770" s="478">
        <f>база!$M$6</f>
        <v>279.0496</v>
      </c>
      <c r="V770" s="390">
        <v>1.2</v>
      </c>
      <c r="W770" s="412">
        <f>SUMIFS(Таблица1[Столбец1],Таблица1[коэф],"1,2",Таблица1[р/р],"5/24",Таблица1[Ф. И. О.],B770)</f>
        <v>0</v>
      </c>
      <c r="X770" s="492">
        <f t="shared" si="262"/>
        <v>0</v>
      </c>
      <c r="Y770" s="795"/>
      <c r="Z770" s="797"/>
      <c r="AA770" s="786"/>
      <c r="AC770" s="727" t="str">
        <f>IF(SUMIFS(Таблица1[Столбец3],Таблица1[Ф. И. О.],B770)-Z765=0,"",SUMIFS(Таблица1[Столбец3],Таблица1[Ф. И. О.],B770)-Z765)</f>
        <v/>
      </c>
    </row>
    <row r="771" spans="1:29" ht="18.75" customHeight="1">
      <c r="A771" s="786"/>
      <c r="B771" s="216"/>
      <c r="C771" s="789"/>
      <c r="D771" s="792"/>
      <c r="E771" s="389"/>
      <c r="F771" s="390"/>
      <c r="G771" s="400"/>
      <c r="H771" s="392">
        <f t="shared" si="268"/>
        <v>0</v>
      </c>
      <c r="I771" s="432"/>
      <c r="J771" s="433"/>
      <c r="K771" s="434"/>
      <c r="L771" s="484">
        <f t="shared" si="260"/>
        <v>0</v>
      </c>
      <c r="M771" s="434"/>
      <c r="N771" s="434"/>
      <c r="O771" s="434"/>
      <c r="P771" s="406"/>
      <c r="Q771" s="389">
        <f>IF($D$6&lt;=3,база!$L$4,
IF($D$6=4,база!$L$5,
IF($D$6=5,база!$L$6)))</f>
        <v>231.45480000000001</v>
      </c>
      <c r="R771" s="390">
        <v>1.3</v>
      </c>
      <c r="S771" s="400">
        <f>SUMIFS(Таблица1[Столбец1],Таблица1[коэф],"1,3",Таблица1[р/р],"3/16",Таблица1[Ф. И. О.],B770)</f>
        <v>0</v>
      </c>
      <c r="T771" s="492">
        <f t="shared" si="261"/>
        <v>0</v>
      </c>
      <c r="U771" s="478">
        <f>IF(D765&lt;=3,база!$M$4,
IF(D765=4,база!$M$5,
IF(D765=5,база!$M$6)))</f>
        <v>225.09719999999999</v>
      </c>
      <c r="V771" s="390">
        <v>1.3</v>
      </c>
      <c r="W771" s="412">
        <f>SUMIFS(Таблица1[Столбец1],Таблица1[коэф],"1,3",Таблица1[р/р],"3/24",Таблица1[Ф. И. О.],B770)</f>
        <v>0</v>
      </c>
      <c r="X771" s="492">
        <f t="shared" si="262"/>
        <v>0</v>
      </c>
      <c r="Y771" s="795"/>
      <c r="Z771" s="797"/>
      <c r="AA771" s="786"/>
      <c r="AC771" s="727" t="str">
        <f>IF(SUMIFS(Таблица1[Столбец1],Таблица1[Ф. И. О.],B770)=Y765,"",B770&amp;"  часы не верны")</f>
        <v/>
      </c>
    </row>
    <row r="772" spans="1:29" ht="18.75" customHeight="1">
      <c r="A772" s="786"/>
      <c r="B772" s="216"/>
      <c r="C772" s="789"/>
      <c r="D772" s="792"/>
      <c r="E772" s="389"/>
      <c r="F772" s="390"/>
      <c r="G772" s="400"/>
      <c r="H772" s="392">
        <f t="shared" si="268"/>
        <v>0</v>
      </c>
      <c r="I772" s="432"/>
      <c r="J772" s="433"/>
      <c r="K772" s="434"/>
      <c r="L772" s="484">
        <f t="shared" si="260"/>
        <v>0</v>
      </c>
      <c r="M772" s="434"/>
      <c r="N772" s="434"/>
      <c r="O772" s="434"/>
      <c r="P772" s="406"/>
      <c r="Q772" s="389">
        <f>база!$L$5</f>
        <v>231.45480000000001</v>
      </c>
      <c r="R772" s="390">
        <v>1.3</v>
      </c>
      <c r="S772" s="400">
        <f>SUMIFS(Таблица1[Столбец1],Таблица1[коэф],"1,3",Таблица1[р/р],"4/16",Таблица1[Ф. И. О.],B770)</f>
        <v>0</v>
      </c>
      <c r="T772" s="492">
        <f t="shared" si="261"/>
        <v>0</v>
      </c>
      <c r="U772" s="478">
        <f>база!$M$5</f>
        <v>247.41720000000001</v>
      </c>
      <c r="V772" s="390">
        <v>1.3</v>
      </c>
      <c r="W772" s="412">
        <f>SUMIFS(Таблица1[Столбец1],Таблица1[коэф],"1,3",Таблица1[р/р],"4/24",Таблица1[Ф. И. О.],B770)</f>
        <v>0</v>
      </c>
      <c r="X772" s="492">
        <f t="shared" si="262"/>
        <v>0</v>
      </c>
      <c r="Y772" s="795"/>
      <c r="Z772" s="797"/>
      <c r="AA772" s="786"/>
    </row>
    <row r="773" spans="1:29" ht="18.75" customHeight="1">
      <c r="A773" s="786"/>
      <c r="B773" s="216"/>
      <c r="C773" s="789"/>
      <c r="D773" s="792"/>
      <c r="E773" s="389"/>
      <c r="F773" s="390"/>
      <c r="G773" s="400"/>
      <c r="H773" s="392">
        <f t="shared" si="268"/>
        <v>0</v>
      </c>
      <c r="I773" s="432"/>
      <c r="J773" s="433"/>
      <c r="K773" s="434"/>
      <c r="L773" s="484">
        <f t="shared" si="260"/>
        <v>0</v>
      </c>
      <c r="M773" s="434"/>
      <c r="N773" s="434"/>
      <c r="O773" s="434"/>
      <c r="P773" s="406"/>
      <c r="Q773" s="389">
        <f>IF(D765&lt;=3,база!$L$4,
IF(D765=4,база!$L$5,
IF(D765=5,база!$L$6)))</f>
        <v>210.57480000000001</v>
      </c>
      <c r="R773" s="390">
        <v>1.4</v>
      </c>
      <c r="S773" s="400">
        <f>SUMIFS(Таблица1[Столбец1],Таблица1[коэф],"1,4",Таблица1[р/р],"3/16",Таблица1[Ф. И. О.],B770)</f>
        <v>0</v>
      </c>
      <c r="T773" s="492">
        <f t="shared" si="261"/>
        <v>0</v>
      </c>
      <c r="U773" s="478">
        <f>IF(D765&lt;=3,база!$M$4,
IF(D765=4,база!$M$5,
IF(D765=5,база!$M$6)))</f>
        <v>225.09719999999999</v>
      </c>
      <c r="V773" s="390">
        <v>1.4</v>
      </c>
      <c r="W773" s="412">
        <f>SUMIFS(Таблица1[Столбец1],Таблица1[коэф],"1,4",Таблица1[р/р],"3/24",Таблица1[Ф. И. О.],B770)</f>
        <v>0</v>
      </c>
      <c r="X773" s="492">
        <f t="shared" si="262"/>
        <v>0</v>
      </c>
      <c r="Y773" s="795"/>
      <c r="Z773" s="797"/>
      <c r="AA773" s="786"/>
    </row>
    <row r="774" spans="1:29" ht="18.75" customHeight="1">
      <c r="A774" s="786"/>
      <c r="B774" s="216"/>
      <c r="C774" s="789"/>
      <c r="D774" s="792"/>
      <c r="E774" s="389"/>
      <c r="F774" s="390"/>
      <c r="G774" s="400"/>
      <c r="H774" s="392">
        <f t="shared" si="268"/>
        <v>0</v>
      </c>
      <c r="I774" s="432"/>
      <c r="J774" s="433"/>
      <c r="K774" s="434"/>
      <c r="L774" s="484">
        <f t="shared" si="260"/>
        <v>0</v>
      </c>
      <c r="M774" s="434"/>
      <c r="N774" s="434"/>
      <c r="O774" s="434"/>
      <c r="P774" s="406"/>
      <c r="Q774" s="389">
        <f>база!$L$5</f>
        <v>231.45480000000001</v>
      </c>
      <c r="R774" s="390">
        <v>1.4</v>
      </c>
      <c r="S774" s="400">
        <f>SUMIFS(Таблица1[Столбец1],Таблица1[коэф],"1,4",Таблица1[р/р],"4/16",Таблица1[Ф. И. О.],B770)</f>
        <v>0</v>
      </c>
      <c r="T774" s="492">
        <f t="shared" si="261"/>
        <v>0</v>
      </c>
      <c r="U774" s="478">
        <f>база!$M$5</f>
        <v>247.41720000000001</v>
      </c>
      <c r="V774" s="390">
        <v>1.4</v>
      </c>
      <c r="W774" s="412">
        <f>SUMIFS(Таблица1[Столбец1],Таблица1[коэф],"1,4",Таблица1[р/р],"4/24",Таблица1[Ф. И. О.],B770)</f>
        <v>0</v>
      </c>
      <c r="X774" s="492">
        <f t="shared" si="262"/>
        <v>0</v>
      </c>
      <c r="Y774" s="795"/>
      <c r="Z774" s="797"/>
      <c r="AA774" s="786"/>
    </row>
    <row r="775" spans="1:29" ht="19.5" customHeight="1" thickBot="1">
      <c r="A775" s="787"/>
      <c r="B775" s="352"/>
      <c r="C775" s="790"/>
      <c r="D775" s="793"/>
      <c r="E775" s="481"/>
      <c r="F775" s="417"/>
      <c r="G775" s="486"/>
      <c r="H775" s="468">
        <f t="shared" si="268"/>
        <v>0</v>
      </c>
      <c r="I775" s="651"/>
      <c r="J775" s="456"/>
      <c r="K775" s="652"/>
      <c r="L775" s="458">
        <f t="shared" si="260"/>
        <v>0</v>
      </c>
      <c r="M775" s="651"/>
      <c r="N775" s="652"/>
      <c r="O775" s="652"/>
      <c r="P775" s="476"/>
      <c r="Q775" s="658">
        <f>база!$L$6</f>
        <v>261.04640000000001</v>
      </c>
      <c r="R775" s="464">
        <v>1.4</v>
      </c>
      <c r="S775" s="465">
        <f>SUMIFS(Таблица1[Столбец1],Таблица1[коэф],"1,4",Таблица1[р/р],"5/16",Таблица1[Ф. И. О.],B770)</f>
        <v>0</v>
      </c>
      <c r="T775" s="513">
        <f t="shared" si="261"/>
        <v>0</v>
      </c>
      <c r="U775" s="463">
        <f>база!$M$6</f>
        <v>279.0496</v>
      </c>
      <c r="V775" s="464">
        <v>1.4</v>
      </c>
      <c r="W775" s="465">
        <f>SUMIFS(Таблица1[Столбец1],Таблица1[коэф],"1,4",Таблица1[р/р],"5/24",Таблица1[Ф. И. О.],B770)</f>
        <v>0</v>
      </c>
      <c r="X775" s="513">
        <f t="shared" si="262"/>
        <v>0</v>
      </c>
      <c r="Y775" s="796"/>
      <c r="Z775" s="798"/>
      <c r="AA775" s="787"/>
    </row>
    <row r="776" spans="1:29" ht="18.75" customHeight="1">
      <c r="A776" s="785">
        <v>71</v>
      </c>
      <c r="B776" s="216"/>
      <c r="C776" s="788">
        <f>INDEX(база!$E$2:$E$181, MATCH(B781,база!$B$2:$B$160,0))</f>
        <v>14639</v>
      </c>
      <c r="D776" s="791">
        <f>INDEX(база!$D$2:$D$189, MATCH(B781,база!$B$2:$B$160,0))</f>
        <v>4</v>
      </c>
      <c r="E776" s="377">
        <f>IF(D776&lt;=3,база!$I$4,
IF(D776=4,база!$I$5,
IF(D776=5,база!$I$6)))</f>
        <v>207.5112</v>
      </c>
      <c r="F776" s="378">
        <v>1</v>
      </c>
      <c r="G776" s="387">
        <f>SUMIFS(Таблица1[Столбец1],Таблица1[коэф],"1",Таблица1[р/р],"2/4",Таблица1[Ф. И. О.],B781)</f>
        <v>0</v>
      </c>
      <c r="H776" s="402">
        <f t="shared" si="268"/>
        <v>0</v>
      </c>
      <c r="I776" s="452">
        <f>IF(D776&lt;=3,база!$J$4,
IF(D776=4,база!$J$5,
IF(D776=5,база!$J$6)))</f>
        <v>215.4924</v>
      </c>
      <c r="J776" s="475">
        <v>1</v>
      </c>
      <c r="K776" s="453">
        <f>SUMIFS(Таблица1[Столбец1],Таблица1[коэф],"1",Таблица1[р/р],"2/8",Таблица1[Ф. И. О.],B781)</f>
        <v>0</v>
      </c>
      <c r="L776" s="484">
        <f t="shared" si="260"/>
        <v>0</v>
      </c>
      <c r="M776" s="453"/>
      <c r="N776" s="453">
        <v>1</v>
      </c>
      <c r="O776" s="453">
        <f>SUMIFS(Data_Tech!$AM$3:$AM$67,Data_Tech!$E$3:$E$67,"1",Data_Tech!$G$3:$G$67,"3/12",Data_Tech!$F$3:$F$67,B781)</f>
        <v>0</v>
      </c>
      <c r="P776" s="398">
        <f>ROUND(M776*N776*O776,2)</f>
        <v>0</v>
      </c>
      <c r="Q776" s="481">
        <f>IF(D776&lt;=3,база!$L$4,
IF(D776=4,база!$L$5,
IF(D776=5,база!$L$6)))</f>
        <v>231.45480000000001</v>
      </c>
      <c r="R776" s="417">
        <v>1</v>
      </c>
      <c r="S776" s="418">
        <f>SUMIFS(Таблица1[Столбец1],Таблица1[коэф],"1",Таблица1[р/р],"3/16",Таблица1[Ф. И. О.],B781)</f>
        <v>0</v>
      </c>
      <c r="T776" s="492">
        <f t="shared" si="261"/>
        <v>0</v>
      </c>
      <c r="U776" s="483">
        <f>IF(D776&lt;=3,база!$M$4,
IF(D776=4,база!$M$5,
IF(D776=5,база!$M$6)))</f>
        <v>247.41720000000001</v>
      </c>
      <c r="V776" s="417">
        <v>1</v>
      </c>
      <c r="W776" s="455">
        <f>SUMIFS(Таблица1[Столбец1],Таблица1[коэф],"1",Таблица1[р/р],"3/24",Таблица1[Ф. И. О.],B781)</f>
        <v>0</v>
      </c>
      <c r="X776" s="492">
        <f t="shared" si="262"/>
        <v>0</v>
      </c>
      <c r="Y776" s="795">
        <f t="shared" ref="Y776" si="269">SUM(G776:G786,K776:K786,O776:O786,S776:S786,W776:W786)</f>
        <v>0</v>
      </c>
      <c r="Z776" s="797">
        <f t="shared" ref="Z776" si="270">IFERROR(SUM(H776:H786,L776:L786,T776:T786,X776:X786),"")</f>
        <v>0</v>
      </c>
      <c r="AA776" s="786"/>
    </row>
    <row r="777" spans="1:29" ht="18.75" customHeight="1">
      <c r="A777" s="786"/>
      <c r="B777" s="216"/>
      <c r="C777" s="789"/>
      <c r="D777" s="792"/>
      <c r="E777" s="389">
        <f>IF(D776&lt;=3,база!$I$4,
IF(D776=4,база!$I$5,
IF(D776=5,база!$I$6)))</f>
        <v>207.5112</v>
      </c>
      <c r="F777" s="390">
        <v>1</v>
      </c>
      <c r="G777" s="400">
        <f>SUMIFS(Таблица1[Столбец1],Таблица1[коэф],"1",Таблица1[р/р],"3/4",Таблица1[Ф. И. О.],B781)</f>
        <v>0</v>
      </c>
      <c r="H777" s="392">
        <f>ROUND(E777*F777*G777*2,2)</f>
        <v>0</v>
      </c>
      <c r="I777" s="432">
        <f>IF(D776&lt;=3,база!$J$4,
IF(D776=4,база!$J$5,
IF(D776=5,база!$J$6)))</f>
        <v>215.4924</v>
      </c>
      <c r="J777" s="433">
        <v>1</v>
      </c>
      <c r="K777" s="434">
        <f>SUMIFS(Таблица1[Столбец1],Таблица1[коэф],"1",Таблица1[р/р],"3/8",Таблица1[Ф. И. О.],B781)</f>
        <v>0</v>
      </c>
      <c r="L777" s="484">
        <f t="shared" si="260"/>
        <v>0</v>
      </c>
      <c r="M777" s="434"/>
      <c r="N777" s="434">
        <v>1</v>
      </c>
      <c r="O777" s="434">
        <f>SUMIFS(Data_Tech!$AM$3:$AM$67,Data_Tech!$E$3:$E$67,"1",Data_Tech!$G$3:$G$67,"4/12",Data_Tech!$F$3:$F$67,B781)</f>
        <v>0</v>
      </c>
      <c r="P777" s="406">
        <f>ROUND(M777*O777,2)</f>
        <v>0</v>
      </c>
      <c r="Q777" s="389">
        <f>база!$L$5</f>
        <v>231.45480000000001</v>
      </c>
      <c r="R777" s="390">
        <v>1</v>
      </c>
      <c r="S777" s="400">
        <f>SUMIFS(Таблица1[Столбец1],Таблица1[коэф],"1",Таблица1[р/р],"4/16",Таблица1[Ф. И. О.],B781)</f>
        <v>0</v>
      </c>
      <c r="T777" s="492">
        <f t="shared" si="261"/>
        <v>0</v>
      </c>
      <c r="U777" s="478">
        <f>база!$M$5</f>
        <v>247.41720000000001</v>
      </c>
      <c r="V777" s="390">
        <v>1</v>
      </c>
      <c r="W777" s="412">
        <f>SUMIFS(Таблица1[Столбец1],Таблица1[коэф],"1",Таблица1[р/р],"4/24",Таблица1[Ф. И. О.],B781)</f>
        <v>0</v>
      </c>
      <c r="X777" s="492">
        <f t="shared" si="262"/>
        <v>0</v>
      </c>
      <c r="Y777" s="795"/>
      <c r="Z777" s="797"/>
      <c r="AA777" s="786"/>
    </row>
    <row r="778" spans="1:29" ht="18.75" customHeight="1">
      <c r="A778" s="786"/>
      <c r="B778" s="216"/>
      <c r="C778" s="789"/>
      <c r="D778" s="792"/>
      <c r="E778" s="389"/>
      <c r="F778" s="390"/>
      <c r="G778" s="400"/>
      <c r="H778" s="392">
        <f t="shared" ref="H778:H787" si="271">ROUND(E778*F778*G778*2,2)</f>
        <v>0</v>
      </c>
      <c r="I778" s="432"/>
      <c r="J778" s="433"/>
      <c r="K778" s="434"/>
      <c r="L778" s="484">
        <f t="shared" si="260"/>
        <v>0</v>
      </c>
      <c r="M778" s="434"/>
      <c r="N778" s="434"/>
      <c r="O778" s="434"/>
      <c r="P778" s="406"/>
      <c r="Q778" s="389">
        <f>база!$L$6</f>
        <v>261.04640000000001</v>
      </c>
      <c r="R778" s="390">
        <v>1</v>
      </c>
      <c r="S778" s="400">
        <f>SUMIFS(Таблица1[Столбец1],Таблица1[коэф],"1",Таблица1[р/р],"5/16",Таблица1[Ф. И. О.],B781)</f>
        <v>0</v>
      </c>
      <c r="T778" s="492">
        <f t="shared" si="261"/>
        <v>0</v>
      </c>
      <c r="U778" s="478">
        <f>база!$M$6</f>
        <v>279.0496</v>
      </c>
      <c r="V778" s="390">
        <v>1</v>
      </c>
      <c r="W778" s="412">
        <f>SUMIFS(Таблица1[Столбец1],Таблица1[коэф],"1",Таблица1[р/р],"5/24",Таблица1[Ф. И. О.],B781)</f>
        <v>0</v>
      </c>
      <c r="X778" s="492">
        <f t="shared" si="262"/>
        <v>0</v>
      </c>
      <c r="Y778" s="795"/>
      <c r="Z778" s="797"/>
      <c r="AA778" s="786"/>
    </row>
    <row r="779" spans="1:29" ht="18.75" customHeight="1">
      <c r="A779" s="786"/>
      <c r="B779" s="216"/>
      <c r="C779" s="789"/>
      <c r="D779" s="792"/>
      <c r="E779" s="389"/>
      <c r="F779" s="390"/>
      <c r="G779" s="400"/>
      <c r="H779" s="392">
        <f t="shared" si="271"/>
        <v>0</v>
      </c>
      <c r="I779" s="432">
        <f>база!$J$5</f>
        <v>215.4924</v>
      </c>
      <c r="J779" s="433">
        <v>1.5</v>
      </c>
      <c r="K779" s="434">
        <f>SUMIFS(Таблица1[Столбец1],Таблица1[коэф],"1,5",Таблица1[р/р],"4/8",Таблица1[Ф. И. О.],B781)</f>
        <v>0</v>
      </c>
      <c r="L779" s="484">
        <f t="shared" si="260"/>
        <v>0</v>
      </c>
      <c r="M779" s="434"/>
      <c r="N779" s="434"/>
      <c r="O779" s="434"/>
      <c r="P779" s="406"/>
      <c r="Q779" s="389">
        <f>IF(D776&lt;=3,база!$L$4,
IF(D776=4,база!$L$5,
IF(D776=5,база!$L$6)))</f>
        <v>231.45480000000001</v>
      </c>
      <c r="R779" s="390">
        <v>1.2</v>
      </c>
      <c r="S779" s="400">
        <f>SUMIFS(Таблица1[Столбец1],Таблица1[коэф],"1,2",Таблица1[р/р],"3/16",Таблица1[Ф. И. О.],B781)</f>
        <v>0</v>
      </c>
      <c r="T779" s="492">
        <f t="shared" si="261"/>
        <v>0</v>
      </c>
      <c r="U779" s="478">
        <f>IF(D776&lt;=3,база!$M$4,
IF(D776=4,база!$M$5,
IF(D776=5,база!$M$6)))</f>
        <v>247.41720000000001</v>
      </c>
      <c r="V779" s="390">
        <v>1.2</v>
      </c>
      <c r="W779" s="412">
        <f>SUMIFS(Таблица1[Столбец1],Таблица1[коэф],"1,2",Таблица1[р/р],"3/24",Таблица1[Ф. И. О.],B781)</f>
        <v>0</v>
      </c>
      <c r="X779" s="492">
        <f t="shared" si="262"/>
        <v>0</v>
      </c>
      <c r="Y779" s="795"/>
      <c r="Z779" s="797"/>
      <c r="AA779" s="786"/>
    </row>
    <row r="780" spans="1:29" ht="18.75" customHeight="1">
      <c r="A780" s="786"/>
      <c r="B780" s="216"/>
      <c r="C780" s="789"/>
      <c r="D780" s="792"/>
      <c r="E780" s="389"/>
      <c r="F780" s="390"/>
      <c r="G780" s="400"/>
      <c r="H780" s="392">
        <f t="shared" si="271"/>
        <v>0</v>
      </c>
      <c r="I780" s="432">
        <f>база!$J$6</f>
        <v>243.04319999999998</v>
      </c>
      <c r="J780" s="433">
        <v>1.5</v>
      </c>
      <c r="K780" s="434">
        <f>SUMIFS(Таблица1[Столбец1],Таблица1[коэф],"1,5",Таблица1[р/р],"5/8",Таблица1[Ф. И. О.],B781)</f>
        <v>0</v>
      </c>
      <c r="L780" s="484">
        <f t="shared" si="260"/>
        <v>0</v>
      </c>
      <c r="M780" s="434"/>
      <c r="N780" s="434"/>
      <c r="O780" s="434"/>
      <c r="P780" s="406"/>
      <c r="Q780" s="389">
        <f>база!$L$5</f>
        <v>231.45480000000001</v>
      </c>
      <c r="R780" s="390">
        <v>1.2</v>
      </c>
      <c r="S780" s="400">
        <f>SUMIFS(Таблица1[Столбец1],Таблица1[коэф],"1,2",Таблица1[р/р],"4/16",Таблица1[Ф. И. О.],B781)</f>
        <v>0</v>
      </c>
      <c r="T780" s="492">
        <f t="shared" si="261"/>
        <v>0</v>
      </c>
      <c r="U780" s="478">
        <f>база!$M$5</f>
        <v>247.41720000000001</v>
      </c>
      <c r="V780" s="390">
        <v>1.2</v>
      </c>
      <c r="W780" s="412">
        <f>SUMIFS(Таблица1[Столбец1],Таблица1[коэф],"1,2",Таблица1[р/р],"4/24",Таблица1[Ф. И. О.],B781)</f>
        <v>0</v>
      </c>
      <c r="X780" s="492">
        <f t="shared" si="262"/>
        <v>0</v>
      </c>
      <c r="Y780" s="795"/>
      <c r="Z780" s="797"/>
      <c r="AA780" s="786"/>
    </row>
    <row r="781" spans="1:29" ht="18.75" customHeight="1">
      <c r="A781" s="786"/>
      <c r="B781" s="216" t="str">
        <f>база!B72</f>
        <v>Смирнова Елена Евгеньевна</v>
      </c>
      <c r="C781" s="789"/>
      <c r="D781" s="792"/>
      <c r="E781" s="389"/>
      <c r="F781" s="390"/>
      <c r="G781" s="400"/>
      <c r="H781" s="392">
        <f t="shared" si="271"/>
        <v>0</v>
      </c>
      <c r="I781" s="432"/>
      <c r="J781" s="433"/>
      <c r="K781" s="434"/>
      <c r="L781" s="484">
        <f t="shared" si="260"/>
        <v>0</v>
      </c>
      <c r="M781" s="434"/>
      <c r="N781" s="434"/>
      <c r="O781" s="434"/>
      <c r="P781" s="406"/>
      <c r="Q781" s="389">
        <f>база!$L$6</f>
        <v>261.04640000000001</v>
      </c>
      <c r="R781" s="390">
        <v>1.2</v>
      </c>
      <c r="S781" s="400">
        <f>SUMIFS(Таблица1[Столбец1],Таблица1[коэф],"1,2",Таблица1[р/р],"5/16",Таблица1[Ф. И. О.],B781)</f>
        <v>0</v>
      </c>
      <c r="T781" s="492">
        <f t="shared" si="261"/>
        <v>0</v>
      </c>
      <c r="U781" s="478">
        <f>база!$M$6</f>
        <v>279.0496</v>
      </c>
      <c r="V781" s="390">
        <v>1.2</v>
      </c>
      <c r="W781" s="412">
        <f>SUMIFS(Таблица1[Столбец1],Таблица1[коэф],"1,2",Таблица1[р/р],"5/24",Таблица1[Ф. И. О.],B781)</f>
        <v>0</v>
      </c>
      <c r="X781" s="492">
        <f t="shared" si="262"/>
        <v>0</v>
      </c>
      <c r="Y781" s="795"/>
      <c r="Z781" s="797"/>
      <c r="AA781" s="786"/>
      <c r="AC781" s="727" t="str">
        <f>IF(SUMIFS(Таблица1[Столбец3],Таблица1[Ф. И. О.],B781)-Z776=0,"",SUMIFS(Таблица1[Столбец3],Таблица1[Ф. И. О.],B781)-Z776)</f>
        <v/>
      </c>
    </row>
    <row r="782" spans="1:29" ht="18.75" customHeight="1">
      <c r="A782" s="786"/>
      <c r="B782" s="216"/>
      <c r="C782" s="789"/>
      <c r="D782" s="792"/>
      <c r="E782" s="389"/>
      <c r="F782" s="390"/>
      <c r="G782" s="400"/>
      <c r="H782" s="392">
        <f t="shared" si="271"/>
        <v>0</v>
      </c>
      <c r="I782" s="432"/>
      <c r="J782" s="433"/>
      <c r="K782" s="434"/>
      <c r="L782" s="484">
        <f t="shared" si="260"/>
        <v>0</v>
      </c>
      <c r="M782" s="434"/>
      <c r="N782" s="434"/>
      <c r="O782" s="434"/>
      <c r="P782" s="406"/>
      <c r="Q782" s="389">
        <f>IF($D$6&lt;=3,база!$L$4,
IF($D$6=4,база!$L$5,
IF($D$6=5,база!$L$6)))</f>
        <v>231.45480000000001</v>
      </c>
      <c r="R782" s="390">
        <v>1.3</v>
      </c>
      <c r="S782" s="400">
        <f>SUMIFS(Таблица1[Столбец1],Таблица1[коэф],"1,3",Таблица1[р/р],"3/16",Таблица1[Ф. И. О.],B781)</f>
        <v>0</v>
      </c>
      <c r="T782" s="492">
        <f t="shared" si="261"/>
        <v>0</v>
      </c>
      <c r="U782" s="478">
        <f>IF(D776&lt;=3,база!$M$4,
IF(D776=4,база!$M$5,
IF(D776=5,база!$M$6)))</f>
        <v>247.41720000000001</v>
      </c>
      <c r="V782" s="390">
        <v>1.3</v>
      </c>
      <c r="W782" s="412">
        <f>SUMIFS(Таблица1[Столбец1],Таблица1[коэф],"1,3",Таблица1[р/р],"3/24",Таблица1[Ф. И. О.],B781)</f>
        <v>0</v>
      </c>
      <c r="X782" s="492">
        <f t="shared" si="262"/>
        <v>0</v>
      </c>
      <c r="Y782" s="795"/>
      <c r="Z782" s="797"/>
      <c r="AA782" s="786"/>
      <c r="AC782" s="727" t="str">
        <f>IF(SUMIFS(Таблица1[Столбец1],Таблица1[Ф. И. О.],B781)=Y776,"",B781&amp;"  часы не верны")</f>
        <v/>
      </c>
    </row>
    <row r="783" spans="1:29" ht="18.75" customHeight="1">
      <c r="A783" s="786"/>
      <c r="B783" s="216"/>
      <c r="C783" s="789"/>
      <c r="D783" s="792"/>
      <c r="E783" s="389"/>
      <c r="F783" s="390"/>
      <c r="G783" s="400"/>
      <c r="H783" s="392">
        <f t="shared" si="271"/>
        <v>0</v>
      </c>
      <c r="I783" s="432"/>
      <c r="J783" s="433"/>
      <c r="K783" s="434"/>
      <c r="L783" s="484">
        <f t="shared" si="260"/>
        <v>0</v>
      </c>
      <c r="M783" s="434"/>
      <c r="N783" s="434"/>
      <c r="O783" s="434"/>
      <c r="P783" s="406"/>
      <c r="Q783" s="389">
        <f>база!$L$5</f>
        <v>231.45480000000001</v>
      </c>
      <c r="R783" s="390">
        <v>1.3</v>
      </c>
      <c r="S783" s="400">
        <f>SUMIFS(Таблица1[Столбец1],Таблица1[коэф],"1,3",Таблица1[р/р],"4/16",Таблица1[Ф. И. О.],B781)</f>
        <v>0</v>
      </c>
      <c r="T783" s="492">
        <f t="shared" si="261"/>
        <v>0</v>
      </c>
      <c r="U783" s="478">
        <f>база!$M$5</f>
        <v>247.41720000000001</v>
      </c>
      <c r="V783" s="390">
        <v>1.3</v>
      </c>
      <c r="W783" s="412">
        <f>SUMIFS(Таблица1[Столбец1],Таблица1[коэф],"1,3",Таблица1[р/р],"4/24",Таблица1[Ф. И. О.],B781)</f>
        <v>0</v>
      </c>
      <c r="X783" s="492">
        <f t="shared" si="262"/>
        <v>0</v>
      </c>
      <c r="Y783" s="795"/>
      <c r="Z783" s="797"/>
      <c r="AA783" s="786"/>
    </row>
    <row r="784" spans="1:29" ht="18.75" customHeight="1">
      <c r="A784" s="786"/>
      <c r="B784" s="216"/>
      <c r="C784" s="789"/>
      <c r="D784" s="792"/>
      <c r="E784" s="389"/>
      <c r="F784" s="390"/>
      <c r="G784" s="400"/>
      <c r="H784" s="392">
        <f t="shared" si="271"/>
        <v>0</v>
      </c>
      <c r="I784" s="432"/>
      <c r="J784" s="433"/>
      <c r="K784" s="434"/>
      <c r="L784" s="484">
        <f t="shared" si="260"/>
        <v>0</v>
      </c>
      <c r="M784" s="434"/>
      <c r="N784" s="434"/>
      <c r="O784" s="434"/>
      <c r="P784" s="406"/>
      <c r="Q784" s="389">
        <f>IF(D776&lt;=3,база!$L$4,
IF(D776=4,база!$L$5,
IF(D776=5,база!$L$6)))</f>
        <v>231.45480000000001</v>
      </c>
      <c r="R784" s="390">
        <v>1.4</v>
      </c>
      <c r="S784" s="400">
        <f>SUMIFS(Таблица1[Столбец1],Таблица1[коэф],"1,4",Таблица1[р/р],"3/16",Таблица1[Ф. И. О.],B781)</f>
        <v>0</v>
      </c>
      <c r="T784" s="492">
        <f t="shared" si="261"/>
        <v>0</v>
      </c>
      <c r="U784" s="478">
        <f>IF(D776&lt;=3,база!$M$4,
IF(D776=4,база!$M$5,
IF(D776=5,база!$M$6)))</f>
        <v>247.41720000000001</v>
      </c>
      <c r="V784" s="390">
        <v>1.4</v>
      </c>
      <c r="W784" s="412">
        <f>SUMIFS(Таблица1[Столбец1],Таблица1[коэф],"1,4",Таблица1[р/р],"3/24",Таблица1[Ф. И. О.],B781)</f>
        <v>0</v>
      </c>
      <c r="X784" s="492">
        <f t="shared" si="262"/>
        <v>0</v>
      </c>
      <c r="Y784" s="795"/>
      <c r="Z784" s="797"/>
      <c r="AA784" s="786"/>
    </row>
    <row r="785" spans="1:29" ht="18.75" customHeight="1">
      <c r="A785" s="786"/>
      <c r="B785" s="216"/>
      <c r="C785" s="789"/>
      <c r="D785" s="792"/>
      <c r="E785" s="389"/>
      <c r="F785" s="390"/>
      <c r="G785" s="400"/>
      <c r="H785" s="392">
        <f t="shared" si="271"/>
        <v>0</v>
      </c>
      <c r="I785" s="432"/>
      <c r="J785" s="433"/>
      <c r="K785" s="434"/>
      <c r="L785" s="484">
        <f t="shared" si="260"/>
        <v>0</v>
      </c>
      <c r="M785" s="434"/>
      <c r="N785" s="434"/>
      <c r="O785" s="434"/>
      <c r="P785" s="406"/>
      <c r="Q785" s="389">
        <f>база!$L$5</f>
        <v>231.45480000000001</v>
      </c>
      <c r="R785" s="390">
        <v>1.4</v>
      </c>
      <c r="S785" s="400">
        <f>SUMIFS(Таблица1[Столбец1],Таблица1[коэф],"1,4",Таблица1[р/р],"4/16",Таблица1[Ф. И. О.],B781)</f>
        <v>0</v>
      </c>
      <c r="T785" s="492">
        <f t="shared" si="261"/>
        <v>0</v>
      </c>
      <c r="U785" s="478">
        <f>база!$M$5</f>
        <v>247.41720000000001</v>
      </c>
      <c r="V785" s="390">
        <v>1.4</v>
      </c>
      <c r="W785" s="412">
        <f>SUMIFS(Таблица1[Столбец1],Таблица1[коэф],"1,4",Таблица1[р/р],"4/24",Таблица1[Ф. И. О.],B781)</f>
        <v>0</v>
      </c>
      <c r="X785" s="492">
        <f t="shared" si="262"/>
        <v>0</v>
      </c>
      <c r="Y785" s="795"/>
      <c r="Z785" s="797"/>
      <c r="AA785" s="786"/>
    </row>
    <row r="786" spans="1:29" ht="19.5" customHeight="1" thickBot="1">
      <c r="A786" s="787"/>
      <c r="B786" s="352"/>
      <c r="C786" s="790"/>
      <c r="D786" s="793"/>
      <c r="E786" s="481"/>
      <c r="F786" s="417"/>
      <c r="G786" s="486"/>
      <c r="H786" s="440">
        <f t="shared" si="271"/>
        <v>0</v>
      </c>
      <c r="I786" s="413"/>
      <c r="J786" s="604"/>
      <c r="K786" s="414"/>
      <c r="L786" s="532">
        <f t="shared" si="260"/>
        <v>0</v>
      </c>
      <c r="M786" s="413"/>
      <c r="N786" s="414"/>
      <c r="O786" s="414"/>
      <c r="P786" s="415"/>
      <c r="Q786" s="692">
        <f>база!$L$6</f>
        <v>261.04640000000001</v>
      </c>
      <c r="R786" s="438">
        <v>1.4</v>
      </c>
      <c r="S786" s="439">
        <f>SUMIFS(Таблица1[Столбец1],Таблица1[коэф],"1,4",Таблица1[р/р],"5/16",Таблица1[Ф. И. О.],B781)</f>
        <v>0</v>
      </c>
      <c r="T786" s="510">
        <f t="shared" si="261"/>
        <v>0</v>
      </c>
      <c r="U786" s="515">
        <f>база!$M$6</f>
        <v>279.0496</v>
      </c>
      <c r="V786" s="403">
        <v>1.4</v>
      </c>
      <c r="W786" s="439">
        <f>SUMIFS(Таблица1[Столбец1],Таблица1[коэф],"1,4",Таблица1[р/р],"5/24",Таблица1[Ф. И. О.],B781)</f>
        <v>0</v>
      </c>
      <c r="X786" s="510">
        <f t="shared" si="262"/>
        <v>0</v>
      </c>
      <c r="Y786" s="795"/>
      <c r="Z786" s="798"/>
      <c r="AA786" s="787"/>
    </row>
    <row r="787" spans="1:29" ht="18.75" customHeight="1">
      <c r="A787" s="785">
        <v>72</v>
      </c>
      <c r="B787" s="216"/>
      <c r="C787" s="788">
        <f>INDEX(база!$E$2:$E$181, MATCH(B792,база!$B$2:$B$160,0))</f>
        <v>17076</v>
      </c>
      <c r="D787" s="791">
        <f>INDEX(база!$D$2:$D$189, MATCH(B792,база!$B$2:$B$160,0))</f>
        <v>3</v>
      </c>
      <c r="E787" s="377">
        <f>IF(D787&lt;=3,база!$I$4,
IF(D787=4,база!$I$5,
IF(D787=5,база!$I$6)))</f>
        <v>188.7912</v>
      </c>
      <c r="F787" s="378">
        <v>1</v>
      </c>
      <c r="G787" s="548">
        <f>SUMIFS(Таблица1[Столбец1],Таблица1[коэф],"1",Таблица1[р/р],"2/4",Таблица1[Ф. И. О.],B792)</f>
        <v>0</v>
      </c>
      <c r="H787" s="693">
        <f t="shared" si="271"/>
        <v>0</v>
      </c>
      <c r="I787" s="426">
        <f>IF(D787&lt;=3,база!$J$4,
IF(D787=4,база!$J$5,
IF(D787=5,база!$J$6)))</f>
        <v>196.05240000000001</v>
      </c>
      <c r="J787" s="427">
        <v>1</v>
      </c>
      <c r="K787" s="428">
        <f>SUMIFS(Таблица1[Столбец1],Таблица1[коэф],"1",Таблица1[р/р],"2/8",Таблица1[Ф. И. О.],B792)</f>
        <v>0</v>
      </c>
      <c r="L787" s="383">
        <f t="shared" si="260"/>
        <v>0</v>
      </c>
      <c r="M787" s="428"/>
      <c r="N787" s="428">
        <v>1</v>
      </c>
      <c r="O787" s="428">
        <f>SUMIFS(Data_Tech!$AM$3:$AM$67,Data_Tech!$E$3:$E$67,"1",Data_Tech!$G$3:$G$67,"3/12",Data_Tech!$F$3:$F$67,B792)</f>
        <v>0</v>
      </c>
      <c r="P787" s="385">
        <f>ROUND(M787*N787*O787,2)</f>
        <v>0</v>
      </c>
      <c r="Q787" s="377">
        <f>IF(D787&lt;=3,база!$L$4,
IF(D787=4,база!$L$5,
IF(D787=5,база!$L$6)))</f>
        <v>210.57480000000001</v>
      </c>
      <c r="R787" s="378">
        <v>1</v>
      </c>
      <c r="S787" s="387">
        <f>SUMIFS(Таблица1[Столбец1],Таблица1[коэф],"1",Таблица1[р/р],"3/16",Таблица1[Ф. И. О.],B792)</f>
        <v>0</v>
      </c>
      <c r="T787" s="490">
        <f t="shared" si="261"/>
        <v>0</v>
      </c>
      <c r="U787" s="477">
        <f>IF(D787&lt;=3,база!$M$4,
IF(D787=4,база!$M$5,
IF(D787=5,база!$M$6)))</f>
        <v>225.09719999999999</v>
      </c>
      <c r="V787" s="378">
        <v>1</v>
      </c>
      <c r="W787" s="430">
        <f>SUMIFS(Таблица1[Столбец1],Таблица1[коэф],"1",Таблица1[р/р],"3/24",Таблица1[Ф. И. О.],B792)</f>
        <v>0</v>
      </c>
      <c r="X787" s="490">
        <f t="shared" si="262"/>
        <v>0</v>
      </c>
      <c r="Y787" s="794">
        <f t="shared" ref="Y787" si="272">SUM(G787:G797,K787:K797,O787:O797,S787:S797,W787:W797)</f>
        <v>0</v>
      </c>
      <c r="Z787" s="797">
        <f t="shared" ref="Z787" si="273">IFERROR(SUM(H787:H797,L787:L797,T787:T797,X787:X797),"")</f>
        <v>0</v>
      </c>
      <c r="AA787" s="786"/>
    </row>
    <row r="788" spans="1:29" ht="18.75" customHeight="1">
      <c r="A788" s="786"/>
      <c r="B788" s="216"/>
      <c r="C788" s="789"/>
      <c r="D788" s="792"/>
      <c r="E788" s="389">
        <f>IF(D787&lt;=3,база!$I$4,
IF(D787=4,база!$I$5,
IF(D787=5,база!$I$6)))</f>
        <v>188.7912</v>
      </c>
      <c r="F788" s="390">
        <v>1</v>
      </c>
      <c r="G788" s="544">
        <f>SUMIFS(Таблица1[Столбец1],Таблица1[коэф],"1",Таблица1[р/р],"3/4",Таблица1[Ф. И. О.],B792)</f>
        <v>0</v>
      </c>
      <c r="H788" s="694">
        <f>ROUND(E788*F788*G788*2,2)</f>
        <v>0</v>
      </c>
      <c r="I788" s="432">
        <f>IF(D787&lt;=3,база!$J$4,
IF(D787=4,база!$J$5,
IF(D787=5,база!$J$6)))</f>
        <v>196.05240000000001</v>
      </c>
      <c r="J788" s="433">
        <v>1</v>
      </c>
      <c r="K788" s="434">
        <f>SUMIFS(Таблица1[Столбец1],Таблица1[коэф],"1",Таблица1[р/р],"3/8",Таблица1[Ф. И. О.],B792)</f>
        <v>0</v>
      </c>
      <c r="L788" s="484">
        <f t="shared" si="260"/>
        <v>0</v>
      </c>
      <c r="M788" s="434"/>
      <c r="N788" s="434">
        <v>1</v>
      </c>
      <c r="O788" s="434">
        <f>SUMIFS(Data_Tech!$AM$3:$AM$67,Data_Tech!$E$3:$E$67,"1",Data_Tech!$G$3:$G$67,"4/12",Data_Tech!$F$3:$F$67,B792)</f>
        <v>0</v>
      </c>
      <c r="P788" s="406">
        <f>ROUND(M788*O788,2)</f>
        <v>0</v>
      </c>
      <c r="Q788" s="389">
        <f>база!$L$5</f>
        <v>231.45480000000001</v>
      </c>
      <c r="R788" s="390">
        <v>1</v>
      </c>
      <c r="S788" s="400">
        <f>SUMIFS(Таблица1[Столбец1],Таблица1[коэф],"1",Таблица1[р/р],"4/16",Таблица1[Ф. И. О.],B792)</f>
        <v>0</v>
      </c>
      <c r="T788" s="492">
        <f t="shared" si="261"/>
        <v>0</v>
      </c>
      <c r="U788" s="478">
        <f>база!$M$5</f>
        <v>247.41720000000001</v>
      </c>
      <c r="V788" s="390">
        <v>1</v>
      </c>
      <c r="W788" s="412">
        <f>SUMIFS(Таблица1[Столбец1],Таблица1[коэф],"1",Таблица1[р/р],"4/24",Таблица1[Ф. И. О.],B792)</f>
        <v>0</v>
      </c>
      <c r="X788" s="492">
        <f t="shared" si="262"/>
        <v>0</v>
      </c>
      <c r="Y788" s="795"/>
      <c r="Z788" s="797"/>
      <c r="AA788" s="786"/>
    </row>
    <row r="789" spans="1:29" ht="18.75" customHeight="1">
      <c r="A789" s="786"/>
      <c r="B789" s="216"/>
      <c r="C789" s="789"/>
      <c r="D789" s="792"/>
      <c r="E789" s="389"/>
      <c r="F789" s="390"/>
      <c r="G789" s="544"/>
      <c r="H789" s="694">
        <f t="shared" ref="H789:H798" si="274">ROUND(E789*F789*G789*2,2)</f>
        <v>0</v>
      </c>
      <c r="I789" s="432"/>
      <c r="J789" s="433"/>
      <c r="K789" s="434"/>
      <c r="L789" s="484">
        <f t="shared" si="260"/>
        <v>0</v>
      </c>
      <c r="M789" s="434"/>
      <c r="N789" s="434"/>
      <c r="O789" s="434"/>
      <c r="P789" s="406"/>
      <c r="Q789" s="389">
        <f>база!$L$6</f>
        <v>261.04640000000001</v>
      </c>
      <c r="R789" s="390">
        <v>1</v>
      </c>
      <c r="S789" s="400">
        <f>SUMIFS(Таблица1[Столбец1],Таблица1[коэф],"1",Таблица1[р/р],"5/16",Таблица1[Ф. И. О.],B792)</f>
        <v>0</v>
      </c>
      <c r="T789" s="492">
        <f t="shared" si="261"/>
        <v>0</v>
      </c>
      <c r="U789" s="478">
        <f>база!$M$6</f>
        <v>279.0496</v>
      </c>
      <c r="V789" s="390">
        <v>1</v>
      </c>
      <c r="W789" s="412">
        <f>SUMIFS(Таблица1[Столбец1],Таблица1[коэф],"1",Таблица1[р/р],"5/24",Таблица1[Ф. И. О.],B792)</f>
        <v>0</v>
      </c>
      <c r="X789" s="492">
        <f t="shared" si="262"/>
        <v>0</v>
      </c>
      <c r="Y789" s="795"/>
      <c r="Z789" s="797"/>
      <c r="AA789" s="786"/>
    </row>
    <row r="790" spans="1:29" ht="18.75" customHeight="1">
      <c r="A790" s="786"/>
      <c r="B790" s="216"/>
      <c r="C790" s="789"/>
      <c r="D790" s="792"/>
      <c r="E790" s="389"/>
      <c r="F790" s="390"/>
      <c r="G790" s="544"/>
      <c r="H790" s="694">
        <f t="shared" si="274"/>
        <v>0</v>
      </c>
      <c r="I790" s="432">
        <f>база!$J$5</f>
        <v>215.4924</v>
      </c>
      <c r="J790" s="433">
        <v>1.5</v>
      </c>
      <c r="K790" s="434">
        <f>SUMIFS(Таблица1[Столбец1],Таблица1[коэф],"1,5",Таблица1[р/р],"4/8",Таблица1[Ф. И. О.],B792)</f>
        <v>0</v>
      </c>
      <c r="L790" s="484">
        <f t="shared" si="260"/>
        <v>0</v>
      </c>
      <c r="M790" s="434"/>
      <c r="N790" s="434"/>
      <c r="O790" s="434"/>
      <c r="P790" s="406"/>
      <c r="Q790" s="389">
        <f>IF(D787&lt;=3,база!$L$4,
IF(D787=4,база!$L$5,
IF(D787=5,база!$L$6)))</f>
        <v>210.57480000000001</v>
      </c>
      <c r="R790" s="390">
        <v>1.2</v>
      </c>
      <c r="S790" s="400">
        <f>SUMIFS(Таблица1[Столбец1],Таблица1[коэф],"1,2",Таблица1[р/р],"3/16",Таблица1[Ф. И. О.],B792)</f>
        <v>0</v>
      </c>
      <c r="T790" s="492">
        <f t="shared" si="261"/>
        <v>0</v>
      </c>
      <c r="U790" s="478">
        <f>IF(D787&lt;=3,база!$M$4,
IF(D787=4,база!$M$5,
IF(D787=5,база!$M$6)))</f>
        <v>225.09719999999999</v>
      </c>
      <c r="V790" s="390">
        <v>1.2</v>
      </c>
      <c r="W790" s="412">
        <f>SUMIFS(Таблица1[Столбец1],Таблица1[коэф],"1,2",Таблица1[р/р],"3/24",Таблица1[Ф. И. О.],B792)</f>
        <v>0</v>
      </c>
      <c r="X790" s="492">
        <f t="shared" si="262"/>
        <v>0</v>
      </c>
      <c r="Y790" s="795"/>
      <c r="Z790" s="797"/>
      <c r="AA790" s="786"/>
    </row>
    <row r="791" spans="1:29" ht="18.75" customHeight="1">
      <c r="A791" s="786"/>
      <c r="B791" s="216"/>
      <c r="C791" s="789"/>
      <c r="D791" s="792"/>
      <c r="E791" s="389"/>
      <c r="F791" s="390"/>
      <c r="G791" s="544"/>
      <c r="H791" s="694">
        <f t="shared" si="274"/>
        <v>0</v>
      </c>
      <c r="I791" s="432">
        <f>база!$J$6</f>
        <v>243.04319999999998</v>
      </c>
      <c r="J791" s="433">
        <v>1.5</v>
      </c>
      <c r="K791" s="434">
        <f>SUMIFS(Таблица1[Столбец1],Таблица1[коэф],"1,5",Таблица1[р/р],"5/8",Таблица1[Ф. И. О.],B792)</f>
        <v>0</v>
      </c>
      <c r="L791" s="484">
        <f t="shared" si="260"/>
        <v>0</v>
      </c>
      <c r="M791" s="434"/>
      <c r="N791" s="434"/>
      <c r="O791" s="434"/>
      <c r="P791" s="406"/>
      <c r="Q791" s="389">
        <f>база!$L$5</f>
        <v>231.45480000000001</v>
      </c>
      <c r="R791" s="390">
        <v>1.2</v>
      </c>
      <c r="S791" s="400">
        <f>SUMIFS(Таблица1[Столбец1],Таблица1[коэф],"1,2",Таблица1[р/р],"4/16",Таблица1[Ф. И. О.],B792)</f>
        <v>0</v>
      </c>
      <c r="T791" s="492">
        <f t="shared" si="261"/>
        <v>0</v>
      </c>
      <c r="U791" s="478">
        <f>база!$M$5</f>
        <v>247.41720000000001</v>
      </c>
      <c r="V791" s="390">
        <v>1.2</v>
      </c>
      <c r="W791" s="412">
        <f>SUMIFS(Таблица1[Столбец1],Таблица1[коэф],"1,2",Таблица1[р/р],"4/24",Таблица1[Ф. И. О.],B792)</f>
        <v>0</v>
      </c>
      <c r="X791" s="492">
        <f t="shared" si="262"/>
        <v>0</v>
      </c>
      <c r="Y791" s="795"/>
      <c r="Z791" s="797"/>
      <c r="AA791" s="786"/>
    </row>
    <row r="792" spans="1:29" ht="18.75" customHeight="1">
      <c r="A792" s="786"/>
      <c r="B792" s="216" t="str">
        <f>база!B73</f>
        <v>Соболева Наталья Александровна</v>
      </c>
      <c r="C792" s="789"/>
      <c r="D792" s="792"/>
      <c r="E792" s="389"/>
      <c r="F792" s="390"/>
      <c r="G792" s="544"/>
      <c r="H792" s="694">
        <f t="shared" si="274"/>
        <v>0</v>
      </c>
      <c r="I792" s="432"/>
      <c r="J792" s="433"/>
      <c r="K792" s="434"/>
      <c r="L792" s="484">
        <f t="shared" si="260"/>
        <v>0</v>
      </c>
      <c r="M792" s="434"/>
      <c r="N792" s="434"/>
      <c r="O792" s="434"/>
      <c r="P792" s="406"/>
      <c r="Q792" s="389">
        <f>база!$L$6</f>
        <v>261.04640000000001</v>
      </c>
      <c r="R792" s="390">
        <v>1.2</v>
      </c>
      <c r="S792" s="400">
        <f>SUMIFS(Таблица1[Столбец1],Таблица1[коэф],"1,2",Таблица1[р/р],"5/16",Таблица1[Ф. И. О.],B792)</f>
        <v>0</v>
      </c>
      <c r="T792" s="492">
        <f t="shared" si="261"/>
        <v>0</v>
      </c>
      <c r="U792" s="478">
        <f>база!$M$6</f>
        <v>279.0496</v>
      </c>
      <c r="V792" s="390">
        <v>1.2</v>
      </c>
      <c r="W792" s="412">
        <f>SUMIFS(Таблица1[Столбец1],Таблица1[коэф],"1,2",Таблица1[р/р],"5/24",Таблица1[Ф. И. О.],B792)</f>
        <v>0</v>
      </c>
      <c r="X792" s="492">
        <f t="shared" si="262"/>
        <v>0</v>
      </c>
      <c r="Y792" s="795"/>
      <c r="Z792" s="797"/>
      <c r="AA792" s="786"/>
      <c r="AC792" s="727" t="str">
        <f>IF(SUMIFS(Таблица1[Столбец3],Таблица1[Ф. И. О.],B792)-Z787=0,"",SUMIFS(Таблица1[Столбец3],Таблица1[Ф. И. О.],B792)-Z787)</f>
        <v/>
      </c>
    </row>
    <row r="793" spans="1:29" ht="18.75" customHeight="1">
      <c r="A793" s="786"/>
      <c r="B793" s="216"/>
      <c r="C793" s="789"/>
      <c r="D793" s="792"/>
      <c r="E793" s="389"/>
      <c r="F793" s="390"/>
      <c r="G793" s="544"/>
      <c r="H793" s="694">
        <f t="shared" si="274"/>
        <v>0</v>
      </c>
      <c r="I793" s="432"/>
      <c r="J793" s="433"/>
      <c r="K793" s="434"/>
      <c r="L793" s="484">
        <f t="shared" si="260"/>
        <v>0</v>
      </c>
      <c r="M793" s="434"/>
      <c r="N793" s="434"/>
      <c r="O793" s="434"/>
      <c r="P793" s="406"/>
      <c r="Q793" s="389">
        <f>IF($D$6&lt;=3,база!$L$4,
IF($D$6=4,база!$L$5,
IF($D$6=5,база!$L$6)))</f>
        <v>231.45480000000001</v>
      </c>
      <c r="R793" s="390">
        <v>1.3</v>
      </c>
      <c r="S793" s="400">
        <f>SUMIFS(Таблица1[Столбец1],Таблица1[коэф],"1,3",Таблица1[р/р],"3/16",Таблица1[Ф. И. О.],B792)</f>
        <v>0</v>
      </c>
      <c r="T793" s="492">
        <f t="shared" si="261"/>
        <v>0</v>
      </c>
      <c r="U793" s="478">
        <f>IF(D787&lt;=3,база!$M$4,
IF(D787=4,база!$M$5,
IF(D787=5,база!$M$6)))</f>
        <v>225.09719999999999</v>
      </c>
      <c r="V793" s="390">
        <v>1.3</v>
      </c>
      <c r="W793" s="412">
        <f>SUMIFS(Таблица1[Столбец1],Таблица1[коэф],"1,3",Таблица1[р/р],"3/24",Таблица1[Ф. И. О.],B792)</f>
        <v>0</v>
      </c>
      <c r="X793" s="492">
        <f t="shared" si="262"/>
        <v>0</v>
      </c>
      <c r="Y793" s="795"/>
      <c r="Z793" s="797"/>
      <c r="AA793" s="786"/>
      <c r="AC793" s="727" t="str">
        <f>IF(SUMIFS(Таблица1[Столбец1],Таблица1[Ф. И. О.],B792)=Y787,"",B792&amp;"  часы не верны")</f>
        <v/>
      </c>
    </row>
    <row r="794" spans="1:29" ht="18.75" customHeight="1">
      <c r="A794" s="786"/>
      <c r="B794" s="216"/>
      <c r="C794" s="789"/>
      <c r="D794" s="792"/>
      <c r="E794" s="389"/>
      <c r="F794" s="390"/>
      <c r="G794" s="544"/>
      <c r="H794" s="694">
        <f t="shared" si="274"/>
        <v>0</v>
      </c>
      <c r="I794" s="432"/>
      <c r="J794" s="433"/>
      <c r="K794" s="434"/>
      <c r="L794" s="484">
        <f t="shared" si="260"/>
        <v>0</v>
      </c>
      <c r="M794" s="434"/>
      <c r="N794" s="434"/>
      <c r="O794" s="434"/>
      <c r="P794" s="406"/>
      <c r="Q794" s="389">
        <f>база!$L$5</f>
        <v>231.45480000000001</v>
      </c>
      <c r="R794" s="390">
        <v>1.3</v>
      </c>
      <c r="S794" s="400">
        <f>SUMIFS(Таблица1[Столбец1],Таблица1[коэф],"1,3",Таблица1[р/р],"4/16",Таблица1[Ф. И. О.],B792)</f>
        <v>0</v>
      </c>
      <c r="T794" s="492">
        <f t="shared" si="261"/>
        <v>0</v>
      </c>
      <c r="U794" s="478">
        <f>база!$M$5</f>
        <v>247.41720000000001</v>
      </c>
      <c r="V794" s="390">
        <v>1.3</v>
      </c>
      <c r="W794" s="412">
        <f>SUMIFS(Таблица1[Столбец1],Таблица1[коэф],"1,3",Таблица1[р/р],"4/24",Таблица1[Ф. И. О.],B792)</f>
        <v>0</v>
      </c>
      <c r="X794" s="492">
        <f t="shared" si="262"/>
        <v>0</v>
      </c>
      <c r="Y794" s="795"/>
      <c r="Z794" s="797"/>
      <c r="AA794" s="786"/>
    </row>
    <row r="795" spans="1:29" ht="18.75" customHeight="1">
      <c r="A795" s="786"/>
      <c r="B795" s="216"/>
      <c r="C795" s="789"/>
      <c r="D795" s="792"/>
      <c r="E795" s="389"/>
      <c r="F795" s="390"/>
      <c r="G795" s="544"/>
      <c r="H795" s="694">
        <f t="shared" si="274"/>
        <v>0</v>
      </c>
      <c r="I795" s="432"/>
      <c r="J795" s="433"/>
      <c r="K795" s="434"/>
      <c r="L795" s="484">
        <f t="shared" si="260"/>
        <v>0</v>
      </c>
      <c r="M795" s="434"/>
      <c r="N795" s="434"/>
      <c r="O795" s="434"/>
      <c r="P795" s="406"/>
      <c r="Q795" s="389">
        <f>IF(D787&lt;=3,база!$L$4,
IF(D787=4,база!$L$5,
IF(D787=5,база!$L$6)))</f>
        <v>210.57480000000001</v>
      </c>
      <c r="R795" s="390">
        <v>1.4</v>
      </c>
      <c r="S795" s="400">
        <f>SUMIFS(Таблица1[Столбец1],Таблица1[коэф],"1,4",Таблица1[р/р],"3/16",Таблица1[Ф. И. О.],B792)</f>
        <v>0</v>
      </c>
      <c r="T795" s="492">
        <f t="shared" si="261"/>
        <v>0</v>
      </c>
      <c r="U795" s="478">
        <f>IF(D787&lt;=3,база!$M$4,
IF(D787=4,база!$M$5,
IF(D787=5,база!$M$6)))</f>
        <v>225.09719999999999</v>
      </c>
      <c r="V795" s="390">
        <v>1.4</v>
      </c>
      <c r="W795" s="412">
        <f>SUMIFS(Таблица1[Столбец1],Таблица1[коэф],"1,4",Таблица1[р/р],"3/24",Таблица1[Ф. И. О.],B792)</f>
        <v>0</v>
      </c>
      <c r="X795" s="492">
        <f t="shared" si="262"/>
        <v>0</v>
      </c>
      <c r="Y795" s="795"/>
      <c r="Z795" s="797"/>
      <c r="AA795" s="786"/>
    </row>
    <row r="796" spans="1:29" ht="18.75" customHeight="1">
      <c r="A796" s="786"/>
      <c r="B796" s="216"/>
      <c r="C796" s="789"/>
      <c r="D796" s="792"/>
      <c r="E796" s="389"/>
      <c r="F796" s="390"/>
      <c r="G796" s="544"/>
      <c r="H796" s="694">
        <f t="shared" si="274"/>
        <v>0</v>
      </c>
      <c r="I796" s="432"/>
      <c r="J796" s="433"/>
      <c r="K796" s="434"/>
      <c r="L796" s="484">
        <f t="shared" si="260"/>
        <v>0</v>
      </c>
      <c r="M796" s="434"/>
      <c r="N796" s="434"/>
      <c r="O796" s="434"/>
      <c r="P796" s="406"/>
      <c r="Q796" s="389">
        <f>база!$L$5</f>
        <v>231.45480000000001</v>
      </c>
      <c r="R796" s="390">
        <v>1.4</v>
      </c>
      <c r="S796" s="400">
        <f>SUMIFS(Таблица1[Столбец1],Таблица1[коэф],"1,4",Таблица1[р/р],"4/16",Таблица1[Ф. И. О.],B792)</f>
        <v>0</v>
      </c>
      <c r="T796" s="492">
        <f t="shared" si="261"/>
        <v>0</v>
      </c>
      <c r="U796" s="478">
        <f>база!$M$5</f>
        <v>247.41720000000001</v>
      </c>
      <c r="V796" s="390">
        <v>1.4</v>
      </c>
      <c r="W796" s="412">
        <f>SUMIFS(Таблица1[Столбец1],Таблица1[коэф],"1,4",Таблица1[р/р],"4/24",Таблица1[Ф. И. О.],B792)</f>
        <v>0</v>
      </c>
      <c r="X796" s="492">
        <f t="shared" si="262"/>
        <v>0</v>
      </c>
      <c r="Y796" s="795"/>
      <c r="Z796" s="797"/>
      <c r="AA796" s="786"/>
    </row>
    <row r="797" spans="1:29" ht="19.5" customHeight="1" thickBot="1">
      <c r="A797" s="787"/>
      <c r="B797" s="352"/>
      <c r="C797" s="790"/>
      <c r="D797" s="793"/>
      <c r="E797" s="481"/>
      <c r="F797" s="417"/>
      <c r="G797" s="691"/>
      <c r="H797" s="695">
        <f t="shared" si="274"/>
        <v>0</v>
      </c>
      <c r="I797" s="654"/>
      <c r="J797" s="617"/>
      <c r="K797" s="655"/>
      <c r="L797" s="537">
        <f t="shared" si="260"/>
        <v>0</v>
      </c>
      <c r="M797" s="654"/>
      <c r="N797" s="655"/>
      <c r="O797" s="655"/>
      <c r="P797" s="538"/>
      <c r="Q797" s="656">
        <f>база!$L$6</f>
        <v>261.04640000000001</v>
      </c>
      <c r="R797" s="446">
        <v>1.4</v>
      </c>
      <c r="S797" s="447">
        <f>SUMIFS(Таблица1[Столбец1],Таблица1[коэф],"1,4",Таблица1[р/р],"5/16",Таблица1[Ф. И. О.],B792)</f>
        <v>0</v>
      </c>
      <c r="T797" s="696">
        <f t="shared" si="261"/>
        <v>0</v>
      </c>
      <c r="U797" s="536">
        <f>база!$M$6</f>
        <v>279.0496</v>
      </c>
      <c r="V797" s="464">
        <v>1.4</v>
      </c>
      <c r="W797" s="447">
        <f>SUMIFS(Таблица1[Столбец1],Таблица1[коэф],"1,4",Таблица1[р/р],"5/24",Таблица1[Ф. И. О.],B792)</f>
        <v>0</v>
      </c>
      <c r="X797" s="696">
        <f t="shared" si="262"/>
        <v>0</v>
      </c>
      <c r="Y797" s="796"/>
      <c r="Z797" s="798"/>
      <c r="AA797" s="787"/>
    </row>
    <row r="798" spans="1:29" ht="18.75" customHeight="1">
      <c r="A798" s="785">
        <v>73</v>
      </c>
      <c r="B798" s="216"/>
      <c r="C798" s="788">
        <f>INDEX(база!$E$2:$E$181, MATCH(B803,база!$B$2:$B$160,0))</f>
        <v>17196</v>
      </c>
      <c r="D798" s="791">
        <f>INDEX(база!$D$2:$D$189, MATCH(B803,база!$B$2:$B$160,0))</f>
        <v>3</v>
      </c>
      <c r="E798" s="377">
        <f>IF(D798&lt;=3,база!$I$4,
IF(D798=4,база!$I$5,
IF(D798=5,база!$I$6)))</f>
        <v>188.7912</v>
      </c>
      <c r="F798" s="378">
        <v>1</v>
      </c>
      <c r="G798" s="387">
        <f>SUMIFS(Таблица1[Столбец1],Таблица1[коэф],"1",Таблица1[р/р],"2/4",Таблица1[Ф. И. О.],B803)</f>
        <v>0</v>
      </c>
      <c r="H798" s="402">
        <f t="shared" si="274"/>
        <v>0</v>
      </c>
      <c r="I798" s="452">
        <f>IF(D798&lt;=3,база!$J$4,
IF(D798=4,база!$J$5,
IF(D798=5,база!$J$6)))</f>
        <v>196.05240000000001</v>
      </c>
      <c r="J798" s="475">
        <v>1</v>
      </c>
      <c r="K798" s="453">
        <f>SUMIFS(Таблица1[Столбец1],Таблица1[коэф],"1",Таблица1[р/р],"2/8",Таблица1[Ф. И. О.],B803)</f>
        <v>0</v>
      </c>
      <c r="L798" s="484">
        <f t="shared" ref="L798:L852" si="275">ROUND(I798*J798*K798*2,2)</f>
        <v>0</v>
      </c>
      <c r="M798" s="453"/>
      <c r="N798" s="453">
        <v>1</v>
      </c>
      <c r="O798" s="453">
        <f>SUMIFS(Data_Tech!$AM$3:$AM$67,Data_Tech!$E$3:$E$67,"1",Data_Tech!$G$3:$G$67,"3/12",Data_Tech!$F$3:$F$67,B803)</f>
        <v>0</v>
      </c>
      <c r="P798" s="398">
        <f>ROUND(M798*N798*O798,2)</f>
        <v>0</v>
      </c>
      <c r="Q798" s="481">
        <f>IF(D798&lt;=3,база!$L$4,
IF(D798=4,база!$L$5,
IF(D798=5,база!$L$6)))</f>
        <v>210.57480000000001</v>
      </c>
      <c r="R798" s="417">
        <v>1</v>
      </c>
      <c r="S798" s="418">
        <f>SUMIFS(Таблица1[Столбец1],Таблица1[коэф],"1",Таблица1[р/р],"3/16",Таблица1[Ф. И. О.],B803)</f>
        <v>0</v>
      </c>
      <c r="T798" s="492">
        <f t="shared" ref="T798:T852" si="276">ROUND(Q798*R798*S798*2,2)</f>
        <v>0</v>
      </c>
      <c r="U798" s="483">
        <f>IF(D798&lt;=3,база!$M$4,
IF(D798=4,база!$M$5,
IF(D798=5,база!$M$6)))</f>
        <v>225.09719999999999</v>
      </c>
      <c r="V798" s="417">
        <v>1</v>
      </c>
      <c r="W798" s="455">
        <f>SUMIFS(Таблица1[Столбец1],Таблица1[коэф],"1",Таблица1[р/р],"3/24",Таблица1[Ф. И. О.],B803)</f>
        <v>0</v>
      </c>
      <c r="X798" s="492">
        <f t="shared" ref="X798:X852" si="277">ROUND(U798*V798*W798*2,2)</f>
        <v>0</v>
      </c>
      <c r="Y798" s="795">
        <f t="shared" ref="Y798" si="278">SUM(G798:G808,K798:K808,O798:O808,S798:S808,W798:W808)</f>
        <v>0</v>
      </c>
      <c r="Z798" s="797">
        <f t="shared" ref="Z798" si="279">IFERROR(SUM(H798:H808,L798:L808,T798:T808,X798:X808),"")</f>
        <v>0</v>
      </c>
      <c r="AA798" s="786"/>
    </row>
    <row r="799" spans="1:29" ht="18.75" customHeight="1">
      <c r="A799" s="786"/>
      <c r="B799" s="216"/>
      <c r="C799" s="789"/>
      <c r="D799" s="792"/>
      <c r="E799" s="389">
        <f>IF(D798&lt;=3,база!$I$4,
IF(D798=4,база!$I$5,
IF(D798=5,база!$I$6)))</f>
        <v>188.7912</v>
      </c>
      <c r="F799" s="390">
        <v>1</v>
      </c>
      <c r="G799" s="400">
        <f>SUMIFS(Таблица1[Столбец1],Таблица1[коэф],"1",Таблица1[р/р],"3/4",Таблица1[Ф. И. О.],B803)</f>
        <v>0</v>
      </c>
      <c r="H799" s="392">
        <f>ROUND(E799*F799*G799*2,2)</f>
        <v>0</v>
      </c>
      <c r="I799" s="432">
        <f>IF(D798&lt;=3,база!$J$4,
IF(D798=4,база!$J$5,
IF(D798=5,база!$J$6)))</f>
        <v>196.05240000000001</v>
      </c>
      <c r="J799" s="433">
        <v>1</v>
      </c>
      <c r="K799" s="434">
        <f>SUMIFS(Таблица1[Столбец1],Таблица1[коэф],"1",Таблица1[р/р],"3/8",Таблица1[Ф. И. О.],B803)</f>
        <v>0</v>
      </c>
      <c r="L799" s="484">
        <f t="shared" si="275"/>
        <v>0</v>
      </c>
      <c r="M799" s="434"/>
      <c r="N799" s="434">
        <v>1</v>
      </c>
      <c r="O799" s="434">
        <f>SUMIFS(Data_Tech!$AM$3:$AM$67,Data_Tech!$E$3:$E$67,"1",Data_Tech!$G$3:$G$67,"4/12",Data_Tech!$F$3:$F$67,B803)</f>
        <v>0</v>
      </c>
      <c r="P799" s="406">
        <f>ROUND(M799*O799,2)</f>
        <v>0</v>
      </c>
      <c r="Q799" s="389">
        <f>база!$L$5</f>
        <v>231.45480000000001</v>
      </c>
      <c r="R799" s="390">
        <v>1</v>
      </c>
      <c r="S799" s="400">
        <f>SUMIFS(Таблица1[Столбец1],Таблица1[коэф],"1",Таблица1[р/р],"4/16",Таблица1[Ф. И. О.],B803)</f>
        <v>0</v>
      </c>
      <c r="T799" s="492">
        <f t="shared" si="276"/>
        <v>0</v>
      </c>
      <c r="U799" s="478">
        <f>база!$M$5</f>
        <v>247.41720000000001</v>
      </c>
      <c r="V799" s="390">
        <v>1</v>
      </c>
      <c r="W799" s="412">
        <f>SUMIFS(Таблица1[Столбец1],Таблица1[коэф],"1",Таблица1[р/р],"4/24",Таблица1[Ф. И. О.],B803)</f>
        <v>0</v>
      </c>
      <c r="X799" s="492">
        <f t="shared" si="277"/>
        <v>0</v>
      </c>
      <c r="Y799" s="795"/>
      <c r="Z799" s="797"/>
      <c r="AA799" s="786"/>
    </row>
    <row r="800" spans="1:29" ht="18.75" customHeight="1">
      <c r="A800" s="786"/>
      <c r="B800" s="216"/>
      <c r="C800" s="789"/>
      <c r="D800" s="792"/>
      <c r="E800" s="389"/>
      <c r="F800" s="390"/>
      <c r="G800" s="400"/>
      <c r="H800" s="392">
        <f t="shared" ref="H800:H809" si="280">ROUND(E800*F800*G800*2,2)</f>
        <v>0</v>
      </c>
      <c r="I800" s="432"/>
      <c r="J800" s="433"/>
      <c r="K800" s="434"/>
      <c r="L800" s="484">
        <f t="shared" si="275"/>
        <v>0</v>
      </c>
      <c r="M800" s="434"/>
      <c r="N800" s="434"/>
      <c r="O800" s="434"/>
      <c r="P800" s="406"/>
      <c r="Q800" s="389">
        <f>база!$L$6</f>
        <v>261.04640000000001</v>
      </c>
      <c r="R800" s="390">
        <v>1</v>
      </c>
      <c r="S800" s="400">
        <f>SUMIFS(Таблица1[Столбец1],Таблица1[коэф],"1",Таблица1[р/р],"5/16",Таблица1[Ф. И. О.],B803)</f>
        <v>0</v>
      </c>
      <c r="T800" s="492">
        <f t="shared" si="276"/>
        <v>0</v>
      </c>
      <c r="U800" s="478">
        <f>база!$M$6</f>
        <v>279.0496</v>
      </c>
      <c r="V800" s="390">
        <v>1</v>
      </c>
      <c r="W800" s="412">
        <f>SUMIFS(Таблица1[Столбец1],Таблица1[коэф],"1",Таблица1[р/р],"5/24",Таблица1[Ф. И. О.],B803)</f>
        <v>0</v>
      </c>
      <c r="X800" s="492">
        <f t="shared" si="277"/>
        <v>0</v>
      </c>
      <c r="Y800" s="795"/>
      <c r="Z800" s="797"/>
      <c r="AA800" s="786"/>
    </row>
    <row r="801" spans="1:29" ht="18.75" customHeight="1">
      <c r="A801" s="786"/>
      <c r="B801" s="216"/>
      <c r="C801" s="789"/>
      <c r="D801" s="792"/>
      <c r="E801" s="389"/>
      <c r="F801" s="390"/>
      <c r="G801" s="400"/>
      <c r="H801" s="392">
        <f t="shared" si="280"/>
        <v>0</v>
      </c>
      <c r="I801" s="432">
        <f>база!$J$5</f>
        <v>215.4924</v>
      </c>
      <c r="J801" s="433">
        <v>1.5</v>
      </c>
      <c r="K801" s="434">
        <f>SUMIFS(Таблица1[Столбец1],Таблица1[коэф],"1,5",Таблица1[р/р],"4/8",Таблица1[Ф. И. О.],B803)</f>
        <v>0</v>
      </c>
      <c r="L801" s="484">
        <f t="shared" si="275"/>
        <v>0</v>
      </c>
      <c r="M801" s="434"/>
      <c r="N801" s="434"/>
      <c r="O801" s="434"/>
      <c r="P801" s="406"/>
      <c r="Q801" s="389">
        <f>IF(D798&lt;=3,база!$L$4,
IF(D798=4,база!$L$5,
IF(D798=5,база!$L$6)))</f>
        <v>210.57480000000001</v>
      </c>
      <c r="R801" s="390">
        <v>1.2</v>
      </c>
      <c r="S801" s="400">
        <f>SUMIFS(Таблица1[Столбец1],Таблица1[коэф],"1,2",Таблица1[р/р],"3/16",Таблица1[Ф. И. О.],B803)</f>
        <v>0</v>
      </c>
      <c r="T801" s="492">
        <f t="shared" si="276"/>
        <v>0</v>
      </c>
      <c r="U801" s="478">
        <f>IF(D798&lt;=3,база!$M$4,
IF(D798=4,база!$M$5,
IF(D798=5,база!$M$6)))</f>
        <v>225.09719999999999</v>
      </c>
      <c r="V801" s="390">
        <v>1.2</v>
      </c>
      <c r="W801" s="412">
        <f>SUMIFS(Таблица1[Столбец1],Таблица1[коэф],"1,2",Таблица1[р/р],"3/24",Таблица1[Ф. И. О.],B803)</f>
        <v>0</v>
      </c>
      <c r="X801" s="492">
        <f t="shared" si="277"/>
        <v>0</v>
      </c>
      <c r="Y801" s="795"/>
      <c r="Z801" s="797"/>
      <c r="AA801" s="786"/>
    </row>
    <row r="802" spans="1:29" ht="18.75" customHeight="1">
      <c r="A802" s="786"/>
      <c r="B802" s="216"/>
      <c r="C802" s="789"/>
      <c r="D802" s="792"/>
      <c r="E802" s="389"/>
      <c r="F802" s="390"/>
      <c r="G802" s="400"/>
      <c r="H802" s="392">
        <f t="shared" si="280"/>
        <v>0</v>
      </c>
      <c r="I802" s="432">
        <f>база!$J$6</f>
        <v>243.04319999999998</v>
      </c>
      <c r="J802" s="433">
        <v>1.5</v>
      </c>
      <c r="K802" s="434">
        <f>SUMIFS(Таблица1[Столбец1],Таблица1[коэф],"1,5",Таблица1[р/р],"5/8",Таблица1[Ф. И. О.],B803)</f>
        <v>0</v>
      </c>
      <c r="L802" s="484">
        <f t="shared" si="275"/>
        <v>0</v>
      </c>
      <c r="M802" s="434"/>
      <c r="N802" s="434"/>
      <c r="O802" s="434"/>
      <c r="P802" s="406"/>
      <c r="Q802" s="389">
        <f>база!$L$5</f>
        <v>231.45480000000001</v>
      </c>
      <c r="R802" s="390">
        <v>1.2</v>
      </c>
      <c r="S802" s="400">
        <f>SUMIFS(Таблица1[Столбец1],Таблица1[коэф],"1,2",Таблица1[р/р],"4/16",Таблица1[Ф. И. О.],B803)</f>
        <v>0</v>
      </c>
      <c r="T802" s="492">
        <f t="shared" si="276"/>
        <v>0</v>
      </c>
      <c r="U802" s="478">
        <f>база!$M$5</f>
        <v>247.41720000000001</v>
      </c>
      <c r="V802" s="390">
        <v>1.2</v>
      </c>
      <c r="W802" s="412">
        <f>SUMIFS(Таблица1[Столбец1],Таблица1[коэф],"1,2",Таблица1[р/р],"4/24",Таблица1[Ф. И. О.],B803)</f>
        <v>0</v>
      </c>
      <c r="X802" s="492">
        <f t="shared" si="277"/>
        <v>0</v>
      </c>
      <c r="Y802" s="795"/>
      <c r="Z802" s="797"/>
      <c r="AA802" s="786"/>
    </row>
    <row r="803" spans="1:29" ht="18.75" customHeight="1">
      <c r="A803" s="786"/>
      <c r="B803" s="216" t="str">
        <f>база!B74</f>
        <v>Старичкова Полина Анатольевна</v>
      </c>
      <c r="C803" s="789"/>
      <c r="D803" s="792"/>
      <c r="E803" s="389"/>
      <c r="F803" s="390"/>
      <c r="G803" s="400"/>
      <c r="H803" s="392">
        <f t="shared" si="280"/>
        <v>0</v>
      </c>
      <c r="I803" s="432"/>
      <c r="J803" s="433"/>
      <c r="K803" s="434"/>
      <c r="L803" s="484">
        <f t="shared" si="275"/>
        <v>0</v>
      </c>
      <c r="M803" s="434"/>
      <c r="N803" s="434"/>
      <c r="O803" s="434"/>
      <c r="P803" s="406"/>
      <c r="Q803" s="389">
        <f>база!$L$6</f>
        <v>261.04640000000001</v>
      </c>
      <c r="R803" s="390">
        <v>1.2</v>
      </c>
      <c r="S803" s="400">
        <f>SUMIFS(Таблица1[Столбец1],Таблица1[коэф],"1,2",Таблица1[р/р],"5/16",Таблица1[Ф. И. О.],B803)</f>
        <v>0</v>
      </c>
      <c r="T803" s="492">
        <f t="shared" si="276"/>
        <v>0</v>
      </c>
      <c r="U803" s="478">
        <f>база!$M$6</f>
        <v>279.0496</v>
      </c>
      <c r="V803" s="390">
        <v>1.2</v>
      </c>
      <c r="W803" s="412">
        <f>SUMIFS(Таблица1[Столбец1],Таблица1[коэф],"1,2",Таблица1[р/р],"5/24",Таблица1[Ф. И. О.],B803)</f>
        <v>0</v>
      </c>
      <c r="X803" s="492">
        <f t="shared" si="277"/>
        <v>0</v>
      </c>
      <c r="Y803" s="795"/>
      <c r="Z803" s="797"/>
      <c r="AA803" s="786"/>
      <c r="AC803" s="727" t="str">
        <f>IF(SUMIFS(Таблица1[Столбец3],Таблица1[Ф. И. О.],B803)-Z798=0,"",SUMIFS(Таблица1[Столбец3],Таблица1[Ф. И. О.],B803)-Z798)</f>
        <v/>
      </c>
    </row>
    <row r="804" spans="1:29" ht="18.75" customHeight="1">
      <c r="A804" s="786"/>
      <c r="B804" s="216"/>
      <c r="C804" s="789"/>
      <c r="D804" s="792"/>
      <c r="E804" s="389"/>
      <c r="F804" s="390"/>
      <c r="G804" s="400"/>
      <c r="H804" s="392">
        <f t="shared" si="280"/>
        <v>0</v>
      </c>
      <c r="I804" s="432"/>
      <c r="J804" s="433"/>
      <c r="K804" s="434"/>
      <c r="L804" s="484">
        <f t="shared" si="275"/>
        <v>0</v>
      </c>
      <c r="M804" s="434"/>
      <c r="N804" s="434"/>
      <c r="O804" s="434"/>
      <c r="P804" s="406"/>
      <c r="Q804" s="389">
        <f>IF($D$6&lt;=3,база!$L$4,
IF($D$6=4,база!$L$5,
IF($D$6=5,база!$L$6)))</f>
        <v>231.45480000000001</v>
      </c>
      <c r="R804" s="390">
        <v>1.3</v>
      </c>
      <c r="S804" s="400">
        <f>SUMIFS(Таблица1[Столбец1],Таблица1[коэф],"1,3",Таблица1[р/р],"3/16",Таблица1[Ф. И. О.],B803)</f>
        <v>0</v>
      </c>
      <c r="T804" s="492">
        <f t="shared" si="276"/>
        <v>0</v>
      </c>
      <c r="U804" s="478">
        <f>IF(D798&lt;=3,база!$M$4,
IF(D798=4,база!$M$5,
IF(D798=5,база!$M$6)))</f>
        <v>225.09719999999999</v>
      </c>
      <c r="V804" s="390">
        <v>1.3</v>
      </c>
      <c r="W804" s="412">
        <f>SUMIFS(Таблица1[Столбец1],Таблица1[коэф],"1,3",Таблица1[р/р],"3/24",Таблица1[Ф. И. О.],B803)</f>
        <v>0</v>
      </c>
      <c r="X804" s="492">
        <f t="shared" si="277"/>
        <v>0</v>
      </c>
      <c r="Y804" s="795"/>
      <c r="Z804" s="797"/>
      <c r="AA804" s="786"/>
      <c r="AC804" s="727" t="str">
        <f>IF(SUMIFS(Таблица1[Столбец1],Таблица1[Ф. И. О.],B803)=Y798,"",B803&amp;"  часы не верны")</f>
        <v/>
      </c>
    </row>
    <row r="805" spans="1:29" ht="18.75" customHeight="1">
      <c r="A805" s="786"/>
      <c r="B805" s="216"/>
      <c r="C805" s="789"/>
      <c r="D805" s="792"/>
      <c r="E805" s="389"/>
      <c r="F805" s="390"/>
      <c r="G805" s="400"/>
      <c r="H805" s="392">
        <f t="shared" si="280"/>
        <v>0</v>
      </c>
      <c r="I805" s="432"/>
      <c r="J805" s="433"/>
      <c r="K805" s="434"/>
      <c r="L805" s="484">
        <f t="shared" si="275"/>
        <v>0</v>
      </c>
      <c r="M805" s="434"/>
      <c r="N805" s="434"/>
      <c r="O805" s="434"/>
      <c r="P805" s="406"/>
      <c r="Q805" s="389">
        <f>база!$L$5</f>
        <v>231.45480000000001</v>
      </c>
      <c r="R805" s="390">
        <v>1.3</v>
      </c>
      <c r="S805" s="400">
        <f>SUMIFS(Таблица1[Столбец1],Таблица1[коэф],"1,3",Таблица1[р/р],"4/16",Таблица1[Ф. И. О.],B803)</f>
        <v>0</v>
      </c>
      <c r="T805" s="492">
        <f t="shared" si="276"/>
        <v>0</v>
      </c>
      <c r="U805" s="478">
        <f>база!$M$5</f>
        <v>247.41720000000001</v>
      </c>
      <c r="V805" s="390">
        <v>1.3</v>
      </c>
      <c r="W805" s="412">
        <f>SUMIFS(Таблица1[Столбец1],Таблица1[коэф],"1,3",Таблица1[р/р],"4/24",Таблица1[Ф. И. О.],B803)</f>
        <v>0</v>
      </c>
      <c r="X805" s="492">
        <f t="shared" si="277"/>
        <v>0</v>
      </c>
      <c r="Y805" s="795"/>
      <c r="Z805" s="797"/>
      <c r="AA805" s="786"/>
    </row>
    <row r="806" spans="1:29" ht="18.75" customHeight="1">
      <c r="A806" s="786"/>
      <c r="B806" s="216"/>
      <c r="C806" s="789"/>
      <c r="D806" s="792"/>
      <c r="E806" s="389"/>
      <c r="F806" s="390"/>
      <c r="G806" s="400"/>
      <c r="H806" s="392">
        <f t="shared" si="280"/>
        <v>0</v>
      </c>
      <c r="I806" s="432"/>
      <c r="J806" s="433"/>
      <c r="K806" s="434"/>
      <c r="L806" s="484">
        <f t="shared" si="275"/>
        <v>0</v>
      </c>
      <c r="M806" s="434"/>
      <c r="N806" s="434"/>
      <c r="O806" s="434"/>
      <c r="P806" s="406"/>
      <c r="Q806" s="389">
        <f>IF(D798&lt;=3,база!$L$4,
IF(D798=4,база!$L$5,
IF(D798=5,база!$L$6)))</f>
        <v>210.57480000000001</v>
      </c>
      <c r="R806" s="390">
        <v>1.4</v>
      </c>
      <c r="S806" s="400">
        <f>SUMIFS(Таблица1[Столбец1],Таблица1[коэф],"1,4",Таблица1[р/р],"3/16",Таблица1[Ф. И. О.],B803)</f>
        <v>0</v>
      </c>
      <c r="T806" s="492">
        <f t="shared" si="276"/>
        <v>0</v>
      </c>
      <c r="U806" s="478">
        <f>IF(D798&lt;=3,база!$M$4,
IF(D798=4,база!$M$5,
IF(D798=5,база!$M$6)))</f>
        <v>225.09719999999999</v>
      </c>
      <c r="V806" s="390">
        <v>1.4</v>
      </c>
      <c r="W806" s="412">
        <f>SUMIFS(Таблица1[Столбец1],Таблица1[коэф],"1,4",Таблица1[р/р],"3/24",Таблица1[Ф. И. О.],B803)</f>
        <v>0</v>
      </c>
      <c r="X806" s="492">
        <f t="shared" si="277"/>
        <v>0</v>
      </c>
      <c r="Y806" s="795"/>
      <c r="Z806" s="797"/>
      <c r="AA806" s="786"/>
    </row>
    <row r="807" spans="1:29" ht="18.75" customHeight="1">
      <c r="A807" s="786"/>
      <c r="B807" s="216"/>
      <c r="C807" s="789"/>
      <c r="D807" s="792"/>
      <c r="E807" s="389"/>
      <c r="F807" s="390"/>
      <c r="G807" s="400"/>
      <c r="H807" s="392">
        <f t="shared" si="280"/>
        <v>0</v>
      </c>
      <c r="I807" s="432"/>
      <c r="J807" s="433"/>
      <c r="K807" s="434"/>
      <c r="L807" s="484">
        <f t="shared" si="275"/>
        <v>0</v>
      </c>
      <c r="M807" s="434"/>
      <c r="N807" s="434"/>
      <c r="O807" s="434"/>
      <c r="P807" s="406"/>
      <c r="Q807" s="389">
        <f>база!$L$5</f>
        <v>231.45480000000001</v>
      </c>
      <c r="R807" s="390">
        <v>1.4</v>
      </c>
      <c r="S807" s="400">
        <f>SUMIFS(Таблица1[Столбец1],Таблица1[коэф],"1,4",Таблица1[р/р],"4/16",Таблица1[Ф. И. О.],B803)</f>
        <v>0</v>
      </c>
      <c r="T807" s="492">
        <f t="shared" si="276"/>
        <v>0</v>
      </c>
      <c r="U807" s="478">
        <f>база!$M$5</f>
        <v>247.41720000000001</v>
      </c>
      <c r="V807" s="390">
        <v>1.4</v>
      </c>
      <c r="W807" s="412">
        <f>SUMIFS(Таблица1[Столбец1],Таблица1[коэф],"1,4",Таблица1[р/р],"4/24",Таблица1[Ф. И. О.],B803)</f>
        <v>0</v>
      </c>
      <c r="X807" s="492">
        <f t="shared" si="277"/>
        <v>0</v>
      </c>
      <c r="Y807" s="795"/>
      <c r="Z807" s="797"/>
      <c r="AA807" s="786"/>
    </row>
    <row r="808" spans="1:29" ht="19.5" customHeight="1" thickBot="1">
      <c r="A808" s="787"/>
      <c r="B808" s="352"/>
      <c r="C808" s="790"/>
      <c r="D808" s="793"/>
      <c r="E808" s="481"/>
      <c r="F808" s="417"/>
      <c r="G808" s="486"/>
      <c r="H808" s="468">
        <f t="shared" si="280"/>
        <v>0</v>
      </c>
      <c r="I808" s="651"/>
      <c r="J808" s="456"/>
      <c r="K808" s="652"/>
      <c r="L808" s="458">
        <f t="shared" si="275"/>
        <v>0</v>
      </c>
      <c r="M808" s="651"/>
      <c r="N808" s="652"/>
      <c r="O808" s="652"/>
      <c r="P808" s="476"/>
      <c r="Q808" s="658">
        <f>база!$L$6</f>
        <v>261.04640000000001</v>
      </c>
      <c r="R808" s="464">
        <v>1.4</v>
      </c>
      <c r="S808" s="465">
        <f>SUMIFS(Таблица1[Столбец1],Таблица1[коэф],"1,4",Таблица1[р/р],"5/16",Таблица1[Ф. И. О.],B803)</f>
        <v>0</v>
      </c>
      <c r="T808" s="513">
        <f t="shared" si="276"/>
        <v>0</v>
      </c>
      <c r="U808" s="463">
        <f>база!$M$6</f>
        <v>279.0496</v>
      </c>
      <c r="V808" s="464">
        <v>1.4</v>
      </c>
      <c r="W808" s="465">
        <f>SUMIFS(Таблица1[Столбец1],Таблица1[коэф],"1,4",Таблица1[р/р],"5/24",Таблица1[Ф. И. О.],B803)</f>
        <v>0</v>
      </c>
      <c r="X808" s="513">
        <f t="shared" si="277"/>
        <v>0</v>
      </c>
      <c r="Y808" s="796"/>
      <c r="Z808" s="798"/>
      <c r="AA808" s="787"/>
    </row>
    <row r="809" spans="1:29" ht="18.75" customHeight="1">
      <c r="A809" s="785">
        <v>74</v>
      </c>
      <c r="B809" s="216"/>
      <c r="C809" s="788">
        <f>INDEX(база!$E$2:$E$181, MATCH(B814,база!$B$2:$B$160,0))</f>
        <v>17266</v>
      </c>
      <c r="D809" s="791">
        <f>INDEX(база!$D$2:$D$189, MATCH(B814,база!$B$2:$B$160,0))</f>
        <v>3</v>
      </c>
      <c r="E809" s="377">
        <f>IF(D809&lt;=3,база!$I$4,
IF(D809=4,база!$I$5,
IF(D809=5,база!$I$6)))</f>
        <v>188.7912</v>
      </c>
      <c r="F809" s="378">
        <v>1</v>
      </c>
      <c r="G809" s="387">
        <f>SUMIFS(Таблица1[Столбец1],Таблица1[коэф],"1",Таблица1[р/р],"2/4",Таблица1[Ф. И. О.],B814)</f>
        <v>0</v>
      </c>
      <c r="H809" s="402">
        <f t="shared" si="280"/>
        <v>0</v>
      </c>
      <c r="I809" s="452">
        <f>IF(D809&lt;=3,база!$J$4,
IF(D809=4,база!$J$5,
IF(D809=5,база!$J$6)))</f>
        <v>196.05240000000001</v>
      </c>
      <c r="J809" s="475">
        <v>1</v>
      </c>
      <c r="K809" s="453">
        <f>SUMIFS(Таблица1[Столбец1],Таблица1[коэф],"1",Таблица1[р/р],"2/8",Таблица1[Ф. И. О.],B814)</f>
        <v>0</v>
      </c>
      <c r="L809" s="484">
        <f t="shared" si="275"/>
        <v>0</v>
      </c>
      <c r="M809" s="453"/>
      <c r="N809" s="453">
        <v>1</v>
      </c>
      <c r="O809" s="453">
        <f>SUMIFS(Data_Tech!$AM$3:$AM$67,Data_Tech!$E$3:$E$67,"1",Data_Tech!$G$3:$G$67,"3/12",Data_Tech!$F$3:$F$67,B814)</f>
        <v>0</v>
      </c>
      <c r="P809" s="398">
        <f>ROUND(M809*N809*O809,2)</f>
        <v>0</v>
      </c>
      <c r="Q809" s="481">
        <f>IF(D809&lt;=3,база!$L$4,
IF(D809=4,база!$L$5,
IF(D809=5,база!$L$6)))</f>
        <v>210.57480000000001</v>
      </c>
      <c r="R809" s="417">
        <v>1</v>
      </c>
      <c r="S809" s="418">
        <f>SUMIFS(Таблица1[Столбец1],Таблица1[коэф],"1",Таблица1[р/р],"3/16",Таблица1[Ф. И. О.],B814)</f>
        <v>0</v>
      </c>
      <c r="T809" s="492">
        <f t="shared" si="276"/>
        <v>0</v>
      </c>
      <c r="U809" s="483">
        <f>IF(D809&lt;=3,база!$M$4,
IF(D809=4,база!$M$5,
IF(D809=5,база!$M$6)))</f>
        <v>225.09719999999999</v>
      </c>
      <c r="V809" s="417">
        <v>1</v>
      </c>
      <c r="W809" s="455">
        <f>SUMIFS(Таблица1[Столбец1],Таблица1[коэф],"1",Таблица1[р/р],"3/24",Таблица1[Ф. И. О.],B814)</f>
        <v>0</v>
      </c>
      <c r="X809" s="492">
        <f t="shared" si="277"/>
        <v>0</v>
      </c>
      <c r="Y809" s="795">
        <f t="shared" ref="Y809" si="281">SUM(G809:G819,K809:K819,O809:O819,S809:S819,W809:W819)</f>
        <v>0</v>
      </c>
      <c r="Z809" s="797">
        <f t="shared" ref="Z809" si="282">IFERROR(SUM(H809:H819,L809:L819,T809:T819,X809:X819),"")</f>
        <v>0</v>
      </c>
      <c r="AA809" s="786"/>
    </row>
    <row r="810" spans="1:29" ht="18.75" customHeight="1">
      <c r="A810" s="786"/>
      <c r="B810" s="216"/>
      <c r="C810" s="789"/>
      <c r="D810" s="792"/>
      <c r="E810" s="389">
        <f>IF(D809&lt;=3,база!$I$4,
IF(D809=4,база!$I$5,
IF(D809=5,база!$I$6)))</f>
        <v>188.7912</v>
      </c>
      <c r="F810" s="390">
        <v>1</v>
      </c>
      <c r="G810" s="400">
        <f>SUMIFS(Таблица1[Столбец1],Таблица1[коэф],"1",Таблица1[р/р],"3/4",Таблица1[Ф. И. О.],B814)</f>
        <v>0</v>
      </c>
      <c r="H810" s="392">
        <f>ROUND(E810*F810*G810*2,2)</f>
        <v>0</v>
      </c>
      <c r="I810" s="432">
        <f>IF(D809&lt;=3,база!$J$4,
IF(D809=4,база!$J$5,
IF(D809=5,база!$J$6)))</f>
        <v>196.05240000000001</v>
      </c>
      <c r="J810" s="433">
        <v>1</v>
      </c>
      <c r="K810" s="434">
        <f>SUMIFS(Таблица1[Столбец1],Таблица1[коэф],"1",Таблица1[р/р],"3/8",Таблица1[Ф. И. О.],B814)</f>
        <v>0</v>
      </c>
      <c r="L810" s="484">
        <f t="shared" si="275"/>
        <v>0</v>
      </c>
      <c r="M810" s="434"/>
      <c r="N810" s="434">
        <v>1</v>
      </c>
      <c r="O810" s="434">
        <f>SUMIFS(Data_Tech!$AM$3:$AM$67,Data_Tech!$E$3:$E$67,"1",Data_Tech!$G$3:$G$67,"4/12",Data_Tech!$F$3:$F$67,B814)</f>
        <v>0</v>
      </c>
      <c r="P810" s="406">
        <f>ROUND(M810*O810,2)</f>
        <v>0</v>
      </c>
      <c r="Q810" s="389">
        <f>база!$L$5</f>
        <v>231.45480000000001</v>
      </c>
      <c r="R810" s="390">
        <v>1</v>
      </c>
      <c r="S810" s="400">
        <f>SUMIFS(Таблица1[Столбец1],Таблица1[коэф],"1",Таблица1[р/р],"4/16",Таблица1[Ф. И. О.],B814)</f>
        <v>0</v>
      </c>
      <c r="T810" s="492">
        <f t="shared" si="276"/>
        <v>0</v>
      </c>
      <c r="U810" s="478">
        <f>база!$M$5</f>
        <v>247.41720000000001</v>
      </c>
      <c r="V810" s="390">
        <v>1</v>
      </c>
      <c r="W810" s="412">
        <f>SUMIFS(Таблица1[Столбец1],Таблица1[коэф],"1",Таблица1[р/р],"4/24",Таблица1[Ф. И. О.],B814)</f>
        <v>0</v>
      </c>
      <c r="X810" s="492">
        <f t="shared" si="277"/>
        <v>0</v>
      </c>
      <c r="Y810" s="795"/>
      <c r="Z810" s="797"/>
      <c r="AA810" s="786"/>
    </row>
    <row r="811" spans="1:29" ht="18.75" customHeight="1">
      <c r="A811" s="786"/>
      <c r="B811" s="216"/>
      <c r="C811" s="789"/>
      <c r="D811" s="792"/>
      <c r="E811" s="389"/>
      <c r="F811" s="390"/>
      <c r="G811" s="400"/>
      <c r="H811" s="392">
        <f t="shared" ref="H811:H820" si="283">ROUND(E811*F811*G811*2,2)</f>
        <v>0</v>
      </c>
      <c r="I811" s="432"/>
      <c r="J811" s="433"/>
      <c r="K811" s="434"/>
      <c r="L811" s="484">
        <f t="shared" si="275"/>
        <v>0</v>
      </c>
      <c r="M811" s="434"/>
      <c r="N811" s="434"/>
      <c r="O811" s="434"/>
      <c r="P811" s="406"/>
      <c r="Q811" s="389">
        <f>база!$L$6</f>
        <v>261.04640000000001</v>
      </c>
      <c r="R811" s="390">
        <v>1</v>
      </c>
      <c r="S811" s="400">
        <f>SUMIFS(Таблица1[Столбец1],Таблица1[коэф],"1",Таблица1[р/р],"5/16",Таблица1[Ф. И. О.],B814)</f>
        <v>0</v>
      </c>
      <c r="T811" s="492">
        <f t="shared" si="276"/>
        <v>0</v>
      </c>
      <c r="U811" s="478">
        <f>база!$M$6</f>
        <v>279.0496</v>
      </c>
      <c r="V811" s="390">
        <v>1</v>
      </c>
      <c r="W811" s="412">
        <f>SUMIFS(Таблица1[Столбец1],Таблица1[коэф],"1",Таблица1[р/р],"5/24",Таблица1[Ф. И. О.],B814)</f>
        <v>0</v>
      </c>
      <c r="X811" s="492">
        <f t="shared" si="277"/>
        <v>0</v>
      </c>
      <c r="Y811" s="795"/>
      <c r="Z811" s="797"/>
      <c r="AA811" s="786"/>
    </row>
    <row r="812" spans="1:29" ht="18.75" customHeight="1">
      <c r="A812" s="786"/>
      <c r="B812" s="216"/>
      <c r="C812" s="789"/>
      <c r="D812" s="792"/>
      <c r="E812" s="389"/>
      <c r="F812" s="390"/>
      <c r="G812" s="400"/>
      <c r="H812" s="392">
        <f t="shared" si="283"/>
        <v>0</v>
      </c>
      <c r="I812" s="432">
        <f>база!$J$5</f>
        <v>215.4924</v>
      </c>
      <c r="J812" s="433">
        <v>1.5</v>
      </c>
      <c r="K812" s="434">
        <f>SUMIFS(Таблица1[Столбец1],Таблица1[коэф],"1,5",Таблица1[р/р],"4/8",Таблица1[Ф. И. О.],B814)</f>
        <v>0</v>
      </c>
      <c r="L812" s="484">
        <f t="shared" si="275"/>
        <v>0</v>
      </c>
      <c r="M812" s="434"/>
      <c r="N812" s="434"/>
      <c r="O812" s="434"/>
      <c r="P812" s="406"/>
      <c r="Q812" s="389">
        <f>IF(D809&lt;=3,база!$L$4,
IF(D809=4,база!$L$5,
IF(D809=5,база!$L$6)))</f>
        <v>210.57480000000001</v>
      </c>
      <c r="R812" s="390">
        <v>1.2</v>
      </c>
      <c r="S812" s="400">
        <f>SUMIFS(Таблица1[Столбец1],Таблица1[коэф],"1,2",Таблица1[р/р],"3/16",Таблица1[Ф. И. О.],B814)</f>
        <v>0</v>
      </c>
      <c r="T812" s="492">
        <f t="shared" si="276"/>
        <v>0</v>
      </c>
      <c r="U812" s="478">
        <f>IF(D809&lt;=3,база!$M$4,
IF(D809=4,база!$M$5,
IF(D809=5,база!$M$6)))</f>
        <v>225.09719999999999</v>
      </c>
      <c r="V812" s="390">
        <v>1.2</v>
      </c>
      <c r="W812" s="412">
        <f>SUMIFS(Таблица1[Столбец1],Таблица1[коэф],"1,2",Таблица1[р/р],"3/24",Таблица1[Ф. И. О.],B814)</f>
        <v>0</v>
      </c>
      <c r="X812" s="492">
        <f t="shared" si="277"/>
        <v>0</v>
      </c>
      <c r="Y812" s="795"/>
      <c r="Z812" s="797"/>
      <c r="AA812" s="786"/>
    </row>
    <row r="813" spans="1:29" ht="18.75" customHeight="1">
      <c r="A813" s="786"/>
      <c r="B813" s="216"/>
      <c r="C813" s="789"/>
      <c r="D813" s="792"/>
      <c r="E813" s="389"/>
      <c r="F813" s="390"/>
      <c r="G813" s="400"/>
      <c r="H813" s="392">
        <f t="shared" si="283"/>
        <v>0</v>
      </c>
      <c r="I813" s="432">
        <f>база!$J$6</f>
        <v>243.04319999999998</v>
      </c>
      <c r="J813" s="433">
        <v>1.5</v>
      </c>
      <c r="K813" s="434">
        <f>SUMIFS(Таблица1[Столбец1],Таблица1[коэф],"1,5",Таблица1[р/р],"5/8",Таблица1[Ф. И. О.],B814)</f>
        <v>0</v>
      </c>
      <c r="L813" s="484">
        <f t="shared" si="275"/>
        <v>0</v>
      </c>
      <c r="M813" s="434"/>
      <c r="N813" s="434"/>
      <c r="O813" s="434"/>
      <c r="P813" s="406"/>
      <c r="Q813" s="389">
        <f>база!$L$5</f>
        <v>231.45480000000001</v>
      </c>
      <c r="R813" s="390">
        <v>1.2</v>
      </c>
      <c r="S813" s="400">
        <f>SUMIFS(Таблица1[Столбец1],Таблица1[коэф],"1,2",Таблица1[р/р],"4/16",Таблица1[Ф. И. О.],B814)</f>
        <v>0</v>
      </c>
      <c r="T813" s="492">
        <f t="shared" si="276"/>
        <v>0</v>
      </c>
      <c r="U813" s="478">
        <f>база!$M$5</f>
        <v>247.41720000000001</v>
      </c>
      <c r="V813" s="390">
        <v>1.2</v>
      </c>
      <c r="W813" s="412">
        <f>SUMIFS(Таблица1[Столбец1],Таблица1[коэф],"1,2",Таблица1[р/р],"4/24",Таблица1[Ф. И. О.],B814)</f>
        <v>0</v>
      </c>
      <c r="X813" s="492">
        <f t="shared" si="277"/>
        <v>0</v>
      </c>
      <c r="Y813" s="795"/>
      <c r="Z813" s="797"/>
      <c r="AA813" s="786"/>
    </row>
    <row r="814" spans="1:29" ht="18.75" customHeight="1">
      <c r="A814" s="786"/>
      <c r="B814" s="216" t="str">
        <f>база!B75</f>
        <v>Степанова Ольга Юрьевна</v>
      </c>
      <c r="C814" s="789"/>
      <c r="D814" s="792"/>
      <c r="E814" s="389"/>
      <c r="F814" s="390"/>
      <c r="G814" s="400"/>
      <c r="H814" s="392">
        <f t="shared" si="283"/>
        <v>0</v>
      </c>
      <c r="I814" s="432"/>
      <c r="J814" s="433"/>
      <c r="K814" s="434"/>
      <c r="L814" s="484">
        <f t="shared" si="275"/>
        <v>0</v>
      </c>
      <c r="M814" s="434"/>
      <c r="N814" s="434"/>
      <c r="O814" s="434"/>
      <c r="P814" s="406"/>
      <c r="Q814" s="389">
        <f>база!$L$6</f>
        <v>261.04640000000001</v>
      </c>
      <c r="R814" s="390">
        <v>1.2</v>
      </c>
      <c r="S814" s="400">
        <f>SUMIFS(Таблица1[Столбец1],Таблица1[коэф],"1,2",Таблица1[р/р],"5/16",Таблица1[Ф. И. О.],B814)</f>
        <v>0</v>
      </c>
      <c r="T814" s="492">
        <f t="shared" si="276"/>
        <v>0</v>
      </c>
      <c r="U814" s="478">
        <f>база!$M$6</f>
        <v>279.0496</v>
      </c>
      <c r="V814" s="390">
        <v>1.2</v>
      </c>
      <c r="W814" s="412">
        <f>SUMIFS(Таблица1[Столбец1],Таблица1[коэф],"1,2",Таблица1[р/р],"5/24",Таблица1[Ф. И. О.],B814)</f>
        <v>0</v>
      </c>
      <c r="X814" s="492">
        <f t="shared" si="277"/>
        <v>0</v>
      </c>
      <c r="Y814" s="795"/>
      <c r="Z814" s="797"/>
      <c r="AA814" s="786"/>
      <c r="AC814" s="727" t="str">
        <f>IF(SUMIFS(Таблица1[Столбец3],Таблица1[Ф. И. О.],B814)-Z809=0,"",SUMIFS(Таблица1[Столбец3],Таблица1[Ф. И. О.],B814)-Z809)</f>
        <v/>
      </c>
    </row>
    <row r="815" spans="1:29" ht="18.75" customHeight="1">
      <c r="A815" s="786"/>
      <c r="B815" s="216"/>
      <c r="C815" s="789"/>
      <c r="D815" s="792"/>
      <c r="E815" s="389"/>
      <c r="F815" s="390"/>
      <c r="G815" s="400"/>
      <c r="H815" s="392">
        <f t="shared" si="283"/>
        <v>0</v>
      </c>
      <c r="I815" s="432"/>
      <c r="J815" s="433"/>
      <c r="K815" s="434"/>
      <c r="L815" s="484">
        <f t="shared" si="275"/>
        <v>0</v>
      </c>
      <c r="M815" s="434"/>
      <c r="N815" s="434"/>
      <c r="O815" s="434"/>
      <c r="P815" s="406"/>
      <c r="Q815" s="389">
        <f>IF($D$6&lt;=3,база!$L$4,
IF($D$6=4,база!$L$5,
IF($D$6=5,база!$L$6)))</f>
        <v>231.45480000000001</v>
      </c>
      <c r="R815" s="390">
        <v>1.3</v>
      </c>
      <c r="S815" s="400">
        <f>SUMIFS(Таблица1[Столбец1],Таблица1[коэф],"1,3",Таблица1[р/р],"3/16",Таблица1[Ф. И. О.],B814)</f>
        <v>0</v>
      </c>
      <c r="T815" s="492">
        <f t="shared" si="276"/>
        <v>0</v>
      </c>
      <c r="U815" s="478">
        <f>IF(D809&lt;=3,база!$M$4,
IF(D809=4,база!$M$5,
IF(D809=5,база!$M$6)))</f>
        <v>225.09719999999999</v>
      </c>
      <c r="V815" s="390">
        <v>1.3</v>
      </c>
      <c r="W815" s="412">
        <f>SUMIFS(Таблица1[Столбец1],Таблица1[коэф],"1,3",Таблица1[р/р],"3/24",Таблица1[Ф. И. О.],B814)</f>
        <v>0</v>
      </c>
      <c r="X815" s="492">
        <f t="shared" si="277"/>
        <v>0</v>
      </c>
      <c r="Y815" s="795"/>
      <c r="Z815" s="797"/>
      <c r="AA815" s="786"/>
      <c r="AC815" s="727" t="str">
        <f>IF(SUMIFS(Таблица1[Столбец1],Таблица1[Ф. И. О.],B814)=Y809,"",B814&amp;"  часы не верны")</f>
        <v/>
      </c>
    </row>
    <row r="816" spans="1:29" ht="18.75" customHeight="1">
      <c r="A816" s="786"/>
      <c r="B816" s="216"/>
      <c r="C816" s="789"/>
      <c r="D816" s="792"/>
      <c r="E816" s="389"/>
      <c r="F816" s="390"/>
      <c r="G816" s="400"/>
      <c r="H816" s="392">
        <f t="shared" si="283"/>
        <v>0</v>
      </c>
      <c r="I816" s="432"/>
      <c r="J816" s="433"/>
      <c r="K816" s="434"/>
      <c r="L816" s="484">
        <f t="shared" si="275"/>
        <v>0</v>
      </c>
      <c r="M816" s="434"/>
      <c r="N816" s="434"/>
      <c r="O816" s="434"/>
      <c r="P816" s="406"/>
      <c r="Q816" s="389">
        <f>база!$L$5</f>
        <v>231.45480000000001</v>
      </c>
      <c r="R816" s="390">
        <v>1.3</v>
      </c>
      <c r="S816" s="400">
        <f>SUMIFS(Таблица1[Столбец1],Таблица1[коэф],"1,3",Таблица1[р/р],"4/16",Таблица1[Ф. И. О.],B814)</f>
        <v>0</v>
      </c>
      <c r="T816" s="492">
        <f t="shared" si="276"/>
        <v>0</v>
      </c>
      <c r="U816" s="478">
        <f>база!$M$5</f>
        <v>247.41720000000001</v>
      </c>
      <c r="V816" s="390">
        <v>1.3</v>
      </c>
      <c r="W816" s="412">
        <f>SUMIFS(Таблица1[Столбец1],Таблица1[коэф],"1,3",Таблица1[р/р],"4/24",Таблица1[Ф. И. О.],B814)</f>
        <v>0</v>
      </c>
      <c r="X816" s="492">
        <f t="shared" si="277"/>
        <v>0</v>
      </c>
      <c r="Y816" s="795"/>
      <c r="Z816" s="797"/>
      <c r="AA816" s="786"/>
    </row>
    <row r="817" spans="1:29" ht="18.75" customHeight="1">
      <c r="A817" s="786"/>
      <c r="B817" s="216"/>
      <c r="C817" s="789"/>
      <c r="D817" s="792"/>
      <c r="E817" s="389"/>
      <c r="F817" s="390"/>
      <c r="G817" s="400"/>
      <c r="H817" s="392">
        <f t="shared" si="283"/>
        <v>0</v>
      </c>
      <c r="I817" s="432"/>
      <c r="J817" s="433"/>
      <c r="K817" s="434"/>
      <c r="L817" s="484">
        <f t="shared" si="275"/>
        <v>0</v>
      </c>
      <c r="M817" s="434"/>
      <c r="N817" s="434"/>
      <c r="O817" s="434"/>
      <c r="P817" s="406"/>
      <c r="Q817" s="389">
        <f>IF(D809&lt;=3,база!$L$4,
IF(D809=4,база!$L$5,
IF(D809=5,база!$L$6)))</f>
        <v>210.57480000000001</v>
      </c>
      <c r="R817" s="390">
        <v>1.4</v>
      </c>
      <c r="S817" s="400">
        <f>SUMIFS(Таблица1[Столбец1],Таблица1[коэф],"1,4",Таблица1[р/р],"3/16",Таблица1[Ф. И. О.],B814)</f>
        <v>0</v>
      </c>
      <c r="T817" s="492">
        <f t="shared" si="276"/>
        <v>0</v>
      </c>
      <c r="U817" s="478">
        <f>IF(D809&lt;=3,база!$M$4,
IF(D809=4,база!$M$5,
IF(D809=5,база!$M$6)))</f>
        <v>225.09719999999999</v>
      </c>
      <c r="V817" s="390">
        <v>1.4</v>
      </c>
      <c r="W817" s="412">
        <f>SUMIFS(Таблица1[Столбец1],Таблица1[коэф],"1,4",Таблица1[р/р],"3/24",Таблица1[Ф. И. О.],B814)</f>
        <v>0</v>
      </c>
      <c r="X817" s="492">
        <f t="shared" si="277"/>
        <v>0</v>
      </c>
      <c r="Y817" s="795"/>
      <c r="Z817" s="797"/>
      <c r="AA817" s="786"/>
    </row>
    <row r="818" spans="1:29" ht="18.75" customHeight="1">
      <c r="A818" s="786"/>
      <c r="B818" s="216"/>
      <c r="C818" s="789"/>
      <c r="D818" s="792"/>
      <c r="E818" s="389"/>
      <c r="F818" s="390"/>
      <c r="G818" s="400"/>
      <c r="H818" s="392">
        <f t="shared" si="283"/>
        <v>0</v>
      </c>
      <c r="I818" s="432"/>
      <c r="J818" s="433"/>
      <c r="K818" s="434"/>
      <c r="L818" s="484">
        <f t="shared" si="275"/>
        <v>0</v>
      </c>
      <c r="M818" s="434"/>
      <c r="N818" s="434"/>
      <c r="O818" s="434"/>
      <c r="P818" s="406"/>
      <c r="Q818" s="389">
        <f>база!$L$5</f>
        <v>231.45480000000001</v>
      </c>
      <c r="R818" s="390">
        <v>1.4</v>
      </c>
      <c r="S818" s="400">
        <f>SUMIFS(Таблица1[Столбец1],Таблица1[коэф],"1,4",Таблица1[р/р],"4/16",Таблица1[Ф. И. О.],B814)</f>
        <v>0</v>
      </c>
      <c r="T818" s="492">
        <f t="shared" si="276"/>
        <v>0</v>
      </c>
      <c r="U818" s="478">
        <f>база!$M$5</f>
        <v>247.41720000000001</v>
      </c>
      <c r="V818" s="390">
        <v>1.4</v>
      </c>
      <c r="W818" s="412">
        <f>SUMIFS(Таблица1[Столбец1],Таблица1[коэф],"1,4",Таблица1[р/р],"4/24",Таблица1[Ф. И. О.],B814)</f>
        <v>0</v>
      </c>
      <c r="X818" s="492">
        <f t="shared" si="277"/>
        <v>0</v>
      </c>
      <c r="Y818" s="795"/>
      <c r="Z818" s="797"/>
      <c r="AA818" s="786"/>
    </row>
    <row r="819" spans="1:29" ht="19.5" customHeight="1" thickBot="1">
      <c r="A819" s="787"/>
      <c r="B819" s="352"/>
      <c r="C819" s="790"/>
      <c r="D819" s="793"/>
      <c r="E819" s="481"/>
      <c r="F819" s="417"/>
      <c r="G819" s="486"/>
      <c r="H819" s="440">
        <f t="shared" si="283"/>
        <v>0</v>
      </c>
      <c r="I819" s="413"/>
      <c r="J819" s="604"/>
      <c r="K819" s="414"/>
      <c r="L819" s="532">
        <f t="shared" si="275"/>
        <v>0</v>
      </c>
      <c r="M819" s="413"/>
      <c r="N819" s="414"/>
      <c r="O819" s="414"/>
      <c r="P819" s="415"/>
      <c r="Q819" s="692">
        <f>база!$L$6</f>
        <v>261.04640000000001</v>
      </c>
      <c r="R819" s="438">
        <v>1.4</v>
      </c>
      <c r="S819" s="439">
        <f>SUMIFS(Таблица1[Столбец1],Таблица1[коэф],"1,4",Таблица1[р/р],"5/16",Таблица1[Ф. И. О.],B814)</f>
        <v>0</v>
      </c>
      <c r="T819" s="510">
        <f t="shared" si="276"/>
        <v>0</v>
      </c>
      <c r="U819" s="515">
        <f>база!$M$6</f>
        <v>279.0496</v>
      </c>
      <c r="V819" s="403">
        <v>1.4</v>
      </c>
      <c r="W819" s="439">
        <f>SUMIFS(Таблица1[Столбец1],Таблица1[коэф],"1,4",Таблица1[р/р],"5/24",Таблица1[Ф. И. О.],B814)</f>
        <v>0</v>
      </c>
      <c r="X819" s="510">
        <f t="shared" si="277"/>
        <v>0</v>
      </c>
      <c r="Y819" s="795"/>
      <c r="Z819" s="798"/>
      <c r="AA819" s="787"/>
    </row>
    <row r="820" spans="1:29" ht="18.75" customHeight="1">
      <c r="A820" s="785">
        <v>75</v>
      </c>
      <c r="B820" s="216"/>
      <c r="C820" s="788">
        <f>INDEX(база!$E$2:$E$181, MATCH(B825,база!$B$2:$B$160,0))</f>
        <v>14988</v>
      </c>
      <c r="D820" s="791">
        <f>INDEX(база!$D$2:$D$189, MATCH(B825,база!$B$2:$B$160,0))</f>
        <v>4</v>
      </c>
      <c r="E820" s="377">
        <f>IF(D820&lt;=3,база!$I$4,
IF(D820=4,база!$I$5,
IF(D820=5,база!$I$6)))</f>
        <v>207.5112</v>
      </c>
      <c r="F820" s="378">
        <v>1</v>
      </c>
      <c r="G820" s="548">
        <f>SUMIFS(Таблица1[Столбец1],Таблица1[коэф],"1",Таблица1[р/р],"2/4",Таблица1[Ф. И. О.],B825)</f>
        <v>0</v>
      </c>
      <c r="H820" s="693">
        <f t="shared" si="283"/>
        <v>0</v>
      </c>
      <c r="I820" s="426">
        <f>IF(D820&lt;=3,база!$J$4,
IF(D820=4,база!$J$5,
IF(D820=5,база!$J$6)))</f>
        <v>215.4924</v>
      </c>
      <c r="J820" s="427">
        <v>1</v>
      </c>
      <c r="K820" s="428">
        <f>SUMIFS(Таблица1[Столбец1],Таблица1[коэф],"1",Таблица1[р/р],"2/8",Таблица1[Ф. И. О.],B825)</f>
        <v>0</v>
      </c>
      <c r="L820" s="383">
        <f t="shared" si="275"/>
        <v>0</v>
      </c>
      <c r="M820" s="428"/>
      <c r="N820" s="428">
        <v>1</v>
      </c>
      <c r="O820" s="428">
        <f>SUMIFS(Data_Tech!$AM$3:$AM$67,Data_Tech!$E$3:$E$67,"1",Data_Tech!$G$3:$G$67,"3/12",Data_Tech!$F$3:$F$67,B825)</f>
        <v>0</v>
      </c>
      <c r="P820" s="385">
        <f>ROUND(M820*N820*O820,2)</f>
        <v>0</v>
      </c>
      <c r="Q820" s="377">
        <f>IF(D820&lt;=3,база!$L$4,
IF(D820=4,база!$L$5,
IF(D820=5,база!$L$6)))</f>
        <v>231.45480000000001</v>
      </c>
      <c r="R820" s="378">
        <v>1</v>
      </c>
      <c r="S820" s="387">
        <f>SUMIFS(Таблица1[Столбец1],Таблица1[коэф],"1",Таблица1[р/р],"3/16",Таблица1[Ф. И. О.],B825)</f>
        <v>0</v>
      </c>
      <c r="T820" s="490">
        <f t="shared" si="276"/>
        <v>0</v>
      </c>
      <c r="U820" s="477">
        <f>IF(D820&lt;=3,база!$M$4,
IF(D820=4,база!$M$5,
IF(D820=5,база!$M$6)))</f>
        <v>247.41720000000001</v>
      </c>
      <c r="V820" s="378">
        <v>1</v>
      </c>
      <c r="W820" s="430">
        <f>SUMIFS(Таблица1[Столбец1],Таблица1[коэф],"1",Таблица1[р/р],"3/24",Таблица1[Ф. И. О.],B825)</f>
        <v>0</v>
      </c>
      <c r="X820" s="490">
        <f t="shared" si="277"/>
        <v>0</v>
      </c>
      <c r="Y820" s="794">
        <f t="shared" ref="Y820" si="284">SUM(G820:G830,K820:K830,O820:O830,S820:S830,W820:W830)</f>
        <v>0</v>
      </c>
      <c r="Z820" s="797">
        <f t="shared" ref="Z820" si="285">IFERROR(SUM(H820:H830,L820:L830,T820:T830,X820:X830),"")</f>
        <v>0</v>
      </c>
      <c r="AA820" s="786"/>
    </row>
    <row r="821" spans="1:29" ht="18.75" customHeight="1">
      <c r="A821" s="786"/>
      <c r="B821" s="216"/>
      <c r="C821" s="789"/>
      <c r="D821" s="792"/>
      <c r="E821" s="389">
        <f>IF(D820&lt;=3,база!$I$4,
IF(D820=4,база!$I$5,
IF(D820=5,база!$I$6)))</f>
        <v>207.5112</v>
      </c>
      <c r="F821" s="390">
        <v>1</v>
      </c>
      <c r="G821" s="544">
        <f>SUMIFS(Таблица1[Столбец1],Таблица1[коэф],"1",Таблица1[р/р],"3/4",Таблица1[Ф. И. О.],B825)</f>
        <v>0</v>
      </c>
      <c r="H821" s="694">
        <f>ROUND(E821*F821*G821*2,2)</f>
        <v>0</v>
      </c>
      <c r="I821" s="432">
        <f>IF(D820&lt;=3,база!$J$4,
IF(D820=4,база!$J$5,
IF(D820=5,база!$J$6)))</f>
        <v>215.4924</v>
      </c>
      <c r="J821" s="433">
        <v>1</v>
      </c>
      <c r="K821" s="434">
        <f>SUMIFS(Таблица1[Столбец1],Таблица1[коэф],"1",Таблица1[р/р],"3/8",Таблица1[Ф. И. О.],B825)</f>
        <v>0</v>
      </c>
      <c r="L821" s="484">
        <f t="shared" si="275"/>
        <v>0</v>
      </c>
      <c r="M821" s="434"/>
      <c r="N821" s="434">
        <v>1</v>
      </c>
      <c r="O821" s="434">
        <f>SUMIFS(Data_Tech!$AM$3:$AM$67,Data_Tech!$E$3:$E$67,"1",Data_Tech!$G$3:$G$67,"4/12",Data_Tech!$F$3:$F$67,B825)</f>
        <v>0</v>
      </c>
      <c r="P821" s="406">
        <f>ROUND(M821*O821,2)</f>
        <v>0</v>
      </c>
      <c r="Q821" s="389">
        <f>база!$L$5</f>
        <v>231.45480000000001</v>
      </c>
      <c r="R821" s="390">
        <v>1</v>
      </c>
      <c r="S821" s="400">
        <f>SUMIFS(Таблица1[Столбец1],Таблица1[коэф],"1",Таблица1[р/р],"4/16",Таблица1[Ф. И. О.],B825)</f>
        <v>0</v>
      </c>
      <c r="T821" s="492">
        <f t="shared" si="276"/>
        <v>0</v>
      </c>
      <c r="U821" s="478">
        <f>база!$M$5</f>
        <v>247.41720000000001</v>
      </c>
      <c r="V821" s="390">
        <v>1</v>
      </c>
      <c r="W821" s="412">
        <f>SUMIFS(Таблица1[Столбец1],Таблица1[коэф],"1",Таблица1[р/р],"4/24",Таблица1[Ф. И. О.],B825)</f>
        <v>0</v>
      </c>
      <c r="X821" s="492">
        <f t="shared" si="277"/>
        <v>0</v>
      </c>
      <c r="Y821" s="795"/>
      <c r="Z821" s="797"/>
      <c r="AA821" s="786"/>
    </row>
    <row r="822" spans="1:29" ht="18.75" customHeight="1">
      <c r="A822" s="786"/>
      <c r="B822" s="216"/>
      <c r="C822" s="789"/>
      <c r="D822" s="792"/>
      <c r="E822" s="389"/>
      <c r="F822" s="390"/>
      <c r="G822" s="544"/>
      <c r="H822" s="694">
        <f t="shared" ref="H822:H831" si="286">ROUND(E822*F822*G822*2,2)</f>
        <v>0</v>
      </c>
      <c r="I822" s="432"/>
      <c r="J822" s="433"/>
      <c r="K822" s="434"/>
      <c r="L822" s="484">
        <f t="shared" si="275"/>
        <v>0</v>
      </c>
      <c r="M822" s="434"/>
      <c r="N822" s="434"/>
      <c r="O822" s="434"/>
      <c r="P822" s="406"/>
      <c r="Q822" s="389">
        <f>база!$L$6</f>
        <v>261.04640000000001</v>
      </c>
      <c r="R822" s="390">
        <v>1</v>
      </c>
      <c r="S822" s="400">
        <f>SUMIFS(Таблица1[Столбец1],Таблица1[коэф],"1",Таблица1[р/р],"5/16",Таблица1[Ф. И. О.],B825)</f>
        <v>0</v>
      </c>
      <c r="T822" s="492">
        <f t="shared" si="276"/>
        <v>0</v>
      </c>
      <c r="U822" s="478">
        <f>база!$M$6</f>
        <v>279.0496</v>
      </c>
      <c r="V822" s="390">
        <v>1</v>
      </c>
      <c r="W822" s="412">
        <f>SUMIFS(Таблица1[Столбец1],Таблица1[коэф],"1",Таблица1[р/р],"5/24",Таблица1[Ф. И. О.],B825)</f>
        <v>0</v>
      </c>
      <c r="X822" s="492">
        <f t="shared" si="277"/>
        <v>0</v>
      </c>
      <c r="Y822" s="795"/>
      <c r="Z822" s="797"/>
      <c r="AA822" s="786"/>
    </row>
    <row r="823" spans="1:29" ht="18.75" customHeight="1">
      <c r="A823" s="786"/>
      <c r="B823" s="216"/>
      <c r="C823" s="789"/>
      <c r="D823" s="792"/>
      <c r="E823" s="389"/>
      <c r="F823" s="390"/>
      <c r="G823" s="544"/>
      <c r="H823" s="694">
        <f t="shared" si="286"/>
        <v>0</v>
      </c>
      <c r="I823" s="432">
        <f>база!$J$5</f>
        <v>215.4924</v>
      </c>
      <c r="J823" s="433">
        <v>1.5</v>
      </c>
      <c r="K823" s="434">
        <f>SUMIFS(Таблица1[Столбец1],Таблица1[коэф],"1,5",Таблица1[р/р],"4/8",Таблица1[Ф. И. О.],B825)</f>
        <v>0</v>
      </c>
      <c r="L823" s="484">
        <f t="shared" si="275"/>
        <v>0</v>
      </c>
      <c r="M823" s="434"/>
      <c r="N823" s="434"/>
      <c r="O823" s="434"/>
      <c r="P823" s="406"/>
      <c r="Q823" s="389">
        <f>IF(D820&lt;=3,база!$L$4,
IF(D820=4,база!$L$5,
IF(D820=5,база!$L$6)))</f>
        <v>231.45480000000001</v>
      </c>
      <c r="R823" s="390">
        <v>1.2</v>
      </c>
      <c r="S823" s="400">
        <f>SUMIFS(Таблица1[Столбец1],Таблица1[коэф],"1,2",Таблица1[р/р],"3/16",Таблица1[Ф. И. О.],B825)</f>
        <v>0</v>
      </c>
      <c r="T823" s="492">
        <f t="shared" si="276"/>
        <v>0</v>
      </c>
      <c r="U823" s="478">
        <f>IF(D820&lt;=3,база!$M$4,
IF(D820=4,база!$M$5,
IF(D820=5,база!$M$6)))</f>
        <v>247.41720000000001</v>
      </c>
      <c r="V823" s="390">
        <v>1.2</v>
      </c>
      <c r="W823" s="412">
        <f>SUMIFS(Таблица1[Столбец1],Таблица1[коэф],"1,2",Таблица1[р/р],"3/24",Таблица1[Ф. И. О.],B825)</f>
        <v>0</v>
      </c>
      <c r="X823" s="492">
        <f t="shared" si="277"/>
        <v>0</v>
      </c>
      <c r="Y823" s="795"/>
      <c r="Z823" s="797"/>
      <c r="AA823" s="786"/>
    </row>
    <row r="824" spans="1:29" ht="18.75" customHeight="1">
      <c r="A824" s="786"/>
      <c r="B824" s="216"/>
      <c r="C824" s="789"/>
      <c r="D824" s="792"/>
      <c r="E824" s="389"/>
      <c r="F824" s="390"/>
      <c r="G824" s="544"/>
      <c r="H824" s="694">
        <f t="shared" si="286"/>
        <v>0</v>
      </c>
      <c r="I824" s="432">
        <f>база!$J$6</f>
        <v>243.04319999999998</v>
      </c>
      <c r="J824" s="433">
        <v>1.5</v>
      </c>
      <c r="K824" s="434">
        <f>SUMIFS(Таблица1[Столбец1],Таблица1[коэф],"1,5",Таблица1[р/р],"5/8",Таблица1[Ф. И. О.],B825)</f>
        <v>0</v>
      </c>
      <c r="L824" s="484">
        <f t="shared" si="275"/>
        <v>0</v>
      </c>
      <c r="M824" s="434"/>
      <c r="N824" s="434"/>
      <c r="O824" s="434"/>
      <c r="P824" s="406"/>
      <c r="Q824" s="389">
        <f>база!$L$5</f>
        <v>231.45480000000001</v>
      </c>
      <c r="R824" s="390">
        <v>1.2</v>
      </c>
      <c r="S824" s="400">
        <f>SUMIFS(Таблица1[Столбец1],Таблица1[коэф],"1,2",Таблица1[р/р],"4/16",Таблица1[Ф. И. О.],B825)</f>
        <v>0</v>
      </c>
      <c r="T824" s="492">
        <f t="shared" si="276"/>
        <v>0</v>
      </c>
      <c r="U824" s="478">
        <f>база!$M$5</f>
        <v>247.41720000000001</v>
      </c>
      <c r="V824" s="390">
        <v>1.2</v>
      </c>
      <c r="W824" s="412">
        <f>SUMIFS(Таблица1[Столбец1],Таблица1[коэф],"1,2",Таблица1[р/р],"4/24",Таблица1[Ф. И. О.],B825)</f>
        <v>0</v>
      </c>
      <c r="X824" s="492">
        <f t="shared" si="277"/>
        <v>0</v>
      </c>
      <c r="Y824" s="795"/>
      <c r="Z824" s="797"/>
      <c r="AA824" s="786"/>
    </row>
    <row r="825" spans="1:29" ht="18.75" customHeight="1">
      <c r="A825" s="786"/>
      <c r="B825" s="216" t="str">
        <f>база!B76</f>
        <v>Томилова Антонина Викторовна</v>
      </c>
      <c r="C825" s="789"/>
      <c r="D825" s="792"/>
      <c r="E825" s="389"/>
      <c r="F825" s="390"/>
      <c r="G825" s="544"/>
      <c r="H825" s="694">
        <f t="shared" si="286"/>
        <v>0</v>
      </c>
      <c r="I825" s="432"/>
      <c r="J825" s="433"/>
      <c r="K825" s="434"/>
      <c r="L825" s="484">
        <f t="shared" si="275"/>
        <v>0</v>
      </c>
      <c r="M825" s="434"/>
      <c r="N825" s="434"/>
      <c r="O825" s="434"/>
      <c r="P825" s="406"/>
      <c r="Q825" s="389">
        <f>база!$L$6</f>
        <v>261.04640000000001</v>
      </c>
      <c r="R825" s="390">
        <v>1.2</v>
      </c>
      <c r="S825" s="400">
        <f>SUMIFS(Таблица1[Столбец1],Таблица1[коэф],"1,2",Таблица1[р/р],"5/16",Таблица1[Ф. И. О.],B825)</f>
        <v>0</v>
      </c>
      <c r="T825" s="492">
        <f t="shared" si="276"/>
        <v>0</v>
      </c>
      <c r="U825" s="478">
        <f>база!$M$6</f>
        <v>279.0496</v>
      </c>
      <c r="V825" s="390">
        <v>1.2</v>
      </c>
      <c r="W825" s="412">
        <f>SUMIFS(Таблица1[Столбец1],Таблица1[коэф],"1,2",Таблица1[р/р],"5/24",Таблица1[Ф. И. О.],B825)</f>
        <v>0</v>
      </c>
      <c r="X825" s="492">
        <f t="shared" si="277"/>
        <v>0</v>
      </c>
      <c r="Y825" s="795"/>
      <c r="Z825" s="797"/>
      <c r="AA825" s="786"/>
      <c r="AC825" s="727" t="str">
        <f>IF(SUMIFS(Таблица1[Столбец3],Таблица1[Ф. И. О.],B825)-Z820=0,"",SUMIFS(Таблица1[Столбец3],Таблица1[Ф. И. О.],B825)-Z820)</f>
        <v/>
      </c>
    </row>
    <row r="826" spans="1:29" ht="18.75" customHeight="1">
      <c r="A826" s="786"/>
      <c r="B826" s="216"/>
      <c r="C826" s="789"/>
      <c r="D826" s="792"/>
      <c r="E826" s="389"/>
      <c r="F826" s="390"/>
      <c r="G826" s="544"/>
      <c r="H826" s="694">
        <f t="shared" si="286"/>
        <v>0</v>
      </c>
      <c r="I826" s="432"/>
      <c r="J826" s="433"/>
      <c r="K826" s="434"/>
      <c r="L826" s="484">
        <f t="shared" si="275"/>
        <v>0</v>
      </c>
      <c r="M826" s="434"/>
      <c r="N826" s="434"/>
      <c r="O826" s="434"/>
      <c r="P826" s="406"/>
      <c r="Q826" s="389">
        <f>IF($D$6&lt;=3,база!$L$4,
IF($D$6=4,база!$L$5,
IF($D$6=5,база!$L$6)))</f>
        <v>231.45480000000001</v>
      </c>
      <c r="R826" s="390">
        <v>1.3</v>
      </c>
      <c r="S826" s="400">
        <f>SUMIFS(Таблица1[Столбец1],Таблица1[коэф],"1,3",Таблица1[р/р],"3/16",Таблица1[Ф. И. О.],B825)</f>
        <v>0</v>
      </c>
      <c r="T826" s="492">
        <f t="shared" si="276"/>
        <v>0</v>
      </c>
      <c r="U826" s="478">
        <f>IF(D820&lt;=3,база!$M$4,
IF(D820=4,база!$M$5,
IF(D820=5,база!$M$6)))</f>
        <v>247.41720000000001</v>
      </c>
      <c r="V826" s="390">
        <v>1.3</v>
      </c>
      <c r="W826" s="412">
        <f>SUMIFS(Таблица1[Столбец1],Таблица1[коэф],"1,3",Таблица1[р/р],"3/24",Таблица1[Ф. И. О.],B825)</f>
        <v>0</v>
      </c>
      <c r="X826" s="492">
        <f t="shared" si="277"/>
        <v>0</v>
      </c>
      <c r="Y826" s="795"/>
      <c r="Z826" s="797"/>
      <c r="AA826" s="786"/>
      <c r="AC826" s="727" t="str">
        <f>IF(SUMIFS(Таблица1[Столбец1],Таблица1[Ф. И. О.],B825)=Y820,"",B825&amp;"  часы не верны")</f>
        <v/>
      </c>
    </row>
    <row r="827" spans="1:29" ht="18.75" customHeight="1">
      <c r="A827" s="786"/>
      <c r="B827" s="216"/>
      <c r="C827" s="789"/>
      <c r="D827" s="792"/>
      <c r="E827" s="389"/>
      <c r="F827" s="390"/>
      <c r="G827" s="544"/>
      <c r="H827" s="694">
        <f t="shared" si="286"/>
        <v>0</v>
      </c>
      <c r="I827" s="432"/>
      <c r="J827" s="433"/>
      <c r="K827" s="434"/>
      <c r="L827" s="484">
        <f t="shared" si="275"/>
        <v>0</v>
      </c>
      <c r="M827" s="434"/>
      <c r="N827" s="434"/>
      <c r="O827" s="434"/>
      <c r="P827" s="406"/>
      <c r="Q827" s="389">
        <f>база!$L$5</f>
        <v>231.45480000000001</v>
      </c>
      <c r="R827" s="390">
        <v>1.3</v>
      </c>
      <c r="S827" s="400">
        <f>SUMIFS(Таблица1[Столбец1],Таблица1[коэф],"1,3",Таблица1[р/р],"4/16",Таблица1[Ф. И. О.],B825)</f>
        <v>0</v>
      </c>
      <c r="T827" s="492">
        <f t="shared" si="276"/>
        <v>0</v>
      </c>
      <c r="U827" s="478">
        <f>база!$M$5</f>
        <v>247.41720000000001</v>
      </c>
      <c r="V827" s="390">
        <v>1.3</v>
      </c>
      <c r="W827" s="412">
        <f>SUMIFS(Таблица1[Столбец1],Таблица1[коэф],"1,3",Таблица1[р/р],"4/24",Таблица1[Ф. И. О.],B825)</f>
        <v>0</v>
      </c>
      <c r="X827" s="492">
        <f t="shared" si="277"/>
        <v>0</v>
      </c>
      <c r="Y827" s="795"/>
      <c r="Z827" s="797"/>
      <c r="AA827" s="786"/>
    </row>
    <row r="828" spans="1:29" ht="18.75" customHeight="1">
      <c r="A828" s="786"/>
      <c r="B828" s="216"/>
      <c r="C828" s="789"/>
      <c r="D828" s="792"/>
      <c r="E828" s="389"/>
      <c r="F828" s="390"/>
      <c r="G828" s="544"/>
      <c r="H828" s="694">
        <f t="shared" si="286"/>
        <v>0</v>
      </c>
      <c r="I828" s="432"/>
      <c r="J828" s="433"/>
      <c r="K828" s="434"/>
      <c r="L828" s="484">
        <f t="shared" si="275"/>
        <v>0</v>
      </c>
      <c r="M828" s="434"/>
      <c r="N828" s="434"/>
      <c r="O828" s="434"/>
      <c r="P828" s="406"/>
      <c r="Q828" s="389">
        <f>IF(D820&lt;=3,база!$L$4,
IF(D820=4,база!$L$5,
IF(D820=5,база!$L$6)))</f>
        <v>231.45480000000001</v>
      </c>
      <c r="R828" s="390">
        <v>1.4</v>
      </c>
      <c r="S828" s="400">
        <f>SUMIFS(Таблица1[Столбец1],Таблица1[коэф],"1,4",Таблица1[р/р],"3/16",Таблица1[Ф. И. О.],B825)</f>
        <v>0</v>
      </c>
      <c r="T828" s="492">
        <f t="shared" si="276"/>
        <v>0</v>
      </c>
      <c r="U828" s="478">
        <f>IF(D820&lt;=3,база!$M$4,
IF(D820=4,база!$M$5,
IF(D820=5,база!$M$6)))</f>
        <v>247.41720000000001</v>
      </c>
      <c r="V828" s="390">
        <v>1.4</v>
      </c>
      <c r="W828" s="412">
        <f>SUMIFS(Таблица1[Столбец1],Таблица1[коэф],"1,4",Таблица1[р/р],"3/24",Таблица1[Ф. И. О.],B825)</f>
        <v>0</v>
      </c>
      <c r="X828" s="492">
        <f t="shared" si="277"/>
        <v>0</v>
      </c>
      <c r="Y828" s="795"/>
      <c r="Z828" s="797"/>
      <c r="AA828" s="786"/>
    </row>
    <row r="829" spans="1:29" ht="18.75" customHeight="1">
      <c r="A829" s="786"/>
      <c r="B829" s="216"/>
      <c r="C829" s="789"/>
      <c r="D829" s="792"/>
      <c r="E829" s="389"/>
      <c r="F829" s="390"/>
      <c r="G829" s="544"/>
      <c r="H829" s="694">
        <f t="shared" si="286"/>
        <v>0</v>
      </c>
      <c r="I829" s="432"/>
      <c r="J829" s="433"/>
      <c r="K829" s="434"/>
      <c r="L829" s="484">
        <f t="shared" si="275"/>
        <v>0</v>
      </c>
      <c r="M829" s="434"/>
      <c r="N829" s="434"/>
      <c r="O829" s="434"/>
      <c r="P829" s="406"/>
      <c r="Q829" s="389">
        <f>база!$L$5</f>
        <v>231.45480000000001</v>
      </c>
      <c r="R829" s="390">
        <v>1.4</v>
      </c>
      <c r="S829" s="400">
        <f>SUMIFS(Таблица1[Столбец1],Таблица1[коэф],"1,4",Таблица1[р/р],"4/16",Таблица1[Ф. И. О.],B825)</f>
        <v>0</v>
      </c>
      <c r="T829" s="492">
        <f t="shared" si="276"/>
        <v>0</v>
      </c>
      <c r="U829" s="478">
        <f>база!$M$5</f>
        <v>247.41720000000001</v>
      </c>
      <c r="V829" s="390">
        <v>1.4</v>
      </c>
      <c r="W829" s="412">
        <f>SUMIFS(Таблица1[Столбец1],Таблица1[коэф],"1,4",Таблица1[р/р],"4/24",Таблица1[Ф. И. О.],B825)</f>
        <v>0</v>
      </c>
      <c r="X829" s="492">
        <f t="shared" si="277"/>
        <v>0</v>
      </c>
      <c r="Y829" s="795"/>
      <c r="Z829" s="797"/>
      <c r="AA829" s="786"/>
    </row>
    <row r="830" spans="1:29" ht="19.5" customHeight="1" thickBot="1">
      <c r="A830" s="787"/>
      <c r="B830" s="352"/>
      <c r="C830" s="790"/>
      <c r="D830" s="793"/>
      <c r="E830" s="481"/>
      <c r="F830" s="417"/>
      <c r="G830" s="691"/>
      <c r="H830" s="695">
        <f t="shared" si="286"/>
        <v>0</v>
      </c>
      <c r="I830" s="654"/>
      <c r="J830" s="617"/>
      <c r="K830" s="655"/>
      <c r="L830" s="537">
        <f t="shared" si="275"/>
        <v>0</v>
      </c>
      <c r="M830" s="654"/>
      <c r="N830" s="655"/>
      <c r="O830" s="655"/>
      <c r="P830" s="538"/>
      <c r="Q830" s="656">
        <f>база!$L$6</f>
        <v>261.04640000000001</v>
      </c>
      <c r="R830" s="446">
        <v>1.4</v>
      </c>
      <c r="S830" s="447">
        <f>SUMIFS(Таблица1[Столбец1],Таблица1[коэф],"1,4",Таблица1[р/р],"5/16",Таблица1[Ф. И. О.],B825)</f>
        <v>0</v>
      </c>
      <c r="T830" s="696">
        <f t="shared" si="276"/>
        <v>0</v>
      </c>
      <c r="U830" s="536">
        <f>база!$M$6</f>
        <v>279.0496</v>
      </c>
      <c r="V830" s="464">
        <v>1.4</v>
      </c>
      <c r="W830" s="447">
        <f>SUMIFS(Таблица1[Столбец1],Таблица1[коэф],"1,4",Таблица1[р/р],"5/24",Таблица1[Ф. И. О.],B825)</f>
        <v>0</v>
      </c>
      <c r="X830" s="696">
        <f t="shared" si="277"/>
        <v>0</v>
      </c>
      <c r="Y830" s="796"/>
      <c r="Z830" s="798"/>
      <c r="AA830" s="787"/>
    </row>
    <row r="831" spans="1:29" ht="18.75" customHeight="1">
      <c r="A831" s="785">
        <v>76</v>
      </c>
      <c r="B831" s="216"/>
      <c r="C831" s="788">
        <f>INDEX(база!$E$2:$E$181, MATCH(B836,база!$B$2:$B$160,0))</f>
        <v>15889</v>
      </c>
      <c r="D831" s="791">
        <f>INDEX(база!$D$2:$D$189, MATCH(B836,база!$B$2:$B$160,0))</f>
        <v>3</v>
      </c>
      <c r="E831" s="377">
        <f>IF(D831&lt;=3,база!$I$4,
IF(D831=4,база!$I$5,
IF(D831=5,база!$I$6)))</f>
        <v>188.7912</v>
      </c>
      <c r="F831" s="378">
        <v>1</v>
      </c>
      <c r="G831" s="387">
        <f>SUMIFS(Таблица1[Столбец1],Таблица1[коэф],"1",Таблица1[р/р],"2/4",Таблица1[Ф. И. О.],B836)</f>
        <v>0</v>
      </c>
      <c r="H831" s="402">
        <f t="shared" si="286"/>
        <v>0</v>
      </c>
      <c r="I831" s="452">
        <f>IF(D831&lt;=3,база!$J$4,
IF(D831=4,база!$J$5,
IF(D831=5,база!$J$6)))</f>
        <v>196.05240000000001</v>
      </c>
      <c r="J831" s="475">
        <v>1</v>
      </c>
      <c r="K831" s="453">
        <f>SUMIFS(Таблица1[Столбец1],Таблица1[коэф],"1",Таблица1[р/р],"2/8",Таблица1[Ф. И. О.],B836)</f>
        <v>0</v>
      </c>
      <c r="L831" s="484">
        <f t="shared" si="275"/>
        <v>0</v>
      </c>
      <c r="M831" s="453"/>
      <c r="N831" s="453">
        <v>1</v>
      </c>
      <c r="O831" s="453">
        <f>SUMIFS(Data_Tech!$AM$3:$AM$67,Data_Tech!$E$3:$E$67,"1",Data_Tech!$G$3:$G$67,"3/12",Data_Tech!$F$3:$F$67,B836)</f>
        <v>0</v>
      </c>
      <c r="P831" s="398">
        <f>ROUND(M831*N831*O831,2)</f>
        <v>0</v>
      </c>
      <c r="Q831" s="481">
        <f>IF(D831&lt;=3,база!$L$4,
IF(D831=4,база!$L$5,
IF(D831=5,база!$L$6)))</f>
        <v>210.57480000000001</v>
      </c>
      <c r="R831" s="417">
        <v>1</v>
      </c>
      <c r="S831" s="418">
        <f>SUMIFS(Таблица1[Столбец1],Таблица1[коэф],"1",Таблица1[р/р],"3/16",Таблица1[Ф. И. О.],B836)</f>
        <v>0</v>
      </c>
      <c r="T831" s="492">
        <f t="shared" si="276"/>
        <v>0</v>
      </c>
      <c r="U831" s="483">
        <f>IF(D831&lt;=3,база!$M$4,
IF(D831=4,база!$M$5,
IF(D831=5,база!$M$6)))</f>
        <v>225.09719999999999</v>
      </c>
      <c r="V831" s="417">
        <v>1</v>
      </c>
      <c r="W831" s="455">
        <f>SUMIFS(Таблица1[Столбец1],Таблица1[коэф],"1",Таблица1[р/р],"3/24",Таблица1[Ф. И. О.],B836)</f>
        <v>0</v>
      </c>
      <c r="X831" s="492">
        <f t="shared" si="277"/>
        <v>0</v>
      </c>
      <c r="Y831" s="795">
        <f t="shared" ref="Y831" si="287">SUM(G831:G841,K831:K841,O831:O841,S831:S841,W831:W841)</f>
        <v>0</v>
      </c>
      <c r="Z831" s="797">
        <f t="shared" ref="Z831" si="288">IFERROR(SUM(H831:H841,L831:L841,T831:T841,X831:X841),"")</f>
        <v>0</v>
      </c>
      <c r="AA831" s="786"/>
    </row>
    <row r="832" spans="1:29" ht="18.75" customHeight="1">
      <c r="A832" s="786"/>
      <c r="B832" s="216"/>
      <c r="C832" s="789"/>
      <c r="D832" s="792"/>
      <c r="E832" s="389">
        <f>IF(D831&lt;=3,база!$I$4,
IF(D831=4,база!$I$5,
IF(D831=5,база!$I$6)))</f>
        <v>188.7912</v>
      </c>
      <c r="F832" s="390">
        <v>1</v>
      </c>
      <c r="G832" s="400">
        <f>SUMIFS(Таблица1[Столбец1],Таблица1[коэф],"1",Таблица1[р/р],"3/4",Таблица1[Ф. И. О.],B836)</f>
        <v>0</v>
      </c>
      <c r="H832" s="392">
        <f>ROUND(E832*F832*G832*2,2)</f>
        <v>0</v>
      </c>
      <c r="I832" s="432">
        <f>IF(D831&lt;=3,база!$J$4,
IF(D831=4,база!$J$5,
IF(D831=5,база!$J$6)))</f>
        <v>196.05240000000001</v>
      </c>
      <c r="J832" s="433">
        <v>1</v>
      </c>
      <c r="K832" s="434">
        <f>SUMIFS(Таблица1[Столбец1],Таблица1[коэф],"1",Таблица1[р/р],"3/8",Таблица1[Ф. И. О.],B836)</f>
        <v>0</v>
      </c>
      <c r="L832" s="484">
        <f t="shared" si="275"/>
        <v>0</v>
      </c>
      <c r="M832" s="434"/>
      <c r="N832" s="434">
        <v>1</v>
      </c>
      <c r="O832" s="434">
        <f>SUMIFS(Data_Tech!$AM$3:$AM$67,Data_Tech!$E$3:$E$67,"1",Data_Tech!$G$3:$G$67,"4/12",Data_Tech!$F$3:$F$67,B836)</f>
        <v>0</v>
      </c>
      <c r="P832" s="406">
        <f>ROUND(M832*O832,2)</f>
        <v>0</v>
      </c>
      <c r="Q832" s="389">
        <f>база!$L$5</f>
        <v>231.45480000000001</v>
      </c>
      <c r="R832" s="390">
        <v>1</v>
      </c>
      <c r="S832" s="400">
        <f>SUMIFS(Таблица1[Столбец1],Таблица1[коэф],"1",Таблица1[р/р],"4/16",Таблица1[Ф. И. О.],B836)</f>
        <v>0</v>
      </c>
      <c r="T832" s="492">
        <f t="shared" si="276"/>
        <v>0</v>
      </c>
      <c r="U832" s="478">
        <f>база!$M$5</f>
        <v>247.41720000000001</v>
      </c>
      <c r="V832" s="390">
        <v>1</v>
      </c>
      <c r="W832" s="412">
        <f>SUMIFS(Таблица1[Столбец1],Таблица1[коэф],"1",Таблица1[р/р],"4/24",Таблица1[Ф. И. О.],B836)</f>
        <v>0</v>
      </c>
      <c r="X832" s="492">
        <f t="shared" si="277"/>
        <v>0</v>
      </c>
      <c r="Y832" s="795"/>
      <c r="Z832" s="797"/>
      <c r="AA832" s="786"/>
    </row>
    <row r="833" spans="1:29" ht="18.75" customHeight="1">
      <c r="A833" s="786"/>
      <c r="B833" s="216"/>
      <c r="C833" s="789"/>
      <c r="D833" s="792"/>
      <c r="E833" s="389"/>
      <c r="F833" s="390"/>
      <c r="G833" s="400"/>
      <c r="H833" s="392">
        <f t="shared" ref="H833:H842" si="289">ROUND(E833*F833*G833*2,2)</f>
        <v>0</v>
      </c>
      <c r="I833" s="432"/>
      <c r="J833" s="433"/>
      <c r="K833" s="434"/>
      <c r="L833" s="484">
        <f t="shared" si="275"/>
        <v>0</v>
      </c>
      <c r="M833" s="434"/>
      <c r="N833" s="434"/>
      <c r="O833" s="434"/>
      <c r="P833" s="406"/>
      <c r="Q833" s="389">
        <f>база!$L$6</f>
        <v>261.04640000000001</v>
      </c>
      <c r="R833" s="390">
        <v>1</v>
      </c>
      <c r="S833" s="400">
        <f>SUMIFS(Таблица1[Столбец1],Таблица1[коэф],"1",Таблица1[р/р],"5/16",Таблица1[Ф. И. О.],B836)</f>
        <v>0</v>
      </c>
      <c r="T833" s="492">
        <f t="shared" si="276"/>
        <v>0</v>
      </c>
      <c r="U833" s="478">
        <f>база!$M$6</f>
        <v>279.0496</v>
      </c>
      <c r="V833" s="390">
        <v>1</v>
      </c>
      <c r="W833" s="412">
        <f>SUMIFS(Таблица1[Столбец1],Таблица1[коэф],"1",Таблица1[р/р],"5/24",Таблица1[Ф. И. О.],B836)</f>
        <v>0</v>
      </c>
      <c r="X833" s="492">
        <f t="shared" si="277"/>
        <v>0</v>
      </c>
      <c r="Y833" s="795"/>
      <c r="Z833" s="797"/>
      <c r="AA833" s="786"/>
    </row>
    <row r="834" spans="1:29" ht="18.75" customHeight="1">
      <c r="A834" s="786"/>
      <c r="B834" s="216"/>
      <c r="C834" s="789"/>
      <c r="D834" s="792"/>
      <c r="E834" s="389"/>
      <c r="F834" s="390"/>
      <c r="G834" s="400"/>
      <c r="H834" s="392">
        <f t="shared" si="289"/>
        <v>0</v>
      </c>
      <c r="I834" s="432">
        <f>база!$J$5</f>
        <v>215.4924</v>
      </c>
      <c r="J834" s="433">
        <v>1.5</v>
      </c>
      <c r="K834" s="434">
        <f>SUMIFS(Таблица1[Столбец1],Таблица1[коэф],"1,5",Таблица1[р/р],"4/8",Таблица1[Ф. И. О.],B836)</f>
        <v>0</v>
      </c>
      <c r="L834" s="484">
        <f t="shared" si="275"/>
        <v>0</v>
      </c>
      <c r="M834" s="434"/>
      <c r="N834" s="434"/>
      <c r="O834" s="434"/>
      <c r="P834" s="406"/>
      <c r="Q834" s="389">
        <f>IF(D831&lt;=3,база!$L$4,
IF(D831=4,база!$L$5,
IF(D831=5,база!$L$6)))</f>
        <v>210.57480000000001</v>
      </c>
      <c r="R834" s="390">
        <v>1.2</v>
      </c>
      <c r="S834" s="400">
        <f>SUMIFS(Таблица1[Столбец1],Таблица1[коэф],"1,2",Таблица1[р/р],"3/16",Таблица1[Ф. И. О.],B836)</f>
        <v>0</v>
      </c>
      <c r="T834" s="492">
        <f t="shared" si="276"/>
        <v>0</v>
      </c>
      <c r="U834" s="478">
        <f>IF(D831&lt;=3,база!$M$4,
IF(D831=4,база!$M$5,
IF(D831=5,база!$M$6)))</f>
        <v>225.09719999999999</v>
      </c>
      <c r="V834" s="390">
        <v>1.2</v>
      </c>
      <c r="W834" s="412">
        <f>SUMIFS(Таблица1[Столбец1],Таблица1[коэф],"1,2",Таблица1[р/р],"3/24",Таблица1[Ф. И. О.],B836)</f>
        <v>0</v>
      </c>
      <c r="X834" s="492">
        <f t="shared" si="277"/>
        <v>0</v>
      </c>
      <c r="Y834" s="795"/>
      <c r="Z834" s="797"/>
      <c r="AA834" s="786"/>
    </row>
    <row r="835" spans="1:29" ht="18.75" customHeight="1">
      <c r="A835" s="786"/>
      <c r="B835" s="216"/>
      <c r="C835" s="789"/>
      <c r="D835" s="792"/>
      <c r="E835" s="389"/>
      <c r="F835" s="390"/>
      <c r="G835" s="400"/>
      <c r="H835" s="392">
        <f t="shared" si="289"/>
        <v>0</v>
      </c>
      <c r="I835" s="432">
        <f>база!$J$6</f>
        <v>243.04319999999998</v>
      </c>
      <c r="J835" s="433">
        <v>1.5</v>
      </c>
      <c r="K835" s="434">
        <f>SUMIFS(Таблица1[Столбец1],Таблица1[коэф],"1,5",Таблица1[р/р],"5/8",Таблица1[Ф. И. О.],B836)</f>
        <v>0</v>
      </c>
      <c r="L835" s="484">
        <f t="shared" si="275"/>
        <v>0</v>
      </c>
      <c r="M835" s="434"/>
      <c r="N835" s="434"/>
      <c r="O835" s="434"/>
      <c r="P835" s="406"/>
      <c r="Q835" s="389">
        <f>база!$L$5</f>
        <v>231.45480000000001</v>
      </c>
      <c r="R835" s="390">
        <v>1.2</v>
      </c>
      <c r="S835" s="400">
        <f>SUMIFS(Таблица1[Столбец1],Таблица1[коэф],"1,2",Таблица1[р/р],"4/16",Таблица1[Ф. И. О.],B836)</f>
        <v>0</v>
      </c>
      <c r="T835" s="492">
        <f t="shared" si="276"/>
        <v>0</v>
      </c>
      <c r="U835" s="478">
        <f>база!$M$5</f>
        <v>247.41720000000001</v>
      </c>
      <c r="V835" s="390">
        <v>1.2</v>
      </c>
      <c r="W835" s="412">
        <f>SUMIFS(Таблица1[Столбец1],Таблица1[коэф],"1,2",Таблица1[р/р],"4/24",Таблица1[Ф. И. О.],B836)</f>
        <v>0</v>
      </c>
      <c r="X835" s="492">
        <f t="shared" si="277"/>
        <v>0</v>
      </c>
      <c r="Y835" s="795"/>
      <c r="Z835" s="797"/>
      <c r="AA835" s="786"/>
    </row>
    <row r="836" spans="1:29" ht="18.75" customHeight="1">
      <c r="A836" s="786"/>
      <c r="B836" s="216" t="str">
        <f>база!B77</f>
        <v>Худякова Ольга Николаевна</v>
      </c>
      <c r="C836" s="789"/>
      <c r="D836" s="792"/>
      <c r="E836" s="389"/>
      <c r="F836" s="390"/>
      <c r="G836" s="400"/>
      <c r="H836" s="392">
        <f t="shared" si="289"/>
        <v>0</v>
      </c>
      <c r="I836" s="432"/>
      <c r="J836" s="433"/>
      <c r="K836" s="434"/>
      <c r="L836" s="484">
        <f t="shared" si="275"/>
        <v>0</v>
      </c>
      <c r="M836" s="434"/>
      <c r="N836" s="434"/>
      <c r="O836" s="434"/>
      <c r="P836" s="406"/>
      <c r="Q836" s="389">
        <f>база!$L$6</f>
        <v>261.04640000000001</v>
      </c>
      <c r="R836" s="390">
        <v>1.2</v>
      </c>
      <c r="S836" s="400">
        <f>SUMIFS(Таблица1[Столбец1],Таблица1[коэф],"1,2",Таблица1[р/р],"5/16",Таблица1[Ф. И. О.],B836)</f>
        <v>0</v>
      </c>
      <c r="T836" s="492">
        <f t="shared" si="276"/>
        <v>0</v>
      </c>
      <c r="U836" s="478">
        <f>база!$M$6</f>
        <v>279.0496</v>
      </c>
      <c r="V836" s="390">
        <v>1.2</v>
      </c>
      <c r="W836" s="412">
        <f>SUMIFS(Таблица1[Столбец1],Таблица1[коэф],"1,2",Таблица1[р/р],"5/24",Таблица1[Ф. И. О.],B836)</f>
        <v>0</v>
      </c>
      <c r="X836" s="492">
        <f t="shared" si="277"/>
        <v>0</v>
      </c>
      <c r="Y836" s="795"/>
      <c r="Z836" s="797"/>
      <c r="AA836" s="786"/>
      <c r="AC836" s="727" t="str">
        <f>IF(SUMIFS(Таблица1[Столбец3],Таблица1[Ф. И. О.],B836)-Z831=0,"",SUMIFS(Таблица1[Столбец3],Таблица1[Ф. И. О.],B836)-Z831)</f>
        <v/>
      </c>
    </row>
    <row r="837" spans="1:29" ht="18.75" customHeight="1">
      <c r="A837" s="786"/>
      <c r="B837" s="216"/>
      <c r="C837" s="789"/>
      <c r="D837" s="792"/>
      <c r="E837" s="389"/>
      <c r="F837" s="390"/>
      <c r="G837" s="400"/>
      <c r="H837" s="392">
        <f t="shared" si="289"/>
        <v>0</v>
      </c>
      <c r="I837" s="432"/>
      <c r="J837" s="433"/>
      <c r="K837" s="434"/>
      <c r="L837" s="484">
        <f t="shared" si="275"/>
        <v>0</v>
      </c>
      <c r="M837" s="434"/>
      <c r="N837" s="434"/>
      <c r="O837" s="434"/>
      <c r="P837" s="406"/>
      <c r="Q837" s="389">
        <f>IF($D$6&lt;=3,база!$L$4,
IF($D$6=4,база!$L$5,
IF($D$6=5,база!$L$6)))</f>
        <v>231.45480000000001</v>
      </c>
      <c r="R837" s="390">
        <v>1.3</v>
      </c>
      <c r="S837" s="400">
        <f>SUMIFS(Таблица1[Столбец1],Таблица1[коэф],"1,3",Таблица1[р/р],"3/16",Таблица1[Ф. И. О.],B836)</f>
        <v>0</v>
      </c>
      <c r="T837" s="492">
        <f t="shared" si="276"/>
        <v>0</v>
      </c>
      <c r="U837" s="478">
        <f>IF(D831&lt;=3,база!$M$4,
IF(D831=4,база!$M$5,
IF(D831=5,база!$M$6)))</f>
        <v>225.09719999999999</v>
      </c>
      <c r="V837" s="390">
        <v>1.3</v>
      </c>
      <c r="W837" s="412">
        <f>SUMIFS(Таблица1[Столбец1],Таблица1[коэф],"1,3",Таблица1[р/р],"3/24",Таблица1[Ф. И. О.],B836)</f>
        <v>0</v>
      </c>
      <c r="X837" s="492">
        <f t="shared" si="277"/>
        <v>0</v>
      </c>
      <c r="Y837" s="795"/>
      <c r="Z837" s="797"/>
      <c r="AA837" s="786"/>
      <c r="AC837" s="727" t="str">
        <f>IF(SUMIFS(Таблица1[Столбец1],Таблица1[Ф. И. О.],B836)=Y831,"",B836&amp;"  часы не верны")</f>
        <v/>
      </c>
    </row>
    <row r="838" spans="1:29" ht="18.75" customHeight="1">
      <c r="A838" s="786"/>
      <c r="B838" s="216"/>
      <c r="C838" s="789"/>
      <c r="D838" s="792"/>
      <c r="E838" s="389"/>
      <c r="F838" s="390"/>
      <c r="G838" s="400"/>
      <c r="H838" s="392">
        <f t="shared" si="289"/>
        <v>0</v>
      </c>
      <c r="I838" s="432"/>
      <c r="J838" s="433"/>
      <c r="K838" s="434"/>
      <c r="L838" s="484">
        <f t="shared" si="275"/>
        <v>0</v>
      </c>
      <c r="M838" s="434"/>
      <c r="N838" s="434"/>
      <c r="O838" s="434"/>
      <c r="P838" s="406"/>
      <c r="Q838" s="389">
        <f>база!$L$5</f>
        <v>231.45480000000001</v>
      </c>
      <c r="R838" s="390">
        <v>1.3</v>
      </c>
      <c r="S838" s="400">
        <f>SUMIFS(Таблица1[Столбец1],Таблица1[коэф],"1,3",Таблица1[р/р],"4/16",Таблица1[Ф. И. О.],B836)</f>
        <v>0</v>
      </c>
      <c r="T838" s="492">
        <f t="shared" si="276"/>
        <v>0</v>
      </c>
      <c r="U838" s="478">
        <f>база!$M$5</f>
        <v>247.41720000000001</v>
      </c>
      <c r="V838" s="390">
        <v>1.3</v>
      </c>
      <c r="W838" s="412">
        <f>SUMIFS(Таблица1[Столбец1],Таблица1[коэф],"1,3",Таблица1[р/р],"4/24",Таблица1[Ф. И. О.],B836)</f>
        <v>0</v>
      </c>
      <c r="X838" s="492">
        <f t="shared" si="277"/>
        <v>0</v>
      </c>
      <c r="Y838" s="795"/>
      <c r="Z838" s="797"/>
      <c r="AA838" s="786"/>
    </row>
    <row r="839" spans="1:29" ht="18.75" customHeight="1">
      <c r="A839" s="786"/>
      <c r="B839" s="216"/>
      <c r="C839" s="789"/>
      <c r="D839" s="792"/>
      <c r="E839" s="389"/>
      <c r="F839" s="390"/>
      <c r="G839" s="400"/>
      <c r="H839" s="392">
        <f t="shared" si="289"/>
        <v>0</v>
      </c>
      <c r="I839" s="432"/>
      <c r="J839" s="433"/>
      <c r="K839" s="434"/>
      <c r="L839" s="484">
        <f t="shared" si="275"/>
        <v>0</v>
      </c>
      <c r="M839" s="434"/>
      <c r="N839" s="434"/>
      <c r="O839" s="434"/>
      <c r="P839" s="406"/>
      <c r="Q839" s="389">
        <f>IF(D831&lt;=3,база!$L$4,
IF(D831=4,база!$L$5,
IF(D831=5,база!$L$6)))</f>
        <v>210.57480000000001</v>
      </c>
      <c r="R839" s="390">
        <v>1.4</v>
      </c>
      <c r="S839" s="400">
        <f>SUMIFS(Таблица1[Столбец1],Таблица1[коэф],"1,4",Таблица1[р/р],"3/16",Таблица1[Ф. И. О.],B836)</f>
        <v>0</v>
      </c>
      <c r="T839" s="492">
        <f t="shared" si="276"/>
        <v>0</v>
      </c>
      <c r="U839" s="478">
        <f>IF(D831&lt;=3,база!$M$4,
IF(D831=4,база!$M$5,
IF(D831=5,база!$M$6)))</f>
        <v>225.09719999999999</v>
      </c>
      <c r="V839" s="390">
        <v>1.4</v>
      </c>
      <c r="W839" s="412">
        <f>SUMIFS(Таблица1[Столбец1],Таблица1[коэф],"1,4",Таблица1[р/р],"3/24",Таблица1[Ф. И. О.],B836)</f>
        <v>0</v>
      </c>
      <c r="X839" s="492">
        <f t="shared" si="277"/>
        <v>0</v>
      </c>
      <c r="Y839" s="795"/>
      <c r="Z839" s="797"/>
      <c r="AA839" s="786"/>
    </row>
    <row r="840" spans="1:29" ht="18.75" customHeight="1">
      <c r="A840" s="786"/>
      <c r="B840" s="216"/>
      <c r="C840" s="789"/>
      <c r="D840" s="792"/>
      <c r="E840" s="389"/>
      <c r="F840" s="390"/>
      <c r="G840" s="400"/>
      <c r="H840" s="392">
        <f t="shared" si="289"/>
        <v>0</v>
      </c>
      <c r="I840" s="432"/>
      <c r="J840" s="433"/>
      <c r="K840" s="434"/>
      <c r="L840" s="484">
        <f t="shared" si="275"/>
        <v>0</v>
      </c>
      <c r="M840" s="434"/>
      <c r="N840" s="434"/>
      <c r="O840" s="434"/>
      <c r="P840" s="406"/>
      <c r="Q840" s="389">
        <f>база!$L$5</f>
        <v>231.45480000000001</v>
      </c>
      <c r="R840" s="390">
        <v>1.4</v>
      </c>
      <c r="S840" s="400">
        <f>SUMIFS(Таблица1[Столбец1],Таблица1[коэф],"1,4",Таблица1[р/р],"4/16",Таблица1[Ф. И. О.],B836)</f>
        <v>0</v>
      </c>
      <c r="T840" s="492">
        <f t="shared" si="276"/>
        <v>0</v>
      </c>
      <c r="U840" s="478">
        <f>база!$M$5</f>
        <v>247.41720000000001</v>
      </c>
      <c r="V840" s="390">
        <v>1.4</v>
      </c>
      <c r="W840" s="412">
        <f>SUMIFS(Таблица1[Столбец1],Таблица1[коэф],"1,4",Таблица1[р/р],"4/24",Таблица1[Ф. И. О.],B836)</f>
        <v>0</v>
      </c>
      <c r="X840" s="492">
        <f t="shared" si="277"/>
        <v>0</v>
      </c>
      <c r="Y840" s="795"/>
      <c r="Z840" s="797"/>
      <c r="AA840" s="786"/>
    </row>
    <row r="841" spans="1:29" ht="19.5" customHeight="1" thickBot="1">
      <c r="A841" s="787"/>
      <c r="B841" s="352"/>
      <c r="C841" s="790"/>
      <c r="D841" s="793"/>
      <c r="E841" s="481"/>
      <c r="F841" s="417"/>
      <c r="G841" s="486"/>
      <c r="H841" s="440">
        <f t="shared" si="289"/>
        <v>0</v>
      </c>
      <c r="I841" s="413"/>
      <c r="J841" s="604"/>
      <c r="K841" s="414"/>
      <c r="L841" s="532">
        <f t="shared" si="275"/>
        <v>0</v>
      </c>
      <c r="M841" s="413"/>
      <c r="N841" s="414"/>
      <c r="O841" s="414"/>
      <c r="P841" s="415"/>
      <c r="Q841" s="692">
        <f>база!$L$6</f>
        <v>261.04640000000001</v>
      </c>
      <c r="R841" s="438">
        <v>1.4</v>
      </c>
      <c r="S841" s="439">
        <f>SUMIFS(Таблица1[Столбец1],Таблица1[коэф],"1,4",Таблица1[р/р],"5/16",Таблица1[Ф. И. О.],B836)</f>
        <v>0</v>
      </c>
      <c r="T841" s="510">
        <f t="shared" si="276"/>
        <v>0</v>
      </c>
      <c r="U841" s="515">
        <f>база!$M$6</f>
        <v>279.0496</v>
      </c>
      <c r="V841" s="403">
        <v>1.4</v>
      </c>
      <c r="W841" s="439">
        <f>SUMIFS(Таблица1[Столбец1],Таблица1[коэф],"1,4",Таблица1[р/р],"5/24",Таблица1[Ф. И. О.],B836)</f>
        <v>0</v>
      </c>
      <c r="X841" s="510">
        <f t="shared" si="277"/>
        <v>0</v>
      </c>
      <c r="Y841" s="795"/>
      <c r="Z841" s="798"/>
      <c r="AA841" s="787"/>
    </row>
    <row r="842" spans="1:29" ht="18.75" customHeight="1">
      <c r="A842" s="785">
        <v>77</v>
      </c>
      <c r="B842" s="216"/>
      <c r="C842" s="788">
        <f>INDEX(база!$E$2:$E$181, MATCH(B847,база!$B$2:$B$160,0))</f>
        <v>17302</v>
      </c>
      <c r="D842" s="791">
        <f>INDEX(база!$D$2:$D$189, MATCH(B847,база!$B$2:$B$160,0))</f>
        <v>3</v>
      </c>
      <c r="E842" s="377">
        <f>IF(D842&lt;=3,база!$I$4,
IF(D842=4,база!$I$5,
IF(D842=5,база!$I$6)))</f>
        <v>188.7912</v>
      </c>
      <c r="F842" s="378">
        <v>1</v>
      </c>
      <c r="G842" s="548">
        <f>SUMIFS(Таблица1[Столбец1],Таблица1[коэф],"1",Таблица1[р/р],"2/4",Таблица1[Ф. И. О.],B847)</f>
        <v>0</v>
      </c>
      <c r="H842" s="693">
        <f t="shared" si="289"/>
        <v>0</v>
      </c>
      <c r="I842" s="426">
        <f>IF(D842&lt;=3,база!$J$4,
IF(D842=4,база!$J$5,
IF(D842=5,база!$J$6)))</f>
        <v>196.05240000000001</v>
      </c>
      <c r="J842" s="427">
        <v>1</v>
      </c>
      <c r="K842" s="428">
        <f>SUMIFS(Таблица1[Столбец1],Таблица1[коэф],"1",Таблица1[р/р],"2/8",Таблица1[Ф. И. О.],B847)</f>
        <v>0</v>
      </c>
      <c r="L842" s="383">
        <f t="shared" si="275"/>
        <v>0</v>
      </c>
      <c r="M842" s="428"/>
      <c r="N842" s="428">
        <v>1</v>
      </c>
      <c r="O842" s="428">
        <f>SUMIFS(Data_Tech!$AM$3:$AM$67,Data_Tech!$E$3:$E$67,"1",Data_Tech!$G$3:$G$67,"3/12",Data_Tech!$F$3:$F$67,B847)</f>
        <v>0</v>
      </c>
      <c r="P842" s="385">
        <f>ROUND(M842*N842*O842,2)</f>
        <v>0</v>
      </c>
      <c r="Q842" s="377">
        <f>IF(D842&lt;=3,база!$L$4,
IF(D842=4,база!$L$5,
IF(D842=5,база!$L$6)))</f>
        <v>210.57480000000001</v>
      </c>
      <c r="R842" s="378">
        <v>1</v>
      </c>
      <c r="S842" s="387">
        <f>SUMIFS(Таблица1[Столбец1],Таблица1[коэф],"1",Таблица1[р/р],"3/16",Таблица1[Ф. И. О.],B847)</f>
        <v>0</v>
      </c>
      <c r="T842" s="490">
        <f t="shared" si="276"/>
        <v>0</v>
      </c>
      <c r="U842" s="477">
        <f>IF(D842&lt;=3,база!$M$4,
IF(D842=4,база!$M$5,
IF(D842=5,база!$M$6)))</f>
        <v>225.09719999999999</v>
      </c>
      <c r="V842" s="378">
        <v>1</v>
      </c>
      <c r="W842" s="430">
        <f>SUMIFS(Таблица1[Столбец1],Таблица1[коэф],"1",Таблица1[р/р],"3/24",Таблица1[Ф. И. О.],B847)</f>
        <v>0</v>
      </c>
      <c r="X842" s="490">
        <f t="shared" si="277"/>
        <v>0</v>
      </c>
      <c r="Y842" s="794">
        <f t="shared" ref="Y842" si="290">SUM(G842:G852,K842:K852,O842:O852,S842:S852,W842:W852)</f>
        <v>0</v>
      </c>
      <c r="Z842" s="797">
        <f t="shared" ref="Z842" si="291">IFERROR(SUM(H842:H852,L842:L852,T842:T852,X842:X852),"")</f>
        <v>0</v>
      </c>
      <c r="AA842" s="786"/>
    </row>
    <row r="843" spans="1:29" ht="18.75" customHeight="1">
      <c r="A843" s="786"/>
      <c r="B843" s="216"/>
      <c r="C843" s="789"/>
      <c r="D843" s="792"/>
      <c r="E843" s="389">
        <f>IF(D842&lt;=3,база!$I$4,
IF(D842=4,база!$I$5,
IF(D842=5,база!$I$6)))</f>
        <v>188.7912</v>
      </c>
      <c r="F843" s="390">
        <v>1</v>
      </c>
      <c r="G843" s="544">
        <f>SUMIFS(Таблица1[Столбец1],Таблица1[коэф],"1",Таблица1[р/р],"3/4",Таблица1[Ф. И. О.],B847)</f>
        <v>0</v>
      </c>
      <c r="H843" s="694">
        <f>ROUND(E843*F843*G843*2,2)</f>
        <v>0</v>
      </c>
      <c r="I843" s="432">
        <f>IF(D842&lt;=3,база!$J$4,
IF(D842=4,база!$J$5,
IF(D842=5,база!$J$6)))</f>
        <v>196.05240000000001</v>
      </c>
      <c r="J843" s="433">
        <v>1</v>
      </c>
      <c r="K843" s="434">
        <f>SUMIFS(Таблица1[Столбец1],Таблица1[коэф],"1",Таблица1[р/р],"3/8",Таблица1[Ф. И. О.],B847)</f>
        <v>0</v>
      </c>
      <c r="L843" s="484">
        <f t="shared" si="275"/>
        <v>0</v>
      </c>
      <c r="M843" s="434"/>
      <c r="N843" s="434">
        <v>1</v>
      </c>
      <c r="O843" s="434">
        <f>SUMIFS(Data_Tech!$AM$3:$AM$67,Data_Tech!$E$3:$E$67,"1",Data_Tech!$G$3:$G$67,"4/12",Data_Tech!$F$3:$F$67,B847)</f>
        <v>0</v>
      </c>
      <c r="P843" s="406">
        <f>ROUND(M843*O843,2)</f>
        <v>0</v>
      </c>
      <c r="Q843" s="389">
        <f>база!$L$5</f>
        <v>231.45480000000001</v>
      </c>
      <c r="R843" s="390">
        <v>1</v>
      </c>
      <c r="S843" s="400">
        <f>SUMIFS(Таблица1[Столбец1],Таблица1[коэф],"1",Таблица1[р/р],"4/16",Таблица1[Ф. И. О.],B847)</f>
        <v>0</v>
      </c>
      <c r="T843" s="492">
        <f t="shared" si="276"/>
        <v>0</v>
      </c>
      <c r="U843" s="478">
        <f>база!$M$5</f>
        <v>247.41720000000001</v>
      </c>
      <c r="V843" s="390">
        <v>1</v>
      </c>
      <c r="W843" s="412">
        <f>SUMIFS(Таблица1[Столбец1],Таблица1[коэф],"1",Таблица1[р/р],"4/24",Таблица1[Ф. И. О.],B847)</f>
        <v>0</v>
      </c>
      <c r="X843" s="492">
        <f t="shared" si="277"/>
        <v>0</v>
      </c>
      <c r="Y843" s="795"/>
      <c r="Z843" s="797"/>
      <c r="AA843" s="786"/>
    </row>
    <row r="844" spans="1:29" ht="18.75" customHeight="1">
      <c r="A844" s="786"/>
      <c r="B844" s="216"/>
      <c r="C844" s="789"/>
      <c r="D844" s="792"/>
      <c r="E844" s="389"/>
      <c r="F844" s="390"/>
      <c r="G844" s="544"/>
      <c r="H844" s="694">
        <f t="shared" ref="H844:H852" si="292">ROUND(E844*F844*G844*2,2)</f>
        <v>0</v>
      </c>
      <c r="I844" s="432"/>
      <c r="J844" s="433"/>
      <c r="K844" s="434"/>
      <c r="L844" s="484">
        <f t="shared" si="275"/>
        <v>0</v>
      </c>
      <c r="M844" s="434"/>
      <c r="N844" s="434"/>
      <c r="O844" s="434"/>
      <c r="P844" s="406"/>
      <c r="Q844" s="389">
        <f>база!$L$6</f>
        <v>261.04640000000001</v>
      </c>
      <c r="R844" s="390">
        <v>1</v>
      </c>
      <c r="S844" s="400">
        <f>SUMIFS(Таблица1[Столбец1],Таблица1[коэф],"1",Таблица1[р/р],"5/16",Таблица1[Ф. И. О.],B847)</f>
        <v>0</v>
      </c>
      <c r="T844" s="492">
        <f t="shared" si="276"/>
        <v>0</v>
      </c>
      <c r="U844" s="478">
        <f>база!$M$6</f>
        <v>279.0496</v>
      </c>
      <c r="V844" s="390">
        <v>1</v>
      </c>
      <c r="W844" s="412">
        <f>SUMIFS(Таблица1[Столбец1],Таблица1[коэф],"1",Таблица1[р/р],"5/24",Таблица1[Ф. И. О.],B847)</f>
        <v>0</v>
      </c>
      <c r="X844" s="492">
        <f t="shared" si="277"/>
        <v>0</v>
      </c>
      <c r="Y844" s="795"/>
      <c r="Z844" s="797"/>
      <c r="AA844" s="786"/>
    </row>
    <row r="845" spans="1:29" ht="18.75" customHeight="1">
      <c r="A845" s="786"/>
      <c r="B845" s="216"/>
      <c r="C845" s="789"/>
      <c r="D845" s="792"/>
      <c r="E845" s="389"/>
      <c r="F845" s="390"/>
      <c r="G845" s="544"/>
      <c r="H845" s="694">
        <f t="shared" si="292"/>
        <v>0</v>
      </c>
      <c r="I845" s="432">
        <f>база!$J$5</f>
        <v>215.4924</v>
      </c>
      <c r="J845" s="433">
        <v>1.5</v>
      </c>
      <c r="K845" s="434">
        <f>SUMIFS(Таблица1[Столбец1],Таблица1[коэф],"1,5",Таблица1[р/р],"4/8",Таблица1[Ф. И. О.],B847)</f>
        <v>0</v>
      </c>
      <c r="L845" s="484">
        <f t="shared" si="275"/>
        <v>0</v>
      </c>
      <c r="M845" s="434"/>
      <c r="N845" s="434"/>
      <c r="O845" s="434"/>
      <c r="P845" s="406"/>
      <c r="Q845" s="389">
        <f>IF(D842&lt;=3,база!$L$4,
IF(D842=4,база!$L$5,
IF(D842=5,база!$L$6)))</f>
        <v>210.57480000000001</v>
      </c>
      <c r="R845" s="390">
        <v>1.2</v>
      </c>
      <c r="S845" s="400">
        <f>SUMIFS(Таблица1[Столбец1],Таблица1[коэф],"1,2",Таблица1[р/р],"3/16",Таблица1[Ф. И. О.],B847)</f>
        <v>0</v>
      </c>
      <c r="T845" s="492">
        <f t="shared" si="276"/>
        <v>0</v>
      </c>
      <c r="U845" s="478">
        <f>IF(D842&lt;=3,база!$M$4,
IF(D842=4,база!$M$5,
IF(D842=5,база!$M$6)))</f>
        <v>225.09719999999999</v>
      </c>
      <c r="V845" s="390">
        <v>1.2</v>
      </c>
      <c r="W845" s="412">
        <f>SUMIFS(Таблица1[Столбец1],Таблица1[коэф],"1,2",Таблица1[р/р],"3/24",Таблица1[Ф. И. О.],B847)</f>
        <v>0</v>
      </c>
      <c r="X845" s="492">
        <f t="shared" si="277"/>
        <v>0</v>
      </c>
      <c r="Y845" s="795"/>
      <c r="Z845" s="797"/>
      <c r="AA845" s="786"/>
    </row>
    <row r="846" spans="1:29" ht="18.75" customHeight="1">
      <c r="A846" s="786"/>
      <c r="B846" s="216"/>
      <c r="C846" s="789"/>
      <c r="D846" s="792"/>
      <c r="E846" s="389"/>
      <c r="F846" s="390"/>
      <c r="G846" s="544"/>
      <c r="H846" s="694">
        <f t="shared" si="292"/>
        <v>0</v>
      </c>
      <c r="I846" s="432">
        <f>база!$J$6</f>
        <v>243.04319999999998</v>
      </c>
      <c r="J846" s="433">
        <v>1.5</v>
      </c>
      <c r="K846" s="434">
        <f>SUMIFS(Таблица1[Столбец1],Таблица1[коэф],"1,5",Таблица1[р/р],"5/8",Таблица1[Ф. И. О.],B847)</f>
        <v>0</v>
      </c>
      <c r="L846" s="484">
        <f t="shared" si="275"/>
        <v>0</v>
      </c>
      <c r="M846" s="434"/>
      <c r="N846" s="434"/>
      <c r="O846" s="434"/>
      <c r="P846" s="406"/>
      <c r="Q846" s="389">
        <f>база!$L$5</f>
        <v>231.45480000000001</v>
      </c>
      <c r="R846" s="390">
        <v>1.2</v>
      </c>
      <c r="S846" s="400">
        <f>SUMIFS(Таблица1[Столбец1],Таблица1[коэф],"1,2",Таблица1[р/р],"4/16",Таблица1[Ф. И. О.],B847)</f>
        <v>0</v>
      </c>
      <c r="T846" s="492">
        <f t="shared" si="276"/>
        <v>0</v>
      </c>
      <c r="U846" s="478">
        <f>база!$M$5</f>
        <v>247.41720000000001</v>
      </c>
      <c r="V846" s="390">
        <v>1.2</v>
      </c>
      <c r="W846" s="412">
        <f>SUMIFS(Таблица1[Столбец1],Таблица1[коэф],"1,2",Таблица1[р/р],"4/24",Таблица1[Ф. И. О.],B847)</f>
        <v>0</v>
      </c>
      <c r="X846" s="492">
        <f t="shared" si="277"/>
        <v>0</v>
      </c>
      <c r="Y846" s="795"/>
      <c r="Z846" s="797"/>
      <c r="AA846" s="786"/>
    </row>
    <row r="847" spans="1:29" ht="18.75" customHeight="1">
      <c r="A847" s="786"/>
      <c r="B847" s="216" t="str">
        <f>база!B78</f>
        <v>Черкасова Дарья Викторовна</v>
      </c>
      <c r="C847" s="789"/>
      <c r="D847" s="792"/>
      <c r="E847" s="389"/>
      <c r="F847" s="390"/>
      <c r="G847" s="544"/>
      <c r="H847" s="694">
        <f t="shared" si="292"/>
        <v>0</v>
      </c>
      <c r="I847" s="432"/>
      <c r="J847" s="433"/>
      <c r="K847" s="434"/>
      <c r="L847" s="484">
        <f t="shared" si="275"/>
        <v>0</v>
      </c>
      <c r="M847" s="434"/>
      <c r="N847" s="434"/>
      <c r="O847" s="434"/>
      <c r="P847" s="406"/>
      <c r="Q847" s="389">
        <f>база!$L$6</f>
        <v>261.04640000000001</v>
      </c>
      <c r="R847" s="390">
        <v>1.2</v>
      </c>
      <c r="S847" s="400">
        <f>SUMIFS(Таблица1[Столбец1],Таблица1[коэф],"1,2",Таблица1[р/р],"5/16",Таблица1[Ф. И. О.],B847)</f>
        <v>0</v>
      </c>
      <c r="T847" s="492">
        <f t="shared" si="276"/>
        <v>0</v>
      </c>
      <c r="U847" s="478">
        <f>база!$M$6</f>
        <v>279.0496</v>
      </c>
      <c r="V847" s="390">
        <v>1.2</v>
      </c>
      <c r="W847" s="412">
        <f>SUMIFS(Таблица1[Столбец1],Таблица1[коэф],"1,2",Таблица1[р/р],"5/24",Таблица1[Ф. И. О.],B847)</f>
        <v>0</v>
      </c>
      <c r="X847" s="492">
        <f t="shared" si="277"/>
        <v>0</v>
      </c>
      <c r="Y847" s="795"/>
      <c r="Z847" s="797"/>
      <c r="AA847" s="786"/>
      <c r="AC847" s="727" t="str">
        <f>IF(SUMIFS(Таблица1[Столбец3],Таблица1[Ф. И. О.],B847)-Z842=0,"",SUMIFS(Таблица1[Столбец3],Таблица1[Ф. И. О.],B847)-Z842)</f>
        <v/>
      </c>
    </row>
    <row r="848" spans="1:29" ht="18.75" customHeight="1">
      <c r="A848" s="786"/>
      <c r="B848" s="216"/>
      <c r="C848" s="789"/>
      <c r="D848" s="792"/>
      <c r="E848" s="389"/>
      <c r="F848" s="390"/>
      <c r="G848" s="544"/>
      <c r="H848" s="694">
        <f t="shared" si="292"/>
        <v>0</v>
      </c>
      <c r="I848" s="432"/>
      <c r="J848" s="433"/>
      <c r="K848" s="434"/>
      <c r="L848" s="484">
        <f t="shared" si="275"/>
        <v>0</v>
      </c>
      <c r="M848" s="434"/>
      <c r="N848" s="434"/>
      <c r="O848" s="434"/>
      <c r="P848" s="406"/>
      <c r="Q848" s="389">
        <f>IF($D$6&lt;=3,база!$L$4,
IF($D$6=4,база!$L$5,
IF($D$6=5,база!$L$6)))</f>
        <v>231.45480000000001</v>
      </c>
      <c r="R848" s="390">
        <v>1.3</v>
      </c>
      <c r="S848" s="400">
        <f>SUMIFS(Таблица1[Столбец1],Таблица1[коэф],"1,3",Таблица1[р/р],"3/16",Таблица1[Ф. И. О.],B847)</f>
        <v>0</v>
      </c>
      <c r="T848" s="492">
        <f t="shared" si="276"/>
        <v>0</v>
      </c>
      <c r="U848" s="478">
        <f>IF(D842&lt;=3,база!$M$4,
IF(D842=4,база!$M$5,
IF(D842=5,база!$M$6)))</f>
        <v>225.09719999999999</v>
      </c>
      <c r="V848" s="390">
        <v>1.3</v>
      </c>
      <c r="W848" s="412">
        <f>SUMIFS(Таблица1[Столбец1],Таблица1[коэф],"1,3",Таблица1[р/р],"3/24",Таблица1[Ф. И. О.],B847)</f>
        <v>0</v>
      </c>
      <c r="X848" s="492">
        <f t="shared" si="277"/>
        <v>0</v>
      </c>
      <c r="Y848" s="795"/>
      <c r="Z848" s="797"/>
      <c r="AA848" s="786"/>
      <c r="AC848" s="727" t="str">
        <f>IF(SUMIFS(Таблица1[Столбец1],Таблица1[Ф. И. О.],B847)=Y842,"",B847&amp;"  часы не верны")</f>
        <v/>
      </c>
    </row>
    <row r="849" spans="1:29" ht="18.75" customHeight="1">
      <c r="A849" s="786"/>
      <c r="B849" s="216"/>
      <c r="C849" s="789"/>
      <c r="D849" s="792"/>
      <c r="E849" s="389"/>
      <c r="F849" s="390"/>
      <c r="G849" s="544"/>
      <c r="H849" s="694">
        <f t="shared" si="292"/>
        <v>0</v>
      </c>
      <c r="I849" s="432"/>
      <c r="J849" s="433"/>
      <c r="K849" s="434"/>
      <c r="L849" s="484">
        <f t="shared" si="275"/>
        <v>0</v>
      </c>
      <c r="M849" s="434"/>
      <c r="N849" s="434"/>
      <c r="O849" s="434"/>
      <c r="P849" s="406"/>
      <c r="Q849" s="389">
        <f>база!$L$5</f>
        <v>231.45480000000001</v>
      </c>
      <c r="R849" s="390">
        <v>1.3</v>
      </c>
      <c r="S849" s="400">
        <f>SUMIFS(Таблица1[Столбец1],Таблица1[коэф],"1,3",Таблица1[р/р],"4/16",Таблица1[Ф. И. О.],B847)</f>
        <v>0</v>
      </c>
      <c r="T849" s="492">
        <f t="shared" si="276"/>
        <v>0</v>
      </c>
      <c r="U849" s="478">
        <f>база!$M$5</f>
        <v>247.41720000000001</v>
      </c>
      <c r="V849" s="390">
        <v>1.3</v>
      </c>
      <c r="W849" s="412">
        <f>SUMIFS(Таблица1[Столбец1],Таблица1[коэф],"1,3",Таблица1[р/р],"4/24",Таблица1[Ф. И. О.],B847)</f>
        <v>0</v>
      </c>
      <c r="X849" s="492">
        <f t="shared" si="277"/>
        <v>0</v>
      </c>
      <c r="Y849" s="795"/>
      <c r="Z849" s="797"/>
      <c r="AA849" s="786"/>
    </row>
    <row r="850" spans="1:29" ht="18.75" customHeight="1">
      <c r="A850" s="786"/>
      <c r="B850" s="216"/>
      <c r="C850" s="789"/>
      <c r="D850" s="792"/>
      <c r="E850" s="389"/>
      <c r="F850" s="390"/>
      <c r="G850" s="544"/>
      <c r="H850" s="694">
        <f t="shared" si="292"/>
        <v>0</v>
      </c>
      <c r="I850" s="432"/>
      <c r="J850" s="433"/>
      <c r="K850" s="434"/>
      <c r="L850" s="484">
        <f t="shared" si="275"/>
        <v>0</v>
      </c>
      <c r="M850" s="434"/>
      <c r="N850" s="434"/>
      <c r="O850" s="434"/>
      <c r="P850" s="406"/>
      <c r="Q850" s="389">
        <f>IF(D842&lt;=3,база!$L$4,
IF(D842=4,база!$L$5,
IF(D842=5,база!$L$6)))</f>
        <v>210.57480000000001</v>
      </c>
      <c r="R850" s="390">
        <v>1.4</v>
      </c>
      <c r="S850" s="400">
        <f>SUMIFS(Таблица1[Столбец1],Таблица1[коэф],"1,4",Таблица1[р/р],"3/16",Таблица1[Ф. И. О.],B847)</f>
        <v>0</v>
      </c>
      <c r="T850" s="492">
        <f t="shared" si="276"/>
        <v>0</v>
      </c>
      <c r="U850" s="478">
        <f>IF(D842&lt;=3,база!$M$4,
IF(D842=4,база!$M$5,
IF(D842=5,база!$M$6)))</f>
        <v>225.09719999999999</v>
      </c>
      <c r="V850" s="390">
        <v>1.4</v>
      </c>
      <c r="W850" s="412">
        <f>SUMIFS(Таблица1[Столбец1],Таблица1[коэф],"1,4",Таблица1[р/р],"3/24",Таблица1[Ф. И. О.],B847)</f>
        <v>0</v>
      </c>
      <c r="X850" s="492">
        <f t="shared" si="277"/>
        <v>0</v>
      </c>
      <c r="Y850" s="795"/>
      <c r="Z850" s="797"/>
      <c r="AA850" s="786"/>
    </row>
    <row r="851" spans="1:29" ht="18.75" customHeight="1">
      <c r="A851" s="786"/>
      <c r="B851" s="216"/>
      <c r="C851" s="789"/>
      <c r="D851" s="792"/>
      <c r="E851" s="389"/>
      <c r="F851" s="390"/>
      <c r="G851" s="544"/>
      <c r="H851" s="694">
        <f t="shared" si="292"/>
        <v>0</v>
      </c>
      <c r="I851" s="432"/>
      <c r="J851" s="433"/>
      <c r="K851" s="434"/>
      <c r="L851" s="484">
        <f t="shared" si="275"/>
        <v>0</v>
      </c>
      <c r="M851" s="434"/>
      <c r="N851" s="434"/>
      <c r="O851" s="434"/>
      <c r="P851" s="406"/>
      <c r="Q851" s="389">
        <f>база!$L$5</f>
        <v>231.45480000000001</v>
      </c>
      <c r="R851" s="390">
        <v>1.4</v>
      </c>
      <c r="S851" s="400">
        <f>SUMIFS(Таблица1[Столбец1],Таблица1[коэф],"1,4",Таблица1[р/р],"4/16",Таблица1[Ф. И. О.],B847)</f>
        <v>0</v>
      </c>
      <c r="T851" s="492">
        <f t="shared" si="276"/>
        <v>0</v>
      </c>
      <c r="U851" s="478">
        <f>база!$M$5</f>
        <v>247.41720000000001</v>
      </c>
      <c r="V851" s="390">
        <v>1.4</v>
      </c>
      <c r="W851" s="412">
        <f>SUMIFS(Таблица1[Столбец1],Таблица1[коэф],"1,4",Таблица1[р/р],"4/24",Таблица1[Ф. И. О.],B847)</f>
        <v>0</v>
      </c>
      <c r="X851" s="492">
        <f t="shared" si="277"/>
        <v>0</v>
      </c>
      <c r="Y851" s="795"/>
      <c r="Z851" s="797"/>
      <c r="AA851" s="786"/>
    </row>
    <row r="852" spans="1:29" ht="19.5" customHeight="1" thickBot="1">
      <c r="A852" s="787"/>
      <c r="B852" s="352"/>
      <c r="C852" s="790"/>
      <c r="D852" s="793"/>
      <c r="E852" s="481"/>
      <c r="F852" s="417"/>
      <c r="G852" s="691"/>
      <c r="H852" s="695">
        <f t="shared" si="292"/>
        <v>0</v>
      </c>
      <c r="I852" s="654"/>
      <c r="J852" s="617"/>
      <c r="K852" s="655"/>
      <c r="L852" s="537">
        <f t="shared" si="275"/>
        <v>0</v>
      </c>
      <c r="M852" s="654"/>
      <c r="N852" s="655"/>
      <c r="O852" s="655"/>
      <c r="P852" s="538"/>
      <c r="Q852" s="656">
        <f>база!$L$6</f>
        <v>261.04640000000001</v>
      </c>
      <c r="R852" s="446">
        <v>1.4</v>
      </c>
      <c r="S852" s="447">
        <f>SUMIFS(Таблица1[Столбец1],Таблица1[коэф],"1,4",Таблица1[р/р],"5/16",Таблица1[Ф. И. О.],B847)</f>
        <v>0</v>
      </c>
      <c r="T852" s="696">
        <f t="shared" si="276"/>
        <v>0</v>
      </c>
      <c r="U852" s="536">
        <f>база!$M$6</f>
        <v>279.0496</v>
      </c>
      <c r="V852" s="464">
        <v>1.4</v>
      </c>
      <c r="W852" s="447">
        <f>SUMIFS(Таблица1[Столбец1],Таблица1[коэф],"1,4",Таблица1[р/р],"5/24",Таблица1[Ф. И. О.],B847)</f>
        <v>0</v>
      </c>
      <c r="X852" s="696">
        <f t="shared" si="277"/>
        <v>0</v>
      </c>
      <c r="Y852" s="796"/>
      <c r="Z852" s="798"/>
      <c r="AA852" s="787"/>
    </row>
    <row r="853" spans="1:29" ht="18.75" customHeight="1">
      <c r="A853" s="785">
        <v>78</v>
      </c>
      <c r="B853" s="216"/>
      <c r="C853" s="788">
        <f>INDEX(база!$E$2:$E$181, MATCH(B858,база!$B$2:$B$160,0))</f>
        <v>15260</v>
      </c>
      <c r="D853" s="791">
        <f>INDEX(база!$D$2:$D$189, MATCH(B858,база!$B$2:$B$160,0))</f>
        <v>4</v>
      </c>
      <c r="E853" s="377">
        <f>IF(D853&lt;=3,база!$I$4,
IF(D853=4,база!$I$5,
IF(D853=5,база!$I$6)))</f>
        <v>207.5112</v>
      </c>
      <c r="F853" s="378">
        <v>1</v>
      </c>
      <c r="G853" s="387">
        <f>SUMIFS(Таблица1[Столбец1],Таблица1[коэф],"1",Таблица1[р/р],"2/4",Таблица1[Ф. И. О.],B858)</f>
        <v>0</v>
      </c>
      <c r="H853" s="402">
        <f t="shared" ref="H853" si="293">ROUND(E853*F853*G853*2,2)</f>
        <v>0</v>
      </c>
      <c r="I853" s="452">
        <f>IF(D853&lt;=3,база!$J$4,
IF(D853=4,база!$J$5,
IF(D853=5,база!$J$6)))</f>
        <v>215.4924</v>
      </c>
      <c r="J853" s="475">
        <v>1</v>
      </c>
      <c r="K853" s="453">
        <f>SUMIFS(Таблица1[Столбец1],Таблица1[коэф],"1",Таблица1[р/р],"2/8",Таблица1[Ф. И. О.],B858)</f>
        <v>0</v>
      </c>
      <c r="L853" s="484">
        <f t="shared" ref="L853:L885" si="294">ROUND(I853*J853*K853*2,2)</f>
        <v>0</v>
      </c>
      <c r="M853" s="453"/>
      <c r="N853" s="453">
        <v>1</v>
      </c>
      <c r="O853" s="453">
        <f>SUMIFS(Data_Tech!$AM$3:$AM$67,Data_Tech!$E$3:$E$67,"1",Data_Tech!$G$3:$G$67,"3/12",Data_Tech!$F$3:$F$67,B858)</f>
        <v>0</v>
      </c>
      <c r="P853" s="398">
        <f>ROUND(M853*N853*O853,2)</f>
        <v>0</v>
      </c>
      <c r="Q853" s="481">
        <f>IF(D853&lt;=3,база!$L$4,
IF(D853=4,база!$L$5,
IF(D853=5,база!$L$6)))</f>
        <v>231.45480000000001</v>
      </c>
      <c r="R853" s="417">
        <v>1</v>
      </c>
      <c r="S853" s="418">
        <f>SUMIFS(Таблица1[Столбец1],Таблица1[коэф],"1",Таблица1[р/р],"3/16",Таблица1[Ф. И. О.],B858)</f>
        <v>0</v>
      </c>
      <c r="T853" s="492">
        <f t="shared" ref="T853:T885" si="295">ROUND(Q853*R853*S853*2,2)</f>
        <v>0</v>
      </c>
      <c r="U853" s="483">
        <f>IF(D853&lt;=3,база!$M$4,
IF(D853=4,база!$M$5,
IF(D853=5,база!$M$6)))</f>
        <v>247.41720000000001</v>
      </c>
      <c r="V853" s="417">
        <v>1</v>
      </c>
      <c r="W853" s="455">
        <f>SUMIFS(Таблица1[Столбец1],Таблица1[коэф],"1",Таблица1[р/р],"3/24",Таблица1[Ф. И. О.],B858)</f>
        <v>0</v>
      </c>
      <c r="X853" s="492">
        <f t="shared" ref="X853:X885" si="296">ROUND(U853*V853*W853*2,2)</f>
        <v>0</v>
      </c>
      <c r="Y853" s="795">
        <f t="shared" ref="Y853" si="297">SUM(G853:G863,K853:K863,O853:O863,S853:S863,W853:W863)</f>
        <v>0</v>
      </c>
      <c r="Z853" s="797">
        <f t="shared" ref="Z853" si="298">IFERROR(SUM(H853:H863,L853:L863,T853:T863,X853:X863),"")</f>
        <v>0</v>
      </c>
      <c r="AA853" s="786"/>
    </row>
    <row r="854" spans="1:29" ht="18.75" customHeight="1">
      <c r="A854" s="786"/>
      <c r="B854" s="216"/>
      <c r="C854" s="789"/>
      <c r="D854" s="792"/>
      <c r="E854" s="389">
        <f>IF(D853&lt;=3,база!$I$4,
IF(D853=4,база!$I$5,
IF(D853=5,база!$I$6)))</f>
        <v>207.5112</v>
      </c>
      <c r="F854" s="390">
        <v>1</v>
      </c>
      <c r="G854" s="400">
        <f>SUMIFS(Таблица1[Столбец1],Таблица1[коэф],"1",Таблица1[р/р],"3/4",Таблица1[Ф. И. О.],B858)</f>
        <v>0</v>
      </c>
      <c r="H854" s="392">
        <f>ROUND(E854*F854*G854*2,2)</f>
        <v>0</v>
      </c>
      <c r="I854" s="432">
        <f>IF(D853&lt;=3,база!$J$4,
IF(D853=4,база!$J$5,
IF(D853=5,база!$J$6)))</f>
        <v>215.4924</v>
      </c>
      <c r="J854" s="433">
        <v>1</v>
      </c>
      <c r="K854" s="434">
        <f>SUMIFS(Таблица1[Столбец1],Таблица1[коэф],"1",Таблица1[р/р],"3/8",Таблица1[Ф. И. О.],B858)</f>
        <v>0</v>
      </c>
      <c r="L854" s="484">
        <f t="shared" si="294"/>
        <v>0</v>
      </c>
      <c r="M854" s="434"/>
      <c r="N854" s="434">
        <v>1</v>
      </c>
      <c r="O854" s="434">
        <f>SUMIFS(Data_Tech!$AM$3:$AM$67,Data_Tech!$E$3:$E$67,"1",Data_Tech!$G$3:$G$67,"4/12",Data_Tech!$F$3:$F$67,B858)</f>
        <v>0</v>
      </c>
      <c r="P854" s="406">
        <f>ROUND(M854*O854,2)</f>
        <v>0</v>
      </c>
      <c r="Q854" s="389">
        <f>база!$L$5</f>
        <v>231.45480000000001</v>
      </c>
      <c r="R854" s="390">
        <v>1</v>
      </c>
      <c r="S854" s="400">
        <f>SUMIFS(Таблица1[Столбец1],Таблица1[коэф],"1",Таблица1[р/р],"4/16",Таблица1[Ф. И. О.],B858)</f>
        <v>0</v>
      </c>
      <c r="T854" s="492">
        <f t="shared" si="295"/>
        <v>0</v>
      </c>
      <c r="U854" s="478">
        <f>база!$M$5</f>
        <v>247.41720000000001</v>
      </c>
      <c r="V854" s="390">
        <v>1</v>
      </c>
      <c r="W854" s="412">
        <f>SUMIFS(Таблица1[Столбец1],Таблица1[коэф],"1",Таблица1[р/р],"4/24",Таблица1[Ф. И. О.],B858)</f>
        <v>0</v>
      </c>
      <c r="X854" s="492">
        <f t="shared" si="296"/>
        <v>0</v>
      </c>
      <c r="Y854" s="795"/>
      <c r="Z854" s="797"/>
      <c r="AA854" s="786"/>
    </row>
    <row r="855" spans="1:29" ht="18.75" customHeight="1">
      <c r="A855" s="786"/>
      <c r="B855" s="216"/>
      <c r="C855" s="789"/>
      <c r="D855" s="792"/>
      <c r="E855" s="389"/>
      <c r="F855" s="390"/>
      <c r="G855" s="400"/>
      <c r="H855" s="392">
        <f t="shared" ref="H855:H864" si="299">ROUND(E855*F855*G855*2,2)</f>
        <v>0</v>
      </c>
      <c r="I855" s="432"/>
      <c r="J855" s="433"/>
      <c r="K855" s="434"/>
      <c r="L855" s="484">
        <f t="shared" si="294"/>
        <v>0</v>
      </c>
      <c r="M855" s="434"/>
      <c r="N855" s="434"/>
      <c r="O855" s="434"/>
      <c r="P855" s="406"/>
      <c r="Q855" s="389">
        <f>база!$L$6</f>
        <v>261.04640000000001</v>
      </c>
      <c r="R855" s="390">
        <v>1</v>
      </c>
      <c r="S855" s="400">
        <f>SUMIFS(Таблица1[Столбец1],Таблица1[коэф],"1",Таблица1[р/р],"5/16",Таблица1[Ф. И. О.],B858)</f>
        <v>0</v>
      </c>
      <c r="T855" s="492">
        <f t="shared" si="295"/>
        <v>0</v>
      </c>
      <c r="U855" s="478">
        <f>база!$M$6</f>
        <v>279.0496</v>
      </c>
      <c r="V855" s="390">
        <v>1</v>
      </c>
      <c r="W855" s="412">
        <f>SUMIFS(Таблица1[Столбец1],Таблица1[коэф],"1",Таблица1[р/р],"5/24",Таблица1[Ф. И. О.],B858)</f>
        <v>0</v>
      </c>
      <c r="X855" s="492">
        <f t="shared" si="296"/>
        <v>0</v>
      </c>
      <c r="Y855" s="795"/>
      <c r="Z855" s="797"/>
      <c r="AA855" s="786"/>
    </row>
    <row r="856" spans="1:29" ht="18.75" customHeight="1">
      <c r="A856" s="786"/>
      <c r="B856" s="216"/>
      <c r="C856" s="789"/>
      <c r="D856" s="792"/>
      <c r="E856" s="389"/>
      <c r="F856" s="390"/>
      <c r="G856" s="400"/>
      <c r="H856" s="392">
        <f t="shared" si="299"/>
        <v>0</v>
      </c>
      <c r="I856" s="432">
        <f>база!$J$5</f>
        <v>215.4924</v>
      </c>
      <c r="J856" s="433">
        <v>1.5</v>
      </c>
      <c r="K856" s="434">
        <f>SUMIFS(Таблица1[Столбец1],Таблица1[коэф],"1,5",Таблица1[р/р],"4/8",Таблица1[Ф. И. О.],B858)</f>
        <v>0</v>
      </c>
      <c r="L856" s="484">
        <f t="shared" si="294"/>
        <v>0</v>
      </c>
      <c r="M856" s="434"/>
      <c r="N856" s="434"/>
      <c r="O856" s="434"/>
      <c r="P856" s="406"/>
      <c r="Q856" s="389">
        <f>IF(D853&lt;=3,база!$L$4,
IF(D853=4,база!$L$5,
IF(D853=5,база!$L$6)))</f>
        <v>231.45480000000001</v>
      </c>
      <c r="R856" s="390">
        <v>1.2</v>
      </c>
      <c r="S856" s="400">
        <f>SUMIFS(Таблица1[Столбец1],Таблица1[коэф],"1,2",Таблица1[р/р],"3/16",Таблица1[Ф. И. О.],B858)</f>
        <v>0</v>
      </c>
      <c r="T856" s="492">
        <f t="shared" si="295"/>
        <v>0</v>
      </c>
      <c r="U856" s="478">
        <f>IF(D853&lt;=3,база!$M$4,
IF(D853=4,база!$M$5,
IF(D853=5,база!$M$6)))</f>
        <v>247.41720000000001</v>
      </c>
      <c r="V856" s="390">
        <v>1.2</v>
      </c>
      <c r="W856" s="412">
        <f>SUMIFS(Таблица1[Столбец1],Таблица1[коэф],"1,2",Таблица1[р/р],"3/24",Таблица1[Ф. И. О.],B858)</f>
        <v>0</v>
      </c>
      <c r="X856" s="492">
        <f t="shared" si="296"/>
        <v>0</v>
      </c>
      <c r="Y856" s="795"/>
      <c r="Z856" s="797"/>
      <c r="AA856" s="786"/>
    </row>
    <row r="857" spans="1:29" ht="18.75" customHeight="1">
      <c r="A857" s="786"/>
      <c r="B857" s="216"/>
      <c r="C857" s="789"/>
      <c r="D857" s="792"/>
      <c r="E857" s="389"/>
      <c r="F857" s="390"/>
      <c r="G857" s="400"/>
      <c r="H857" s="392">
        <f t="shared" si="299"/>
        <v>0</v>
      </c>
      <c r="I857" s="432">
        <f>база!$J$6</f>
        <v>243.04319999999998</v>
      </c>
      <c r="J857" s="433">
        <v>1.5</v>
      </c>
      <c r="K857" s="434">
        <f>SUMIFS(Таблица1[Столбец1],Таблица1[коэф],"1,5",Таблица1[р/р],"5/8",Таблица1[Ф. И. О.],B858)</f>
        <v>0</v>
      </c>
      <c r="L857" s="484">
        <f t="shared" si="294"/>
        <v>0</v>
      </c>
      <c r="M857" s="434"/>
      <c r="N857" s="434"/>
      <c r="O857" s="434"/>
      <c r="P857" s="406"/>
      <c r="Q857" s="389">
        <f>база!$L$5</f>
        <v>231.45480000000001</v>
      </c>
      <c r="R857" s="390">
        <v>1.2</v>
      </c>
      <c r="S857" s="400">
        <f>SUMIFS(Таблица1[Столбец1],Таблица1[коэф],"1,2",Таблица1[р/р],"4/16",Таблица1[Ф. И. О.],B858)</f>
        <v>0</v>
      </c>
      <c r="T857" s="492">
        <f t="shared" si="295"/>
        <v>0</v>
      </c>
      <c r="U857" s="478">
        <f>база!$M$5</f>
        <v>247.41720000000001</v>
      </c>
      <c r="V857" s="390">
        <v>1.2</v>
      </c>
      <c r="W857" s="412">
        <f>SUMIFS(Таблица1[Столбец1],Таблица1[коэф],"1,2",Таблица1[р/р],"4/24",Таблица1[Ф. И. О.],B858)</f>
        <v>0</v>
      </c>
      <c r="X857" s="492">
        <f t="shared" si="296"/>
        <v>0</v>
      </c>
      <c r="Y857" s="795"/>
      <c r="Z857" s="797"/>
      <c r="AA857" s="786"/>
    </row>
    <row r="858" spans="1:29" ht="18.75" customHeight="1">
      <c r="A858" s="786"/>
      <c r="B858" s="216" t="str">
        <f>база!B79</f>
        <v>Шамарина Светлана Владимировна</v>
      </c>
      <c r="C858" s="789"/>
      <c r="D858" s="792"/>
      <c r="E858" s="389"/>
      <c r="F858" s="390"/>
      <c r="G858" s="400"/>
      <c r="H858" s="392">
        <f t="shared" si="299"/>
        <v>0</v>
      </c>
      <c r="I858" s="432"/>
      <c r="J858" s="433"/>
      <c r="K858" s="434"/>
      <c r="L858" s="484">
        <f t="shared" si="294"/>
        <v>0</v>
      </c>
      <c r="M858" s="434"/>
      <c r="N858" s="434"/>
      <c r="O858" s="434"/>
      <c r="P858" s="406"/>
      <c r="Q858" s="389">
        <f>база!$L$6</f>
        <v>261.04640000000001</v>
      </c>
      <c r="R858" s="390">
        <v>1.2</v>
      </c>
      <c r="S858" s="400">
        <f>SUMIFS(Таблица1[Столбец1],Таблица1[коэф],"1,2",Таблица1[р/р],"5/16",Таблица1[Ф. И. О.],B858)</f>
        <v>0</v>
      </c>
      <c r="T858" s="492">
        <f t="shared" si="295"/>
        <v>0</v>
      </c>
      <c r="U858" s="478">
        <f>база!$M$6</f>
        <v>279.0496</v>
      </c>
      <c r="V858" s="390">
        <v>1.2</v>
      </c>
      <c r="W858" s="412">
        <f>SUMIFS(Таблица1[Столбец1],Таблица1[коэф],"1,2",Таблица1[р/р],"5/24",Таблица1[Ф. И. О.],B858)</f>
        <v>0</v>
      </c>
      <c r="X858" s="492">
        <f t="shared" si="296"/>
        <v>0</v>
      </c>
      <c r="Y858" s="795"/>
      <c r="Z858" s="797"/>
      <c r="AA858" s="786"/>
      <c r="AC858" s="727" t="str">
        <f>IF(SUMIFS(Таблица1[Столбец3],Таблица1[Ф. И. О.],B858)-Z853=0,"",SUMIFS(Таблица1[Столбец3],Таблица1[Ф. И. О.],B858)-Z853)</f>
        <v/>
      </c>
    </row>
    <row r="859" spans="1:29" ht="18.75" customHeight="1">
      <c r="A859" s="786"/>
      <c r="B859" s="216"/>
      <c r="C859" s="789"/>
      <c r="D859" s="792"/>
      <c r="E859" s="389"/>
      <c r="F859" s="390"/>
      <c r="G859" s="400"/>
      <c r="H859" s="392">
        <f t="shared" si="299"/>
        <v>0</v>
      </c>
      <c r="I859" s="432"/>
      <c r="J859" s="433"/>
      <c r="K859" s="434"/>
      <c r="L859" s="484">
        <f t="shared" si="294"/>
        <v>0</v>
      </c>
      <c r="M859" s="434"/>
      <c r="N859" s="434"/>
      <c r="O859" s="434"/>
      <c r="P859" s="406"/>
      <c r="Q859" s="389">
        <f>IF($D$6&lt;=3,база!$L$4,
IF($D$6=4,база!$L$5,
IF($D$6=5,база!$L$6)))</f>
        <v>231.45480000000001</v>
      </c>
      <c r="R859" s="390">
        <v>1.3</v>
      </c>
      <c r="S859" s="400">
        <f>SUMIFS(Таблица1[Столбец1],Таблица1[коэф],"1,3",Таблица1[р/р],"3/16",Таблица1[Ф. И. О.],B858)</f>
        <v>0</v>
      </c>
      <c r="T859" s="492">
        <f t="shared" si="295"/>
        <v>0</v>
      </c>
      <c r="U859" s="478">
        <f>IF(D853&lt;=3,база!$M$4,
IF(D853=4,база!$M$5,
IF(D853=5,база!$M$6)))</f>
        <v>247.41720000000001</v>
      </c>
      <c r="V859" s="390">
        <v>1.3</v>
      </c>
      <c r="W859" s="412">
        <f>SUMIFS(Таблица1[Столбец1],Таблица1[коэф],"1,3",Таблица1[р/р],"3/24",Таблица1[Ф. И. О.],B858)</f>
        <v>0</v>
      </c>
      <c r="X859" s="492">
        <f t="shared" si="296"/>
        <v>0</v>
      </c>
      <c r="Y859" s="795"/>
      <c r="Z859" s="797"/>
      <c r="AA859" s="786"/>
      <c r="AC859" s="727" t="str">
        <f>IF(SUMIFS(Таблица1[Столбец1],Таблица1[Ф. И. О.],B858)=Y853,"",B858&amp;"  часы не верны")</f>
        <v/>
      </c>
    </row>
    <row r="860" spans="1:29" ht="18.75" customHeight="1">
      <c r="A860" s="786"/>
      <c r="B860" s="216"/>
      <c r="C860" s="789"/>
      <c r="D860" s="792"/>
      <c r="E860" s="389"/>
      <c r="F860" s="390"/>
      <c r="G860" s="400"/>
      <c r="H860" s="392">
        <f t="shared" si="299"/>
        <v>0</v>
      </c>
      <c r="I860" s="432"/>
      <c r="J860" s="433"/>
      <c r="K860" s="434"/>
      <c r="L860" s="484">
        <f t="shared" si="294"/>
        <v>0</v>
      </c>
      <c r="M860" s="434"/>
      <c r="N860" s="434"/>
      <c r="O860" s="434"/>
      <c r="P860" s="406"/>
      <c r="Q860" s="389">
        <f>база!$L$5</f>
        <v>231.45480000000001</v>
      </c>
      <c r="R860" s="390">
        <v>1.3</v>
      </c>
      <c r="S860" s="400">
        <f>SUMIFS(Таблица1[Столбец1],Таблица1[коэф],"1,3",Таблица1[р/р],"4/16",Таблица1[Ф. И. О.],B858)</f>
        <v>0</v>
      </c>
      <c r="T860" s="492">
        <f t="shared" si="295"/>
        <v>0</v>
      </c>
      <c r="U860" s="478">
        <f>база!$M$5</f>
        <v>247.41720000000001</v>
      </c>
      <c r="V860" s="390">
        <v>1.3</v>
      </c>
      <c r="W860" s="412">
        <f>SUMIFS(Таблица1[Столбец1],Таблица1[коэф],"1,3",Таблица1[р/р],"4/24",Таблица1[Ф. И. О.],B858)</f>
        <v>0</v>
      </c>
      <c r="X860" s="492">
        <f t="shared" si="296"/>
        <v>0</v>
      </c>
      <c r="Y860" s="795"/>
      <c r="Z860" s="797"/>
      <c r="AA860" s="786"/>
    </row>
    <row r="861" spans="1:29" ht="18.75" customHeight="1">
      <c r="A861" s="786"/>
      <c r="B861" s="216"/>
      <c r="C861" s="789"/>
      <c r="D861" s="792"/>
      <c r="E861" s="389"/>
      <c r="F861" s="390"/>
      <c r="G861" s="400"/>
      <c r="H861" s="392">
        <f t="shared" si="299"/>
        <v>0</v>
      </c>
      <c r="I861" s="432"/>
      <c r="J861" s="433"/>
      <c r="K861" s="434"/>
      <c r="L861" s="484">
        <f t="shared" si="294"/>
        <v>0</v>
      </c>
      <c r="M861" s="434"/>
      <c r="N861" s="434"/>
      <c r="O861" s="434"/>
      <c r="P861" s="406"/>
      <c r="Q861" s="389">
        <f>IF(D853&lt;=3,база!$L$4,
IF(D853=4,база!$L$5,
IF(D853=5,база!$L$6)))</f>
        <v>231.45480000000001</v>
      </c>
      <c r="R861" s="390">
        <v>1.4</v>
      </c>
      <c r="S861" s="400">
        <f>SUMIFS(Таблица1[Столбец1],Таблица1[коэф],"1,4",Таблица1[р/р],"3/16",Таблица1[Ф. И. О.],B858)</f>
        <v>0</v>
      </c>
      <c r="T861" s="492">
        <f t="shared" si="295"/>
        <v>0</v>
      </c>
      <c r="U861" s="478">
        <f>IF(D853&lt;=3,база!$M$4,
IF(D853=4,база!$M$5,
IF(D853=5,база!$M$6)))</f>
        <v>247.41720000000001</v>
      </c>
      <c r="V861" s="390">
        <v>1.4</v>
      </c>
      <c r="W861" s="412">
        <f>SUMIFS(Таблица1[Столбец1],Таблица1[коэф],"1,4",Таблица1[р/р],"3/24",Таблица1[Ф. И. О.],B858)</f>
        <v>0</v>
      </c>
      <c r="X861" s="492">
        <f t="shared" si="296"/>
        <v>0</v>
      </c>
      <c r="Y861" s="795"/>
      <c r="Z861" s="797"/>
      <c r="AA861" s="786"/>
    </row>
    <row r="862" spans="1:29" ht="18.75" customHeight="1">
      <c r="A862" s="786"/>
      <c r="B862" s="216"/>
      <c r="C862" s="789"/>
      <c r="D862" s="792"/>
      <c r="E862" s="389"/>
      <c r="F862" s="390"/>
      <c r="G862" s="400"/>
      <c r="H862" s="392">
        <f t="shared" si="299"/>
        <v>0</v>
      </c>
      <c r="I862" s="432"/>
      <c r="J862" s="433"/>
      <c r="K862" s="434"/>
      <c r="L862" s="484">
        <f t="shared" si="294"/>
        <v>0</v>
      </c>
      <c r="M862" s="434"/>
      <c r="N862" s="434"/>
      <c r="O862" s="434"/>
      <c r="P862" s="406"/>
      <c r="Q862" s="389">
        <f>база!$L$5</f>
        <v>231.45480000000001</v>
      </c>
      <c r="R862" s="390">
        <v>1.4</v>
      </c>
      <c r="S862" s="400">
        <f>SUMIFS(Таблица1[Столбец1],Таблица1[коэф],"1,4",Таблица1[р/р],"4/16",Таблица1[Ф. И. О.],B858)</f>
        <v>0</v>
      </c>
      <c r="T862" s="492">
        <f t="shared" si="295"/>
        <v>0</v>
      </c>
      <c r="U862" s="478">
        <f>база!$M$5</f>
        <v>247.41720000000001</v>
      </c>
      <c r="V862" s="390">
        <v>1.4</v>
      </c>
      <c r="W862" s="412">
        <f>SUMIFS(Таблица1[Столбец1],Таблица1[коэф],"1,4",Таблица1[р/р],"4/24",Таблица1[Ф. И. О.],B858)</f>
        <v>0</v>
      </c>
      <c r="X862" s="492">
        <f t="shared" si="296"/>
        <v>0</v>
      </c>
      <c r="Y862" s="795"/>
      <c r="Z862" s="797"/>
      <c r="AA862" s="786"/>
    </row>
    <row r="863" spans="1:29" ht="19.5" customHeight="1" thickBot="1">
      <c r="A863" s="787"/>
      <c r="B863" s="352"/>
      <c r="C863" s="790"/>
      <c r="D863" s="793"/>
      <c r="E863" s="481"/>
      <c r="F863" s="417"/>
      <c r="G863" s="486"/>
      <c r="H863" s="468">
        <f t="shared" si="299"/>
        <v>0</v>
      </c>
      <c r="I863" s="651"/>
      <c r="J863" s="456"/>
      <c r="K863" s="652"/>
      <c r="L863" s="458">
        <f t="shared" si="294"/>
        <v>0</v>
      </c>
      <c r="M863" s="651"/>
      <c r="N863" s="652"/>
      <c r="O863" s="652"/>
      <c r="P863" s="476"/>
      <c r="Q863" s="658">
        <f>база!$L$6</f>
        <v>261.04640000000001</v>
      </c>
      <c r="R863" s="464">
        <v>1.4</v>
      </c>
      <c r="S863" s="465">
        <f>SUMIFS(Таблица1[Столбец1],Таблица1[коэф],"1,4",Таблица1[р/р],"5/16",Таблица1[Ф. И. О.],B858)</f>
        <v>0</v>
      </c>
      <c r="T863" s="513">
        <f t="shared" si="295"/>
        <v>0</v>
      </c>
      <c r="U863" s="463">
        <f>база!$M$6</f>
        <v>279.0496</v>
      </c>
      <c r="V863" s="464">
        <v>1.4</v>
      </c>
      <c r="W863" s="465">
        <f>SUMIFS(Таблица1[Столбец1],Таблица1[коэф],"1,4",Таблица1[р/р],"5/24",Таблица1[Ф. И. О.],B858)</f>
        <v>0</v>
      </c>
      <c r="X863" s="513">
        <f t="shared" si="296"/>
        <v>0</v>
      </c>
      <c r="Y863" s="796"/>
      <c r="Z863" s="798"/>
      <c r="AA863" s="787"/>
    </row>
    <row r="864" spans="1:29" ht="18.75" customHeight="1">
      <c r="A864" s="785">
        <v>79</v>
      </c>
      <c r="B864" s="216"/>
      <c r="C864" s="788">
        <f>INDEX(база!$E$2:$E$181, MATCH(B869,база!$B$2:$B$160,0))</f>
        <v>17079</v>
      </c>
      <c r="D864" s="791">
        <f>INDEX(база!$D$2:$D$189, MATCH(B869,база!$B$2:$B$160,0))</f>
        <v>3</v>
      </c>
      <c r="E864" s="377">
        <f>IF(D864&lt;=3,база!$I$4,
IF(D864=4,база!$I$5,
IF(D864=5,база!$I$6)))</f>
        <v>188.7912</v>
      </c>
      <c r="F864" s="378">
        <v>1</v>
      </c>
      <c r="G864" s="387">
        <f>SUMIFS(Таблица1[Столбец1],Таблица1[коэф],"1",Таблица1[р/р],"2/4",Таблица1[Ф. И. О.],B869)</f>
        <v>0</v>
      </c>
      <c r="H864" s="402">
        <f t="shared" si="299"/>
        <v>0</v>
      </c>
      <c r="I864" s="452">
        <f>IF(D864&lt;=3,база!$J$4,
IF(D864=4,база!$J$5,
IF(D864=5,база!$J$6)))</f>
        <v>196.05240000000001</v>
      </c>
      <c r="J864" s="475">
        <v>1</v>
      </c>
      <c r="K864" s="453">
        <f>SUMIFS(Таблица1[Столбец1],Таблица1[коэф],"1",Таблица1[р/р],"2/8",Таблица1[Ф. И. О.],B869)</f>
        <v>0</v>
      </c>
      <c r="L864" s="484">
        <f t="shared" si="294"/>
        <v>0</v>
      </c>
      <c r="M864" s="453"/>
      <c r="N864" s="453">
        <v>1</v>
      </c>
      <c r="O864" s="453">
        <f>SUMIFS(Data_Tech!$AM$3:$AM$67,Data_Tech!$E$3:$E$67,"1",Data_Tech!$G$3:$G$67,"3/12",Data_Tech!$F$3:$F$67,B869)</f>
        <v>0</v>
      </c>
      <c r="P864" s="398">
        <f>ROUND(M864*N864*O864,2)</f>
        <v>0</v>
      </c>
      <c r="Q864" s="481">
        <f>IF(D864&lt;=3,база!$L$4,
IF(D864=4,база!$L$5,
IF(D864=5,база!$L$6)))</f>
        <v>210.57480000000001</v>
      </c>
      <c r="R864" s="417">
        <v>1</v>
      </c>
      <c r="S864" s="418">
        <f>SUMIFS(Таблица1[Столбец1],Таблица1[коэф],"1",Таблица1[р/р],"3/16",Таблица1[Ф. И. О.],B869)</f>
        <v>0</v>
      </c>
      <c r="T864" s="492">
        <f t="shared" si="295"/>
        <v>0</v>
      </c>
      <c r="U864" s="483">
        <f>IF(D864&lt;=3,база!$M$4,
IF(D864=4,база!$M$5,
IF(D864=5,база!$M$6)))</f>
        <v>225.09719999999999</v>
      </c>
      <c r="V864" s="417">
        <v>1</v>
      </c>
      <c r="W864" s="455">
        <f>SUMIFS(Таблица1[Столбец1],Таблица1[коэф],"1",Таблица1[р/р],"3/24",Таблица1[Ф. И. О.],B869)</f>
        <v>0</v>
      </c>
      <c r="X864" s="492">
        <f t="shared" si="296"/>
        <v>0</v>
      </c>
      <c r="Y864" s="795">
        <f t="shared" ref="Y864" si="300">SUM(G864:G874,K864:K874,O864:O874,S864:S874,W864:W874)</f>
        <v>0</v>
      </c>
      <c r="Z864" s="797">
        <f t="shared" ref="Z864" si="301">IFERROR(SUM(H864:H874,L864:L874,T864:T874,X864:X874),"")</f>
        <v>0</v>
      </c>
      <c r="AA864" s="786"/>
    </row>
    <row r="865" spans="1:29" ht="18.75" customHeight="1">
      <c r="A865" s="786"/>
      <c r="B865" s="216"/>
      <c r="C865" s="789"/>
      <c r="D865" s="792"/>
      <c r="E865" s="389">
        <f>IF(D864&lt;=3,база!$I$4,
IF(D864=4,база!$I$5,
IF(D864=5,база!$I$6)))</f>
        <v>188.7912</v>
      </c>
      <c r="F865" s="390">
        <v>1</v>
      </c>
      <c r="G865" s="400">
        <f>SUMIFS(Таблица1[Столбец1],Таблица1[коэф],"1",Таблица1[р/р],"3/4",Таблица1[Ф. И. О.],B869)</f>
        <v>0</v>
      </c>
      <c r="H865" s="392">
        <f>ROUND(E865*F865*G865*2,2)</f>
        <v>0</v>
      </c>
      <c r="I865" s="432">
        <f>IF(D864&lt;=3,база!$J$4,
IF(D864=4,база!$J$5,
IF(D864=5,база!$J$6)))</f>
        <v>196.05240000000001</v>
      </c>
      <c r="J865" s="433">
        <v>1</v>
      </c>
      <c r="K865" s="434">
        <f>SUMIFS(Таблица1[Столбец1],Таблица1[коэф],"1",Таблица1[р/р],"3/8",Таблица1[Ф. И. О.],B869)</f>
        <v>0</v>
      </c>
      <c r="L865" s="484">
        <f t="shared" si="294"/>
        <v>0</v>
      </c>
      <c r="M865" s="434"/>
      <c r="N865" s="434">
        <v>1</v>
      </c>
      <c r="O865" s="434">
        <f>SUMIFS(Data_Tech!$AM$3:$AM$67,Data_Tech!$E$3:$E$67,"1",Data_Tech!$G$3:$G$67,"4/12",Data_Tech!$F$3:$F$67,B869)</f>
        <v>0</v>
      </c>
      <c r="P865" s="406">
        <f>ROUND(M865*O865,2)</f>
        <v>0</v>
      </c>
      <c r="Q865" s="389">
        <f>база!$L$5</f>
        <v>231.45480000000001</v>
      </c>
      <c r="R865" s="390">
        <v>1</v>
      </c>
      <c r="S865" s="400">
        <f>SUMIFS(Таблица1[Столбец1],Таблица1[коэф],"1",Таблица1[р/р],"4/16",Таблица1[Ф. И. О.],B869)</f>
        <v>0</v>
      </c>
      <c r="T865" s="492">
        <f t="shared" si="295"/>
        <v>0</v>
      </c>
      <c r="U865" s="478">
        <f>база!$M$5</f>
        <v>247.41720000000001</v>
      </c>
      <c r="V865" s="390">
        <v>1</v>
      </c>
      <c r="W865" s="412">
        <f>SUMIFS(Таблица1[Столбец1],Таблица1[коэф],"1",Таблица1[р/р],"4/24",Таблица1[Ф. И. О.],B869)</f>
        <v>0</v>
      </c>
      <c r="X865" s="492">
        <f t="shared" si="296"/>
        <v>0</v>
      </c>
      <c r="Y865" s="795"/>
      <c r="Z865" s="797"/>
      <c r="AA865" s="786"/>
    </row>
    <row r="866" spans="1:29" ht="18.75" customHeight="1">
      <c r="A866" s="786"/>
      <c r="B866" s="216"/>
      <c r="C866" s="789"/>
      <c r="D866" s="792"/>
      <c r="E866" s="389"/>
      <c r="F866" s="390"/>
      <c r="G866" s="400"/>
      <c r="H866" s="392">
        <f t="shared" ref="H866:H875" si="302">ROUND(E866*F866*G866*2,2)</f>
        <v>0</v>
      </c>
      <c r="I866" s="432"/>
      <c r="J866" s="433"/>
      <c r="K866" s="434"/>
      <c r="L866" s="484">
        <f t="shared" si="294"/>
        <v>0</v>
      </c>
      <c r="M866" s="434"/>
      <c r="N866" s="434"/>
      <c r="O866" s="434"/>
      <c r="P866" s="406"/>
      <c r="Q866" s="389">
        <f>база!$L$6</f>
        <v>261.04640000000001</v>
      </c>
      <c r="R866" s="390">
        <v>1</v>
      </c>
      <c r="S866" s="400">
        <f>SUMIFS(Таблица1[Столбец1],Таблица1[коэф],"1",Таблица1[р/р],"5/16",Таблица1[Ф. И. О.],B869)</f>
        <v>0</v>
      </c>
      <c r="T866" s="492">
        <f t="shared" si="295"/>
        <v>0</v>
      </c>
      <c r="U866" s="478">
        <f>база!$M$6</f>
        <v>279.0496</v>
      </c>
      <c r="V866" s="390">
        <v>1</v>
      </c>
      <c r="W866" s="412">
        <f>SUMIFS(Таблица1[Столбец1],Таблица1[коэф],"1",Таблица1[р/р],"5/24",Таблица1[Ф. И. О.],B869)</f>
        <v>0</v>
      </c>
      <c r="X866" s="492">
        <f t="shared" si="296"/>
        <v>0</v>
      </c>
      <c r="Y866" s="795"/>
      <c r="Z866" s="797"/>
      <c r="AA866" s="786"/>
    </row>
    <row r="867" spans="1:29" ht="18.75" customHeight="1">
      <c r="A867" s="786"/>
      <c r="B867" s="216"/>
      <c r="C867" s="789"/>
      <c r="D867" s="792"/>
      <c r="E867" s="389"/>
      <c r="F867" s="390"/>
      <c r="G867" s="400"/>
      <c r="H867" s="392">
        <f t="shared" si="302"/>
        <v>0</v>
      </c>
      <c r="I867" s="432">
        <f>база!$J$5</f>
        <v>215.4924</v>
      </c>
      <c r="J867" s="433">
        <v>1.5</v>
      </c>
      <c r="K867" s="434">
        <f>SUMIFS(Таблица1[Столбец1],Таблица1[коэф],"1,5",Таблица1[р/р],"4/8",Таблица1[Ф. И. О.],B869)</f>
        <v>0</v>
      </c>
      <c r="L867" s="484">
        <f t="shared" si="294"/>
        <v>0</v>
      </c>
      <c r="M867" s="434"/>
      <c r="N867" s="434"/>
      <c r="O867" s="434"/>
      <c r="P867" s="406"/>
      <c r="Q867" s="389">
        <f>IF(D864&lt;=3,база!$L$4,
IF(D864=4,база!$L$5,
IF(D864=5,база!$L$6)))</f>
        <v>210.57480000000001</v>
      </c>
      <c r="R867" s="390">
        <v>1.2</v>
      </c>
      <c r="S867" s="400">
        <f>SUMIFS(Таблица1[Столбец1],Таблица1[коэф],"1,2",Таблица1[р/р],"3/16",Таблица1[Ф. И. О.],B869)</f>
        <v>0</v>
      </c>
      <c r="T867" s="492">
        <f t="shared" si="295"/>
        <v>0</v>
      </c>
      <c r="U867" s="478">
        <f>IF(D864&lt;=3,база!$M$4,
IF(D864=4,база!$M$5,
IF(D864=5,база!$M$6)))</f>
        <v>225.09719999999999</v>
      </c>
      <c r="V867" s="390">
        <v>1.2</v>
      </c>
      <c r="W867" s="412">
        <f>SUMIFS(Таблица1[Столбец1],Таблица1[коэф],"1,2",Таблица1[р/р],"3/24",Таблица1[Ф. И. О.],B869)</f>
        <v>0</v>
      </c>
      <c r="X867" s="492">
        <f t="shared" si="296"/>
        <v>0</v>
      </c>
      <c r="Y867" s="795"/>
      <c r="Z867" s="797"/>
      <c r="AA867" s="786"/>
    </row>
    <row r="868" spans="1:29" ht="18.75" customHeight="1">
      <c r="A868" s="786"/>
      <c r="B868" s="216"/>
      <c r="C868" s="789"/>
      <c r="D868" s="792"/>
      <c r="E868" s="389"/>
      <c r="F868" s="390"/>
      <c r="G868" s="400"/>
      <c r="H868" s="392">
        <f t="shared" si="302"/>
        <v>0</v>
      </c>
      <c r="I868" s="432">
        <f>база!$J$6</f>
        <v>243.04319999999998</v>
      </c>
      <c r="J868" s="433">
        <v>1.5</v>
      </c>
      <c r="K868" s="434">
        <f>SUMIFS(Таблица1[Столбец1],Таблица1[коэф],"1,5",Таблица1[р/р],"5/8",Таблица1[Ф. И. О.],B869)</f>
        <v>0</v>
      </c>
      <c r="L868" s="484">
        <f t="shared" si="294"/>
        <v>0</v>
      </c>
      <c r="M868" s="434"/>
      <c r="N868" s="434"/>
      <c r="O868" s="434"/>
      <c r="P868" s="406"/>
      <c r="Q868" s="389">
        <f>база!$L$5</f>
        <v>231.45480000000001</v>
      </c>
      <c r="R868" s="390">
        <v>1.2</v>
      </c>
      <c r="S868" s="400">
        <f>SUMIFS(Таблица1[Столбец1],Таблица1[коэф],"1,2",Таблица1[р/р],"4/16",Таблица1[Ф. И. О.],B869)</f>
        <v>0</v>
      </c>
      <c r="T868" s="492">
        <f t="shared" si="295"/>
        <v>0</v>
      </c>
      <c r="U868" s="478">
        <f>база!$M$5</f>
        <v>247.41720000000001</v>
      </c>
      <c r="V868" s="390">
        <v>1.2</v>
      </c>
      <c r="W868" s="412">
        <f>SUMIFS(Таблица1[Столбец1],Таблица1[коэф],"1,2",Таблица1[р/р],"4/24",Таблица1[Ф. И. О.],B869)</f>
        <v>0</v>
      </c>
      <c r="X868" s="492">
        <f t="shared" si="296"/>
        <v>0</v>
      </c>
      <c r="Y868" s="795"/>
      <c r="Z868" s="797"/>
      <c r="AA868" s="786"/>
    </row>
    <row r="869" spans="1:29" ht="18.75" customHeight="1">
      <c r="A869" s="786"/>
      <c r="B869" s="216" t="str">
        <f>база!B80</f>
        <v>Шишина Наталья Александровна</v>
      </c>
      <c r="C869" s="789"/>
      <c r="D869" s="792"/>
      <c r="E869" s="389"/>
      <c r="F869" s="390"/>
      <c r="G869" s="400"/>
      <c r="H869" s="392">
        <f t="shared" si="302"/>
        <v>0</v>
      </c>
      <c r="I869" s="432"/>
      <c r="J869" s="433"/>
      <c r="K869" s="434"/>
      <c r="L869" s="484">
        <f t="shared" si="294"/>
        <v>0</v>
      </c>
      <c r="M869" s="434"/>
      <c r="N869" s="434"/>
      <c r="O869" s="434"/>
      <c r="P869" s="406"/>
      <c r="Q869" s="389">
        <f>база!$L$6</f>
        <v>261.04640000000001</v>
      </c>
      <c r="R869" s="390">
        <v>1.2</v>
      </c>
      <c r="S869" s="400">
        <f>SUMIFS(Таблица1[Столбец1],Таблица1[коэф],"1,2",Таблица1[р/р],"5/16",Таблица1[Ф. И. О.],B869)</f>
        <v>0</v>
      </c>
      <c r="T869" s="492">
        <f t="shared" si="295"/>
        <v>0</v>
      </c>
      <c r="U869" s="478">
        <f>база!$M$6</f>
        <v>279.0496</v>
      </c>
      <c r="V869" s="390">
        <v>1.2</v>
      </c>
      <c r="W869" s="412">
        <f>SUMIFS(Таблица1[Столбец1],Таблица1[коэф],"1,2",Таблица1[р/р],"5/24",Таблица1[Ф. И. О.],B869)</f>
        <v>0</v>
      </c>
      <c r="X869" s="492">
        <f t="shared" si="296"/>
        <v>0</v>
      </c>
      <c r="Y869" s="795"/>
      <c r="Z869" s="797"/>
      <c r="AA869" s="786"/>
      <c r="AC869" s="727" t="str">
        <f>IF(SUMIFS(Таблица1[Столбец3],Таблица1[Ф. И. О.],B869)-Z864=0,"",SUMIFS(Таблица1[Столбец3],Таблица1[Ф. И. О.],B869)-Z864)</f>
        <v/>
      </c>
    </row>
    <row r="870" spans="1:29" ht="18.75" customHeight="1">
      <c r="A870" s="786"/>
      <c r="B870" s="216"/>
      <c r="C870" s="789"/>
      <c r="D870" s="792"/>
      <c r="E870" s="389"/>
      <c r="F870" s="390"/>
      <c r="G870" s="400"/>
      <c r="H870" s="392">
        <f t="shared" si="302"/>
        <v>0</v>
      </c>
      <c r="I870" s="432"/>
      <c r="J870" s="433"/>
      <c r="K870" s="434"/>
      <c r="L870" s="484">
        <f t="shared" si="294"/>
        <v>0</v>
      </c>
      <c r="M870" s="434"/>
      <c r="N870" s="434"/>
      <c r="O870" s="434"/>
      <c r="P870" s="406"/>
      <c r="Q870" s="389">
        <f>IF($D$6&lt;=3,база!$L$4,
IF($D$6=4,база!$L$5,
IF($D$6=5,база!$L$6)))</f>
        <v>231.45480000000001</v>
      </c>
      <c r="R870" s="390">
        <v>1.3</v>
      </c>
      <c r="S870" s="400">
        <f>SUMIFS(Таблица1[Столбец1],Таблица1[коэф],"1,3",Таблица1[р/р],"3/16",Таблица1[Ф. И. О.],B869)</f>
        <v>0</v>
      </c>
      <c r="T870" s="492">
        <f t="shared" si="295"/>
        <v>0</v>
      </c>
      <c r="U870" s="478">
        <f>IF(D864&lt;=3,база!$M$4,
IF(D864=4,база!$M$5,
IF(D864=5,база!$M$6)))</f>
        <v>225.09719999999999</v>
      </c>
      <c r="V870" s="390">
        <v>1.3</v>
      </c>
      <c r="W870" s="412">
        <f>SUMIFS(Таблица1[Столбец1],Таблица1[коэф],"1,3",Таблица1[р/р],"3/24",Таблица1[Ф. И. О.],B869)</f>
        <v>0</v>
      </c>
      <c r="X870" s="492">
        <f t="shared" si="296"/>
        <v>0</v>
      </c>
      <c r="Y870" s="795"/>
      <c r="Z870" s="797"/>
      <c r="AA870" s="786"/>
      <c r="AC870" s="727" t="str">
        <f>IF(SUMIFS(Таблица1[Столбец1],Таблица1[Ф. И. О.],B869)=Y864,"",B869&amp;"  часы не верны")</f>
        <v/>
      </c>
    </row>
    <row r="871" spans="1:29" ht="18.75" customHeight="1">
      <c r="A871" s="786"/>
      <c r="B871" s="216"/>
      <c r="C871" s="789"/>
      <c r="D871" s="792"/>
      <c r="E871" s="389"/>
      <c r="F871" s="390"/>
      <c r="G871" s="400"/>
      <c r="H871" s="392">
        <f t="shared" si="302"/>
        <v>0</v>
      </c>
      <c r="I871" s="432"/>
      <c r="J871" s="433"/>
      <c r="K871" s="434"/>
      <c r="L871" s="484">
        <f t="shared" si="294"/>
        <v>0</v>
      </c>
      <c r="M871" s="434"/>
      <c r="N871" s="434"/>
      <c r="O871" s="434"/>
      <c r="P871" s="406"/>
      <c r="Q871" s="389">
        <f>база!$L$5</f>
        <v>231.45480000000001</v>
      </c>
      <c r="R871" s="390">
        <v>1.3</v>
      </c>
      <c r="S871" s="400">
        <f>SUMIFS(Таблица1[Столбец1],Таблица1[коэф],"1,3",Таблица1[р/р],"4/16",Таблица1[Ф. И. О.],B869)</f>
        <v>0</v>
      </c>
      <c r="T871" s="492">
        <f t="shared" si="295"/>
        <v>0</v>
      </c>
      <c r="U871" s="478">
        <f>база!$M$5</f>
        <v>247.41720000000001</v>
      </c>
      <c r="V871" s="390">
        <v>1.3</v>
      </c>
      <c r="W871" s="412">
        <f>SUMIFS(Таблица1[Столбец1],Таблица1[коэф],"1,3",Таблица1[р/р],"4/24",Таблица1[Ф. И. О.],B869)</f>
        <v>0</v>
      </c>
      <c r="X871" s="492">
        <f t="shared" si="296"/>
        <v>0</v>
      </c>
      <c r="Y871" s="795"/>
      <c r="Z871" s="797"/>
      <c r="AA871" s="786"/>
    </row>
    <row r="872" spans="1:29" ht="18.75" customHeight="1">
      <c r="A872" s="786"/>
      <c r="B872" s="216"/>
      <c r="C872" s="789"/>
      <c r="D872" s="792"/>
      <c r="E872" s="389"/>
      <c r="F872" s="390"/>
      <c r="G872" s="400"/>
      <c r="H872" s="392">
        <f t="shared" si="302"/>
        <v>0</v>
      </c>
      <c r="I872" s="432"/>
      <c r="J872" s="433"/>
      <c r="K872" s="434"/>
      <c r="L872" s="484">
        <f t="shared" si="294"/>
        <v>0</v>
      </c>
      <c r="M872" s="434"/>
      <c r="N872" s="434"/>
      <c r="O872" s="434"/>
      <c r="P872" s="406"/>
      <c r="Q872" s="389">
        <f>IF(D864&lt;=3,база!$L$4,
IF(D864=4,база!$L$5,
IF(D864=5,база!$L$6)))</f>
        <v>210.57480000000001</v>
      </c>
      <c r="R872" s="390">
        <v>1.4</v>
      </c>
      <c r="S872" s="400">
        <f>SUMIFS(Таблица1[Столбец1],Таблица1[коэф],"1,4",Таблица1[р/р],"3/16",Таблица1[Ф. И. О.],B869)</f>
        <v>0</v>
      </c>
      <c r="T872" s="492">
        <f t="shared" si="295"/>
        <v>0</v>
      </c>
      <c r="U872" s="478">
        <f>IF(D864&lt;=3,база!$M$4,
IF(D864=4,база!$M$5,
IF(D864=5,база!$M$6)))</f>
        <v>225.09719999999999</v>
      </c>
      <c r="V872" s="390">
        <v>1.4</v>
      </c>
      <c r="W872" s="412">
        <f>SUMIFS(Таблица1[Столбец1],Таблица1[коэф],"1,4",Таблица1[р/р],"3/24",Таблица1[Ф. И. О.],B869)</f>
        <v>0</v>
      </c>
      <c r="X872" s="492">
        <f t="shared" si="296"/>
        <v>0</v>
      </c>
      <c r="Y872" s="795"/>
      <c r="Z872" s="797"/>
      <c r="AA872" s="786"/>
    </row>
    <row r="873" spans="1:29" ht="18.75" customHeight="1">
      <c r="A873" s="786"/>
      <c r="B873" s="216"/>
      <c r="C873" s="789"/>
      <c r="D873" s="792"/>
      <c r="E873" s="389"/>
      <c r="F873" s="390"/>
      <c r="G873" s="400"/>
      <c r="H873" s="392">
        <f t="shared" si="302"/>
        <v>0</v>
      </c>
      <c r="I873" s="432"/>
      <c r="J873" s="433"/>
      <c r="K873" s="434"/>
      <c r="L873" s="484">
        <f t="shared" si="294"/>
        <v>0</v>
      </c>
      <c r="M873" s="434"/>
      <c r="N873" s="434"/>
      <c r="O873" s="434"/>
      <c r="P873" s="406"/>
      <c r="Q873" s="389">
        <f>база!$L$5</f>
        <v>231.45480000000001</v>
      </c>
      <c r="R873" s="390">
        <v>1.4</v>
      </c>
      <c r="S873" s="400">
        <f>SUMIFS(Таблица1[Столбец1],Таблица1[коэф],"1,4",Таблица1[р/р],"4/16",Таблица1[Ф. И. О.],B869)</f>
        <v>0</v>
      </c>
      <c r="T873" s="492">
        <f t="shared" si="295"/>
        <v>0</v>
      </c>
      <c r="U873" s="478">
        <f>база!$M$5</f>
        <v>247.41720000000001</v>
      </c>
      <c r="V873" s="390">
        <v>1.4</v>
      </c>
      <c r="W873" s="412">
        <f>SUMIFS(Таблица1[Столбец1],Таблица1[коэф],"1,4",Таблица1[р/р],"4/24",Таблица1[Ф. И. О.],B869)</f>
        <v>0</v>
      </c>
      <c r="X873" s="492">
        <f t="shared" si="296"/>
        <v>0</v>
      </c>
      <c r="Y873" s="795"/>
      <c r="Z873" s="797"/>
      <c r="AA873" s="786"/>
    </row>
    <row r="874" spans="1:29" ht="19.5" customHeight="1" thickBot="1">
      <c r="A874" s="787"/>
      <c r="B874" s="352"/>
      <c r="C874" s="790"/>
      <c r="D874" s="793"/>
      <c r="E874" s="481"/>
      <c r="F874" s="417"/>
      <c r="G874" s="486"/>
      <c r="H874" s="440">
        <f t="shared" si="302"/>
        <v>0</v>
      </c>
      <c r="I874" s="413"/>
      <c r="J874" s="604"/>
      <c r="K874" s="414"/>
      <c r="L874" s="532">
        <f t="shared" si="294"/>
        <v>0</v>
      </c>
      <c r="M874" s="413"/>
      <c r="N874" s="414"/>
      <c r="O874" s="414"/>
      <c r="P874" s="415"/>
      <c r="Q874" s="692">
        <f>база!$L$6</f>
        <v>261.04640000000001</v>
      </c>
      <c r="R874" s="438">
        <v>1.4</v>
      </c>
      <c r="S874" s="439">
        <f>SUMIFS(Таблица1[Столбец1],Таблица1[коэф],"1,4",Таблица1[р/р],"5/16",Таблица1[Ф. И. О.],B869)</f>
        <v>0</v>
      </c>
      <c r="T874" s="510">
        <f t="shared" si="295"/>
        <v>0</v>
      </c>
      <c r="U874" s="515">
        <f>база!$M$6</f>
        <v>279.0496</v>
      </c>
      <c r="V874" s="403">
        <v>1.4</v>
      </c>
      <c r="W874" s="439">
        <f>SUMIFS(Таблица1[Столбец1],Таблица1[коэф],"1,4",Таблица1[р/р],"5/24",Таблица1[Ф. И. О.],B869)</f>
        <v>0</v>
      </c>
      <c r="X874" s="510">
        <f t="shared" si="296"/>
        <v>0</v>
      </c>
      <c r="Y874" s="795"/>
      <c r="Z874" s="798"/>
      <c r="AA874" s="787"/>
    </row>
    <row r="875" spans="1:29" ht="18.75" customHeight="1">
      <c r="A875" s="785">
        <v>80</v>
      </c>
      <c r="B875" s="216"/>
      <c r="C875" s="788">
        <f>INDEX(база!$E$2:$E$181, MATCH(B880,база!$B$2:$B$160,0))</f>
        <v>17344</v>
      </c>
      <c r="D875" s="791">
        <f>INDEX(база!$D$2:$D$189, MATCH(B880,база!$B$2:$B$160,0))</f>
        <v>3</v>
      </c>
      <c r="E875" s="377">
        <f>IF(D875&lt;=3,база!$I$4,
IF(D875=4,база!$I$5,
IF(D875=5,база!$I$6)))</f>
        <v>188.7912</v>
      </c>
      <c r="F875" s="378">
        <v>1</v>
      </c>
      <c r="G875" s="548">
        <f>SUMIFS(Таблица1[Столбец1],Таблица1[коэф],"1",Таблица1[р/р],"2/4",Таблица1[Ф. И. О.],B880)</f>
        <v>0</v>
      </c>
      <c r="H875" s="693">
        <f t="shared" si="302"/>
        <v>0</v>
      </c>
      <c r="I875" s="426">
        <f>IF(D875&lt;=3,база!$J$4,
IF(D875=4,база!$J$5,
IF(D875=5,база!$J$6)))</f>
        <v>196.05240000000001</v>
      </c>
      <c r="J875" s="427">
        <v>1</v>
      </c>
      <c r="K875" s="428">
        <f>SUMIFS(Таблица1[Столбец1],Таблица1[коэф],"1",Таблица1[р/р],"2/8",Таблица1[Ф. И. О.],B880)</f>
        <v>0</v>
      </c>
      <c r="L875" s="383">
        <f t="shared" si="294"/>
        <v>0</v>
      </c>
      <c r="M875" s="428"/>
      <c r="N875" s="428">
        <v>1</v>
      </c>
      <c r="O875" s="428">
        <f>SUMIFS(Data_Tech!$AM$3:$AM$67,Data_Tech!$E$3:$E$67,"1",Data_Tech!$G$3:$G$67,"3/12",Data_Tech!$F$3:$F$67,B880)</f>
        <v>0</v>
      </c>
      <c r="P875" s="385">
        <f>ROUND(M875*N875*O875,2)</f>
        <v>0</v>
      </c>
      <c r="Q875" s="377">
        <f>IF(D875&lt;=3,база!$L$4,
IF(D875=4,база!$L$5,
IF(D875=5,база!$L$6)))</f>
        <v>210.57480000000001</v>
      </c>
      <c r="R875" s="378">
        <v>1</v>
      </c>
      <c r="S875" s="387">
        <f>SUMIFS(Таблица1[Столбец1],Таблица1[коэф],"1",Таблица1[р/р],"3/16",Таблица1[Ф. И. О.],B880)</f>
        <v>0</v>
      </c>
      <c r="T875" s="490">
        <f t="shared" si="295"/>
        <v>0</v>
      </c>
      <c r="U875" s="477">
        <f>IF(D875&lt;=3,база!$M$4,
IF(D875=4,база!$M$5,
IF(D875=5,база!$M$6)))</f>
        <v>225.09719999999999</v>
      </c>
      <c r="V875" s="378">
        <v>1</v>
      </c>
      <c r="W875" s="430">
        <f>SUMIFS(Таблица1[Столбец1],Таблица1[коэф],"1",Таблица1[р/р],"3/24",Таблица1[Ф. И. О.],B880)</f>
        <v>0</v>
      </c>
      <c r="X875" s="490">
        <f t="shared" si="296"/>
        <v>0</v>
      </c>
      <c r="Y875" s="794">
        <f t="shared" ref="Y875" si="303">SUM(G875:G885,K875:K885,O875:O885,S875:S885,W875:W885)</f>
        <v>0</v>
      </c>
      <c r="Z875" s="797">
        <f t="shared" ref="Z875" si="304">IFERROR(SUM(H875:H885,L875:L885,T875:T885,X875:X885),"")</f>
        <v>0</v>
      </c>
      <c r="AA875" s="786"/>
    </row>
    <row r="876" spans="1:29" ht="18.75" customHeight="1">
      <c r="A876" s="786"/>
      <c r="B876" s="216"/>
      <c r="C876" s="789"/>
      <c r="D876" s="792"/>
      <c r="E876" s="389">
        <f>IF(D875&lt;=3,база!$I$4,
IF(D875=4,база!$I$5,
IF(D875=5,база!$I$6)))</f>
        <v>188.7912</v>
      </c>
      <c r="F876" s="390">
        <v>1</v>
      </c>
      <c r="G876" s="544">
        <f>SUMIFS(Таблица1[Столбец1],Таблица1[коэф],"1",Таблица1[р/р],"3/4",Таблица1[Ф. И. О.],B880)</f>
        <v>0</v>
      </c>
      <c r="H876" s="694">
        <f>ROUND(E876*F876*G876*2,2)</f>
        <v>0</v>
      </c>
      <c r="I876" s="432">
        <f>IF(D875&lt;=3,база!$J$4,
IF(D875=4,база!$J$5,
IF(D875=5,база!$J$6)))</f>
        <v>196.05240000000001</v>
      </c>
      <c r="J876" s="433">
        <v>1</v>
      </c>
      <c r="K876" s="434">
        <f>SUMIFS(Таблица1[Столбец1],Таблица1[коэф],"1",Таблица1[р/р],"3/8",Таблица1[Ф. И. О.],B880)</f>
        <v>0</v>
      </c>
      <c r="L876" s="484">
        <f t="shared" si="294"/>
        <v>0</v>
      </c>
      <c r="M876" s="434"/>
      <c r="N876" s="434">
        <v>1</v>
      </c>
      <c r="O876" s="434">
        <f>SUMIFS(Data_Tech!$AM$3:$AM$67,Data_Tech!$E$3:$E$67,"1",Data_Tech!$G$3:$G$67,"4/12",Data_Tech!$F$3:$F$67,B880)</f>
        <v>0</v>
      </c>
      <c r="P876" s="406">
        <f>ROUND(M876*O876,2)</f>
        <v>0</v>
      </c>
      <c r="Q876" s="389">
        <f>база!$L$5</f>
        <v>231.45480000000001</v>
      </c>
      <c r="R876" s="390">
        <v>1</v>
      </c>
      <c r="S876" s="400">
        <f>SUMIFS(Таблица1[Столбец1],Таблица1[коэф],"1",Таблица1[р/р],"4/16",Таблица1[Ф. И. О.],B880)</f>
        <v>0</v>
      </c>
      <c r="T876" s="492">
        <f t="shared" si="295"/>
        <v>0</v>
      </c>
      <c r="U876" s="478">
        <f>база!$M$5</f>
        <v>247.41720000000001</v>
      </c>
      <c r="V876" s="390">
        <v>1</v>
      </c>
      <c r="W876" s="412">
        <f>SUMIFS(Таблица1[Столбец1],Таблица1[коэф],"1",Таблица1[р/р],"4/24",Таблица1[Ф. И. О.],B880)</f>
        <v>0</v>
      </c>
      <c r="X876" s="492">
        <f t="shared" si="296"/>
        <v>0</v>
      </c>
      <c r="Y876" s="795"/>
      <c r="Z876" s="797"/>
      <c r="AA876" s="786"/>
    </row>
    <row r="877" spans="1:29" ht="18.75" customHeight="1">
      <c r="A877" s="786"/>
      <c r="B877" s="216"/>
      <c r="C877" s="789"/>
      <c r="D877" s="792"/>
      <c r="E877" s="389"/>
      <c r="F877" s="390"/>
      <c r="G877" s="544"/>
      <c r="H877" s="694">
        <f t="shared" ref="H877:H885" si="305">ROUND(E877*F877*G877*2,2)</f>
        <v>0</v>
      </c>
      <c r="I877" s="432"/>
      <c r="J877" s="433"/>
      <c r="K877" s="434"/>
      <c r="L877" s="484">
        <f t="shared" si="294"/>
        <v>0</v>
      </c>
      <c r="M877" s="434"/>
      <c r="N877" s="434"/>
      <c r="O877" s="434"/>
      <c r="P877" s="406"/>
      <c r="Q877" s="389">
        <f>база!$L$6</f>
        <v>261.04640000000001</v>
      </c>
      <c r="R877" s="390">
        <v>1</v>
      </c>
      <c r="S877" s="400">
        <f>SUMIFS(Таблица1[Столбец1],Таблица1[коэф],"1",Таблица1[р/р],"5/16",Таблица1[Ф. И. О.],B880)</f>
        <v>0</v>
      </c>
      <c r="T877" s="492">
        <f t="shared" si="295"/>
        <v>0</v>
      </c>
      <c r="U877" s="478">
        <f>база!$M$6</f>
        <v>279.0496</v>
      </c>
      <c r="V877" s="390">
        <v>1</v>
      </c>
      <c r="W877" s="412">
        <f>SUMIFS(Таблица1[Столбец1],Таблица1[коэф],"1",Таблица1[р/р],"5/24",Таблица1[Ф. И. О.],B880)</f>
        <v>0</v>
      </c>
      <c r="X877" s="492">
        <f t="shared" si="296"/>
        <v>0</v>
      </c>
      <c r="Y877" s="795"/>
      <c r="Z877" s="797"/>
      <c r="AA877" s="786"/>
    </row>
    <row r="878" spans="1:29" ht="18.75" customHeight="1">
      <c r="A878" s="786"/>
      <c r="B878" s="216"/>
      <c r="C878" s="789"/>
      <c r="D878" s="792"/>
      <c r="E878" s="389"/>
      <c r="F878" s="390"/>
      <c r="G878" s="544"/>
      <c r="H878" s="694">
        <f t="shared" si="305"/>
        <v>0</v>
      </c>
      <c r="I878" s="432">
        <f>база!$J$5</f>
        <v>215.4924</v>
      </c>
      <c r="J878" s="433">
        <v>1.5</v>
      </c>
      <c r="K878" s="434">
        <f>SUMIFS(Таблица1[Столбец1],Таблица1[коэф],"1,5",Таблица1[р/р],"4/8",Таблица1[Ф. И. О.],B880)</f>
        <v>0</v>
      </c>
      <c r="L878" s="484">
        <f t="shared" si="294"/>
        <v>0</v>
      </c>
      <c r="M878" s="434"/>
      <c r="N878" s="434"/>
      <c r="O878" s="434"/>
      <c r="P878" s="406"/>
      <c r="Q878" s="389">
        <f>IF(D875&lt;=3,база!$L$4,
IF(D875=4,база!$L$5,
IF(D875=5,база!$L$6)))</f>
        <v>210.57480000000001</v>
      </c>
      <c r="R878" s="390">
        <v>1.2</v>
      </c>
      <c r="S878" s="400">
        <f>SUMIFS(Таблица1[Столбец1],Таблица1[коэф],"1,2",Таблица1[р/р],"3/16",Таблица1[Ф. И. О.],B880)</f>
        <v>0</v>
      </c>
      <c r="T878" s="492">
        <f t="shared" si="295"/>
        <v>0</v>
      </c>
      <c r="U878" s="478">
        <f>IF(D875&lt;=3,база!$M$4,
IF(D875=4,база!$M$5,
IF(D875=5,база!$M$6)))</f>
        <v>225.09719999999999</v>
      </c>
      <c r="V878" s="390">
        <v>1.2</v>
      </c>
      <c r="W878" s="412">
        <f>SUMIFS(Таблица1[Столбец1],Таблица1[коэф],"1,2",Таблица1[р/р],"3/24",Таблица1[Ф. И. О.],B880)</f>
        <v>0</v>
      </c>
      <c r="X878" s="492">
        <f t="shared" si="296"/>
        <v>0</v>
      </c>
      <c r="Y878" s="795"/>
      <c r="Z878" s="797"/>
      <c r="AA878" s="786"/>
    </row>
    <row r="879" spans="1:29" ht="18.75" customHeight="1">
      <c r="A879" s="786"/>
      <c r="B879" s="216"/>
      <c r="C879" s="789"/>
      <c r="D879" s="792"/>
      <c r="E879" s="389"/>
      <c r="F879" s="390"/>
      <c r="G879" s="544"/>
      <c r="H879" s="694">
        <f t="shared" si="305"/>
        <v>0</v>
      </c>
      <c r="I879" s="432">
        <f>база!$J$6</f>
        <v>243.04319999999998</v>
      </c>
      <c r="J879" s="433">
        <v>1.5</v>
      </c>
      <c r="K879" s="434">
        <f>SUMIFS(Таблица1[Столбец1],Таблица1[коэф],"1,5",Таблица1[р/р],"5/8",Таблица1[Ф. И. О.],B880)</f>
        <v>0</v>
      </c>
      <c r="L879" s="484">
        <f t="shared" si="294"/>
        <v>0</v>
      </c>
      <c r="M879" s="434"/>
      <c r="N879" s="434"/>
      <c r="O879" s="434"/>
      <c r="P879" s="406"/>
      <c r="Q879" s="389">
        <f>база!$L$5</f>
        <v>231.45480000000001</v>
      </c>
      <c r="R879" s="390">
        <v>1.2</v>
      </c>
      <c r="S879" s="400">
        <f>SUMIFS(Таблица1[Столбец1],Таблица1[коэф],"1,2",Таблица1[р/р],"4/16",Таблица1[Ф. И. О.],B880)</f>
        <v>0</v>
      </c>
      <c r="T879" s="492">
        <f t="shared" si="295"/>
        <v>0</v>
      </c>
      <c r="U879" s="478">
        <f>база!$M$5</f>
        <v>247.41720000000001</v>
      </c>
      <c r="V879" s="390">
        <v>1.2</v>
      </c>
      <c r="W879" s="412">
        <f>SUMIFS(Таблица1[Столбец1],Таблица1[коэф],"1,2",Таблица1[р/р],"4/24",Таблица1[Ф. И. О.],B880)</f>
        <v>0</v>
      </c>
      <c r="X879" s="492">
        <f t="shared" si="296"/>
        <v>0</v>
      </c>
      <c r="Y879" s="795"/>
      <c r="Z879" s="797"/>
      <c r="AA879" s="786"/>
    </row>
    <row r="880" spans="1:29" ht="18.75" customHeight="1">
      <c r="A880" s="786"/>
      <c r="B880" s="216" t="str">
        <f>база!B81</f>
        <v>Яблокова Дарья Александровна</v>
      </c>
      <c r="C880" s="789"/>
      <c r="D880" s="792"/>
      <c r="E880" s="389"/>
      <c r="F880" s="390"/>
      <c r="G880" s="544"/>
      <c r="H880" s="694">
        <f t="shared" si="305"/>
        <v>0</v>
      </c>
      <c r="I880" s="432"/>
      <c r="J880" s="433"/>
      <c r="K880" s="434"/>
      <c r="L880" s="484">
        <f t="shared" si="294"/>
        <v>0</v>
      </c>
      <c r="M880" s="434"/>
      <c r="N880" s="434"/>
      <c r="O880" s="434"/>
      <c r="P880" s="406"/>
      <c r="Q880" s="389">
        <f>база!$L$6</f>
        <v>261.04640000000001</v>
      </c>
      <c r="R880" s="390">
        <v>1.2</v>
      </c>
      <c r="S880" s="400">
        <f>SUMIFS(Таблица1[Столбец1],Таблица1[коэф],"1,2",Таблица1[р/р],"5/16",Таблица1[Ф. И. О.],B880)</f>
        <v>0</v>
      </c>
      <c r="T880" s="492">
        <f t="shared" si="295"/>
        <v>0</v>
      </c>
      <c r="U880" s="478">
        <f>база!$M$6</f>
        <v>279.0496</v>
      </c>
      <c r="V880" s="390">
        <v>1.2</v>
      </c>
      <c r="W880" s="412">
        <f>SUMIFS(Таблица1[Столбец1],Таблица1[коэф],"1,2",Таблица1[р/р],"5/24",Таблица1[Ф. И. О.],B880)</f>
        <v>0</v>
      </c>
      <c r="X880" s="492">
        <f t="shared" si="296"/>
        <v>0</v>
      </c>
      <c r="Y880" s="795"/>
      <c r="Z880" s="797"/>
      <c r="AA880" s="786"/>
      <c r="AC880" s="727" t="str">
        <f>IF(SUMIFS(Таблица1[Столбец3],Таблица1[Ф. И. О.],B880)-Z875=0,"",SUMIFS(Таблица1[Столбец3],Таблица1[Ф. И. О.],B880)-Z875)</f>
        <v/>
      </c>
    </row>
    <row r="881" spans="1:29" ht="18.75" customHeight="1">
      <c r="A881" s="786"/>
      <c r="B881" s="216"/>
      <c r="C881" s="789"/>
      <c r="D881" s="792"/>
      <c r="E881" s="389"/>
      <c r="F881" s="390"/>
      <c r="G881" s="544"/>
      <c r="H881" s="694">
        <f t="shared" si="305"/>
        <v>0</v>
      </c>
      <c r="I881" s="432"/>
      <c r="J881" s="433"/>
      <c r="K881" s="434"/>
      <c r="L881" s="484">
        <f t="shared" si="294"/>
        <v>0</v>
      </c>
      <c r="M881" s="434"/>
      <c r="N881" s="434"/>
      <c r="O881" s="434"/>
      <c r="P881" s="406"/>
      <c r="Q881" s="389">
        <f>IF($D$6&lt;=3,база!$L$4,
IF($D$6=4,база!$L$5,
IF($D$6=5,база!$L$6)))</f>
        <v>231.45480000000001</v>
      </c>
      <c r="R881" s="390">
        <v>1.3</v>
      </c>
      <c r="S881" s="400">
        <f>SUMIFS(Таблица1[Столбец1],Таблица1[коэф],"1,3",Таблица1[р/р],"3/16",Таблица1[Ф. И. О.],B880)</f>
        <v>0</v>
      </c>
      <c r="T881" s="492">
        <f t="shared" si="295"/>
        <v>0</v>
      </c>
      <c r="U881" s="478">
        <f>IF(D875&lt;=3,база!$M$4,
IF(D875=4,база!$M$5,
IF(D875=5,база!$M$6)))</f>
        <v>225.09719999999999</v>
      </c>
      <c r="V881" s="390">
        <v>1.3</v>
      </c>
      <c r="W881" s="412">
        <f>SUMIFS(Таблица1[Столбец1],Таблица1[коэф],"1,3",Таблица1[р/р],"3/24",Таблица1[Ф. И. О.],B880)</f>
        <v>0</v>
      </c>
      <c r="X881" s="492">
        <f t="shared" si="296"/>
        <v>0</v>
      </c>
      <c r="Y881" s="795"/>
      <c r="Z881" s="797"/>
      <c r="AA881" s="786"/>
      <c r="AC881" s="727" t="str">
        <f>IF(SUMIFS(Таблица1[Столбец1],Таблица1[Ф. И. О.],B880)=Y875,"",B880&amp;"  часы не верны")</f>
        <v/>
      </c>
    </row>
    <row r="882" spans="1:29" ht="18.75" customHeight="1">
      <c r="A882" s="786"/>
      <c r="B882" s="216"/>
      <c r="C882" s="789"/>
      <c r="D882" s="792"/>
      <c r="E882" s="389"/>
      <c r="F882" s="390"/>
      <c r="G882" s="544"/>
      <c r="H882" s="694">
        <f t="shared" si="305"/>
        <v>0</v>
      </c>
      <c r="I882" s="432"/>
      <c r="J882" s="433"/>
      <c r="K882" s="434"/>
      <c r="L882" s="484">
        <f t="shared" si="294"/>
        <v>0</v>
      </c>
      <c r="M882" s="434"/>
      <c r="N882" s="434"/>
      <c r="O882" s="434"/>
      <c r="P882" s="406"/>
      <c r="Q882" s="389">
        <f>база!$L$5</f>
        <v>231.45480000000001</v>
      </c>
      <c r="R882" s="390">
        <v>1.3</v>
      </c>
      <c r="S882" s="400">
        <f>SUMIFS(Таблица1[Столбец1],Таблица1[коэф],"1,3",Таблица1[р/р],"4/16",Таблица1[Ф. И. О.],B880)</f>
        <v>0</v>
      </c>
      <c r="T882" s="492">
        <f t="shared" si="295"/>
        <v>0</v>
      </c>
      <c r="U882" s="478">
        <f>база!$M$5</f>
        <v>247.41720000000001</v>
      </c>
      <c r="V882" s="390">
        <v>1.3</v>
      </c>
      <c r="W882" s="412">
        <f>SUMIFS(Таблица1[Столбец1],Таблица1[коэф],"1,3",Таблица1[р/р],"4/24",Таблица1[Ф. И. О.],B880)</f>
        <v>0</v>
      </c>
      <c r="X882" s="492">
        <f t="shared" si="296"/>
        <v>0</v>
      </c>
      <c r="Y882" s="795"/>
      <c r="Z882" s="797"/>
      <c r="AA882" s="786"/>
    </row>
    <row r="883" spans="1:29" ht="18.75" customHeight="1">
      <c r="A883" s="786"/>
      <c r="B883" s="216"/>
      <c r="C883" s="789"/>
      <c r="D883" s="792"/>
      <c r="E883" s="389"/>
      <c r="F883" s="390"/>
      <c r="G883" s="544"/>
      <c r="H883" s="694">
        <f t="shared" si="305"/>
        <v>0</v>
      </c>
      <c r="I883" s="432"/>
      <c r="J883" s="433"/>
      <c r="K883" s="434"/>
      <c r="L883" s="484">
        <f t="shared" si="294"/>
        <v>0</v>
      </c>
      <c r="M883" s="434"/>
      <c r="N883" s="434"/>
      <c r="O883" s="434"/>
      <c r="P883" s="406"/>
      <c r="Q883" s="389">
        <f>IF(D875&lt;=3,база!$L$4,
IF(D875=4,база!$L$5,
IF(D875=5,база!$L$6)))</f>
        <v>210.57480000000001</v>
      </c>
      <c r="R883" s="390">
        <v>1.4</v>
      </c>
      <c r="S883" s="400">
        <f>SUMIFS(Таблица1[Столбец1],Таблица1[коэф],"1,4",Таблица1[р/р],"3/16",Таблица1[Ф. И. О.],B880)</f>
        <v>0</v>
      </c>
      <c r="T883" s="492">
        <f t="shared" si="295"/>
        <v>0</v>
      </c>
      <c r="U883" s="478">
        <f>IF(D875&lt;=3,база!$M$4,
IF(D875=4,база!$M$5,
IF(D875=5,база!$M$6)))</f>
        <v>225.09719999999999</v>
      </c>
      <c r="V883" s="390">
        <v>1.4</v>
      </c>
      <c r="W883" s="412">
        <f>SUMIFS(Таблица1[Столбец1],Таблица1[коэф],"1,4",Таблица1[р/р],"3/24",Таблица1[Ф. И. О.],B880)</f>
        <v>0</v>
      </c>
      <c r="X883" s="492">
        <f t="shared" si="296"/>
        <v>0</v>
      </c>
      <c r="Y883" s="795"/>
      <c r="Z883" s="797"/>
      <c r="AA883" s="786"/>
    </row>
    <row r="884" spans="1:29" ht="18.75" customHeight="1">
      <c r="A884" s="786"/>
      <c r="B884" s="216"/>
      <c r="C884" s="789"/>
      <c r="D884" s="792"/>
      <c r="E884" s="389"/>
      <c r="F884" s="390"/>
      <c r="G884" s="544"/>
      <c r="H884" s="694">
        <f t="shared" si="305"/>
        <v>0</v>
      </c>
      <c r="I884" s="432"/>
      <c r="J884" s="433"/>
      <c r="K884" s="434"/>
      <c r="L884" s="484">
        <f t="shared" si="294"/>
        <v>0</v>
      </c>
      <c r="M884" s="434"/>
      <c r="N884" s="434"/>
      <c r="O884" s="434"/>
      <c r="P884" s="406"/>
      <c r="Q884" s="389">
        <f>база!$L$5</f>
        <v>231.45480000000001</v>
      </c>
      <c r="R884" s="390">
        <v>1.4</v>
      </c>
      <c r="S884" s="400">
        <f>SUMIFS(Таблица1[Столбец1],Таблица1[коэф],"1,4",Таблица1[р/р],"4/16",Таблица1[Ф. И. О.],B880)</f>
        <v>0</v>
      </c>
      <c r="T884" s="492">
        <f t="shared" si="295"/>
        <v>0</v>
      </c>
      <c r="U884" s="478">
        <f>база!$M$5</f>
        <v>247.41720000000001</v>
      </c>
      <c r="V884" s="390">
        <v>1.4</v>
      </c>
      <c r="W884" s="412">
        <f>SUMIFS(Таблица1[Столбец1],Таблица1[коэф],"1,4",Таблица1[р/р],"4/24",Таблица1[Ф. И. О.],B880)</f>
        <v>0</v>
      </c>
      <c r="X884" s="492">
        <f t="shared" si="296"/>
        <v>0</v>
      </c>
      <c r="Y884" s="795"/>
      <c r="Z884" s="797"/>
      <c r="AA884" s="786"/>
    </row>
    <row r="885" spans="1:29" ht="19.5" customHeight="1" thickBot="1">
      <c r="A885" s="787"/>
      <c r="B885" s="352"/>
      <c r="C885" s="790"/>
      <c r="D885" s="793"/>
      <c r="E885" s="481"/>
      <c r="F885" s="417"/>
      <c r="G885" s="691"/>
      <c r="H885" s="695">
        <f t="shared" si="305"/>
        <v>0</v>
      </c>
      <c r="I885" s="654"/>
      <c r="J885" s="617"/>
      <c r="K885" s="655"/>
      <c r="L885" s="537">
        <f t="shared" si="294"/>
        <v>0</v>
      </c>
      <c r="M885" s="654"/>
      <c r="N885" s="655"/>
      <c r="O885" s="655"/>
      <c r="P885" s="538"/>
      <c r="Q885" s="656">
        <f>база!$L$6</f>
        <v>261.04640000000001</v>
      </c>
      <c r="R885" s="446">
        <v>1.4</v>
      </c>
      <c r="S885" s="447">
        <f>SUMIFS(Таблица1[Столбец1],Таблица1[коэф],"1,4",Таблица1[р/р],"5/16",Таблица1[Ф. И. О.],B880)</f>
        <v>0</v>
      </c>
      <c r="T885" s="696">
        <f t="shared" si="295"/>
        <v>0</v>
      </c>
      <c r="U885" s="536">
        <f>база!$M$6</f>
        <v>279.0496</v>
      </c>
      <c r="V885" s="464">
        <v>1.4</v>
      </c>
      <c r="W885" s="447">
        <f>SUMIFS(Таблица1[Столбец1],Таблица1[коэф],"1,4",Таблица1[р/р],"5/24",Таблица1[Ф. И. О.],B880)</f>
        <v>0</v>
      </c>
      <c r="X885" s="696">
        <f t="shared" si="296"/>
        <v>0</v>
      </c>
      <c r="Y885" s="796"/>
      <c r="Z885" s="798"/>
      <c r="AA885" s="787"/>
    </row>
    <row r="886" spans="1:29" ht="18.75" customHeight="1">
      <c r="A886" s="785">
        <v>81</v>
      </c>
      <c r="B886" s="216"/>
      <c r="C886" s="788" t="e">
        <f>INDEX(база!$E$2:$E$181, MATCH(B891,база!$B$2:$B$160,0))</f>
        <v>#N/A</v>
      </c>
      <c r="D886" s="791" t="e">
        <f>INDEX(база!$D$2:$D$189, MATCH(B891,база!$B$2:$B$160,0))</f>
        <v>#N/A</v>
      </c>
      <c r="E886" s="377" t="e">
        <f>IF(D886&lt;=3,база!$I$4,
IF(D886=4,база!$I$5,
IF(D886=5,база!$I$6)))</f>
        <v>#N/A</v>
      </c>
      <c r="F886" s="378">
        <v>1</v>
      </c>
      <c r="G886" s="387">
        <f>SUMIFS(Таблица1[Столбец1],Таблица1[коэф],"1",Таблица1[р/р],"2/4",Таблица1[Ф. И. О.],B891)</f>
        <v>0</v>
      </c>
      <c r="H886" s="402" t="e">
        <f t="shared" si="265"/>
        <v>#N/A</v>
      </c>
      <c r="I886" s="452" t="e">
        <f>IF(D886&lt;=3,база!$J$4,
IF(D886=4,база!$J$5,
IF(D886=5,база!$J$6)))</f>
        <v>#N/A</v>
      </c>
      <c r="J886" s="475">
        <v>1</v>
      </c>
      <c r="K886" s="453">
        <f>SUMIFS(Таблица1[Столбец1],Таблица1[коэф],"1",Таблица1[р/р],"2/8",Таблица1[Ф. И. О.],B891)</f>
        <v>0</v>
      </c>
      <c r="L886" s="484" t="e">
        <f t="shared" si="260"/>
        <v>#N/A</v>
      </c>
      <c r="M886" s="453"/>
      <c r="N886" s="453">
        <v>1</v>
      </c>
      <c r="O886" s="453">
        <f>SUMIFS(Data_Tech!$AM$3:$AM$67,Data_Tech!$E$3:$E$67,"1",Data_Tech!$G$3:$G$67,"3/12",Data_Tech!$F$3:$F$67,B891)</f>
        <v>0</v>
      </c>
      <c r="P886" s="398">
        <f>ROUND(M886*N886*O886,2)</f>
        <v>0</v>
      </c>
      <c r="Q886" s="481" t="e">
        <f>IF(D886&lt;=3,база!$L$4,
IF(D886=4,база!$L$5,
IF(D886=5,база!$L$6)))</f>
        <v>#N/A</v>
      </c>
      <c r="R886" s="417">
        <v>1</v>
      </c>
      <c r="S886" s="418">
        <f>SUMIFS(Таблица1[Столбец1],Таблица1[коэф],"1",Таблица1[р/р],"3/16",Таблица1[Ф. И. О.],B891)</f>
        <v>0</v>
      </c>
      <c r="T886" s="492" t="e">
        <f t="shared" si="261"/>
        <v>#N/A</v>
      </c>
      <c r="U886" s="483" t="e">
        <f>IF(D886&lt;=3,база!$M$4,
IF(D886=4,база!$M$5,
IF(D886=5,база!$M$6)))</f>
        <v>#N/A</v>
      </c>
      <c r="V886" s="417">
        <v>1</v>
      </c>
      <c r="W886" s="455">
        <f>SUMIFS(Таблица1[Столбец1],Таблица1[коэф],"1",Таблица1[р/р],"3/24",Таблица1[Ф. И. О.],B891)</f>
        <v>0</v>
      </c>
      <c r="X886" s="492" t="e">
        <f t="shared" si="262"/>
        <v>#N/A</v>
      </c>
      <c r="Y886" s="795">
        <f t="shared" ref="Y886" si="306">SUM(G886:G896,K886:K896,O886:O896,S886:S896,W886:W896)</f>
        <v>0</v>
      </c>
      <c r="Z886" s="797" t="str">
        <f t="shared" si="264"/>
        <v/>
      </c>
      <c r="AA886" s="786"/>
    </row>
    <row r="887" spans="1:29" ht="18.75" customHeight="1">
      <c r="A887" s="786"/>
      <c r="B887" s="216"/>
      <c r="C887" s="789"/>
      <c r="D887" s="792"/>
      <c r="E887" s="389" t="e">
        <f>IF(D886&lt;=3,база!$I$4,
IF(D886=4,база!$I$5,
IF(D886=5,база!$I$6)))</f>
        <v>#N/A</v>
      </c>
      <c r="F887" s="390">
        <v>1</v>
      </c>
      <c r="G887" s="400">
        <f>SUMIFS(Таблица1[Столбец1],Таблица1[коэф],"1",Таблица1[р/р],"3/4",Таблица1[Ф. И. О.],B891)</f>
        <v>0</v>
      </c>
      <c r="H887" s="392" t="e">
        <f>ROUND(E887*F887*G887*2,2)</f>
        <v>#N/A</v>
      </c>
      <c r="I887" s="432" t="e">
        <f>IF(D886&lt;=3,база!$J$4,
IF(D886=4,база!$J$5,
IF(D886=5,база!$J$6)))</f>
        <v>#N/A</v>
      </c>
      <c r="J887" s="433">
        <v>1</v>
      </c>
      <c r="K887" s="434">
        <f>SUMIFS(Таблица1[Столбец1],Таблица1[коэф],"1",Таблица1[р/р],"3/8",Таблица1[Ф. И. О.],B891)</f>
        <v>0</v>
      </c>
      <c r="L887" s="484" t="e">
        <f t="shared" si="260"/>
        <v>#N/A</v>
      </c>
      <c r="M887" s="434"/>
      <c r="N887" s="434">
        <v>1</v>
      </c>
      <c r="O887" s="434">
        <f>SUMIFS(Data_Tech!$AM$3:$AM$67,Data_Tech!$E$3:$E$67,"1",Data_Tech!$G$3:$G$67,"4/12",Data_Tech!$F$3:$F$67,B891)</f>
        <v>0</v>
      </c>
      <c r="P887" s="406">
        <f>ROUND(M887*O887,2)</f>
        <v>0</v>
      </c>
      <c r="Q887" s="389">
        <f>база!$L$5</f>
        <v>231.45480000000001</v>
      </c>
      <c r="R887" s="390">
        <v>1</v>
      </c>
      <c r="S887" s="400">
        <f>SUMIFS(Таблица1[Столбец1],Таблица1[коэф],"1",Таблица1[р/р],"4/16",Таблица1[Ф. И. О.],B891)</f>
        <v>0</v>
      </c>
      <c r="T887" s="492">
        <f t="shared" si="261"/>
        <v>0</v>
      </c>
      <c r="U887" s="478">
        <f>база!$M$5</f>
        <v>247.41720000000001</v>
      </c>
      <c r="V887" s="390">
        <v>1</v>
      </c>
      <c r="W887" s="412">
        <f>SUMIFS(Таблица1[Столбец1],Таблица1[коэф],"1",Таблица1[р/р],"4/24",Таблица1[Ф. И. О.],B891)</f>
        <v>0</v>
      </c>
      <c r="X887" s="492">
        <f t="shared" si="262"/>
        <v>0</v>
      </c>
      <c r="Y887" s="795"/>
      <c r="Z887" s="797"/>
      <c r="AA887" s="786"/>
    </row>
    <row r="888" spans="1:29" ht="18.75" customHeight="1">
      <c r="A888" s="786"/>
      <c r="B888" s="216"/>
      <c r="C888" s="789"/>
      <c r="D888" s="792"/>
      <c r="E888" s="389"/>
      <c r="F888" s="390"/>
      <c r="G888" s="400"/>
      <c r="H888" s="392">
        <f t="shared" ref="H888:H919" si="307">ROUND(E888*F888*G888*2,2)</f>
        <v>0</v>
      </c>
      <c r="I888" s="432"/>
      <c r="J888" s="433"/>
      <c r="K888" s="434"/>
      <c r="L888" s="484">
        <f t="shared" si="260"/>
        <v>0</v>
      </c>
      <c r="M888" s="434"/>
      <c r="N888" s="434"/>
      <c r="O888" s="434"/>
      <c r="P888" s="406"/>
      <c r="Q888" s="389">
        <f>база!$L$6</f>
        <v>261.04640000000001</v>
      </c>
      <c r="R888" s="390">
        <v>1</v>
      </c>
      <c r="S888" s="400">
        <f>SUMIFS(Таблица1[Столбец1],Таблица1[коэф],"1",Таблица1[р/р],"5/16",Таблица1[Ф. И. О.],B891)</f>
        <v>0</v>
      </c>
      <c r="T888" s="492">
        <f t="shared" si="261"/>
        <v>0</v>
      </c>
      <c r="U888" s="478">
        <f>база!$M$6</f>
        <v>279.0496</v>
      </c>
      <c r="V888" s="390">
        <v>1</v>
      </c>
      <c r="W888" s="412">
        <f>SUMIFS(Таблица1[Столбец1],Таблица1[коэф],"1",Таблица1[р/р],"5/24",Таблица1[Ф. И. О.],B891)</f>
        <v>0</v>
      </c>
      <c r="X888" s="492">
        <f t="shared" si="262"/>
        <v>0</v>
      </c>
      <c r="Y888" s="795"/>
      <c r="Z888" s="797"/>
      <c r="AA888" s="786"/>
    </row>
    <row r="889" spans="1:29" ht="18.75" customHeight="1">
      <c r="A889" s="786"/>
      <c r="B889" s="216"/>
      <c r="C889" s="789"/>
      <c r="D889" s="792"/>
      <c r="E889" s="389"/>
      <c r="F889" s="390"/>
      <c r="G889" s="400"/>
      <c r="H889" s="392">
        <f t="shared" si="307"/>
        <v>0</v>
      </c>
      <c r="I889" s="432">
        <f>база!$J$5</f>
        <v>215.4924</v>
      </c>
      <c r="J889" s="433">
        <v>1.5</v>
      </c>
      <c r="K889" s="434">
        <f>SUMIFS(Таблица1[Столбец1],Таблица1[коэф],"1,5",Таблица1[р/р],"4/8",Таблица1[Ф. И. О.],B891)</f>
        <v>0</v>
      </c>
      <c r="L889" s="484">
        <f t="shared" si="260"/>
        <v>0</v>
      </c>
      <c r="M889" s="434"/>
      <c r="N889" s="434"/>
      <c r="O889" s="434"/>
      <c r="P889" s="406"/>
      <c r="Q889" s="389" t="e">
        <f>IF(D886&lt;=3,база!$L$4,
IF(D886=4,база!$L$5,
IF(D886=5,база!$L$6)))</f>
        <v>#N/A</v>
      </c>
      <c r="R889" s="390">
        <v>1.2</v>
      </c>
      <c r="S889" s="400">
        <f>SUMIFS(Таблица1[Столбец1],Таблица1[коэф],"1,2",Таблица1[р/р],"3/16",Таблица1[Ф. И. О.],B891)</f>
        <v>0</v>
      </c>
      <c r="T889" s="492" t="e">
        <f t="shared" si="261"/>
        <v>#N/A</v>
      </c>
      <c r="U889" s="478" t="e">
        <f>IF(D886&lt;=3,база!$M$4,
IF(D886=4,база!$M$5,
IF(D886=5,база!$M$6)))</f>
        <v>#N/A</v>
      </c>
      <c r="V889" s="390">
        <v>1.2</v>
      </c>
      <c r="W889" s="412">
        <f>SUMIFS(Таблица1[Столбец1],Таблица1[коэф],"1,2",Таблица1[р/р],"3/24",Таблица1[Ф. И. О.],B891)</f>
        <v>0</v>
      </c>
      <c r="X889" s="492" t="e">
        <f t="shared" si="262"/>
        <v>#N/A</v>
      </c>
      <c r="Y889" s="795"/>
      <c r="Z889" s="797"/>
      <c r="AA889" s="786"/>
    </row>
    <row r="890" spans="1:29" ht="18.75" customHeight="1">
      <c r="A890" s="786"/>
      <c r="B890" s="216"/>
      <c r="C890" s="789"/>
      <c r="D890" s="792"/>
      <c r="E890" s="389"/>
      <c r="F890" s="390"/>
      <c r="G890" s="400"/>
      <c r="H890" s="392">
        <f t="shared" si="307"/>
        <v>0</v>
      </c>
      <c r="I890" s="432">
        <f>база!$J$6</f>
        <v>243.04319999999998</v>
      </c>
      <c r="J890" s="433">
        <v>1.5</v>
      </c>
      <c r="K890" s="434">
        <f>SUMIFS(Таблица1[Столбец1],Таблица1[коэф],"1,5",Таблица1[р/р],"5/8",Таблица1[Ф. И. О.],B891)</f>
        <v>0</v>
      </c>
      <c r="L890" s="484">
        <f t="shared" si="260"/>
        <v>0</v>
      </c>
      <c r="M890" s="434"/>
      <c r="N890" s="434"/>
      <c r="O890" s="434"/>
      <c r="P890" s="406"/>
      <c r="Q890" s="389">
        <f>база!$L$5</f>
        <v>231.45480000000001</v>
      </c>
      <c r="R890" s="390">
        <v>1.2</v>
      </c>
      <c r="S890" s="400">
        <f>SUMIFS(Таблица1[Столбец1],Таблица1[коэф],"1,2",Таблица1[р/р],"4/16",Таблица1[Ф. И. О.],B891)</f>
        <v>0</v>
      </c>
      <c r="T890" s="492">
        <f t="shared" si="261"/>
        <v>0</v>
      </c>
      <c r="U890" s="478">
        <f>база!$M$5</f>
        <v>247.41720000000001</v>
      </c>
      <c r="V890" s="390">
        <v>1.2</v>
      </c>
      <c r="W890" s="412">
        <f>SUMIFS(Таблица1[Столбец1],Таблица1[коэф],"1,2",Таблица1[р/р],"4/24",Таблица1[Ф. И. О.],B891)</f>
        <v>0</v>
      </c>
      <c r="X890" s="492">
        <f t="shared" si="262"/>
        <v>0</v>
      </c>
      <c r="Y890" s="795"/>
      <c r="Z890" s="797"/>
      <c r="AA890" s="786"/>
    </row>
    <row r="891" spans="1:29" ht="18.75" customHeight="1">
      <c r="A891" s="786"/>
      <c r="B891" s="216">
        <f>база!B82</f>
        <v>0</v>
      </c>
      <c r="C891" s="789"/>
      <c r="D891" s="792"/>
      <c r="E891" s="389"/>
      <c r="F891" s="390"/>
      <c r="G891" s="400"/>
      <c r="H891" s="392">
        <f t="shared" si="307"/>
        <v>0</v>
      </c>
      <c r="I891" s="432"/>
      <c r="J891" s="433"/>
      <c r="K891" s="434"/>
      <c r="L891" s="484">
        <f t="shared" si="260"/>
        <v>0</v>
      </c>
      <c r="M891" s="434"/>
      <c r="N891" s="434"/>
      <c r="O891" s="434"/>
      <c r="P891" s="406"/>
      <c r="Q891" s="389">
        <f>база!$L$6</f>
        <v>261.04640000000001</v>
      </c>
      <c r="R891" s="390">
        <v>1.2</v>
      </c>
      <c r="S891" s="400">
        <f>SUMIFS(Таблица1[Столбец1],Таблица1[коэф],"1,2",Таблица1[р/р],"5/16",Таблица1[Ф. И. О.],B891)</f>
        <v>0</v>
      </c>
      <c r="T891" s="492">
        <f t="shared" si="261"/>
        <v>0</v>
      </c>
      <c r="U891" s="478">
        <f>база!$M$6</f>
        <v>279.0496</v>
      </c>
      <c r="V891" s="390">
        <v>1.2</v>
      </c>
      <c r="W891" s="412">
        <f>SUMIFS(Таблица1[Столбец1],Таблица1[коэф],"1,2",Таблица1[р/р],"5/24",Таблица1[Ф. И. О.],B891)</f>
        <v>0</v>
      </c>
      <c r="X891" s="492">
        <f t="shared" si="262"/>
        <v>0</v>
      </c>
      <c r="Y891" s="795"/>
      <c r="Z891" s="797"/>
      <c r="AA891" s="786"/>
      <c r="AC891" s="727" t="e">
        <f>IF(SUMIFS(Таблица1[Столбец3],Таблица1[Ф. И. О.],B891)-Z886=0,"",SUMIFS(Таблица1[Столбец3],Таблица1[Ф. И. О.],B891)-Z886)</f>
        <v>#VALUE!</v>
      </c>
    </row>
    <row r="892" spans="1:29" ht="18.75" customHeight="1">
      <c r="A892" s="786"/>
      <c r="B892" s="216"/>
      <c r="C892" s="789"/>
      <c r="D892" s="792"/>
      <c r="E892" s="389"/>
      <c r="F892" s="390"/>
      <c r="G892" s="400"/>
      <c r="H892" s="392">
        <f t="shared" si="307"/>
        <v>0</v>
      </c>
      <c r="I892" s="432"/>
      <c r="J892" s="433"/>
      <c r="K892" s="434"/>
      <c r="L892" s="484">
        <f t="shared" si="260"/>
        <v>0</v>
      </c>
      <c r="M892" s="434"/>
      <c r="N892" s="434"/>
      <c r="O892" s="434"/>
      <c r="P892" s="406"/>
      <c r="Q892" s="389">
        <f>IF($D$6&lt;=3,база!$L$4,
IF($D$6=4,база!$L$5,
IF($D$6=5,база!$L$6)))</f>
        <v>231.45480000000001</v>
      </c>
      <c r="R892" s="390">
        <v>1.3</v>
      </c>
      <c r="S892" s="400">
        <f>SUMIFS(Таблица1[Столбец1],Таблица1[коэф],"1,3",Таблица1[р/р],"3/16",Таблица1[Ф. И. О.],B891)</f>
        <v>0</v>
      </c>
      <c r="T892" s="492">
        <f t="shared" si="261"/>
        <v>0</v>
      </c>
      <c r="U892" s="478" t="e">
        <f>IF(D886&lt;=3,база!$M$4,
IF(D886=4,база!$M$5,
IF(D886=5,база!$M$6)))</f>
        <v>#N/A</v>
      </c>
      <c r="V892" s="390">
        <v>1.3</v>
      </c>
      <c r="W892" s="412">
        <f>SUMIFS(Таблица1[Столбец1],Таблица1[коэф],"1,3",Таблица1[р/р],"3/24",Таблица1[Ф. И. О.],B891)</f>
        <v>0</v>
      </c>
      <c r="X892" s="492" t="e">
        <f t="shared" si="262"/>
        <v>#N/A</v>
      </c>
      <c r="Y892" s="795"/>
      <c r="Z892" s="797"/>
      <c r="AA892" s="786"/>
      <c r="AC892" s="727" t="str">
        <f>IF(SUMIFS(Таблица1[Столбец1],Таблица1[Ф. И. О.],B891)=Y886,"",B891&amp;"  часы не верны")</f>
        <v/>
      </c>
    </row>
    <row r="893" spans="1:29" ht="18.75" customHeight="1">
      <c r="A893" s="786"/>
      <c r="B893" s="216"/>
      <c r="C893" s="789"/>
      <c r="D893" s="792"/>
      <c r="E893" s="389"/>
      <c r="F893" s="390"/>
      <c r="G893" s="400"/>
      <c r="H893" s="392">
        <f t="shared" si="307"/>
        <v>0</v>
      </c>
      <c r="I893" s="432"/>
      <c r="J893" s="433"/>
      <c r="K893" s="434"/>
      <c r="L893" s="484">
        <f t="shared" si="260"/>
        <v>0</v>
      </c>
      <c r="M893" s="434"/>
      <c r="N893" s="434"/>
      <c r="O893" s="434"/>
      <c r="P893" s="406"/>
      <c r="Q893" s="389">
        <f>база!$L$5</f>
        <v>231.45480000000001</v>
      </c>
      <c r="R893" s="390">
        <v>1.3</v>
      </c>
      <c r="S893" s="400">
        <f>SUMIFS(Таблица1[Столбец1],Таблица1[коэф],"1,3",Таблица1[р/р],"4/16",Таблица1[Ф. И. О.],B891)</f>
        <v>0</v>
      </c>
      <c r="T893" s="492">
        <f t="shared" si="261"/>
        <v>0</v>
      </c>
      <c r="U893" s="478">
        <f>база!$M$5</f>
        <v>247.41720000000001</v>
      </c>
      <c r="V893" s="390">
        <v>1.3</v>
      </c>
      <c r="W893" s="412">
        <f>SUMIFS(Таблица1[Столбец1],Таблица1[коэф],"1,3",Таблица1[р/р],"4/24",Таблица1[Ф. И. О.],B891)</f>
        <v>0</v>
      </c>
      <c r="X893" s="492">
        <f t="shared" si="262"/>
        <v>0</v>
      </c>
      <c r="Y893" s="795"/>
      <c r="Z893" s="797"/>
      <c r="AA893" s="786"/>
    </row>
    <row r="894" spans="1:29" ht="18.75" customHeight="1">
      <c r="A894" s="786"/>
      <c r="B894" s="216"/>
      <c r="C894" s="789"/>
      <c r="D894" s="792"/>
      <c r="E894" s="389"/>
      <c r="F894" s="390"/>
      <c r="G894" s="400"/>
      <c r="H894" s="392">
        <f t="shared" si="307"/>
        <v>0</v>
      </c>
      <c r="I894" s="432"/>
      <c r="J894" s="433"/>
      <c r="K894" s="434"/>
      <c r="L894" s="484">
        <f t="shared" si="260"/>
        <v>0</v>
      </c>
      <c r="M894" s="434"/>
      <c r="N894" s="434"/>
      <c r="O894" s="434"/>
      <c r="P894" s="406"/>
      <c r="Q894" s="389" t="e">
        <f>IF(D886&lt;=3,база!$L$4,
IF(D886=4,база!$L$5,
IF(D886=5,база!$L$6)))</f>
        <v>#N/A</v>
      </c>
      <c r="R894" s="390">
        <v>1.4</v>
      </c>
      <c r="S894" s="400">
        <f>SUMIFS(Таблица1[Столбец1],Таблица1[коэф],"1,4",Таблица1[р/р],"3/16",Таблица1[Ф. И. О.],B891)</f>
        <v>0</v>
      </c>
      <c r="T894" s="492" t="e">
        <f t="shared" si="261"/>
        <v>#N/A</v>
      </c>
      <c r="U894" s="478" t="e">
        <f>IF(D886&lt;=3,база!$M$4,
IF(D886=4,база!$M$5,
IF(D886=5,база!$M$6)))</f>
        <v>#N/A</v>
      </c>
      <c r="V894" s="390">
        <v>1.4</v>
      </c>
      <c r="W894" s="412">
        <f>SUMIFS(Таблица1[Столбец1],Таблица1[коэф],"1,4",Таблица1[р/р],"3/24",Таблица1[Ф. И. О.],B891)</f>
        <v>0</v>
      </c>
      <c r="X894" s="492" t="e">
        <f t="shared" si="262"/>
        <v>#N/A</v>
      </c>
      <c r="Y894" s="795"/>
      <c r="Z894" s="797"/>
      <c r="AA894" s="786"/>
    </row>
    <row r="895" spans="1:29" ht="18.75" customHeight="1">
      <c r="A895" s="786"/>
      <c r="B895" s="216"/>
      <c r="C895" s="789"/>
      <c r="D895" s="792"/>
      <c r="E895" s="389"/>
      <c r="F895" s="390"/>
      <c r="G895" s="400"/>
      <c r="H895" s="392">
        <f t="shared" si="307"/>
        <v>0</v>
      </c>
      <c r="I895" s="432"/>
      <c r="J895" s="433"/>
      <c r="K895" s="434"/>
      <c r="L895" s="484">
        <f t="shared" si="260"/>
        <v>0</v>
      </c>
      <c r="M895" s="434"/>
      <c r="N895" s="434"/>
      <c r="O895" s="434"/>
      <c r="P895" s="406"/>
      <c r="Q895" s="389">
        <f>база!$L$5</f>
        <v>231.45480000000001</v>
      </c>
      <c r="R895" s="390">
        <v>1.4</v>
      </c>
      <c r="S895" s="400">
        <f>SUMIFS(Таблица1[Столбец1],Таблица1[коэф],"1,4",Таблица1[р/р],"4/16",Таблица1[Ф. И. О.],B891)</f>
        <v>0</v>
      </c>
      <c r="T895" s="492">
        <f t="shared" si="261"/>
        <v>0</v>
      </c>
      <c r="U895" s="478">
        <f>база!$M$5</f>
        <v>247.41720000000001</v>
      </c>
      <c r="V895" s="390">
        <v>1.4</v>
      </c>
      <c r="W895" s="412">
        <f>SUMIFS(Таблица1[Столбец1],Таблица1[коэф],"1,4",Таблица1[р/р],"4/24",Таблица1[Ф. И. О.],B891)</f>
        <v>0</v>
      </c>
      <c r="X895" s="492">
        <f t="shared" si="262"/>
        <v>0</v>
      </c>
      <c r="Y895" s="795"/>
      <c r="Z895" s="797"/>
      <c r="AA895" s="786"/>
    </row>
    <row r="896" spans="1:29" ht="19.5" customHeight="1" thickBot="1">
      <c r="A896" s="787"/>
      <c r="B896" s="352"/>
      <c r="C896" s="790"/>
      <c r="D896" s="793"/>
      <c r="E896" s="481"/>
      <c r="F896" s="417"/>
      <c r="G896" s="486"/>
      <c r="H896" s="468">
        <f t="shared" si="307"/>
        <v>0</v>
      </c>
      <c r="I896" s="651"/>
      <c r="J896" s="456"/>
      <c r="K896" s="652"/>
      <c r="L896" s="458">
        <f t="shared" si="260"/>
        <v>0</v>
      </c>
      <c r="M896" s="651"/>
      <c r="N896" s="652"/>
      <c r="O896" s="652"/>
      <c r="P896" s="476"/>
      <c r="Q896" s="658">
        <f>база!$L$6</f>
        <v>261.04640000000001</v>
      </c>
      <c r="R896" s="464">
        <v>1.4</v>
      </c>
      <c r="S896" s="465">
        <f>SUMIFS(Таблица1[Столбец1],Таблица1[коэф],"1,4",Таблица1[р/р],"5/16",Таблица1[Ф. И. О.],B891)</f>
        <v>0</v>
      </c>
      <c r="T896" s="513">
        <f t="shared" si="261"/>
        <v>0</v>
      </c>
      <c r="U896" s="463">
        <f>база!$M$6</f>
        <v>279.0496</v>
      </c>
      <c r="V896" s="464">
        <v>1.4</v>
      </c>
      <c r="W896" s="465">
        <f>SUMIFS(Таблица1[Столбец1],Таблица1[коэф],"1,4",Таблица1[р/р],"5/24",Таблица1[Ф. И. О.],B891)</f>
        <v>0</v>
      </c>
      <c r="X896" s="513">
        <f t="shared" si="262"/>
        <v>0</v>
      </c>
      <c r="Y896" s="796"/>
      <c r="Z896" s="798"/>
      <c r="AA896" s="787"/>
    </row>
    <row r="897" spans="1:29" ht="18.75" customHeight="1">
      <c r="A897" s="785">
        <v>82</v>
      </c>
      <c r="B897" s="216"/>
      <c r="C897" s="788" t="e">
        <f>INDEX(база!$E$2:$E$181, MATCH(B902,база!$B$2:$B$160,0))</f>
        <v>#N/A</v>
      </c>
      <c r="D897" s="791" t="e">
        <f>INDEX(база!$D$2:$D$189, MATCH(B902,база!$B$2:$B$160,0))</f>
        <v>#N/A</v>
      </c>
      <c r="E897" s="377" t="e">
        <f>IF(D897&lt;=3,база!$I$4,
IF(D897=4,база!$I$5,
IF(D897=5,база!$I$6)))</f>
        <v>#N/A</v>
      </c>
      <c r="F897" s="378">
        <v>1</v>
      </c>
      <c r="G897" s="387">
        <f>SUMIFS(Таблица1[Столбец1],Таблица1[коэф],"1",Таблица1[р/р],"2/4",Таблица1[Ф. И. О.],B902)</f>
        <v>0</v>
      </c>
      <c r="H897" s="402" t="e">
        <f t="shared" ref="H897" si="308">ROUND(E897*F897*G897*2,2)</f>
        <v>#N/A</v>
      </c>
      <c r="I897" s="452" t="e">
        <f>IF(D897&lt;=3,база!$J$4,
IF(D897=4,база!$J$5,
IF(D897=5,база!$J$6)))</f>
        <v>#N/A</v>
      </c>
      <c r="J897" s="475">
        <v>1</v>
      </c>
      <c r="K897" s="453">
        <f>SUMIFS(Таблица1[Столбец1],Таблица1[коэф],"1",Таблица1[р/р],"2/8",Таблица1[Ф. И. О.],B902)</f>
        <v>0</v>
      </c>
      <c r="L897" s="484" t="e">
        <f t="shared" ref="L897:L918" si="309">ROUND(I897*J897*K897*2,2)</f>
        <v>#N/A</v>
      </c>
      <c r="M897" s="453"/>
      <c r="N897" s="453">
        <v>1</v>
      </c>
      <c r="O897" s="453">
        <f>SUMIFS(Data_Tech!$AM$3:$AM$67,Data_Tech!$E$3:$E$67,"1",Data_Tech!$G$3:$G$67,"3/12",Data_Tech!$F$3:$F$67,B902)</f>
        <v>0</v>
      </c>
      <c r="P897" s="398">
        <f>ROUND(M897*N897*O897,2)</f>
        <v>0</v>
      </c>
      <c r="Q897" s="481" t="e">
        <f>IF(D897&lt;=3,база!$L$4,
IF(D897=4,база!$L$5,
IF(D897=5,база!$L$6)))</f>
        <v>#N/A</v>
      </c>
      <c r="R897" s="417">
        <v>1</v>
      </c>
      <c r="S897" s="418">
        <f>SUMIFS(Таблица1[Столбец1],Таблица1[коэф],"1",Таблица1[р/р],"3/16",Таблица1[Ф. И. О.],B902)</f>
        <v>0</v>
      </c>
      <c r="T897" s="492" t="e">
        <f t="shared" ref="T897:T918" si="310">ROUND(Q897*R897*S897*2,2)</f>
        <v>#N/A</v>
      </c>
      <c r="U897" s="483" t="e">
        <f>IF(D897&lt;=3,база!$M$4,
IF(D897=4,база!$M$5,
IF(D897=5,база!$M$6)))</f>
        <v>#N/A</v>
      </c>
      <c r="V897" s="417">
        <v>1</v>
      </c>
      <c r="W897" s="455">
        <f>SUMIFS(Таблица1[Столбец1],Таблица1[коэф],"1",Таблица1[р/р],"3/24",Таблица1[Ф. И. О.],B902)</f>
        <v>0</v>
      </c>
      <c r="X897" s="492" t="e">
        <f t="shared" ref="X897:X918" si="311">ROUND(U897*V897*W897*2,2)</f>
        <v>#N/A</v>
      </c>
      <c r="Y897" s="795">
        <f t="shared" ref="Y897" si="312">SUM(G897:G907,K897:K907,O897:O907,S897:S907,W897:W907)</f>
        <v>0</v>
      </c>
      <c r="Z897" s="797" t="str">
        <f t="shared" ref="Z897" si="313">IFERROR(SUM(H897:H907,L897:L907,T897:T907,X897:X907),"")</f>
        <v/>
      </c>
      <c r="AA897" s="786"/>
    </row>
    <row r="898" spans="1:29" ht="18.75" customHeight="1">
      <c r="A898" s="786"/>
      <c r="B898" s="216"/>
      <c r="C898" s="789"/>
      <c r="D898" s="792"/>
      <c r="E898" s="389" t="e">
        <f>IF(D897&lt;=3,база!$I$4,
IF(D897=4,база!$I$5,
IF(D897=5,база!$I$6)))</f>
        <v>#N/A</v>
      </c>
      <c r="F898" s="390">
        <v>1</v>
      </c>
      <c r="G898" s="400">
        <f>SUMIFS(Таблица1[Столбец1],Таблица1[коэф],"1",Таблица1[р/р],"3/4",Таблица1[Ф. И. О.],B902)</f>
        <v>0</v>
      </c>
      <c r="H898" s="392" t="e">
        <f>ROUND(E898*F898*G898*2,2)</f>
        <v>#N/A</v>
      </c>
      <c r="I898" s="432" t="e">
        <f>IF(D897&lt;=3,база!$J$4,
IF(D897=4,база!$J$5,
IF(D897=5,база!$J$6)))</f>
        <v>#N/A</v>
      </c>
      <c r="J898" s="433">
        <v>1</v>
      </c>
      <c r="K898" s="434">
        <f>SUMIFS(Таблица1[Столбец1],Таблица1[коэф],"1",Таблица1[р/р],"3/8",Таблица1[Ф. И. О.],B902)</f>
        <v>0</v>
      </c>
      <c r="L898" s="484" t="e">
        <f t="shared" si="309"/>
        <v>#N/A</v>
      </c>
      <c r="M898" s="434"/>
      <c r="N898" s="434">
        <v>1</v>
      </c>
      <c r="O898" s="434">
        <f>SUMIFS(Data_Tech!$AM$3:$AM$67,Data_Tech!$E$3:$E$67,"1",Data_Tech!$G$3:$G$67,"4/12",Data_Tech!$F$3:$F$67,B902)</f>
        <v>0</v>
      </c>
      <c r="P898" s="406">
        <f>ROUND(M898*O898,2)</f>
        <v>0</v>
      </c>
      <c r="Q898" s="389">
        <f>база!$L$5</f>
        <v>231.45480000000001</v>
      </c>
      <c r="R898" s="390">
        <v>1</v>
      </c>
      <c r="S898" s="400">
        <f>SUMIFS(Таблица1[Столбец1],Таблица1[коэф],"1",Таблица1[р/р],"4/16",Таблица1[Ф. И. О.],B902)</f>
        <v>0</v>
      </c>
      <c r="T898" s="492">
        <f t="shared" si="310"/>
        <v>0</v>
      </c>
      <c r="U898" s="478">
        <f>база!$M$5</f>
        <v>247.41720000000001</v>
      </c>
      <c r="V898" s="390">
        <v>1</v>
      </c>
      <c r="W898" s="412">
        <f>SUMIFS(Таблица1[Столбец1],Таблица1[коэф],"1",Таблица1[р/р],"4/24",Таблица1[Ф. И. О.],B902)</f>
        <v>0</v>
      </c>
      <c r="X898" s="492">
        <f t="shared" si="311"/>
        <v>0</v>
      </c>
      <c r="Y898" s="795"/>
      <c r="Z898" s="797"/>
      <c r="AA898" s="786"/>
    </row>
    <row r="899" spans="1:29" ht="18.75" customHeight="1">
      <c r="A899" s="786"/>
      <c r="B899" s="216"/>
      <c r="C899" s="789"/>
      <c r="D899" s="792"/>
      <c r="E899" s="389"/>
      <c r="F899" s="390"/>
      <c r="G899" s="400"/>
      <c r="H899" s="392">
        <f t="shared" ref="H899:H908" si="314">ROUND(E899*F899*G899*2,2)</f>
        <v>0</v>
      </c>
      <c r="I899" s="432"/>
      <c r="J899" s="433"/>
      <c r="K899" s="434"/>
      <c r="L899" s="484">
        <f t="shared" si="309"/>
        <v>0</v>
      </c>
      <c r="M899" s="434"/>
      <c r="N899" s="434"/>
      <c r="O899" s="434"/>
      <c r="P899" s="406"/>
      <c r="Q899" s="389">
        <f>база!$L$6</f>
        <v>261.04640000000001</v>
      </c>
      <c r="R899" s="390">
        <v>1</v>
      </c>
      <c r="S899" s="400">
        <f>SUMIFS(Таблица1[Столбец1],Таблица1[коэф],"1",Таблица1[р/р],"5/16",Таблица1[Ф. И. О.],B902)</f>
        <v>0</v>
      </c>
      <c r="T899" s="492">
        <f t="shared" si="310"/>
        <v>0</v>
      </c>
      <c r="U899" s="478">
        <f>база!$M$6</f>
        <v>279.0496</v>
      </c>
      <c r="V899" s="390">
        <v>1</v>
      </c>
      <c r="W899" s="412">
        <f>SUMIFS(Таблица1[Столбец1],Таблица1[коэф],"1",Таблица1[р/р],"5/24",Таблица1[Ф. И. О.],B902)</f>
        <v>0</v>
      </c>
      <c r="X899" s="492">
        <f t="shared" si="311"/>
        <v>0</v>
      </c>
      <c r="Y899" s="795"/>
      <c r="Z899" s="797"/>
      <c r="AA899" s="786"/>
    </row>
    <row r="900" spans="1:29" ht="18.75" customHeight="1">
      <c r="A900" s="786"/>
      <c r="B900" s="216"/>
      <c r="C900" s="789"/>
      <c r="D900" s="792"/>
      <c r="E900" s="389"/>
      <c r="F900" s="390"/>
      <c r="G900" s="400"/>
      <c r="H900" s="392">
        <f t="shared" si="314"/>
        <v>0</v>
      </c>
      <c r="I900" s="432">
        <f>база!$J$5</f>
        <v>215.4924</v>
      </c>
      <c r="J900" s="433">
        <v>1.5</v>
      </c>
      <c r="K900" s="434">
        <f>SUMIFS(Таблица1[Столбец1],Таблица1[коэф],"1,5",Таблица1[р/р],"4/8",Таблица1[Ф. И. О.],B902)</f>
        <v>0</v>
      </c>
      <c r="L900" s="484">
        <f t="shared" si="309"/>
        <v>0</v>
      </c>
      <c r="M900" s="434"/>
      <c r="N900" s="434"/>
      <c r="O900" s="434"/>
      <c r="P900" s="406"/>
      <c r="Q900" s="389" t="e">
        <f>IF(D897&lt;=3,база!$L$4,
IF(D897=4,база!$L$5,
IF(D897=5,база!$L$6)))</f>
        <v>#N/A</v>
      </c>
      <c r="R900" s="390">
        <v>1.2</v>
      </c>
      <c r="S900" s="400">
        <f>SUMIFS(Таблица1[Столбец1],Таблица1[коэф],"1,2",Таблица1[р/р],"3/16",Таблица1[Ф. И. О.],B902)</f>
        <v>0</v>
      </c>
      <c r="T900" s="492" t="e">
        <f t="shared" si="310"/>
        <v>#N/A</v>
      </c>
      <c r="U900" s="478" t="e">
        <f>IF(D897&lt;=3,база!$M$4,
IF(D897=4,база!$M$5,
IF(D897=5,база!$M$6)))</f>
        <v>#N/A</v>
      </c>
      <c r="V900" s="390">
        <v>1.2</v>
      </c>
      <c r="W900" s="412">
        <f>SUMIFS(Таблица1[Столбец1],Таблица1[коэф],"1,2",Таблица1[р/р],"3/24",Таблица1[Ф. И. О.],B902)</f>
        <v>0</v>
      </c>
      <c r="X900" s="492" t="e">
        <f t="shared" si="311"/>
        <v>#N/A</v>
      </c>
      <c r="Y900" s="795"/>
      <c r="Z900" s="797"/>
      <c r="AA900" s="786"/>
    </row>
    <row r="901" spans="1:29" ht="18.75" customHeight="1">
      <c r="A901" s="786"/>
      <c r="B901" s="216"/>
      <c r="C901" s="789"/>
      <c r="D901" s="792"/>
      <c r="E901" s="389"/>
      <c r="F901" s="390"/>
      <c r="G901" s="400"/>
      <c r="H901" s="392">
        <f t="shared" si="314"/>
        <v>0</v>
      </c>
      <c r="I901" s="432">
        <f>база!$J$6</f>
        <v>243.04319999999998</v>
      </c>
      <c r="J901" s="433">
        <v>1.5</v>
      </c>
      <c r="K901" s="434">
        <f>SUMIFS(Таблица1[Столбец1],Таблица1[коэф],"1,5",Таблица1[р/р],"5/8",Таблица1[Ф. И. О.],B902)</f>
        <v>0</v>
      </c>
      <c r="L901" s="484">
        <f t="shared" si="309"/>
        <v>0</v>
      </c>
      <c r="M901" s="434"/>
      <c r="N901" s="434"/>
      <c r="O901" s="434"/>
      <c r="P901" s="406"/>
      <c r="Q901" s="389">
        <f>база!$L$5</f>
        <v>231.45480000000001</v>
      </c>
      <c r="R901" s="390">
        <v>1.2</v>
      </c>
      <c r="S901" s="400">
        <f>SUMIFS(Таблица1[Столбец1],Таблица1[коэф],"1,2",Таблица1[р/р],"4/16",Таблица1[Ф. И. О.],B902)</f>
        <v>0</v>
      </c>
      <c r="T901" s="492">
        <f t="shared" si="310"/>
        <v>0</v>
      </c>
      <c r="U901" s="478">
        <f>база!$M$5</f>
        <v>247.41720000000001</v>
      </c>
      <c r="V901" s="390">
        <v>1.2</v>
      </c>
      <c r="W901" s="412">
        <f>SUMIFS(Таблица1[Столбец1],Таблица1[коэф],"1,2",Таблица1[р/р],"4/24",Таблица1[Ф. И. О.],B902)</f>
        <v>0</v>
      </c>
      <c r="X901" s="492">
        <f t="shared" si="311"/>
        <v>0</v>
      </c>
      <c r="Y901" s="795"/>
      <c r="Z901" s="797"/>
      <c r="AA901" s="786"/>
    </row>
    <row r="902" spans="1:29" ht="18.75" customHeight="1">
      <c r="A902" s="786"/>
      <c r="B902" s="216">
        <f>база!B83</f>
        <v>0</v>
      </c>
      <c r="C902" s="789"/>
      <c r="D902" s="792"/>
      <c r="E902" s="389"/>
      <c r="F902" s="390"/>
      <c r="G902" s="400"/>
      <c r="H902" s="392">
        <f t="shared" si="314"/>
        <v>0</v>
      </c>
      <c r="I902" s="432"/>
      <c r="J902" s="433"/>
      <c r="K902" s="434"/>
      <c r="L902" s="484">
        <f t="shared" si="309"/>
        <v>0</v>
      </c>
      <c r="M902" s="434"/>
      <c r="N902" s="434"/>
      <c r="O902" s="434"/>
      <c r="P902" s="406"/>
      <c r="Q902" s="389">
        <f>база!$L$6</f>
        <v>261.04640000000001</v>
      </c>
      <c r="R902" s="390">
        <v>1.2</v>
      </c>
      <c r="S902" s="400">
        <f>SUMIFS(Таблица1[Столбец1],Таблица1[коэф],"1,2",Таблица1[р/р],"5/16",Таблица1[Ф. И. О.],B902)</f>
        <v>0</v>
      </c>
      <c r="T902" s="492">
        <f t="shared" si="310"/>
        <v>0</v>
      </c>
      <c r="U902" s="478">
        <f>база!$M$6</f>
        <v>279.0496</v>
      </c>
      <c r="V902" s="390">
        <v>1.2</v>
      </c>
      <c r="W902" s="412">
        <f>SUMIFS(Таблица1[Столбец1],Таблица1[коэф],"1,2",Таблица1[р/р],"5/24",Таблица1[Ф. И. О.],B902)</f>
        <v>0</v>
      </c>
      <c r="X902" s="492">
        <f t="shared" si="311"/>
        <v>0</v>
      </c>
      <c r="Y902" s="795"/>
      <c r="Z902" s="797"/>
      <c r="AA902" s="786"/>
      <c r="AC902" s="727" t="e">
        <f>IF(SUMIFS(Таблица1[Столбец3],Таблица1[Ф. И. О.],B902)-Z897=0,"",SUMIFS(Таблица1[Столбец3],Таблица1[Ф. И. О.],B902)-Z897)</f>
        <v>#VALUE!</v>
      </c>
    </row>
    <row r="903" spans="1:29" ht="18.75" customHeight="1">
      <c r="A903" s="786"/>
      <c r="B903" s="216"/>
      <c r="C903" s="789"/>
      <c r="D903" s="792"/>
      <c r="E903" s="389"/>
      <c r="F903" s="390"/>
      <c r="G903" s="400"/>
      <c r="H903" s="392">
        <f t="shared" si="314"/>
        <v>0</v>
      </c>
      <c r="I903" s="432"/>
      <c r="J903" s="433"/>
      <c r="K903" s="434"/>
      <c r="L903" s="484">
        <f t="shared" si="309"/>
        <v>0</v>
      </c>
      <c r="M903" s="434"/>
      <c r="N903" s="434"/>
      <c r="O903" s="434"/>
      <c r="P903" s="406"/>
      <c r="Q903" s="389">
        <f>IF($D$6&lt;=3,база!$L$4,
IF($D$6=4,база!$L$5,
IF($D$6=5,база!$L$6)))</f>
        <v>231.45480000000001</v>
      </c>
      <c r="R903" s="390">
        <v>1.3</v>
      </c>
      <c r="S903" s="400">
        <f>SUMIFS(Таблица1[Столбец1],Таблица1[коэф],"1,3",Таблица1[р/р],"3/16",Таблица1[Ф. И. О.],B902)</f>
        <v>0</v>
      </c>
      <c r="T903" s="492">
        <f t="shared" si="310"/>
        <v>0</v>
      </c>
      <c r="U903" s="478" t="e">
        <f>IF(D897&lt;=3,база!$M$4,
IF(D897=4,база!$M$5,
IF(D897=5,база!$M$6)))</f>
        <v>#N/A</v>
      </c>
      <c r="V903" s="390">
        <v>1.3</v>
      </c>
      <c r="W903" s="412">
        <f>SUMIFS(Таблица1[Столбец1],Таблица1[коэф],"1,3",Таблица1[р/р],"3/24",Таблица1[Ф. И. О.],B902)</f>
        <v>0</v>
      </c>
      <c r="X903" s="492" t="e">
        <f t="shared" si="311"/>
        <v>#N/A</v>
      </c>
      <c r="Y903" s="795"/>
      <c r="Z903" s="797"/>
      <c r="AA903" s="786"/>
      <c r="AC903" s="727" t="str">
        <f>IF(SUMIFS(Таблица1[Столбец1],Таблица1[Ф. И. О.],B902)=Y897,"",B902&amp;"  часы не верны")</f>
        <v/>
      </c>
    </row>
    <row r="904" spans="1:29" ht="18.75" customHeight="1">
      <c r="A904" s="786"/>
      <c r="B904" s="216"/>
      <c r="C904" s="789"/>
      <c r="D904" s="792"/>
      <c r="E904" s="389"/>
      <c r="F904" s="390"/>
      <c r="G904" s="400"/>
      <c r="H904" s="392">
        <f t="shared" si="314"/>
        <v>0</v>
      </c>
      <c r="I904" s="432"/>
      <c r="J904" s="433"/>
      <c r="K904" s="434"/>
      <c r="L904" s="484">
        <f t="shared" si="309"/>
        <v>0</v>
      </c>
      <c r="M904" s="434"/>
      <c r="N904" s="434"/>
      <c r="O904" s="434"/>
      <c r="P904" s="406"/>
      <c r="Q904" s="389">
        <f>база!$L$5</f>
        <v>231.45480000000001</v>
      </c>
      <c r="R904" s="390">
        <v>1.3</v>
      </c>
      <c r="S904" s="400">
        <f>SUMIFS(Таблица1[Столбец1],Таблица1[коэф],"1,3",Таблица1[р/р],"4/16",Таблица1[Ф. И. О.],B902)</f>
        <v>0</v>
      </c>
      <c r="T904" s="492">
        <f t="shared" si="310"/>
        <v>0</v>
      </c>
      <c r="U904" s="478">
        <f>база!$M$5</f>
        <v>247.41720000000001</v>
      </c>
      <c r="V904" s="390">
        <v>1.3</v>
      </c>
      <c r="W904" s="412">
        <f>SUMIFS(Таблица1[Столбец1],Таблица1[коэф],"1,3",Таблица1[р/р],"4/24",Таблица1[Ф. И. О.],B902)</f>
        <v>0</v>
      </c>
      <c r="X904" s="492">
        <f t="shared" si="311"/>
        <v>0</v>
      </c>
      <c r="Y904" s="795"/>
      <c r="Z904" s="797"/>
      <c r="AA904" s="786"/>
    </row>
    <row r="905" spans="1:29" ht="18.75" customHeight="1">
      <c r="A905" s="786"/>
      <c r="B905" s="216"/>
      <c r="C905" s="789"/>
      <c r="D905" s="792"/>
      <c r="E905" s="389"/>
      <c r="F905" s="390"/>
      <c r="G905" s="400"/>
      <c r="H905" s="392">
        <f t="shared" si="314"/>
        <v>0</v>
      </c>
      <c r="I905" s="432"/>
      <c r="J905" s="433"/>
      <c r="K905" s="434"/>
      <c r="L905" s="484">
        <f t="shared" si="309"/>
        <v>0</v>
      </c>
      <c r="M905" s="434"/>
      <c r="N905" s="434"/>
      <c r="O905" s="434"/>
      <c r="P905" s="406"/>
      <c r="Q905" s="389" t="e">
        <f>IF(D897&lt;=3,база!$L$4,
IF(D897=4,база!$L$5,
IF(D897=5,база!$L$6)))</f>
        <v>#N/A</v>
      </c>
      <c r="R905" s="390">
        <v>1.4</v>
      </c>
      <c r="S905" s="400">
        <f>SUMIFS(Таблица1[Столбец1],Таблица1[коэф],"1,4",Таблица1[р/р],"3/16",Таблица1[Ф. И. О.],B902)</f>
        <v>0</v>
      </c>
      <c r="T905" s="492" t="e">
        <f t="shared" si="310"/>
        <v>#N/A</v>
      </c>
      <c r="U905" s="478" t="e">
        <f>IF(D897&lt;=3,база!$M$4,
IF(D897=4,база!$M$5,
IF(D897=5,база!$M$6)))</f>
        <v>#N/A</v>
      </c>
      <c r="V905" s="390">
        <v>1.4</v>
      </c>
      <c r="W905" s="412">
        <f>SUMIFS(Таблица1[Столбец1],Таблица1[коэф],"1,4",Таблица1[р/р],"3/24",Таблица1[Ф. И. О.],B902)</f>
        <v>0</v>
      </c>
      <c r="X905" s="492" t="e">
        <f t="shared" si="311"/>
        <v>#N/A</v>
      </c>
      <c r="Y905" s="795"/>
      <c r="Z905" s="797"/>
      <c r="AA905" s="786"/>
    </row>
    <row r="906" spans="1:29" ht="18.75" customHeight="1">
      <c r="A906" s="786"/>
      <c r="B906" s="216"/>
      <c r="C906" s="789"/>
      <c r="D906" s="792"/>
      <c r="E906" s="389"/>
      <c r="F906" s="390"/>
      <c r="G906" s="400"/>
      <c r="H906" s="392">
        <f t="shared" si="314"/>
        <v>0</v>
      </c>
      <c r="I906" s="432"/>
      <c r="J906" s="433"/>
      <c r="K906" s="434"/>
      <c r="L906" s="484">
        <f t="shared" si="309"/>
        <v>0</v>
      </c>
      <c r="M906" s="434"/>
      <c r="N906" s="434"/>
      <c r="O906" s="434"/>
      <c r="P906" s="406"/>
      <c r="Q906" s="389">
        <f>база!$L$5</f>
        <v>231.45480000000001</v>
      </c>
      <c r="R906" s="390">
        <v>1.4</v>
      </c>
      <c r="S906" s="400">
        <f>SUMIFS(Таблица1[Столбец1],Таблица1[коэф],"1,4",Таблица1[р/р],"4/16",Таблица1[Ф. И. О.],B902)</f>
        <v>0</v>
      </c>
      <c r="T906" s="492">
        <f t="shared" si="310"/>
        <v>0</v>
      </c>
      <c r="U906" s="478">
        <f>база!$M$5</f>
        <v>247.41720000000001</v>
      </c>
      <c r="V906" s="390">
        <v>1.4</v>
      </c>
      <c r="W906" s="412">
        <f>SUMIFS(Таблица1[Столбец1],Таблица1[коэф],"1,4",Таблица1[р/р],"4/24",Таблица1[Ф. И. О.],B902)</f>
        <v>0</v>
      </c>
      <c r="X906" s="492">
        <f t="shared" si="311"/>
        <v>0</v>
      </c>
      <c r="Y906" s="795"/>
      <c r="Z906" s="797"/>
      <c r="AA906" s="786"/>
    </row>
    <row r="907" spans="1:29" ht="19.5" customHeight="1" thickBot="1">
      <c r="A907" s="787"/>
      <c r="B907" s="352"/>
      <c r="C907" s="790"/>
      <c r="D907" s="793"/>
      <c r="E907" s="481"/>
      <c r="F907" s="417"/>
      <c r="G907" s="486"/>
      <c r="H907" s="440">
        <f t="shared" si="314"/>
        <v>0</v>
      </c>
      <c r="I907" s="413"/>
      <c r="J907" s="604"/>
      <c r="K907" s="414"/>
      <c r="L907" s="532">
        <f t="shared" si="309"/>
        <v>0</v>
      </c>
      <c r="M907" s="413"/>
      <c r="N907" s="414"/>
      <c r="O907" s="414"/>
      <c r="P907" s="415"/>
      <c r="Q907" s="692">
        <f>база!$L$6</f>
        <v>261.04640000000001</v>
      </c>
      <c r="R907" s="438">
        <v>1.4</v>
      </c>
      <c r="S907" s="439">
        <f>SUMIFS(Таблица1[Столбец1],Таблица1[коэф],"1,4",Таблица1[р/р],"5/16",Таблица1[Ф. И. О.],B902)</f>
        <v>0</v>
      </c>
      <c r="T907" s="510">
        <f t="shared" si="310"/>
        <v>0</v>
      </c>
      <c r="U907" s="515">
        <f>база!$M$6</f>
        <v>279.0496</v>
      </c>
      <c r="V907" s="403">
        <v>1.4</v>
      </c>
      <c r="W907" s="439">
        <f>SUMIFS(Таблица1[Столбец1],Таблица1[коэф],"1,4",Таблица1[р/р],"5/24",Таблица1[Ф. И. О.],B902)</f>
        <v>0</v>
      </c>
      <c r="X907" s="510">
        <f t="shared" si="311"/>
        <v>0</v>
      </c>
      <c r="Y907" s="795"/>
      <c r="Z907" s="798"/>
      <c r="AA907" s="787"/>
    </row>
    <row r="908" spans="1:29" ht="18.75" customHeight="1">
      <c r="A908" s="785">
        <v>83</v>
      </c>
      <c r="B908" s="216"/>
      <c r="C908" s="788" t="e">
        <f>INDEX(база!$E$2:$E$181, MATCH(B913,база!$B$2:$B$160,0))</f>
        <v>#N/A</v>
      </c>
      <c r="D908" s="791" t="e">
        <f>INDEX(база!$D$2:$D$189, MATCH(B913,база!$B$2:$B$160,0))</f>
        <v>#N/A</v>
      </c>
      <c r="E908" s="377" t="e">
        <f>IF(D908&lt;=3,база!$I$4,
IF(D908=4,база!$I$5,
IF(D908=5,база!$I$6)))</f>
        <v>#N/A</v>
      </c>
      <c r="F908" s="378">
        <v>1</v>
      </c>
      <c r="G908" s="548">
        <f>SUMIFS(Таблица1[Столбец1],Таблица1[коэф],"1",Таблица1[р/р],"2/4",Таблица1[Ф. И. О.],B913)</f>
        <v>0</v>
      </c>
      <c r="H908" s="693" t="e">
        <f t="shared" si="314"/>
        <v>#N/A</v>
      </c>
      <c r="I908" s="426" t="e">
        <f>IF(D908&lt;=3,база!$J$4,
IF(D908=4,база!$J$5,
IF(D908=5,база!$J$6)))</f>
        <v>#N/A</v>
      </c>
      <c r="J908" s="427">
        <v>1</v>
      </c>
      <c r="K908" s="428">
        <f>SUMIFS(Таблица1[Столбец1],Таблица1[коэф],"1",Таблица1[р/р],"2/8",Таблица1[Ф. И. О.],B913)</f>
        <v>0</v>
      </c>
      <c r="L908" s="383" t="e">
        <f t="shared" si="309"/>
        <v>#N/A</v>
      </c>
      <c r="M908" s="428"/>
      <c r="N908" s="428">
        <v>1</v>
      </c>
      <c r="O908" s="428">
        <f>SUMIFS(Data_Tech!$AM$3:$AM$67,Data_Tech!$E$3:$E$67,"1",Data_Tech!$G$3:$G$67,"3/12",Data_Tech!$F$3:$F$67,B913)</f>
        <v>0</v>
      </c>
      <c r="P908" s="385">
        <f>ROUND(M908*N908*O908,2)</f>
        <v>0</v>
      </c>
      <c r="Q908" s="377" t="e">
        <f>IF(D908&lt;=3,база!$L$4,
IF(D908=4,база!$L$5,
IF(D908=5,база!$L$6)))</f>
        <v>#N/A</v>
      </c>
      <c r="R908" s="378">
        <v>1</v>
      </c>
      <c r="S908" s="387">
        <f>SUMIFS(Таблица1[Столбец1],Таблица1[коэф],"1",Таблица1[р/р],"3/16",Таблица1[Ф. И. О.],B913)</f>
        <v>0</v>
      </c>
      <c r="T908" s="490" t="e">
        <f t="shared" si="310"/>
        <v>#N/A</v>
      </c>
      <c r="U908" s="477" t="e">
        <f>IF(D908&lt;=3,база!$M$4,
IF(D908=4,база!$M$5,
IF(D908=5,база!$M$6)))</f>
        <v>#N/A</v>
      </c>
      <c r="V908" s="378">
        <v>1</v>
      </c>
      <c r="W908" s="430">
        <f>SUMIFS(Таблица1[Столбец1],Таблица1[коэф],"1",Таблица1[р/р],"3/24",Таблица1[Ф. И. О.],B913)</f>
        <v>0</v>
      </c>
      <c r="X908" s="490" t="e">
        <f t="shared" si="311"/>
        <v>#N/A</v>
      </c>
      <c r="Y908" s="794">
        <f t="shared" ref="Y908" si="315">SUM(G908:G918,K908:K918,O908:O918,S908:S918,W908:W918)</f>
        <v>0</v>
      </c>
      <c r="Z908" s="797" t="str">
        <f t="shared" ref="Z908" si="316">IFERROR(SUM(H908:H918,L908:L918,T908:T918,X908:X918),"")</f>
        <v/>
      </c>
      <c r="AA908" s="786"/>
    </row>
    <row r="909" spans="1:29" ht="18.75" customHeight="1">
      <c r="A909" s="786"/>
      <c r="B909" s="216"/>
      <c r="C909" s="789"/>
      <c r="D909" s="792"/>
      <c r="E909" s="389" t="e">
        <f>IF(D908&lt;=3,база!$I$4,
IF(D908=4,база!$I$5,
IF(D908=5,база!$I$6)))</f>
        <v>#N/A</v>
      </c>
      <c r="F909" s="390">
        <v>1</v>
      </c>
      <c r="G909" s="544">
        <f>SUMIFS(Таблица1[Столбец1],Таблица1[коэф],"1",Таблица1[р/р],"3/4",Таблица1[Ф. И. О.],B913)</f>
        <v>0</v>
      </c>
      <c r="H909" s="694" t="e">
        <f>ROUND(E909*F909*G909*2,2)</f>
        <v>#N/A</v>
      </c>
      <c r="I909" s="432" t="e">
        <f>IF(D908&lt;=3,база!$J$4,
IF(D908=4,база!$J$5,
IF(D908=5,база!$J$6)))</f>
        <v>#N/A</v>
      </c>
      <c r="J909" s="433">
        <v>1</v>
      </c>
      <c r="K909" s="434">
        <f>SUMIFS(Таблица1[Столбец1],Таблица1[коэф],"1",Таблица1[р/р],"3/8",Таблица1[Ф. И. О.],B913)</f>
        <v>0</v>
      </c>
      <c r="L909" s="484" t="e">
        <f t="shared" si="309"/>
        <v>#N/A</v>
      </c>
      <c r="M909" s="434"/>
      <c r="N909" s="434">
        <v>1</v>
      </c>
      <c r="O909" s="434">
        <f>SUMIFS(Data_Tech!$AM$3:$AM$67,Data_Tech!$E$3:$E$67,"1",Data_Tech!$G$3:$G$67,"4/12",Data_Tech!$F$3:$F$67,B913)</f>
        <v>0</v>
      </c>
      <c r="P909" s="406">
        <f>ROUND(M909*O909,2)</f>
        <v>0</v>
      </c>
      <c r="Q909" s="389">
        <f>база!$L$5</f>
        <v>231.45480000000001</v>
      </c>
      <c r="R909" s="390">
        <v>1</v>
      </c>
      <c r="S909" s="400">
        <f>SUMIFS(Таблица1[Столбец1],Таблица1[коэф],"1",Таблица1[р/р],"4/16",Таблица1[Ф. И. О.],B913)</f>
        <v>0</v>
      </c>
      <c r="T909" s="492">
        <f t="shared" si="310"/>
        <v>0</v>
      </c>
      <c r="U909" s="478">
        <f>база!$M$5</f>
        <v>247.41720000000001</v>
      </c>
      <c r="V909" s="390">
        <v>1</v>
      </c>
      <c r="W909" s="412">
        <f>SUMIFS(Таблица1[Столбец1],Таблица1[коэф],"1",Таблица1[р/р],"4/24",Таблица1[Ф. И. О.],B913)</f>
        <v>0</v>
      </c>
      <c r="X909" s="492">
        <f t="shared" si="311"/>
        <v>0</v>
      </c>
      <c r="Y909" s="795"/>
      <c r="Z909" s="797"/>
      <c r="AA909" s="786"/>
    </row>
    <row r="910" spans="1:29" ht="18.75" customHeight="1">
      <c r="A910" s="786"/>
      <c r="B910" s="216"/>
      <c r="C910" s="789"/>
      <c r="D910" s="792"/>
      <c r="E910" s="389"/>
      <c r="F910" s="390"/>
      <c r="G910" s="544"/>
      <c r="H910" s="694">
        <f t="shared" ref="H910:H918" si="317">ROUND(E910*F910*G910*2,2)</f>
        <v>0</v>
      </c>
      <c r="I910" s="432"/>
      <c r="J910" s="433"/>
      <c r="K910" s="434"/>
      <c r="L910" s="484">
        <f t="shared" si="309"/>
        <v>0</v>
      </c>
      <c r="M910" s="434"/>
      <c r="N910" s="434"/>
      <c r="O910" s="434"/>
      <c r="P910" s="406"/>
      <c r="Q910" s="389">
        <f>база!$L$6</f>
        <v>261.04640000000001</v>
      </c>
      <c r="R910" s="390">
        <v>1</v>
      </c>
      <c r="S910" s="400">
        <f>SUMIFS(Таблица1[Столбец1],Таблица1[коэф],"1",Таблица1[р/р],"5/16",Таблица1[Ф. И. О.],B913)</f>
        <v>0</v>
      </c>
      <c r="T910" s="492">
        <f t="shared" si="310"/>
        <v>0</v>
      </c>
      <c r="U910" s="478">
        <f>база!$M$6</f>
        <v>279.0496</v>
      </c>
      <c r="V910" s="390">
        <v>1</v>
      </c>
      <c r="W910" s="412">
        <f>SUMIFS(Таблица1[Столбец1],Таблица1[коэф],"1",Таблица1[р/р],"5/24",Таблица1[Ф. И. О.],B913)</f>
        <v>0</v>
      </c>
      <c r="X910" s="492">
        <f t="shared" si="311"/>
        <v>0</v>
      </c>
      <c r="Y910" s="795"/>
      <c r="Z910" s="797"/>
      <c r="AA910" s="786"/>
    </row>
    <row r="911" spans="1:29" ht="18.75" customHeight="1">
      <c r="A911" s="786"/>
      <c r="B911" s="216"/>
      <c r="C911" s="789"/>
      <c r="D911" s="792"/>
      <c r="E911" s="389"/>
      <c r="F911" s="390"/>
      <c r="G911" s="544"/>
      <c r="H911" s="694">
        <f t="shared" si="317"/>
        <v>0</v>
      </c>
      <c r="I911" s="432">
        <f>база!$J$5</f>
        <v>215.4924</v>
      </c>
      <c r="J911" s="433">
        <v>1.5</v>
      </c>
      <c r="K911" s="434">
        <f>SUMIFS(Таблица1[Столбец1],Таблица1[коэф],"1,5",Таблица1[р/р],"4/8",Таблица1[Ф. И. О.],B913)</f>
        <v>0</v>
      </c>
      <c r="L911" s="484">
        <f t="shared" si="309"/>
        <v>0</v>
      </c>
      <c r="M911" s="434"/>
      <c r="N911" s="434"/>
      <c r="O911" s="434"/>
      <c r="P911" s="406"/>
      <c r="Q911" s="389" t="e">
        <f>IF(D908&lt;=3,база!$L$4,
IF(D908=4,база!$L$5,
IF(D908=5,база!$L$6)))</f>
        <v>#N/A</v>
      </c>
      <c r="R911" s="390">
        <v>1.2</v>
      </c>
      <c r="S911" s="400">
        <f>SUMIFS(Таблица1[Столбец1],Таблица1[коэф],"1,2",Таблица1[р/р],"3/16",Таблица1[Ф. И. О.],B913)</f>
        <v>0</v>
      </c>
      <c r="T911" s="492" t="e">
        <f t="shared" si="310"/>
        <v>#N/A</v>
      </c>
      <c r="U911" s="478" t="e">
        <f>IF(D908&lt;=3,база!$M$4,
IF(D908=4,база!$M$5,
IF(D908=5,база!$M$6)))</f>
        <v>#N/A</v>
      </c>
      <c r="V911" s="390">
        <v>1.2</v>
      </c>
      <c r="W911" s="412">
        <f>SUMIFS(Таблица1[Столбец1],Таблица1[коэф],"1,2",Таблица1[р/р],"3/24",Таблица1[Ф. И. О.],B913)</f>
        <v>0</v>
      </c>
      <c r="X911" s="492" t="e">
        <f t="shared" si="311"/>
        <v>#N/A</v>
      </c>
      <c r="Y911" s="795"/>
      <c r="Z911" s="797"/>
      <c r="AA911" s="786"/>
    </row>
    <row r="912" spans="1:29" ht="18.75" customHeight="1">
      <c r="A912" s="786"/>
      <c r="B912" s="216"/>
      <c r="C912" s="789"/>
      <c r="D912" s="792"/>
      <c r="E912" s="389"/>
      <c r="F912" s="390"/>
      <c r="G912" s="544"/>
      <c r="H912" s="694">
        <f t="shared" si="317"/>
        <v>0</v>
      </c>
      <c r="I912" s="432">
        <f>база!$J$6</f>
        <v>243.04319999999998</v>
      </c>
      <c r="J912" s="433">
        <v>1.5</v>
      </c>
      <c r="K912" s="434">
        <f>SUMIFS(Таблица1[Столбец1],Таблица1[коэф],"1,5",Таблица1[р/р],"5/8",Таблица1[Ф. И. О.],B913)</f>
        <v>0</v>
      </c>
      <c r="L912" s="484">
        <f t="shared" si="309"/>
        <v>0</v>
      </c>
      <c r="M912" s="434"/>
      <c r="N912" s="434"/>
      <c r="O912" s="434"/>
      <c r="P912" s="406"/>
      <c r="Q912" s="389">
        <f>база!$L$5</f>
        <v>231.45480000000001</v>
      </c>
      <c r="R912" s="390">
        <v>1.2</v>
      </c>
      <c r="S912" s="400">
        <f>SUMIFS(Таблица1[Столбец1],Таблица1[коэф],"1,2",Таблица1[р/р],"4/16",Таблица1[Ф. И. О.],B913)</f>
        <v>0</v>
      </c>
      <c r="T912" s="492">
        <f t="shared" si="310"/>
        <v>0</v>
      </c>
      <c r="U912" s="478">
        <f>база!$M$5</f>
        <v>247.41720000000001</v>
      </c>
      <c r="V912" s="390">
        <v>1.2</v>
      </c>
      <c r="W912" s="412">
        <f>SUMIFS(Таблица1[Столбец1],Таблица1[коэф],"1,2",Таблица1[р/р],"4/24",Таблица1[Ф. И. О.],B913)</f>
        <v>0</v>
      </c>
      <c r="X912" s="492">
        <f t="shared" si="311"/>
        <v>0</v>
      </c>
      <c r="Y912" s="795"/>
      <c r="Z912" s="797"/>
      <c r="AA912" s="786"/>
    </row>
    <row r="913" spans="1:29" ht="18.75" customHeight="1">
      <c r="A913" s="786"/>
      <c r="B913" s="216">
        <f>база!B84</f>
        <v>0</v>
      </c>
      <c r="C913" s="789"/>
      <c r="D913" s="792"/>
      <c r="E913" s="389"/>
      <c r="F913" s="390"/>
      <c r="G913" s="544"/>
      <c r="H913" s="694">
        <f t="shared" si="317"/>
        <v>0</v>
      </c>
      <c r="I913" s="432"/>
      <c r="J913" s="433"/>
      <c r="K913" s="434"/>
      <c r="L913" s="484">
        <f t="shared" si="309"/>
        <v>0</v>
      </c>
      <c r="M913" s="434"/>
      <c r="N913" s="434"/>
      <c r="O913" s="434"/>
      <c r="P913" s="406"/>
      <c r="Q913" s="389">
        <f>база!$L$6</f>
        <v>261.04640000000001</v>
      </c>
      <c r="R913" s="390">
        <v>1.2</v>
      </c>
      <c r="S913" s="400">
        <f>SUMIFS(Таблица1[Столбец1],Таблица1[коэф],"1,2",Таблица1[р/р],"5/16",Таблица1[Ф. И. О.],B913)</f>
        <v>0</v>
      </c>
      <c r="T913" s="492">
        <f t="shared" si="310"/>
        <v>0</v>
      </c>
      <c r="U913" s="478">
        <f>база!$M$6</f>
        <v>279.0496</v>
      </c>
      <c r="V913" s="390">
        <v>1.2</v>
      </c>
      <c r="W913" s="412">
        <f>SUMIFS(Таблица1[Столбец1],Таблица1[коэф],"1,2",Таблица1[р/р],"5/24",Таблица1[Ф. И. О.],B913)</f>
        <v>0</v>
      </c>
      <c r="X913" s="492">
        <f t="shared" si="311"/>
        <v>0</v>
      </c>
      <c r="Y913" s="795"/>
      <c r="Z913" s="797"/>
      <c r="AA913" s="786"/>
      <c r="AC913" s="727" t="e">
        <f>IF(SUMIFS(Таблица1[Столбец3],Таблица1[Ф. И. О.],B913)-Z908=0,"",SUMIFS(Таблица1[Столбец3],Таблица1[Ф. И. О.],B913)-Z908)</f>
        <v>#VALUE!</v>
      </c>
    </row>
    <row r="914" spans="1:29" ht="18.75" customHeight="1">
      <c r="A914" s="786"/>
      <c r="B914" s="216"/>
      <c r="C914" s="789"/>
      <c r="D914" s="792"/>
      <c r="E914" s="389"/>
      <c r="F914" s="390"/>
      <c r="G914" s="544"/>
      <c r="H914" s="694">
        <f t="shared" si="317"/>
        <v>0</v>
      </c>
      <c r="I914" s="432"/>
      <c r="J914" s="433"/>
      <c r="K914" s="434"/>
      <c r="L914" s="484">
        <f t="shared" si="309"/>
        <v>0</v>
      </c>
      <c r="M914" s="434"/>
      <c r="N914" s="434"/>
      <c r="O914" s="434"/>
      <c r="P914" s="406"/>
      <c r="Q914" s="389">
        <f>IF($D$6&lt;=3,база!$L$4,
IF($D$6=4,база!$L$5,
IF($D$6=5,база!$L$6)))</f>
        <v>231.45480000000001</v>
      </c>
      <c r="R914" s="390">
        <v>1.3</v>
      </c>
      <c r="S914" s="400">
        <f>SUMIFS(Таблица1[Столбец1],Таблица1[коэф],"1,3",Таблица1[р/р],"3/16",Таблица1[Ф. И. О.],B913)</f>
        <v>0</v>
      </c>
      <c r="T914" s="492">
        <f t="shared" si="310"/>
        <v>0</v>
      </c>
      <c r="U914" s="478" t="e">
        <f>IF(D908&lt;=3,база!$M$4,
IF(D908=4,база!$M$5,
IF(D908=5,база!$M$6)))</f>
        <v>#N/A</v>
      </c>
      <c r="V914" s="390">
        <v>1.3</v>
      </c>
      <c r="W914" s="412">
        <f>SUMIFS(Таблица1[Столбец1],Таблица1[коэф],"1,3",Таблица1[р/р],"3/24",Таблица1[Ф. И. О.],B913)</f>
        <v>0</v>
      </c>
      <c r="X914" s="492" t="e">
        <f t="shared" si="311"/>
        <v>#N/A</v>
      </c>
      <c r="Y914" s="795"/>
      <c r="Z914" s="797"/>
      <c r="AA914" s="786"/>
      <c r="AC914" s="727" t="str">
        <f>IF(SUMIFS(Таблица1[Столбец1],Таблица1[Ф. И. О.],B913)=Y908,"",B913&amp;"  часы не верны")</f>
        <v/>
      </c>
    </row>
    <row r="915" spans="1:29" ht="18.75" customHeight="1">
      <c r="A915" s="786"/>
      <c r="B915" s="216"/>
      <c r="C915" s="789"/>
      <c r="D915" s="792"/>
      <c r="E915" s="389"/>
      <c r="F915" s="390"/>
      <c r="G915" s="544"/>
      <c r="H915" s="694">
        <f t="shared" si="317"/>
        <v>0</v>
      </c>
      <c r="I915" s="432"/>
      <c r="J915" s="433"/>
      <c r="K915" s="434"/>
      <c r="L915" s="484">
        <f t="shared" si="309"/>
        <v>0</v>
      </c>
      <c r="M915" s="434"/>
      <c r="N915" s="434"/>
      <c r="O915" s="434"/>
      <c r="P915" s="406"/>
      <c r="Q915" s="389">
        <f>база!$L$5</f>
        <v>231.45480000000001</v>
      </c>
      <c r="R915" s="390">
        <v>1.3</v>
      </c>
      <c r="S915" s="400">
        <f>SUMIFS(Таблица1[Столбец1],Таблица1[коэф],"1,3",Таблица1[р/р],"4/16",Таблица1[Ф. И. О.],B913)</f>
        <v>0</v>
      </c>
      <c r="T915" s="492">
        <f t="shared" si="310"/>
        <v>0</v>
      </c>
      <c r="U915" s="478">
        <f>база!$M$5</f>
        <v>247.41720000000001</v>
      </c>
      <c r="V915" s="390">
        <v>1.3</v>
      </c>
      <c r="W915" s="412">
        <f>SUMIFS(Таблица1[Столбец1],Таблица1[коэф],"1,3",Таблица1[р/р],"4/24",Таблица1[Ф. И. О.],B913)</f>
        <v>0</v>
      </c>
      <c r="X915" s="492">
        <f t="shared" si="311"/>
        <v>0</v>
      </c>
      <c r="Y915" s="795"/>
      <c r="Z915" s="797"/>
      <c r="AA915" s="786"/>
    </row>
    <row r="916" spans="1:29" ht="18.75" customHeight="1">
      <c r="A916" s="786"/>
      <c r="B916" s="216"/>
      <c r="C916" s="789"/>
      <c r="D916" s="792"/>
      <c r="E916" s="389"/>
      <c r="F916" s="390"/>
      <c r="G916" s="544"/>
      <c r="H916" s="694">
        <f t="shared" si="317"/>
        <v>0</v>
      </c>
      <c r="I916" s="432"/>
      <c r="J916" s="433"/>
      <c r="K916" s="434"/>
      <c r="L916" s="484">
        <f t="shared" si="309"/>
        <v>0</v>
      </c>
      <c r="M916" s="434"/>
      <c r="N916" s="434"/>
      <c r="O916" s="434"/>
      <c r="P916" s="406"/>
      <c r="Q916" s="389" t="e">
        <f>IF(D908&lt;=3,база!$L$4,
IF(D908=4,база!$L$5,
IF(D908=5,база!$L$6)))</f>
        <v>#N/A</v>
      </c>
      <c r="R916" s="390">
        <v>1.4</v>
      </c>
      <c r="S916" s="400">
        <f>SUMIFS(Таблица1[Столбец1],Таблица1[коэф],"1,4",Таблица1[р/р],"3/16",Таблица1[Ф. И. О.],B913)</f>
        <v>0</v>
      </c>
      <c r="T916" s="492" t="e">
        <f t="shared" si="310"/>
        <v>#N/A</v>
      </c>
      <c r="U916" s="478" t="e">
        <f>IF(D908&lt;=3,база!$M$4,
IF(D908=4,база!$M$5,
IF(D908=5,база!$M$6)))</f>
        <v>#N/A</v>
      </c>
      <c r="V916" s="390">
        <v>1.4</v>
      </c>
      <c r="W916" s="412">
        <f>SUMIFS(Таблица1[Столбец1],Таблица1[коэф],"1,4",Таблица1[р/р],"3/24",Таблица1[Ф. И. О.],B913)</f>
        <v>0</v>
      </c>
      <c r="X916" s="492" t="e">
        <f t="shared" si="311"/>
        <v>#N/A</v>
      </c>
      <c r="Y916" s="795"/>
      <c r="Z916" s="797"/>
      <c r="AA916" s="786"/>
    </row>
    <row r="917" spans="1:29" ht="18.75" customHeight="1">
      <c r="A917" s="786"/>
      <c r="B917" s="216"/>
      <c r="C917" s="789"/>
      <c r="D917" s="792"/>
      <c r="E917" s="389"/>
      <c r="F917" s="390"/>
      <c r="G917" s="544"/>
      <c r="H917" s="694">
        <f t="shared" si="317"/>
        <v>0</v>
      </c>
      <c r="I917" s="432"/>
      <c r="J917" s="433"/>
      <c r="K917" s="434"/>
      <c r="L917" s="484">
        <f t="shared" si="309"/>
        <v>0</v>
      </c>
      <c r="M917" s="434"/>
      <c r="N917" s="434"/>
      <c r="O917" s="434"/>
      <c r="P917" s="406"/>
      <c r="Q917" s="389">
        <f>база!$L$5</f>
        <v>231.45480000000001</v>
      </c>
      <c r="R917" s="390">
        <v>1.4</v>
      </c>
      <c r="S917" s="400">
        <f>SUMIFS(Таблица1[Столбец1],Таблица1[коэф],"1,4",Таблица1[р/р],"4/16",Таблица1[Ф. И. О.],B913)</f>
        <v>0</v>
      </c>
      <c r="T917" s="492">
        <f t="shared" si="310"/>
        <v>0</v>
      </c>
      <c r="U917" s="478">
        <f>база!$M$5</f>
        <v>247.41720000000001</v>
      </c>
      <c r="V917" s="390">
        <v>1.4</v>
      </c>
      <c r="W917" s="412">
        <f>SUMIFS(Таблица1[Столбец1],Таблица1[коэф],"1,4",Таблица1[р/р],"4/24",Таблица1[Ф. И. О.],B913)</f>
        <v>0</v>
      </c>
      <c r="X917" s="492">
        <f t="shared" si="311"/>
        <v>0</v>
      </c>
      <c r="Y917" s="795"/>
      <c r="Z917" s="797"/>
      <c r="AA917" s="786"/>
    </row>
    <row r="918" spans="1:29" ht="19.5" customHeight="1" thickBot="1">
      <c r="A918" s="787"/>
      <c r="B918" s="352"/>
      <c r="C918" s="790"/>
      <c r="D918" s="793"/>
      <c r="E918" s="481"/>
      <c r="F918" s="417"/>
      <c r="G918" s="691"/>
      <c r="H918" s="695">
        <f t="shared" si="317"/>
        <v>0</v>
      </c>
      <c r="I918" s="654"/>
      <c r="J918" s="617"/>
      <c r="K918" s="655"/>
      <c r="L918" s="537">
        <f t="shared" si="309"/>
        <v>0</v>
      </c>
      <c r="M918" s="654"/>
      <c r="N918" s="655"/>
      <c r="O918" s="655"/>
      <c r="P918" s="538"/>
      <c r="Q918" s="656">
        <f>база!$L$6</f>
        <v>261.04640000000001</v>
      </c>
      <c r="R918" s="446">
        <v>1.4</v>
      </c>
      <c r="S918" s="447">
        <f>SUMIFS(Таблица1[Столбец1],Таблица1[коэф],"1,4",Таблица1[р/р],"5/16",Таблица1[Ф. И. О.],B913)</f>
        <v>0</v>
      </c>
      <c r="T918" s="696">
        <f t="shared" si="310"/>
        <v>0</v>
      </c>
      <c r="U918" s="536">
        <f>база!$M$6</f>
        <v>279.0496</v>
      </c>
      <c r="V918" s="464">
        <v>1.4</v>
      </c>
      <c r="W918" s="447">
        <f>SUMIFS(Таблица1[Столбец1],Таблица1[коэф],"1,4",Таблица1[р/р],"5/24",Таблица1[Ф. И. О.],B913)</f>
        <v>0</v>
      </c>
      <c r="X918" s="696">
        <f t="shared" si="311"/>
        <v>0</v>
      </c>
      <c r="Y918" s="796"/>
      <c r="Z918" s="798"/>
      <c r="AA918" s="787"/>
    </row>
    <row r="919" spans="1:29" ht="18.75" customHeight="1">
      <c r="A919" s="785">
        <v>84</v>
      </c>
      <c r="B919" s="216"/>
      <c r="C919" s="788" t="e">
        <f>INDEX(база!$E$2:$E$181, MATCH(B924,база!$B$2:$B$160,0))</f>
        <v>#N/A</v>
      </c>
      <c r="D919" s="791" t="e">
        <f>INDEX(база!$D$2:$D$189, MATCH(B924,база!$B$2:$B$160,0))</f>
        <v>#N/A</v>
      </c>
      <c r="E919" s="377" t="e">
        <f>IF(D919&lt;=3,база!$I$4,
IF(D919=4,база!$I$5,
IF(D919=5,база!$I$6)))</f>
        <v>#N/A</v>
      </c>
      <c r="F919" s="378">
        <v>1</v>
      </c>
      <c r="G919" s="387">
        <f>SUMIFS(Таблица1[Столбец1],Таблица1[коэф],"1",Таблица1[р/р],"2/4",Таблица1[Ф. И. О.],B924)</f>
        <v>0</v>
      </c>
      <c r="H919" s="402" t="e">
        <f t="shared" si="307"/>
        <v>#N/A</v>
      </c>
      <c r="I919" s="452" t="e">
        <f>IF(D919&lt;=3,база!$J$4,
IF(D919=4,база!$J$5,
IF(D919=5,база!$J$6)))</f>
        <v>#N/A</v>
      </c>
      <c r="J919" s="475">
        <v>1</v>
      </c>
      <c r="K919" s="453">
        <f>SUMIFS(Таблица1[Столбец1],Таблица1[коэф],"1",Таблица1[р/р],"2/8",Таблица1[Ф. И. О.],B924)</f>
        <v>0</v>
      </c>
      <c r="L919" s="484" t="e">
        <f t="shared" si="260"/>
        <v>#N/A</v>
      </c>
      <c r="M919" s="453"/>
      <c r="N919" s="453">
        <v>1</v>
      </c>
      <c r="O919" s="453">
        <f>SUMIFS(Data_Tech!$AM$3:$AM$67,Data_Tech!$E$3:$E$67,"1",Data_Tech!$G$3:$G$67,"3/12",Data_Tech!$F$3:$F$67,B924)</f>
        <v>0</v>
      </c>
      <c r="P919" s="398">
        <f>ROUND(M919*N919*O919,2)</f>
        <v>0</v>
      </c>
      <c r="Q919" s="481" t="e">
        <f>IF(D919&lt;=3,база!$L$4,
IF(D919=4,база!$L$5,
IF(D919=5,база!$L$6)))</f>
        <v>#N/A</v>
      </c>
      <c r="R919" s="417">
        <v>1</v>
      </c>
      <c r="S919" s="418">
        <f>SUMIFS(Таблица1[Столбец1],Таблица1[коэф],"1",Таблица1[р/р],"3/16",Таблица1[Ф. И. О.],B924)</f>
        <v>0</v>
      </c>
      <c r="T919" s="492" t="e">
        <f t="shared" si="261"/>
        <v>#N/A</v>
      </c>
      <c r="U919" s="483" t="e">
        <f>IF(D919&lt;=3,база!$M$4,
IF(D919=4,база!$M$5,
IF(D919=5,база!$M$6)))</f>
        <v>#N/A</v>
      </c>
      <c r="V919" s="417">
        <v>1</v>
      </c>
      <c r="W919" s="455">
        <f>SUMIFS(Таблица1[Столбец1],Таблица1[коэф],"1",Таблица1[р/р],"3/24",Таблица1[Ф. И. О.],B924)</f>
        <v>0</v>
      </c>
      <c r="X919" s="492" t="e">
        <f t="shared" si="262"/>
        <v>#N/A</v>
      </c>
      <c r="Y919" s="795">
        <f t="shared" ref="Y919" si="318">SUM(G919:G929,K919:K929,O919:O929,S919:S929,W919:W929)</f>
        <v>0</v>
      </c>
      <c r="Z919" s="797" t="str">
        <f t="shared" si="264"/>
        <v/>
      </c>
      <c r="AA919" s="786"/>
    </row>
    <row r="920" spans="1:29" ht="18.75" customHeight="1">
      <c r="A920" s="786"/>
      <c r="B920" s="216"/>
      <c r="C920" s="789"/>
      <c r="D920" s="792"/>
      <c r="E920" s="389" t="e">
        <f>IF(D919&lt;=3,база!$I$4,
IF(D919=4,база!$I$5,
IF(D919=5,база!$I$6)))</f>
        <v>#N/A</v>
      </c>
      <c r="F920" s="390">
        <v>1</v>
      </c>
      <c r="G920" s="400">
        <f>SUMIFS(Таблица1[Столбец1],Таблица1[коэф],"1",Таблица1[р/р],"3/4",Таблица1[Ф. И. О.],B924)</f>
        <v>0</v>
      </c>
      <c r="H920" s="392" t="e">
        <f>ROUND(E920*F920*G920*2,2)</f>
        <v>#N/A</v>
      </c>
      <c r="I920" s="432" t="e">
        <f>IF(D919&lt;=3,база!$J$4,
IF(D919=4,база!$J$5,
IF(D919=5,база!$J$6)))</f>
        <v>#N/A</v>
      </c>
      <c r="J920" s="433">
        <v>1</v>
      </c>
      <c r="K920" s="434">
        <f>SUMIFS(Таблица1[Столбец1],Таблица1[коэф],"1",Таблица1[р/р],"3/8",Таблица1[Ф. И. О.],B924)</f>
        <v>0</v>
      </c>
      <c r="L920" s="484" t="e">
        <f t="shared" si="260"/>
        <v>#N/A</v>
      </c>
      <c r="M920" s="434"/>
      <c r="N920" s="434">
        <v>1</v>
      </c>
      <c r="O920" s="434">
        <f>SUMIFS(Data_Tech!$AM$3:$AM$67,Data_Tech!$E$3:$E$67,"1",Data_Tech!$G$3:$G$67,"4/12",Data_Tech!$F$3:$F$67,B924)</f>
        <v>0</v>
      </c>
      <c r="P920" s="406">
        <f>ROUND(M920*O920,2)</f>
        <v>0</v>
      </c>
      <c r="Q920" s="389">
        <f>база!$L$5</f>
        <v>231.45480000000001</v>
      </c>
      <c r="R920" s="390">
        <v>1</v>
      </c>
      <c r="S920" s="400">
        <f>SUMIFS(Таблица1[Столбец1],Таблица1[коэф],"1",Таблица1[р/р],"4/16",Таблица1[Ф. И. О.],B924)</f>
        <v>0</v>
      </c>
      <c r="T920" s="492">
        <f t="shared" si="261"/>
        <v>0</v>
      </c>
      <c r="U920" s="478">
        <f>база!$M$5</f>
        <v>247.41720000000001</v>
      </c>
      <c r="V920" s="390">
        <v>1</v>
      </c>
      <c r="W920" s="412">
        <f>SUMIFS(Таблица1[Столбец1],Таблица1[коэф],"1",Таблица1[р/р],"4/24",Таблица1[Ф. И. О.],B924)</f>
        <v>0</v>
      </c>
      <c r="X920" s="492">
        <f t="shared" si="262"/>
        <v>0</v>
      </c>
      <c r="Y920" s="795"/>
      <c r="Z920" s="797"/>
      <c r="AA920" s="786"/>
    </row>
    <row r="921" spans="1:29" ht="18.75" customHeight="1">
      <c r="A921" s="786"/>
      <c r="B921" s="216"/>
      <c r="C921" s="789"/>
      <c r="D921" s="792"/>
      <c r="E921" s="389"/>
      <c r="F921" s="390"/>
      <c r="G921" s="400"/>
      <c r="H921" s="392">
        <f t="shared" ref="H921:H930" si="319">ROUND(E921*F921*G921*2,2)</f>
        <v>0</v>
      </c>
      <c r="I921" s="432"/>
      <c r="J921" s="433"/>
      <c r="K921" s="434"/>
      <c r="L921" s="484">
        <f t="shared" si="260"/>
        <v>0</v>
      </c>
      <c r="M921" s="434"/>
      <c r="N921" s="434"/>
      <c r="O921" s="434"/>
      <c r="P921" s="406"/>
      <c r="Q921" s="389">
        <f>база!$L$6</f>
        <v>261.04640000000001</v>
      </c>
      <c r="R921" s="390">
        <v>1</v>
      </c>
      <c r="S921" s="400">
        <f>SUMIFS(Таблица1[Столбец1],Таблица1[коэф],"1",Таблица1[р/р],"5/16",Таблица1[Ф. И. О.],B924)</f>
        <v>0</v>
      </c>
      <c r="T921" s="492">
        <f t="shared" si="261"/>
        <v>0</v>
      </c>
      <c r="U921" s="478">
        <f>база!$M$6</f>
        <v>279.0496</v>
      </c>
      <c r="V921" s="390">
        <v>1</v>
      </c>
      <c r="W921" s="412">
        <f>SUMIFS(Таблица1[Столбец1],Таблица1[коэф],"1",Таблица1[р/р],"5/24",Таблица1[Ф. И. О.],B924)</f>
        <v>0</v>
      </c>
      <c r="X921" s="492">
        <f t="shared" si="262"/>
        <v>0</v>
      </c>
      <c r="Y921" s="795"/>
      <c r="Z921" s="797"/>
      <c r="AA921" s="786"/>
    </row>
    <row r="922" spans="1:29" ht="18.75" customHeight="1">
      <c r="A922" s="786"/>
      <c r="B922" s="216"/>
      <c r="C922" s="789"/>
      <c r="D922" s="792"/>
      <c r="E922" s="389"/>
      <c r="F922" s="390"/>
      <c r="G922" s="400"/>
      <c r="H922" s="392">
        <f t="shared" si="319"/>
        <v>0</v>
      </c>
      <c r="I922" s="432">
        <f>база!$J$5</f>
        <v>215.4924</v>
      </c>
      <c r="J922" s="433">
        <v>1.5</v>
      </c>
      <c r="K922" s="434">
        <f>SUMIFS(Таблица1[Столбец1],Таблица1[коэф],"1,5",Таблица1[р/р],"4/8",Таблица1[Ф. И. О.],B924)</f>
        <v>0</v>
      </c>
      <c r="L922" s="484">
        <f t="shared" si="260"/>
        <v>0</v>
      </c>
      <c r="M922" s="434"/>
      <c r="N922" s="434"/>
      <c r="O922" s="434"/>
      <c r="P922" s="406"/>
      <c r="Q922" s="389" t="e">
        <f>IF(D919&lt;=3,база!$L$4,
IF(D919=4,база!$L$5,
IF(D919=5,база!$L$6)))</f>
        <v>#N/A</v>
      </c>
      <c r="R922" s="390">
        <v>1.2</v>
      </c>
      <c r="S922" s="400">
        <f>SUMIFS(Таблица1[Столбец1],Таблица1[коэф],"1,2",Таблица1[р/р],"3/16",Таблица1[Ф. И. О.],B924)</f>
        <v>0</v>
      </c>
      <c r="T922" s="492" t="e">
        <f t="shared" si="261"/>
        <v>#N/A</v>
      </c>
      <c r="U922" s="478" t="e">
        <f>IF(D919&lt;=3,база!$M$4,
IF(D919=4,база!$M$5,
IF(D919=5,база!$M$6)))</f>
        <v>#N/A</v>
      </c>
      <c r="V922" s="390">
        <v>1.2</v>
      </c>
      <c r="W922" s="412">
        <f>SUMIFS(Таблица1[Столбец1],Таблица1[коэф],"1,2",Таблица1[р/р],"3/24",Таблица1[Ф. И. О.],B924)</f>
        <v>0</v>
      </c>
      <c r="X922" s="492" t="e">
        <f t="shared" si="262"/>
        <v>#N/A</v>
      </c>
      <c r="Y922" s="795"/>
      <c r="Z922" s="797"/>
      <c r="AA922" s="786"/>
    </row>
    <row r="923" spans="1:29" ht="18.75" customHeight="1">
      <c r="A923" s="786"/>
      <c r="B923" s="216"/>
      <c r="C923" s="789"/>
      <c r="D923" s="792"/>
      <c r="E923" s="389"/>
      <c r="F923" s="390"/>
      <c r="G923" s="400"/>
      <c r="H923" s="392">
        <f t="shared" si="319"/>
        <v>0</v>
      </c>
      <c r="I923" s="432">
        <f>база!$J$6</f>
        <v>243.04319999999998</v>
      </c>
      <c r="J923" s="433">
        <v>1.5</v>
      </c>
      <c r="K923" s="434">
        <f>SUMIFS(Таблица1[Столбец1],Таблица1[коэф],"1,5",Таблица1[р/р],"5/8",Таблица1[Ф. И. О.],B924)</f>
        <v>0</v>
      </c>
      <c r="L923" s="484">
        <f t="shared" si="260"/>
        <v>0</v>
      </c>
      <c r="M923" s="434"/>
      <c r="N923" s="434"/>
      <c r="O923" s="434"/>
      <c r="P923" s="406"/>
      <c r="Q923" s="389">
        <f>база!$L$5</f>
        <v>231.45480000000001</v>
      </c>
      <c r="R923" s="390">
        <v>1.2</v>
      </c>
      <c r="S923" s="400">
        <f>SUMIFS(Таблица1[Столбец1],Таблица1[коэф],"1,2",Таблица1[р/р],"4/16",Таблица1[Ф. И. О.],B924)</f>
        <v>0</v>
      </c>
      <c r="T923" s="492">
        <f t="shared" si="261"/>
        <v>0</v>
      </c>
      <c r="U923" s="478">
        <f>база!$M$5</f>
        <v>247.41720000000001</v>
      </c>
      <c r="V923" s="390">
        <v>1.2</v>
      </c>
      <c r="W923" s="412">
        <f>SUMIFS(Таблица1[Столбец1],Таблица1[коэф],"1,2",Таблица1[р/р],"4/24",Таблица1[Ф. И. О.],B924)</f>
        <v>0</v>
      </c>
      <c r="X923" s="492">
        <f t="shared" si="262"/>
        <v>0</v>
      </c>
      <c r="Y923" s="795"/>
      <c r="Z923" s="797"/>
      <c r="AA923" s="786"/>
    </row>
    <row r="924" spans="1:29" ht="18.75" customHeight="1">
      <c r="A924" s="786"/>
      <c r="B924" s="216">
        <f>база!B85</f>
        <v>0</v>
      </c>
      <c r="C924" s="789"/>
      <c r="D924" s="792"/>
      <c r="E924" s="389"/>
      <c r="F924" s="390"/>
      <c r="G924" s="400"/>
      <c r="H924" s="392">
        <f t="shared" si="319"/>
        <v>0</v>
      </c>
      <c r="I924" s="432"/>
      <c r="J924" s="433"/>
      <c r="K924" s="434"/>
      <c r="L924" s="484">
        <f t="shared" si="260"/>
        <v>0</v>
      </c>
      <c r="M924" s="434"/>
      <c r="N924" s="434"/>
      <c r="O924" s="434"/>
      <c r="P924" s="406"/>
      <c r="Q924" s="389">
        <f>база!$L$6</f>
        <v>261.04640000000001</v>
      </c>
      <c r="R924" s="390">
        <v>1.2</v>
      </c>
      <c r="S924" s="400">
        <f>SUMIFS(Таблица1[Столбец1],Таблица1[коэф],"1,2",Таблица1[р/р],"5/16",Таблица1[Ф. И. О.],B924)</f>
        <v>0</v>
      </c>
      <c r="T924" s="492">
        <f t="shared" si="261"/>
        <v>0</v>
      </c>
      <c r="U924" s="478">
        <f>база!$M$6</f>
        <v>279.0496</v>
      </c>
      <c r="V924" s="390">
        <v>1.2</v>
      </c>
      <c r="W924" s="412">
        <f>SUMIFS(Таблица1[Столбец1],Таблица1[коэф],"1,2",Таблица1[р/р],"5/24",Таблица1[Ф. И. О.],B924)</f>
        <v>0</v>
      </c>
      <c r="X924" s="492">
        <f t="shared" si="262"/>
        <v>0</v>
      </c>
      <c r="Y924" s="795"/>
      <c r="Z924" s="797"/>
      <c r="AA924" s="786"/>
      <c r="AC924" s="727" t="e">
        <f>IF(SUMIFS(Таблица1[Столбец3],Таблица1[Ф. И. О.],B924)-Z919=0,"",SUMIFS(Таблица1[Столбец3],Таблица1[Ф. И. О.],B924)-Z919)</f>
        <v>#VALUE!</v>
      </c>
    </row>
    <row r="925" spans="1:29" ht="18.75" customHeight="1">
      <c r="A925" s="786"/>
      <c r="B925" s="216"/>
      <c r="C925" s="789"/>
      <c r="D925" s="792"/>
      <c r="E925" s="389"/>
      <c r="F925" s="390"/>
      <c r="G925" s="400"/>
      <c r="H925" s="392">
        <f t="shared" si="319"/>
        <v>0</v>
      </c>
      <c r="I925" s="432"/>
      <c r="J925" s="433"/>
      <c r="K925" s="434"/>
      <c r="L925" s="484">
        <f t="shared" si="260"/>
        <v>0</v>
      </c>
      <c r="M925" s="434"/>
      <c r="N925" s="434"/>
      <c r="O925" s="434"/>
      <c r="P925" s="406"/>
      <c r="Q925" s="389">
        <f>IF($D$6&lt;=3,база!$L$4,
IF($D$6=4,база!$L$5,
IF($D$6=5,база!$L$6)))</f>
        <v>231.45480000000001</v>
      </c>
      <c r="R925" s="390">
        <v>1.3</v>
      </c>
      <c r="S925" s="400">
        <f>SUMIFS(Таблица1[Столбец1],Таблица1[коэф],"1,3",Таблица1[р/р],"3/16",Таблица1[Ф. И. О.],B924)</f>
        <v>0</v>
      </c>
      <c r="T925" s="492">
        <f t="shared" si="261"/>
        <v>0</v>
      </c>
      <c r="U925" s="478" t="e">
        <f>IF(D919&lt;=3,база!$M$4,
IF(D919=4,база!$M$5,
IF(D919=5,база!$M$6)))</f>
        <v>#N/A</v>
      </c>
      <c r="V925" s="390">
        <v>1.3</v>
      </c>
      <c r="W925" s="412">
        <f>SUMIFS(Таблица1[Столбец1],Таблица1[коэф],"1,3",Таблица1[р/р],"3/24",Таблица1[Ф. И. О.],B924)</f>
        <v>0</v>
      </c>
      <c r="X925" s="492" t="e">
        <f t="shared" si="262"/>
        <v>#N/A</v>
      </c>
      <c r="Y925" s="795"/>
      <c r="Z925" s="797"/>
      <c r="AA925" s="786"/>
      <c r="AC925" s="727" t="str">
        <f>IF(SUMIFS(Таблица1[Столбец1],Таблица1[Ф. И. О.],B924)=Y919,"",B924&amp;"  часы не верны")</f>
        <v/>
      </c>
    </row>
    <row r="926" spans="1:29" ht="18.75" customHeight="1">
      <c r="A926" s="786"/>
      <c r="B926" s="216"/>
      <c r="C926" s="789"/>
      <c r="D926" s="792"/>
      <c r="E926" s="389"/>
      <c r="F926" s="390"/>
      <c r="G926" s="400"/>
      <c r="H926" s="392">
        <f t="shared" si="319"/>
        <v>0</v>
      </c>
      <c r="I926" s="432"/>
      <c r="J926" s="433"/>
      <c r="K926" s="434"/>
      <c r="L926" s="484">
        <f t="shared" si="260"/>
        <v>0</v>
      </c>
      <c r="M926" s="434"/>
      <c r="N926" s="434"/>
      <c r="O926" s="434"/>
      <c r="P926" s="406"/>
      <c r="Q926" s="389">
        <f>база!$L$5</f>
        <v>231.45480000000001</v>
      </c>
      <c r="R926" s="390">
        <v>1.3</v>
      </c>
      <c r="S926" s="400">
        <f>SUMIFS(Таблица1[Столбец1],Таблица1[коэф],"1,3",Таблица1[р/р],"4/16",Таблица1[Ф. И. О.],B924)</f>
        <v>0</v>
      </c>
      <c r="T926" s="492">
        <f t="shared" si="261"/>
        <v>0</v>
      </c>
      <c r="U926" s="478">
        <f>база!$M$5</f>
        <v>247.41720000000001</v>
      </c>
      <c r="V926" s="390">
        <v>1.3</v>
      </c>
      <c r="W926" s="412">
        <f>SUMIFS(Таблица1[Столбец1],Таблица1[коэф],"1,3",Таблица1[р/р],"4/24",Таблица1[Ф. И. О.],B924)</f>
        <v>0</v>
      </c>
      <c r="X926" s="492">
        <f t="shared" si="262"/>
        <v>0</v>
      </c>
      <c r="Y926" s="795"/>
      <c r="Z926" s="797"/>
      <c r="AA926" s="786"/>
    </row>
    <row r="927" spans="1:29" ht="18.75" customHeight="1">
      <c r="A927" s="786"/>
      <c r="B927" s="216"/>
      <c r="C927" s="789"/>
      <c r="D927" s="792"/>
      <c r="E927" s="389"/>
      <c r="F927" s="390"/>
      <c r="G927" s="400"/>
      <c r="H927" s="392">
        <f t="shared" si="319"/>
        <v>0</v>
      </c>
      <c r="I927" s="432"/>
      <c r="J927" s="433"/>
      <c r="K927" s="434"/>
      <c r="L927" s="484">
        <f t="shared" si="260"/>
        <v>0</v>
      </c>
      <c r="M927" s="434"/>
      <c r="N927" s="434"/>
      <c r="O927" s="434"/>
      <c r="P927" s="406"/>
      <c r="Q927" s="389" t="e">
        <f>IF(D919&lt;=3,база!$L$4,
IF(D919=4,база!$L$5,
IF(D919=5,база!$L$6)))</f>
        <v>#N/A</v>
      </c>
      <c r="R927" s="390">
        <v>1.4</v>
      </c>
      <c r="S927" s="400">
        <f>SUMIFS(Таблица1[Столбец1],Таблица1[коэф],"1,4",Таблица1[р/р],"3/16",Таблица1[Ф. И. О.],B924)</f>
        <v>0</v>
      </c>
      <c r="T927" s="492" t="e">
        <f t="shared" si="261"/>
        <v>#N/A</v>
      </c>
      <c r="U927" s="478" t="e">
        <f>IF(D919&lt;=3,база!$M$4,
IF(D919=4,база!$M$5,
IF(D919=5,база!$M$6)))</f>
        <v>#N/A</v>
      </c>
      <c r="V927" s="390">
        <v>1.4</v>
      </c>
      <c r="W927" s="412">
        <f>SUMIFS(Таблица1[Столбец1],Таблица1[коэф],"1,4",Таблица1[р/р],"3/24",Таблица1[Ф. И. О.],B924)</f>
        <v>0</v>
      </c>
      <c r="X927" s="492" t="e">
        <f t="shared" si="262"/>
        <v>#N/A</v>
      </c>
      <c r="Y927" s="795"/>
      <c r="Z927" s="797"/>
      <c r="AA927" s="786"/>
    </row>
    <row r="928" spans="1:29" ht="18.75" customHeight="1">
      <c r="A928" s="786"/>
      <c r="B928" s="216"/>
      <c r="C928" s="789"/>
      <c r="D928" s="792"/>
      <c r="E928" s="389"/>
      <c r="F928" s="390"/>
      <c r="G928" s="400"/>
      <c r="H928" s="392">
        <f t="shared" si="319"/>
        <v>0</v>
      </c>
      <c r="I928" s="432"/>
      <c r="J928" s="433"/>
      <c r="K928" s="434"/>
      <c r="L928" s="484">
        <f t="shared" si="260"/>
        <v>0</v>
      </c>
      <c r="M928" s="434"/>
      <c r="N928" s="434"/>
      <c r="O928" s="434"/>
      <c r="P928" s="406"/>
      <c r="Q928" s="389">
        <f>база!$L$5</f>
        <v>231.45480000000001</v>
      </c>
      <c r="R928" s="390">
        <v>1.4</v>
      </c>
      <c r="S928" s="400">
        <f>SUMIFS(Таблица1[Столбец1],Таблица1[коэф],"1,4",Таблица1[р/р],"4/16",Таблица1[Ф. И. О.],B924)</f>
        <v>0</v>
      </c>
      <c r="T928" s="492">
        <f t="shared" si="261"/>
        <v>0</v>
      </c>
      <c r="U928" s="478">
        <f>база!$M$5</f>
        <v>247.41720000000001</v>
      </c>
      <c r="V928" s="390">
        <v>1.4</v>
      </c>
      <c r="W928" s="412">
        <f>SUMIFS(Таблица1[Столбец1],Таблица1[коэф],"1,4",Таблица1[р/р],"4/24",Таблица1[Ф. И. О.],B924)</f>
        <v>0</v>
      </c>
      <c r="X928" s="492">
        <f t="shared" si="262"/>
        <v>0</v>
      </c>
      <c r="Y928" s="795"/>
      <c r="Z928" s="797"/>
      <c r="AA928" s="786"/>
    </row>
    <row r="929" spans="1:29" ht="19.5" customHeight="1" thickBot="1">
      <c r="A929" s="787"/>
      <c r="B929" s="352"/>
      <c r="C929" s="790"/>
      <c r="D929" s="793"/>
      <c r="E929" s="481"/>
      <c r="F929" s="417"/>
      <c r="G929" s="486"/>
      <c r="H929" s="440">
        <f t="shared" si="319"/>
        <v>0</v>
      </c>
      <c r="I929" s="413"/>
      <c r="J929" s="604"/>
      <c r="K929" s="414"/>
      <c r="L929" s="532">
        <f t="shared" si="260"/>
        <v>0</v>
      </c>
      <c r="M929" s="413"/>
      <c r="N929" s="414"/>
      <c r="O929" s="414"/>
      <c r="P929" s="415"/>
      <c r="Q929" s="692">
        <f>база!$L$6</f>
        <v>261.04640000000001</v>
      </c>
      <c r="R929" s="438">
        <v>1.4</v>
      </c>
      <c r="S929" s="439">
        <f>SUMIFS(Таблица1[Столбец1],Таблица1[коэф],"1,4",Таблица1[р/р],"5/16",Таблица1[Ф. И. О.],B924)</f>
        <v>0</v>
      </c>
      <c r="T929" s="510">
        <f t="shared" si="261"/>
        <v>0</v>
      </c>
      <c r="U929" s="515">
        <f>база!$M$6</f>
        <v>279.0496</v>
      </c>
      <c r="V929" s="403">
        <v>1.4</v>
      </c>
      <c r="W929" s="439">
        <f>SUMIFS(Таблица1[Столбец1],Таблица1[коэф],"1,4",Таблица1[р/р],"5/24",Таблица1[Ф. И. О.],B924)</f>
        <v>0</v>
      </c>
      <c r="X929" s="510">
        <f t="shared" si="262"/>
        <v>0</v>
      </c>
      <c r="Y929" s="795"/>
      <c r="Z929" s="798"/>
      <c r="AA929" s="787"/>
    </row>
    <row r="930" spans="1:29" ht="18.75" customHeight="1">
      <c r="A930" s="785">
        <v>85</v>
      </c>
      <c r="B930" s="216"/>
      <c r="C930" s="788" t="e">
        <f>INDEX(база!$E$2:$E$181, MATCH(B935,база!$B$2:$B$160,0))</f>
        <v>#N/A</v>
      </c>
      <c r="D930" s="791" t="e">
        <f>INDEX(база!$D$2:$D$189, MATCH(B935,база!$B$2:$B$160,0))</f>
        <v>#N/A</v>
      </c>
      <c r="E930" s="377" t="e">
        <f>IF(D930&lt;=3,база!$I$4,
IF(D930=4,база!$I$5,
IF(D930=5,база!$I$6)))</f>
        <v>#N/A</v>
      </c>
      <c r="F930" s="378">
        <v>1</v>
      </c>
      <c r="G930" s="548">
        <f>SUMIFS(Таблица1[Столбец1],Таблица1[коэф],"1",Таблица1[р/р],"2/4",Таблица1[Ф. И. О.],B935)</f>
        <v>0</v>
      </c>
      <c r="H930" s="693" t="e">
        <f t="shared" si="319"/>
        <v>#N/A</v>
      </c>
      <c r="I930" s="426" t="e">
        <f>IF(D930&lt;=3,база!$J$4,
IF(D930=4,база!$J$5,
IF(D930=5,база!$J$6)))</f>
        <v>#N/A</v>
      </c>
      <c r="J930" s="427">
        <v>1</v>
      </c>
      <c r="K930" s="428">
        <f>SUMIFS(Таблица1[Столбец1],Таблица1[коэф],"1",Таблица1[р/р],"2/8",Таблица1[Ф. И. О.],B935)</f>
        <v>0</v>
      </c>
      <c r="L930" s="383" t="e">
        <f t="shared" si="260"/>
        <v>#N/A</v>
      </c>
      <c r="M930" s="428"/>
      <c r="N930" s="428">
        <v>1</v>
      </c>
      <c r="O930" s="428">
        <f>SUMIFS(Data_Tech!$AM$3:$AM$67,Data_Tech!$E$3:$E$67,"1",Data_Tech!$G$3:$G$67,"3/12",Data_Tech!$F$3:$F$67,B935)</f>
        <v>0</v>
      </c>
      <c r="P930" s="385">
        <f>ROUND(M930*N930*O930,2)</f>
        <v>0</v>
      </c>
      <c r="Q930" s="377" t="e">
        <f>IF(D930&lt;=3,база!$L$4,
IF(D930=4,база!$L$5,
IF(D930=5,база!$L$6)))</f>
        <v>#N/A</v>
      </c>
      <c r="R930" s="378">
        <v>1</v>
      </c>
      <c r="S930" s="387">
        <f>SUMIFS(Таблица1[Столбец1],Таблица1[коэф],"1",Таблица1[р/р],"3/16",Таблица1[Ф. И. О.],B935)</f>
        <v>0</v>
      </c>
      <c r="T930" s="490" t="e">
        <f t="shared" si="261"/>
        <v>#N/A</v>
      </c>
      <c r="U930" s="477" t="e">
        <f>IF(D930&lt;=3,база!$M$4,
IF(D930=4,база!$M$5,
IF(D930=5,база!$M$6)))</f>
        <v>#N/A</v>
      </c>
      <c r="V930" s="378">
        <v>1</v>
      </c>
      <c r="W930" s="430">
        <f>SUMIFS(Таблица1[Столбец1],Таблица1[коэф],"1",Таблица1[р/р],"3/24",Таблица1[Ф. И. О.],B935)</f>
        <v>0</v>
      </c>
      <c r="X930" s="490" t="e">
        <f t="shared" si="262"/>
        <v>#N/A</v>
      </c>
      <c r="Y930" s="794">
        <f t="shared" ref="Y930" si="320">SUM(G930:G940,K930:K940,O930:O940,S930:S940,W930:W940)</f>
        <v>0</v>
      </c>
      <c r="Z930" s="797" t="str">
        <f t="shared" si="264"/>
        <v/>
      </c>
      <c r="AA930" s="786"/>
    </row>
    <row r="931" spans="1:29" ht="18.75" customHeight="1">
      <c r="A931" s="786"/>
      <c r="B931" s="216"/>
      <c r="C931" s="789"/>
      <c r="D931" s="792"/>
      <c r="E931" s="389" t="e">
        <f>IF(D930&lt;=3,база!$I$4,
IF(D930=4,база!$I$5,
IF(D930=5,база!$I$6)))</f>
        <v>#N/A</v>
      </c>
      <c r="F931" s="390">
        <v>1</v>
      </c>
      <c r="G931" s="544">
        <f>SUMIFS(Таблица1[Столбец1],Таблица1[коэф],"1",Таблица1[р/р],"3/4",Таблица1[Ф. И. О.],B935)</f>
        <v>0</v>
      </c>
      <c r="H931" s="694" t="e">
        <f>ROUND(E931*F931*G931*2,2)</f>
        <v>#N/A</v>
      </c>
      <c r="I931" s="432" t="e">
        <f>IF(D930&lt;=3,база!$J$4,
IF(D930=4,база!$J$5,
IF(D930=5,база!$J$6)))</f>
        <v>#N/A</v>
      </c>
      <c r="J931" s="433">
        <v>1</v>
      </c>
      <c r="K931" s="434">
        <f>SUMIFS(Таблица1[Столбец1],Таблица1[коэф],"1",Таблица1[р/р],"3/8",Таблица1[Ф. И. О.],B935)</f>
        <v>0</v>
      </c>
      <c r="L931" s="484" t="e">
        <f t="shared" si="260"/>
        <v>#N/A</v>
      </c>
      <c r="M931" s="434"/>
      <c r="N931" s="434">
        <v>1</v>
      </c>
      <c r="O931" s="434">
        <f>SUMIFS(Data_Tech!$AM$3:$AM$67,Data_Tech!$E$3:$E$67,"1",Data_Tech!$G$3:$G$67,"4/12",Data_Tech!$F$3:$F$67,B935)</f>
        <v>0</v>
      </c>
      <c r="P931" s="406">
        <f>ROUND(M931*O931,2)</f>
        <v>0</v>
      </c>
      <c r="Q931" s="389">
        <f>база!$L$5</f>
        <v>231.45480000000001</v>
      </c>
      <c r="R931" s="390">
        <v>1</v>
      </c>
      <c r="S931" s="400">
        <f>SUMIFS(Таблица1[Столбец1],Таблица1[коэф],"1",Таблица1[р/р],"4/16",Таблица1[Ф. И. О.],B935)</f>
        <v>0</v>
      </c>
      <c r="T931" s="492">
        <f t="shared" si="261"/>
        <v>0</v>
      </c>
      <c r="U931" s="478">
        <f>база!$M$5</f>
        <v>247.41720000000001</v>
      </c>
      <c r="V931" s="390">
        <v>1</v>
      </c>
      <c r="W931" s="412">
        <f>SUMIFS(Таблица1[Столбец1],Таблица1[коэф],"1",Таблица1[р/р],"4/24",Таблица1[Ф. И. О.],B935)</f>
        <v>0</v>
      </c>
      <c r="X931" s="492">
        <f t="shared" si="262"/>
        <v>0</v>
      </c>
      <c r="Y931" s="795"/>
      <c r="Z931" s="797"/>
      <c r="AA931" s="786"/>
    </row>
    <row r="932" spans="1:29" ht="18.75" customHeight="1">
      <c r="A932" s="786"/>
      <c r="B932" s="216"/>
      <c r="C932" s="789"/>
      <c r="D932" s="792"/>
      <c r="E932" s="389"/>
      <c r="F932" s="390"/>
      <c r="G932" s="544"/>
      <c r="H932" s="694">
        <f t="shared" ref="H932:H940" si="321">ROUND(E932*F932*G932*2,2)</f>
        <v>0</v>
      </c>
      <c r="I932" s="432"/>
      <c r="J932" s="433"/>
      <c r="K932" s="434"/>
      <c r="L932" s="484">
        <f t="shared" si="260"/>
        <v>0</v>
      </c>
      <c r="M932" s="434"/>
      <c r="N932" s="434"/>
      <c r="O932" s="434"/>
      <c r="P932" s="406"/>
      <c r="Q932" s="389">
        <f>база!$L$6</f>
        <v>261.04640000000001</v>
      </c>
      <c r="R932" s="390">
        <v>1</v>
      </c>
      <c r="S932" s="400">
        <f>SUMIFS(Таблица1[Столбец1],Таблица1[коэф],"1",Таблица1[р/р],"5/16",Таблица1[Ф. И. О.],B935)</f>
        <v>0</v>
      </c>
      <c r="T932" s="492">
        <f t="shared" si="261"/>
        <v>0</v>
      </c>
      <c r="U932" s="478">
        <f>база!$M$6</f>
        <v>279.0496</v>
      </c>
      <c r="V932" s="390">
        <v>1</v>
      </c>
      <c r="W932" s="412">
        <f>SUMIFS(Таблица1[Столбец1],Таблица1[коэф],"1",Таблица1[р/р],"5/24",Таблица1[Ф. И. О.],B935)</f>
        <v>0</v>
      </c>
      <c r="X932" s="492">
        <f t="shared" si="262"/>
        <v>0</v>
      </c>
      <c r="Y932" s="795"/>
      <c r="Z932" s="797"/>
      <c r="AA932" s="786"/>
    </row>
    <row r="933" spans="1:29" ht="18.75" customHeight="1">
      <c r="A933" s="786"/>
      <c r="B933" s="216"/>
      <c r="C933" s="789"/>
      <c r="D933" s="792"/>
      <c r="E933" s="389"/>
      <c r="F933" s="390"/>
      <c r="G933" s="544"/>
      <c r="H933" s="694">
        <f t="shared" si="321"/>
        <v>0</v>
      </c>
      <c r="I933" s="432">
        <f>база!$J$5</f>
        <v>215.4924</v>
      </c>
      <c r="J933" s="433">
        <v>1.5</v>
      </c>
      <c r="K933" s="434">
        <f>SUMIFS(Таблица1[Столбец1],Таблица1[коэф],"1,5",Таблица1[р/р],"4/8",Таблица1[Ф. И. О.],B935)</f>
        <v>0</v>
      </c>
      <c r="L933" s="484">
        <f t="shared" si="260"/>
        <v>0</v>
      </c>
      <c r="M933" s="434"/>
      <c r="N933" s="434"/>
      <c r="O933" s="434"/>
      <c r="P933" s="406"/>
      <c r="Q933" s="389" t="e">
        <f>IF(D930&lt;=3,база!$L$4,
IF(D930=4,база!$L$5,
IF(D930=5,база!$L$6)))</f>
        <v>#N/A</v>
      </c>
      <c r="R933" s="390">
        <v>1.2</v>
      </c>
      <c r="S933" s="400">
        <f>SUMIFS(Таблица1[Столбец1],Таблица1[коэф],"1,2",Таблица1[р/р],"3/16",Таблица1[Ф. И. О.],B935)</f>
        <v>0</v>
      </c>
      <c r="T933" s="492" t="e">
        <f t="shared" si="261"/>
        <v>#N/A</v>
      </c>
      <c r="U933" s="478" t="e">
        <f>IF(D930&lt;=3,база!$M$4,
IF(D930=4,база!$M$5,
IF(D930=5,база!$M$6)))</f>
        <v>#N/A</v>
      </c>
      <c r="V933" s="390">
        <v>1.2</v>
      </c>
      <c r="W933" s="412">
        <f>SUMIFS(Таблица1[Столбец1],Таблица1[коэф],"1,2",Таблица1[р/р],"3/24",Таблица1[Ф. И. О.],B935)</f>
        <v>0</v>
      </c>
      <c r="X933" s="492" t="e">
        <f t="shared" si="262"/>
        <v>#N/A</v>
      </c>
      <c r="Y933" s="795"/>
      <c r="Z933" s="797"/>
      <c r="AA933" s="786"/>
    </row>
    <row r="934" spans="1:29" ht="18.75" customHeight="1">
      <c r="A934" s="786"/>
      <c r="B934" s="216"/>
      <c r="C934" s="789"/>
      <c r="D934" s="792"/>
      <c r="E934" s="389"/>
      <c r="F934" s="390"/>
      <c r="G934" s="544"/>
      <c r="H934" s="694">
        <f t="shared" si="321"/>
        <v>0</v>
      </c>
      <c r="I934" s="432">
        <f>база!$J$6</f>
        <v>243.04319999999998</v>
      </c>
      <c r="J934" s="433">
        <v>1.5</v>
      </c>
      <c r="K934" s="434">
        <f>SUMIFS(Таблица1[Столбец1],Таблица1[коэф],"1,5",Таблица1[р/р],"5/8",Таблица1[Ф. И. О.],B935)</f>
        <v>0</v>
      </c>
      <c r="L934" s="484">
        <f t="shared" si="260"/>
        <v>0</v>
      </c>
      <c r="M934" s="434"/>
      <c r="N934" s="434"/>
      <c r="O934" s="434"/>
      <c r="P934" s="406"/>
      <c r="Q934" s="389">
        <f>база!$L$5</f>
        <v>231.45480000000001</v>
      </c>
      <c r="R934" s="390">
        <v>1.2</v>
      </c>
      <c r="S934" s="400">
        <f>SUMIFS(Таблица1[Столбец1],Таблица1[коэф],"1,2",Таблица1[р/р],"4/16",Таблица1[Ф. И. О.],B935)</f>
        <v>0</v>
      </c>
      <c r="T934" s="492">
        <f t="shared" si="261"/>
        <v>0</v>
      </c>
      <c r="U934" s="478">
        <f>база!$M$5</f>
        <v>247.41720000000001</v>
      </c>
      <c r="V934" s="390">
        <v>1.2</v>
      </c>
      <c r="W934" s="412">
        <f>SUMIFS(Таблица1[Столбец1],Таблица1[коэф],"1,2",Таблица1[р/р],"4/24",Таблица1[Ф. И. О.],B935)</f>
        <v>0</v>
      </c>
      <c r="X934" s="492">
        <f t="shared" si="262"/>
        <v>0</v>
      </c>
      <c r="Y934" s="795"/>
      <c r="Z934" s="797"/>
      <c r="AA934" s="786"/>
    </row>
    <row r="935" spans="1:29" ht="18.75" customHeight="1">
      <c r="A935" s="786"/>
      <c r="B935" s="216">
        <f>база!B86</f>
        <v>0</v>
      </c>
      <c r="C935" s="789"/>
      <c r="D935" s="792"/>
      <c r="E935" s="389"/>
      <c r="F935" s="390"/>
      <c r="G935" s="544"/>
      <c r="H935" s="694">
        <f t="shared" si="321"/>
        <v>0</v>
      </c>
      <c r="I935" s="432"/>
      <c r="J935" s="433"/>
      <c r="K935" s="434"/>
      <c r="L935" s="484">
        <f t="shared" si="260"/>
        <v>0</v>
      </c>
      <c r="M935" s="434"/>
      <c r="N935" s="434"/>
      <c r="O935" s="434"/>
      <c r="P935" s="406"/>
      <c r="Q935" s="389">
        <f>база!$L$6</f>
        <v>261.04640000000001</v>
      </c>
      <c r="R935" s="390">
        <v>1.2</v>
      </c>
      <c r="S935" s="400">
        <f>SUMIFS(Таблица1[Столбец1],Таблица1[коэф],"1,2",Таблица1[р/р],"5/16",Таблица1[Ф. И. О.],B935)</f>
        <v>0</v>
      </c>
      <c r="T935" s="492">
        <f t="shared" si="261"/>
        <v>0</v>
      </c>
      <c r="U935" s="478">
        <f>база!$M$6</f>
        <v>279.0496</v>
      </c>
      <c r="V935" s="390">
        <v>1.2</v>
      </c>
      <c r="W935" s="412">
        <f>SUMIFS(Таблица1[Столбец1],Таблица1[коэф],"1,2",Таблица1[р/р],"5/24",Таблица1[Ф. И. О.],B935)</f>
        <v>0</v>
      </c>
      <c r="X935" s="492">
        <f t="shared" si="262"/>
        <v>0</v>
      </c>
      <c r="Y935" s="795"/>
      <c r="Z935" s="797"/>
      <c r="AA935" s="786"/>
      <c r="AC935" s="727" t="e">
        <f>IF(SUMIFS(Таблица1[Столбец3],Таблица1[Ф. И. О.],B935)-Z930=0,"",SUMIFS(Таблица1[Столбец3],Таблица1[Ф. И. О.],B935)-Z930)</f>
        <v>#VALUE!</v>
      </c>
    </row>
    <row r="936" spans="1:29" ht="18.75" customHeight="1">
      <c r="A936" s="786"/>
      <c r="B936" s="216"/>
      <c r="C936" s="789"/>
      <c r="D936" s="792"/>
      <c r="E936" s="389"/>
      <c r="F936" s="390"/>
      <c r="G936" s="544"/>
      <c r="H936" s="694">
        <f t="shared" si="321"/>
        <v>0</v>
      </c>
      <c r="I936" s="432"/>
      <c r="J936" s="433"/>
      <c r="K936" s="434"/>
      <c r="L936" s="484">
        <f t="shared" si="260"/>
        <v>0</v>
      </c>
      <c r="M936" s="434"/>
      <c r="N936" s="434"/>
      <c r="O936" s="434"/>
      <c r="P936" s="406"/>
      <c r="Q936" s="389">
        <f>IF($D$6&lt;=3,база!$L$4,
IF($D$6=4,база!$L$5,
IF($D$6=5,база!$L$6)))</f>
        <v>231.45480000000001</v>
      </c>
      <c r="R936" s="390">
        <v>1.3</v>
      </c>
      <c r="S936" s="400">
        <f>SUMIFS(Таблица1[Столбец1],Таблица1[коэф],"1,3",Таблица1[р/р],"3/16",Таблица1[Ф. И. О.],B935)</f>
        <v>0</v>
      </c>
      <c r="T936" s="492">
        <f t="shared" si="261"/>
        <v>0</v>
      </c>
      <c r="U936" s="478" t="e">
        <f>IF(D930&lt;=3,база!$M$4,
IF(D930=4,база!$M$5,
IF(D930=5,база!$M$6)))</f>
        <v>#N/A</v>
      </c>
      <c r="V936" s="390">
        <v>1.3</v>
      </c>
      <c r="W936" s="412">
        <f>SUMIFS(Таблица1[Столбец1],Таблица1[коэф],"1,3",Таблица1[р/р],"3/24",Таблица1[Ф. И. О.],B935)</f>
        <v>0</v>
      </c>
      <c r="X936" s="492" t="e">
        <f t="shared" si="262"/>
        <v>#N/A</v>
      </c>
      <c r="Y936" s="795"/>
      <c r="Z936" s="797"/>
      <c r="AA936" s="786"/>
      <c r="AC936" s="727" t="str">
        <f>IF(SUMIFS(Таблица1[Столбец1],Таблица1[Ф. И. О.],B935)=Y930,"",B935&amp;"  часы не верны")</f>
        <v/>
      </c>
    </row>
    <row r="937" spans="1:29" ht="18.75" customHeight="1">
      <c r="A937" s="786"/>
      <c r="B937" s="216"/>
      <c r="C937" s="789"/>
      <c r="D937" s="792"/>
      <c r="E937" s="389"/>
      <c r="F937" s="390"/>
      <c r="G937" s="544"/>
      <c r="H937" s="694">
        <f t="shared" si="321"/>
        <v>0</v>
      </c>
      <c r="I937" s="432"/>
      <c r="J937" s="433"/>
      <c r="K937" s="434"/>
      <c r="L937" s="484">
        <f t="shared" si="260"/>
        <v>0</v>
      </c>
      <c r="M937" s="434"/>
      <c r="N937" s="434"/>
      <c r="O937" s="434"/>
      <c r="P937" s="406"/>
      <c r="Q937" s="389">
        <f>база!$L$5</f>
        <v>231.45480000000001</v>
      </c>
      <c r="R937" s="390">
        <v>1.3</v>
      </c>
      <c r="S937" s="400">
        <f>SUMIFS(Таблица1[Столбец1],Таблица1[коэф],"1,3",Таблица1[р/р],"4/16",Таблица1[Ф. И. О.],B935)</f>
        <v>0</v>
      </c>
      <c r="T937" s="492">
        <f t="shared" si="261"/>
        <v>0</v>
      </c>
      <c r="U937" s="478">
        <f>база!$M$5</f>
        <v>247.41720000000001</v>
      </c>
      <c r="V937" s="390">
        <v>1.3</v>
      </c>
      <c r="W937" s="412">
        <f>SUMIFS(Таблица1[Столбец1],Таблица1[коэф],"1,3",Таблица1[р/р],"4/24",Таблица1[Ф. И. О.],B935)</f>
        <v>0</v>
      </c>
      <c r="X937" s="492">
        <f t="shared" si="262"/>
        <v>0</v>
      </c>
      <c r="Y937" s="795"/>
      <c r="Z937" s="797"/>
      <c r="AA937" s="786"/>
    </row>
    <row r="938" spans="1:29" ht="18.75" customHeight="1">
      <c r="A938" s="786"/>
      <c r="B938" s="216"/>
      <c r="C938" s="789"/>
      <c r="D938" s="792"/>
      <c r="E938" s="389"/>
      <c r="F938" s="390"/>
      <c r="G938" s="544"/>
      <c r="H938" s="694">
        <f t="shared" si="321"/>
        <v>0</v>
      </c>
      <c r="I938" s="432"/>
      <c r="J938" s="433"/>
      <c r="K938" s="434"/>
      <c r="L938" s="484">
        <f t="shared" si="260"/>
        <v>0</v>
      </c>
      <c r="M938" s="434"/>
      <c r="N938" s="434"/>
      <c r="O938" s="434"/>
      <c r="P938" s="406"/>
      <c r="Q938" s="389" t="e">
        <f>IF(D930&lt;=3,база!$L$4,
IF(D930=4,база!$L$5,
IF(D930=5,база!$L$6)))</f>
        <v>#N/A</v>
      </c>
      <c r="R938" s="390">
        <v>1.4</v>
      </c>
      <c r="S938" s="400">
        <f>SUMIFS(Таблица1[Столбец1],Таблица1[коэф],"1,4",Таблица1[р/р],"3/16",Таблица1[Ф. И. О.],B935)</f>
        <v>0</v>
      </c>
      <c r="T938" s="492" t="e">
        <f t="shared" si="261"/>
        <v>#N/A</v>
      </c>
      <c r="U938" s="478" t="e">
        <f>IF(D930&lt;=3,база!$M$4,
IF(D930=4,база!$M$5,
IF(D930=5,база!$M$6)))</f>
        <v>#N/A</v>
      </c>
      <c r="V938" s="390">
        <v>1.4</v>
      </c>
      <c r="W938" s="412">
        <f>SUMIFS(Таблица1[Столбец1],Таблица1[коэф],"1,4",Таблица1[р/р],"3/24",Таблица1[Ф. И. О.],B935)</f>
        <v>0</v>
      </c>
      <c r="X938" s="492" t="e">
        <f t="shared" si="262"/>
        <v>#N/A</v>
      </c>
      <c r="Y938" s="795"/>
      <c r="Z938" s="797"/>
      <c r="AA938" s="786"/>
    </row>
    <row r="939" spans="1:29" ht="18.75" customHeight="1">
      <c r="A939" s="786"/>
      <c r="B939" s="216"/>
      <c r="C939" s="789"/>
      <c r="D939" s="792"/>
      <c r="E939" s="389"/>
      <c r="F939" s="390"/>
      <c r="G939" s="544"/>
      <c r="H939" s="694">
        <f t="shared" si="321"/>
        <v>0</v>
      </c>
      <c r="I939" s="432"/>
      <c r="J939" s="433"/>
      <c r="K939" s="434"/>
      <c r="L939" s="484">
        <f t="shared" si="260"/>
        <v>0</v>
      </c>
      <c r="M939" s="434"/>
      <c r="N939" s="434"/>
      <c r="O939" s="434"/>
      <c r="P939" s="406"/>
      <c r="Q939" s="389">
        <f>база!$L$5</f>
        <v>231.45480000000001</v>
      </c>
      <c r="R939" s="390">
        <v>1.4</v>
      </c>
      <c r="S939" s="400">
        <f>SUMIFS(Таблица1[Столбец1],Таблица1[коэф],"1,4",Таблица1[р/р],"4/16",Таблица1[Ф. И. О.],B935)</f>
        <v>0</v>
      </c>
      <c r="T939" s="492">
        <f t="shared" si="261"/>
        <v>0</v>
      </c>
      <c r="U939" s="478">
        <f>база!$M$5</f>
        <v>247.41720000000001</v>
      </c>
      <c r="V939" s="390">
        <v>1.4</v>
      </c>
      <c r="W939" s="412">
        <f>SUMIFS(Таблица1[Столбец1],Таблица1[коэф],"1,4",Таблица1[р/р],"4/24",Таблица1[Ф. И. О.],B935)</f>
        <v>0</v>
      </c>
      <c r="X939" s="492">
        <f t="shared" si="262"/>
        <v>0</v>
      </c>
      <c r="Y939" s="795"/>
      <c r="Z939" s="797"/>
      <c r="AA939" s="786"/>
    </row>
    <row r="940" spans="1:29" ht="19.5" customHeight="1" thickBot="1">
      <c r="A940" s="787"/>
      <c r="B940" s="352"/>
      <c r="C940" s="790"/>
      <c r="D940" s="793"/>
      <c r="E940" s="481"/>
      <c r="F940" s="417"/>
      <c r="G940" s="691"/>
      <c r="H940" s="695">
        <f t="shared" si="321"/>
        <v>0</v>
      </c>
      <c r="I940" s="654"/>
      <c r="J940" s="617"/>
      <c r="K940" s="655"/>
      <c r="L940" s="537">
        <f t="shared" si="260"/>
        <v>0</v>
      </c>
      <c r="M940" s="654"/>
      <c r="N940" s="655"/>
      <c r="O940" s="655"/>
      <c r="P940" s="538"/>
      <c r="Q940" s="656">
        <f>база!$L$6</f>
        <v>261.04640000000001</v>
      </c>
      <c r="R940" s="446">
        <v>1.4</v>
      </c>
      <c r="S940" s="447">
        <f>SUMIFS(Таблица1[Столбец1],Таблица1[коэф],"1,4",Таблица1[р/р],"5/16",Таблица1[Ф. И. О.],B935)</f>
        <v>0</v>
      </c>
      <c r="T940" s="696">
        <f t="shared" si="261"/>
        <v>0</v>
      </c>
      <c r="U940" s="536">
        <f>база!$M$6</f>
        <v>279.0496</v>
      </c>
      <c r="V940" s="464">
        <v>1.4</v>
      </c>
      <c r="W940" s="447">
        <f>SUMIFS(Таблица1[Столбец1],Таблица1[коэф],"1,4",Таблица1[р/р],"5/24",Таблица1[Ф. И. О.],B935)</f>
        <v>0</v>
      </c>
      <c r="X940" s="696">
        <f t="shared" si="262"/>
        <v>0</v>
      </c>
      <c r="Y940" s="796"/>
      <c r="Z940" s="798"/>
      <c r="AA940" s="787"/>
    </row>
    <row r="941" spans="1:29" s="488" customFormat="1" ht="10.5" customHeight="1">
      <c r="A941" s="827"/>
      <c r="B941" s="828"/>
      <c r="C941" s="828"/>
      <c r="D941" s="828"/>
      <c r="E941" s="828"/>
      <c r="F941" s="828"/>
      <c r="G941" s="828"/>
      <c r="H941" s="828"/>
      <c r="I941" s="828"/>
      <c r="J941" s="828"/>
      <c r="K941" s="828"/>
      <c r="L941" s="828"/>
      <c r="M941" s="828"/>
      <c r="N941" s="828"/>
      <c r="O941" s="828"/>
      <c r="P941" s="828"/>
      <c r="Q941" s="828"/>
      <c r="R941" s="828"/>
      <c r="S941" s="828"/>
      <c r="T941" s="828"/>
      <c r="U941" s="828"/>
      <c r="V941" s="828"/>
      <c r="W941" s="828"/>
      <c r="X941" s="829"/>
      <c r="Y941" s="836">
        <f>SUM(Y6:Y940)</f>
        <v>0</v>
      </c>
      <c r="Z941" s="836">
        <f>SUM(Z6:Z940)</f>
        <v>0</v>
      </c>
      <c r="AA941" s="785"/>
      <c r="AC941" s="727"/>
    </row>
    <row r="942" spans="1:29" s="488" customFormat="1" ht="10.5" customHeight="1">
      <c r="A942" s="830"/>
      <c r="B942" s="831"/>
      <c r="C942" s="831"/>
      <c r="D942" s="831"/>
      <c r="E942" s="831"/>
      <c r="F942" s="831"/>
      <c r="G942" s="831"/>
      <c r="H942" s="831"/>
      <c r="I942" s="831"/>
      <c r="J942" s="831"/>
      <c r="K942" s="831"/>
      <c r="L942" s="831"/>
      <c r="M942" s="831"/>
      <c r="N942" s="831"/>
      <c r="O942" s="831"/>
      <c r="P942" s="831"/>
      <c r="Q942" s="831"/>
      <c r="R942" s="831"/>
      <c r="S942" s="831"/>
      <c r="T942" s="831"/>
      <c r="U942" s="831"/>
      <c r="V942" s="831"/>
      <c r="W942" s="831"/>
      <c r="X942" s="832"/>
      <c r="Y942" s="786"/>
      <c r="Z942" s="786"/>
      <c r="AA942" s="786"/>
      <c r="AC942" s="727"/>
    </row>
    <row r="943" spans="1:29" s="488" customFormat="1" ht="12.75" customHeight="1" thickBot="1">
      <c r="A943" s="833"/>
      <c r="B943" s="834"/>
      <c r="C943" s="834"/>
      <c r="D943" s="834"/>
      <c r="E943" s="834"/>
      <c r="F943" s="834"/>
      <c r="G943" s="834"/>
      <c r="H943" s="834"/>
      <c r="I943" s="834"/>
      <c r="J943" s="834"/>
      <c r="K943" s="834"/>
      <c r="L943" s="834"/>
      <c r="M943" s="834"/>
      <c r="N943" s="834"/>
      <c r="O943" s="834"/>
      <c r="P943" s="834"/>
      <c r="Q943" s="834"/>
      <c r="R943" s="834"/>
      <c r="S943" s="834"/>
      <c r="T943" s="834"/>
      <c r="U943" s="834"/>
      <c r="V943" s="834"/>
      <c r="W943" s="834"/>
      <c r="X943" s="835"/>
      <c r="Y943" s="787"/>
      <c r="Z943" s="787"/>
      <c r="AA943" s="787"/>
      <c r="AC943" s="727"/>
    </row>
    <row r="944" spans="1:29" ht="13.5" customHeight="1"/>
    <row r="945" spans="5:18" ht="13.5" customHeight="1">
      <c r="E945" s="187" t="s">
        <v>250</v>
      </c>
      <c r="F945" s="187"/>
      <c r="G945" s="188"/>
      <c r="H945" s="189"/>
      <c r="I945" s="190"/>
      <c r="J945" s="190"/>
      <c r="K945" s="189"/>
      <c r="L945" s="189"/>
      <c r="M945" s="190"/>
      <c r="N945" s="190"/>
      <c r="O945" s="189"/>
      <c r="P945" s="189"/>
      <c r="Q945" s="190"/>
      <c r="R945" s="190"/>
    </row>
    <row r="946" spans="5:18" ht="13.5" customHeight="1">
      <c r="E946" s="191"/>
      <c r="F946" s="192"/>
      <c r="G946" s="189"/>
      <c r="H946" s="190"/>
      <c r="I946" s="188"/>
      <c r="J946" s="188"/>
      <c r="K946" s="187"/>
      <c r="L946" s="193"/>
      <c r="M946" s="194"/>
      <c r="N946" s="195"/>
      <c r="O946" s="195"/>
      <c r="P946" s="196"/>
      <c r="Q946" s="196"/>
      <c r="R946" s="190"/>
    </row>
    <row r="947" spans="5:18" ht="15" customHeight="1">
      <c r="E947" s="187" t="s">
        <v>72</v>
      </c>
      <c r="F947" s="187"/>
      <c r="G947" s="189"/>
      <c r="H947" s="190"/>
      <c r="I947" s="188"/>
      <c r="J947" s="188"/>
      <c r="K947" s="197"/>
      <c r="L947" s="198"/>
      <c r="M947" s="198"/>
      <c r="N947" s="199"/>
      <c r="O947" s="199"/>
      <c r="P947" s="198"/>
      <c r="Q947" s="198"/>
      <c r="R947" s="190"/>
    </row>
    <row r="948" spans="5:18" ht="11.25" customHeight="1">
      <c r="E948" s="187"/>
      <c r="F948" s="187"/>
      <c r="G948" s="189"/>
      <c r="H948" s="190"/>
      <c r="I948" s="188"/>
      <c r="J948" s="188"/>
      <c r="K948" s="187"/>
      <c r="L948" s="193"/>
      <c r="M948" s="200"/>
      <c r="N948" s="201"/>
      <c r="O948" s="201"/>
      <c r="P948" s="202"/>
      <c r="Q948" s="202"/>
      <c r="R948" s="190"/>
    </row>
    <row r="949" spans="5:18" ht="18.75">
      <c r="E949" s="187" t="s">
        <v>73</v>
      </c>
      <c r="F949" s="187"/>
      <c r="G949" s="189"/>
      <c r="H949" s="190"/>
      <c r="I949" s="188"/>
      <c r="J949" s="188"/>
      <c r="K949" s="187"/>
      <c r="L949" s="193"/>
      <c r="M949" s="194"/>
      <c r="N949" s="195"/>
      <c r="O949" s="195"/>
      <c r="P949" s="196"/>
      <c r="Q949" s="196"/>
      <c r="R949" s="190"/>
    </row>
    <row r="968" spans="29:29">
      <c r="AC968" s="727" t="e">
        <f>IF(SUMIFS([1]!Таблица1[Столбец3],[1]!Таблица1[Ф. И. О.],B968)=Z963,"",B968&amp;"  СУММА не верна")</f>
        <v>#REF!</v>
      </c>
    </row>
    <row r="969" spans="29:29">
      <c r="AC969" s="727" t="e">
        <f>IF(SUMIFS([1]!Таблица1[Столбец1],[1]!Таблица1[Ф. И. О.],B968)=Y963,"",B968&amp;"  часы не верны")</f>
        <v>#REF!</v>
      </c>
    </row>
    <row r="979" spans="29:29">
      <c r="AC979" s="727" t="e">
        <f>IF(SUMIFS([1]!Таблица1[Столбец3],[1]!Таблица1[Ф. И. О.],B979)=Z974,"",B979&amp;"  СУММА не верна")</f>
        <v>#REF!</v>
      </c>
    </row>
    <row r="980" spans="29:29">
      <c r="AC980" s="727" t="e">
        <f>IF(SUMIFS([1]!Таблица1[Столбец1],[1]!Таблица1[Ф. И. О.],B979)=Y974,"",B979&amp;"  часы не верны")</f>
        <v>#REF!</v>
      </c>
    </row>
    <row r="985" spans="29:29">
      <c r="AC985" s="728"/>
    </row>
    <row r="986" spans="29:29">
      <c r="AC986" s="728"/>
    </row>
    <row r="987" spans="29:29">
      <c r="AC987" s="728"/>
    </row>
  </sheetData>
  <sheetProtection selectLockedCells="1" selectUnlockedCells="1"/>
  <mergeCells count="527">
    <mergeCell ref="A831:A841"/>
    <mergeCell ref="C831:C841"/>
    <mergeCell ref="D831:D841"/>
    <mergeCell ref="Y831:Y841"/>
    <mergeCell ref="Z831:Z841"/>
    <mergeCell ref="AA831:AA841"/>
    <mergeCell ref="A842:A852"/>
    <mergeCell ref="C842:C852"/>
    <mergeCell ref="D842:D852"/>
    <mergeCell ref="Y842:Y852"/>
    <mergeCell ref="Z842:Z852"/>
    <mergeCell ref="AA842:AA852"/>
    <mergeCell ref="A809:A819"/>
    <mergeCell ref="C809:C819"/>
    <mergeCell ref="D809:D819"/>
    <mergeCell ref="Y809:Y819"/>
    <mergeCell ref="Z809:Z819"/>
    <mergeCell ref="AA809:AA819"/>
    <mergeCell ref="A820:A830"/>
    <mergeCell ref="C820:C830"/>
    <mergeCell ref="D820:D830"/>
    <mergeCell ref="Y820:Y830"/>
    <mergeCell ref="Z820:Z830"/>
    <mergeCell ref="AA820:AA830"/>
    <mergeCell ref="A787:A797"/>
    <mergeCell ref="C787:C797"/>
    <mergeCell ref="D787:D797"/>
    <mergeCell ref="Y787:Y797"/>
    <mergeCell ref="Z787:Z797"/>
    <mergeCell ref="AA787:AA797"/>
    <mergeCell ref="A798:A808"/>
    <mergeCell ref="C798:C808"/>
    <mergeCell ref="D798:D808"/>
    <mergeCell ref="Y798:Y808"/>
    <mergeCell ref="Z798:Z808"/>
    <mergeCell ref="AA798:AA808"/>
    <mergeCell ref="A765:A775"/>
    <mergeCell ref="C765:C775"/>
    <mergeCell ref="D765:D775"/>
    <mergeCell ref="Y765:Y775"/>
    <mergeCell ref="Z765:Z775"/>
    <mergeCell ref="AA765:AA775"/>
    <mergeCell ref="A776:A786"/>
    <mergeCell ref="C776:C786"/>
    <mergeCell ref="D776:D786"/>
    <mergeCell ref="Y776:Y786"/>
    <mergeCell ref="Z776:Z786"/>
    <mergeCell ref="AA776:AA786"/>
    <mergeCell ref="A479:A489"/>
    <mergeCell ref="C479:C489"/>
    <mergeCell ref="D479:D489"/>
    <mergeCell ref="Y479:Y489"/>
    <mergeCell ref="Z479:Z489"/>
    <mergeCell ref="AA479:AA489"/>
    <mergeCell ref="A457:A467"/>
    <mergeCell ref="C457:C467"/>
    <mergeCell ref="D457:D467"/>
    <mergeCell ref="Y457:Y467"/>
    <mergeCell ref="Z457:Z467"/>
    <mergeCell ref="AA457:AA467"/>
    <mergeCell ref="A468:A478"/>
    <mergeCell ref="C468:C478"/>
    <mergeCell ref="D468:D478"/>
    <mergeCell ref="Y468:Y478"/>
    <mergeCell ref="Z468:Z478"/>
    <mergeCell ref="AA468:AA478"/>
    <mergeCell ref="A941:X943"/>
    <mergeCell ref="Y941:Y943"/>
    <mergeCell ref="Z941:Z943"/>
    <mergeCell ref="AA941:AA943"/>
    <mergeCell ref="A930:A940"/>
    <mergeCell ref="C930:C940"/>
    <mergeCell ref="D930:D940"/>
    <mergeCell ref="Y930:Y940"/>
    <mergeCell ref="Z930:Z940"/>
    <mergeCell ref="AA930:AA940"/>
    <mergeCell ref="A501:A511"/>
    <mergeCell ref="C501:C511"/>
    <mergeCell ref="D501:D511"/>
    <mergeCell ref="Y501:Y511"/>
    <mergeCell ref="Z501:Z511"/>
    <mergeCell ref="AA501:AA511"/>
    <mergeCell ref="A490:A500"/>
    <mergeCell ref="C490:C500"/>
    <mergeCell ref="D490:D500"/>
    <mergeCell ref="Y490:Y500"/>
    <mergeCell ref="Z490:Z500"/>
    <mergeCell ref="AA490:AA500"/>
    <mergeCell ref="A226:A236"/>
    <mergeCell ref="C226:C236"/>
    <mergeCell ref="D226:D236"/>
    <mergeCell ref="Y226:Y236"/>
    <mergeCell ref="Z226:Z236"/>
    <mergeCell ref="AA226:AA236"/>
    <mergeCell ref="A215:A225"/>
    <mergeCell ref="C215:C225"/>
    <mergeCell ref="D215:D225"/>
    <mergeCell ref="Y215:Y225"/>
    <mergeCell ref="Z215:Z225"/>
    <mergeCell ref="AA215:AA225"/>
    <mergeCell ref="A204:A214"/>
    <mergeCell ref="C204:C214"/>
    <mergeCell ref="D204:D214"/>
    <mergeCell ref="Y204:Y214"/>
    <mergeCell ref="Z204:Z214"/>
    <mergeCell ref="AA204:AA214"/>
    <mergeCell ref="A193:A203"/>
    <mergeCell ref="C193:C203"/>
    <mergeCell ref="D193:D203"/>
    <mergeCell ref="Y193:Y203"/>
    <mergeCell ref="Z193:Z203"/>
    <mergeCell ref="AA193:AA203"/>
    <mergeCell ref="A182:A192"/>
    <mergeCell ref="C182:C192"/>
    <mergeCell ref="D182:D192"/>
    <mergeCell ref="Y182:Y192"/>
    <mergeCell ref="Z182:Z192"/>
    <mergeCell ref="AA182:AA192"/>
    <mergeCell ref="A171:A181"/>
    <mergeCell ref="C171:C181"/>
    <mergeCell ref="D171:D181"/>
    <mergeCell ref="Y171:Y181"/>
    <mergeCell ref="Z171:Z181"/>
    <mergeCell ref="AA171:AA181"/>
    <mergeCell ref="A160:A170"/>
    <mergeCell ref="C160:C170"/>
    <mergeCell ref="D160:D170"/>
    <mergeCell ref="Y160:Y170"/>
    <mergeCell ref="Z160:Z170"/>
    <mergeCell ref="AA160:AA170"/>
    <mergeCell ref="A149:A159"/>
    <mergeCell ref="C149:C159"/>
    <mergeCell ref="D149:D159"/>
    <mergeCell ref="Y149:Y159"/>
    <mergeCell ref="Z149:Z159"/>
    <mergeCell ref="AA149:AA159"/>
    <mergeCell ref="A138:A148"/>
    <mergeCell ref="C138:C148"/>
    <mergeCell ref="D138:D148"/>
    <mergeCell ref="Y138:Y148"/>
    <mergeCell ref="Z138:Z148"/>
    <mergeCell ref="AA138:AA148"/>
    <mergeCell ref="A127:A137"/>
    <mergeCell ref="C127:C137"/>
    <mergeCell ref="D127:D137"/>
    <mergeCell ref="Y127:Y137"/>
    <mergeCell ref="Z127:Z137"/>
    <mergeCell ref="AA127:AA137"/>
    <mergeCell ref="A116:A126"/>
    <mergeCell ref="C116:C126"/>
    <mergeCell ref="D116:D126"/>
    <mergeCell ref="Y116:Y126"/>
    <mergeCell ref="Z116:Z126"/>
    <mergeCell ref="AA116:AA126"/>
    <mergeCell ref="A105:A115"/>
    <mergeCell ref="C105:C115"/>
    <mergeCell ref="D105:D115"/>
    <mergeCell ref="Y105:Y115"/>
    <mergeCell ref="Z105:Z115"/>
    <mergeCell ref="AA105:AA115"/>
    <mergeCell ref="A94:A104"/>
    <mergeCell ref="C94:C104"/>
    <mergeCell ref="D94:D104"/>
    <mergeCell ref="Y94:Y104"/>
    <mergeCell ref="Z94:Z104"/>
    <mergeCell ref="AA94:AA104"/>
    <mergeCell ref="A83:A93"/>
    <mergeCell ref="C83:C93"/>
    <mergeCell ref="D83:D93"/>
    <mergeCell ref="Y83:Y93"/>
    <mergeCell ref="Z83:Z93"/>
    <mergeCell ref="AA83:AA93"/>
    <mergeCell ref="A72:A82"/>
    <mergeCell ref="C72:C82"/>
    <mergeCell ref="D72:D82"/>
    <mergeCell ref="Y72:Y82"/>
    <mergeCell ref="Z72:Z82"/>
    <mergeCell ref="AA72:AA82"/>
    <mergeCell ref="A61:A71"/>
    <mergeCell ref="C61:C71"/>
    <mergeCell ref="D61:D71"/>
    <mergeCell ref="Y61:Y71"/>
    <mergeCell ref="Z61:Z71"/>
    <mergeCell ref="AA61:AA71"/>
    <mergeCell ref="A50:A60"/>
    <mergeCell ref="C50:C60"/>
    <mergeCell ref="D50:D60"/>
    <mergeCell ref="Y50:Y60"/>
    <mergeCell ref="Z50:Z60"/>
    <mergeCell ref="AA50:AA60"/>
    <mergeCell ref="A39:A49"/>
    <mergeCell ref="C39:C49"/>
    <mergeCell ref="D39:D49"/>
    <mergeCell ref="Y39:Y49"/>
    <mergeCell ref="Z39:Z49"/>
    <mergeCell ref="AA39:AA49"/>
    <mergeCell ref="AA6:AA16"/>
    <mergeCell ref="A28:A38"/>
    <mergeCell ref="C28:C38"/>
    <mergeCell ref="D28:D38"/>
    <mergeCell ref="Y28:Y38"/>
    <mergeCell ref="Z28:Z38"/>
    <mergeCell ref="AA28:AA38"/>
    <mergeCell ref="A17:A27"/>
    <mergeCell ref="C17:C27"/>
    <mergeCell ref="D17:D27"/>
    <mergeCell ref="Y17:Y27"/>
    <mergeCell ref="Z17:Z27"/>
    <mergeCell ref="AA17:AA27"/>
    <mergeCell ref="A259:A269"/>
    <mergeCell ref="C259:C269"/>
    <mergeCell ref="D259:D269"/>
    <mergeCell ref="Y259:Y269"/>
    <mergeCell ref="Z259:Z269"/>
    <mergeCell ref="AA259:AA269"/>
    <mergeCell ref="H1:U1"/>
    <mergeCell ref="A4:A5"/>
    <mergeCell ref="B4:B5"/>
    <mergeCell ref="C4:C5"/>
    <mergeCell ref="D4:D5"/>
    <mergeCell ref="E4:H4"/>
    <mergeCell ref="I4:L4"/>
    <mergeCell ref="M4:P4"/>
    <mergeCell ref="Q4:T4"/>
    <mergeCell ref="U4:X4"/>
    <mergeCell ref="Y4:Y5"/>
    <mergeCell ref="Z4:Z5"/>
    <mergeCell ref="AA4:AA5"/>
    <mergeCell ref="A6:A16"/>
    <mergeCell ref="C6:C16"/>
    <mergeCell ref="D6:D16"/>
    <mergeCell ref="Y6:Y16"/>
    <mergeCell ref="Z6:Z16"/>
    <mergeCell ref="A270:A280"/>
    <mergeCell ref="C270:C280"/>
    <mergeCell ref="D270:D280"/>
    <mergeCell ref="Y270:Y280"/>
    <mergeCell ref="Z270:Z280"/>
    <mergeCell ref="AA270:AA280"/>
    <mergeCell ref="A292:A302"/>
    <mergeCell ref="C292:C302"/>
    <mergeCell ref="D292:D302"/>
    <mergeCell ref="Y292:Y302"/>
    <mergeCell ref="Z292:Z302"/>
    <mergeCell ref="AA292:AA302"/>
    <mergeCell ref="A281:A291"/>
    <mergeCell ref="C281:C291"/>
    <mergeCell ref="D281:D291"/>
    <mergeCell ref="Y281:Y291"/>
    <mergeCell ref="Z281:Z291"/>
    <mergeCell ref="AA281:AA291"/>
    <mergeCell ref="A314:A324"/>
    <mergeCell ref="C314:C324"/>
    <mergeCell ref="D314:D324"/>
    <mergeCell ref="Y314:Y324"/>
    <mergeCell ref="Z314:Z324"/>
    <mergeCell ref="AA314:AA324"/>
    <mergeCell ref="A303:A313"/>
    <mergeCell ref="C303:C313"/>
    <mergeCell ref="D303:D313"/>
    <mergeCell ref="Y303:Y313"/>
    <mergeCell ref="Z303:Z313"/>
    <mergeCell ref="AA303:AA313"/>
    <mergeCell ref="A336:A346"/>
    <mergeCell ref="C336:C346"/>
    <mergeCell ref="D336:D346"/>
    <mergeCell ref="Y336:Y346"/>
    <mergeCell ref="Z336:Z346"/>
    <mergeCell ref="AA336:AA346"/>
    <mergeCell ref="A325:A335"/>
    <mergeCell ref="C325:C335"/>
    <mergeCell ref="D325:D335"/>
    <mergeCell ref="Y325:Y335"/>
    <mergeCell ref="Z325:Z335"/>
    <mergeCell ref="AA325:AA335"/>
    <mergeCell ref="A358:A368"/>
    <mergeCell ref="C358:C368"/>
    <mergeCell ref="D358:D368"/>
    <mergeCell ref="Y358:Y368"/>
    <mergeCell ref="Z358:Z368"/>
    <mergeCell ref="AA358:AA368"/>
    <mergeCell ref="A347:A357"/>
    <mergeCell ref="C347:C357"/>
    <mergeCell ref="D347:D357"/>
    <mergeCell ref="Y347:Y357"/>
    <mergeCell ref="Z347:Z357"/>
    <mergeCell ref="AA347:AA357"/>
    <mergeCell ref="A380:A390"/>
    <mergeCell ref="C380:C390"/>
    <mergeCell ref="D380:D390"/>
    <mergeCell ref="Y380:Y390"/>
    <mergeCell ref="Z380:Z390"/>
    <mergeCell ref="AA380:AA390"/>
    <mergeCell ref="A369:A379"/>
    <mergeCell ref="C369:C379"/>
    <mergeCell ref="D369:D379"/>
    <mergeCell ref="Y369:Y379"/>
    <mergeCell ref="Z369:Z379"/>
    <mergeCell ref="AA369:AA379"/>
    <mergeCell ref="A402:A412"/>
    <mergeCell ref="C402:C412"/>
    <mergeCell ref="D402:D412"/>
    <mergeCell ref="Y402:Y412"/>
    <mergeCell ref="Z402:Z412"/>
    <mergeCell ref="AA402:AA412"/>
    <mergeCell ref="A391:A401"/>
    <mergeCell ref="C391:C401"/>
    <mergeCell ref="D391:D401"/>
    <mergeCell ref="Y391:Y401"/>
    <mergeCell ref="Z391:Z401"/>
    <mergeCell ref="AA391:AA401"/>
    <mergeCell ref="A424:A434"/>
    <mergeCell ref="C424:C434"/>
    <mergeCell ref="D424:D434"/>
    <mergeCell ref="Y424:Y434"/>
    <mergeCell ref="Z424:Z434"/>
    <mergeCell ref="AA424:AA434"/>
    <mergeCell ref="A413:A423"/>
    <mergeCell ref="C413:C423"/>
    <mergeCell ref="D413:D423"/>
    <mergeCell ref="Y413:Y423"/>
    <mergeCell ref="Z413:Z423"/>
    <mergeCell ref="AA413:AA423"/>
    <mergeCell ref="A446:A456"/>
    <mergeCell ref="C446:C456"/>
    <mergeCell ref="D446:D456"/>
    <mergeCell ref="Y446:Y456"/>
    <mergeCell ref="Z446:Z456"/>
    <mergeCell ref="AA446:AA456"/>
    <mergeCell ref="A435:A445"/>
    <mergeCell ref="C435:C445"/>
    <mergeCell ref="D435:D445"/>
    <mergeCell ref="Y435:Y445"/>
    <mergeCell ref="Z435:Z445"/>
    <mergeCell ref="AA435:AA445"/>
    <mergeCell ref="AA248:AA258"/>
    <mergeCell ref="Z248:Z258"/>
    <mergeCell ref="Y248:Y258"/>
    <mergeCell ref="D248:D258"/>
    <mergeCell ref="C248:C258"/>
    <mergeCell ref="A248:A258"/>
    <mergeCell ref="AA237:AA247"/>
    <mergeCell ref="Z237:Z247"/>
    <mergeCell ref="Y237:Y247"/>
    <mergeCell ref="D237:D247"/>
    <mergeCell ref="C237:C247"/>
    <mergeCell ref="A237:A247"/>
    <mergeCell ref="A512:A522"/>
    <mergeCell ref="C512:C522"/>
    <mergeCell ref="D512:D522"/>
    <mergeCell ref="Y512:Y522"/>
    <mergeCell ref="Z512:Z522"/>
    <mergeCell ref="AA512:AA522"/>
    <mergeCell ref="A523:A533"/>
    <mergeCell ref="C523:C533"/>
    <mergeCell ref="D523:D533"/>
    <mergeCell ref="Y523:Y533"/>
    <mergeCell ref="Z523:Z533"/>
    <mergeCell ref="AA523:AA533"/>
    <mergeCell ref="A534:A544"/>
    <mergeCell ref="C534:C544"/>
    <mergeCell ref="D534:D544"/>
    <mergeCell ref="Y534:Y544"/>
    <mergeCell ref="Z534:Z544"/>
    <mergeCell ref="AA534:AA544"/>
    <mergeCell ref="A545:A555"/>
    <mergeCell ref="C545:C555"/>
    <mergeCell ref="D545:D555"/>
    <mergeCell ref="Y545:Y555"/>
    <mergeCell ref="Z545:Z555"/>
    <mergeCell ref="AA545:AA555"/>
    <mergeCell ref="A556:A566"/>
    <mergeCell ref="C556:C566"/>
    <mergeCell ref="D556:D566"/>
    <mergeCell ref="Y556:Y566"/>
    <mergeCell ref="Z556:Z566"/>
    <mergeCell ref="AA556:AA566"/>
    <mergeCell ref="A567:A577"/>
    <mergeCell ref="C567:C577"/>
    <mergeCell ref="D567:D577"/>
    <mergeCell ref="Y567:Y577"/>
    <mergeCell ref="Z567:Z577"/>
    <mergeCell ref="AA567:AA577"/>
    <mergeCell ref="A578:A588"/>
    <mergeCell ref="C578:C588"/>
    <mergeCell ref="D578:D588"/>
    <mergeCell ref="Y578:Y588"/>
    <mergeCell ref="Z578:Z588"/>
    <mergeCell ref="AA578:AA588"/>
    <mergeCell ref="A589:A599"/>
    <mergeCell ref="C589:C599"/>
    <mergeCell ref="D589:D599"/>
    <mergeCell ref="Y589:Y599"/>
    <mergeCell ref="Z589:Z599"/>
    <mergeCell ref="AA589:AA599"/>
    <mergeCell ref="A600:A610"/>
    <mergeCell ref="C600:C610"/>
    <mergeCell ref="D600:D610"/>
    <mergeCell ref="Y600:Y610"/>
    <mergeCell ref="Z600:Z610"/>
    <mergeCell ref="AA600:AA610"/>
    <mergeCell ref="A611:A621"/>
    <mergeCell ref="C611:C621"/>
    <mergeCell ref="D611:D621"/>
    <mergeCell ref="Y611:Y621"/>
    <mergeCell ref="Z611:Z621"/>
    <mergeCell ref="AA611:AA621"/>
    <mergeCell ref="A644:A654"/>
    <mergeCell ref="C644:C654"/>
    <mergeCell ref="D644:D654"/>
    <mergeCell ref="Y644:Y654"/>
    <mergeCell ref="Z644:Z654"/>
    <mergeCell ref="AA644:AA654"/>
    <mergeCell ref="A622:A632"/>
    <mergeCell ref="C622:C632"/>
    <mergeCell ref="D622:D632"/>
    <mergeCell ref="Y622:Y632"/>
    <mergeCell ref="Z622:Z632"/>
    <mergeCell ref="AA622:AA632"/>
    <mergeCell ref="A633:A643"/>
    <mergeCell ref="C633:C643"/>
    <mergeCell ref="D633:D643"/>
    <mergeCell ref="Y633:Y643"/>
    <mergeCell ref="Z633:Z643"/>
    <mergeCell ref="AA633:AA643"/>
    <mergeCell ref="A655:A665"/>
    <mergeCell ref="C655:C665"/>
    <mergeCell ref="D655:D665"/>
    <mergeCell ref="Y655:Y665"/>
    <mergeCell ref="Z655:Z665"/>
    <mergeCell ref="AA655:AA665"/>
    <mergeCell ref="A666:A676"/>
    <mergeCell ref="C666:C676"/>
    <mergeCell ref="D666:D676"/>
    <mergeCell ref="Y666:Y676"/>
    <mergeCell ref="Z666:Z676"/>
    <mergeCell ref="AA666:AA676"/>
    <mergeCell ref="A677:A687"/>
    <mergeCell ref="C677:C687"/>
    <mergeCell ref="D677:D687"/>
    <mergeCell ref="Y677:Y687"/>
    <mergeCell ref="Z677:Z687"/>
    <mergeCell ref="AA677:AA687"/>
    <mergeCell ref="A688:A698"/>
    <mergeCell ref="C688:C698"/>
    <mergeCell ref="D688:D698"/>
    <mergeCell ref="Y688:Y698"/>
    <mergeCell ref="Z688:Z698"/>
    <mergeCell ref="AA688:AA698"/>
    <mergeCell ref="A699:A709"/>
    <mergeCell ref="C699:C709"/>
    <mergeCell ref="D699:D709"/>
    <mergeCell ref="Y699:Y709"/>
    <mergeCell ref="Z699:Z709"/>
    <mergeCell ref="AA699:AA709"/>
    <mergeCell ref="A710:A720"/>
    <mergeCell ref="C710:C720"/>
    <mergeCell ref="D710:D720"/>
    <mergeCell ref="Y710:Y720"/>
    <mergeCell ref="Z710:Z720"/>
    <mergeCell ref="AA710:AA720"/>
    <mergeCell ref="A721:A731"/>
    <mergeCell ref="C721:C731"/>
    <mergeCell ref="D721:D731"/>
    <mergeCell ref="Y721:Y731"/>
    <mergeCell ref="Z721:Z731"/>
    <mergeCell ref="AA721:AA731"/>
    <mergeCell ref="A732:A742"/>
    <mergeCell ref="C732:C742"/>
    <mergeCell ref="D732:D742"/>
    <mergeCell ref="Y732:Y742"/>
    <mergeCell ref="Z732:Z742"/>
    <mergeCell ref="AA732:AA742"/>
    <mergeCell ref="A743:A753"/>
    <mergeCell ref="C743:C753"/>
    <mergeCell ref="D743:D753"/>
    <mergeCell ref="Y743:Y753"/>
    <mergeCell ref="Z743:Z753"/>
    <mergeCell ref="AA743:AA753"/>
    <mergeCell ref="A754:A764"/>
    <mergeCell ref="C754:C764"/>
    <mergeCell ref="D754:D764"/>
    <mergeCell ref="Y754:Y764"/>
    <mergeCell ref="Z754:Z764"/>
    <mergeCell ref="AA754:AA764"/>
    <mergeCell ref="A886:A896"/>
    <mergeCell ref="C886:C896"/>
    <mergeCell ref="D886:D896"/>
    <mergeCell ref="Y886:Y896"/>
    <mergeCell ref="Z886:Z896"/>
    <mergeCell ref="AA886:AA896"/>
    <mergeCell ref="A919:A929"/>
    <mergeCell ref="C919:C929"/>
    <mergeCell ref="D919:D929"/>
    <mergeCell ref="Y919:Y929"/>
    <mergeCell ref="Z919:Z929"/>
    <mergeCell ref="AA919:AA929"/>
    <mergeCell ref="A897:A907"/>
    <mergeCell ref="C897:C907"/>
    <mergeCell ref="D897:D907"/>
    <mergeCell ref="Y897:Y907"/>
    <mergeCell ref="Z897:Z907"/>
    <mergeCell ref="AA897:AA907"/>
    <mergeCell ref="A908:A918"/>
    <mergeCell ref="C908:C918"/>
    <mergeCell ref="D908:D918"/>
    <mergeCell ref="Y908:Y918"/>
    <mergeCell ref="Z908:Z918"/>
    <mergeCell ref="AA908:AA918"/>
    <mergeCell ref="A875:A885"/>
    <mergeCell ref="C875:C885"/>
    <mergeCell ref="D875:D885"/>
    <mergeCell ref="Y875:Y885"/>
    <mergeCell ref="Z875:Z885"/>
    <mergeCell ref="AA875:AA885"/>
    <mergeCell ref="A853:A863"/>
    <mergeCell ref="C853:C863"/>
    <mergeCell ref="D853:D863"/>
    <mergeCell ref="Y853:Y863"/>
    <mergeCell ref="Z853:Z863"/>
    <mergeCell ref="AA853:AA863"/>
    <mergeCell ref="A864:A874"/>
    <mergeCell ref="C864:C874"/>
    <mergeCell ref="D864:D874"/>
    <mergeCell ref="Y864:Y874"/>
    <mergeCell ref="Z864:Z874"/>
    <mergeCell ref="AA864:AA874"/>
  </mergeCells>
  <conditionalFormatting sqref="W14:W15 U14:U15 E6:X6 V14:V236 E930:G939 V930:V940 U7:W11 E7:T16 T17:T27 M19:S27 M17:P18 E17:L27 I930:K939 M930:S939 E28:T236 X7:X236 X501:X511 T501:T511 L501:L511 H501:H511 H930:H940 L930:L940 T930:T940 X930:X940">
    <cfRule type="cellIs" dxfId="324" priority="104" operator="equal">
      <formula>0</formula>
    </cfRule>
  </conditionalFormatting>
  <conditionalFormatting sqref="E940:G940 W940 I940:K940 M940:S940 U940">
    <cfRule type="cellIs" dxfId="323" priority="103" operator="equal">
      <formula>0</formula>
    </cfRule>
  </conditionalFormatting>
  <conditionalFormatting sqref="V501:V511 E501:G511 I501:K511 M501:S511">
    <cfRule type="cellIs" dxfId="322" priority="101" operator="equal">
      <formula>0</formula>
    </cfRule>
  </conditionalFormatting>
  <conditionalFormatting sqref="V270:V280 E270:T280 X270:X280">
    <cfRule type="cellIs" dxfId="321" priority="97" operator="equal">
      <formula>0</formula>
    </cfRule>
  </conditionalFormatting>
  <conditionalFormatting sqref="V490:V500 E490:T500 X490:X500">
    <cfRule type="cellIs" dxfId="320" priority="85" operator="equal">
      <formula>0</formula>
    </cfRule>
  </conditionalFormatting>
  <conditionalFormatting sqref="V237:V247 E237:T247 X237:X247">
    <cfRule type="cellIs" dxfId="319" priority="100" operator="equal">
      <formula>0</formula>
    </cfRule>
  </conditionalFormatting>
  <conditionalFormatting sqref="V248:V258 E248:T258 X248:X258">
    <cfRule type="cellIs" dxfId="318" priority="99" operator="equal">
      <formula>0</formula>
    </cfRule>
  </conditionalFormatting>
  <conditionalFormatting sqref="V259:V269 E259:T269 X259:X269">
    <cfRule type="cellIs" dxfId="317" priority="98" operator="equal">
      <formula>0</formula>
    </cfRule>
  </conditionalFormatting>
  <conditionalFormatting sqref="V281:V291 E281:T291 X281:X291">
    <cfRule type="cellIs" dxfId="316" priority="96" operator="equal">
      <formula>0</formula>
    </cfRule>
  </conditionalFormatting>
  <conditionalFormatting sqref="V292:V302 E292:T302 X292:X302">
    <cfRule type="cellIs" dxfId="315" priority="95" operator="equal">
      <formula>0</formula>
    </cfRule>
  </conditionalFormatting>
  <conditionalFormatting sqref="V303:V313 E303:T313 X303:X313">
    <cfRule type="cellIs" dxfId="314" priority="94" operator="equal">
      <formula>0</formula>
    </cfRule>
  </conditionalFormatting>
  <conditionalFormatting sqref="V424:V434 E424:T434 X424:X434">
    <cfRule type="cellIs" dxfId="313" priority="81" operator="equal">
      <formula>0</formula>
    </cfRule>
  </conditionalFormatting>
  <conditionalFormatting sqref="V314:V324 E314:T324 X314:X324">
    <cfRule type="cellIs" dxfId="312" priority="93" operator="equal">
      <formula>0</formula>
    </cfRule>
  </conditionalFormatting>
  <conditionalFormatting sqref="V325:V335 E325:T335 X325:X335">
    <cfRule type="cellIs" dxfId="311" priority="92" operator="equal">
      <formula>0</formula>
    </cfRule>
  </conditionalFormatting>
  <conditionalFormatting sqref="V336:V346 E336:T346 X336:X346">
    <cfRule type="cellIs" dxfId="310" priority="91" operator="equal">
      <formula>0</formula>
    </cfRule>
  </conditionalFormatting>
  <conditionalFormatting sqref="V347:V357 E347:T357 X347:X357">
    <cfRule type="cellIs" dxfId="309" priority="90" operator="equal">
      <formula>0</formula>
    </cfRule>
  </conditionalFormatting>
  <conditionalFormatting sqref="V358:V368 E358:T368 X358:X368">
    <cfRule type="cellIs" dxfId="308" priority="89" operator="equal">
      <formula>0</formula>
    </cfRule>
  </conditionalFormatting>
  <conditionalFormatting sqref="V369:V379 E369:T379 X369:X379">
    <cfRule type="cellIs" dxfId="307" priority="88" operator="equal">
      <formula>0</formula>
    </cfRule>
  </conditionalFormatting>
  <conditionalFormatting sqref="V380:V390 E380:T390 X380:X390">
    <cfRule type="cellIs" dxfId="306" priority="87" operator="equal">
      <formula>0</formula>
    </cfRule>
  </conditionalFormatting>
  <conditionalFormatting sqref="V435:V445 E435:T445 X435:X445">
    <cfRule type="cellIs" dxfId="305" priority="86" operator="equal">
      <formula>0</formula>
    </cfRule>
  </conditionalFormatting>
  <conditionalFormatting sqref="V446:V456 E446:T456 X446:X456">
    <cfRule type="cellIs" dxfId="304" priority="80" operator="equal">
      <formula>0</formula>
    </cfRule>
  </conditionalFormatting>
  <conditionalFormatting sqref="V391:V401 E391:T401 X391:X401">
    <cfRule type="cellIs" dxfId="303" priority="84" operator="equal">
      <formula>0</formula>
    </cfRule>
  </conditionalFormatting>
  <conditionalFormatting sqref="V402:V412 E402:T412 X402:X412">
    <cfRule type="cellIs" dxfId="302" priority="83" operator="equal">
      <formula>0</formula>
    </cfRule>
  </conditionalFormatting>
  <conditionalFormatting sqref="V413:V423 E413:T423 X413:X423">
    <cfRule type="cellIs" dxfId="301" priority="82" operator="equal">
      <formula>0</formula>
    </cfRule>
  </conditionalFormatting>
  <conditionalFormatting sqref="V457:V467 E457:T467 X457:X467">
    <cfRule type="cellIs" dxfId="300" priority="79" operator="equal">
      <formula>0</formula>
    </cfRule>
  </conditionalFormatting>
  <conditionalFormatting sqref="V468:V478 E468:T478 X468:X478">
    <cfRule type="cellIs" dxfId="299" priority="78" operator="equal">
      <formula>0</formula>
    </cfRule>
  </conditionalFormatting>
  <conditionalFormatting sqref="V479:V489 E479:T489 X479:X489">
    <cfRule type="cellIs" dxfId="298" priority="77" operator="equal">
      <formula>0</formula>
    </cfRule>
  </conditionalFormatting>
  <conditionalFormatting sqref="X512:X522 T512:T522 L512:L522 H512:H522">
    <cfRule type="cellIs" dxfId="297" priority="76" operator="equal">
      <formula>0</formula>
    </cfRule>
  </conditionalFormatting>
  <conditionalFormatting sqref="V512:V522 E512:G522 I512:K522 M512:S522">
    <cfRule type="cellIs" dxfId="296" priority="75" operator="equal">
      <formula>0</formula>
    </cfRule>
  </conditionalFormatting>
  <conditionalFormatting sqref="X523:X533 T523:T533 L523:L533 H523:H533">
    <cfRule type="cellIs" dxfId="295" priority="74" operator="equal">
      <formula>0</formula>
    </cfRule>
  </conditionalFormatting>
  <conditionalFormatting sqref="V523:V533 E523:G533 I523:K533 M523:S533">
    <cfRule type="cellIs" dxfId="294" priority="73" operator="equal">
      <formula>0</formula>
    </cfRule>
  </conditionalFormatting>
  <conditionalFormatting sqref="X534:X544 T534:T544 L534:L544 H534:H544">
    <cfRule type="cellIs" dxfId="293" priority="72" operator="equal">
      <formula>0</formula>
    </cfRule>
  </conditionalFormatting>
  <conditionalFormatting sqref="V534:V544 E534:G544 I534:K544 M534:S544">
    <cfRule type="cellIs" dxfId="292" priority="71" operator="equal">
      <formula>0</formula>
    </cfRule>
  </conditionalFormatting>
  <conditionalFormatting sqref="X545:X555 T545:T555 L545:L555 H545:H555">
    <cfRule type="cellIs" dxfId="291" priority="70" operator="equal">
      <formula>0</formula>
    </cfRule>
  </conditionalFormatting>
  <conditionalFormatting sqref="V545:V555 E545:G555 I545:K555 M545:S555">
    <cfRule type="cellIs" dxfId="290" priority="69" operator="equal">
      <formula>0</formula>
    </cfRule>
  </conditionalFormatting>
  <conditionalFormatting sqref="X556:X566 T556:T566 L556:L566 H556:H566">
    <cfRule type="cellIs" dxfId="289" priority="68" operator="equal">
      <formula>0</formula>
    </cfRule>
  </conditionalFormatting>
  <conditionalFormatting sqref="V556:V566 E556:G566 I556:K566 M556:S566">
    <cfRule type="cellIs" dxfId="288" priority="67" operator="equal">
      <formula>0</formula>
    </cfRule>
  </conditionalFormatting>
  <conditionalFormatting sqref="X567:X577 T567:T577 L567:L577 H567:H577">
    <cfRule type="cellIs" dxfId="287" priority="66" operator="equal">
      <formula>0</formula>
    </cfRule>
  </conditionalFormatting>
  <conditionalFormatting sqref="V567:V577 E567:G577 I567:K577 M567:S577">
    <cfRule type="cellIs" dxfId="286" priority="65" operator="equal">
      <formula>0</formula>
    </cfRule>
  </conditionalFormatting>
  <conditionalFormatting sqref="X578:X588 T578:T588 L578:L588 H578:H588">
    <cfRule type="cellIs" dxfId="285" priority="64" operator="equal">
      <formula>0</formula>
    </cfRule>
  </conditionalFormatting>
  <conditionalFormatting sqref="V578:V588 E578:G588 I578:K588 M578:S588">
    <cfRule type="cellIs" dxfId="284" priority="63" operator="equal">
      <formula>0</formula>
    </cfRule>
  </conditionalFormatting>
  <conditionalFormatting sqref="X589:X599 T589:T599 L589:L599 H589:H599">
    <cfRule type="cellIs" dxfId="283" priority="62" operator="equal">
      <formula>0</formula>
    </cfRule>
  </conditionalFormatting>
  <conditionalFormatting sqref="V589:V599 E589:G599 I589:K599 M589:S599">
    <cfRule type="cellIs" dxfId="282" priority="61" operator="equal">
      <formula>0</formula>
    </cfRule>
  </conditionalFormatting>
  <conditionalFormatting sqref="X600:X610 T600:T610 L600:L610 H600:H610">
    <cfRule type="cellIs" dxfId="281" priority="60" operator="equal">
      <formula>0</formula>
    </cfRule>
  </conditionalFormatting>
  <conditionalFormatting sqref="V600:V610 E600:G610 I600:K610 M600:S610">
    <cfRule type="cellIs" dxfId="280" priority="59" operator="equal">
      <formula>0</formula>
    </cfRule>
  </conditionalFormatting>
  <conditionalFormatting sqref="X611:X621 T611:T621 L611:L621 H611:H621">
    <cfRule type="cellIs" dxfId="279" priority="58" operator="equal">
      <formula>0</formula>
    </cfRule>
  </conditionalFormatting>
  <conditionalFormatting sqref="V611:V621 E611:G621 I611:K621 M611:S621">
    <cfRule type="cellIs" dxfId="278" priority="57" operator="equal">
      <formula>0</formula>
    </cfRule>
  </conditionalFormatting>
  <conditionalFormatting sqref="X622:X632 T622:T632 L622:L632 H622:H632">
    <cfRule type="cellIs" dxfId="277" priority="56" operator="equal">
      <formula>0</formula>
    </cfRule>
  </conditionalFormatting>
  <conditionalFormatting sqref="V622:V632 E622:G632 I622:K632 M622:S632">
    <cfRule type="cellIs" dxfId="276" priority="55" operator="equal">
      <formula>0</formula>
    </cfRule>
  </conditionalFormatting>
  <conditionalFormatting sqref="X633:X643 T633:T643 L633:L643 H633:H643">
    <cfRule type="cellIs" dxfId="275" priority="54" operator="equal">
      <formula>0</formula>
    </cfRule>
  </conditionalFormatting>
  <conditionalFormatting sqref="V633:V643 E633:G643 I633:K643 M633:S643">
    <cfRule type="cellIs" dxfId="274" priority="53" operator="equal">
      <formula>0</formula>
    </cfRule>
  </conditionalFormatting>
  <conditionalFormatting sqref="E644:G653 V644:V654 I644:K653 M644:S653 H644:H654 L644:L654 T644:T654 X644:X654">
    <cfRule type="cellIs" dxfId="273" priority="52" operator="equal">
      <formula>0</formula>
    </cfRule>
  </conditionalFormatting>
  <conditionalFormatting sqref="E654:G654 W654 I654:K654 M654:S654 U654">
    <cfRule type="cellIs" dxfId="272" priority="51" operator="equal">
      <formula>0</formula>
    </cfRule>
  </conditionalFormatting>
  <conditionalFormatting sqref="E655:G664 V655:V665 I655:K664 M655:S664 H655:H665 L655:L665 T655:T665 X655:X665">
    <cfRule type="cellIs" dxfId="271" priority="50" operator="equal">
      <formula>0</formula>
    </cfRule>
  </conditionalFormatting>
  <conditionalFormatting sqref="E665:G665 W665 I665:K665 M665:S665 U665">
    <cfRule type="cellIs" dxfId="270" priority="49" operator="equal">
      <formula>0</formula>
    </cfRule>
  </conditionalFormatting>
  <conditionalFormatting sqref="E666:G675 V666:V676 I666:K675 M666:S675 H666:H676 L666:L676 T666:T676 X666:X676">
    <cfRule type="cellIs" dxfId="269" priority="48" operator="equal">
      <formula>0</formula>
    </cfRule>
  </conditionalFormatting>
  <conditionalFormatting sqref="E676:G676 W676 I676:K676 M676:S676 U676">
    <cfRule type="cellIs" dxfId="268" priority="47" operator="equal">
      <formula>0</formula>
    </cfRule>
  </conditionalFormatting>
  <conditionalFormatting sqref="E677:G686 V677:V687 I677:K686 M677:S686 H677:H687 L677:L687 T677:T687 X677:X687">
    <cfRule type="cellIs" dxfId="267" priority="46" operator="equal">
      <formula>0</formula>
    </cfRule>
  </conditionalFormatting>
  <conditionalFormatting sqref="E687:G687 W687 I687:K687 M687:S687 U687">
    <cfRule type="cellIs" dxfId="266" priority="45" operator="equal">
      <formula>0</formula>
    </cfRule>
  </conditionalFormatting>
  <conditionalFormatting sqref="E688:G697 V688:V698 I688:K697 M688:S697 H688:H698 L688:L698 T688:T698 X688:X698">
    <cfRule type="cellIs" dxfId="265" priority="44" operator="equal">
      <formula>0</formula>
    </cfRule>
  </conditionalFormatting>
  <conditionalFormatting sqref="E698:G698 W698 I698:K698 M698:S698 U698">
    <cfRule type="cellIs" dxfId="264" priority="43" operator="equal">
      <formula>0</formula>
    </cfRule>
  </conditionalFormatting>
  <conditionalFormatting sqref="E699:G708 V699:V709 I699:K708 M699:S708 H699:H709 L699:L709 T699:T709 X699:X709">
    <cfRule type="cellIs" dxfId="263" priority="42" operator="equal">
      <formula>0</formula>
    </cfRule>
  </conditionalFormatting>
  <conditionalFormatting sqref="E709:G709 W709 I709:K709 M709:S709 U709">
    <cfRule type="cellIs" dxfId="262" priority="41" operator="equal">
      <formula>0</formula>
    </cfRule>
  </conditionalFormatting>
  <conditionalFormatting sqref="E710:G719 V710:V720 I710:K719 M710:S719 H710:H720 L710:L720 T710:T720 X710:X720">
    <cfRule type="cellIs" dxfId="261" priority="40" operator="equal">
      <formula>0</formula>
    </cfRule>
  </conditionalFormatting>
  <conditionalFormatting sqref="E720:G720 W720 I720:K720 M720:S720 U720">
    <cfRule type="cellIs" dxfId="260" priority="39" operator="equal">
      <formula>0</formula>
    </cfRule>
  </conditionalFormatting>
  <conditionalFormatting sqref="E721:G730 V721:V731 I721:K730 M721:S730 H721:H731 L721:L731 T721:T731 X721:X731">
    <cfRule type="cellIs" dxfId="259" priority="38" operator="equal">
      <formula>0</formula>
    </cfRule>
  </conditionalFormatting>
  <conditionalFormatting sqref="E731:G731 W731 I731:K731 M731:S731 U731">
    <cfRule type="cellIs" dxfId="258" priority="37" operator="equal">
      <formula>0</formula>
    </cfRule>
  </conditionalFormatting>
  <conditionalFormatting sqref="E732:G741 V732:V742 I732:K741 M732:S741 H732:H742 L732:L742 T732:T742 X732:X742">
    <cfRule type="cellIs" dxfId="257" priority="36" operator="equal">
      <formula>0</formula>
    </cfRule>
  </conditionalFormatting>
  <conditionalFormatting sqref="E742:G742 W742 I742:K742 M742:S742 U742">
    <cfRule type="cellIs" dxfId="256" priority="35" operator="equal">
      <formula>0</formula>
    </cfRule>
  </conditionalFormatting>
  <conditionalFormatting sqref="E743:G752 V743:V753 I743:K752 M743:S752 H743:H753 L743:L753 T743:T753 X743:X753">
    <cfRule type="cellIs" dxfId="255" priority="34" operator="equal">
      <formula>0</formula>
    </cfRule>
  </conditionalFormatting>
  <conditionalFormatting sqref="E753:G753 W753 I753:K753 M753:S753 U753">
    <cfRule type="cellIs" dxfId="254" priority="33" operator="equal">
      <formula>0</formula>
    </cfRule>
  </conditionalFormatting>
  <conditionalFormatting sqref="E754:G763 V754:V764 I754:K763 M754:S763 H754:H764 L754:L764 T754:T764 X754:X764">
    <cfRule type="cellIs" dxfId="253" priority="32" operator="equal">
      <formula>0</formula>
    </cfRule>
  </conditionalFormatting>
  <conditionalFormatting sqref="E764:G764 W764 I764:K764 M764:S764 U764">
    <cfRule type="cellIs" dxfId="252" priority="31" operator="equal">
      <formula>0</formula>
    </cfRule>
  </conditionalFormatting>
  <conditionalFormatting sqref="E886:G895 V886:V896 I886:K895 M886:S895 H886:H896 L886:L896 T886:T896 X886:X896">
    <cfRule type="cellIs" dxfId="251" priority="30" operator="equal">
      <formula>0</formula>
    </cfRule>
  </conditionalFormatting>
  <conditionalFormatting sqref="E896:G896 W896 I896:K896 M896:S896 U896">
    <cfRule type="cellIs" dxfId="250" priority="29" operator="equal">
      <formula>0</formula>
    </cfRule>
  </conditionalFormatting>
  <conditionalFormatting sqref="E919:G928 V919:V929 I919:K928 M919:S928 H919:H929 L919:L929 T919:T929 X919:X929">
    <cfRule type="cellIs" dxfId="249" priority="28" operator="equal">
      <formula>0</formula>
    </cfRule>
  </conditionalFormatting>
  <conditionalFormatting sqref="E929:G929 W929 I929:K929 M929:S929 U929">
    <cfRule type="cellIs" dxfId="248" priority="27" operator="equal">
      <formula>0</formula>
    </cfRule>
  </conditionalFormatting>
  <conditionalFormatting sqref="E875:G884 V875:V885 I875:K884 M875:S884 H875:H885 L875:L885 T875:T885 X875:X885">
    <cfRule type="cellIs" dxfId="247" priority="26" operator="equal">
      <formula>0</formula>
    </cfRule>
  </conditionalFormatting>
  <conditionalFormatting sqref="E885:G885 W885 I885:K885 M885:S885 U885">
    <cfRule type="cellIs" dxfId="246" priority="25" operator="equal">
      <formula>0</formula>
    </cfRule>
  </conditionalFormatting>
  <conditionalFormatting sqref="E853:G862 V853:V863 I853:K862 M853:S862 H853:H863 L853:L863 T853:T863 X853:X863">
    <cfRule type="cellIs" dxfId="245" priority="24" operator="equal">
      <formula>0</formula>
    </cfRule>
  </conditionalFormatting>
  <conditionalFormatting sqref="E863:G863 W863 I863:K863 M863:S863 U863">
    <cfRule type="cellIs" dxfId="244" priority="23" operator="equal">
      <formula>0</formula>
    </cfRule>
  </conditionalFormatting>
  <conditionalFormatting sqref="E864:G873 V864:V874 I864:K873 M864:S873 H864:H874 L864:L874 T864:T874 X864:X874">
    <cfRule type="cellIs" dxfId="243" priority="22" operator="equal">
      <formula>0</formula>
    </cfRule>
  </conditionalFormatting>
  <conditionalFormatting sqref="E874:G874 W874 I874:K874 M874:S874 U874">
    <cfRule type="cellIs" dxfId="242" priority="21" operator="equal">
      <formula>0</formula>
    </cfRule>
  </conditionalFormatting>
  <conditionalFormatting sqref="E908:G917 V908:V918 I908:K917 M908:S917 H908:H918 L908:L918 T908:T918 X908:X918">
    <cfRule type="cellIs" dxfId="241" priority="20" operator="equal">
      <formula>0</formula>
    </cfRule>
  </conditionalFormatting>
  <conditionalFormatting sqref="E918:G918 W918 I918:K918 M918:S918 U918">
    <cfRule type="cellIs" dxfId="240" priority="19" operator="equal">
      <formula>0</formula>
    </cfRule>
  </conditionalFormatting>
  <conditionalFormatting sqref="E897:G906 V897:V907 I897:K906 M897:S906 H897:H907 L897:L907 T897:T907 X897:X907">
    <cfRule type="cellIs" dxfId="239" priority="18" operator="equal">
      <formula>0</formula>
    </cfRule>
  </conditionalFormatting>
  <conditionalFormatting sqref="E907:G907 W907 I907:K907 M907:S907 U907">
    <cfRule type="cellIs" dxfId="238" priority="17" operator="equal">
      <formula>0</formula>
    </cfRule>
  </conditionalFormatting>
  <conditionalFormatting sqref="E842:G851 V842:V852 I842:K851 M842:S851 H842:H852 L842:L852 T842:T852 X842:X852">
    <cfRule type="cellIs" dxfId="237" priority="16" operator="equal">
      <formula>0</formula>
    </cfRule>
  </conditionalFormatting>
  <conditionalFormatting sqref="E852:G852 W852 I852:K852 M852:S852 U852">
    <cfRule type="cellIs" dxfId="236" priority="15" operator="equal">
      <formula>0</formula>
    </cfRule>
  </conditionalFormatting>
  <conditionalFormatting sqref="E798:G807 V798:V808 I798:K807 M798:S807 H798:H808 L798:L808 T798:T808 X798:X808">
    <cfRule type="cellIs" dxfId="235" priority="14" operator="equal">
      <formula>0</formula>
    </cfRule>
  </conditionalFormatting>
  <conditionalFormatting sqref="E808:G808 W808 I808:K808 M808:S808 U808">
    <cfRule type="cellIs" dxfId="234" priority="13" operator="equal">
      <formula>0</formula>
    </cfRule>
  </conditionalFormatting>
  <conditionalFormatting sqref="E831:G840 V831:V841 I831:K840 M831:S840 H831:H841 L831:L841 T831:T841 X831:X841">
    <cfRule type="cellIs" dxfId="233" priority="12" operator="equal">
      <formula>0</formula>
    </cfRule>
  </conditionalFormatting>
  <conditionalFormatting sqref="E841:G841 W841 I841:K841 M841:S841 U841">
    <cfRule type="cellIs" dxfId="232" priority="11" operator="equal">
      <formula>0</formula>
    </cfRule>
  </conditionalFormatting>
  <conditionalFormatting sqref="E787:G796 V787:V797 I787:K796 M787:S796 H787:H797 L787:L797 T787:T797 X787:X797">
    <cfRule type="cellIs" dxfId="231" priority="10" operator="equal">
      <formula>0</formula>
    </cfRule>
  </conditionalFormatting>
  <conditionalFormatting sqref="E797:G797 W797 I797:K797 M797:S797 U797">
    <cfRule type="cellIs" dxfId="230" priority="9" operator="equal">
      <formula>0</formula>
    </cfRule>
  </conditionalFormatting>
  <conditionalFormatting sqref="E765:G774 V765:V775 I765:K774 M765:S774 H765:H775 L765:L775 T765:T775 X765:X775">
    <cfRule type="cellIs" dxfId="229" priority="8" operator="equal">
      <formula>0</formula>
    </cfRule>
  </conditionalFormatting>
  <conditionalFormatting sqref="E775:G775 W775 I775:K775 M775:S775 U775">
    <cfRule type="cellIs" dxfId="228" priority="7" operator="equal">
      <formula>0</formula>
    </cfRule>
  </conditionalFormatting>
  <conditionalFormatting sqref="E776:G785 V776:V786 I776:K785 M776:S785 H776:H786 L776:L786 T776:T786 X776:X786">
    <cfRule type="cellIs" dxfId="227" priority="6" operator="equal">
      <formula>0</formula>
    </cfRule>
  </conditionalFormatting>
  <conditionalFormatting sqref="E786:G786 W786 I786:K786 M786:S786 U786">
    <cfRule type="cellIs" dxfId="226" priority="5" operator="equal">
      <formula>0</formula>
    </cfRule>
  </conditionalFormatting>
  <conditionalFormatting sqref="E820:G829 V820:V830 I820:K829 M820:S829 H820:H830 L820:L830 T820:T830 X820:X830">
    <cfRule type="cellIs" dxfId="225" priority="4" operator="equal">
      <formula>0</formula>
    </cfRule>
  </conditionalFormatting>
  <conditionalFormatting sqref="E830:G830 W830 I830:K830 M830:S830 U830">
    <cfRule type="cellIs" dxfId="224" priority="3" operator="equal">
      <formula>0</formula>
    </cfRule>
  </conditionalFormatting>
  <conditionalFormatting sqref="E809:G818 V809:V819 I809:K818 M809:S818 H809:H819 L809:L819 T809:T819 X809:X819">
    <cfRule type="cellIs" dxfId="223" priority="2" operator="equal">
      <formula>0</formula>
    </cfRule>
  </conditionalFormatting>
  <conditionalFormatting sqref="E819:G819 W819 I819:K819 M819:S819 U819">
    <cfRule type="cellIs" dxfId="222" priority="1" operator="equal">
      <formula>0</formula>
    </cfRule>
  </conditionalFormatting>
  <pageMargins left="0.43307086614173229" right="3.937007874015748E-2" top="0.35433070866141736" bottom="0.35433070866141736" header="0" footer="0"/>
  <pageSetup paperSize="9" scale="54" fitToHeight="0" orientation="landscape" r:id="rId1"/>
  <rowBreaks count="9" manualBreakCount="9">
    <brk id="49" max="26" man="1"/>
    <brk id="93" max="26" man="1"/>
    <brk id="137" max="26" man="1"/>
    <brk id="181" max="26" man="1"/>
    <brk id="225" max="16383" man="1"/>
    <brk id="291" max="26" man="1"/>
    <brk id="456" max="26" man="1"/>
    <brk id="740" max="26" man="1"/>
    <brk id="940" max="26" man="1"/>
  </rowBreaks>
  <ignoredErrors>
    <ignoredError sqref="C6:R9 B11 H1 C15:R16 C13:P14 X13:Z14 X6:Z12 X15:Z16 B22:B33 E17:E38 G17:G31 H17:R22 X17:Z38 Y50:Z93 C28 D17:D38 C17 C18:C27 C29:C38 Z39:Z49 Y39:Y49 H36:P38 R219:R222 E213:P218 Z204:Z214 Y204:Y214 E188:P212 B164:B187 B198:B208 E182:P187 E166:P179 E158:P165 B154 B143 Y149:Z203 Z138:Z148 Y138:Y148 E146:P157 B120:B132 E136:P145 E124:P135 B99:B110 Y116:Z137 Z94:Z115 Y94:Y115 E114:P123 B77:B88 E81:P89 E90:P113 E39:P80 B44:B66 X50:X71 C11:R11 C10:J10 L10:R10 Y215:Z236 B220:B236 E219:L236 C39:D236 B210 C12:P12 R12 H24:R27 H23:P23 R23 H28:P35 R28:R35 R81:R89 E180:P181 R180:R181 R158:R165 R136:R145 R114:R123 R213:R218 R182:R187" unlockedFormula="1"/>
    <ignoredError sqref="Q13:R14 R36:R49 R188:R212 R166:R179 R146:R157 R124:R135 R94:R113 R72:R80 R223:R236 R90:R93" formula="1" unlockedFormula="1"/>
    <ignoredError sqref="V13:W14 S6:W7 S15:W35 V36:W38 V39:X49 S213:X222 V188:X212 S180:X187 V166:X179 S158:X165 V146:X157 S136:X145 V124:X135 S114:X123 V90:X113 S81:X89 V72:X80 R50:W57 R71:W71 V58:W70 V223:X236 S9:W9 S8 U8:W8 S11:W11 S10 U10:W10 S12 U12:W12" twoDigitTextYear="1" unlockedFormula="1"/>
    <ignoredError sqref="S14:U14 S36:U49 S188:U212 S166:U179 S146:U157 S124:U135 S90:U113 S72:U80 R58:U70 S223:U236 S13 U13" twoDigitTextYear="1" formula="1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база!$B:$B</xm:f>
          </x14:formula1>
          <xm:sqref>B9:B11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954"/>
  <sheetViews>
    <sheetView showZeros="0" view="pageBreakPreview" topLeftCell="A883" zoomScale="60" zoomScaleNormal="60" workbookViewId="0">
      <selection activeCell="B925" sqref="B925"/>
    </sheetView>
  </sheetViews>
  <sheetFormatPr defaultColWidth="10.28515625" defaultRowHeight="23.25"/>
  <cols>
    <col min="1" max="1" customWidth="true" style="14" width="4.0"/>
    <col min="2" max="2" customWidth="true" style="14" width="47.5703125"/>
    <col min="3" max="3" customWidth="true" style="15" width="7.7109375"/>
    <col min="4" max="4" customWidth="true" style="16" width="6.7109375"/>
    <col min="5" max="5" customWidth="true" style="17" width="8.140625"/>
    <col min="6" max="6" customWidth="true" style="18" width="7.0"/>
    <col min="7" max="7" customWidth="true" style="18" width="9.140625"/>
    <col min="8" max="8" customWidth="true" style="17" width="13.140625"/>
    <col min="9" max="9" customWidth="true" style="17" width="8.0"/>
    <col min="10" max="10" customWidth="true" style="14" width="7.0"/>
    <col min="11" max="11" customWidth="true" style="18" width="10.0"/>
    <col min="12" max="12" customWidth="true" style="17" width="11.140625"/>
    <col min="13" max="13" customWidth="true" hidden="true" style="17" width="7.0"/>
    <col min="14" max="14" customWidth="true" hidden="true" style="18" width="7.0"/>
    <col min="15" max="15" customWidth="true" hidden="true" style="18" width="7.42578125"/>
    <col min="16" max="16" customWidth="true" hidden="true" style="17" width="8.85546875"/>
    <col min="17" max="17" customWidth="true" style="17" width="8.5703125"/>
    <col min="18" max="18" customWidth="true" style="18" width="7.0"/>
    <col min="19" max="19" bestFit="true" customWidth="true" style="18" width="9.42578125"/>
    <col min="20" max="20" bestFit="true" customWidth="true" style="17" width="13.0"/>
    <col min="21" max="21" bestFit="true" customWidth="true" style="17" width="8.140625"/>
    <col min="22" max="22" customWidth="true" style="18" width="7.0"/>
    <col min="23" max="23" bestFit="true" customWidth="true" style="18" width="9.42578125"/>
    <col min="24" max="24" bestFit="true" customWidth="true" style="19" width="13.0"/>
    <col min="25" max="25" customWidth="true" style="14" width="13.0"/>
    <col min="26" max="26" customWidth="true" style="17" width="15.28515625"/>
    <col min="27" max="27" customWidth="true" style="20" width="24.7109375"/>
    <col min="28" max="28" style="14" width="10.28515625"/>
    <col min="29" max="29" customWidth="true" style="722" width="25.42578125"/>
    <col min="30" max="30" style="759" width="10.28515625"/>
    <col min="31" max="16384" style="14" width="10.28515625"/>
  </cols>
  <sheetData>
    <row r="1" spans="1:30" s="11" customFormat="1" ht="27" customHeight="1">
      <c r="A1" s="298"/>
      <c r="B1" s="298"/>
      <c r="C1" s="298"/>
      <c r="D1" s="298"/>
      <c r="E1" s="298"/>
      <c r="F1" s="298"/>
      <c r="G1" s="298"/>
      <c r="H1" s="803" t="str">
        <f>INDEX(база!AO:AO, MATCH(Data_Tech!AU7,база!AN:AN,0))</f>
        <v>Производственный цех №3, мастерская 39</v>
      </c>
      <c r="I1" s="803"/>
      <c r="J1" s="803"/>
      <c r="K1" s="803"/>
      <c r="L1" s="803"/>
      <c r="M1" s="803"/>
      <c r="N1" s="803"/>
      <c r="O1" s="803"/>
      <c r="P1" s="803"/>
      <c r="Q1" s="803"/>
      <c r="R1" s="803"/>
      <c r="S1" s="803"/>
      <c r="T1" s="803"/>
      <c r="U1" s="803"/>
      <c r="V1" s="298"/>
      <c r="W1" s="298"/>
      <c r="X1" s="298"/>
      <c r="Y1" s="298"/>
      <c r="Z1" s="298"/>
      <c r="AA1" s="298"/>
      <c r="AC1" s="719"/>
      <c r="AD1" s="760"/>
    </row>
    <row r="2" spans="1:30" s="11" customFormat="1" ht="22.5">
      <c r="A2" s="168"/>
      <c r="B2" s="168"/>
      <c r="C2" s="168"/>
      <c r="D2" s="168"/>
      <c r="E2" s="169"/>
      <c r="F2" s="170"/>
      <c r="G2" s="170"/>
      <c r="H2" s="169"/>
      <c r="I2" s="169"/>
      <c r="J2" s="171"/>
      <c r="K2" s="171"/>
      <c r="L2" s="171" t="s">
        <v>43</v>
      </c>
      <c r="M2" s="171"/>
      <c r="N2" s="170" t="s">
        <v>43</v>
      </c>
      <c r="O2" s="171"/>
      <c r="P2" s="171"/>
      <c r="Q2" s="172" t="str">
        <f>Data_Tech!$A$3</f>
        <v>январь</v>
      </c>
      <c r="R2" s="170"/>
      <c r="S2" s="170"/>
      <c r="T2" s="173">
        <v>2023</v>
      </c>
      <c r="U2" s="169"/>
      <c r="V2" s="170"/>
      <c r="W2" s="170"/>
      <c r="X2" s="174"/>
      <c r="Y2" s="168"/>
      <c r="Z2" s="169"/>
      <c r="AA2" s="175"/>
      <c r="AC2" s="719"/>
      <c r="AD2" s="760"/>
    </row>
    <row r="3" spans="1:30" s="12" customFormat="1" ht="24" thickBot="1">
      <c r="A3" s="176"/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8"/>
      <c r="N3" s="179"/>
      <c r="O3" s="179"/>
      <c r="P3" s="179"/>
      <c r="Q3" s="176"/>
      <c r="R3" s="177"/>
      <c r="S3" s="177"/>
      <c r="T3" s="177"/>
      <c r="U3" s="177"/>
      <c r="V3" s="177"/>
      <c r="W3" s="177"/>
      <c r="X3" s="177"/>
      <c r="Y3" s="177"/>
      <c r="Z3" s="177"/>
      <c r="AA3" s="177"/>
      <c r="AC3" s="720"/>
      <c r="AD3" s="761"/>
    </row>
    <row r="4" spans="1:30" s="13" customFormat="1" thickBot="1">
      <c r="A4" s="870"/>
      <c r="B4" s="872" t="s">
        <v>33</v>
      </c>
      <c r="C4" s="874" t="s">
        <v>34</v>
      </c>
      <c r="D4" s="876" t="s">
        <v>35</v>
      </c>
      <c r="E4" s="878">
        <v>0.04</v>
      </c>
      <c r="F4" s="879"/>
      <c r="G4" s="879"/>
      <c r="H4" s="880"/>
      <c r="I4" s="878">
        <v>0.08</v>
      </c>
      <c r="J4" s="879"/>
      <c r="K4" s="879"/>
      <c r="L4" s="880"/>
      <c r="M4" s="878">
        <v>0.12</v>
      </c>
      <c r="N4" s="879"/>
      <c r="O4" s="879"/>
      <c r="P4" s="880"/>
      <c r="Q4" s="887">
        <v>0.16</v>
      </c>
      <c r="R4" s="888"/>
      <c r="S4" s="888"/>
      <c r="T4" s="889"/>
      <c r="U4" s="887">
        <v>0.24</v>
      </c>
      <c r="V4" s="888"/>
      <c r="W4" s="888"/>
      <c r="X4" s="889"/>
      <c r="Y4" s="881" t="s">
        <v>36</v>
      </c>
      <c r="Z4" s="883" t="s">
        <v>37</v>
      </c>
      <c r="AA4" s="885" t="s">
        <v>38</v>
      </c>
      <c r="AC4" s="721"/>
      <c r="AD4" s="762"/>
    </row>
    <row r="5" spans="1:30" ht="49.5" thickBot="1">
      <c r="A5" s="871"/>
      <c r="B5" s="873"/>
      <c r="C5" s="875"/>
      <c r="D5" s="877"/>
      <c r="E5" s="287" t="s">
        <v>39</v>
      </c>
      <c r="F5" s="285" t="s">
        <v>40</v>
      </c>
      <c r="G5" s="285" t="s">
        <v>41</v>
      </c>
      <c r="H5" s="286" t="s">
        <v>42</v>
      </c>
      <c r="I5" s="284" t="s">
        <v>39</v>
      </c>
      <c r="J5" s="285" t="s">
        <v>40</v>
      </c>
      <c r="K5" s="285" t="s">
        <v>41</v>
      </c>
      <c r="L5" s="286" t="s">
        <v>42</v>
      </c>
      <c r="M5" s="284" t="s">
        <v>39</v>
      </c>
      <c r="N5" s="285" t="s">
        <v>40</v>
      </c>
      <c r="O5" s="285" t="s">
        <v>41</v>
      </c>
      <c r="P5" s="286" t="s">
        <v>42</v>
      </c>
      <c r="Q5" s="284" t="s">
        <v>39</v>
      </c>
      <c r="R5" s="285" t="s">
        <v>40</v>
      </c>
      <c r="S5" s="285" t="s">
        <v>41</v>
      </c>
      <c r="T5" s="286" t="s">
        <v>42</v>
      </c>
      <c r="U5" s="284" t="s">
        <v>39</v>
      </c>
      <c r="V5" s="285" t="s">
        <v>40</v>
      </c>
      <c r="W5" s="285" t="s">
        <v>41</v>
      </c>
      <c r="X5" s="321" t="s">
        <v>42</v>
      </c>
      <c r="Y5" s="882"/>
      <c r="Z5" s="884"/>
      <c r="AA5" s="886"/>
    </row>
    <row r="6" spans="1:30">
      <c r="A6" s="785">
        <v>1</v>
      </c>
      <c r="B6" s="890" t="str">
        <f>база!B2</f>
        <v>Авдокушина Елена Николаевна</v>
      </c>
      <c r="C6" s="851">
        <f>INDEX(база!$E$2:$E$150, MATCH(B6,база!$B$2:$B$150,0))</f>
        <v>15118</v>
      </c>
      <c r="D6" s="852">
        <f>INDEX(база!$D$2:$D$150, MATCH(B6,база!$B$2:$B$150,0))</f>
        <v>4</v>
      </c>
      <c r="E6" s="73">
        <f>IF(D6&lt;=3,база!$I$4,
IF(D6=4,база!$I$5,
IF(D6=5,база!$I$6)))</f>
        <v>207.5112</v>
      </c>
      <c r="F6" s="270">
        <v>1</v>
      </c>
      <c r="G6" s="87">
        <f>SUMIFS(Таблица1[сумма],Таблица1[коэф],"1",Таблица1[р/р],"2/4",Таблица1[Ф. И. О.],B6)</f>
        <v>0</v>
      </c>
      <c r="H6" s="88">
        <f>ROUND(E6*F6*G6,2)</f>
        <v>0</v>
      </c>
      <c r="I6" s="310">
        <f>IF(D6&lt;=3,база!$J$4,
IF(D6=4,база!$J$5,
IF(D6=5,база!$J$6)))</f>
        <v>215.4924</v>
      </c>
      <c r="J6" s="270">
        <v>1</v>
      </c>
      <c r="K6" s="38">
        <f>SUMIFS(Таблица1[сумма],Таблица1[коэф],"1",Таблица1[р/р],"2/8",Таблица1[Ф. И. О.],B6)</f>
        <v>0</v>
      </c>
      <c r="L6" s="28">
        <f>ROUND(I6*J6*K6,2)</f>
        <v>0</v>
      </c>
      <c r="M6" s="39"/>
      <c r="N6" s="38">
        <v>1</v>
      </c>
      <c r="O6" s="38">
        <f>SUMIFS(Data_Tech!$AM$3:$AM$67,Data_Tech!$E$3:$E$67,"1",Data_Tech!$G$3:$G$67,"3/12",Data_Tech!$F$3:$F$67,B6)</f>
        <v>0</v>
      </c>
      <c r="P6" s="281">
        <f>ROUND(M6*N6*O6,2)</f>
        <v>0</v>
      </c>
      <c r="Q6" s="74">
        <f>IF(D6&lt;=3,база!$L$4,
IF(D6=4,база!$L$5,
IF(D6=5,база!$L$6)))</f>
        <v>231.45480000000001</v>
      </c>
      <c r="R6" s="270">
        <v>1</v>
      </c>
      <c r="S6" s="96">
        <f>SUMIFS(Таблица1[сумма],Таблица1[коэф],"1",Таблица1[р/р],"3/16",Таблица1[Ф. И. О.],B6)</f>
        <v>0</v>
      </c>
      <c r="T6" s="88">
        <f>ROUND(Q6*R6*S6,2)</f>
        <v>0</v>
      </c>
      <c r="U6" s="329">
        <f>IF(D6&lt;=3,база!$M$4,
IF(D6=4,база!$M$5,
IF(D6=5,база!$M$6)))</f>
        <v>247.41720000000001</v>
      </c>
      <c r="V6" s="270">
        <v>1</v>
      </c>
      <c r="W6" s="96">
        <f>SUMIFS(Таблица1[сумма],Таблица1[коэф],"1",Таблица1[р/р],"3/24",Таблица1[Ф. И. О.],B6)</f>
        <v>0</v>
      </c>
      <c r="X6" s="88">
        <f>ROUND(U6*V6*W6,2)</f>
        <v>0</v>
      </c>
      <c r="Y6" s="837">
        <f>SUM(G6:G16,K6:K16,O6:O16,S6:S16,W6:W16)</f>
        <v>0</v>
      </c>
      <c r="Z6" s="853">
        <f>IFERROR(SUM(H6:H16,L6:L16,T6:T16,X6:X16),"")</f>
        <v>0</v>
      </c>
      <c r="AA6" s="842"/>
    </row>
    <row r="7" spans="1:30">
      <c r="A7" s="786"/>
      <c r="B7" s="891"/>
      <c r="C7" s="845"/>
      <c r="D7" s="847"/>
      <c r="E7" s="79">
        <f>IF(D6&lt;=3,база!$I$4,
IF(D6=4,база!$I$5,
IF(D6=5,база!$I$6)))</f>
        <v>207.5112</v>
      </c>
      <c r="F7" s="272">
        <v>1</v>
      </c>
      <c r="G7" s="92">
        <f>SUMIFS(Таблица1[сумма],Таблица1[коэф],"1",Таблица1[р/р],"3/4",Таблица1[Ф. И. О.],B6)</f>
        <v>0</v>
      </c>
      <c r="H7" s="95">
        <f>ROUND(E7*F7*G7,2)</f>
        <v>0</v>
      </c>
      <c r="I7" s="83">
        <f>IF(D6&lt;=3,база!$J$4,
IF(D6=4,база!$J$5,
IF(D6=5,база!$J$6)))</f>
        <v>215.4924</v>
      </c>
      <c r="J7" s="272">
        <v>1</v>
      </c>
      <c r="K7" s="68">
        <f>SUMIFS(Таблица1[сумма],Таблица1[коэф],"1",Таблица1[р/р],"3/8",Таблица1[Ф. И. О.],B6)</f>
        <v>0</v>
      </c>
      <c r="L7" s="29">
        <f>ROUND(I7*J7*K7,2)</f>
        <v>0</v>
      </c>
      <c r="M7" s="24"/>
      <c r="N7" s="22">
        <v>1</v>
      </c>
      <c r="O7" s="22">
        <f>SUMIFS(Data_Tech!$AM$3:$AM$67,Data_Tech!$E$3:$E$67,"1",Data_Tech!$G$3:$G$67,"4/12",Data_Tech!$F$3:$F$67,B6)</f>
        <v>0</v>
      </c>
      <c r="P7" s="282">
        <f>ROUND(M7*O7,2)</f>
        <v>0</v>
      </c>
      <c r="Q7" s="80">
        <f>база!$L$5</f>
        <v>231.45480000000001</v>
      </c>
      <c r="R7" s="272">
        <v>1</v>
      </c>
      <c r="S7" s="99">
        <f>SUMIFS(Таблица1[сумма],Таблица1[коэф],"1",Таблица1[р/р],"4/16",Таблица1[Ф. И. О.],B6)</f>
        <v>0</v>
      </c>
      <c r="T7" s="95">
        <f>ROUND(Q7*R7*S7,2)</f>
        <v>0</v>
      </c>
      <c r="U7" s="330">
        <f>база!$M$5</f>
        <v>247.41720000000001</v>
      </c>
      <c r="V7" s="272">
        <v>1</v>
      </c>
      <c r="W7" s="99">
        <f>SUMIFS(Таблица1[сумма],Таблица1[коэф],"1",Таблица1[р/р],"4/24",Таблица1[Ф. И. О.],B6)</f>
        <v>0</v>
      </c>
      <c r="X7" s="103">
        <f t="shared" ref="X7:X9" si="0">ROUND(U7*V7*W7,2)</f>
        <v>0</v>
      </c>
      <c r="Y7" s="838"/>
      <c r="Z7" s="840"/>
      <c r="AA7" s="843"/>
    </row>
    <row r="8" spans="1:30">
      <c r="A8" s="786"/>
      <c r="B8" s="891"/>
      <c r="C8" s="845"/>
      <c r="D8" s="847"/>
      <c r="E8" s="79"/>
      <c r="F8" s="272"/>
      <c r="G8" s="92"/>
      <c r="H8" s="95"/>
      <c r="I8" s="83"/>
      <c r="J8" s="272"/>
      <c r="K8" s="68"/>
      <c r="L8" s="29"/>
      <c r="M8" s="24"/>
      <c r="N8" s="22"/>
      <c r="O8" s="22"/>
      <c r="P8" s="282"/>
      <c r="Q8" s="80">
        <f>база!$L$6</f>
        <v>261.04640000000001</v>
      </c>
      <c r="R8" s="272">
        <v>1</v>
      </c>
      <c r="S8" s="99">
        <f>SUMIFS(Таблица1[сумма],Таблица1[коэф],"1",Таблица1[р/р],"5/16",Таблица1[Ф. И. О.],B6)</f>
        <v>0</v>
      </c>
      <c r="T8" s="95">
        <f>ROUND(Q8*R8*S8,2)</f>
        <v>0</v>
      </c>
      <c r="U8" s="330">
        <f>база!$M$6</f>
        <v>279.0496</v>
      </c>
      <c r="V8" s="272">
        <v>1</v>
      </c>
      <c r="W8" s="99">
        <f>SUMIFS(Таблица1[сумма],Таблица1[коэф],"1",Таблица1[р/р],"5/24",Таблица1[Ф. И. О.],B6)</f>
        <v>0</v>
      </c>
      <c r="X8" s="95">
        <f>ROUND(U8*V8*W8,2)</f>
        <v>0</v>
      </c>
      <c r="Y8" s="838"/>
      <c r="Z8" s="840"/>
      <c r="AA8" s="843"/>
    </row>
    <row r="9" spans="1:30">
      <c r="A9" s="786"/>
      <c r="B9" s="891"/>
      <c r="C9" s="845"/>
      <c r="D9" s="847"/>
      <c r="E9" s="79"/>
      <c r="F9" s="272"/>
      <c r="G9" s="92"/>
      <c r="H9" s="95"/>
      <c r="I9" s="83">
        <f>база!$J$5</f>
        <v>215.4924</v>
      </c>
      <c r="J9" s="272">
        <v>1.5</v>
      </c>
      <c r="K9" s="68">
        <f>SUMIFS(Таблица1[сумма],Таблица1[коэф],"1,5",Таблица1[р/р],"4/8",Таблица1[Ф. И. О.],B6)</f>
        <v>0</v>
      </c>
      <c r="L9" s="29">
        <f>ROUND(I9*J9*K9,2)</f>
        <v>0</v>
      </c>
      <c r="M9" s="24"/>
      <c r="N9" s="22"/>
      <c r="O9" s="22"/>
      <c r="P9" s="282"/>
      <c r="Q9" s="80">
        <f>IF(D6&lt;=3,база!$L$4,
IF(D6=4,база!$L$5,
IF(D6=5,база!$L$6)))</f>
        <v>231.45480000000001</v>
      </c>
      <c r="R9" s="272">
        <v>1.2</v>
      </c>
      <c r="S9" s="99">
        <f>SUMIFS(Таблица1[сумма],Таблица1[коэф],"1,2",Таблица1[р/р],"3/16",Таблица1[Ф. И. О.],B6)</f>
        <v>0</v>
      </c>
      <c r="T9" s="95">
        <f t="shared" ref="T9" si="1">ROUND(Q9*R9*S9,2)</f>
        <v>0</v>
      </c>
      <c r="U9" s="330">
        <f>IF(D6&lt;=3,база!$M$4,
IF(D6=4,база!$M$5,
IF(D6=5,база!$M$6)))</f>
        <v>247.41720000000001</v>
      </c>
      <c r="V9" s="272">
        <v>1.2</v>
      </c>
      <c r="W9" s="99">
        <f>SUMIFS(Таблица1[сумма],Таблица1[коэф],"1,2",Таблица1[р/р],"3/24",Таблица1[Ф. И. О.],B6)</f>
        <v>0</v>
      </c>
      <c r="X9" s="95">
        <f t="shared" si="0"/>
        <v>0</v>
      </c>
      <c r="Y9" s="838"/>
      <c r="Z9" s="840"/>
      <c r="AA9" s="843"/>
    </row>
    <row r="10" spans="1:30">
      <c r="A10" s="786"/>
      <c r="B10" s="891"/>
      <c r="C10" s="845"/>
      <c r="D10" s="847"/>
      <c r="E10" s="79"/>
      <c r="F10" s="272"/>
      <c r="G10" s="92"/>
      <c r="H10" s="95"/>
      <c r="I10" s="83">
        <f>база!$J$6</f>
        <v>243.04319999999998</v>
      </c>
      <c r="J10" s="272">
        <v>1.5</v>
      </c>
      <c r="K10" s="68">
        <f>SUMIFS(Таблица1[сумма],Таблица1[коэф],"1,5",Таблица1[р/р],"5/8",Таблица1[Ф. И. О.],B6)</f>
        <v>0</v>
      </c>
      <c r="L10" s="29">
        <f>ROUND(I10*J10*K10,2)</f>
        <v>0</v>
      </c>
      <c r="M10" s="24"/>
      <c r="N10" s="22"/>
      <c r="O10" s="22"/>
      <c r="P10" s="282"/>
      <c r="Q10" s="80">
        <f>база!$L$5</f>
        <v>231.45480000000001</v>
      </c>
      <c r="R10" s="275">
        <v>1.2</v>
      </c>
      <c r="S10" s="99">
        <f>SUMIFS(Таблица1[сумма],Таблица1[коэф],"1,2",Таблица1[р/р],"4/16",Таблица1[Ф. И. О.],B6)</f>
        <v>0</v>
      </c>
      <c r="T10" s="95">
        <f t="shared" ref="T10" si="2">ROUND(Q10*R10*S10,2)</f>
        <v>0</v>
      </c>
      <c r="U10" s="330">
        <f>база!$M$5</f>
        <v>247.41720000000001</v>
      </c>
      <c r="V10" s="275">
        <v>1.2</v>
      </c>
      <c r="W10" s="99">
        <f>SUMIFS(Таблица1[сумма],Таблица1[коэф],"1,2",Таблица1[р/р],"4/24",Таблица1[Ф. И. О.],B6)</f>
        <v>0</v>
      </c>
      <c r="X10" s="95">
        <f t="shared" ref="X10" si="3">ROUND(U10*V10*W10,2)</f>
        <v>0</v>
      </c>
      <c r="Y10" s="838"/>
      <c r="Z10" s="840"/>
      <c r="AA10" s="843"/>
      <c r="AC10" s="722" t="str">
        <f>IF(SUMIFS(Таблица1[Столбец2],Таблица1[Ф. И. О.],B6)-Z6=0,"",SUMIFS(Таблица1[Столбец2],Таблица1[Ф. И. О.],B6)-Z6)</f>
        <v/>
      </c>
    </row>
    <row r="11" spans="1:30" ht="21" customHeight="1">
      <c r="A11" s="786"/>
      <c r="B11" s="891"/>
      <c r="C11" s="845"/>
      <c r="D11" s="847"/>
      <c r="E11" s="79"/>
      <c r="F11" s="272"/>
      <c r="G11" s="92"/>
      <c r="H11" s="95"/>
      <c r="I11" s="83"/>
      <c r="J11" s="272"/>
      <c r="K11" s="68"/>
      <c r="L11" s="29"/>
      <c r="M11" s="24"/>
      <c r="N11" s="22"/>
      <c r="O11" s="22"/>
      <c r="P11" s="282"/>
      <c r="Q11" s="80">
        <f>база!$L$6</f>
        <v>261.04640000000001</v>
      </c>
      <c r="R11" s="272">
        <v>1.2</v>
      </c>
      <c r="S11" s="99">
        <f>SUMIFS(Таблица1[сумма],Таблица1[коэф],"1,2",Таблица1[р/р],"5/16",Таблица1[Ф. И. О.],B6)</f>
        <v>0</v>
      </c>
      <c r="T11" s="95">
        <f>ROUND(Q11*R11*S11,2)</f>
        <v>0</v>
      </c>
      <c r="U11" s="331">
        <f>база!$M$6</f>
        <v>279.0496</v>
      </c>
      <c r="V11" s="272">
        <v>1.2</v>
      </c>
      <c r="W11" s="305">
        <f>SUMIFS(Таблица1[сумма],Таблица1[коэф],"1,2",Таблица1[р/р],"5/24",Таблица1[Ф. И. О.],B6)</f>
        <v>0</v>
      </c>
      <c r="X11" s="95">
        <f>ROUND(U11*V11*W11,2)</f>
        <v>0</v>
      </c>
      <c r="Y11" s="838"/>
      <c r="Z11" s="840"/>
      <c r="AA11" s="843"/>
      <c r="AC11" s="722" t="str">
        <f>IF(SUMIFS(Таблица1[сумма],Таблица1[Ф. И. О.],B6)=Y6,"",B6&amp;"  часы не верны")</f>
        <v/>
      </c>
      <c r="AD11" s="759">
        <f>INDEX('[2]декабрь 23'!$AI$4:$AI$100,MATCH(C6,'[2]декабрь 23'!$AK$4:$AK$100,0))</f>
        <v>107.00000000000003</v>
      </c>
    </row>
    <row r="12" spans="1:30">
      <c r="A12" s="786"/>
      <c r="B12" s="891"/>
      <c r="C12" s="845"/>
      <c r="D12" s="847"/>
      <c r="E12" s="79"/>
      <c r="F12" s="272"/>
      <c r="G12" s="92"/>
      <c r="H12" s="95"/>
      <c r="I12" s="83"/>
      <c r="J12" s="272"/>
      <c r="K12" s="68"/>
      <c r="L12" s="29"/>
      <c r="M12" s="69"/>
      <c r="N12" s="68"/>
      <c r="O12" s="68"/>
      <c r="P12" s="30"/>
      <c r="Q12" s="107">
        <f>IF($D$6&lt;=3,база!$L$4,
IF($D$6=4,база!$L$5,
IF($D$6=5,база!$L$6)))</f>
        <v>231.45480000000001</v>
      </c>
      <c r="R12" s="275">
        <v>1.3</v>
      </c>
      <c r="S12" s="105">
        <f>SUMIFS(Таблица1[сумма],Таблица1[коэф],"1,3",Таблица1[р/р],"3/16",Таблица1[Ф. И. О.],B6)</f>
        <v>0</v>
      </c>
      <c r="T12" s="104">
        <f t="shared" ref="T12:T13" si="4">ROUND(Q12*R12*S12,2)</f>
        <v>0</v>
      </c>
      <c r="U12" s="353">
        <f>IF(D6&lt;=3,база!$M$4,
IF(D6=4,база!$M$5,
IF(D6=5,база!$M$6)))</f>
        <v>247.41720000000001</v>
      </c>
      <c r="V12" s="355">
        <v>1.3</v>
      </c>
      <c r="W12" s="307">
        <f>SUMIFS(Таблица1[сумма],Таблица1[коэф],"1,3",Таблица1[р/р],"3/24",Таблица1[Ф. И. О.],B6)</f>
        <v>0</v>
      </c>
      <c r="X12" s="313">
        <f t="shared" ref="X12:X13" si="5">ROUND(U12*V12*W12,2)</f>
        <v>0</v>
      </c>
      <c r="Y12" s="838"/>
      <c r="Z12" s="840"/>
      <c r="AA12" s="843"/>
    </row>
    <row r="13" spans="1:30">
      <c r="A13" s="786"/>
      <c r="B13" s="891"/>
      <c r="C13" s="845"/>
      <c r="D13" s="847"/>
      <c r="E13" s="79"/>
      <c r="F13" s="272"/>
      <c r="G13" s="92"/>
      <c r="H13" s="95"/>
      <c r="I13" s="83"/>
      <c r="J13" s="272"/>
      <c r="K13" s="68"/>
      <c r="L13" s="29"/>
      <c r="M13" s="67"/>
      <c r="N13" s="59"/>
      <c r="O13" s="59"/>
      <c r="P13" s="283"/>
      <c r="Q13" s="80">
        <f>база!$L$5</f>
        <v>231.45480000000001</v>
      </c>
      <c r="R13" s="272">
        <v>1.3</v>
      </c>
      <c r="S13" s="99">
        <f>SUMIFS(Таблица1[сумма],Таблица1[коэф],"1,3",Таблица1[р/р],"4/16",Таблица1[Ф. И. О.],B6)</f>
        <v>0</v>
      </c>
      <c r="T13" s="104">
        <f t="shared" si="4"/>
        <v>0</v>
      </c>
      <c r="U13" s="353">
        <f>база!$M$5</f>
        <v>247.41720000000001</v>
      </c>
      <c r="V13" s="355">
        <v>1.3</v>
      </c>
      <c r="W13" s="307">
        <f>SUMIFS(Таблица1[сумма],Таблица1[коэф],"1,3",Таблица1[р/р],"4/24",Таблица1[Ф. И. О.],B6)</f>
        <v>0</v>
      </c>
      <c r="X13" s="313">
        <f t="shared" si="5"/>
        <v>0</v>
      </c>
      <c r="Y13" s="838"/>
      <c r="Z13" s="840"/>
      <c r="AA13" s="843"/>
    </row>
    <row r="14" spans="1:30">
      <c r="A14" s="786"/>
      <c r="B14" s="891"/>
      <c r="C14" s="845"/>
      <c r="D14" s="847"/>
      <c r="E14" s="79"/>
      <c r="F14" s="272"/>
      <c r="G14" s="92"/>
      <c r="H14" s="95"/>
      <c r="I14" s="83"/>
      <c r="J14" s="272"/>
      <c r="K14" s="68"/>
      <c r="L14" s="29"/>
      <c r="M14" s="67"/>
      <c r="N14" s="59"/>
      <c r="O14" s="59"/>
      <c r="P14" s="283"/>
      <c r="Q14" s="76">
        <f>IF(D6&lt;=3,база!$L$4,
IF(D6=4,база!$L$5,
IF(D6=5,база!$L$6)))</f>
        <v>231.45480000000001</v>
      </c>
      <c r="R14" s="271">
        <v>1.4</v>
      </c>
      <c r="S14" s="97">
        <f>SUMIFS(Таблица1[сумма],Таблица1[коэф],"1,4",Таблица1[р/р],"3/16",Таблица1[Ф. И. О.],B6)</f>
        <v>0</v>
      </c>
      <c r="T14" s="95">
        <f t="shared" ref="T14:T19" si="6">ROUND(Q14*R14*S14,2)</f>
        <v>0</v>
      </c>
      <c r="U14" s="332">
        <f>IF(D6&lt;=3,база!$M$4,
IF(D6=4,база!$M$5,
IF(D6=5,база!$M$6)))</f>
        <v>247.41720000000001</v>
      </c>
      <c r="V14" s="271">
        <v>1.4</v>
      </c>
      <c r="W14" s="97">
        <f>SUMIFS(Таблица1[сумма],Таблица1[коэф],"1,4",Таблица1[р/р],"3/24",Таблица1[Ф. И. О.],B6)</f>
        <v>0</v>
      </c>
      <c r="X14" s="103">
        <f>ROUND(U14*V14*W14,2)</f>
        <v>0</v>
      </c>
      <c r="Y14" s="838"/>
      <c r="Z14" s="840"/>
      <c r="AA14" s="843"/>
    </row>
    <row r="15" spans="1:30">
      <c r="A15" s="786"/>
      <c r="B15" s="891"/>
      <c r="C15" s="845"/>
      <c r="D15" s="847"/>
      <c r="E15" s="218"/>
      <c r="F15" s="275"/>
      <c r="G15" s="237"/>
      <c r="H15" s="104"/>
      <c r="I15" s="303"/>
      <c r="J15" s="275"/>
      <c r="K15" s="219"/>
      <c r="L15" s="220"/>
      <c r="M15" s="67"/>
      <c r="N15" s="59"/>
      <c r="O15" s="59"/>
      <c r="P15" s="283"/>
      <c r="Q15" s="80">
        <f>база!$L$5</f>
        <v>231.45480000000001</v>
      </c>
      <c r="R15" s="272">
        <v>1.4</v>
      </c>
      <c r="S15" s="99">
        <f>SUMIFS(Таблица1[сумма],Таблица1[коэф],"1,4",Таблица1[р/р],"4/16",Таблица1[Ф. И. О.],B6)</f>
        <v>0</v>
      </c>
      <c r="T15" s="95">
        <f t="shared" si="6"/>
        <v>0</v>
      </c>
      <c r="U15" s="330">
        <f>база!$M$5</f>
        <v>247.41720000000001</v>
      </c>
      <c r="V15" s="272">
        <v>1.4</v>
      </c>
      <c r="W15" s="99">
        <f>SUMIFS(Таблица1[сумма],Таблица1[коэф],"1,4",Таблица1[р/р],"4/24",Таблица1[Ф. И. О.],B6)</f>
        <v>0</v>
      </c>
      <c r="X15" s="95">
        <f>ROUND(U15*V15*W15,2)</f>
        <v>0</v>
      </c>
      <c r="Y15" s="838"/>
      <c r="Z15" s="840"/>
      <c r="AA15" s="843"/>
    </row>
    <row r="16" spans="1:30" ht="24" thickBot="1">
      <c r="A16" s="787"/>
      <c r="B16" s="892"/>
      <c r="C16" s="846"/>
      <c r="D16" s="848"/>
      <c r="E16" s="218"/>
      <c r="F16" s="275"/>
      <c r="G16" s="237"/>
      <c r="H16" s="104"/>
      <c r="I16" s="303"/>
      <c r="J16" s="275"/>
      <c r="K16" s="219"/>
      <c r="L16" s="220"/>
      <c r="M16" s="67"/>
      <c r="N16" s="59"/>
      <c r="O16" s="59"/>
      <c r="P16" s="283"/>
      <c r="Q16" s="107">
        <f>база!$L$6</f>
        <v>261.04640000000001</v>
      </c>
      <c r="R16" s="275">
        <v>1.4</v>
      </c>
      <c r="S16" s="105">
        <f>SUMIFS(Таблица1[сумма],Таблица1[коэф],"1,4",Таблица1[р/р],"5/16",Таблица1[Ф. И. О.],B6)</f>
        <v>0</v>
      </c>
      <c r="T16" s="104">
        <f t="shared" si="6"/>
        <v>0</v>
      </c>
      <c r="U16" s="354">
        <f>база!$M$6</f>
        <v>279.0496</v>
      </c>
      <c r="V16" s="275">
        <v>1.4</v>
      </c>
      <c r="W16" s="333">
        <f>SUMIFS(Таблица1[сумма],Таблица1[коэф],"1,4",Таблица1[р/р],"5/24",Таблица1[Ф. И. О.],B6)</f>
        <v>0</v>
      </c>
      <c r="X16" s="336">
        <f>ROUND(U16*V16*W16,2)</f>
        <v>0</v>
      </c>
      <c r="Y16" s="839"/>
      <c r="Z16" s="841"/>
      <c r="AA16" s="844"/>
    </row>
    <row r="17" spans="1:30" ht="20.25" customHeight="1">
      <c r="A17" s="785">
        <v>2</v>
      </c>
      <c r="B17" s="890" t="str">
        <f>база!B3</f>
        <v>Аксенов Александр Юрьевич</v>
      </c>
      <c r="C17" s="851">
        <f>INDEX(база!$E$2:$E$150, MATCH(B17,база!$B$2:$B$150,0))</f>
        <v>15799</v>
      </c>
      <c r="D17" s="852">
        <f>INDEX(база!$D$2:$D$150, MATCH(B17,база!$B$2:$B$150,0))</f>
        <v>3</v>
      </c>
      <c r="E17" s="73">
        <f>IF(D17&lt;=3,база!$I$4,
IF(D17=4,база!$I$5,
IF(D17=5,база!$I$6)))</f>
        <v>188.7912</v>
      </c>
      <c r="F17" s="270">
        <v>1</v>
      </c>
      <c r="G17" s="96">
        <f>SUMIFS(Таблица1[сумма],Таблица1[коэф],"1",Таблица1[р/р],"2/4",Таблица1[Ф. И. О.],B17)</f>
        <v>0</v>
      </c>
      <c r="H17" s="88">
        <f>ROUND(E17*F17*G17,2)</f>
        <v>0</v>
      </c>
      <c r="I17" s="310">
        <f>IF(D17&lt;=3,база!$J$4,
IF(D17=4,база!$J$5,
IF(D17=5,база!$J$6)))</f>
        <v>196.05240000000001</v>
      </c>
      <c r="J17" s="270">
        <v>1</v>
      </c>
      <c r="K17" s="288">
        <f>SUMIFS(Таблица1[сумма],Таблица1[коэф],"1",Таблица1[р/р],"2/8",Таблица1[Ф. И. О.],B17)</f>
        <v>0</v>
      </c>
      <c r="L17" s="28">
        <f>ROUND(I17*J17*K17,2)</f>
        <v>0</v>
      </c>
      <c r="M17" s="338"/>
      <c r="N17" s="288">
        <v>1</v>
      </c>
      <c r="O17" s="288">
        <f>SUMIFS(Data_Tech!$AM$3:$AM$67,Data_Tech!$E$3:$E$67,"1",Data_Tech!$G$3:$G$67,"3/12",Data_Tech!$F$3:$F$67,B17)</f>
        <v>0</v>
      </c>
      <c r="P17" s="281">
        <f>ROUND(M17*N17*O17,2)</f>
        <v>0</v>
      </c>
      <c r="Q17" s="363">
        <f>IF(D17&lt;=3,база!$L$4,
IF(D17=4,база!$L$5,
IF(D17=5,база!$L$6)))</f>
        <v>210.57480000000001</v>
      </c>
      <c r="R17" s="363">
        <v>1</v>
      </c>
      <c r="S17" s="340">
        <f>SUMIFS(Таблица1[сумма],Таблица1[коэф],"1",Таблица1[р/р],"3/16",Таблица1[Ф. И. О.],B17)</f>
        <v>0</v>
      </c>
      <c r="T17" s="341">
        <f t="shared" si="6"/>
        <v>0</v>
      </c>
      <c r="U17" s="356">
        <f>IF(D17&lt;=3,база!$M$4,
IF(D17=4,база!$M$5,
IF(D17=5,база!$M$6)))</f>
        <v>225.09719999999999</v>
      </c>
      <c r="V17" s="270">
        <v>1</v>
      </c>
      <c r="W17" s="340">
        <f>SUMIFS(Таблица1[сумма],Таблица1[коэф],"1",Таблица1[р/р],"3/24",Таблица1[Ф. И. О.],B17)</f>
        <v>0</v>
      </c>
      <c r="X17" s="341">
        <f>ROUND(U17*V17*W17,2)</f>
        <v>0</v>
      </c>
      <c r="Y17" s="849">
        <f>SUM(G17:G27,K17:K27,O17:O27,S17:S27,W17:W27)</f>
        <v>0</v>
      </c>
      <c r="Z17" s="840">
        <f>IFERROR(SUM(H17:H27,L17:L27,T17:T27,X17:X27),"")</f>
        <v>0</v>
      </c>
      <c r="AA17" s="843"/>
    </row>
    <row r="18" spans="1:30" ht="20.25" customHeight="1">
      <c r="A18" s="786"/>
      <c r="B18" s="891"/>
      <c r="C18" s="845"/>
      <c r="D18" s="847"/>
      <c r="E18" s="79">
        <f>IF(D17&lt;=3,база!$I$4,
IF(D17=4,база!$I$5,
IF(D17=5,база!$I$6)))</f>
        <v>188.7912</v>
      </c>
      <c r="F18" s="272">
        <v>1</v>
      </c>
      <c r="G18" s="99">
        <f>SUMIFS(Таблица1[сумма],Таблица1[коэф],"1",Таблица1[р/р],"3/4",Таблица1[Ф. И. О.],B17)</f>
        <v>0</v>
      </c>
      <c r="H18" s="95">
        <f>ROUND(E18*F18*G18,2)</f>
        <v>0</v>
      </c>
      <c r="I18" s="83">
        <f>IF(D17&lt;=3,база!$J$4,
IF(D17=4,база!$J$5,
IF(D17=5,база!$J$6)))</f>
        <v>196.05240000000001</v>
      </c>
      <c r="J18" s="272">
        <v>1</v>
      </c>
      <c r="K18" s="217">
        <f>SUMIFS(Таблица1[сумма],Таблица1[коэф],"1",Таблица1[р/р],"3/8",Таблица1[Ф. И. О.],B17)</f>
        <v>0</v>
      </c>
      <c r="L18" s="29">
        <f>ROUND(I18*J18*K18,2)</f>
        <v>0</v>
      </c>
      <c r="M18" s="334"/>
      <c r="N18" s="217">
        <v>1</v>
      </c>
      <c r="O18" s="217">
        <f>SUMIFS(Data_Tech!$AM$3:$AM$67,Data_Tech!$E$3:$E$67,"1",Data_Tech!$G$3:$G$67,"4/12",Data_Tech!$F$3:$F$67,B17)</f>
        <v>0</v>
      </c>
      <c r="P18" s="30">
        <f>ROUND(M18*O18,2)</f>
        <v>0</v>
      </c>
      <c r="Q18" s="361">
        <f>база!$L$5</f>
        <v>231.45480000000001</v>
      </c>
      <c r="R18" s="361">
        <v>1</v>
      </c>
      <c r="S18" s="307">
        <f>SUMIFS(Таблица1[сумма],Таблица1[коэф],"1",Таблица1[р/р],"4/16",Таблица1[Ф. И. О.],B17)</f>
        <v>0</v>
      </c>
      <c r="T18" s="306">
        <f t="shared" si="6"/>
        <v>0</v>
      </c>
      <c r="U18" s="357">
        <f>база!$M$5</f>
        <v>247.41720000000001</v>
      </c>
      <c r="V18" s="272">
        <v>1</v>
      </c>
      <c r="W18" s="307">
        <f>SUMIFS(Таблица1[сумма],Таблица1[коэф],"1",Таблица1[р/р],"4/24",Таблица1[Ф. И. О.],B17)</f>
        <v>0</v>
      </c>
      <c r="X18" s="320">
        <f t="shared" ref="X18" si="7">ROUND(U18*V18*W18,2)</f>
        <v>0</v>
      </c>
      <c r="Y18" s="849"/>
      <c r="Z18" s="840"/>
      <c r="AA18" s="843"/>
    </row>
    <row r="19" spans="1:30" ht="20.25" customHeight="1">
      <c r="A19" s="786"/>
      <c r="B19" s="891"/>
      <c r="C19" s="845"/>
      <c r="D19" s="847"/>
      <c r="E19" s="79"/>
      <c r="F19" s="272"/>
      <c r="G19" s="99"/>
      <c r="H19" s="95"/>
      <c r="I19" s="83"/>
      <c r="J19" s="272"/>
      <c r="K19" s="217"/>
      <c r="L19" s="29"/>
      <c r="M19" s="334"/>
      <c r="N19" s="217"/>
      <c r="O19" s="217"/>
      <c r="P19" s="30"/>
      <c r="Q19" s="80">
        <f>база!$L$6</f>
        <v>261.04640000000001</v>
      </c>
      <c r="R19" s="272">
        <v>1</v>
      </c>
      <c r="S19" s="99">
        <f>SUMIFS(Таблица1[сумма],Таблица1[коэф],"1",Таблица1[р/р],"5/16",Таблица1[Ф. И. О.],B17)</f>
        <v>0</v>
      </c>
      <c r="T19" s="335">
        <f t="shared" si="6"/>
        <v>0</v>
      </c>
      <c r="U19" s="357">
        <f>база!$M$6</f>
        <v>279.0496</v>
      </c>
      <c r="V19" s="272">
        <v>1</v>
      </c>
      <c r="W19" s="307">
        <f>SUMIFS(Таблица1[сумма],Таблица1[коэф],"1",Таблица1[р/р],"5/24",Таблица1[Ф. И. О.],B17)</f>
        <v>0</v>
      </c>
      <c r="X19" s="306">
        <f>ROUND(U19*V19*W19,2)</f>
        <v>0</v>
      </c>
      <c r="Y19" s="849"/>
      <c r="Z19" s="840"/>
      <c r="AA19" s="843"/>
    </row>
    <row r="20" spans="1:30" ht="20.25" customHeight="1">
      <c r="A20" s="786"/>
      <c r="B20" s="891"/>
      <c r="C20" s="845"/>
      <c r="D20" s="847"/>
      <c r="E20" s="85"/>
      <c r="F20" s="273"/>
      <c r="G20" s="101"/>
      <c r="H20" s="90"/>
      <c r="I20" s="106">
        <f>база!$J$5</f>
        <v>215.4924</v>
      </c>
      <c r="J20" s="273">
        <v>1.5</v>
      </c>
      <c r="K20" s="325">
        <f>SUMIFS(Таблица1[сумма],Таблица1[коэф],"1,5",Таблица1[р/р],"4/8",Таблица1[Ф. И. О.],B17)</f>
        <v>0</v>
      </c>
      <c r="L20" s="25">
        <f>ROUND(I20*J20*K20,2)</f>
        <v>0</v>
      </c>
      <c r="M20" s="324"/>
      <c r="N20" s="325"/>
      <c r="O20" s="325"/>
      <c r="P20" s="283"/>
      <c r="Q20" s="86">
        <f>IF(D17&lt;=3,база!$L$4,
IF(D17=4,база!$L$5,
IF(D17=5,база!$L$6)))</f>
        <v>210.57480000000001</v>
      </c>
      <c r="R20" s="273">
        <v>1.2</v>
      </c>
      <c r="S20" s="101">
        <f>SUMIFS(Таблица1[сумма],Таблица1[коэф],"1,2",Таблица1[р/р],"3/16",Таблица1[Ф. И. О.],B17)</f>
        <v>0</v>
      </c>
      <c r="T20" s="90">
        <f t="shared" ref="T20:T21" si="8">ROUND(Q20*R20*S20,2)</f>
        <v>0</v>
      </c>
      <c r="U20" s="358">
        <f>IF(D17&lt;=3,база!$M$4,
IF(D17=4,база!$M$5,
IF(D17=5,база!$M$6)))</f>
        <v>225.09719999999999</v>
      </c>
      <c r="V20" s="273">
        <v>1.2</v>
      </c>
      <c r="W20" s="319">
        <f>SUMIFS(Таблица1[сумма],Таблица1[коэф],"1,2",Таблица1[р/р],"3/24",Таблица1[Ф. И. О.],B17)</f>
        <v>0</v>
      </c>
      <c r="X20" s="326">
        <f t="shared" ref="X20:X21" si="9">ROUND(U20*V20*W20,2)</f>
        <v>0</v>
      </c>
      <c r="Y20" s="849"/>
      <c r="Z20" s="840"/>
      <c r="AA20" s="843"/>
    </row>
    <row r="21" spans="1:30" ht="20.25" customHeight="1">
      <c r="A21" s="786"/>
      <c r="B21" s="891"/>
      <c r="C21" s="845"/>
      <c r="D21" s="847"/>
      <c r="E21" s="79"/>
      <c r="F21" s="272"/>
      <c r="G21" s="99"/>
      <c r="H21" s="95"/>
      <c r="I21" s="83">
        <f>база!$J$6</f>
        <v>243.04319999999998</v>
      </c>
      <c r="J21" s="272">
        <v>1.5</v>
      </c>
      <c r="K21" s="217">
        <f>SUMIFS(Таблица1[сумма],Таблица1[коэф],"1,5",Таблица1[р/р],"5/8",Таблица1[Ф. И. О.],B17)</f>
        <v>0</v>
      </c>
      <c r="L21" s="29">
        <f>ROUND(I21*J21*K21,2)</f>
        <v>0</v>
      </c>
      <c r="M21" s="334"/>
      <c r="N21" s="217"/>
      <c r="O21" s="217"/>
      <c r="P21" s="30"/>
      <c r="Q21" s="80">
        <f>база!$L$5</f>
        <v>231.45480000000001</v>
      </c>
      <c r="R21" s="272">
        <v>1.2</v>
      </c>
      <c r="S21" s="99">
        <f>SUMIFS(Таблица1[сумма],Таблица1[коэф],"1,2",Таблица1[р/р],"4/16",Таблица1[Ф. И. О.],B17)</f>
        <v>0</v>
      </c>
      <c r="T21" s="95">
        <f t="shared" si="8"/>
        <v>0</v>
      </c>
      <c r="U21" s="357">
        <f>база!$M$5</f>
        <v>247.41720000000001</v>
      </c>
      <c r="V21" s="272">
        <v>1.2</v>
      </c>
      <c r="W21" s="307">
        <f>SUMIFS(Таблица1[сумма],Таблица1[коэф],"1,2",Таблица1[р/р],"4/24",Таблица1[Ф. И. О.],B17)</f>
        <v>0</v>
      </c>
      <c r="X21" s="306">
        <f t="shared" si="9"/>
        <v>0</v>
      </c>
      <c r="Y21" s="849"/>
      <c r="Z21" s="840"/>
      <c r="AA21" s="843"/>
      <c r="AC21" s="722" t="str">
        <f>IF(SUMIFS(Таблица1[Столбец2],Таблица1[Ф. И. О.],B17)-Z17=0,"",SUMIFS(Таблица1[Столбец2],Таблица1[Ф. И. О.],B17)-Z17)</f>
        <v/>
      </c>
    </row>
    <row r="22" spans="1:30" ht="20.25" customHeight="1">
      <c r="A22" s="786"/>
      <c r="B22" s="891"/>
      <c r="C22" s="845"/>
      <c r="D22" s="847"/>
      <c r="E22" s="85"/>
      <c r="F22" s="273"/>
      <c r="G22" s="101"/>
      <c r="H22" s="90"/>
      <c r="I22" s="106"/>
      <c r="J22" s="273"/>
      <c r="K22" s="325"/>
      <c r="L22" s="25"/>
      <c r="M22" s="324"/>
      <c r="N22" s="325"/>
      <c r="O22" s="325"/>
      <c r="P22" s="283"/>
      <c r="Q22" s="86">
        <f>база!$L$6</f>
        <v>261.04640000000001</v>
      </c>
      <c r="R22" s="273">
        <v>1.2</v>
      </c>
      <c r="S22" s="101">
        <f>SUMIFS(Таблица1[сумма],Таблица1[коэф],"1,2",Таблица1[р/р],"5/16",Таблица1[Ф. И. О.],B17)</f>
        <v>0</v>
      </c>
      <c r="T22" s="90">
        <f>ROUND(Q22*R22*S22,2)</f>
        <v>0</v>
      </c>
      <c r="U22" s="358">
        <f>база!$M$6</f>
        <v>279.0496</v>
      </c>
      <c r="V22" s="273">
        <v>1.2</v>
      </c>
      <c r="W22" s="319">
        <f>SUMIFS(Таблица1[сумма],Таблица1[коэф],"1,2",Таблица1[р/р],"5/24",Таблица1[Ф. И. О.],B17)</f>
        <v>0</v>
      </c>
      <c r="X22" s="326">
        <f>ROUND(U22*V22*W22,2)</f>
        <v>0</v>
      </c>
      <c r="Y22" s="849"/>
      <c r="Z22" s="840"/>
      <c r="AA22" s="843"/>
      <c r="AC22" s="722" t="str">
        <f>IF(SUMIFS(Таблица1[сумма],Таблица1[Ф. И. О.],B17)=Y17,"",B17&amp;"  часы не верны")</f>
        <v/>
      </c>
      <c r="AD22" s="759">
        <f>INDEX('[2]декабрь 23'!$AI$4:$AI$100,MATCH(C17,'[2]декабрь 23'!$AK$4:$AK$100,0))</f>
        <v>115.20000000000003</v>
      </c>
    </row>
    <row r="23" spans="1:30" ht="20.25" customHeight="1">
      <c r="A23" s="786"/>
      <c r="B23" s="891"/>
      <c r="C23" s="845"/>
      <c r="D23" s="847"/>
      <c r="E23" s="79"/>
      <c r="F23" s="272"/>
      <c r="G23" s="99"/>
      <c r="H23" s="95"/>
      <c r="I23" s="83"/>
      <c r="J23" s="272"/>
      <c r="K23" s="217"/>
      <c r="L23" s="29"/>
      <c r="M23" s="334"/>
      <c r="N23" s="217"/>
      <c r="O23" s="217"/>
      <c r="P23" s="30"/>
      <c r="Q23" s="80">
        <f>IF($D$6&lt;=3,база!$L$4,
IF($D$6=4,база!$L$5,
IF($D$6=5,база!$L$6)))</f>
        <v>231.45480000000001</v>
      </c>
      <c r="R23" s="272">
        <v>1.3</v>
      </c>
      <c r="S23" s="99">
        <f>SUMIFS(Таблица1[сумма],Таблица1[коэф],"1,3",Таблица1[р/р],"3/16",Таблица1[Ф. И. О.],B17)</f>
        <v>0</v>
      </c>
      <c r="T23" s="95">
        <f t="shared" ref="T23:T24" si="10">ROUND(Q23*R23*S23,2)</f>
        <v>0</v>
      </c>
      <c r="U23" s="357">
        <f>IF(D17&lt;=3,база!$M$4,
IF(D17=4,база!$M$5,
IF(D17=5,база!$M$6)))</f>
        <v>225.09719999999999</v>
      </c>
      <c r="V23" s="272">
        <v>1.3</v>
      </c>
      <c r="W23" s="307">
        <f>SUMIFS(Таблица1[сумма],Таблица1[коэф],"1,3",Таблица1[р/р],"3/24",Таблица1[Ф. И. О.],B17)</f>
        <v>0</v>
      </c>
      <c r="X23" s="306">
        <f t="shared" ref="X23:X24" si="11">ROUND(U23*V23*W23,2)</f>
        <v>0</v>
      </c>
      <c r="Y23" s="849"/>
      <c r="Z23" s="840"/>
      <c r="AA23" s="843"/>
    </row>
    <row r="24" spans="1:30" ht="20.25" customHeight="1">
      <c r="A24" s="786"/>
      <c r="B24" s="891"/>
      <c r="C24" s="845"/>
      <c r="D24" s="847"/>
      <c r="E24" s="79"/>
      <c r="F24" s="272"/>
      <c r="G24" s="99"/>
      <c r="H24" s="95"/>
      <c r="I24" s="83"/>
      <c r="J24" s="272"/>
      <c r="K24" s="217"/>
      <c r="L24" s="29"/>
      <c r="M24" s="334"/>
      <c r="N24" s="217"/>
      <c r="O24" s="217"/>
      <c r="P24" s="30"/>
      <c r="Q24" s="80">
        <f>база!$L$5</f>
        <v>231.45480000000001</v>
      </c>
      <c r="R24" s="272">
        <v>1.3</v>
      </c>
      <c r="S24" s="99">
        <f>SUMIFS(Таблица1[сумма],Таблица1[коэф],"1,3",Таблица1[р/р],"4/16",Таблица1[Ф. И. О.],B17)</f>
        <v>0</v>
      </c>
      <c r="T24" s="95">
        <f t="shared" si="10"/>
        <v>0</v>
      </c>
      <c r="U24" s="357">
        <f>база!$M$5</f>
        <v>247.41720000000001</v>
      </c>
      <c r="V24" s="272">
        <v>1.3</v>
      </c>
      <c r="W24" s="307">
        <f>SUMIFS(Таблица1[сумма],Таблица1[коэф],"1,3",Таблица1[р/р],"4/24",Таблица1[Ф. И. О.],B17)</f>
        <v>0</v>
      </c>
      <c r="X24" s="306">
        <f t="shared" si="11"/>
        <v>0</v>
      </c>
      <c r="Y24" s="849"/>
      <c r="Z24" s="840"/>
      <c r="AA24" s="843"/>
    </row>
    <row r="25" spans="1:30" ht="20.25" customHeight="1">
      <c r="A25" s="786"/>
      <c r="B25" s="891"/>
      <c r="C25" s="845"/>
      <c r="D25" s="847"/>
      <c r="E25" s="85"/>
      <c r="F25" s="273"/>
      <c r="G25" s="101"/>
      <c r="H25" s="90"/>
      <c r="I25" s="106"/>
      <c r="J25" s="273"/>
      <c r="K25" s="325"/>
      <c r="L25" s="25"/>
      <c r="M25" s="324"/>
      <c r="N25" s="325"/>
      <c r="O25" s="325"/>
      <c r="P25" s="283"/>
      <c r="Q25" s="86">
        <f>IF(D17&lt;=3,база!$L$4,
IF(D17=4,база!$L$5,
IF(D17=5,база!$L$6)))</f>
        <v>210.57480000000001</v>
      </c>
      <c r="R25" s="273">
        <v>1.4</v>
      </c>
      <c r="S25" s="101">
        <f>SUMIFS(Таблица1[сумма],Таблица1[коэф],"1,4",Таблица1[р/р],"3/16",Таблица1[Ф. И. О.],B17)</f>
        <v>0</v>
      </c>
      <c r="T25" s="90">
        <f t="shared" ref="T25:T30" si="12">ROUND(Q25*R25*S25,2)</f>
        <v>0</v>
      </c>
      <c r="U25" s="358">
        <f>IF(D17&lt;=3,база!$M$4,
IF(D17=4,база!$M$5,
IF(D17=5,база!$M$6)))</f>
        <v>225.09719999999999</v>
      </c>
      <c r="V25" s="273">
        <v>1.4</v>
      </c>
      <c r="W25" s="319">
        <f>SUMIFS(Таблица1[сумма],Таблица1[коэф],"1,4",Таблица1[р/р],"3/24",Таблица1[Ф. И. О.],B17)</f>
        <v>0</v>
      </c>
      <c r="X25" s="326">
        <f>ROUND(U25*V25*W25,2)</f>
        <v>0</v>
      </c>
      <c r="Y25" s="849"/>
      <c r="Z25" s="840"/>
      <c r="AA25" s="843"/>
    </row>
    <row r="26" spans="1:30" ht="20.25" customHeight="1">
      <c r="A26" s="786"/>
      <c r="B26" s="891"/>
      <c r="C26" s="845"/>
      <c r="D26" s="847"/>
      <c r="E26" s="79"/>
      <c r="F26" s="272"/>
      <c r="G26" s="99"/>
      <c r="H26" s="95"/>
      <c r="I26" s="83"/>
      <c r="J26" s="272"/>
      <c r="K26" s="217"/>
      <c r="L26" s="29"/>
      <c r="M26" s="334"/>
      <c r="N26" s="217"/>
      <c r="O26" s="217"/>
      <c r="P26" s="30"/>
      <c r="Q26" s="80">
        <f>база!$L$5</f>
        <v>231.45480000000001</v>
      </c>
      <c r="R26" s="272">
        <v>1.4</v>
      </c>
      <c r="S26" s="99">
        <f>SUMIFS(Таблица1[сумма],Таблица1[коэф],"1,4",Таблица1[р/р],"4/16",Таблица1[Ф. И. О.],B17)</f>
        <v>0</v>
      </c>
      <c r="T26" s="95">
        <f t="shared" si="12"/>
        <v>0</v>
      </c>
      <c r="U26" s="357">
        <f>база!$M$5</f>
        <v>247.41720000000001</v>
      </c>
      <c r="V26" s="272">
        <v>1.4</v>
      </c>
      <c r="W26" s="307">
        <f>SUMIFS(Таблица1[сумма],Таблица1[коэф],"1,4",Таблица1[р/р],"4/24",Таблица1[Ф. И. О.],B17)</f>
        <v>0</v>
      </c>
      <c r="X26" s="306">
        <f>ROUND(U26*V26*W26,2)</f>
        <v>0</v>
      </c>
      <c r="Y26" s="849"/>
      <c r="Z26" s="840"/>
      <c r="AA26" s="843"/>
    </row>
    <row r="27" spans="1:30" ht="20.25" customHeight="1" thickBot="1">
      <c r="A27" s="787"/>
      <c r="B27" s="892"/>
      <c r="C27" s="846"/>
      <c r="D27" s="848"/>
      <c r="E27" s="77"/>
      <c r="F27" s="276"/>
      <c r="G27" s="100"/>
      <c r="H27" s="94"/>
      <c r="I27" s="84"/>
      <c r="J27" s="276"/>
      <c r="K27" s="328"/>
      <c r="L27" s="27"/>
      <c r="M27" s="327"/>
      <c r="N27" s="328"/>
      <c r="O27" s="328"/>
      <c r="P27" s="290"/>
      <c r="Q27" s="81">
        <f>база!$L$6</f>
        <v>261.04640000000001</v>
      </c>
      <c r="R27" s="276">
        <v>1.4</v>
      </c>
      <c r="S27" s="100">
        <f>SUMIFS(Таблица1[сумма],Таблица1[коэф],"1,4",Таблица1[р/р],"5/16",Таблица1[Ф. И. О.],B17)</f>
        <v>0</v>
      </c>
      <c r="T27" s="94">
        <f t="shared" si="12"/>
        <v>0</v>
      </c>
      <c r="U27" s="359">
        <f>база!$M$6</f>
        <v>279.0496</v>
      </c>
      <c r="V27" s="276">
        <v>1.4</v>
      </c>
      <c r="W27" s="322">
        <f>SUMIFS(Таблица1[сумма],Таблица1[коэф],"1,4",Таблица1[р/р],"5/24",Таблица1[Ф. И. О.],B17)</f>
        <v>0</v>
      </c>
      <c r="X27" s="323">
        <f>ROUND(U27*V27*W27,2)</f>
        <v>0</v>
      </c>
      <c r="Y27" s="850"/>
      <c r="Z27" s="841"/>
      <c r="AA27" s="844"/>
    </row>
    <row r="28" spans="1:30">
      <c r="A28" s="785">
        <v>3</v>
      </c>
      <c r="B28" s="216"/>
      <c r="C28" s="851">
        <f>INDEX(база!$E$2:$E$150, MATCH(B33,база!$B$2:$B$150,0))</f>
        <v>15791</v>
      </c>
      <c r="D28" s="852">
        <f>INDEX(база!$D$2:$D$150, MATCH(B33,база!$B$2:$B$150,0))</f>
        <v>4</v>
      </c>
      <c r="E28" s="82">
        <f>IF(D28&lt;=3,база!$I$4,
IF(D28=4,база!$I$5,
IF(D28=5,база!$I$6)))</f>
        <v>207.5112</v>
      </c>
      <c r="F28" s="271">
        <v>1</v>
      </c>
      <c r="G28" s="97">
        <f>SUMIFS(Таблица1[сумма],Таблица1[коэф],"1",Таблица1[р/р],"2/4",Таблица1[Ф. И. О.],B33)</f>
        <v>0</v>
      </c>
      <c r="H28" s="311">
        <f>ROUND(E28*F28*G28,2)</f>
        <v>0</v>
      </c>
      <c r="I28" s="73">
        <f>IF(D28&lt;=3,база!$J$4,
IF(D28=4,база!$J$5,
IF(D28=5,база!$J$6)))</f>
        <v>215.4924</v>
      </c>
      <c r="J28" s="270">
        <v>1</v>
      </c>
      <c r="K28" s="288">
        <f>SUMIFS(Таблица1[сумма],Таблица1[коэф],"1",Таблица1[р/р],"2/8",Таблица1[Ф. И. О.],B33)</f>
        <v>0</v>
      </c>
      <c r="L28" s="28">
        <f>ROUND(I28*J28*K28,2)</f>
        <v>0</v>
      </c>
      <c r="M28" s="344"/>
      <c r="N28" s="309">
        <v>1</v>
      </c>
      <c r="O28" s="309">
        <f>SUMIFS(Data_Tech!$AM$3:$AM$67,Data_Tech!$E$3:$E$67,"1",Data_Tech!$G$3:$G$67,"3/12",Data_Tech!$F$3:$F$67,B33)</f>
        <v>0</v>
      </c>
      <c r="P28" s="309">
        <f>ROUND(M28*N28*O28,2)</f>
        <v>0</v>
      </c>
      <c r="Q28" s="76">
        <f>IF(D28&lt;=3,база!$L$4,
IF(D28=4,база!$L$5,
IF(D28=5,база!$L$6)))</f>
        <v>231.45480000000001</v>
      </c>
      <c r="R28" s="271">
        <v>1</v>
      </c>
      <c r="S28" s="97">
        <f>SUMIFS(Таблица1[сумма],Таблица1[коэф],"1",Таблица1[р/р],"3/16",Таблица1[Ф. И. О.],B33)</f>
        <v>0</v>
      </c>
      <c r="T28" s="88">
        <f t="shared" si="12"/>
        <v>0</v>
      </c>
      <c r="U28" s="360">
        <f>IF(D28&lt;=3,база!$M$4,
IF(D28=4,база!$M$5,
IF(D28=5,база!$M$6)))</f>
        <v>247.41720000000001</v>
      </c>
      <c r="V28" s="271">
        <v>1</v>
      </c>
      <c r="W28" s="337">
        <f>SUMIFS(Таблица1[сумма],Таблица1[коэф],"1",Таблица1[р/р],"3/24",Таблица1[Ф. И. О.],B33)</f>
        <v>0</v>
      </c>
      <c r="X28" s="342">
        <f>ROUND(U28*V28*W28,2)</f>
        <v>0</v>
      </c>
      <c r="Y28" s="849">
        <f>SUM(G28:G38,K28:K38,O28:O38,S28:S38,W28:W38)</f>
        <v>0</v>
      </c>
      <c r="Z28" s="840">
        <f>IFERROR(SUM(H28:H38,L28:L38,T28:T38,X28:X38),"")</f>
        <v>0</v>
      </c>
      <c r="AA28" s="842"/>
    </row>
    <row r="29" spans="1:30">
      <c r="A29" s="786"/>
      <c r="B29" s="216"/>
      <c r="C29" s="845"/>
      <c r="D29" s="847"/>
      <c r="E29" s="83">
        <f>IF(D28&lt;=3,база!$I$4,
IF(D28=4,база!$I$5,
IF(D28=5,база!$I$6)))</f>
        <v>207.5112</v>
      </c>
      <c r="F29" s="272">
        <v>1</v>
      </c>
      <c r="G29" s="99">
        <f>SUMIFS(Таблица1[сумма],Таблица1[коэф],"1",Таблица1[р/р],"3/4",Таблица1[Ф. И. О.],B33)</f>
        <v>0</v>
      </c>
      <c r="H29" s="93">
        <f>ROUND(E29*F29*G29,2)</f>
        <v>0</v>
      </c>
      <c r="I29" s="79">
        <f>IF(D28&lt;=3,база!$J$4,
IF(D28=4,база!$J$5,
IF(D28=5,база!$J$6)))</f>
        <v>215.4924</v>
      </c>
      <c r="J29" s="272">
        <v>1</v>
      </c>
      <c r="K29" s="217">
        <f>SUMIFS(Таблица1[сумма],Таблица1[коэф],"1",Таблица1[р/р],"3/8",Таблица1[Ф. И. О.],B33)</f>
        <v>0</v>
      </c>
      <c r="L29" s="29">
        <f>ROUND(I29*J29*K29,2)</f>
        <v>0</v>
      </c>
      <c r="M29" s="334"/>
      <c r="N29" s="217">
        <v>1</v>
      </c>
      <c r="O29" s="217">
        <f>SUMIFS(Data_Tech!$AM$3:$AM$67,Data_Tech!$E$3:$E$67,"1",Data_Tech!$G$3:$G$67,"4/12",Data_Tech!$F$3:$F$67,B33)</f>
        <v>0</v>
      </c>
      <c r="P29" s="217">
        <f>ROUND(M29*O29,2)</f>
        <v>0</v>
      </c>
      <c r="Q29" s="80">
        <f>база!$L$5</f>
        <v>231.45480000000001</v>
      </c>
      <c r="R29" s="272">
        <v>1</v>
      </c>
      <c r="S29" s="99">
        <f>SUMIFS(Таблица1[сумма],Таблица1[коэф],"1",Таблица1[р/р],"4/16",Таблица1[Ф. И. О.],B33)</f>
        <v>0</v>
      </c>
      <c r="T29" s="95">
        <f t="shared" si="12"/>
        <v>0</v>
      </c>
      <c r="U29" s="353">
        <f>база!$M$5</f>
        <v>247.41720000000001</v>
      </c>
      <c r="V29" s="272">
        <v>1</v>
      </c>
      <c r="W29" s="307">
        <f>SUMIFS(Таблица1[сумма],Таблица1[коэф],"1",Таблица1[р/р],"4/24",Таблица1[Ф. И. О.],B33)</f>
        <v>0</v>
      </c>
      <c r="X29" s="313">
        <f t="shared" ref="X29" si="13">ROUND(U29*V29*W29,2)</f>
        <v>0</v>
      </c>
      <c r="Y29" s="849"/>
      <c r="Z29" s="840"/>
      <c r="AA29" s="843"/>
    </row>
    <row r="30" spans="1:30">
      <c r="A30" s="786"/>
      <c r="B30" s="216"/>
      <c r="C30" s="845"/>
      <c r="D30" s="847"/>
      <c r="E30" s="83"/>
      <c r="F30" s="272"/>
      <c r="G30" s="99"/>
      <c r="H30" s="93"/>
      <c r="I30" s="79"/>
      <c r="J30" s="272"/>
      <c r="K30" s="217"/>
      <c r="L30" s="29"/>
      <c r="M30" s="334"/>
      <c r="N30" s="217"/>
      <c r="O30" s="217"/>
      <c r="P30" s="217"/>
      <c r="Q30" s="80">
        <f>база!$L$6</f>
        <v>261.04640000000001</v>
      </c>
      <c r="R30" s="272">
        <v>1</v>
      </c>
      <c r="S30" s="99">
        <f>SUMIFS(Таблица1[сумма],Таблица1[коэф],"1",Таблица1[р/р],"5/16",Таблица1[Ф. И. О.],B33)</f>
        <v>0</v>
      </c>
      <c r="T30" s="95">
        <f t="shared" si="12"/>
        <v>0</v>
      </c>
      <c r="U30" s="353">
        <f>база!$M$6</f>
        <v>279.0496</v>
      </c>
      <c r="V30" s="272">
        <v>1</v>
      </c>
      <c r="W30" s="307">
        <f>SUMIFS(Таблица1[сумма],Таблица1[коэф],"1",Таблица1[р/р],"5/24",Таблица1[Ф. И. О.],B33)</f>
        <v>0</v>
      </c>
      <c r="X30" s="313">
        <f>ROUND(U30*V30*W30,2)</f>
        <v>0</v>
      </c>
      <c r="Y30" s="849"/>
      <c r="Z30" s="840"/>
      <c r="AA30" s="843"/>
    </row>
    <row r="31" spans="1:30">
      <c r="A31" s="786"/>
      <c r="B31" s="216"/>
      <c r="C31" s="845"/>
      <c r="D31" s="847"/>
      <c r="E31" s="83"/>
      <c r="F31" s="272"/>
      <c r="G31" s="99"/>
      <c r="H31" s="93"/>
      <c r="I31" s="79">
        <f>база!$J$5</f>
        <v>215.4924</v>
      </c>
      <c r="J31" s="272">
        <v>1.5</v>
      </c>
      <c r="K31" s="217">
        <f>SUMIFS(Таблица1[сумма],Таблица1[коэф],"1,5",Таблица1[р/р],"4/8",Таблица1[Ф. И. О.],B33)</f>
        <v>0</v>
      </c>
      <c r="L31" s="29">
        <f>ROUND(I31*J31*K31,2)</f>
        <v>0</v>
      </c>
      <c r="M31" s="334"/>
      <c r="N31" s="217"/>
      <c r="O31" s="217"/>
      <c r="P31" s="217"/>
      <c r="Q31" s="80">
        <f>IF(D28&lt;=3,база!$L$4,
IF(D28=4,база!$L$5,
IF(D28=5,база!$L$6)))</f>
        <v>231.45480000000001</v>
      </c>
      <c r="R31" s="272">
        <v>1.2</v>
      </c>
      <c r="S31" s="99">
        <f>SUMIFS(Таблица1[сумма],Таблица1[коэф],"1,2",Таблица1[р/р],"3/16",Таблица1[Ф. И. О.],B33)</f>
        <v>0</v>
      </c>
      <c r="T31" s="95">
        <f t="shared" ref="T31" si="14">ROUND(Q31*R31*S31,2)</f>
        <v>0</v>
      </c>
      <c r="U31" s="353">
        <f>IF(D28&lt;=3,база!$M$4,
IF(D28=4,база!$M$5,
IF(D28=5,база!$M$6)))</f>
        <v>247.41720000000001</v>
      </c>
      <c r="V31" s="272">
        <v>1.2</v>
      </c>
      <c r="W31" s="307">
        <f>SUMIFS(Таблица1[сумма],Таблица1[коэф],"1,2",Таблица1[р/р],"3/24",Таблица1[Ф. И. О.],B33)</f>
        <v>0</v>
      </c>
      <c r="X31" s="313">
        <f t="shared" ref="X31:X32" si="15">ROUND(U31*V31*W31,2)</f>
        <v>0</v>
      </c>
      <c r="Y31" s="849"/>
      <c r="Z31" s="840"/>
      <c r="AA31" s="843"/>
    </row>
    <row r="32" spans="1:30">
      <c r="A32" s="786"/>
      <c r="B32" s="216"/>
      <c r="C32" s="845"/>
      <c r="D32" s="847"/>
      <c r="E32" s="83"/>
      <c r="F32" s="272"/>
      <c r="G32" s="99"/>
      <c r="H32" s="93"/>
      <c r="I32" s="79">
        <f>база!$J$6</f>
        <v>243.04319999999998</v>
      </c>
      <c r="J32" s="272">
        <v>1.5</v>
      </c>
      <c r="K32" s="217">
        <f>SUMIFS(Таблица1[сумма],Таблица1[коэф],"1,5",Таблица1[р/р],"5/8",Таблица1[Ф. И. О.],B33)</f>
        <v>0</v>
      </c>
      <c r="L32" s="29">
        <f>ROUND(I32*J32*K32,2)</f>
        <v>0</v>
      </c>
      <c r="M32" s="334"/>
      <c r="N32" s="217"/>
      <c r="O32" s="217"/>
      <c r="P32" s="217"/>
      <c r="Q32" s="80">
        <f>база!$L$5</f>
        <v>231.45480000000001</v>
      </c>
      <c r="R32" s="272">
        <v>1.2</v>
      </c>
      <c r="S32" s="99">
        <f>SUMIFS(Таблица1[сумма],Таблица1[коэф],"1,2",Таблица1[р/р],"4/16",Таблица1[Ф. И. О.],B33)</f>
        <v>0</v>
      </c>
      <c r="T32" s="95"/>
      <c r="U32" s="353">
        <f>база!$M$5</f>
        <v>247.41720000000001</v>
      </c>
      <c r="V32" s="272">
        <v>1.2</v>
      </c>
      <c r="W32" s="307">
        <f>SUMIFS(Таблица1[сумма],Таблица1[коэф],"1,2",Таблица1[р/р],"4/24",Таблица1[Ф. И. О.],B33)</f>
        <v>0</v>
      </c>
      <c r="X32" s="313">
        <f t="shared" si="15"/>
        <v>0</v>
      </c>
      <c r="Y32" s="849"/>
      <c r="Z32" s="840"/>
      <c r="AA32" s="843"/>
      <c r="AC32" s="722" t="str">
        <f>IF(SUMIFS(Таблица1[Столбец2],Таблица1[Ф. И. О.],B33)-Z28=0,"",SUMIFS(Таблица1[Столбец2],Таблица1[Ф. И. О.],B33)-Z28)</f>
        <v/>
      </c>
    </row>
    <row r="33" spans="1:30" ht="20.25" customHeight="1">
      <c r="A33" s="786"/>
      <c r="B33" s="216" t="str">
        <f>база!B4</f>
        <v>Аксенова Диана Владимировна</v>
      </c>
      <c r="C33" s="845"/>
      <c r="D33" s="847"/>
      <c r="E33" s="83"/>
      <c r="F33" s="272"/>
      <c r="G33" s="99"/>
      <c r="H33" s="93"/>
      <c r="I33" s="79"/>
      <c r="J33" s="272"/>
      <c r="K33" s="217"/>
      <c r="L33" s="29"/>
      <c r="M33" s="334"/>
      <c r="N33" s="217"/>
      <c r="O33" s="217"/>
      <c r="P33" s="217"/>
      <c r="Q33" s="80">
        <f>база!$L$6</f>
        <v>261.04640000000001</v>
      </c>
      <c r="R33" s="272">
        <v>1.2</v>
      </c>
      <c r="S33" s="99">
        <f>SUMIFS(Таблица1[сумма],Таблица1[коэф],"1,2",Таблица1[р/р],"5/16",Таблица1[Ф. И. О.],B33)</f>
        <v>0</v>
      </c>
      <c r="T33" s="95">
        <f>ROUND(Q33*R33*S33,2)</f>
        <v>0</v>
      </c>
      <c r="U33" s="353">
        <f>база!$M$6</f>
        <v>279.0496</v>
      </c>
      <c r="V33" s="272">
        <v>1.2</v>
      </c>
      <c r="W33" s="307">
        <f>SUMIFS(Таблица1[сумма],Таблица1[коэф],"1,2",Таблица1[р/р],"5/24",Таблица1[Ф. И. О.],B33)</f>
        <v>0</v>
      </c>
      <c r="X33" s="313">
        <f>ROUND(U33*V33*W33,2)</f>
        <v>0</v>
      </c>
      <c r="Y33" s="849"/>
      <c r="Z33" s="840"/>
      <c r="AA33" s="843"/>
      <c r="AC33" s="722" t="str">
        <f>IF(SUMIFS(Таблица1[сумма],Таблица1[Ф. И. О.],B33)=Y28,"",B28&amp;"  часы не верны")</f>
        <v/>
      </c>
      <c r="AD33" s="759">
        <f>INDEX('[2]декабрь 23'!$AI$4:$AI$100,MATCH(C28,'[2]декабрь 23'!$AK$4:$AK$100,0))</f>
        <v>0</v>
      </c>
    </row>
    <row r="34" spans="1:30">
      <c r="A34" s="786"/>
      <c r="B34" s="216"/>
      <c r="C34" s="845"/>
      <c r="D34" s="847"/>
      <c r="E34" s="83"/>
      <c r="F34" s="272"/>
      <c r="G34" s="99"/>
      <c r="H34" s="93"/>
      <c r="I34" s="79"/>
      <c r="J34" s="272"/>
      <c r="K34" s="217"/>
      <c r="L34" s="29"/>
      <c r="M34" s="334"/>
      <c r="N34" s="217"/>
      <c r="O34" s="217"/>
      <c r="P34" s="217"/>
      <c r="Q34" s="80">
        <f>IF($D$6&lt;=3,база!$L$4,
IF($D$6=4,база!$L$5,
IF($D$6=5,база!$L$6)))</f>
        <v>231.45480000000001</v>
      </c>
      <c r="R34" s="272">
        <v>1.3</v>
      </c>
      <c r="S34" s="99">
        <f>SUMIFS(Таблица1[сумма],Таблица1[коэф],"1,3",Таблица1[р/р],"3/16",Таблица1[Ф. И. О.],B33)</f>
        <v>0</v>
      </c>
      <c r="T34" s="95">
        <f t="shared" ref="T34" si="16">ROUND(Q34*R34*S34,2)</f>
        <v>0</v>
      </c>
      <c r="U34" s="353">
        <f>IF(D28&lt;=3,база!$M$4,
IF(D28=4,база!$M$5,
IF(D28=5,база!$M$6)))</f>
        <v>247.41720000000001</v>
      </c>
      <c r="V34" s="272">
        <v>1.3</v>
      </c>
      <c r="W34" s="307">
        <f>SUMIFS(Таблица1[сумма],Таблица1[коэф],"1,3",Таблица1[р/р],"3/24",Таблица1[Ф. И. О.],B33)</f>
        <v>0</v>
      </c>
      <c r="X34" s="313">
        <f t="shared" ref="X34:X35" si="17">ROUND(U34*V34*W34,2)</f>
        <v>0</v>
      </c>
      <c r="Y34" s="849"/>
      <c r="Z34" s="840"/>
      <c r="AA34" s="843"/>
    </row>
    <row r="35" spans="1:30">
      <c r="A35" s="786"/>
      <c r="B35" s="216"/>
      <c r="C35" s="845"/>
      <c r="D35" s="847"/>
      <c r="E35" s="83"/>
      <c r="F35" s="272"/>
      <c r="G35" s="99"/>
      <c r="H35" s="93"/>
      <c r="I35" s="79"/>
      <c r="J35" s="272"/>
      <c r="K35" s="217"/>
      <c r="L35" s="29"/>
      <c r="M35" s="334"/>
      <c r="N35" s="217"/>
      <c r="O35" s="217"/>
      <c r="P35" s="217"/>
      <c r="Q35" s="80">
        <f>база!$L$5</f>
        <v>231.45480000000001</v>
      </c>
      <c r="R35" s="272">
        <v>1.3</v>
      </c>
      <c r="S35" s="99"/>
      <c r="T35" s="95"/>
      <c r="U35" s="353">
        <f>база!$M$5</f>
        <v>247.41720000000001</v>
      </c>
      <c r="V35" s="272">
        <v>1.3</v>
      </c>
      <c r="W35" s="307">
        <f>SUMIFS(Таблица1[сумма],Таблица1[коэф],"1,3",Таблица1[р/р],"4/24",Таблица1[Ф. И. О.],B33)</f>
        <v>0</v>
      </c>
      <c r="X35" s="313">
        <f t="shared" si="17"/>
        <v>0</v>
      </c>
      <c r="Y35" s="849"/>
      <c r="Z35" s="840"/>
      <c r="AA35" s="843"/>
    </row>
    <row r="36" spans="1:30">
      <c r="A36" s="786"/>
      <c r="B36" s="216"/>
      <c r="C36" s="845"/>
      <c r="D36" s="847"/>
      <c r="E36" s="83"/>
      <c r="F36" s="272"/>
      <c r="G36" s="99"/>
      <c r="H36" s="93"/>
      <c r="I36" s="79"/>
      <c r="J36" s="272"/>
      <c r="K36" s="217"/>
      <c r="L36" s="29"/>
      <c r="M36" s="334"/>
      <c r="N36" s="217"/>
      <c r="O36" s="217"/>
      <c r="P36" s="217"/>
      <c r="Q36" s="80">
        <f>IF(D28&lt;=3,база!$L$4,
IF(D28=4,база!$L$5,
IF(D28=5,база!$L$6)))</f>
        <v>231.45480000000001</v>
      </c>
      <c r="R36" s="272">
        <v>1.4</v>
      </c>
      <c r="S36" s="99">
        <f>SUMIFS(Таблица1[сумма],Таблица1[коэф],"1,4",Таблица1[р/р],"3/16",Таблица1[Ф. И. О.],B33)</f>
        <v>0</v>
      </c>
      <c r="T36" s="95">
        <f t="shared" ref="T36:T41" si="18">ROUND(Q36*R36*S36,2)</f>
        <v>0</v>
      </c>
      <c r="U36" s="353">
        <f>IF(D28&lt;=3,база!$M$4,
IF(D28=4,база!$M$5,
IF(D28=5,база!$M$6)))</f>
        <v>247.41720000000001</v>
      </c>
      <c r="V36" s="272">
        <v>1.4</v>
      </c>
      <c r="W36" s="307">
        <f>SUMIFS(Таблица1[сумма],Таблица1[коэф],"1,4",Таблица1[р/р],"3/24",Таблица1[Ф. И. О.],B33)</f>
        <v>0</v>
      </c>
      <c r="X36" s="313">
        <f>ROUND(U36*V36*W36,2)</f>
        <v>0</v>
      </c>
      <c r="Y36" s="849"/>
      <c r="Z36" s="840"/>
      <c r="AA36" s="843"/>
    </row>
    <row r="37" spans="1:30">
      <c r="A37" s="786"/>
      <c r="B37" s="216"/>
      <c r="C37" s="845"/>
      <c r="D37" s="847"/>
      <c r="E37" s="83"/>
      <c r="F37" s="272"/>
      <c r="G37" s="99"/>
      <c r="H37" s="93"/>
      <c r="I37" s="79"/>
      <c r="J37" s="272"/>
      <c r="K37" s="217"/>
      <c r="L37" s="29"/>
      <c r="M37" s="334"/>
      <c r="N37" s="217"/>
      <c r="O37" s="217"/>
      <c r="P37" s="217"/>
      <c r="Q37" s="80">
        <f>база!$L$5</f>
        <v>231.45480000000001</v>
      </c>
      <c r="R37" s="272">
        <v>1.4</v>
      </c>
      <c r="S37" s="99">
        <f>SUMIFS(Таблица1[сумма],Таблица1[коэф],"1,4",Таблица1[р/р],"4/16",Таблица1[Ф. И. О.],B33)</f>
        <v>0</v>
      </c>
      <c r="T37" s="95">
        <f t="shared" si="18"/>
        <v>0</v>
      </c>
      <c r="U37" s="361">
        <f>база!$M$5</f>
        <v>247.41720000000001</v>
      </c>
      <c r="V37" s="272">
        <v>1.4</v>
      </c>
      <c r="W37" s="307">
        <f>SUMIFS(Таблица1[сумма],Таблица1[коэф],"1,4",Таблица1[р/р],"4/24",Таблица1[Ф. И. О.],B33)</f>
        <v>0</v>
      </c>
      <c r="X37" s="313">
        <f>ROUND(U37*V37*W37,2)</f>
        <v>0</v>
      </c>
      <c r="Y37" s="849"/>
      <c r="Z37" s="840"/>
      <c r="AA37" s="843"/>
    </row>
    <row r="38" spans="1:30" ht="24" thickBot="1">
      <c r="A38" s="787"/>
      <c r="B38" s="216"/>
      <c r="C38" s="846"/>
      <c r="D38" s="848"/>
      <c r="E38" s="303"/>
      <c r="F38" s="275"/>
      <c r="G38" s="105"/>
      <c r="H38" s="316"/>
      <c r="I38" s="102"/>
      <c r="J38" s="274"/>
      <c r="K38" s="289"/>
      <c r="L38" s="26"/>
      <c r="M38" s="345"/>
      <c r="N38" s="302"/>
      <c r="O38" s="302"/>
      <c r="P38" s="302"/>
      <c r="Q38" s="107">
        <f>база!$L$6</f>
        <v>261.04640000000001</v>
      </c>
      <c r="R38" s="275">
        <v>1.4</v>
      </c>
      <c r="S38" s="105">
        <f>SUMIFS(Таблица1[сумма],Таблица1[коэф],"1,4",Таблица1[р/р],"5/16",Таблица1[Ф. И. О.],B33)</f>
        <v>0</v>
      </c>
      <c r="T38" s="104">
        <f t="shared" si="18"/>
        <v>0</v>
      </c>
      <c r="U38" s="362">
        <f>база!$M$6</f>
        <v>279.0496</v>
      </c>
      <c r="V38" s="275">
        <v>1.4</v>
      </c>
      <c r="W38" s="333">
        <f>SUMIFS(Таблица1[сумма],Таблица1[коэф],"1,4",Таблица1[р/р],"5/24",Таблица1[Ф. И. О.],B33)</f>
        <v>0</v>
      </c>
      <c r="X38" s="343">
        <f>ROUND(U38*V38*W38,2)</f>
        <v>0</v>
      </c>
      <c r="Y38" s="850"/>
      <c r="Z38" s="841"/>
      <c r="AA38" s="844"/>
    </row>
    <row r="39" spans="1:30">
      <c r="A39" s="785">
        <v>4</v>
      </c>
      <c r="B39" s="236"/>
      <c r="C39" s="851">
        <f>INDEX(база!$E$2:$E$181, MATCH(B44,база!$B$2:$B$150,0))</f>
        <v>15816</v>
      </c>
      <c r="D39" s="852">
        <f>INDEX(база!$D$2:$D$189, MATCH(B44,база!$B$2:$B$150,0))</f>
        <v>3</v>
      </c>
      <c r="E39" s="310">
        <f>IF(D39&lt;=3,база!$I$4,
IF(D39=4,база!$I$5,
IF(D39=5,база!$I$6)))</f>
        <v>188.7912</v>
      </c>
      <c r="F39" s="270">
        <v>1</v>
      </c>
      <c r="G39" s="96">
        <f>SUMIFS(Таблица1[сумма],Таблица1[коэф],"1",Таблица1[р/р],"2/4",Таблица1[Ф. И. О.],B44)</f>
        <v>0</v>
      </c>
      <c r="H39" s="317">
        <f>ROUND(E39*F39*G39,2)</f>
        <v>0</v>
      </c>
      <c r="I39" s="73">
        <f>IF(D39&lt;=3,база!$J$4,
IF(D39=4,база!$J$5,
IF(D39=5,база!$J$6)))</f>
        <v>196.05240000000001</v>
      </c>
      <c r="J39" s="270">
        <v>1</v>
      </c>
      <c r="K39" s="288">
        <f>SUMIFS(Таблица1[сумма],Таблица1[коэф],"1",Таблица1[р/р],"2/8",Таблица1[Ф. И. О.],B44)</f>
        <v>0</v>
      </c>
      <c r="L39" s="28">
        <f>ROUND(I39*J39*K39,2)</f>
        <v>0</v>
      </c>
      <c r="M39" s="338"/>
      <c r="N39" s="288">
        <v>1</v>
      </c>
      <c r="O39" s="288">
        <f>SUMIFS(Data_Tech!$AM$3:$AM$67,Data_Tech!$E$3:$E$67,"1",Data_Tech!$G$3:$G$67,"3/12",Data_Tech!$F$3:$F$67,B44)</f>
        <v>0</v>
      </c>
      <c r="P39" s="288">
        <f>ROUND(M39*N39*O39,2)</f>
        <v>0</v>
      </c>
      <c r="Q39" s="74">
        <f>IF(D39&lt;=3,база!$L$4,
IF(D39=4,база!$L$5,
IF(D39=5,база!$L$6)))</f>
        <v>210.57480000000001</v>
      </c>
      <c r="R39" s="270">
        <v>1</v>
      </c>
      <c r="S39" s="96">
        <f>SUMIFS(Таблица1[сумма],Таблица1[коэф],"1",Таблица1[р/р],"3/16",Таблица1[Ф. И. О.],B44)</f>
        <v>0</v>
      </c>
      <c r="T39" s="88">
        <f t="shared" si="18"/>
        <v>0</v>
      </c>
      <c r="U39" s="363">
        <f>IF(D39&lt;=3,база!$M$4,
IF(D39=4,база!$M$5,
IF(D39=5,база!$M$6)))</f>
        <v>225.09719999999999</v>
      </c>
      <c r="V39" s="270">
        <v>1</v>
      </c>
      <c r="W39" s="340">
        <f>SUMIFS(Таблица1[сумма],Таблица1[коэф],"1",Таблица1[р/р],"3/24",Таблица1[Ф. И. О.],B44)</f>
        <v>0</v>
      </c>
      <c r="X39" s="342">
        <f>ROUND(U39*V39*W39,2)</f>
        <v>0</v>
      </c>
      <c r="Y39" s="849">
        <f>SUM(G39:G49,K39:K49,O39:O49,S39:S49,W39:W49)</f>
        <v>0</v>
      </c>
      <c r="Z39" s="840">
        <f>IFERROR(SUM(H39:H49,L39:L49,T39:T49,X39:X49),"")</f>
        <v>0</v>
      </c>
      <c r="AA39" s="843"/>
    </row>
    <row r="40" spans="1:30">
      <c r="A40" s="786"/>
      <c r="B40" s="216"/>
      <c r="C40" s="845"/>
      <c r="D40" s="847"/>
      <c r="E40" s="83">
        <f>IF(D39&lt;=3,база!$I$4,
IF(D39=4,база!$I$5,
IF(D39=5,база!$I$6)))</f>
        <v>188.7912</v>
      </c>
      <c r="F40" s="272">
        <v>1</v>
      </c>
      <c r="G40" s="99">
        <f>SUMIFS(Таблица1[сумма],Таблица1[коэф],"1",Таблица1[р/р],"3/4",Таблица1[Ф. И. О.],B44)</f>
        <v>0</v>
      </c>
      <c r="H40" s="93">
        <f>ROUND(E40*F40*G40,2)</f>
        <v>0</v>
      </c>
      <c r="I40" s="79">
        <f>IF(D39&lt;=3,база!$J$4,
IF(D39=4,база!$J$5,
IF(D39=5,база!$J$6)))</f>
        <v>196.05240000000001</v>
      </c>
      <c r="J40" s="272">
        <v>1</v>
      </c>
      <c r="K40" s="217">
        <f>SUMIFS(Таблица1[сумма],Таблица1[коэф],"1",Таблица1[р/р],"3/8",Таблица1[Ф. И. О.],B44)</f>
        <v>0</v>
      </c>
      <c r="L40" s="29">
        <f>ROUND(I40*J40*K40,2)</f>
        <v>0</v>
      </c>
      <c r="M40" s="334"/>
      <c r="N40" s="217">
        <v>1</v>
      </c>
      <c r="O40" s="217">
        <f>SUMIFS(Data_Tech!$AM$3:$AM$67,Data_Tech!$E$3:$E$67,"1",Data_Tech!$G$3:$G$67,"4/12",Data_Tech!$F$3:$F$67,B44)</f>
        <v>0</v>
      </c>
      <c r="P40" s="217">
        <f>ROUND(M40*O40,2)</f>
        <v>0</v>
      </c>
      <c r="Q40" s="80">
        <f>база!$L$5</f>
        <v>231.45480000000001</v>
      </c>
      <c r="R40" s="272">
        <v>1</v>
      </c>
      <c r="S40" s="99">
        <f>SUMIFS(Таблица1[сумма],Таблица1[коэф],"1",Таблица1[р/р],"4/16",Таблица1[Ф. И. О.],B44)</f>
        <v>0</v>
      </c>
      <c r="T40" s="95">
        <f t="shared" si="18"/>
        <v>0</v>
      </c>
      <c r="U40" s="361">
        <f>база!$M$5</f>
        <v>247.41720000000001</v>
      </c>
      <c r="V40" s="272">
        <v>1</v>
      </c>
      <c r="W40" s="307">
        <f>SUMIFS(Таблица1[сумма],Таблица1[коэф],"1",Таблица1[р/р],"4/24",Таблица1[Ф. И. О.],B44)</f>
        <v>0</v>
      </c>
      <c r="X40" s="313">
        <f t="shared" ref="X40" si="19">ROUND(U40*V40*W40,2)</f>
        <v>0</v>
      </c>
      <c r="Y40" s="849"/>
      <c r="Z40" s="840"/>
      <c r="AA40" s="843"/>
    </row>
    <row r="41" spans="1:30">
      <c r="A41" s="786"/>
      <c r="B41" s="216"/>
      <c r="C41" s="845"/>
      <c r="D41" s="847"/>
      <c r="E41" s="83"/>
      <c r="F41" s="272"/>
      <c r="G41" s="99"/>
      <c r="H41" s="93"/>
      <c r="I41" s="79"/>
      <c r="J41" s="272"/>
      <c r="K41" s="217"/>
      <c r="L41" s="29"/>
      <c r="M41" s="334"/>
      <c r="N41" s="217"/>
      <c r="O41" s="217"/>
      <c r="P41" s="217"/>
      <c r="Q41" s="80">
        <f>база!$L$6</f>
        <v>261.04640000000001</v>
      </c>
      <c r="R41" s="272">
        <v>1</v>
      </c>
      <c r="S41" s="99">
        <f>SUMIFS(Таблица1[сумма],Таблица1[коэф],"1",Таблица1[р/р],"5/16",Таблица1[Ф. И. О.],B44)</f>
        <v>0</v>
      </c>
      <c r="T41" s="95">
        <f t="shared" si="18"/>
        <v>0</v>
      </c>
      <c r="U41" s="361">
        <f>база!$M$6</f>
        <v>279.0496</v>
      </c>
      <c r="V41" s="272">
        <v>1</v>
      </c>
      <c r="W41" s="307">
        <f>SUMIFS(Таблица1[сумма],Таблица1[коэф],"1",Таблица1[р/р],"5/24",Таблица1[Ф. И. О.],B44)</f>
        <v>0</v>
      </c>
      <c r="X41" s="313">
        <f>ROUND(U41*V41*W41,2)</f>
        <v>0</v>
      </c>
      <c r="Y41" s="849"/>
      <c r="Z41" s="840"/>
      <c r="AA41" s="843"/>
    </row>
    <row r="42" spans="1:30">
      <c r="A42" s="786"/>
      <c r="B42" s="216"/>
      <c r="C42" s="845"/>
      <c r="D42" s="847"/>
      <c r="E42" s="83"/>
      <c r="F42" s="272"/>
      <c r="G42" s="99"/>
      <c r="H42" s="93"/>
      <c r="I42" s="79">
        <f>база!$J$5</f>
        <v>215.4924</v>
      </c>
      <c r="J42" s="272">
        <v>1.5</v>
      </c>
      <c r="K42" s="217">
        <f>SUMIFS(Таблица1[сумма],Таблица1[коэф],"1,5",Таблица1[р/р],"4/8",Таблица1[Ф. И. О.],B44)</f>
        <v>0</v>
      </c>
      <c r="L42" s="29">
        <f>ROUND(I42*J42*K42,2)</f>
        <v>0</v>
      </c>
      <c r="M42" s="334"/>
      <c r="N42" s="217"/>
      <c r="O42" s="217"/>
      <c r="P42" s="217"/>
      <c r="Q42" s="80">
        <f>IF(D39&lt;=3,база!$L$4,
IF(D39=4,база!$L$5,
IF(D39=5,база!$L$6)))</f>
        <v>210.57480000000001</v>
      </c>
      <c r="R42" s="272">
        <v>1.2</v>
      </c>
      <c r="S42" s="99">
        <f>SUMIFS(Таблица1[сумма],Таблица1[коэф],"1,2",Таблица1[р/р],"3/16",Таблица1[Ф. И. О.],B44)</f>
        <v>0</v>
      </c>
      <c r="T42" s="95">
        <f t="shared" ref="T42:T43" si="20">ROUND(Q42*R42*S42,2)</f>
        <v>0</v>
      </c>
      <c r="U42" s="361">
        <f>IF(D39&lt;=3,база!$M$4,
IF(D39=4,база!$M$5,
IF(D39=5,база!$M$6)))</f>
        <v>225.09719999999999</v>
      </c>
      <c r="V42" s="272">
        <v>1.2</v>
      </c>
      <c r="W42" s="307">
        <f>SUMIFS(Таблица1[сумма],Таблица1[коэф],"1,2",Таблица1[р/р],"3/24",Таблица1[Ф. И. О.],B44)</f>
        <v>0</v>
      </c>
      <c r="X42" s="313">
        <f t="shared" ref="X42:X43" si="21">ROUND(U42*V42*W42,2)</f>
        <v>0</v>
      </c>
      <c r="Y42" s="849"/>
      <c r="Z42" s="840"/>
      <c r="AA42" s="843"/>
    </row>
    <row r="43" spans="1:30">
      <c r="A43" s="786"/>
      <c r="B43" s="216"/>
      <c r="C43" s="845"/>
      <c r="D43" s="847"/>
      <c r="E43" s="83"/>
      <c r="F43" s="272"/>
      <c r="G43" s="99"/>
      <c r="H43" s="93"/>
      <c r="I43" s="79">
        <f>база!$J$6</f>
        <v>243.04319999999998</v>
      </c>
      <c r="J43" s="272">
        <v>1.5</v>
      </c>
      <c r="K43" s="217">
        <f>SUMIFS(Таблица1[сумма],Таблица1[коэф],"1,5",Таблица1[р/р],"5/8",Таблица1[Ф. И. О.],B44)</f>
        <v>0</v>
      </c>
      <c r="L43" s="29">
        <f>ROUND(I43*J43*K43,2)</f>
        <v>0</v>
      </c>
      <c r="M43" s="334"/>
      <c r="N43" s="217"/>
      <c r="O43" s="217"/>
      <c r="P43" s="217"/>
      <c r="Q43" s="80">
        <f>база!$L$5</f>
        <v>231.45480000000001</v>
      </c>
      <c r="R43" s="272">
        <v>1.2</v>
      </c>
      <c r="S43" s="99">
        <f>SUMIFS(Таблица1[сумма],Таблица1[коэф],"1,2",Таблица1[р/р],"4/16",Таблица1[Ф. И. О.],B44)</f>
        <v>0</v>
      </c>
      <c r="T43" s="95">
        <f t="shared" si="20"/>
        <v>0</v>
      </c>
      <c r="U43" s="361">
        <f>база!$M$5</f>
        <v>247.41720000000001</v>
      </c>
      <c r="V43" s="272">
        <v>1.2</v>
      </c>
      <c r="W43" s="307">
        <f>SUMIFS(Таблица1[сумма],Таблица1[коэф],"1,2",Таблица1[р/р],"4/24",Таблица1[Ф. И. О.],B44)</f>
        <v>0</v>
      </c>
      <c r="X43" s="313">
        <f t="shared" si="21"/>
        <v>0</v>
      </c>
      <c r="Y43" s="849"/>
      <c r="Z43" s="840"/>
      <c r="AA43" s="843"/>
      <c r="AC43" s="722" t="str">
        <f>IF(SUMIFS(Таблица1[Столбец2],Таблица1[Ф. И. О.],B44)-Z39=0,"",SUMIFS(Таблица1[Столбец2],Таблица1[Ф. И. О.],B44)-Z39)</f>
        <v/>
      </c>
    </row>
    <row r="44" spans="1:30">
      <c r="A44" s="786"/>
      <c r="B44" s="216" t="str">
        <f>база!B5</f>
        <v>Александрович Екатерина Сергеевна</v>
      </c>
      <c r="C44" s="845"/>
      <c r="D44" s="847"/>
      <c r="E44" s="83"/>
      <c r="F44" s="272"/>
      <c r="G44" s="99"/>
      <c r="H44" s="93"/>
      <c r="I44" s="79"/>
      <c r="J44" s="272"/>
      <c r="K44" s="217"/>
      <c r="L44" s="29"/>
      <c r="M44" s="334"/>
      <c r="N44" s="217"/>
      <c r="O44" s="217"/>
      <c r="P44" s="217"/>
      <c r="Q44" s="80">
        <f>база!$L$6</f>
        <v>261.04640000000001</v>
      </c>
      <c r="R44" s="272">
        <v>1.2</v>
      </c>
      <c r="S44" s="99">
        <f>SUMIFS(Таблица1[сумма],Таблица1[коэф],"1,2",Таблица1[р/р],"5/16",Таблица1[Ф. И. О.],B44)</f>
        <v>0</v>
      </c>
      <c r="T44" s="95">
        <f>ROUND(Q44*R44*S44,2)</f>
        <v>0</v>
      </c>
      <c r="U44" s="361">
        <f>база!$M$6</f>
        <v>279.0496</v>
      </c>
      <c r="V44" s="272">
        <v>1.2</v>
      </c>
      <c r="W44" s="307">
        <f>SUMIFS(Таблица1[сумма],Таблица1[коэф],"1,2",Таблица1[р/р],"5/24",Таблица1[Ф. И. О.],B44)</f>
        <v>0</v>
      </c>
      <c r="X44" s="313">
        <f>ROUND(U44*V44*W44,2)</f>
        <v>0</v>
      </c>
      <c r="Y44" s="849"/>
      <c r="Z44" s="840"/>
      <c r="AA44" s="843"/>
      <c r="AC44" s="722" t="str">
        <f>IF(SUMIFS(Таблица1[сумма],Таблица1[Ф. И. О.],B44)=Y39,"",B39&amp;"  часы не верны")</f>
        <v/>
      </c>
      <c r="AD44" s="759">
        <f>INDEX('[2]декабрь 23'!$AI$4:$AI$100,MATCH(C39,'[2]декабрь 23'!$AK$4:$AK$100,0))</f>
        <v>72.000000000000014</v>
      </c>
    </row>
    <row r="45" spans="1:30">
      <c r="A45" s="786"/>
      <c r="B45" s="216"/>
      <c r="C45" s="845"/>
      <c r="D45" s="847"/>
      <c r="E45" s="83"/>
      <c r="F45" s="272"/>
      <c r="G45" s="99"/>
      <c r="H45" s="93"/>
      <c r="I45" s="79"/>
      <c r="J45" s="272"/>
      <c r="K45" s="217"/>
      <c r="L45" s="29"/>
      <c r="M45" s="334"/>
      <c r="N45" s="217"/>
      <c r="O45" s="217"/>
      <c r="P45" s="217"/>
      <c r="Q45" s="80">
        <f>IF($D$6&lt;=3,база!$L$4,
IF($D$6=4,база!$L$5,
IF($D$6=5,база!$L$6)))</f>
        <v>231.45480000000001</v>
      </c>
      <c r="R45" s="272">
        <v>1.3</v>
      </c>
      <c r="S45" s="99">
        <f>SUMIFS(Таблица1[сумма],Таблица1[коэф],"1,3",Таблица1[р/р],"3/16",Таблица1[Ф. И. О.],B44)</f>
        <v>0</v>
      </c>
      <c r="T45" s="95">
        <f t="shared" ref="T45:T46" si="22">ROUND(Q45*R45*S45,2)</f>
        <v>0</v>
      </c>
      <c r="U45" s="361">
        <f>IF(D39&lt;=3,база!$M$4,
IF(D39=4,база!$M$5,
IF(D39=5,база!$M$6)))</f>
        <v>225.09719999999999</v>
      </c>
      <c r="V45" s="272">
        <v>1.3</v>
      </c>
      <c r="W45" s="307">
        <f>SUMIFS(Таблица1[сумма],Таблица1[коэф],"1,3",Таблица1[р/р],"3/24",Таблица1[Ф. И. О.],B44)</f>
        <v>0</v>
      </c>
      <c r="X45" s="313">
        <f t="shared" ref="X45:X46" si="23">ROUND(U45*V45*W45,2)</f>
        <v>0</v>
      </c>
      <c r="Y45" s="849"/>
      <c r="Z45" s="840"/>
      <c r="AA45" s="843"/>
    </row>
    <row r="46" spans="1:30">
      <c r="A46" s="786"/>
      <c r="B46" s="216"/>
      <c r="C46" s="845"/>
      <c r="D46" s="847"/>
      <c r="E46" s="83"/>
      <c r="F46" s="272"/>
      <c r="G46" s="99"/>
      <c r="H46" s="93"/>
      <c r="I46" s="79"/>
      <c r="J46" s="272"/>
      <c r="K46" s="217"/>
      <c r="L46" s="29"/>
      <c r="M46" s="334"/>
      <c r="N46" s="217"/>
      <c r="O46" s="217"/>
      <c r="P46" s="217"/>
      <c r="Q46" s="80">
        <f>база!$L$5</f>
        <v>231.45480000000001</v>
      </c>
      <c r="R46" s="272">
        <v>1.3</v>
      </c>
      <c r="S46" s="99">
        <f>SUMIFS(Таблица1[сумма],Таблица1[коэф],"1,3",Таблица1[р/р],"4/16",Таблица1[Ф. И. О.],B44)</f>
        <v>0</v>
      </c>
      <c r="T46" s="95">
        <f t="shared" si="22"/>
        <v>0</v>
      </c>
      <c r="U46" s="361">
        <f>база!$M$5</f>
        <v>247.41720000000001</v>
      </c>
      <c r="V46" s="272">
        <v>1.3</v>
      </c>
      <c r="W46" s="307">
        <f>SUMIFS(Таблица1[сумма],Таблица1[коэф],"1,3",Таблица1[р/р],"4/24",Таблица1[Ф. И. О.],B44)</f>
        <v>0</v>
      </c>
      <c r="X46" s="313">
        <f t="shared" si="23"/>
        <v>0</v>
      </c>
      <c r="Y46" s="849"/>
      <c r="Z46" s="840"/>
      <c r="AA46" s="843"/>
    </row>
    <row r="47" spans="1:30">
      <c r="A47" s="786"/>
      <c r="B47" s="216"/>
      <c r="C47" s="845"/>
      <c r="D47" s="847"/>
      <c r="E47" s="83"/>
      <c r="F47" s="272"/>
      <c r="G47" s="99"/>
      <c r="H47" s="93"/>
      <c r="I47" s="79"/>
      <c r="J47" s="272"/>
      <c r="K47" s="217"/>
      <c r="L47" s="29"/>
      <c r="M47" s="334"/>
      <c r="N47" s="217"/>
      <c r="O47" s="217"/>
      <c r="P47" s="217"/>
      <c r="Q47" s="80">
        <f>IF(D39&lt;=3,база!$L$4,
IF(D39=4,база!$L$5,
IF(D39=5,база!$L$6)))</f>
        <v>210.57480000000001</v>
      </c>
      <c r="R47" s="272">
        <v>1.4</v>
      </c>
      <c r="S47" s="99">
        <f>SUMIFS(Таблица1[сумма],Таблица1[коэф],"1,4",Таблица1[р/р],"3/16",Таблица1[Ф. И. О.],B44)</f>
        <v>0</v>
      </c>
      <c r="T47" s="95">
        <f t="shared" ref="T47:T52" si="24">ROUND(Q47*R47*S47,2)</f>
        <v>0</v>
      </c>
      <c r="U47" s="361">
        <f>IF(D39&lt;=3,база!$M$4,
IF(D39=4,база!$M$5,
IF(D39=5,база!$M$6)))</f>
        <v>225.09719999999999</v>
      </c>
      <c r="V47" s="272">
        <v>1.4</v>
      </c>
      <c r="W47" s="307">
        <f>SUMIFS(Таблица1[сумма],Таблица1[коэф],"1,4",Таблица1[р/р],"3/24",Таблица1[Ф. И. О.],B44)</f>
        <v>0</v>
      </c>
      <c r="X47" s="313">
        <f>ROUND(U47*V47*W47,2)</f>
        <v>0</v>
      </c>
      <c r="Y47" s="849"/>
      <c r="Z47" s="840"/>
      <c r="AA47" s="843"/>
    </row>
    <row r="48" spans="1:30">
      <c r="A48" s="786"/>
      <c r="B48" s="216"/>
      <c r="C48" s="845"/>
      <c r="D48" s="847"/>
      <c r="E48" s="83"/>
      <c r="F48" s="272"/>
      <c r="G48" s="99"/>
      <c r="H48" s="93"/>
      <c r="I48" s="79"/>
      <c r="J48" s="272"/>
      <c r="K48" s="217"/>
      <c r="L48" s="29"/>
      <c r="M48" s="334"/>
      <c r="N48" s="217"/>
      <c r="O48" s="217"/>
      <c r="P48" s="217"/>
      <c r="Q48" s="80">
        <f>база!$L$5</f>
        <v>231.45480000000001</v>
      </c>
      <c r="R48" s="272">
        <v>1.4</v>
      </c>
      <c r="S48" s="99">
        <f>SUMIFS(Таблица1[сумма],Таблица1[коэф],"1,4",Таблица1[р/р],"4/16",Таблица1[Ф. И. О.],B44)</f>
        <v>0</v>
      </c>
      <c r="T48" s="95">
        <f t="shared" si="24"/>
        <v>0</v>
      </c>
      <c r="U48" s="361">
        <f>база!$M$5</f>
        <v>247.41720000000001</v>
      </c>
      <c r="V48" s="272">
        <v>1.4</v>
      </c>
      <c r="W48" s="307">
        <f>SUMIFS(Таблица1[сумма],Таблица1[коэф],"1,4",Таблица1[р/р],"4/24",Таблица1[Ф. И. О.],B44)</f>
        <v>0</v>
      </c>
      <c r="X48" s="313">
        <f>ROUND(U48*V48*W48,2)</f>
        <v>0</v>
      </c>
      <c r="Y48" s="849"/>
      <c r="Z48" s="840"/>
      <c r="AA48" s="843"/>
    </row>
    <row r="49" spans="1:30" ht="24" thickBot="1">
      <c r="A49" s="787"/>
      <c r="B49" s="203"/>
      <c r="C49" s="846"/>
      <c r="D49" s="848"/>
      <c r="E49" s="221"/>
      <c r="F49" s="274"/>
      <c r="G49" s="98"/>
      <c r="H49" s="239"/>
      <c r="I49" s="102"/>
      <c r="J49" s="274"/>
      <c r="K49" s="289"/>
      <c r="L49" s="26"/>
      <c r="M49" s="348"/>
      <c r="N49" s="289"/>
      <c r="O49" s="289"/>
      <c r="P49" s="289"/>
      <c r="Q49" s="78">
        <f>база!$L$6</f>
        <v>261.04640000000001</v>
      </c>
      <c r="R49" s="274">
        <v>1.4</v>
      </c>
      <c r="S49" s="98">
        <f>SUMIFS(Таблица1[сумма],Таблица1[коэф],"1,4",Таблица1[р/р],"5/16",Таблица1[Ф. И. О.],B44)</f>
        <v>0</v>
      </c>
      <c r="T49" s="91">
        <f t="shared" si="24"/>
        <v>0</v>
      </c>
      <c r="U49" s="364">
        <f>база!$M$6</f>
        <v>279.0496</v>
      </c>
      <c r="V49" s="274">
        <v>1.4</v>
      </c>
      <c r="W49" s="312">
        <f>SUMIFS(Таблица1[сумма],Таблица1[коэф],"1,4",Таблица1[р/р],"5/24",Таблица1[Ф. И. О.],B44)</f>
        <v>0</v>
      </c>
      <c r="X49" s="343">
        <f>ROUND(U49*V49*W49,2)</f>
        <v>0</v>
      </c>
      <c r="Y49" s="850"/>
      <c r="Z49" s="841"/>
      <c r="AA49" s="844"/>
    </row>
    <row r="50" spans="1:30">
      <c r="A50" s="785">
        <v>5</v>
      </c>
      <c r="B50" s="216"/>
      <c r="C50" s="854">
        <f>INDEX(база!$E$2:$E$181, MATCH(B55,база!$B$2:$B$150,0))</f>
        <v>16475</v>
      </c>
      <c r="D50" s="854">
        <f>INDEX(база!$D$2:$D$189, MATCH(B55,база!$B$2:$B$150,0))</f>
        <v>3</v>
      </c>
      <c r="E50" s="73">
        <f>IF(D50&lt;=3,база!$I$4,
IF(D50=4,база!$I$5,
IF(D50=5,база!$I$6)))</f>
        <v>188.7912</v>
      </c>
      <c r="F50" s="270">
        <v>1</v>
      </c>
      <c r="G50" s="96">
        <f>SUMIFS(Таблица1[сумма],Таблица1[коэф],"1",Таблица1[р/р],"2/4",Таблица1[Ф. И. О.],B55)</f>
        <v>0</v>
      </c>
      <c r="H50" s="88">
        <f>ROUND(E50*F50*G50,2)</f>
        <v>0</v>
      </c>
      <c r="I50" s="310">
        <f>IF(D50&lt;=3,база!$J$4,
IF(D50=4,база!$J$5,
IF(D50=5,база!$J$6)))</f>
        <v>196.05240000000001</v>
      </c>
      <c r="J50" s="270">
        <v>1</v>
      </c>
      <c r="K50" s="288">
        <f>SUMIFS(Таблица1[сумма],Таблица1[коэф],"1",Таблица1[р/р],"2/8",Таблица1[Ф. И. О.],B55)</f>
        <v>0</v>
      </c>
      <c r="L50" s="28">
        <f>ROUND(I50*J50*K50,2)</f>
        <v>0</v>
      </c>
      <c r="M50" s="338"/>
      <c r="N50" s="288">
        <v>1</v>
      </c>
      <c r="O50" s="288">
        <f>SUMIFS(Data_Tech!$AM$3:$AM$67,Data_Tech!$E$3:$E$67,"1",Data_Tech!$G$3:$G$67,"3/12",Data_Tech!$F$3:$F$67,B55)</f>
        <v>0</v>
      </c>
      <c r="P50" s="288">
        <f>ROUND(M50*N50*O50,2)</f>
        <v>0</v>
      </c>
      <c r="Q50" s="74">
        <f>IF(D50&lt;=3,база!$L$4,
IF(D50=4,база!$L$5,
IF(D50=5,база!$L$6)))</f>
        <v>210.57480000000001</v>
      </c>
      <c r="R50" s="270">
        <v>1</v>
      </c>
      <c r="S50" s="96">
        <f>SUMIFS(Таблица1[сумма],Таблица1[коэф],"1",Таблица1[р/р],"3/16",Таблица1[Ф. И. О.],B55)</f>
        <v>0</v>
      </c>
      <c r="T50" s="317">
        <f t="shared" si="24"/>
        <v>0</v>
      </c>
      <c r="U50" s="365">
        <f>IF(D50&lt;=3,база!$M$4,
IF(D50=4,база!$M$5,
IF(D50=5,база!$M$6)))</f>
        <v>225.09719999999999</v>
      </c>
      <c r="V50" s="270">
        <v>1</v>
      </c>
      <c r="W50" s="340">
        <f>SUMIFS(Таблица1[сумма],Таблица1[коэф],"1",Таблица1[р/р],"3/24",Таблица1[Ф. И. О.],B55)</f>
        <v>0</v>
      </c>
      <c r="X50" s="342">
        <f>ROUND(U50*V50*W50,2)</f>
        <v>0</v>
      </c>
      <c r="Y50" s="849">
        <f>SUM(G50:G60,K50:K60,O50:O60,S50:S60,W50:W60)</f>
        <v>0</v>
      </c>
      <c r="Z50" s="840">
        <f>IFERROR(SUM(H50:H60,L50:L60,T50:T60,X50:X60),"")</f>
        <v>0</v>
      </c>
      <c r="AA50" s="842"/>
    </row>
    <row r="51" spans="1:30">
      <c r="A51" s="786"/>
      <c r="B51" s="216"/>
      <c r="C51" s="855"/>
      <c r="D51" s="855"/>
      <c r="E51" s="79">
        <f>IF(D50&lt;=3,база!$I$4,
IF(D50=4,база!$I$5,
IF(D50=5,база!$I$6)))</f>
        <v>188.7912</v>
      </c>
      <c r="F51" s="272">
        <v>1</v>
      </c>
      <c r="G51" s="99">
        <f>SUMIFS(Таблица1[сумма],Таблица1[коэф],"1",Таблица1[р/р],"3/4",Таблица1[Ф. И. О.],B55)</f>
        <v>0</v>
      </c>
      <c r="H51" s="95">
        <f>ROUND(E51*F51*G51,2)</f>
        <v>0</v>
      </c>
      <c r="I51" s="83">
        <f>IF(D50&lt;=3,база!$J$4,
IF(D50=4,база!$J$5,
IF(D50=5,база!$J$6)))</f>
        <v>196.05240000000001</v>
      </c>
      <c r="J51" s="272">
        <v>1</v>
      </c>
      <c r="K51" s="217">
        <f>SUMIFS(Таблица1[сумма],Таблица1[коэф],"1",Таблица1[р/р],"3/8",Таблица1[Ф. И. О.],B55)</f>
        <v>0</v>
      </c>
      <c r="L51" s="29">
        <f>ROUND(I51*J51*K51,2)</f>
        <v>0</v>
      </c>
      <c r="M51" s="334"/>
      <c r="N51" s="217">
        <v>1</v>
      </c>
      <c r="O51" s="217">
        <f>SUMIFS(Data_Tech!$AM$3:$AM$67,Data_Tech!$E$3:$E$67,"1",Data_Tech!$G$3:$G$67,"4/12",Data_Tech!$F$3:$F$67,B55)</f>
        <v>0</v>
      </c>
      <c r="P51" s="217">
        <f>ROUND(M51*O51,2)</f>
        <v>0</v>
      </c>
      <c r="Q51" s="80">
        <f>база!$L$5</f>
        <v>231.45480000000001</v>
      </c>
      <c r="R51" s="272">
        <v>1</v>
      </c>
      <c r="S51" s="99">
        <f>SUMIFS(Таблица1[сумма],Таблица1[коэф],"1",Таблица1[р/р],"4/16",Таблица1[Ф. И. О.],B55)</f>
        <v>0</v>
      </c>
      <c r="T51" s="93">
        <f t="shared" si="24"/>
        <v>0</v>
      </c>
      <c r="U51" s="366">
        <f>база!$M$5</f>
        <v>247.41720000000001</v>
      </c>
      <c r="V51" s="272">
        <v>1</v>
      </c>
      <c r="W51" s="307">
        <f>SUMIFS(Таблица1[сумма],Таблица1[коэф],"1",Таблица1[р/р],"4/24",Таблица1[Ф. И. О.],B55)</f>
        <v>0</v>
      </c>
      <c r="X51" s="313">
        <f t="shared" ref="X51" si="25">ROUND(U51*V51*W51,2)</f>
        <v>0</v>
      </c>
      <c r="Y51" s="849"/>
      <c r="Z51" s="840"/>
      <c r="AA51" s="843"/>
    </row>
    <row r="52" spans="1:30">
      <c r="A52" s="786"/>
      <c r="B52" s="216"/>
      <c r="C52" s="855"/>
      <c r="D52" s="855"/>
      <c r="E52" s="79"/>
      <c r="F52" s="272"/>
      <c r="G52" s="99"/>
      <c r="H52" s="95"/>
      <c r="I52" s="83"/>
      <c r="J52" s="272"/>
      <c r="K52" s="217"/>
      <c r="L52" s="29"/>
      <c r="M52" s="334"/>
      <c r="N52" s="217"/>
      <c r="O52" s="217"/>
      <c r="P52" s="217"/>
      <c r="Q52" s="80">
        <f>база!$L$6</f>
        <v>261.04640000000001</v>
      </c>
      <c r="R52" s="272">
        <v>1</v>
      </c>
      <c r="S52" s="99">
        <f>SUMIFS(Таблица1[сумма],Таблица1[коэф],"1",Таблица1[р/р],"5/16",Таблица1[Ф. И. О.],B55)</f>
        <v>0</v>
      </c>
      <c r="T52" s="93">
        <f t="shared" si="24"/>
        <v>0</v>
      </c>
      <c r="U52" s="366">
        <f>база!$M$6</f>
        <v>279.0496</v>
      </c>
      <c r="V52" s="272">
        <v>1</v>
      </c>
      <c r="W52" s="307">
        <f>SUMIFS(Таблица1[сумма],Таблица1[коэф],"1",Таблица1[р/р],"5/24",Таблица1[Ф. И. О.],B55)</f>
        <v>0</v>
      </c>
      <c r="X52" s="313">
        <f>ROUND(U52*V52*W52,2)</f>
        <v>0</v>
      </c>
      <c r="Y52" s="849"/>
      <c r="Z52" s="840"/>
      <c r="AA52" s="843"/>
    </row>
    <row r="53" spans="1:30">
      <c r="A53" s="786"/>
      <c r="B53" s="216"/>
      <c r="C53" s="855"/>
      <c r="D53" s="855"/>
      <c r="E53" s="79"/>
      <c r="F53" s="272"/>
      <c r="G53" s="99"/>
      <c r="H53" s="95"/>
      <c r="I53" s="83">
        <f>база!$J$5</f>
        <v>215.4924</v>
      </c>
      <c r="J53" s="272">
        <v>1.5</v>
      </c>
      <c r="K53" s="217">
        <f>SUMIFS(Таблица1[сумма],Таблица1[коэф],"1,5",Таблица1[р/р],"4/8",Таблица1[Ф. И. О.],B55)</f>
        <v>0</v>
      </c>
      <c r="L53" s="29">
        <f>ROUND(I53*J53*K53,2)</f>
        <v>0</v>
      </c>
      <c r="M53" s="334"/>
      <c r="N53" s="217"/>
      <c r="O53" s="217"/>
      <c r="P53" s="217"/>
      <c r="Q53" s="80">
        <f>IF(D50&lt;=3,база!$L$4,
IF(D50=4,база!$L$5,
IF(D50=5,база!$L$6)))</f>
        <v>210.57480000000001</v>
      </c>
      <c r="R53" s="272">
        <v>1.2</v>
      </c>
      <c r="S53" s="99">
        <f>SUMIFS(Таблица1[сумма],Таблица1[коэф],"1,2",Таблица1[р/р],"3/16",Таблица1[Ф. И. О.],B55)</f>
        <v>0</v>
      </c>
      <c r="T53" s="93">
        <f t="shared" ref="T53:T54" si="26">ROUND(Q53*R53*S53,2)</f>
        <v>0</v>
      </c>
      <c r="U53" s="366">
        <f>IF(D50&lt;=3,база!$M$4,
IF(D50=4,база!$M$5,
IF(D50=5,база!$M$6)))</f>
        <v>225.09719999999999</v>
      </c>
      <c r="V53" s="272">
        <v>1.2</v>
      </c>
      <c r="W53" s="307">
        <f>SUMIFS(Таблица1[сумма],Таблица1[коэф],"1,2",Таблица1[р/р],"3/24",Таблица1[Ф. И. О.],B55)</f>
        <v>0</v>
      </c>
      <c r="X53" s="313">
        <f t="shared" ref="X53:X54" si="27">ROUND(U53*V53*W53,2)</f>
        <v>0</v>
      </c>
      <c r="Y53" s="849"/>
      <c r="Z53" s="840"/>
      <c r="AA53" s="843"/>
    </row>
    <row r="54" spans="1:30">
      <c r="A54" s="786"/>
      <c r="B54" s="216"/>
      <c r="C54" s="855"/>
      <c r="D54" s="855"/>
      <c r="E54" s="79"/>
      <c r="F54" s="272"/>
      <c r="G54" s="99"/>
      <c r="H54" s="95"/>
      <c r="I54" s="83">
        <f>база!$J$6</f>
        <v>243.04319999999998</v>
      </c>
      <c r="J54" s="272">
        <v>1.5</v>
      </c>
      <c r="K54" s="217">
        <f>SUMIFS(Таблица1[сумма],Таблица1[коэф],"1,5",Таблица1[р/р],"5/8",Таблица1[Ф. И. О.],B55)</f>
        <v>0</v>
      </c>
      <c r="L54" s="29">
        <f>ROUND(I54*J54*K54,2)</f>
        <v>0</v>
      </c>
      <c r="M54" s="334"/>
      <c r="N54" s="217"/>
      <c r="O54" s="217"/>
      <c r="P54" s="217"/>
      <c r="Q54" s="80">
        <f>база!$L$5</f>
        <v>231.45480000000001</v>
      </c>
      <c r="R54" s="272">
        <v>1.2</v>
      </c>
      <c r="S54" s="99">
        <f>SUMIFS(Таблица1[сумма],Таблица1[коэф],"1,2",Таблица1[р/р],"4/16",Таблица1[Ф. И. О.],B55)</f>
        <v>0</v>
      </c>
      <c r="T54" s="93">
        <f t="shared" si="26"/>
        <v>0</v>
      </c>
      <c r="U54" s="366">
        <f>база!$M$5</f>
        <v>247.41720000000001</v>
      </c>
      <c r="V54" s="272">
        <v>1.2</v>
      </c>
      <c r="W54" s="307">
        <f>SUMIFS(Таблица1[сумма],Таблица1[коэф],"1,2",Таблица1[р/р],"4/24",Таблица1[Ф. И. О.],B55)</f>
        <v>0</v>
      </c>
      <c r="X54" s="313">
        <f t="shared" si="27"/>
        <v>0</v>
      </c>
      <c r="Y54" s="849"/>
      <c r="Z54" s="840"/>
      <c r="AA54" s="843"/>
      <c r="AC54" s="722" t="str">
        <f>IF(SUMIFS(Таблица1[Столбец2],Таблица1[Ф. И. О.],B55)-Z50=0,"",SUMIFS(Таблица1[Столбец2],Таблица1[Ф. И. О.],B55)-Z50)</f>
        <v/>
      </c>
    </row>
    <row r="55" spans="1:30">
      <c r="A55" s="786"/>
      <c r="B55" s="216" t="str">
        <f>база!B6</f>
        <v>Алиева Диана Арифовна</v>
      </c>
      <c r="C55" s="855"/>
      <c r="D55" s="855"/>
      <c r="E55" s="79"/>
      <c r="F55" s="272"/>
      <c r="G55" s="99"/>
      <c r="H55" s="95"/>
      <c r="I55" s="83"/>
      <c r="J55" s="272"/>
      <c r="K55" s="217"/>
      <c r="L55" s="29"/>
      <c r="M55" s="334"/>
      <c r="N55" s="217"/>
      <c r="O55" s="217"/>
      <c r="P55" s="217"/>
      <c r="Q55" s="80">
        <f>база!$L$6</f>
        <v>261.04640000000001</v>
      </c>
      <c r="R55" s="272">
        <v>1.2</v>
      </c>
      <c r="S55" s="99">
        <f>SUMIFS(Таблица1[сумма],Таблица1[коэф],"1,2",Таблица1[р/р],"5/16",Таблица1[Ф. И. О.],B55)</f>
        <v>0</v>
      </c>
      <c r="T55" s="93">
        <f>ROUND(Q55*R55*S55,2)</f>
        <v>0</v>
      </c>
      <c r="U55" s="366">
        <f>база!$M$6</f>
        <v>279.0496</v>
      </c>
      <c r="V55" s="272">
        <v>1.2</v>
      </c>
      <c r="W55" s="307">
        <f>SUMIFS(Таблица1[сумма],Таблица1[коэф],"1,2",Таблица1[р/р],"5/24",Таблица1[Ф. И. О.],B55)</f>
        <v>0</v>
      </c>
      <c r="X55" s="313">
        <f>ROUND(U55*V55*W55,2)</f>
        <v>0</v>
      </c>
      <c r="Y55" s="849"/>
      <c r="Z55" s="840"/>
      <c r="AA55" s="843"/>
      <c r="AC55" s="722" t="str">
        <f>IF(SUMIFS(Таблица1[сумма],Таблица1[Ф. И. О.],B55)=Y50,"",B50&amp;"  часы не верны")</f>
        <v/>
      </c>
      <c r="AD55" s="759">
        <f>INDEX('[2]декабрь 23'!$AI$4:$AI$100,MATCH(C50,'[2]декабрь 23'!$AK$4:$AK$100,0))</f>
        <v>50.400000000000006</v>
      </c>
    </row>
    <row r="56" spans="1:30">
      <c r="A56" s="786"/>
      <c r="B56" s="216"/>
      <c r="C56" s="855"/>
      <c r="D56" s="855"/>
      <c r="E56" s="79"/>
      <c r="F56" s="272"/>
      <c r="G56" s="99"/>
      <c r="H56" s="95"/>
      <c r="I56" s="83"/>
      <c r="J56" s="272"/>
      <c r="K56" s="217"/>
      <c r="L56" s="29"/>
      <c r="M56" s="334"/>
      <c r="N56" s="217"/>
      <c r="O56" s="217"/>
      <c r="P56" s="217"/>
      <c r="Q56" s="80">
        <f>IF($D$6&lt;=3,база!$L$4,
IF($D$6=4,база!$L$5,
IF($D$6=5,база!$L$6)))</f>
        <v>231.45480000000001</v>
      </c>
      <c r="R56" s="272">
        <v>1.3</v>
      </c>
      <c r="S56" s="99">
        <f>SUMIFS(Таблица1[сумма],Таблица1[коэф],"1,3",Таблица1[р/р],"3/16",Таблица1[Ф. И. О.],B55)</f>
        <v>0</v>
      </c>
      <c r="T56" s="93">
        <f t="shared" ref="T56:T57" si="28">ROUND(Q56*R56*S56,2)</f>
        <v>0</v>
      </c>
      <c r="U56" s="366">
        <f>IF(D50&lt;=3,база!$M$4,
IF(D50=4,база!$M$5,
IF(D50=5,база!$M$6)))</f>
        <v>225.09719999999999</v>
      </c>
      <c r="V56" s="272">
        <v>1.3</v>
      </c>
      <c r="W56" s="307">
        <f>SUMIFS(Таблица1[сумма],Таблица1[коэф],"1,3",Таблица1[р/р],"3/24",Таблица1[Ф. И. О.],B55)</f>
        <v>0</v>
      </c>
      <c r="X56" s="313">
        <f t="shared" ref="X56:X57" si="29">ROUND(U56*V56*W56,2)</f>
        <v>0</v>
      </c>
      <c r="Y56" s="849"/>
      <c r="Z56" s="840"/>
      <c r="AA56" s="843"/>
    </row>
    <row r="57" spans="1:30">
      <c r="A57" s="786"/>
      <c r="B57" s="216"/>
      <c r="C57" s="855"/>
      <c r="D57" s="855"/>
      <c r="E57" s="79"/>
      <c r="F57" s="272"/>
      <c r="G57" s="99"/>
      <c r="H57" s="95"/>
      <c r="I57" s="83"/>
      <c r="J57" s="272"/>
      <c r="K57" s="217"/>
      <c r="L57" s="29"/>
      <c r="M57" s="334"/>
      <c r="N57" s="217"/>
      <c r="O57" s="217"/>
      <c r="P57" s="217"/>
      <c r="Q57" s="80">
        <f>база!$L$5</f>
        <v>231.45480000000001</v>
      </c>
      <c r="R57" s="272">
        <v>1.3</v>
      </c>
      <c r="S57" s="99">
        <f>SUMIFS(Таблица1[сумма],Таблица1[коэф],"1,3",Таблица1[р/р],"4/16",Таблица1[Ф. И. О.],B55)</f>
        <v>0</v>
      </c>
      <c r="T57" s="93">
        <f t="shared" si="28"/>
        <v>0</v>
      </c>
      <c r="U57" s="366">
        <f>база!$M$5</f>
        <v>247.41720000000001</v>
      </c>
      <c r="V57" s="272">
        <v>1.3</v>
      </c>
      <c r="W57" s="307">
        <f>SUMIFS(Таблица1[сумма],Таблица1[коэф],"1,3",Таблица1[р/р],"4/24",Таблица1[Ф. И. О.],B55)</f>
        <v>0</v>
      </c>
      <c r="X57" s="313">
        <f t="shared" si="29"/>
        <v>0</v>
      </c>
      <c r="Y57" s="849"/>
      <c r="Z57" s="840"/>
      <c r="AA57" s="843"/>
    </row>
    <row r="58" spans="1:30">
      <c r="A58" s="786"/>
      <c r="B58" s="216"/>
      <c r="C58" s="855"/>
      <c r="D58" s="855"/>
      <c r="E58" s="79"/>
      <c r="F58" s="272"/>
      <c r="G58" s="99"/>
      <c r="H58" s="95"/>
      <c r="I58" s="83"/>
      <c r="J58" s="272"/>
      <c r="K58" s="217"/>
      <c r="L58" s="29"/>
      <c r="M58" s="334"/>
      <c r="N58" s="217"/>
      <c r="O58" s="217"/>
      <c r="P58" s="217"/>
      <c r="Q58" s="80">
        <f>IF(D50&lt;=3,база!$L$4,
IF(D50=4,база!$L$5,
IF(D50=5,база!$L$6)))</f>
        <v>210.57480000000001</v>
      </c>
      <c r="R58" s="272">
        <v>1.4</v>
      </c>
      <c r="S58" s="99">
        <f>SUMIFS(Таблица1[сумма],Таблица1[коэф],"1,4",Таблица1[р/р],"3/16",Таблица1[Ф. И. О.],B55)</f>
        <v>0</v>
      </c>
      <c r="T58" s="93">
        <f t="shared" ref="T58:T63" si="30">ROUND(Q58*R58*S58,2)</f>
        <v>0</v>
      </c>
      <c r="U58" s="366">
        <f>IF(D50&lt;=3,база!$M$4,
IF(D50=4,база!$M$5,
IF(D50=5,база!$M$6)))</f>
        <v>225.09719999999999</v>
      </c>
      <c r="V58" s="272">
        <v>1.4</v>
      </c>
      <c r="W58" s="307">
        <f>SUMIFS(Таблица1[сумма],Таблица1[коэф],"1,4",Таблица1[р/р],"3/24",Таблица1[Ф. И. О.],B55)</f>
        <v>0</v>
      </c>
      <c r="X58" s="313">
        <f>ROUND(U58*V58*W58,2)</f>
        <v>0</v>
      </c>
      <c r="Y58" s="849"/>
      <c r="Z58" s="840"/>
      <c r="AA58" s="843"/>
    </row>
    <row r="59" spans="1:30">
      <c r="A59" s="786"/>
      <c r="B59" s="216"/>
      <c r="C59" s="855"/>
      <c r="D59" s="855"/>
      <c r="E59" s="79"/>
      <c r="F59" s="272"/>
      <c r="G59" s="99"/>
      <c r="H59" s="95"/>
      <c r="I59" s="83"/>
      <c r="J59" s="272"/>
      <c r="K59" s="217"/>
      <c r="L59" s="29"/>
      <c r="M59" s="334"/>
      <c r="N59" s="217"/>
      <c r="O59" s="217"/>
      <c r="P59" s="217"/>
      <c r="Q59" s="80">
        <f>база!$L$5</f>
        <v>231.45480000000001</v>
      </c>
      <c r="R59" s="272">
        <v>1.4</v>
      </c>
      <c r="S59" s="99">
        <f>SUMIFS(Таблица1[сумма],Таблица1[коэф],"1,4",Таблица1[р/р],"4/16",Таблица1[Ф. И. О.],B55)</f>
        <v>0</v>
      </c>
      <c r="T59" s="93">
        <f t="shared" si="30"/>
        <v>0</v>
      </c>
      <c r="U59" s="366">
        <f>база!$M$5</f>
        <v>247.41720000000001</v>
      </c>
      <c r="V59" s="272">
        <v>1.4</v>
      </c>
      <c r="W59" s="307">
        <f>SUMIFS(Таблица1[сумма],Таблица1[коэф],"1,4",Таблица1[р/р],"4/24",Таблица1[Ф. И. О.],B55)</f>
        <v>0</v>
      </c>
      <c r="X59" s="313">
        <f>ROUND(U59*V59*W59,2)</f>
        <v>0</v>
      </c>
      <c r="Y59" s="849"/>
      <c r="Z59" s="840"/>
      <c r="AA59" s="843"/>
    </row>
    <row r="60" spans="1:30" ht="24" thickBot="1">
      <c r="A60" s="787"/>
      <c r="B60" s="203"/>
      <c r="C60" s="856"/>
      <c r="D60" s="856"/>
      <c r="E60" s="102"/>
      <c r="F60" s="274"/>
      <c r="G60" s="98"/>
      <c r="H60" s="91"/>
      <c r="I60" s="221"/>
      <c r="J60" s="274"/>
      <c r="K60" s="289"/>
      <c r="L60" s="26"/>
      <c r="M60" s="334"/>
      <c r="N60" s="217"/>
      <c r="O60" s="217"/>
      <c r="P60" s="217"/>
      <c r="Q60" s="78">
        <f>база!$L$6</f>
        <v>261.04640000000001</v>
      </c>
      <c r="R60" s="274">
        <v>1.4</v>
      </c>
      <c r="S60" s="98">
        <f>SUMIFS(Таблица1[сумма],Таблица1[коэф],"1,4",Таблица1[р/р],"5/16",Таблица1[Ф. И. О.],B55)</f>
        <v>0</v>
      </c>
      <c r="T60" s="239">
        <f t="shared" si="30"/>
        <v>0</v>
      </c>
      <c r="U60" s="367">
        <f>база!$M$6</f>
        <v>279.0496</v>
      </c>
      <c r="V60" s="274">
        <v>1.4</v>
      </c>
      <c r="W60" s="312">
        <f>SUMIFS(Таблица1[сумма],Таблица1[коэф],"1,4",Таблица1[р/р],"5/24",Таблица1[Ф. И. О.],B55)</f>
        <v>0</v>
      </c>
      <c r="X60" s="343">
        <f>ROUND(U60*V60*W60,2)</f>
        <v>0</v>
      </c>
      <c r="Y60" s="850"/>
      <c r="Z60" s="841"/>
      <c r="AA60" s="844"/>
    </row>
    <row r="61" spans="1:30">
      <c r="A61" s="785">
        <v>6</v>
      </c>
      <c r="B61" s="216"/>
      <c r="C61" s="854">
        <f>INDEX(база!$E$2:$E$181, MATCH(B66,база!$B$2:$B$150,0))</f>
        <v>17290</v>
      </c>
      <c r="D61" s="854">
        <f>INDEX(база!$D$2:$D$89, MATCH(B66,база!$B$2:$B$50,0))</f>
        <v>3</v>
      </c>
      <c r="E61" s="73">
        <f>IF(D61&lt;=3,база!$I$4,
IF(D61=4,база!$I$5,
IF(D61=5,база!$I$6)))</f>
        <v>188.7912</v>
      </c>
      <c r="F61" s="270">
        <v>1</v>
      </c>
      <c r="G61" s="99">
        <f>SUMIFS(Таблица1[сумма],Таблица1[коэф],"1",Таблица1[р/р],"2/4",Таблица1[Ф. И. О.],B66)</f>
        <v>0</v>
      </c>
      <c r="H61" s="88">
        <f>ROUND(E61*F61*G61,2)</f>
        <v>0</v>
      </c>
      <c r="I61" s="82">
        <f>IF(D61&lt;=3,база!$J$4,
IF(D61=4,база!$J$5,
IF(D61=5,база!$J$6)))</f>
        <v>196.05240000000001</v>
      </c>
      <c r="J61" s="271">
        <v>1</v>
      </c>
      <c r="K61" s="309">
        <f>SUMIFS(Таблица1[сумма],Таблица1[коэф],"1",Таблица1[р/р],"2/8",Таблица1[Ф. И. О.],B66)</f>
        <v>0</v>
      </c>
      <c r="L61" s="309">
        <f>ROUND(I61*J61*K61,2)</f>
        <v>0</v>
      </c>
      <c r="M61" s="217"/>
      <c r="N61" s="217">
        <v>1</v>
      </c>
      <c r="O61" s="217">
        <f>SUMIFS(Data_Tech!$AM$3:$AM$67,Data_Tech!$E$3:$E$67,"1",Data_Tech!$G$3:$G$67,"3/12",Data_Tech!$F$3:$F$67,B66)</f>
        <v>0</v>
      </c>
      <c r="P61" s="30">
        <f>ROUND(M61*N61*O61,2)</f>
        <v>0</v>
      </c>
      <c r="Q61" s="73">
        <f>IF(D61&lt;=3,база!$L$4,
IF(D61=4,база!$L$5,
IF(D61=5,база!$L$6)))</f>
        <v>210.57480000000001</v>
      </c>
      <c r="R61" s="270">
        <v>1</v>
      </c>
      <c r="S61" s="96">
        <f>SUMIFS(Таблица1[сумма],Таблица1[коэф],"1",Таблица1[р/р],"3/16",Таблица1[Ф. И. О.],B66)</f>
        <v>0</v>
      </c>
      <c r="T61" s="88">
        <f t="shared" si="30"/>
        <v>0</v>
      </c>
      <c r="U61" s="368">
        <f>IF(D61&lt;=3,база!$M$4,
IF(D61=4,база!$M$5,
IF(D61=5,база!$M$6)))</f>
        <v>225.09719999999999</v>
      </c>
      <c r="V61" s="271">
        <v>1</v>
      </c>
      <c r="W61" s="337">
        <f>SUMIFS(Таблица1[сумма],Таблица1[коэф],"1",Таблица1[р/р],"3/24",Таблица1[Ф. И. О.],B66)</f>
        <v>0</v>
      </c>
      <c r="X61" s="342">
        <f>ROUND(U61*V61*W61,2)</f>
        <v>0</v>
      </c>
      <c r="Y61" s="849">
        <f>SUM(G61:G71,K61:K71,O61:O71,S61:S71,W61:W71)</f>
        <v>0</v>
      </c>
      <c r="Z61" s="840">
        <f>IFERROR(SUM(H61:H71,L61:L71,T61:T71,X61:X71),"")</f>
        <v>0</v>
      </c>
      <c r="AA61" s="843"/>
    </row>
    <row r="62" spans="1:30">
      <c r="A62" s="786"/>
      <c r="B62" s="216"/>
      <c r="C62" s="855"/>
      <c r="D62" s="855"/>
      <c r="E62" s="79">
        <f>IF(D61&lt;=3,база!$I$4,
IF(D61=4,база!$I$5,
IF(D61=5,база!$I$6)))</f>
        <v>188.7912</v>
      </c>
      <c r="F62" s="272">
        <v>1</v>
      </c>
      <c r="G62" s="99">
        <f>SUMIFS(Таблица1[сумма],Таблица1[коэф],"1",Таблица1[р/р],"3/4",Таблица1[Ф. И. О.],B66)</f>
        <v>0</v>
      </c>
      <c r="H62" s="95">
        <f>ROUND(E62*F62*G62,2)</f>
        <v>0</v>
      </c>
      <c r="I62" s="83">
        <f>IF(D61&lt;=3,база!$J$4,
IF(D61=4,база!$J$5,
IF(D61=5,база!$J$6)))</f>
        <v>196.05240000000001</v>
      </c>
      <c r="J62" s="272">
        <v>1</v>
      </c>
      <c r="K62" s="217">
        <f>SUMIFS(Таблица1[сумма],Таблица1[коэф],"1",Таблица1[р/р],"3/8",Таблица1[Ф. И. О.],B66)</f>
        <v>0</v>
      </c>
      <c r="L62" s="217">
        <f>ROUND(I62*J62*K62,2)</f>
        <v>0</v>
      </c>
      <c r="M62" s="217"/>
      <c r="N62" s="217">
        <v>1</v>
      </c>
      <c r="O62" s="217">
        <f>SUMIFS(Data_Tech!$AM$3:$AM$67,Data_Tech!$E$3:$E$67,"1",Data_Tech!$G$3:$G$67,"4/12",Data_Tech!$F$3:$F$67,B66)</f>
        <v>0</v>
      </c>
      <c r="P62" s="30">
        <f>ROUND(M62*O62,2)</f>
        <v>0</v>
      </c>
      <c r="Q62" s="79">
        <f>база!$L$5</f>
        <v>231.45480000000001</v>
      </c>
      <c r="R62" s="272">
        <v>1</v>
      </c>
      <c r="S62" s="99">
        <f>SUMIFS(Таблица1[сумма],Таблица1[коэф],"1",Таблица1[р/р],"4/16",Таблица1[Ф. И. О.],B66)</f>
        <v>0</v>
      </c>
      <c r="T62" s="95">
        <f t="shared" si="30"/>
        <v>0</v>
      </c>
      <c r="U62" s="361">
        <f>база!$M$5</f>
        <v>247.41720000000001</v>
      </c>
      <c r="V62" s="272">
        <v>1</v>
      </c>
      <c r="W62" s="307">
        <f>SUMIFS(Таблица1[сумма],Таблица1[коэф],"1",Таблица1[р/р],"4/24",Таблица1[Ф. И. О.],B66)</f>
        <v>0</v>
      </c>
      <c r="X62" s="313">
        <f t="shared" ref="X62" si="31">ROUND(U62*V62*W62,2)</f>
        <v>0</v>
      </c>
      <c r="Y62" s="849"/>
      <c r="Z62" s="840"/>
      <c r="AA62" s="843"/>
    </row>
    <row r="63" spans="1:30">
      <c r="A63" s="786"/>
      <c r="B63" s="216"/>
      <c r="C63" s="855"/>
      <c r="D63" s="855"/>
      <c r="E63" s="79"/>
      <c r="F63" s="272"/>
      <c r="G63" s="99"/>
      <c r="H63" s="95"/>
      <c r="I63" s="83"/>
      <c r="J63" s="272"/>
      <c r="K63" s="217"/>
      <c r="L63" s="217"/>
      <c r="M63" s="217"/>
      <c r="N63" s="217"/>
      <c r="O63" s="217"/>
      <c r="P63" s="30"/>
      <c r="Q63" s="79">
        <f>база!$L$6</f>
        <v>261.04640000000001</v>
      </c>
      <c r="R63" s="272">
        <v>1</v>
      </c>
      <c r="S63" s="99">
        <f>SUMIFS(Таблица1[сумма],Таблица1[коэф],"1",Таблица1[р/р],"5/16",Таблица1[Ф. И. О.],B66)</f>
        <v>0</v>
      </c>
      <c r="T63" s="95">
        <f t="shared" si="30"/>
        <v>0</v>
      </c>
      <c r="U63" s="361">
        <f>база!$M$6</f>
        <v>279.0496</v>
      </c>
      <c r="V63" s="272">
        <v>1</v>
      </c>
      <c r="W63" s="307">
        <f>SUMIFS(Таблица1[сумма],Таблица1[коэф],"1",Таблица1[р/р],"5/24",Таблица1[Ф. И. О.],B66)</f>
        <v>0</v>
      </c>
      <c r="X63" s="313">
        <f>ROUND(U63*V63*W63,2)</f>
        <v>0</v>
      </c>
      <c r="Y63" s="849"/>
      <c r="Z63" s="840"/>
      <c r="AA63" s="843"/>
    </row>
    <row r="64" spans="1:30">
      <c r="A64" s="786"/>
      <c r="B64" s="216"/>
      <c r="C64" s="855"/>
      <c r="D64" s="855"/>
      <c r="E64" s="79"/>
      <c r="F64" s="272"/>
      <c r="G64" s="99"/>
      <c r="H64" s="95"/>
      <c r="I64" s="83">
        <f>база!$J$5</f>
        <v>215.4924</v>
      </c>
      <c r="J64" s="272">
        <v>1.5</v>
      </c>
      <c r="K64" s="217">
        <f>SUMIFS(Таблица1[сумма],Таблица1[коэф],"1,5",Таблица1[р/р],"4/8",Таблица1[Ф. И. О.],B66)</f>
        <v>0</v>
      </c>
      <c r="L64" s="217">
        <f>ROUND(I64*J64*K64,2)</f>
        <v>0</v>
      </c>
      <c r="M64" s="217"/>
      <c r="N64" s="217"/>
      <c r="O64" s="217"/>
      <c r="P64" s="30"/>
      <c r="Q64" s="79">
        <f>IF(D61&lt;=3,база!$L$4,
IF(D61=4,база!$L$5,
IF(D61=5,база!$L$6)))</f>
        <v>210.57480000000001</v>
      </c>
      <c r="R64" s="272">
        <v>1.2</v>
      </c>
      <c r="S64" s="99">
        <f>SUMIFS(Таблица1[сумма],Таблица1[коэф],"1,2",Таблица1[р/р],"3/16",Таблица1[Ф. И. О.],B66)</f>
        <v>0</v>
      </c>
      <c r="T64" s="95">
        <f t="shared" ref="T64:T65" si="32">ROUND(Q64*R64*S64,2)</f>
        <v>0</v>
      </c>
      <c r="U64" s="361">
        <f>IF(D61&lt;=3,база!$M$4,
IF(D61=4,база!$M$5,
IF(D61=5,база!$M$6)))</f>
        <v>225.09719999999999</v>
      </c>
      <c r="V64" s="272">
        <v>1.2</v>
      </c>
      <c r="W64" s="307">
        <f>SUMIFS(Таблица1[сумма],Таблица1[коэф],"1,2",Таблица1[р/р],"3/24",Таблица1[Ф. И. О.],B66)</f>
        <v>0</v>
      </c>
      <c r="X64" s="313">
        <f t="shared" ref="X64:X65" si="33">ROUND(U64*V64*W64,2)</f>
        <v>0</v>
      </c>
      <c r="Y64" s="849"/>
      <c r="Z64" s="840"/>
      <c r="AA64" s="843"/>
    </row>
    <row r="65" spans="1:30">
      <c r="A65" s="786"/>
      <c r="B65" s="216"/>
      <c r="C65" s="855"/>
      <c r="D65" s="855"/>
      <c r="E65" s="79"/>
      <c r="F65" s="272"/>
      <c r="G65" s="99"/>
      <c r="H65" s="95"/>
      <c r="I65" s="83">
        <f>база!$J$6</f>
        <v>243.04319999999998</v>
      </c>
      <c r="J65" s="272">
        <v>1.5</v>
      </c>
      <c r="K65" s="217">
        <f>SUMIFS(Таблица1[сумма],Таблица1[коэф],"1,5",Таблица1[р/р],"5/8",Таблица1[Ф. И. О.],B66)</f>
        <v>0</v>
      </c>
      <c r="L65" s="217">
        <f>ROUND(I65*J65*K65,2)</f>
        <v>0</v>
      </c>
      <c r="M65" s="217"/>
      <c r="N65" s="217"/>
      <c r="O65" s="217"/>
      <c r="P65" s="30"/>
      <c r="Q65" s="79">
        <f>база!$L$5</f>
        <v>231.45480000000001</v>
      </c>
      <c r="R65" s="272">
        <v>1.2</v>
      </c>
      <c r="S65" s="99">
        <f>SUMIFS(Таблица1[сумма],Таблица1[коэф],"1,2",Таблица1[р/р],"4/16",Таблица1[Ф. И. О.],B66)</f>
        <v>0</v>
      </c>
      <c r="T65" s="95">
        <f t="shared" si="32"/>
        <v>0</v>
      </c>
      <c r="U65" s="361">
        <f>база!$M$5</f>
        <v>247.41720000000001</v>
      </c>
      <c r="V65" s="272">
        <v>1.2</v>
      </c>
      <c r="W65" s="307">
        <f>SUMIFS(Таблица1[сумма],Таблица1[коэф],"1,2",Таблица1[р/р],"4/24",Таблица1[Ф. И. О.],B66)</f>
        <v>0</v>
      </c>
      <c r="X65" s="313">
        <f t="shared" si="33"/>
        <v>0</v>
      </c>
      <c r="Y65" s="849"/>
      <c r="Z65" s="840"/>
      <c r="AA65" s="843"/>
      <c r="AC65" s="722" t="str">
        <f>IF(SUMIFS(Таблица1[Столбец2],Таблица1[Ф. И. О.],B66)-Z61=0,"",SUMIFS(Таблица1[Столбец2],Таблица1[Ф. И. О.],B66)-Z61)</f>
        <v/>
      </c>
    </row>
    <row r="66" spans="1:30">
      <c r="A66" s="786"/>
      <c r="B66" s="216" t="str">
        <f>база!B7</f>
        <v>Аполосова Ольга Николаевна</v>
      </c>
      <c r="C66" s="855"/>
      <c r="D66" s="855"/>
      <c r="E66" s="79"/>
      <c r="F66" s="272"/>
      <c r="G66" s="99"/>
      <c r="H66" s="95"/>
      <c r="I66" s="83"/>
      <c r="J66" s="272"/>
      <c r="K66" s="217"/>
      <c r="L66" s="217"/>
      <c r="M66" s="217"/>
      <c r="N66" s="217"/>
      <c r="O66" s="217"/>
      <c r="P66" s="30"/>
      <c r="Q66" s="79">
        <f>база!$L$6</f>
        <v>261.04640000000001</v>
      </c>
      <c r="R66" s="272">
        <v>1.2</v>
      </c>
      <c r="S66" s="99">
        <f>SUMIFS(Таблица1[сумма],Таблица1[коэф],"1,2",Таблица1[р/р],"5/16",Таблица1[Ф. И. О.],B66)</f>
        <v>0</v>
      </c>
      <c r="T66" s="95">
        <f>ROUND(Q66*R66*S66,2)</f>
        <v>0</v>
      </c>
      <c r="U66" s="361">
        <f>база!$M$6</f>
        <v>279.0496</v>
      </c>
      <c r="V66" s="272">
        <v>1.2</v>
      </c>
      <c r="W66" s="307">
        <f>SUMIFS(Таблица1[сумма],Таблица1[коэф],"1,2",Таблица1[р/р],"5/24",Таблица1[Ф. И. О.],B66)</f>
        <v>0</v>
      </c>
      <c r="X66" s="313">
        <f>ROUND(U66*V66*W66,2)</f>
        <v>0</v>
      </c>
      <c r="Y66" s="849"/>
      <c r="Z66" s="840"/>
      <c r="AA66" s="843"/>
      <c r="AC66" s="722" t="str">
        <f>IF(SUMIFS(Таблица1[сумма],Таблица1[Ф. И. О.],B66)=Y61,"",B61&amp;"  часы не верны")</f>
        <v/>
      </c>
      <c r="AD66" s="759">
        <f>INDEX('[2]декабрь 23'!$AI$4:$AI$100,MATCH(C61,'[2]декабрь 23'!$AK$4:$AK$100,0))</f>
        <v>136.80000000000001</v>
      </c>
    </row>
    <row r="67" spans="1:30">
      <c r="A67" s="786"/>
      <c r="B67" s="216"/>
      <c r="C67" s="855"/>
      <c r="D67" s="855"/>
      <c r="E67" s="79"/>
      <c r="F67" s="272"/>
      <c r="G67" s="99"/>
      <c r="H67" s="95"/>
      <c r="I67" s="83"/>
      <c r="J67" s="272"/>
      <c r="K67" s="217"/>
      <c r="L67" s="217"/>
      <c r="M67" s="217"/>
      <c r="N67" s="217"/>
      <c r="O67" s="217"/>
      <c r="P67" s="30"/>
      <c r="Q67" s="79">
        <f>IF($D$6&lt;=3,база!$L$4,
IF($D$6=4,база!$L$5,
IF($D$6=5,база!$L$6)))</f>
        <v>231.45480000000001</v>
      </c>
      <c r="R67" s="272">
        <v>1.3</v>
      </c>
      <c r="S67" s="99">
        <f>SUMIFS(Таблица1[сумма],Таблица1[коэф],"1,3",Таблица1[р/р],"3/16",Таблица1[Ф. И. О.],B66)</f>
        <v>0</v>
      </c>
      <c r="T67" s="95">
        <f t="shared" ref="T67:T68" si="34">ROUND(Q67*R67*S67,2)</f>
        <v>0</v>
      </c>
      <c r="U67" s="361">
        <f>IF(D61&lt;=3,база!$M$4,
IF(D61=4,база!$M$5,
IF(D61=5,база!$M$6)))</f>
        <v>225.09719999999999</v>
      </c>
      <c r="V67" s="272">
        <v>1.3</v>
      </c>
      <c r="W67" s="307">
        <f>SUMIFS(Таблица1[сумма],Таблица1[коэф],"1,3",Таблица1[р/р],"3/24",Таблица1[Ф. И. О.],B66)</f>
        <v>0</v>
      </c>
      <c r="X67" s="313">
        <f t="shared" ref="X67:X68" si="35">ROUND(U67*V67*W67,2)</f>
        <v>0</v>
      </c>
      <c r="Y67" s="849"/>
      <c r="Z67" s="840"/>
      <c r="AA67" s="843"/>
    </row>
    <row r="68" spans="1:30">
      <c r="A68" s="786"/>
      <c r="B68" s="216"/>
      <c r="C68" s="855"/>
      <c r="D68" s="855"/>
      <c r="E68" s="79"/>
      <c r="F68" s="272"/>
      <c r="G68" s="99"/>
      <c r="H68" s="95"/>
      <c r="I68" s="83"/>
      <c r="J68" s="272"/>
      <c r="K68" s="217"/>
      <c r="L68" s="217"/>
      <c r="M68" s="217"/>
      <c r="N68" s="217"/>
      <c r="O68" s="217"/>
      <c r="P68" s="30"/>
      <c r="Q68" s="79">
        <f>база!$L$5</f>
        <v>231.45480000000001</v>
      </c>
      <c r="R68" s="272">
        <v>1.3</v>
      </c>
      <c r="S68" s="99">
        <f>SUMIFS(Таблица1[сумма],Таблица1[коэф],"1,3",Таблица1[р/р],"4/16",Таблица1[Ф. И. О.],B66)</f>
        <v>0</v>
      </c>
      <c r="T68" s="95">
        <f t="shared" si="34"/>
        <v>0</v>
      </c>
      <c r="U68" s="361">
        <f>база!$M$5</f>
        <v>247.41720000000001</v>
      </c>
      <c r="V68" s="272">
        <v>1.3</v>
      </c>
      <c r="W68" s="307">
        <f>SUMIFS(Таблица1[сумма],Таблица1[коэф],"1,3",Таблица1[р/р],"4/24",Таблица1[Ф. И. О.],B66)</f>
        <v>0</v>
      </c>
      <c r="X68" s="313">
        <f t="shared" si="35"/>
        <v>0</v>
      </c>
      <c r="Y68" s="849"/>
      <c r="Z68" s="840"/>
      <c r="AA68" s="843"/>
    </row>
    <row r="69" spans="1:30">
      <c r="A69" s="786"/>
      <c r="B69" s="216"/>
      <c r="C69" s="855"/>
      <c r="D69" s="855"/>
      <c r="E69" s="79"/>
      <c r="F69" s="272"/>
      <c r="G69" s="99"/>
      <c r="H69" s="95"/>
      <c r="I69" s="83"/>
      <c r="J69" s="272"/>
      <c r="K69" s="217"/>
      <c r="L69" s="217"/>
      <c r="M69" s="217"/>
      <c r="N69" s="217"/>
      <c r="O69" s="217"/>
      <c r="P69" s="30"/>
      <c r="Q69" s="79">
        <f>IF(D61&lt;=3,база!$L$4,
IF(D61=4,база!$L$5,
IF(D61=5,база!$L$6)))</f>
        <v>210.57480000000001</v>
      </c>
      <c r="R69" s="272">
        <v>1.4</v>
      </c>
      <c r="S69" s="99">
        <f>SUMIFS(Таблица1[сумма],Таблица1[коэф],"1,4",Таблица1[р/р],"3/16",Таблица1[Ф. И. О.],B66)</f>
        <v>0</v>
      </c>
      <c r="T69" s="95">
        <f t="shared" ref="T69:T74" si="36">ROUND(Q69*R69*S69,2)</f>
        <v>0</v>
      </c>
      <c r="U69" s="361">
        <f>IF(D61&lt;=3,база!$M$4,
IF(D61=4,база!$M$5,
IF(D61=5,база!$M$6)))</f>
        <v>225.09719999999999</v>
      </c>
      <c r="V69" s="272">
        <v>1.4</v>
      </c>
      <c r="W69" s="307">
        <f>SUMIFS(Таблица1[сумма],Таблица1[коэф],"1,4",Таблица1[р/р],"3/24",Таблица1[Ф. И. О.],B66)</f>
        <v>0</v>
      </c>
      <c r="X69" s="313">
        <f>ROUND(U69*V69*W69,2)</f>
        <v>0</v>
      </c>
      <c r="Y69" s="849"/>
      <c r="Z69" s="840"/>
      <c r="AA69" s="843"/>
    </row>
    <row r="70" spans="1:30">
      <c r="A70" s="786"/>
      <c r="B70" s="216"/>
      <c r="C70" s="855"/>
      <c r="D70" s="855"/>
      <c r="E70" s="79"/>
      <c r="F70" s="272"/>
      <c r="G70" s="99"/>
      <c r="H70" s="95"/>
      <c r="I70" s="83"/>
      <c r="J70" s="272"/>
      <c r="K70" s="217"/>
      <c r="L70" s="217"/>
      <c r="M70" s="217"/>
      <c r="N70" s="217"/>
      <c r="O70" s="217"/>
      <c r="P70" s="30"/>
      <c r="Q70" s="79">
        <f>база!$L$5</f>
        <v>231.45480000000001</v>
      </c>
      <c r="R70" s="272">
        <v>1.4</v>
      </c>
      <c r="S70" s="99">
        <f>SUMIFS(Таблица1[сумма],Таблица1[коэф],"1,4",Таблица1[р/р],"4/16",Таблица1[Ф. И. О.],B66)</f>
        <v>0</v>
      </c>
      <c r="T70" s="95">
        <f t="shared" si="36"/>
        <v>0</v>
      </c>
      <c r="U70" s="361">
        <f>база!$M$5</f>
        <v>247.41720000000001</v>
      </c>
      <c r="V70" s="272">
        <v>1.4</v>
      </c>
      <c r="W70" s="307">
        <f>SUMIFS(Таблица1[сумма],Таблица1[коэф],"1,4",Таблица1[р/р],"4/24",Таблица1[Ф. И. О.],B66)</f>
        <v>0</v>
      </c>
      <c r="X70" s="313">
        <f>ROUND(U70*V70*W70,2)</f>
        <v>0</v>
      </c>
      <c r="Y70" s="849"/>
      <c r="Z70" s="840"/>
      <c r="AA70" s="843"/>
    </row>
    <row r="71" spans="1:30" ht="24" thickBot="1">
      <c r="A71" s="787"/>
      <c r="B71" s="203"/>
      <c r="C71" s="856"/>
      <c r="D71" s="856"/>
      <c r="E71" s="102"/>
      <c r="F71" s="274"/>
      <c r="G71" s="98"/>
      <c r="H71" s="91"/>
      <c r="I71" s="221"/>
      <c r="J71" s="274"/>
      <c r="K71" s="289"/>
      <c r="L71" s="289"/>
      <c r="M71" s="289"/>
      <c r="N71" s="289"/>
      <c r="O71" s="289"/>
      <c r="P71" s="315"/>
      <c r="Q71" s="102">
        <f>база!$L$6</f>
        <v>261.04640000000001</v>
      </c>
      <c r="R71" s="274">
        <v>1.4</v>
      </c>
      <c r="S71" s="98">
        <f>SUMIFS(Таблица1[сумма],Таблица1[коэф],"1,4",Таблица1[р/р],"5/16",Таблица1[Ф. И. О.],B66)</f>
        <v>0</v>
      </c>
      <c r="T71" s="91">
        <f t="shared" si="36"/>
        <v>0</v>
      </c>
      <c r="U71" s="364">
        <f>база!$M$6</f>
        <v>279.0496</v>
      </c>
      <c r="V71" s="274">
        <v>1.4</v>
      </c>
      <c r="W71" s="312">
        <f>SUMIFS(Таблица1[сумма],Таблица1[коэф],"1,4",Таблица1[р/р],"5/24",Таблица1[Ф. И. О.],B66)</f>
        <v>0</v>
      </c>
      <c r="X71" s="343">
        <f>ROUND(U71*V71*W71,2)</f>
        <v>0</v>
      </c>
      <c r="Y71" s="850"/>
      <c r="Z71" s="841"/>
      <c r="AA71" s="844"/>
    </row>
    <row r="72" spans="1:30">
      <c r="A72" s="785">
        <v>7</v>
      </c>
      <c r="B72" s="216"/>
      <c r="C72" s="854">
        <f>INDEX(база!$E$2:$E$181, MATCH(B77,база!$B$2:$B$150,0))</f>
        <v>17296</v>
      </c>
      <c r="D72" s="854">
        <f>INDEX(база!$D$2:$D$150, MATCH(B77,база!$B$2:$B$150,0))</f>
        <v>3</v>
      </c>
      <c r="E72" s="73">
        <f>IF(D72&lt;=3,база!$I$4,
IF(D72=4,база!$I$5,
IF(D72=5,база!$I$6)))</f>
        <v>188.7912</v>
      </c>
      <c r="F72" s="270">
        <v>1</v>
      </c>
      <c r="G72" s="96">
        <f>SUMIFS(Таблица1[сумма],Таблица1[коэф],"1",Таблица1[р/р],"2/4",Таблица1[Ф. И. О.],B77)</f>
        <v>0</v>
      </c>
      <c r="H72" s="317">
        <f>ROUND(E72*F72*G72,2)</f>
        <v>0</v>
      </c>
      <c r="I72" s="73">
        <f>IF(D72&lt;=3,база!$J$4,
IF(D72=4,база!$J$5,
IF(D72=5,база!$J$6)))</f>
        <v>196.05240000000001</v>
      </c>
      <c r="J72" s="270">
        <v>1</v>
      </c>
      <c r="K72" s="288">
        <f>SUMIFS(Таблица1[сумма],Таблица1[коэф],"1",Таблица1[р/р],"2/8",Таблица1[Ф. И. О.],B77)</f>
        <v>0</v>
      </c>
      <c r="L72" s="28">
        <f>ROUND(I72*J72*K72,2)</f>
        <v>0</v>
      </c>
      <c r="M72" s="338"/>
      <c r="N72" s="288">
        <v>1</v>
      </c>
      <c r="O72" s="288">
        <f>SUMIFS(Data_Tech!$AM$3:$AM$67,Data_Tech!$E$3:$E$67,"1",Data_Tech!$G$3:$G$67,"3/12",Data_Tech!$F$3:$F$67,B77)</f>
        <v>0</v>
      </c>
      <c r="P72" s="28">
        <f>ROUND(M72*N72*O72,2)</f>
        <v>0</v>
      </c>
      <c r="Q72" s="310">
        <f>IF(D72&lt;=3,база!$L$4,
IF(D72=4,база!$L$5,
IF(D72=5,база!$L$6)))</f>
        <v>210.57480000000001</v>
      </c>
      <c r="R72" s="270">
        <v>1</v>
      </c>
      <c r="S72" s="96">
        <f>SUMIFS(Таблица1[сумма],Таблица1[коэф],"1",Таблица1[р/р],"3/16",Таблица1[Ф. И. О.],B77)</f>
        <v>0</v>
      </c>
      <c r="T72" s="88">
        <f t="shared" si="36"/>
        <v>0</v>
      </c>
      <c r="U72" s="363">
        <f>IF(D72&lt;=3,база!$M$4,
IF(D72=4,база!$M$5,
IF(D72=5,база!$M$6)))</f>
        <v>225.09719999999999</v>
      </c>
      <c r="V72" s="270">
        <v>1</v>
      </c>
      <c r="W72" s="340">
        <f>SUMIFS(Таблица1[сумма],Таблица1[коэф],"1",Таблица1[р/р],"3/24",Таблица1[Ф. И. О.],B77)</f>
        <v>0</v>
      </c>
      <c r="X72" s="342">
        <f>ROUND(U72*V72*W72,2)</f>
        <v>0</v>
      </c>
      <c r="Y72" s="849">
        <f>SUM(G72:G82,K72:K82,O72:O82,S72:S82,W72:W82)</f>
        <v>0</v>
      </c>
      <c r="Z72" s="840">
        <f>IFERROR(SUM(H72:H82,L72:L82,T72:T82,X72:X82),"")</f>
        <v>0</v>
      </c>
      <c r="AA72" s="843"/>
    </row>
    <row r="73" spans="1:30">
      <c r="A73" s="786"/>
      <c r="B73" s="216"/>
      <c r="C73" s="855"/>
      <c r="D73" s="855"/>
      <c r="E73" s="79">
        <f>IF(D72&lt;=3,база!$I$4,
IF(D72=4,база!$I$5,
IF(D72=5,база!$I$6)))</f>
        <v>188.7912</v>
      </c>
      <c r="F73" s="272">
        <v>1</v>
      </c>
      <c r="G73" s="99">
        <f>SUMIFS(Таблица1[сумма],Таблица1[коэф],"1",Таблица1[р/р],"3/4",Таблица1[Ф. И. О.],B77)</f>
        <v>0</v>
      </c>
      <c r="H73" s="93">
        <f>ROUND(E73*F73*G73,2)</f>
        <v>0</v>
      </c>
      <c r="I73" s="79">
        <f>IF(D72&lt;=3,база!$J$4,
IF(D72=4,база!$J$5,
IF(D72=5,база!$J$6)))</f>
        <v>196.05240000000001</v>
      </c>
      <c r="J73" s="272">
        <v>1</v>
      </c>
      <c r="K73" s="217">
        <f>SUMIFS(Таблица1[сумма],Таблица1[коэф],"1",Таблица1[р/р],"3/8",Таблица1[Ф. И. О.],B77)</f>
        <v>0</v>
      </c>
      <c r="L73" s="29">
        <f>ROUND(I73*J73*K73,2)</f>
        <v>0</v>
      </c>
      <c r="M73" s="334"/>
      <c r="N73" s="217">
        <v>1</v>
      </c>
      <c r="O73" s="217">
        <f>SUMIFS(Data_Tech!$AM$3:$AM$67,Data_Tech!$E$3:$E$67,"1",Data_Tech!$G$3:$G$67,"4/12",Data_Tech!$F$3:$F$67,B77)</f>
        <v>0</v>
      </c>
      <c r="P73" s="29">
        <f>ROUND(M73*O73,2)</f>
        <v>0</v>
      </c>
      <c r="Q73" s="83">
        <f>база!$L$5</f>
        <v>231.45480000000001</v>
      </c>
      <c r="R73" s="272">
        <v>1</v>
      </c>
      <c r="S73" s="99">
        <f>SUMIFS(Таблица1[сумма],Таблица1[коэф],"1",Таблица1[р/р],"4/16",Таблица1[Ф. И. О.],B77)</f>
        <v>0</v>
      </c>
      <c r="T73" s="95">
        <f t="shared" si="36"/>
        <v>0</v>
      </c>
      <c r="U73" s="361">
        <f>база!$M$5</f>
        <v>247.41720000000001</v>
      </c>
      <c r="V73" s="272">
        <v>1</v>
      </c>
      <c r="W73" s="307">
        <f>SUMIFS(Таблица1[сумма],Таблица1[коэф],"1",Таблица1[р/р],"4/24",Таблица1[Ф. И. О.],B77)</f>
        <v>0</v>
      </c>
      <c r="X73" s="313">
        <f t="shared" ref="X73" si="37">ROUND(U73*V73*W73,2)</f>
        <v>0</v>
      </c>
      <c r="Y73" s="849"/>
      <c r="Z73" s="840"/>
      <c r="AA73" s="843"/>
    </row>
    <row r="74" spans="1:30">
      <c r="A74" s="786"/>
      <c r="B74" s="216"/>
      <c r="C74" s="855"/>
      <c r="D74" s="855"/>
      <c r="E74" s="79"/>
      <c r="F74" s="272"/>
      <c r="G74" s="99"/>
      <c r="H74" s="93"/>
      <c r="I74" s="79"/>
      <c r="J74" s="272"/>
      <c r="K74" s="217"/>
      <c r="L74" s="29"/>
      <c r="M74" s="334"/>
      <c r="N74" s="217"/>
      <c r="O74" s="217"/>
      <c r="P74" s="29"/>
      <c r="Q74" s="83">
        <f>база!$L$6</f>
        <v>261.04640000000001</v>
      </c>
      <c r="R74" s="272">
        <v>1</v>
      </c>
      <c r="S74" s="99">
        <f>SUMIFS(Таблица1[сумма],Таблица1[коэф],"1",Таблица1[р/р],"5/16",Таблица1[Ф. И. О.],B77)</f>
        <v>0</v>
      </c>
      <c r="T74" s="95">
        <f t="shared" si="36"/>
        <v>0</v>
      </c>
      <c r="U74" s="361">
        <f>база!$M$6</f>
        <v>279.0496</v>
      </c>
      <c r="V74" s="272">
        <v>1</v>
      </c>
      <c r="W74" s="307">
        <f>SUMIFS(Таблица1[сумма],Таблица1[коэф],"1",Таблица1[р/р],"5/24",Таблица1[Ф. И. О.],B77)</f>
        <v>0</v>
      </c>
      <c r="X74" s="313">
        <f>ROUND(U74*V74*W74,2)</f>
        <v>0</v>
      </c>
      <c r="Y74" s="849"/>
      <c r="Z74" s="840"/>
      <c r="AA74" s="843"/>
    </row>
    <row r="75" spans="1:30">
      <c r="A75" s="786"/>
      <c r="B75" s="216"/>
      <c r="C75" s="855"/>
      <c r="D75" s="855"/>
      <c r="E75" s="79"/>
      <c r="F75" s="272"/>
      <c r="G75" s="99"/>
      <c r="H75" s="93"/>
      <c r="I75" s="79">
        <f>база!$J$5</f>
        <v>215.4924</v>
      </c>
      <c r="J75" s="272">
        <v>1.5</v>
      </c>
      <c r="K75" s="217">
        <f>SUMIFS(Таблица1[сумма],Таблица1[коэф],"1,5",Таблица1[р/р],"4/8",Таблица1[Ф. И. О.],B77)</f>
        <v>0</v>
      </c>
      <c r="L75" s="29">
        <f>ROUND(I75*J75*K75,2)</f>
        <v>0</v>
      </c>
      <c r="M75" s="334"/>
      <c r="N75" s="217"/>
      <c r="O75" s="217"/>
      <c r="P75" s="29"/>
      <c r="Q75" s="83">
        <f>IF(D72&lt;=3,база!$L$4,
IF(D72=4,база!$L$5,
IF(D72=5,база!$L$6)))</f>
        <v>210.57480000000001</v>
      </c>
      <c r="R75" s="272">
        <v>1.2</v>
      </c>
      <c r="S75" s="99">
        <f>SUMIFS(Таблица1[сумма],Таблица1[коэф],"1,2",Таблица1[р/р],"3/16",Таблица1[Ф. И. О.],B77)</f>
        <v>0</v>
      </c>
      <c r="T75" s="95">
        <f t="shared" ref="T75:T76" si="38">ROUND(Q75*R75*S75,2)</f>
        <v>0</v>
      </c>
      <c r="U75" s="361">
        <f>IF(D72&lt;=3,база!$M$4,
IF(D72=4,база!$M$5,
IF(D72=5,база!$M$6)))</f>
        <v>225.09719999999999</v>
      </c>
      <c r="V75" s="272">
        <v>1.2</v>
      </c>
      <c r="W75" s="307">
        <f>SUMIFS(Таблица1[сумма],Таблица1[коэф],"1,2",Таблица1[р/р],"3/24",Таблица1[Ф. И. О.],B77)</f>
        <v>0</v>
      </c>
      <c r="X75" s="313">
        <f t="shared" ref="X75:X76" si="39">ROUND(U75*V75*W75,2)</f>
        <v>0</v>
      </c>
      <c r="Y75" s="849"/>
      <c r="Z75" s="840"/>
      <c r="AA75" s="843"/>
    </row>
    <row r="76" spans="1:30">
      <c r="A76" s="786"/>
      <c r="B76" s="216"/>
      <c r="C76" s="855"/>
      <c r="D76" s="855"/>
      <c r="E76" s="79"/>
      <c r="F76" s="272"/>
      <c r="G76" s="99"/>
      <c r="H76" s="93"/>
      <c r="I76" s="79">
        <f>база!$J$6</f>
        <v>243.04319999999998</v>
      </c>
      <c r="J76" s="272">
        <v>1.5</v>
      </c>
      <c r="K76" s="217">
        <f>SUMIFS(Таблица1[сумма],Таблица1[коэф],"1,5",Таблица1[р/р],"5/8",Таблица1[Ф. И. О.],B77)</f>
        <v>0</v>
      </c>
      <c r="L76" s="29">
        <f>ROUND(I76*J76*K76,2)</f>
        <v>0</v>
      </c>
      <c r="M76" s="334"/>
      <c r="N76" s="217"/>
      <c r="O76" s="217"/>
      <c r="P76" s="29"/>
      <c r="Q76" s="83">
        <f>база!$L$5</f>
        <v>231.45480000000001</v>
      </c>
      <c r="R76" s="272">
        <v>1.2</v>
      </c>
      <c r="S76" s="99">
        <f>SUMIFS(Таблица1[сумма],Таблица1[коэф],"1,2",Таблица1[р/р],"4/16",Таблица1[Ф. И. О.],B77)</f>
        <v>0</v>
      </c>
      <c r="T76" s="95">
        <f t="shared" si="38"/>
        <v>0</v>
      </c>
      <c r="U76" s="361">
        <f>база!$M$5</f>
        <v>247.41720000000001</v>
      </c>
      <c r="V76" s="272">
        <v>1.2</v>
      </c>
      <c r="W76" s="307">
        <f>SUMIFS(Таблица1[сумма],Таблица1[коэф],"1,2",Таблица1[р/р],"4/24",Таблица1[Ф. И. О.],B77)</f>
        <v>0</v>
      </c>
      <c r="X76" s="313">
        <f t="shared" si="39"/>
        <v>0</v>
      </c>
      <c r="Y76" s="849"/>
      <c r="Z76" s="840"/>
      <c r="AA76" s="843"/>
      <c r="AC76" s="722" t="str">
        <f>IF(SUMIFS(Таблица1[Столбец2],Таблица1[Ф. И. О.],B77)-Z72=0,"",SUMIFS(Таблица1[Столбец2],Таблица1[Ф. И. О.],B77)-Z72)</f>
        <v/>
      </c>
    </row>
    <row r="77" spans="1:30">
      <c r="A77" s="786"/>
      <c r="B77" s="216" t="str">
        <f>база!B8</f>
        <v>Аполосова Юлиана Александровна</v>
      </c>
      <c r="C77" s="855"/>
      <c r="D77" s="855"/>
      <c r="E77" s="79"/>
      <c r="F77" s="272"/>
      <c r="G77" s="99"/>
      <c r="H77" s="93"/>
      <c r="I77" s="79"/>
      <c r="J77" s="272"/>
      <c r="K77" s="217"/>
      <c r="L77" s="29"/>
      <c r="M77" s="334"/>
      <c r="N77" s="217"/>
      <c r="O77" s="217"/>
      <c r="P77" s="29"/>
      <c r="Q77" s="83">
        <f>база!$L$6</f>
        <v>261.04640000000001</v>
      </c>
      <c r="R77" s="272">
        <v>1.2</v>
      </c>
      <c r="S77" s="99">
        <f>SUMIFS(Таблица1[сумма],Таблица1[коэф],"1,2",Таблица1[р/р],"5/16",Таблица1[Ф. И. О.],B77)</f>
        <v>0</v>
      </c>
      <c r="T77" s="95">
        <f>ROUND(Q77*R77*S77,2)</f>
        <v>0</v>
      </c>
      <c r="U77" s="361">
        <f>база!$M$6</f>
        <v>279.0496</v>
      </c>
      <c r="V77" s="272">
        <v>1.2</v>
      </c>
      <c r="W77" s="307">
        <f>SUMIFS(Таблица1[сумма],Таблица1[коэф],"1,2",Таблица1[р/р],"5/24",Таблица1[Ф. И. О.],B77)</f>
        <v>0</v>
      </c>
      <c r="X77" s="313">
        <f>ROUND(U77*V77*W77,2)</f>
        <v>0</v>
      </c>
      <c r="Y77" s="849"/>
      <c r="Z77" s="840"/>
      <c r="AA77" s="843"/>
      <c r="AC77" s="722" t="str">
        <f>IF(SUMIFS(Таблица1[сумма],Таблица1[Ф. И. О.],B77)=Y72,"",B72&amp;"  часы не верны")</f>
        <v/>
      </c>
      <c r="AD77" s="759">
        <f>INDEX('[2]декабрь 23'!$AI$4:$AI$100,MATCH(C72,'[2]декабрь 23'!$AK$4:$AK$100,0))</f>
        <v>72.000000000000014</v>
      </c>
    </row>
    <row r="78" spans="1:30">
      <c r="A78" s="786"/>
      <c r="B78" s="216"/>
      <c r="C78" s="855"/>
      <c r="D78" s="855"/>
      <c r="E78" s="79"/>
      <c r="F78" s="272"/>
      <c r="G78" s="99"/>
      <c r="H78" s="93"/>
      <c r="I78" s="79"/>
      <c r="J78" s="272"/>
      <c r="K78" s="217"/>
      <c r="L78" s="29"/>
      <c r="M78" s="334"/>
      <c r="N78" s="217"/>
      <c r="O78" s="217"/>
      <c r="P78" s="29"/>
      <c r="Q78" s="83">
        <f>IF($D$6&lt;=3,база!$L$4,
IF($D$6=4,база!$L$5,
IF($D$6=5,база!$L$6)))</f>
        <v>231.45480000000001</v>
      </c>
      <c r="R78" s="272">
        <v>1.3</v>
      </c>
      <c r="S78" s="99">
        <f>SUMIFS(Таблица1[сумма],Таблица1[коэф],"1,3",Таблица1[р/р],"3/16",Таблица1[Ф. И. О.],B77)</f>
        <v>0</v>
      </c>
      <c r="T78" s="95">
        <f t="shared" ref="T78:T79" si="40">ROUND(Q78*R78*S78,2)</f>
        <v>0</v>
      </c>
      <c r="U78" s="361">
        <f>IF(D72&lt;=3,база!$M$4,
IF(D72=4,база!$M$5,
IF(D72=5,база!$M$6)))</f>
        <v>225.09719999999999</v>
      </c>
      <c r="V78" s="272">
        <v>1.3</v>
      </c>
      <c r="W78" s="307">
        <f>SUMIFS(Таблица1[сумма],Таблица1[коэф],"1,3",Таблица1[р/р],"3/24",Таблица1[Ф. И. О.],B77)</f>
        <v>0</v>
      </c>
      <c r="X78" s="313">
        <f t="shared" ref="X78:X79" si="41">ROUND(U78*V78*W78,2)</f>
        <v>0</v>
      </c>
      <c r="Y78" s="849"/>
      <c r="Z78" s="840"/>
      <c r="AA78" s="843"/>
    </row>
    <row r="79" spans="1:30">
      <c r="A79" s="786"/>
      <c r="B79" s="216"/>
      <c r="C79" s="855"/>
      <c r="D79" s="855"/>
      <c r="E79" s="79"/>
      <c r="F79" s="272"/>
      <c r="G79" s="99"/>
      <c r="H79" s="93"/>
      <c r="I79" s="79"/>
      <c r="J79" s="272"/>
      <c r="K79" s="217"/>
      <c r="L79" s="29"/>
      <c r="M79" s="334"/>
      <c r="N79" s="217"/>
      <c r="O79" s="217"/>
      <c r="P79" s="29"/>
      <c r="Q79" s="83">
        <f>база!$L$5</f>
        <v>231.45480000000001</v>
      </c>
      <c r="R79" s="272">
        <v>1.3</v>
      </c>
      <c r="S79" s="99">
        <f>SUMIFS(Таблица1[сумма],Таблица1[коэф],"1,3",Таблица1[р/р],"4/16",Таблица1[Ф. И. О.],B77)</f>
        <v>0</v>
      </c>
      <c r="T79" s="95">
        <f t="shared" si="40"/>
        <v>0</v>
      </c>
      <c r="U79" s="361">
        <f>база!$M$5</f>
        <v>247.41720000000001</v>
      </c>
      <c r="V79" s="272">
        <v>1.3</v>
      </c>
      <c r="W79" s="307">
        <f>SUMIFS(Таблица1[сумма],Таблица1[коэф],"1,3",Таблица1[р/р],"4/24",Таблица1[Ф. И. О.],B77)</f>
        <v>0</v>
      </c>
      <c r="X79" s="313">
        <f t="shared" si="41"/>
        <v>0</v>
      </c>
      <c r="Y79" s="849"/>
      <c r="Z79" s="840"/>
      <c r="AA79" s="843"/>
    </row>
    <row r="80" spans="1:30">
      <c r="A80" s="786"/>
      <c r="B80" s="216"/>
      <c r="C80" s="855"/>
      <c r="D80" s="855"/>
      <c r="E80" s="79"/>
      <c r="F80" s="272"/>
      <c r="G80" s="99"/>
      <c r="H80" s="93"/>
      <c r="I80" s="79"/>
      <c r="J80" s="272"/>
      <c r="K80" s="217"/>
      <c r="L80" s="29"/>
      <c r="M80" s="334"/>
      <c r="N80" s="217"/>
      <c r="O80" s="217"/>
      <c r="P80" s="29"/>
      <c r="Q80" s="83">
        <f>IF(D72&lt;=3,база!$L$4,
IF(D72=4,база!$L$5,
IF(D72=5,база!$L$6)))</f>
        <v>210.57480000000001</v>
      </c>
      <c r="R80" s="272">
        <v>1.4</v>
      </c>
      <c r="S80" s="99">
        <f>SUMIFS(Таблица1[сумма],Таблица1[коэф],"1,4",Таблица1[р/р],"3/16",Таблица1[Ф. И. О.],B77)</f>
        <v>0</v>
      </c>
      <c r="T80" s="95">
        <f t="shared" ref="T80:T85" si="42">ROUND(Q80*R80*S80,2)</f>
        <v>0</v>
      </c>
      <c r="U80" s="361">
        <f>IF(D72&lt;=3,база!$M$4,
IF(D72=4,база!$M$5,
IF(D72=5,база!$M$6)))</f>
        <v>225.09719999999999</v>
      </c>
      <c r="V80" s="272">
        <v>1.4</v>
      </c>
      <c r="W80" s="307">
        <f>SUMIFS(Таблица1[сумма],Таблица1[коэф],"1,4",Таблица1[р/р],"3/24",Таблица1[Ф. И. О.],B77)</f>
        <v>0</v>
      </c>
      <c r="X80" s="313">
        <f>ROUND(U80*V80*W80,2)</f>
        <v>0</v>
      </c>
      <c r="Y80" s="849"/>
      <c r="Z80" s="840"/>
      <c r="AA80" s="843"/>
    </row>
    <row r="81" spans="1:30">
      <c r="A81" s="786"/>
      <c r="B81" s="216"/>
      <c r="C81" s="855"/>
      <c r="D81" s="855"/>
      <c r="E81" s="79"/>
      <c r="F81" s="272"/>
      <c r="G81" s="99"/>
      <c r="H81" s="93"/>
      <c r="I81" s="79"/>
      <c r="J81" s="272"/>
      <c r="K81" s="217"/>
      <c r="L81" s="29"/>
      <c r="M81" s="334"/>
      <c r="N81" s="217"/>
      <c r="O81" s="217"/>
      <c r="P81" s="29"/>
      <c r="Q81" s="83">
        <f>база!$L$5</f>
        <v>231.45480000000001</v>
      </c>
      <c r="R81" s="272">
        <v>1.4</v>
      </c>
      <c r="S81" s="99">
        <f>SUMIFS(Таблица1[сумма],Таблица1[коэф],"1,4",Таблица1[р/р],"4/16",Таблица1[Ф. И. О.],B77)</f>
        <v>0</v>
      </c>
      <c r="T81" s="95">
        <f t="shared" si="42"/>
        <v>0</v>
      </c>
      <c r="U81" s="361">
        <f>база!$M$5</f>
        <v>247.41720000000001</v>
      </c>
      <c r="V81" s="272">
        <v>1.4</v>
      </c>
      <c r="W81" s="307">
        <f>SUMIFS(Таблица1[сумма],Таблица1[коэф],"1,4",Таблица1[р/р],"4/24",Таблица1[Ф. И. О.],B77)</f>
        <v>0</v>
      </c>
      <c r="X81" s="313">
        <f>ROUND(U81*V81*W81,2)</f>
        <v>0</v>
      </c>
      <c r="Y81" s="849"/>
      <c r="Z81" s="840"/>
      <c r="AA81" s="843"/>
    </row>
    <row r="82" spans="1:30" ht="24" thickBot="1">
      <c r="A82" s="787"/>
      <c r="B82" s="203"/>
      <c r="C82" s="856"/>
      <c r="D82" s="856"/>
      <c r="E82" s="102"/>
      <c r="F82" s="274"/>
      <c r="G82" s="98"/>
      <c r="H82" s="239"/>
      <c r="I82" s="102"/>
      <c r="J82" s="274"/>
      <c r="K82" s="289"/>
      <c r="L82" s="26"/>
      <c r="M82" s="348"/>
      <c r="N82" s="289"/>
      <c r="O82" s="289"/>
      <c r="P82" s="26"/>
      <c r="Q82" s="221">
        <f>база!$L$6</f>
        <v>261.04640000000001</v>
      </c>
      <c r="R82" s="274">
        <v>1.4</v>
      </c>
      <c r="S82" s="98">
        <f>SUMIFS(Таблица1[сумма],Таблица1[коэф],"1,4",Таблица1[р/р],"5/16",Таблица1[Ф. И. О.],B77)</f>
        <v>0</v>
      </c>
      <c r="T82" s="91">
        <f t="shared" si="42"/>
        <v>0</v>
      </c>
      <c r="U82" s="364">
        <f>база!$M$6</f>
        <v>279.0496</v>
      </c>
      <c r="V82" s="274">
        <v>1.4</v>
      </c>
      <c r="W82" s="312">
        <f>SUMIFS(Таблица1[сумма],Таблица1[коэф],"1,4",Таблица1[р/р],"5/24",Таблица1[Ф. И. О.],B77)</f>
        <v>0</v>
      </c>
      <c r="X82" s="343">
        <f>ROUND(U82*V82*W82,2)</f>
        <v>0</v>
      </c>
      <c r="Y82" s="850"/>
      <c r="Z82" s="841"/>
      <c r="AA82" s="844"/>
    </row>
    <row r="83" spans="1:30">
      <c r="A83" s="785">
        <v>8</v>
      </c>
      <c r="B83" s="216"/>
      <c r="C83" s="854">
        <f>INDEX(база!$E$2:$E$81, MATCH(B88,база!$B$2:$B$50,0))</f>
        <v>16809</v>
      </c>
      <c r="D83" s="854">
        <f>INDEX(база!$D$2:$D$89, MATCH(B88,база!$B$2:$B$50,0))</f>
        <v>3</v>
      </c>
      <c r="E83" s="73">
        <f>IF(D83&lt;=3,база!$I$4,
IF(D83=4,база!$I$5,
IF(D83=5,база!$I$6)))</f>
        <v>188.7912</v>
      </c>
      <c r="F83" s="270">
        <v>1</v>
      </c>
      <c r="G83" s="96">
        <f>SUMIFS(Таблица1[сумма],Таблица1[коэф],"1",Таблица1[р/р],"2/4",Таблица1[Ф. И. О.],B88)</f>
        <v>0</v>
      </c>
      <c r="H83" s="88">
        <f>ROUND(E83*F83*G83,2)</f>
        <v>0</v>
      </c>
      <c r="I83" s="82">
        <f>IF(D83&lt;=3,база!$J$4,
IF(D83=4,база!$J$5,
IF(D83=5,база!$J$6)))</f>
        <v>196.05240000000001</v>
      </c>
      <c r="J83" s="271">
        <v>1</v>
      </c>
      <c r="K83" s="309">
        <f>SUMIFS(Таблица1[сумма],Таблица1[коэф],"1",Таблица1[р/р],"2/8",Таблица1[Ф. И. О.],B88)</f>
        <v>0</v>
      </c>
      <c r="L83" s="309">
        <f>ROUND(I83*J83*K83,2)</f>
        <v>0</v>
      </c>
      <c r="M83" s="309"/>
      <c r="N83" s="309">
        <v>1</v>
      </c>
      <c r="O83" s="309">
        <f>SUMIFS(Data_Tech!$AM$3:$AM$67,Data_Tech!$E$3:$E$67,"1",Data_Tech!$G$3:$G$67,"3/12",Data_Tech!$F$3:$F$67,B88)</f>
        <v>0</v>
      </c>
      <c r="P83" s="282">
        <f>ROUND(M83*N83*O83,2)</f>
        <v>0</v>
      </c>
      <c r="Q83" s="73">
        <f>IF(D83&lt;=3,база!$L$4,
IF(D83=4,база!$L$5,
IF(D83=5,база!$L$6)))</f>
        <v>210.57480000000001</v>
      </c>
      <c r="R83" s="270">
        <v>1</v>
      </c>
      <c r="S83" s="96">
        <f>SUMIFS(Таблица1[сумма],Таблица1[коэф],"1",Таблица1[р/р],"3/16",Таблица1[Ф. И. О.],B88)</f>
        <v>0</v>
      </c>
      <c r="T83" s="88">
        <f t="shared" si="42"/>
        <v>0</v>
      </c>
      <c r="U83" s="368">
        <f>IF(D83&lt;=3,база!$M$4,
IF(D83=4,база!$M$5,
IF(D83=5,база!$M$6)))</f>
        <v>225.09719999999999</v>
      </c>
      <c r="V83" s="271">
        <v>1</v>
      </c>
      <c r="W83" s="337">
        <f>SUMIFS(Таблица1[сумма],Таблица1[коэф],"1",Таблица1[р/р],"3/24",Таблица1[Ф. И. О.],B88)</f>
        <v>0</v>
      </c>
      <c r="X83" s="342">
        <f>ROUND(U83*V83*W83,2)</f>
        <v>0</v>
      </c>
      <c r="Y83" s="849">
        <f>SUM(G83:G93,K83:K93,O83:O93,S83:S93,W83:W93)</f>
        <v>0</v>
      </c>
      <c r="Z83" s="840">
        <f>IFERROR(SUM(H83:H93,L83:L93,T83:T93,X83:X93),"")</f>
        <v>0</v>
      </c>
      <c r="AA83" s="843"/>
    </row>
    <row r="84" spans="1:30">
      <c r="A84" s="786"/>
      <c r="B84" s="216"/>
      <c r="C84" s="855"/>
      <c r="D84" s="855"/>
      <c r="E84" s="79">
        <f>IF(D83&lt;=3,база!$I$4,
IF(D83=4,база!$I$5,
IF(D83=5,база!$I$6)))</f>
        <v>188.7912</v>
      </c>
      <c r="F84" s="272">
        <v>1</v>
      </c>
      <c r="G84" s="99">
        <f>SUMIFS(Таблица1[сумма],Таблица1[коэф],"1",Таблица1[р/р],"3/4",Таблица1[Ф. И. О.],B88)</f>
        <v>0</v>
      </c>
      <c r="H84" s="95">
        <f>ROUND(E84*F84*G84,2)</f>
        <v>0</v>
      </c>
      <c r="I84" s="83">
        <f>IF(D83&lt;=3,база!$J$4,
IF(D83=4,база!$J$5,
IF(D83=5,база!$J$6)))</f>
        <v>196.05240000000001</v>
      </c>
      <c r="J84" s="272">
        <v>1</v>
      </c>
      <c r="K84" s="217">
        <f>SUMIFS(Таблица1[сумма],Таблица1[коэф],"1",Таблица1[р/р],"3/8",Таблица1[Ф. И. О.],B88)</f>
        <v>0</v>
      </c>
      <c r="L84" s="217">
        <f>ROUND(I84*J84*K84,2)</f>
        <v>0</v>
      </c>
      <c r="M84" s="217"/>
      <c r="N84" s="217">
        <v>1</v>
      </c>
      <c r="O84" s="217">
        <f>SUMIFS(Data_Tech!$AM$3:$AM$67,Data_Tech!$E$3:$E$67,"1",Data_Tech!$G$3:$G$67,"4/12",Data_Tech!$F$3:$F$67,B88)</f>
        <v>0</v>
      </c>
      <c r="P84" s="30">
        <f>ROUND(M84*O84,2)</f>
        <v>0</v>
      </c>
      <c r="Q84" s="79">
        <f>база!$L$5</f>
        <v>231.45480000000001</v>
      </c>
      <c r="R84" s="272">
        <v>1</v>
      </c>
      <c r="S84" s="99">
        <f>SUMIFS(Таблица1[сумма],Таблица1[коэф],"1",Таблица1[р/р],"4/16",Таблица1[Ф. И. О.],B88)</f>
        <v>0</v>
      </c>
      <c r="T84" s="95">
        <f t="shared" si="42"/>
        <v>0</v>
      </c>
      <c r="U84" s="361">
        <f>база!$M$5</f>
        <v>247.41720000000001</v>
      </c>
      <c r="V84" s="272">
        <v>1</v>
      </c>
      <c r="W84" s="307">
        <f>SUMIFS(Таблица1[сумма],Таблица1[коэф],"1",Таблица1[р/р],"4/24",Таблица1[Ф. И. О.],B88)</f>
        <v>0</v>
      </c>
      <c r="X84" s="313">
        <f t="shared" ref="X84" si="43">ROUND(U84*V84*W84,2)</f>
        <v>0</v>
      </c>
      <c r="Y84" s="849"/>
      <c r="Z84" s="840"/>
      <c r="AA84" s="843"/>
    </row>
    <row r="85" spans="1:30">
      <c r="A85" s="786"/>
      <c r="B85" s="216"/>
      <c r="C85" s="855"/>
      <c r="D85" s="855"/>
      <c r="E85" s="79"/>
      <c r="F85" s="272"/>
      <c r="G85" s="99"/>
      <c r="H85" s="95"/>
      <c r="I85" s="83"/>
      <c r="J85" s="272"/>
      <c r="K85" s="217"/>
      <c r="L85" s="217"/>
      <c r="M85" s="217"/>
      <c r="N85" s="217"/>
      <c r="O85" s="217"/>
      <c r="P85" s="30"/>
      <c r="Q85" s="79">
        <f>база!$L$6</f>
        <v>261.04640000000001</v>
      </c>
      <c r="R85" s="272">
        <v>1</v>
      </c>
      <c r="S85" s="99">
        <f>SUMIFS(Таблица1[сумма],Таблица1[коэф],"1",Таблица1[р/р],"5/16",Таблица1[Ф. И. О.],B88)</f>
        <v>0</v>
      </c>
      <c r="T85" s="95">
        <f t="shared" si="42"/>
        <v>0</v>
      </c>
      <c r="U85" s="361">
        <f>база!$M$6</f>
        <v>279.0496</v>
      </c>
      <c r="V85" s="272">
        <v>1</v>
      </c>
      <c r="W85" s="307">
        <f>SUMIFS(Таблица1[сумма],Таблица1[коэф],"1",Таблица1[р/р],"5/24",Таблица1[Ф. И. О.],B88)</f>
        <v>0</v>
      </c>
      <c r="X85" s="313">
        <f>ROUND(U85*V85*W85,2)</f>
        <v>0</v>
      </c>
      <c r="Y85" s="849"/>
      <c r="Z85" s="840"/>
      <c r="AA85" s="843"/>
    </row>
    <row r="86" spans="1:30">
      <c r="A86" s="786"/>
      <c r="B86" s="216"/>
      <c r="C86" s="855"/>
      <c r="D86" s="855"/>
      <c r="E86" s="79"/>
      <c r="F86" s="272"/>
      <c r="G86" s="99"/>
      <c r="H86" s="95"/>
      <c r="I86" s="83">
        <f>база!$J$5</f>
        <v>215.4924</v>
      </c>
      <c r="J86" s="272">
        <v>1.5</v>
      </c>
      <c r="K86" s="217">
        <f>SUMIFS(Таблица1[сумма],Таблица1[коэф],"1,5",Таблица1[р/р],"4/8",Таблица1[Ф. И. О.],B88)</f>
        <v>0</v>
      </c>
      <c r="L86" s="217">
        <f>ROUND(I86*J86*K86,2)</f>
        <v>0</v>
      </c>
      <c r="M86" s="217"/>
      <c r="N86" s="217"/>
      <c r="O86" s="217"/>
      <c r="P86" s="30"/>
      <c r="Q86" s="79">
        <f>IF(D83&lt;=3,база!$L$4,
IF(D83=4,база!$L$5,
IF(D83=5,база!$L$6)))</f>
        <v>210.57480000000001</v>
      </c>
      <c r="R86" s="272">
        <v>1.2</v>
      </c>
      <c r="S86" s="99">
        <f>SUMIFS(Таблица1[сумма],Таблица1[коэф],"1,2",Таблица1[р/р],"3/16",Таблица1[Ф. И. О.],B88)</f>
        <v>0</v>
      </c>
      <c r="T86" s="95">
        <f t="shared" ref="T86:T87" si="44">ROUND(Q86*R86*S86,2)</f>
        <v>0</v>
      </c>
      <c r="U86" s="361">
        <f>IF(D83&lt;=3,база!$M$4,
IF(D83=4,база!$M$5,
IF(D83=5,база!$M$6)))</f>
        <v>225.09719999999999</v>
      </c>
      <c r="V86" s="272">
        <v>1.2</v>
      </c>
      <c r="W86" s="307">
        <f>SUMIFS(Таблица1[сумма],Таблица1[коэф],"1,2",Таблица1[р/р],"3/24",Таблица1[Ф. И. О.],B88)</f>
        <v>0</v>
      </c>
      <c r="X86" s="313">
        <f t="shared" ref="X86:X87" si="45">ROUND(U86*V86*W86,2)</f>
        <v>0</v>
      </c>
      <c r="Y86" s="849"/>
      <c r="Z86" s="840"/>
      <c r="AA86" s="843"/>
    </row>
    <row r="87" spans="1:30">
      <c r="A87" s="786"/>
      <c r="B87" s="216"/>
      <c r="C87" s="855"/>
      <c r="D87" s="855"/>
      <c r="E87" s="79"/>
      <c r="F87" s="272"/>
      <c r="G87" s="99"/>
      <c r="H87" s="95"/>
      <c r="I87" s="83">
        <f>база!$J$6</f>
        <v>243.04319999999998</v>
      </c>
      <c r="J87" s="272">
        <v>1.5</v>
      </c>
      <c r="K87" s="217">
        <f>SUMIFS(Таблица1[сумма],Таблица1[коэф],"1,5",Таблица1[р/р],"5/8",Таблица1[Ф. И. О.],B88)</f>
        <v>0</v>
      </c>
      <c r="L87" s="217">
        <f>ROUND(I87*J87*K87,2)</f>
        <v>0</v>
      </c>
      <c r="M87" s="217"/>
      <c r="N87" s="217"/>
      <c r="O87" s="217"/>
      <c r="P87" s="30"/>
      <c r="Q87" s="79">
        <f>база!$L$5</f>
        <v>231.45480000000001</v>
      </c>
      <c r="R87" s="272">
        <v>1.2</v>
      </c>
      <c r="S87" s="99">
        <f>SUMIFS(Таблица1[сумма],Таблица1[коэф],"1,2",Таблица1[р/р],"4/16",Таблица1[Ф. И. О.],B88)</f>
        <v>0</v>
      </c>
      <c r="T87" s="95">
        <f t="shared" si="44"/>
        <v>0</v>
      </c>
      <c r="U87" s="361">
        <f>база!$M$5</f>
        <v>247.41720000000001</v>
      </c>
      <c r="V87" s="272">
        <v>1.2</v>
      </c>
      <c r="W87" s="307">
        <f>SUMIFS(Таблица1[сумма],Таблица1[коэф],"1,2",Таблица1[р/р],"4/24",Таблица1[Ф. И. О.],B88)</f>
        <v>0</v>
      </c>
      <c r="X87" s="313">
        <f t="shared" si="45"/>
        <v>0</v>
      </c>
      <c r="Y87" s="849"/>
      <c r="Z87" s="840"/>
      <c r="AA87" s="843"/>
      <c r="AC87" s="722" t="str">
        <f>IF(SUMIFS(Таблица1[Столбец2],Таблица1[Ф. И. О.],B88)-Z83=0,"",SUMIFS(Таблица1[Столбец2],Таблица1[Ф. И. О.],B88)-Z83)</f>
        <v/>
      </c>
    </row>
    <row r="88" spans="1:30">
      <c r="A88" s="786"/>
      <c r="B88" s="216" t="str">
        <f>база!B9</f>
        <v>Бадьялова Елена Сергеевна</v>
      </c>
      <c r="C88" s="855"/>
      <c r="D88" s="855"/>
      <c r="E88" s="79"/>
      <c r="F88" s="272"/>
      <c r="G88" s="99"/>
      <c r="H88" s="95"/>
      <c r="I88" s="83"/>
      <c r="J88" s="272"/>
      <c r="K88" s="217"/>
      <c r="L88" s="217"/>
      <c r="M88" s="217"/>
      <c r="N88" s="217"/>
      <c r="O88" s="217"/>
      <c r="P88" s="30"/>
      <c r="Q88" s="79">
        <f>база!$L$6</f>
        <v>261.04640000000001</v>
      </c>
      <c r="R88" s="272">
        <v>1.2</v>
      </c>
      <c r="S88" s="99">
        <f>SUMIFS(Таблица1[сумма],Таблица1[коэф],"1,2",Таблица1[р/р],"5/16",Таблица1[Ф. И. О.],B88)</f>
        <v>0</v>
      </c>
      <c r="T88" s="95">
        <f>ROUND(Q88*R88*S88,2)</f>
        <v>0</v>
      </c>
      <c r="U88" s="361">
        <f>база!$M$6</f>
        <v>279.0496</v>
      </c>
      <c r="V88" s="272">
        <v>1.2</v>
      </c>
      <c r="W88" s="307">
        <f>SUMIFS(Таблица1[сумма],Таблица1[коэф],"1,2",Таблица1[р/р],"5/24",Таблица1[Ф. И. О.],B88)</f>
        <v>0</v>
      </c>
      <c r="X88" s="313">
        <f>ROUND(U88*V88*W88,2)</f>
        <v>0</v>
      </c>
      <c r="Y88" s="849"/>
      <c r="Z88" s="840"/>
      <c r="AA88" s="843"/>
      <c r="AC88" s="722" t="str">
        <f>IF(SUMIFS(Таблица1[сумма],Таблица1[Ф. И. О.],B88)=Y83,"",B83&amp;"  часы не верны")</f>
        <v/>
      </c>
      <c r="AD88" s="759">
        <f>INDEX('[2]декабрь 23'!$AI$4:$AI$100,MATCH(C83,'[2]декабрь 23'!$AK$4:$AK$100,0))</f>
        <v>144</v>
      </c>
    </row>
    <row r="89" spans="1:30">
      <c r="A89" s="786"/>
      <c r="B89" s="216"/>
      <c r="C89" s="855"/>
      <c r="D89" s="855"/>
      <c r="E89" s="79"/>
      <c r="F89" s="272"/>
      <c r="G89" s="99"/>
      <c r="H89" s="95"/>
      <c r="I89" s="83"/>
      <c r="J89" s="272"/>
      <c r="K89" s="217"/>
      <c r="L89" s="217"/>
      <c r="M89" s="217"/>
      <c r="N89" s="217"/>
      <c r="O89" s="217"/>
      <c r="P89" s="30"/>
      <c r="Q89" s="79">
        <f>IF($D$6&lt;=3,база!$L$4,
IF($D$6=4,база!$L$5,
IF($D$6=5,база!$L$6)))</f>
        <v>231.45480000000001</v>
      </c>
      <c r="R89" s="272">
        <v>1.3</v>
      </c>
      <c r="S89" s="99">
        <f>SUMIFS(Таблица1[сумма],Таблица1[коэф],"1,3",Таблица1[р/р],"3/16",Таблица1[Ф. И. О.],B88)</f>
        <v>0</v>
      </c>
      <c r="T89" s="95">
        <f t="shared" ref="T89:T90" si="46">ROUND(Q89*R89*S89,2)</f>
        <v>0</v>
      </c>
      <c r="U89" s="361">
        <f>IF(D83&lt;=3,база!$M$4,
IF(D83=4,база!$M$5,
IF(D83=5,база!$M$6)))</f>
        <v>225.09719999999999</v>
      </c>
      <c r="V89" s="272">
        <v>1.3</v>
      </c>
      <c r="W89" s="307">
        <f>SUMIFS(Таблица1[сумма],Таблица1[коэф],"1,3",Таблица1[р/р],"3/24",Таблица1[Ф. И. О.],B88)</f>
        <v>0</v>
      </c>
      <c r="X89" s="313">
        <f t="shared" ref="X89:X90" si="47">ROUND(U89*V89*W89,2)</f>
        <v>0</v>
      </c>
      <c r="Y89" s="849"/>
      <c r="Z89" s="840"/>
      <c r="AA89" s="843"/>
    </row>
    <row r="90" spans="1:30">
      <c r="A90" s="786"/>
      <c r="B90" s="216"/>
      <c r="C90" s="855"/>
      <c r="D90" s="855"/>
      <c r="E90" s="79"/>
      <c r="F90" s="272"/>
      <c r="G90" s="99"/>
      <c r="H90" s="95"/>
      <c r="I90" s="83"/>
      <c r="J90" s="272"/>
      <c r="K90" s="217"/>
      <c r="L90" s="217"/>
      <c r="M90" s="217"/>
      <c r="N90" s="217"/>
      <c r="O90" s="217"/>
      <c r="P90" s="30"/>
      <c r="Q90" s="79">
        <f>база!$L$5</f>
        <v>231.45480000000001</v>
      </c>
      <c r="R90" s="272">
        <v>1.3</v>
      </c>
      <c r="S90" s="99">
        <f>SUMIFS(Таблица1[сумма],Таблица1[коэф],"1,3",Таблица1[р/р],"4/16",Таблица1[Ф. И. О.],B88)</f>
        <v>0</v>
      </c>
      <c r="T90" s="95">
        <f t="shared" si="46"/>
        <v>0</v>
      </c>
      <c r="U90" s="361">
        <f>база!$M$5</f>
        <v>247.41720000000001</v>
      </c>
      <c r="V90" s="272">
        <v>1.3</v>
      </c>
      <c r="W90" s="307">
        <f>SUMIFS(Таблица1[сумма],Таблица1[коэф],"1,3",Таблица1[р/р],"4/24",Таблица1[Ф. И. О.],B88)</f>
        <v>0</v>
      </c>
      <c r="X90" s="313">
        <f t="shared" si="47"/>
        <v>0</v>
      </c>
      <c r="Y90" s="849"/>
      <c r="Z90" s="840"/>
      <c r="AA90" s="843"/>
    </row>
    <row r="91" spans="1:30">
      <c r="A91" s="786"/>
      <c r="B91" s="216"/>
      <c r="C91" s="855"/>
      <c r="D91" s="855"/>
      <c r="E91" s="79"/>
      <c r="F91" s="272"/>
      <c r="G91" s="99"/>
      <c r="H91" s="95"/>
      <c r="I91" s="83"/>
      <c r="J91" s="272"/>
      <c r="K91" s="217"/>
      <c r="L91" s="217"/>
      <c r="M91" s="217"/>
      <c r="N91" s="217"/>
      <c r="O91" s="217"/>
      <c r="P91" s="30"/>
      <c r="Q91" s="79">
        <f>IF(D83&lt;=3,база!$L$4,
IF(D83=4,база!$L$5,
IF(D83=5,база!$L$6)))</f>
        <v>210.57480000000001</v>
      </c>
      <c r="R91" s="272">
        <v>1.4</v>
      </c>
      <c r="S91" s="99">
        <f>SUMIFS(Таблица1[сумма],Таблица1[коэф],"1,4",Таблица1[р/р],"3/16",Таблица1[Ф. И. О.],B88)</f>
        <v>0</v>
      </c>
      <c r="T91" s="95">
        <f t="shared" ref="T91:T96" si="48">ROUND(Q91*R91*S91,2)</f>
        <v>0</v>
      </c>
      <c r="U91" s="361">
        <f>IF(D83&lt;=3,база!$M$4,
IF(D83=4,база!$M$5,
IF(D83=5,база!$M$6)))</f>
        <v>225.09719999999999</v>
      </c>
      <c r="V91" s="272">
        <v>1.4</v>
      </c>
      <c r="W91" s="307">
        <f>SUMIFS(Таблица1[сумма],Таблица1[коэф],"1,4",Таблица1[р/р],"3/24",Таблица1[Ф. И. О.],B88)</f>
        <v>0</v>
      </c>
      <c r="X91" s="313">
        <f>ROUND(U91*V91*W91,2)</f>
        <v>0</v>
      </c>
      <c r="Y91" s="849"/>
      <c r="Z91" s="840"/>
      <c r="AA91" s="843"/>
    </row>
    <row r="92" spans="1:30">
      <c r="A92" s="786"/>
      <c r="B92" s="216"/>
      <c r="C92" s="855"/>
      <c r="D92" s="855"/>
      <c r="E92" s="79"/>
      <c r="F92" s="272"/>
      <c r="G92" s="99"/>
      <c r="H92" s="95"/>
      <c r="I92" s="83"/>
      <c r="J92" s="272"/>
      <c r="K92" s="217"/>
      <c r="L92" s="217"/>
      <c r="M92" s="217"/>
      <c r="N92" s="217"/>
      <c r="O92" s="217"/>
      <c r="P92" s="30"/>
      <c r="Q92" s="79">
        <f>база!$L$5</f>
        <v>231.45480000000001</v>
      </c>
      <c r="R92" s="272">
        <v>1.4</v>
      </c>
      <c r="S92" s="99">
        <f>SUMIFS(Таблица1[сумма],Таблица1[коэф],"1,4",Таблица1[р/р],"4/16",Таблица1[Ф. И. О.],B88)</f>
        <v>0</v>
      </c>
      <c r="T92" s="95">
        <f t="shared" si="48"/>
        <v>0</v>
      </c>
      <c r="U92" s="361">
        <f>база!$M$5</f>
        <v>247.41720000000001</v>
      </c>
      <c r="V92" s="272">
        <v>1.4</v>
      </c>
      <c r="W92" s="307">
        <f>SUMIFS(Таблица1[сумма],Таблица1[коэф],"1,4",Таблица1[р/р],"4/24",Таблица1[Ф. И. О.],B88)</f>
        <v>0</v>
      </c>
      <c r="X92" s="313">
        <f>ROUND(U92*V92*W92,2)</f>
        <v>0</v>
      </c>
      <c r="Y92" s="849"/>
      <c r="Z92" s="840"/>
      <c r="AA92" s="843"/>
    </row>
    <row r="93" spans="1:30" ht="24" thickBot="1">
      <c r="A93" s="787"/>
      <c r="B93" s="203"/>
      <c r="C93" s="856"/>
      <c r="D93" s="856"/>
      <c r="E93" s="102"/>
      <c r="F93" s="274"/>
      <c r="G93" s="98"/>
      <c r="H93" s="91"/>
      <c r="I93" s="221"/>
      <c r="J93" s="274"/>
      <c r="K93" s="289"/>
      <c r="L93" s="289"/>
      <c r="M93" s="289"/>
      <c r="N93" s="289"/>
      <c r="O93" s="289"/>
      <c r="P93" s="315"/>
      <c r="Q93" s="102">
        <f>база!$L$6</f>
        <v>261.04640000000001</v>
      </c>
      <c r="R93" s="274">
        <v>1.4</v>
      </c>
      <c r="S93" s="98">
        <f>SUMIFS(Таблица1[сумма],Таблица1[коэф],"1,4",Таблица1[р/р],"5/16",Таблица1[Ф. И. О.],B88)</f>
        <v>0</v>
      </c>
      <c r="T93" s="91">
        <f t="shared" si="48"/>
        <v>0</v>
      </c>
      <c r="U93" s="364">
        <f>база!$M$6</f>
        <v>279.0496</v>
      </c>
      <c r="V93" s="274">
        <v>1.4</v>
      </c>
      <c r="W93" s="312">
        <f>SUMIFS(Таблица1[сумма],Таблица1[коэф],"1,4",Таблица1[р/р],"5/24",Таблица1[Ф. И. О.],B88)</f>
        <v>0</v>
      </c>
      <c r="X93" s="343">
        <f>ROUND(U93*V93*W93,2)</f>
        <v>0</v>
      </c>
      <c r="Y93" s="850"/>
      <c r="Z93" s="841"/>
      <c r="AA93" s="844"/>
    </row>
    <row r="94" spans="1:30">
      <c r="A94" s="785">
        <v>9</v>
      </c>
      <c r="B94" s="216"/>
      <c r="C94" s="854">
        <f>INDEX(база!$E$2:$E$81, MATCH(B99,база!$B$2:$B$50,0))</f>
        <v>17169</v>
      </c>
      <c r="D94" s="854">
        <f>INDEX(база!$D$2:$D$89, MATCH(B99,база!$B$2:$B$50,0))</f>
        <v>3</v>
      </c>
      <c r="E94" s="73">
        <f>IF(D94&lt;=3,база!$I$4,
IF(D94=4,база!$I$5,
IF(D94=5,база!$I$6)))</f>
        <v>188.7912</v>
      </c>
      <c r="F94" s="270">
        <v>1</v>
      </c>
      <c r="G94" s="96">
        <f>SUMIFS(Таблица1[сумма],Таблица1[коэф],"1",Таблица1[р/р],"2/4",Таблица1[Ф. И. О.],B99)</f>
        <v>0</v>
      </c>
      <c r="H94" s="88">
        <f>ROUND(E94*F94*G94,2)</f>
        <v>0</v>
      </c>
      <c r="I94" s="82">
        <f>IF(D94&lt;=3,база!$J$4,
IF(D94=4,база!$J$5,
IF(D94=5,база!$J$6)))</f>
        <v>196.05240000000001</v>
      </c>
      <c r="J94" s="271">
        <v>1</v>
      </c>
      <c r="K94" s="309">
        <f>SUMIFS(Таблица1[сумма],Таблица1[коэф],"1",Таблица1[р/р],"2/8",Таблица1[Ф. И. О.],B99)</f>
        <v>0</v>
      </c>
      <c r="L94" s="309">
        <f>ROUND(I94*J94*K94,2)</f>
        <v>0</v>
      </c>
      <c r="M94" s="309"/>
      <c r="N94" s="309">
        <v>1</v>
      </c>
      <c r="O94" s="309">
        <f>SUMIFS(Data_Tech!$AM$3:$AM$67,Data_Tech!$E$3:$E$67,"1",Data_Tech!$G$3:$G$67,"3/12",Data_Tech!$F$3:$F$67,B99)</f>
        <v>0</v>
      </c>
      <c r="P94" s="282">
        <f>ROUND(M94*N94*O94,2)</f>
        <v>0</v>
      </c>
      <c r="Q94" s="73">
        <f>IF(D94&lt;=3,база!$L$4,
IF(D94=4,база!$L$5,
IF(D94=5,база!$L$6)))</f>
        <v>210.57480000000001</v>
      </c>
      <c r="R94" s="270">
        <v>1</v>
      </c>
      <c r="S94" s="96">
        <f>SUMIFS(Таблица1[сумма],Таблица1[коэф],"1",Таблица1[р/р],"3/16",Таблица1[Ф. И. О.],B99)</f>
        <v>0</v>
      </c>
      <c r="T94" s="317">
        <f t="shared" si="48"/>
        <v>0</v>
      </c>
      <c r="U94" s="365">
        <f>IF(D94&lt;=3,база!$M$4,
IF(D94=4,база!$M$5,
IF(D94=5,база!$M$6)))</f>
        <v>225.09719999999999</v>
      </c>
      <c r="V94" s="270">
        <v>1</v>
      </c>
      <c r="W94" s="339">
        <f>SUMIFS(Таблица1[сумма],Таблица1[коэф],"1",Таблица1[р/р],"3/24",Таблица1[Ф. И. О.],B99)</f>
        <v>0</v>
      </c>
      <c r="X94" s="342">
        <f>ROUND(U94*V94*W94,2)</f>
        <v>0</v>
      </c>
      <c r="Y94" s="849">
        <f t="shared" ref="Y94" si="49">SUM(G94:G104,K94:K104,O94:O104,S94:S104,W94:W104)</f>
        <v>0</v>
      </c>
      <c r="Z94" s="840">
        <f t="shared" ref="Z94" si="50">IFERROR(SUM(H94:H104,L94:L104,T94:T104,X94:X104),"")</f>
        <v>0</v>
      </c>
      <c r="AA94" s="843"/>
    </row>
    <row r="95" spans="1:30">
      <c r="A95" s="786"/>
      <c r="B95" s="216"/>
      <c r="C95" s="855"/>
      <c r="D95" s="855"/>
      <c r="E95" s="79">
        <f>IF(D94&lt;=3,база!$I$4,
IF(D94=4,база!$I$5,
IF(D94=5,база!$I$6)))</f>
        <v>188.7912</v>
      </c>
      <c r="F95" s="272">
        <v>1</v>
      </c>
      <c r="G95" s="99">
        <f>SUMIFS(Таблица1[сумма],Таблица1[коэф],"1",Таблица1[р/р],"3/4",Таблица1[Ф. И. О.],B99)</f>
        <v>0</v>
      </c>
      <c r="H95" s="95">
        <f>ROUND(E95*F95*G95,2)</f>
        <v>0</v>
      </c>
      <c r="I95" s="83">
        <f>IF(D94&lt;=3,база!$J$4,
IF(D94=4,база!$J$5,
IF(D94=5,база!$J$6)))</f>
        <v>196.05240000000001</v>
      </c>
      <c r="J95" s="272">
        <v>1</v>
      </c>
      <c r="K95" s="217">
        <f>SUMIFS(Таблица1[сумма],Таблица1[коэф],"1",Таблица1[р/р],"3/8",Таблица1[Ф. И. О.],B99)</f>
        <v>0</v>
      </c>
      <c r="L95" s="217">
        <f>ROUND(I95*J95*K95,2)</f>
        <v>0</v>
      </c>
      <c r="M95" s="217"/>
      <c r="N95" s="217">
        <v>1</v>
      </c>
      <c r="O95" s="217">
        <f>SUMIFS(Data_Tech!$AM$3:$AM$67,Data_Tech!$E$3:$E$67,"1",Data_Tech!$G$3:$G$67,"4/12",Data_Tech!$F$3:$F$67,B99)</f>
        <v>0</v>
      </c>
      <c r="P95" s="30">
        <f>ROUND(M95*O95,2)</f>
        <v>0</v>
      </c>
      <c r="Q95" s="79">
        <f>база!$L$5</f>
        <v>231.45480000000001</v>
      </c>
      <c r="R95" s="272">
        <v>1</v>
      </c>
      <c r="S95" s="99">
        <f>SUMIFS(Таблица1[сумма],Таблица1[коэф],"1",Таблица1[р/р],"4/16",Таблица1[Ф. И. О.],B99)</f>
        <v>0</v>
      </c>
      <c r="T95" s="93">
        <f t="shared" si="48"/>
        <v>0</v>
      </c>
      <c r="U95" s="366">
        <f>база!$M$5</f>
        <v>247.41720000000001</v>
      </c>
      <c r="V95" s="272">
        <v>1</v>
      </c>
      <c r="W95" s="314">
        <f>SUMIFS(Таблица1[сумма],Таблица1[коэф],"1",Таблица1[р/р],"4/24",Таблица1[Ф. И. О.],B99)</f>
        <v>0</v>
      </c>
      <c r="X95" s="313">
        <f t="shared" ref="X95" si="51">ROUND(U95*V95*W95,2)</f>
        <v>0</v>
      </c>
      <c r="Y95" s="849"/>
      <c r="Z95" s="840"/>
      <c r="AA95" s="843"/>
    </row>
    <row r="96" spans="1:30">
      <c r="A96" s="786"/>
      <c r="B96" s="216"/>
      <c r="C96" s="855"/>
      <c r="D96" s="855"/>
      <c r="E96" s="79"/>
      <c r="F96" s="272"/>
      <c r="G96" s="99"/>
      <c r="H96" s="95"/>
      <c r="I96" s="83"/>
      <c r="J96" s="272"/>
      <c r="K96" s="217"/>
      <c r="L96" s="217"/>
      <c r="M96" s="217"/>
      <c r="N96" s="217"/>
      <c r="O96" s="217"/>
      <c r="P96" s="30"/>
      <c r="Q96" s="79">
        <f>база!$L$6</f>
        <v>261.04640000000001</v>
      </c>
      <c r="R96" s="272">
        <v>1</v>
      </c>
      <c r="S96" s="99">
        <f>SUMIFS(Таблица1[сумма],Таблица1[коэф],"1",Таблица1[р/р],"5/16",Таблица1[Ф. И. О.],B99)</f>
        <v>0</v>
      </c>
      <c r="T96" s="93">
        <f t="shared" si="48"/>
        <v>0</v>
      </c>
      <c r="U96" s="366">
        <f>база!$M$6</f>
        <v>279.0496</v>
      </c>
      <c r="V96" s="272">
        <v>1</v>
      </c>
      <c r="W96" s="314">
        <f>SUMIFS(Таблица1[сумма],Таблица1[коэф],"1",Таблица1[р/р],"5/24",Таблица1[Ф. И. О.],B99)</f>
        <v>0</v>
      </c>
      <c r="X96" s="313">
        <f>ROUND(U96*V96*W96,2)</f>
        <v>0</v>
      </c>
      <c r="Y96" s="849"/>
      <c r="Z96" s="840"/>
      <c r="AA96" s="843"/>
    </row>
    <row r="97" spans="1:30">
      <c r="A97" s="786"/>
      <c r="B97" s="216"/>
      <c r="C97" s="855"/>
      <c r="D97" s="855"/>
      <c r="E97" s="79"/>
      <c r="F97" s="272"/>
      <c r="G97" s="99"/>
      <c r="H97" s="95"/>
      <c r="I97" s="83">
        <f>база!$J$5</f>
        <v>215.4924</v>
      </c>
      <c r="J97" s="272">
        <v>1.5</v>
      </c>
      <c r="K97" s="217">
        <f>SUMIFS(Таблица1[сумма],Таблица1[коэф],"1,5",Таблица1[р/р],"4/8",Таблица1[Ф. И. О.],B99)</f>
        <v>0</v>
      </c>
      <c r="L97" s="217">
        <f>ROUND(I97*J97*K97,2)</f>
        <v>0</v>
      </c>
      <c r="M97" s="217"/>
      <c r="N97" s="217"/>
      <c r="O97" s="217"/>
      <c r="P97" s="30"/>
      <c r="Q97" s="79">
        <f>IF(D94&lt;=3,база!$L$4,
IF(D94=4,база!$L$5,
IF(D94=5,база!$L$6)))</f>
        <v>210.57480000000001</v>
      </c>
      <c r="R97" s="272">
        <v>1.2</v>
      </c>
      <c r="S97" s="99">
        <f>SUMIFS(Таблица1[сумма],Таблица1[коэф],"1,2",Таблица1[р/р],"3/16",Таблица1[Ф. И. О.],B99)</f>
        <v>0</v>
      </c>
      <c r="T97" s="93">
        <f t="shared" ref="T97:T98" si="52">ROUND(Q97*R97*S97,2)</f>
        <v>0</v>
      </c>
      <c r="U97" s="366">
        <f>IF(D94&lt;=3,база!$M$4,
IF(D94=4,база!$M$5,
IF(D94=5,база!$M$6)))</f>
        <v>225.09719999999999</v>
      </c>
      <c r="V97" s="272">
        <v>1.2</v>
      </c>
      <c r="W97" s="314">
        <f>SUMIFS(Таблица1[сумма],Таблица1[коэф],"1,2",Таблица1[р/р],"3/24",Таблица1[Ф. И. О.],B99)</f>
        <v>0</v>
      </c>
      <c r="X97" s="313">
        <f t="shared" ref="X97:X98" si="53">ROUND(U97*V97*W97,2)</f>
        <v>0</v>
      </c>
      <c r="Y97" s="849"/>
      <c r="Z97" s="840"/>
      <c r="AA97" s="843"/>
    </row>
    <row r="98" spans="1:30">
      <c r="A98" s="786"/>
      <c r="B98" s="216"/>
      <c r="C98" s="855"/>
      <c r="D98" s="855"/>
      <c r="E98" s="79"/>
      <c r="F98" s="272"/>
      <c r="G98" s="99"/>
      <c r="H98" s="95"/>
      <c r="I98" s="83">
        <f>база!$J$6</f>
        <v>243.04319999999998</v>
      </c>
      <c r="J98" s="272">
        <v>1.5</v>
      </c>
      <c r="K98" s="217">
        <f>SUMIFS(Таблица1[сумма],Таблица1[коэф],"1,5",Таблица1[р/р],"5/8",Таблица1[Ф. И. О.],B99)</f>
        <v>0</v>
      </c>
      <c r="L98" s="217">
        <f>ROUND(I98*J98*K98,2)</f>
        <v>0</v>
      </c>
      <c r="M98" s="217"/>
      <c r="N98" s="217"/>
      <c r="O98" s="217"/>
      <c r="P98" s="30"/>
      <c r="Q98" s="79">
        <f>база!$L$5</f>
        <v>231.45480000000001</v>
      </c>
      <c r="R98" s="272">
        <v>1.2</v>
      </c>
      <c r="S98" s="99">
        <f>SUMIFS(Таблица1[сумма],Таблица1[коэф],"1,2",Таблица1[р/р],"4/16",Таблица1[Ф. И. О.],B99)</f>
        <v>0</v>
      </c>
      <c r="T98" s="93">
        <f t="shared" si="52"/>
        <v>0</v>
      </c>
      <c r="U98" s="366">
        <f>база!$M$5</f>
        <v>247.41720000000001</v>
      </c>
      <c r="V98" s="272">
        <v>1.2</v>
      </c>
      <c r="W98" s="314">
        <f>SUMIFS(Таблица1[сумма],Таблица1[коэф],"1,2",Таблица1[р/р],"4/24",Таблица1[Ф. И. О.],B99)</f>
        <v>0</v>
      </c>
      <c r="X98" s="313">
        <f t="shared" si="53"/>
        <v>0</v>
      </c>
      <c r="Y98" s="849"/>
      <c r="Z98" s="840"/>
      <c r="AA98" s="843"/>
      <c r="AC98" s="722" t="str">
        <f>IF(SUMIFS(Таблица1[Столбец2],Таблица1[Ф. И. О.],B99)-Z94=0,"",SUMIFS(Таблица1[Столбец2],Таблица1[Ф. И. О.],B99)-Z94)</f>
        <v/>
      </c>
    </row>
    <row r="99" spans="1:30">
      <c r="A99" s="786"/>
      <c r="B99" s="216" t="str">
        <f>база!B10</f>
        <v>Бекетова Надежда Ильинична</v>
      </c>
      <c r="C99" s="855"/>
      <c r="D99" s="855"/>
      <c r="E99" s="79"/>
      <c r="F99" s="272"/>
      <c r="G99" s="99"/>
      <c r="H99" s="95"/>
      <c r="I99" s="83"/>
      <c r="J99" s="272"/>
      <c r="K99" s="217"/>
      <c r="L99" s="217"/>
      <c r="M99" s="217"/>
      <c r="N99" s="217"/>
      <c r="O99" s="217"/>
      <c r="P99" s="30"/>
      <c r="Q99" s="79">
        <f>база!$L$6</f>
        <v>261.04640000000001</v>
      </c>
      <c r="R99" s="272">
        <v>1.2</v>
      </c>
      <c r="S99" s="99">
        <f>SUMIFS(Таблица1[сумма],Таблица1[коэф],"1,2",Таблица1[р/р],"5/16",Таблица1[Ф. И. О.],B99)</f>
        <v>0</v>
      </c>
      <c r="T99" s="93">
        <f>ROUND(Q99*R99*S99,2)</f>
        <v>0</v>
      </c>
      <c r="U99" s="366">
        <f>база!$M$6</f>
        <v>279.0496</v>
      </c>
      <c r="V99" s="272">
        <v>1.2</v>
      </c>
      <c r="W99" s="314">
        <f>SUMIFS(Таблица1[сумма],Таблица1[коэф],"1,2",Таблица1[р/р],"5/24",Таблица1[Ф. И. О.],B99)</f>
        <v>0</v>
      </c>
      <c r="X99" s="313">
        <f>ROUND(U99*V99*W99,2)</f>
        <v>0</v>
      </c>
      <c r="Y99" s="849"/>
      <c r="Z99" s="840"/>
      <c r="AA99" s="843"/>
      <c r="AC99" s="722" t="str">
        <f>IF(SUMIFS(Таблица1[сумма],Таблица1[Ф. И. О.],B99)=Y94,"",B94&amp;"  часы не верны")</f>
        <v/>
      </c>
      <c r="AD99" s="759">
        <f>INDEX('[2]декабрь 23'!$AI$4:$AI$100,MATCH(C94,'[2]декабрь 23'!$AK$4:$AK$100,0))</f>
        <v>136.80000000000001</v>
      </c>
    </row>
    <row r="100" spans="1:30">
      <c r="A100" s="786"/>
      <c r="B100" s="216"/>
      <c r="C100" s="855"/>
      <c r="D100" s="855"/>
      <c r="E100" s="79"/>
      <c r="F100" s="272"/>
      <c r="G100" s="99"/>
      <c r="H100" s="95"/>
      <c r="I100" s="83"/>
      <c r="J100" s="272"/>
      <c r="K100" s="217"/>
      <c r="L100" s="217"/>
      <c r="M100" s="217"/>
      <c r="N100" s="217"/>
      <c r="O100" s="217"/>
      <c r="P100" s="30"/>
      <c r="Q100" s="79">
        <f>IF($D$6&lt;=3,база!$L$4,
IF($D$6=4,база!$L$5,
IF($D$6=5,база!$L$6)))</f>
        <v>231.45480000000001</v>
      </c>
      <c r="R100" s="272">
        <v>1.3</v>
      </c>
      <c r="S100" s="99">
        <f>SUMIFS(Таблица1[сумма],Таблица1[коэф],"1,3",Таблица1[р/р],"3/16",Таблица1[Ф. И. О.],B99)</f>
        <v>0</v>
      </c>
      <c r="T100" s="93">
        <f t="shared" ref="T100:T101" si="54">ROUND(Q100*R100*S100,2)</f>
        <v>0</v>
      </c>
      <c r="U100" s="366">
        <f>IF(D94&lt;=3,база!$M$4,
IF(D94=4,база!$M$5,
IF(D94=5,база!$M$6)))</f>
        <v>225.09719999999999</v>
      </c>
      <c r="V100" s="272">
        <v>1.3</v>
      </c>
      <c r="W100" s="314">
        <f>SUMIFS(Таблица1[сумма],Таблица1[коэф],"1,3",Таблица1[р/р],"3/24",Таблица1[Ф. И. О.],B99)</f>
        <v>0</v>
      </c>
      <c r="X100" s="313">
        <f t="shared" ref="X100:X101" si="55">ROUND(U100*V100*W100,2)</f>
        <v>0</v>
      </c>
      <c r="Y100" s="849"/>
      <c r="Z100" s="840"/>
      <c r="AA100" s="843"/>
    </row>
    <row r="101" spans="1:30">
      <c r="A101" s="786"/>
      <c r="B101" s="216"/>
      <c r="C101" s="855"/>
      <c r="D101" s="855"/>
      <c r="E101" s="79"/>
      <c r="F101" s="272"/>
      <c r="G101" s="99"/>
      <c r="H101" s="95"/>
      <c r="I101" s="83"/>
      <c r="J101" s="272"/>
      <c r="K101" s="217"/>
      <c r="L101" s="217"/>
      <c r="M101" s="217"/>
      <c r="N101" s="217"/>
      <c r="O101" s="217"/>
      <c r="P101" s="30"/>
      <c r="Q101" s="79">
        <f>база!$L$5</f>
        <v>231.45480000000001</v>
      </c>
      <c r="R101" s="272">
        <v>1.3</v>
      </c>
      <c r="S101" s="99">
        <f>SUMIFS(Таблица1[сумма],Таблица1[коэф],"1,3",Таблица1[р/р],"4/16",Таблица1[Ф. И. О.],B99)</f>
        <v>0</v>
      </c>
      <c r="T101" s="93">
        <f t="shared" si="54"/>
        <v>0</v>
      </c>
      <c r="U101" s="366">
        <f>база!$M$5</f>
        <v>247.41720000000001</v>
      </c>
      <c r="V101" s="272">
        <v>1.3</v>
      </c>
      <c r="W101" s="314">
        <f>SUMIFS(Таблица1[сумма],Таблица1[коэф],"1,3",Таблица1[р/р],"4/24",Таблица1[Ф. И. О.],B99)</f>
        <v>0</v>
      </c>
      <c r="X101" s="313">
        <f t="shared" si="55"/>
        <v>0</v>
      </c>
      <c r="Y101" s="849"/>
      <c r="Z101" s="840"/>
      <c r="AA101" s="843"/>
    </row>
    <row r="102" spans="1:30">
      <c r="A102" s="786"/>
      <c r="B102" s="216"/>
      <c r="C102" s="855"/>
      <c r="D102" s="855"/>
      <c r="E102" s="79"/>
      <c r="F102" s="272"/>
      <c r="G102" s="99"/>
      <c r="H102" s="95"/>
      <c r="I102" s="83"/>
      <c r="J102" s="272"/>
      <c r="K102" s="217"/>
      <c r="L102" s="217"/>
      <c r="M102" s="217"/>
      <c r="N102" s="217"/>
      <c r="O102" s="217"/>
      <c r="P102" s="30"/>
      <c r="Q102" s="79">
        <f>IF(D94&lt;=3,база!$L$4,
IF(D94=4,база!$L$5,
IF(D94=5,база!$L$6)))</f>
        <v>210.57480000000001</v>
      </c>
      <c r="R102" s="272">
        <v>1.4</v>
      </c>
      <c r="S102" s="99">
        <f>SUMIFS(Таблица1[сумма],Таблица1[коэф],"1,4",Таблица1[р/р],"3/16",Таблица1[Ф. И. О.],B99)</f>
        <v>0</v>
      </c>
      <c r="T102" s="93">
        <f t="shared" ref="T102:T107" si="56">ROUND(Q102*R102*S102,2)</f>
        <v>0</v>
      </c>
      <c r="U102" s="366">
        <f>IF(D94&lt;=3,база!$M$4,
IF(D94=4,база!$M$5,
IF(D94=5,база!$M$6)))</f>
        <v>225.09719999999999</v>
      </c>
      <c r="V102" s="272">
        <v>1.4</v>
      </c>
      <c r="W102" s="314">
        <f>SUMIFS(Таблица1[сумма],Таблица1[коэф],"1,4",Таблица1[р/р],"3/24",Таблица1[Ф. И. О.],B99)</f>
        <v>0</v>
      </c>
      <c r="X102" s="313">
        <f>ROUND(U102*V102*W102,2)</f>
        <v>0</v>
      </c>
      <c r="Y102" s="849"/>
      <c r="Z102" s="840"/>
      <c r="AA102" s="843"/>
    </row>
    <row r="103" spans="1:30">
      <c r="A103" s="786"/>
      <c r="B103" s="216"/>
      <c r="C103" s="855"/>
      <c r="D103" s="855"/>
      <c r="E103" s="79"/>
      <c r="F103" s="272"/>
      <c r="G103" s="99"/>
      <c r="H103" s="95"/>
      <c r="I103" s="83"/>
      <c r="J103" s="272"/>
      <c r="K103" s="217"/>
      <c r="L103" s="217"/>
      <c r="M103" s="217"/>
      <c r="N103" s="217"/>
      <c r="O103" s="217"/>
      <c r="P103" s="30"/>
      <c r="Q103" s="79">
        <f>база!$L$5</f>
        <v>231.45480000000001</v>
      </c>
      <c r="R103" s="272">
        <v>1.4</v>
      </c>
      <c r="S103" s="99">
        <f>SUMIFS(Таблица1[сумма],Таблица1[коэф],"1,4",Таблица1[р/р],"4/16",Таблица1[Ф. И. О.],B99)</f>
        <v>0</v>
      </c>
      <c r="T103" s="93">
        <f t="shared" si="56"/>
        <v>0</v>
      </c>
      <c r="U103" s="366">
        <f>база!$M$5</f>
        <v>247.41720000000001</v>
      </c>
      <c r="V103" s="272">
        <v>1.4</v>
      </c>
      <c r="W103" s="314">
        <f>SUMIFS(Таблица1[сумма],Таблица1[коэф],"1,4",Таблица1[р/р],"4/24",Таблица1[Ф. И. О.],B99)</f>
        <v>0</v>
      </c>
      <c r="X103" s="313">
        <f>ROUND(U103*V103*W103,2)</f>
        <v>0</v>
      </c>
      <c r="Y103" s="849"/>
      <c r="Z103" s="840"/>
      <c r="AA103" s="843"/>
    </row>
    <row r="104" spans="1:30" ht="24" thickBot="1">
      <c r="A104" s="787"/>
      <c r="B104" s="216"/>
      <c r="C104" s="856"/>
      <c r="D104" s="856"/>
      <c r="E104" s="218"/>
      <c r="F104" s="275"/>
      <c r="G104" s="105"/>
      <c r="H104" s="104"/>
      <c r="I104" s="303"/>
      <c r="J104" s="275"/>
      <c r="K104" s="302"/>
      <c r="L104" s="302"/>
      <c r="M104" s="302"/>
      <c r="N104" s="302"/>
      <c r="O104" s="302"/>
      <c r="P104" s="308"/>
      <c r="Q104" s="218">
        <f>база!$L$6</f>
        <v>261.04640000000001</v>
      </c>
      <c r="R104" s="275">
        <v>1.4</v>
      </c>
      <c r="S104" s="105">
        <f>SUMIFS(Таблица1[сумма],Таблица1[коэф],"1,4",Таблица1[р/р],"5/16",Таблица1[Ф. И. О.],B99)</f>
        <v>0</v>
      </c>
      <c r="T104" s="316">
        <f t="shared" si="56"/>
        <v>0</v>
      </c>
      <c r="U104" s="367">
        <f>база!$M$6</f>
        <v>279.0496</v>
      </c>
      <c r="V104" s="274">
        <v>1.4</v>
      </c>
      <c r="W104" s="347">
        <f>SUMIFS(Таблица1[сумма],Таблица1[коэф],"1,4",Таблица1[р/р],"5/24",Таблица1[Ф. И. О.],B99)</f>
        <v>0</v>
      </c>
      <c r="X104" s="343">
        <f>ROUND(U104*V104*W104,2)</f>
        <v>0</v>
      </c>
      <c r="Y104" s="850"/>
      <c r="Z104" s="841"/>
      <c r="AA104" s="844"/>
    </row>
    <row r="105" spans="1:30">
      <c r="A105" s="785">
        <v>10</v>
      </c>
      <c r="B105" s="236"/>
      <c r="C105" s="854">
        <f>INDEX(база!$E$2:$E$81, MATCH(B110,база!$B$2:$B$50,0))</f>
        <v>16250</v>
      </c>
      <c r="D105" s="854">
        <f>INDEX(база!$D$2:$D$89, MATCH(B110,база!$B$2:$B$50,0))</f>
        <v>3</v>
      </c>
      <c r="E105" s="73">
        <f>IF(D105&lt;=3,база!$I$4,
IF(D105=4,база!$I$5,
IF(D105=5,база!$I$6)))</f>
        <v>188.7912</v>
      </c>
      <c r="F105" s="270">
        <v>1</v>
      </c>
      <c r="G105" s="96">
        <f>SUMIFS(Таблица1[сумма],Таблица1[коэф],"1",Таблица1[р/р],"2/4",Таблица1[Ф. И. О.],B110)</f>
        <v>0</v>
      </c>
      <c r="H105" s="88">
        <f>ROUND(E105*F105*G105,2)</f>
        <v>0</v>
      </c>
      <c r="I105" s="310">
        <f>IF(D105&lt;=3,база!$J$4,
IF(D105=4,база!$J$5,
IF(D105=5,база!$J$6)))</f>
        <v>196.05240000000001</v>
      </c>
      <c r="J105" s="270">
        <v>1</v>
      </c>
      <c r="K105" s="288">
        <f>SUMIFS(Таблица1[сумма],Таблица1[коэф],"1",Таблица1[р/р],"2/8",Таблица1[Ф. И. О.],B110)</f>
        <v>0</v>
      </c>
      <c r="L105" s="288">
        <f>ROUND(I105*J105*K105,2)</f>
        <v>0</v>
      </c>
      <c r="M105" s="288"/>
      <c r="N105" s="288">
        <v>1</v>
      </c>
      <c r="O105" s="288">
        <f>SUMIFS(Data_Tech!$AM$3:$AM$67,Data_Tech!$E$3:$E$67,"1",Data_Tech!$G$3:$G$67,"3/12",Data_Tech!$F$3:$F$67,B110)</f>
        <v>0</v>
      </c>
      <c r="P105" s="281">
        <f>ROUND(M105*N105*O105,2)</f>
        <v>0</v>
      </c>
      <c r="Q105" s="73">
        <f>IF(D105&lt;=3,база!$L$4,
IF(D105=4,база!$L$5,
IF(D105=5,база!$L$6)))</f>
        <v>210.57480000000001</v>
      </c>
      <c r="R105" s="270">
        <v>1</v>
      </c>
      <c r="S105" s="96">
        <f>SUMIFS(Таблица1[сумма],Таблица1[коэф],"1",Таблица1[р/р],"3/16",Таблица1[Ф. И. О.],B110)</f>
        <v>0</v>
      </c>
      <c r="T105" s="88">
        <f t="shared" si="56"/>
        <v>0</v>
      </c>
      <c r="U105" s="363">
        <f>IF(D105&lt;=3,база!$M$4,
IF(D105=4,база!$M$5,
IF(D105=5,база!$M$6)))</f>
        <v>225.09719999999999</v>
      </c>
      <c r="V105" s="270">
        <v>1</v>
      </c>
      <c r="W105" s="339">
        <f>SUMIFS(Таблица1[сумма],Таблица1[коэф],"1",Таблица1[р/р],"3/24",Таблица1[Ф. И. О.],B110)</f>
        <v>0</v>
      </c>
      <c r="X105" s="342">
        <f>ROUND(U105*V105*W105,2)</f>
        <v>0</v>
      </c>
      <c r="Y105" s="849">
        <f t="shared" ref="Y105" si="57">SUM(G105:G115,K105:K115,O105:O115,S105:S115,W105:W115)</f>
        <v>0</v>
      </c>
      <c r="Z105" s="840">
        <f t="shared" ref="Z105" si="58">IFERROR(SUM(H105:H115,L105:L115,T105:T115,X105:X115),"")</f>
        <v>0</v>
      </c>
      <c r="AA105" s="843"/>
    </row>
    <row r="106" spans="1:30">
      <c r="A106" s="786"/>
      <c r="B106" s="216"/>
      <c r="C106" s="855"/>
      <c r="D106" s="855"/>
      <c r="E106" s="79">
        <f>IF(D105&lt;=3,база!$I$4,
IF(D105=4,база!$I$5,
IF(D105=5,база!$I$6)))</f>
        <v>188.7912</v>
      </c>
      <c r="F106" s="272">
        <v>1</v>
      </c>
      <c r="G106" s="99">
        <f>SUMIFS(Таблица1[сумма],Таблица1[коэф],"1",Таблица1[р/р],"3/4",Таблица1[Ф. И. О.],B110)</f>
        <v>0</v>
      </c>
      <c r="H106" s="95">
        <f>ROUND(E106*F106*G106,2)</f>
        <v>0</v>
      </c>
      <c r="I106" s="83">
        <f>IF(D105&lt;=3,база!$J$4,
IF(D105=4,база!$J$5,
IF(D105=5,база!$J$6)))</f>
        <v>196.05240000000001</v>
      </c>
      <c r="J106" s="272">
        <v>1</v>
      </c>
      <c r="K106" s="217">
        <f>SUMIFS(Таблица1[сумма],Таблица1[коэф],"1",Таблица1[р/р],"3/8",Таблица1[Ф. И. О.],B110)</f>
        <v>0</v>
      </c>
      <c r="L106" s="217">
        <f>ROUND(I106*J106*K106,2)</f>
        <v>0</v>
      </c>
      <c r="M106" s="217"/>
      <c r="N106" s="217">
        <v>1</v>
      </c>
      <c r="O106" s="217">
        <f>SUMIFS(Data_Tech!$AM$3:$AM$67,Data_Tech!$E$3:$E$67,"1",Data_Tech!$G$3:$G$67,"4/12",Data_Tech!$F$3:$F$67,B110)</f>
        <v>0</v>
      </c>
      <c r="P106" s="30">
        <f>ROUND(M106*O106,2)</f>
        <v>0</v>
      </c>
      <c r="Q106" s="79">
        <f>база!$L$5</f>
        <v>231.45480000000001</v>
      </c>
      <c r="R106" s="272">
        <v>1</v>
      </c>
      <c r="S106" s="99">
        <f>SUMIFS(Таблица1[сумма],Таблица1[коэф],"1",Таблица1[р/р],"4/16",Таблица1[Ф. И. О.],B110)</f>
        <v>0</v>
      </c>
      <c r="T106" s="95">
        <f t="shared" si="56"/>
        <v>0</v>
      </c>
      <c r="U106" s="361">
        <f>база!$M$5</f>
        <v>247.41720000000001</v>
      </c>
      <c r="V106" s="272">
        <v>1</v>
      </c>
      <c r="W106" s="314">
        <f>SUMIFS(Таблица1[сумма],Таблица1[коэф],"1",Таблица1[р/р],"4/24",Таблица1[Ф. И. О.],B110)</f>
        <v>0</v>
      </c>
      <c r="X106" s="313">
        <f t="shared" ref="X106" si="59">ROUND(U106*V106*W106,2)</f>
        <v>0</v>
      </c>
      <c r="Y106" s="849"/>
      <c r="Z106" s="840"/>
      <c r="AA106" s="843"/>
    </row>
    <row r="107" spans="1:30">
      <c r="A107" s="786"/>
      <c r="B107" s="216"/>
      <c r="C107" s="855"/>
      <c r="D107" s="855"/>
      <c r="E107" s="79"/>
      <c r="F107" s="272"/>
      <c r="G107" s="99"/>
      <c r="H107" s="95"/>
      <c r="I107" s="83"/>
      <c r="J107" s="272"/>
      <c r="K107" s="217"/>
      <c r="L107" s="217"/>
      <c r="M107" s="217"/>
      <c r="N107" s="217"/>
      <c r="O107" s="217"/>
      <c r="P107" s="30"/>
      <c r="Q107" s="79">
        <f>база!$L$6</f>
        <v>261.04640000000001</v>
      </c>
      <c r="R107" s="272">
        <v>1</v>
      </c>
      <c r="S107" s="99">
        <f>SUMIFS(Таблица1[сумма],Таблица1[коэф],"1",Таблица1[р/р],"5/16",Таблица1[Ф. И. О.],B110)</f>
        <v>0</v>
      </c>
      <c r="T107" s="95">
        <f t="shared" si="56"/>
        <v>0</v>
      </c>
      <c r="U107" s="361">
        <f>база!$M$6</f>
        <v>279.0496</v>
      </c>
      <c r="V107" s="272">
        <v>1</v>
      </c>
      <c r="W107" s="314">
        <f>SUMIFS(Таблица1[сумма],Таблица1[коэф],"1",Таблица1[р/р],"5/24",Таблица1[Ф. И. О.],B110)</f>
        <v>0</v>
      </c>
      <c r="X107" s="313">
        <f>ROUND(U107*V107*W107,2)</f>
        <v>0</v>
      </c>
      <c r="Y107" s="849"/>
      <c r="Z107" s="840"/>
      <c r="AA107" s="843"/>
    </row>
    <row r="108" spans="1:30">
      <c r="A108" s="786"/>
      <c r="B108" s="216"/>
      <c r="C108" s="855"/>
      <c r="D108" s="855"/>
      <c r="E108" s="79"/>
      <c r="F108" s="272"/>
      <c r="G108" s="99"/>
      <c r="H108" s="95"/>
      <c r="I108" s="83">
        <f>база!$J$5</f>
        <v>215.4924</v>
      </c>
      <c r="J108" s="272">
        <v>1.5</v>
      </c>
      <c r="K108" s="217">
        <f>SUMIFS(Таблица1[сумма],Таблица1[коэф],"1,5",Таблица1[р/р],"4/8",Таблица1[Ф. И. О.],B110)</f>
        <v>0</v>
      </c>
      <c r="L108" s="217">
        <f>ROUND(I108*J108*K108,2)</f>
        <v>0</v>
      </c>
      <c r="M108" s="217"/>
      <c r="N108" s="217"/>
      <c r="O108" s="217"/>
      <c r="P108" s="30"/>
      <c r="Q108" s="79">
        <f>IF(D105&lt;=3,база!$L$4,
IF(D105=4,база!$L$5,
IF(D105=5,база!$L$6)))</f>
        <v>210.57480000000001</v>
      </c>
      <c r="R108" s="272">
        <v>1.2</v>
      </c>
      <c r="S108" s="99">
        <f>SUMIFS(Таблица1[сумма],Таблица1[коэф],"1,2",Таблица1[р/р],"3/16",Таблица1[Ф. И. О.],B110)</f>
        <v>0</v>
      </c>
      <c r="T108" s="95">
        <f t="shared" ref="T108:T109" si="60">ROUND(Q108*R108*S108,2)</f>
        <v>0</v>
      </c>
      <c r="U108" s="361">
        <f>IF(D105&lt;=3,база!$M$4,
IF(D105=4,база!$M$5,
IF(D105=5,база!$M$6)))</f>
        <v>225.09719999999999</v>
      </c>
      <c r="V108" s="272">
        <v>1.2</v>
      </c>
      <c r="W108" s="314">
        <f>SUMIFS(Таблица1[сумма],Таблица1[коэф],"1,2",Таблица1[р/р],"3/24",Таблица1[Ф. И. О.],B110)</f>
        <v>0</v>
      </c>
      <c r="X108" s="313">
        <f t="shared" ref="X108:X109" si="61">ROUND(U108*V108*W108,2)</f>
        <v>0</v>
      </c>
      <c r="Y108" s="849"/>
      <c r="Z108" s="840"/>
      <c r="AA108" s="843"/>
    </row>
    <row r="109" spans="1:30">
      <c r="A109" s="786"/>
      <c r="B109" s="216"/>
      <c r="C109" s="855"/>
      <c r="D109" s="855"/>
      <c r="E109" s="79"/>
      <c r="F109" s="272"/>
      <c r="G109" s="99"/>
      <c r="H109" s="95"/>
      <c r="I109" s="83">
        <f>база!$J$6</f>
        <v>243.04319999999998</v>
      </c>
      <c r="J109" s="272">
        <v>1.5</v>
      </c>
      <c r="K109" s="217">
        <f>SUMIFS(Таблица1[сумма],Таблица1[коэф],"1,5",Таблица1[р/р],"5/8",Таблица1[Ф. И. О.],B110)</f>
        <v>0</v>
      </c>
      <c r="L109" s="217">
        <f>ROUND(I109*J109*K109,2)</f>
        <v>0</v>
      </c>
      <c r="M109" s="217"/>
      <c r="N109" s="217"/>
      <c r="O109" s="217"/>
      <c r="P109" s="30"/>
      <c r="Q109" s="79">
        <f>база!$L$5</f>
        <v>231.45480000000001</v>
      </c>
      <c r="R109" s="272">
        <v>1.2</v>
      </c>
      <c r="S109" s="99">
        <f>SUMIFS(Таблица1[сумма],Таблица1[коэф],"1,2",Таблица1[р/р],"4/16",Таблица1[Ф. И. О.],B110)</f>
        <v>0</v>
      </c>
      <c r="T109" s="95">
        <f t="shared" si="60"/>
        <v>0</v>
      </c>
      <c r="U109" s="361">
        <f>база!$M$5</f>
        <v>247.41720000000001</v>
      </c>
      <c r="V109" s="272">
        <v>1.2</v>
      </c>
      <c r="W109" s="314">
        <f>SUMIFS(Таблица1[сумма],Таблица1[коэф],"1,2",Таблица1[р/р],"4/24",Таблица1[Ф. И. О.],B110)</f>
        <v>0</v>
      </c>
      <c r="X109" s="313">
        <f t="shared" si="61"/>
        <v>0</v>
      </c>
      <c r="Y109" s="849"/>
      <c r="Z109" s="840"/>
      <c r="AA109" s="843"/>
      <c r="AC109" s="722" t="str">
        <f>IF(SUMIFS(Таблица1[Столбец2],Таблица1[Ф. И. О.],B110)-Z105=0,"",SUMIFS(Таблица1[Столбец2],Таблица1[Ф. И. О.],B110)-Z105)</f>
        <v/>
      </c>
    </row>
    <row r="110" spans="1:30">
      <c r="A110" s="786"/>
      <c r="B110" s="216" t="str">
        <f>база!B11</f>
        <v>Бородицкая Ирина Борисовна</v>
      </c>
      <c r="C110" s="855"/>
      <c r="D110" s="855"/>
      <c r="E110" s="79"/>
      <c r="F110" s="272"/>
      <c r="G110" s="99"/>
      <c r="H110" s="95"/>
      <c r="I110" s="83"/>
      <c r="J110" s="272"/>
      <c r="K110" s="217"/>
      <c r="L110" s="217"/>
      <c r="M110" s="217"/>
      <c r="N110" s="217"/>
      <c r="O110" s="217"/>
      <c r="P110" s="30"/>
      <c r="Q110" s="79">
        <f>база!$L$6</f>
        <v>261.04640000000001</v>
      </c>
      <c r="R110" s="272">
        <v>1.2</v>
      </c>
      <c r="S110" s="99">
        <f>SUMIFS(Таблица1[сумма],Таблица1[коэф],"1,2",Таблица1[р/р],"5/16",Таблица1[Ф. И. О.],B110)</f>
        <v>0</v>
      </c>
      <c r="T110" s="95">
        <f>ROUND(Q110*R110*S110,2)</f>
        <v>0</v>
      </c>
      <c r="U110" s="361">
        <f>база!$M$6</f>
        <v>279.0496</v>
      </c>
      <c r="V110" s="272">
        <v>1.2</v>
      </c>
      <c r="W110" s="314">
        <f>SUMIFS(Таблица1[сумма],Таблица1[коэф],"1,2",Таблица1[р/р],"5/24",Таблица1[Ф. И. О.],B110)</f>
        <v>0</v>
      </c>
      <c r="X110" s="313">
        <f>ROUND(U110*V110*W110,2)</f>
        <v>0</v>
      </c>
      <c r="Y110" s="849"/>
      <c r="Z110" s="840"/>
      <c r="AA110" s="843"/>
      <c r="AC110" s="722" t="str">
        <f>IF(SUMIFS(Таблица1[сумма],Таблица1[Ф. И. О.],B110)=Y105,"",B105&amp;"  часы не верны")</f>
        <v/>
      </c>
      <c r="AD110" s="759">
        <f>INDEX('[2]декабрь 23'!$AI$4:$AI$100,MATCH(C105,'[2]декабрь 23'!$AK$4:$AK$100,0))</f>
        <v>136.80000000000001</v>
      </c>
    </row>
    <row r="111" spans="1:30">
      <c r="A111" s="786"/>
      <c r="B111" s="216"/>
      <c r="C111" s="855"/>
      <c r="D111" s="855"/>
      <c r="E111" s="79"/>
      <c r="F111" s="272"/>
      <c r="G111" s="99"/>
      <c r="H111" s="95"/>
      <c r="I111" s="83"/>
      <c r="J111" s="272"/>
      <c r="K111" s="217"/>
      <c r="L111" s="217"/>
      <c r="M111" s="217"/>
      <c r="N111" s="217"/>
      <c r="O111" s="217"/>
      <c r="P111" s="30"/>
      <c r="Q111" s="79">
        <f>IF($D$6&lt;=3,база!$L$4,
IF($D$6=4,база!$L$5,
IF($D$6=5,база!$L$6)))</f>
        <v>231.45480000000001</v>
      </c>
      <c r="R111" s="272">
        <v>1.3</v>
      </c>
      <c r="S111" s="99">
        <f>SUMIFS(Таблица1[сумма],Таблица1[коэф],"1,3",Таблица1[р/р],"3/16",Таблица1[Ф. И. О.],B110)</f>
        <v>0</v>
      </c>
      <c r="T111" s="95">
        <f t="shared" ref="T111:T112" si="62">ROUND(Q111*R111*S111,2)</f>
        <v>0</v>
      </c>
      <c r="U111" s="361">
        <f>IF(D105&lt;=3,база!$M$4,
IF(D105=4,база!$M$5,
IF(D105=5,база!$M$6)))</f>
        <v>225.09719999999999</v>
      </c>
      <c r="V111" s="272">
        <v>1.3</v>
      </c>
      <c r="W111" s="314">
        <f>SUMIFS(Таблица1[сумма],Таблица1[коэф],"1,3",Таблица1[р/р],"3/24",Таблица1[Ф. И. О.],B110)</f>
        <v>0</v>
      </c>
      <c r="X111" s="313">
        <f t="shared" ref="X111:X112" si="63">ROUND(U111*V111*W111,2)</f>
        <v>0</v>
      </c>
      <c r="Y111" s="849"/>
      <c r="Z111" s="840"/>
      <c r="AA111" s="843"/>
    </row>
    <row r="112" spans="1:30">
      <c r="A112" s="786"/>
      <c r="B112" s="216"/>
      <c r="C112" s="855"/>
      <c r="D112" s="855"/>
      <c r="E112" s="79"/>
      <c r="F112" s="272"/>
      <c r="G112" s="99"/>
      <c r="H112" s="95"/>
      <c r="I112" s="83"/>
      <c r="J112" s="272"/>
      <c r="K112" s="217"/>
      <c r="L112" s="217"/>
      <c r="M112" s="217"/>
      <c r="N112" s="217"/>
      <c r="O112" s="217"/>
      <c r="P112" s="30"/>
      <c r="Q112" s="79">
        <f>база!$L$5</f>
        <v>231.45480000000001</v>
      </c>
      <c r="R112" s="272">
        <v>1.3</v>
      </c>
      <c r="S112" s="99">
        <f>SUMIFS(Таблица1[сумма],Таблица1[коэф],"1,3",Таблица1[р/р],"4/16",Таблица1[Ф. И. О.],B110)</f>
        <v>0</v>
      </c>
      <c r="T112" s="95">
        <f t="shared" si="62"/>
        <v>0</v>
      </c>
      <c r="U112" s="361">
        <f>база!$M$5</f>
        <v>247.41720000000001</v>
      </c>
      <c r="V112" s="272">
        <v>1.3</v>
      </c>
      <c r="W112" s="314">
        <f>SUMIFS(Таблица1[сумма],Таблица1[коэф],"1,3",Таблица1[р/р],"4/24",Таблица1[Ф. И. О.],B110)</f>
        <v>0</v>
      </c>
      <c r="X112" s="313">
        <f t="shared" si="63"/>
        <v>0</v>
      </c>
      <c r="Y112" s="849"/>
      <c r="Z112" s="840"/>
      <c r="AA112" s="843"/>
    </row>
    <row r="113" spans="1:30">
      <c r="A113" s="786"/>
      <c r="B113" s="216"/>
      <c r="C113" s="855"/>
      <c r="D113" s="855"/>
      <c r="E113" s="79"/>
      <c r="F113" s="272"/>
      <c r="G113" s="99"/>
      <c r="H113" s="95"/>
      <c r="I113" s="83"/>
      <c r="J113" s="272"/>
      <c r="K113" s="217"/>
      <c r="L113" s="217"/>
      <c r="M113" s="217"/>
      <c r="N113" s="217"/>
      <c r="O113" s="217"/>
      <c r="P113" s="30"/>
      <c r="Q113" s="79">
        <f>IF(D105&lt;=3,база!$L$4,
IF(D105=4,база!$L$5,
IF(D105=5,база!$L$6)))</f>
        <v>210.57480000000001</v>
      </c>
      <c r="R113" s="272">
        <v>1.4</v>
      </c>
      <c r="S113" s="99">
        <f>SUMIFS(Таблица1[сумма],Таблица1[коэф],"1,4",Таблица1[р/р],"3/16",Таблица1[Ф. И. О.],B110)</f>
        <v>0</v>
      </c>
      <c r="T113" s="95">
        <f t="shared" ref="T113:T118" si="64">ROUND(Q113*R113*S113,2)</f>
        <v>0</v>
      </c>
      <c r="U113" s="361">
        <f>IF(D105&lt;=3,база!$M$4,
IF(D105=4,база!$M$5,
IF(D105=5,база!$M$6)))</f>
        <v>225.09719999999999</v>
      </c>
      <c r="V113" s="272">
        <v>1.4</v>
      </c>
      <c r="W113" s="314">
        <f>SUMIFS(Таблица1[сумма],Таблица1[коэф],"1,4",Таблица1[р/р],"3/24",Таблица1[Ф. И. О.],B110)</f>
        <v>0</v>
      </c>
      <c r="X113" s="313">
        <f>ROUND(U113*V113*W113,2)</f>
        <v>0</v>
      </c>
      <c r="Y113" s="849"/>
      <c r="Z113" s="840"/>
      <c r="AA113" s="843"/>
    </row>
    <row r="114" spans="1:30">
      <c r="A114" s="786"/>
      <c r="B114" s="216"/>
      <c r="C114" s="855"/>
      <c r="D114" s="855"/>
      <c r="E114" s="79"/>
      <c r="F114" s="272"/>
      <c r="G114" s="99"/>
      <c r="H114" s="95"/>
      <c r="I114" s="83"/>
      <c r="J114" s="272"/>
      <c r="K114" s="217"/>
      <c r="L114" s="217"/>
      <c r="M114" s="217"/>
      <c r="N114" s="217"/>
      <c r="O114" s="217"/>
      <c r="P114" s="30"/>
      <c r="Q114" s="79">
        <f>база!$L$5</f>
        <v>231.45480000000001</v>
      </c>
      <c r="R114" s="272">
        <v>1.4</v>
      </c>
      <c r="S114" s="99">
        <f>SUMIFS(Таблица1[сумма],Таблица1[коэф],"1,4",Таблица1[р/р],"4/16",Таблица1[Ф. И. О.],B110)</f>
        <v>0</v>
      </c>
      <c r="T114" s="95">
        <f t="shared" si="64"/>
        <v>0</v>
      </c>
      <c r="U114" s="361">
        <f>база!$M$5</f>
        <v>247.41720000000001</v>
      </c>
      <c r="V114" s="272">
        <v>1.4</v>
      </c>
      <c r="W114" s="314">
        <f>SUMIFS(Таблица1[сумма],Таблица1[коэф],"1,4",Таблица1[р/р],"4/24",Таблица1[Ф. И. О.],B110)</f>
        <v>0</v>
      </c>
      <c r="X114" s="313">
        <f>ROUND(U114*V114*W114,2)</f>
        <v>0</v>
      </c>
      <c r="Y114" s="849"/>
      <c r="Z114" s="840"/>
      <c r="AA114" s="843"/>
    </row>
    <row r="115" spans="1:30" ht="24" thickBot="1">
      <c r="A115" s="787"/>
      <c r="B115" s="203"/>
      <c r="C115" s="856"/>
      <c r="D115" s="856"/>
      <c r="E115" s="102"/>
      <c r="F115" s="274"/>
      <c r="G115" s="98"/>
      <c r="H115" s="91"/>
      <c r="I115" s="221"/>
      <c r="J115" s="274"/>
      <c r="K115" s="289"/>
      <c r="L115" s="289"/>
      <c r="M115" s="289"/>
      <c r="N115" s="289"/>
      <c r="O115" s="289"/>
      <c r="P115" s="315"/>
      <c r="Q115" s="102">
        <f>база!$L$6</f>
        <v>261.04640000000001</v>
      </c>
      <c r="R115" s="274">
        <v>1.4</v>
      </c>
      <c r="S115" s="98">
        <f>SUMIFS(Таблица1[сумма],Таблица1[коэф],"1,4",Таблица1[р/р],"5/16",Таблица1[Ф. И. О.],B110)</f>
        <v>0</v>
      </c>
      <c r="T115" s="91">
        <f t="shared" si="64"/>
        <v>0</v>
      </c>
      <c r="U115" s="364">
        <f>база!$M$6</f>
        <v>279.0496</v>
      </c>
      <c r="V115" s="274">
        <v>1.4</v>
      </c>
      <c r="W115" s="347">
        <f>SUMIFS(Таблица1[сумма],Таблица1[коэф],"1,4",Таблица1[р/р],"5/24",Таблица1[Ф. И. О.],B110)</f>
        <v>0</v>
      </c>
      <c r="X115" s="343">
        <f>ROUND(U115*V115*W115,2)</f>
        <v>0</v>
      </c>
      <c r="Y115" s="850"/>
      <c r="Z115" s="841"/>
      <c r="AA115" s="844"/>
    </row>
    <row r="116" spans="1:30">
      <c r="A116" s="785">
        <v>11</v>
      </c>
      <c r="B116" s="216"/>
      <c r="C116" s="851">
        <f>INDEX(база!$E$2:$E$81, MATCH(B121,база!$B$2:$B$50,0))</f>
        <v>16960</v>
      </c>
      <c r="D116" s="852">
        <f>INDEX(база!$D$2:$D$89, MATCH(B121,база!$B$2:$B$50,0))</f>
        <v>3</v>
      </c>
      <c r="E116" s="82">
        <f>IF(D116&lt;=3,база!$I$4,
IF(D116=4,база!$I$5,
IF(D116=5,база!$I$6)))</f>
        <v>188.7912</v>
      </c>
      <c r="F116" s="271">
        <v>1</v>
      </c>
      <c r="G116" s="97">
        <f>SUMIFS(Таблица1[сумма],Таблица1[коэф],"1",Таблица1[р/р],"2/4",Таблица1[Ф. И. О.],B121)</f>
        <v>0</v>
      </c>
      <c r="H116" s="311">
        <f>ROUND(E116*F116*G116,2)</f>
        <v>0</v>
      </c>
      <c r="I116" s="73">
        <f>IF(D116&lt;=3,база!$J$4,
IF(D116=4,база!$J$5,
IF(D116=5,база!$J$6)))</f>
        <v>196.05240000000001</v>
      </c>
      <c r="J116" s="270">
        <v>1</v>
      </c>
      <c r="K116" s="288">
        <f>SUMIFS(Таблица1[сумма],Таблица1[коэф],"1",Таблица1[р/р],"2/8",Таблица1[Ф. И. О.],B121)</f>
        <v>0</v>
      </c>
      <c r="L116" s="288">
        <f>ROUND(I116*J116*K116,2)</f>
        <v>0</v>
      </c>
      <c r="M116" s="288"/>
      <c r="N116" s="288">
        <v>1</v>
      </c>
      <c r="O116" s="288">
        <f>SUMIFS(Data_Tech!$AM$3:$AM$67,Data_Tech!$E$3:$E$67,"1",Data_Tech!$G$3:$G$67,"3/12",Data_Tech!$F$3:$F$67,B121)</f>
        <v>0</v>
      </c>
      <c r="P116" s="28">
        <f>ROUND(M116*N116*O116,2)</f>
        <v>0</v>
      </c>
      <c r="Q116" s="75">
        <f>IF(D116&lt;=3,база!$L$4,
IF(D116=4,база!$L$5,
IF(D116=5,база!$L$6)))</f>
        <v>210.57480000000001</v>
      </c>
      <c r="R116" s="271">
        <v>1</v>
      </c>
      <c r="S116" s="97">
        <f>SUMIFS(Таблица1[сумма],Таблица1[коэф],"1",Таблица1[р/р],"3/16",Таблица1[Ф. И. О.],B121)</f>
        <v>0</v>
      </c>
      <c r="T116" s="311">
        <f t="shared" si="64"/>
        <v>0</v>
      </c>
      <c r="U116" s="365">
        <f>IF(D116&lt;=3,база!$M$4,
IF(D116=4,база!$M$5,
IF(D116=5,база!$M$6)))</f>
        <v>225.09719999999999</v>
      </c>
      <c r="V116" s="270">
        <v>1</v>
      </c>
      <c r="W116" s="340">
        <f>SUMIFS(Таблица1[сумма],Таблица1[коэф],"1",Таблица1[р/р],"3/24",Таблица1[Ф. И. О.],B121)</f>
        <v>0</v>
      </c>
      <c r="X116" s="342">
        <f>ROUND(U116*V116*W116,2)</f>
        <v>0</v>
      </c>
      <c r="Y116" s="849">
        <f t="shared" ref="Y116" si="65">SUM(G116:G126,K116:K126,O116:O126,S116:S126,W116:W126)</f>
        <v>0</v>
      </c>
      <c r="Z116" s="840">
        <f t="shared" ref="Z116" si="66">IFERROR(SUM(H116:H126,L116:L126,T116:T126,X116:X126),"")</f>
        <v>0</v>
      </c>
      <c r="AA116" s="843"/>
    </row>
    <row r="117" spans="1:30">
      <c r="A117" s="786"/>
      <c r="B117" s="216"/>
      <c r="C117" s="845"/>
      <c r="D117" s="847"/>
      <c r="E117" s="83">
        <f>IF(D116&lt;=3,база!$I$4,
IF(D116=4,база!$I$5,
IF(D116=5,база!$I$6)))</f>
        <v>188.7912</v>
      </c>
      <c r="F117" s="272">
        <v>1</v>
      </c>
      <c r="G117" s="99">
        <f>SUMIFS(Таблица1[сумма],Таблица1[коэф],"1",Таблица1[р/р],"3/4",Таблица1[Ф. И. О.],B121)</f>
        <v>0</v>
      </c>
      <c r="H117" s="93">
        <f>ROUND(E117*F117*G117,2)</f>
        <v>0</v>
      </c>
      <c r="I117" s="79">
        <f>IF(D116&lt;=3,база!$J$4,
IF(D116=4,база!$J$5,
IF(D116=5,база!$J$6)))</f>
        <v>196.05240000000001</v>
      </c>
      <c r="J117" s="272">
        <v>1</v>
      </c>
      <c r="K117" s="217">
        <f>SUMIFS(Таблица1[сумма],Таблица1[коэф],"1",Таблица1[р/р],"3/8",Таблица1[Ф. И. О.],B121)</f>
        <v>0</v>
      </c>
      <c r="L117" s="217">
        <f>ROUND(I117*J117*K117,2)</f>
        <v>0</v>
      </c>
      <c r="M117" s="217"/>
      <c r="N117" s="217">
        <v>1</v>
      </c>
      <c r="O117" s="217">
        <f>SUMIFS(Data_Tech!$AM$3:$AM$67,Data_Tech!$E$3:$E$67,"1",Data_Tech!$G$3:$G$67,"4/12",Data_Tech!$F$3:$F$67,B121)</f>
        <v>0</v>
      </c>
      <c r="P117" s="29">
        <f>ROUND(M117*O117,2)</f>
        <v>0</v>
      </c>
      <c r="Q117" s="79">
        <f>база!$L$5</f>
        <v>231.45480000000001</v>
      </c>
      <c r="R117" s="272">
        <v>1</v>
      </c>
      <c r="S117" s="99">
        <f>SUMIFS(Таблица1[сумма],Таблица1[коэф],"1",Таблица1[р/р],"4/16",Таблица1[Ф. И. О.],B121)</f>
        <v>0</v>
      </c>
      <c r="T117" s="93">
        <f t="shared" si="64"/>
        <v>0</v>
      </c>
      <c r="U117" s="366">
        <f>база!$M$5</f>
        <v>247.41720000000001</v>
      </c>
      <c r="V117" s="272">
        <v>1</v>
      </c>
      <c r="W117" s="307">
        <f>SUMIFS(Таблица1[сумма],Таблица1[коэф],"1",Таблица1[р/р],"4/24",Таблица1[Ф. И. О.],B121)</f>
        <v>0</v>
      </c>
      <c r="X117" s="313">
        <f t="shared" ref="X117" si="67">ROUND(U117*V117*W117,2)</f>
        <v>0</v>
      </c>
      <c r="Y117" s="849"/>
      <c r="Z117" s="840"/>
      <c r="AA117" s="843"/>
    </row>
    <row r="118" spans="1:30">
      <c r="A118" s="786"/>
      <c r="B118" s="216"/>
      <c r="C118" s="845"/>
      <c r="D118" s="847"/>
      <c r="E118" s="83"/>
      <c r="F118" s="272"/>
      <c r="G118" s="99"/>
      <c r="H118" s="93"/>
      <c r="I118" s="79"/>
      <c r="J118" s="272"/>
      <c r="K118" s="217"/>
      <c r="L118" s="217"/>
      <c r="M118" s="217"/>
      <c r="N118" s="217"/>
      <c r="O118" s="217"/>
      <c r="P118" s="29"/>
      <c r="Q118" s="79">
        <f>база!$L$6</f>
        <v>261.04640000000001</v>
      </c>
      <c r="R118" s="272">
        <v>1</v>
      </c>
      <c r="S118" s="99">
        <f>SUMIFS(Таблица1[сумма],Таблица1[коэф],"1",Таблица1[р/р],"5/16",Таблица1[Ф. И. О.],B121)</f>
        <v>0</v>
      </c>
      <c r="T118" s="93">
        <f t="shared" si="64"/>
        <v>0</v>
      </c>
      <c r="U118" s="366">
        <f>база!$M$6</f>
        <v>279.0496</v>
      </c>
      <c r="V118" s="272">
        <v>1</v>
      </c>
      <c r="W118" s="307">
        <f>SUMIFS(Таблица1[сумма],Таблица1[коэф],"1",Таблица1[р/р],"5/24",Таблица1[Ф. И. О.],B121)</f>
        <v>0</v>
      </c>
      <c r="X118" s="313">
        <f>ROUND(U118*V118*W118,2)</f>
        <v>0</v>
      </c>
      <c r="Y118" s="849"/>
      <c r="Z118" s="840"/>
      <c r="AA118" s="843"/>
    </row>
    <row r="119" spans="1:30">
      <c r="A119" s="786"/>
      <c r="B119" s="216"/>
      <c r="C119" s="845"/>
      <c r="D119" s="847"/>
      <c r="E119" s="83"/>
      <c r="F119" s="272"/>
      <c r="G119" s="99"/>
      <c r="H119" s="93"/>
      <c r="I119" s="79">
        <f>база!$J$5</f>
        <v>215.4924</v>
      </c>
      <c r="J119" s="272">
        <v>1.5</v>
      </c>
      <c r="K119" s="217">
        <f>SUMIFS(Таблица1[сумма],Таблица1[коэф],"1,5",Таблица1[р/р],"4/8",Таблица1[Ф. И. О.],B121)</f>
        <v>0</v>
      </c>
      <c r="L119" s="217">
        <f>ROUND(I119*J119*K119,2)</f>
        <v>0</v>
      </c>
      <c r="M119" s="217"/>
      <c r="N119" s="217"/>
      <c r="O119" s="217"/>
      <c r="P119" s="29"/>
      <c r="Q119" s="79">
        <f>IF(D116&lt;=3,база!$L$4,
IF(D116=4,база!$L$5,
IF(D116=5,база!$L$6)))</f>
        <v>210.57480000000001</v>
      </c>
      <c r="R119" s="272">
        <v>1.2</v>
      </c>
      <c r="S119" s="99">
        <f>SUMIFS(Таблица1[сумма],Таблица1[коэф],"1,2",Таблица1[р/р],"3/16",Таблица1[Ф. И. О.],B121)</f>
        <v>0</v>
      </c>
      <c r="T119" s="93">
        <f t="shared" ref="T119:T120" si="68">ROUND(Q119*R119*S119,2)</f>
        <v>0</v>
      </c>
      <c r="U119" s="366">
        <f>IF(D116&lt;=3,база!$M$4,
IF(D116=4,база!$M$5,
IF(D116=5,база!$M$6)))</f>
        <v>225.09719999999999</v>
      </c>
      <c r="V119" s="272">
        <v>1.2</v>
      </c>
      <c r="W119" s="307">
        <f>SUMIFS(Таблица1[сумма],Таблица1[коэф],"1,2",Таблица1[р/р],"3/24",Таблица1[Ф. И. О.],B121)</f>
        <v>0</v>
      </c>
      <c r="X119" s="313">
        <f t="shared" ref="X119:X120" si="69">ROUND(U119*V119*W119,2)</f>
        <v>0</v>
      </c>
      <c r="Y119" s="849"/>
      <c r="Z119" s="840"/>
      <c r="AA119" s="843"/>
    </row>
    <row r="120" spans="1:30">
      <c r="A120" s="786"/>
      <c r="B120" s="216"/>
      <c r="C120" s="845"/>
      <c r="D120" s="847"/>
      <c r="E120" s="83"/>
      <c r="F120" s="272"/>
      <c r="G120" s="99"/>
      <c r="H120" s="93"/>
      <c r="I120" s="79">
        <f>база!$J$6</f>
        <v>243.04319999999998</v>
      </c>
      <c r="J120" s="272">
        <v>1.5</v>
      </c>
      <c r="K120" s="217">
        <f>SUMIFS(Таблица1[сумма],Таблица1[коэф],"1,5",Таблица1[р/р],"5/8",Таблица1[Ф. И. О.],B121)</f>
        <v>0</v>
      </c>
      <c r="L120" s="217">
        <f>ROUND(I120*J120*K120,2)</f>
        <v>0</v>
      </c>
      <c r="M120" s="217"/>
      <c r="N120" s="217"/>
      <c r="O120" s="217"/>
      <c r="P120" s="29"/>
      <c r="Q120" s="79">
        <f>база!$L$5</f>
        <v>231.45480000000001</v>
      </c>
      <c r="R120" s="272">
        <v>1.2</v>
      </c>
      <c r="S120" s="99">
        <f>SUMIFS(Таблица1[сумма],Таблица1[коэф],"1,2",Таблица1[р/р],"4/16",Таблица1[Ф. И. О.],B121)</f>
        <v>0</v>
      </c>
      <c r="T120" s="93">
        <f t="shared" si="68"/>
        <v>0</v>
      </c>
      <c r="U120" s="366">
        <f>база!$M$5</f>
        <v>247.41720000000001</v>
      </c>
      <c r="V120" s="272">
        <v>1.2</v>
      </c>
      <c r="W120" s="307">
        <f>SUMIFS(Таблица1[сумма],Таблица1[коэф],"1,2",Таблица1[р/р],"4/24",Таблица1[Ф. И. О.],B121)</f>
        <v>0</v>
      </c>
      <c r="X120" s="313">
        <f t="shared" si="69"/>
        <v>0</v>
      </c>
      <c r="Y120" s="849"/>
      <c r="Z120" s="840"/>
      <c r="AA120" s="843"/>
      <c r="AC120" s="722" t="str">
        <f>IF(SUMIFS(Таблица1[Столбец2],Таблица1[Ф. И. О.],B121)-Z116=0,"",SUMIFS(Таблица1[Столбец2],Таблица1[Ф. И. О.],B121)-Z116)</f>
        <v/>
      </c>
    </row>
    <row r="121" spans="1:30">
      <c r="A121" s="786"/>
      <c r="B121" s="216" t="str">
        <f>база!B12</f>
        <v>Бунчук Виктория Ивановна</v>
      </c>
      <c r="C121" s="845"/>
      <c r="D121" s="847"/>
      <c r="E121" s="83"/>
      <c r="F121" s="272"/>
      <c r="G121" s="99"/>
      <c r="H121" s="93"/>
      <c r="I121" s="79"/>
      <c r="J121" s="272"/>
      <c r="K121" s="217"/>
      <c r="L121" s="217"/>
      <c r="M121" s="217"/>
      <c r="N121" s="217"/>
      <c r="O121" s="217"/>
      <c r="P121" s="29"/>
      <c r="Q121" s="79">
        <f>база!$L$6</f>
        <v>261.04640000000001</v>
      </c>
      <c r="R121" s="272">
        <v>1.2</v>
      </c>
      <c r="S121" s="99">
        <f>SUMIFS(Таблица1[сумма],Таблица1[коэф],"1,2",Таблица1[р/р],"5/16",Таблица1[Ф. И. О.],B121)</f>
        <v>0</v>
      </c>
      <c r="T121" s="93">
        <f>ROUND(Q121*R121*S121,2)</f>
        <v>0</v>
      </c>
      <c r="U121" s="366">
        <f>база!$M$6</f>
        <v>279.0496</v>
      </c>
      <c r="V121" s="272">
        <v>1.2</v>
      </c>
      <c r="W121" s="307">
        <f>SUMIFS(Таблица1[сумма],Таблица1[коэф],"1,2",Таблица1[р/р],"5/24",Таблица1[Ф. И. О.],B121)</f>
        <v>0</v>
      </c>
      <c r="X121" s="313">
        <f>ROUND(U121*V121*W121,2)</f>
        <v>0</v>
      </c>
      <c r="Y121" s="849"/>
      <c r="Z121" s="840"/>
      <c r="AA121" s="843"/>
      <c r="AC121" s="722" t="str">
        <f>IF(SUMIFS(Таблица1[сумма],Таблица1[Ф. И. О.],B121)=Y116,"",B116&amp;"  часы не верны")</f>
        <v/>
      </c>
      <c r="AD121" s="759">
        <f>INDEX('[2]декабрь 23'!$AI$4:$AI$100,MATCH(C116,'[2]декабрь 23'!$AK$4:$AK$100,0))</f>
        <v>115.20000000000003</v>
      </c>
    </row>
    <row r="122" spans="1:30">
      <c r="A122" s="786"/>
      <c r="B122" s="216"/>
      <c r="C122" s="845"/>
      <c r="D122" s="847"/>
      <c r="E122" s="83"/>
      <c r="F122" s="272"/>
      <c r="G122" s="99"/>
      <c r="H122" s="93"/>
      <c r="I122" s="79"/>
      <c r="J122" s="272"/>
      <c r="K122" s="217"/>
      <c r="L122" s="217"/>
      <c r="M122" s="217"/>
      <c r="N122" s="217"/>
      <c r="O122" s="217"/>
      <c r="P122" s="29"/>
      <c r="Q122" s="79">
        <f>IF($D$6&lt;=3,база!$L$4,
IF($D$6=4,база!$L$5,
IF($D$6=5,база!$L$6)))</f>
        <v>231.45480000000001</v>
      </c>
      <c r="R122" s="272">
        <v>1.3</v>
      </c>
      <c r="S122" s="99">
        <f>SUMIFS(Таблица1[сумма],Таблица1[коэф],"1,3",Таблица1[р/р],"3/16",Таблица1[Ф. И. О.],B121)</f>
        <v>0</v>
      </c>
      <c r="T122" s="93">
        <f t="shared" ref="T122:T123" si="70">ROUND(Q122*R122*S122,2)</f>
        <v>0</v>
      </c>
      <c r="U122" s="366">
        <f>IF(D116&lt;=3,база!$M$4,
IF(D116=4,база!$M$5,
IF(D116=5,база!$M$6)))</f>
        <v>225.09719999999999</v>
      </c>
      <c r="V122" s="272">
        <v>1.3</v>
      </c>
      <c r="W122" s="307">
        <f>SUMIFS(Таблица1[сумма],Таблица1[коэф],"1,3",Таблица1[р/р],"3/24",Таблица1[Ф. И. О.],B121)</f>
        <v>0</v>
      </c>
      <c r="X122" s="313">
        <f t="shared" ref="X122:X123" si="71">ROUND(U122*V122*W122,2)</f>
        <v>0</v>
      </c>
      <c r="Y122" s="849"/>
      <c r="Z122" s="840"/>
      <c r="AA122" s="843"/>
    </row>
    <row r="123" spans="1:30">
      <c r="A123" s="786"/>
      <c r="B123" s="216"/>
      <c r="C123" s="845"/>
      <c r="D123" s="847"/>
      <c r="E123" s="83"/>
      <c r="F123" s="272"/>
      <c r="G123" s="99"/>
      <c r="H123" s="93"/>
      <c r="I123" s="79"/>
      <c r="J123" s="272"/>
      <c r="K123" s="217"/>
      <c r="L123" s="217"/>
      <c r="M123" s="217"/>
      <c r="N123" s="217"/>
      <c r="O123" s="217"/>
      <c r="P123" s="29"/>
      <c r="Q123" s="79">
        <f>база!$L$5</f>
        <v>231.45480000000001</v>
      </c>
      <c r="R123" s="272">
        <v>1.3</v>
      </c>
      <c r="S123" s="99">
        <f>SUMIFS(Таблица1[сумма],Таблица1[коэф],"1,3",Таблица1[р/р],"4/16",Таблица1[Ф. И. О.],B121)</f>
        <v>0</v>
      </c>
      <c r="T123" s="93">
        <f t="shared" si="70"/>
        <v>0</v>
      </c>
      <c r="U123" s="366">
        <f>база!$M$5</f>
        <v>247.41720000000001</v>
      </c>
      <c r="V123" s="272">
        <v>1.3</v>
      </c>
      <c r="W123" s="307">
        <f>SUMIFS(Таблица1[сумма],Таблица1[коэф],"1,3",Таблица1[р/р],"4/24",Таблица1[Ф. И. О.],B121)</f>
        <v>0</v>
      </c>
      <c r="X123" s="313">
        <f t="shared" si="71"/>
        <v>0</v>
      </c>
      <c r="Y123" s="849"/>
      <c r="Z123" s="840"/>
      <c r="AA123" s="843"/>
    </row>
    <row r="124" spans="1:30">
      <c r="A124" s="786"/>
      <c r="B124" s="216"/>
      <c r="C124" s="845"/>
      <c r="D124" s="847"/>
      <c r="E124" s="83"/>
      <c r="F124" s="272"/>
      <c r="G124" s="99"/>
      <c r="H124" s="93"/>
      <c r="I124" s="79"/>
      <c r="J124" s="272"/>
      <c r="K124" s="217"/>
      <c r="L124" s="217"/>
      <c r="M124" s="217"/>
      <c r="N124" s="217"/>
      <c r="O124" s="217"/>
      <c r="P124" s="29"/>
      <c r="Q124" s="79">
        <f>IF(D116&lt;=3,база!$L$4,
IF(D116=4,база!$L$5,
IF(D116=5,база!$L$6)))</f>
        <v>210.57480000000001</v>
      </c>
      <c r="R124" s="272">
        <v>1.4</v>
      </c>
      <c r="S124" s="99">
        <f>SUMIFS(Таблица1[сумма],Таблица1[коэф],"1,4",Таблица1[р/р],"3/16",Таблица1[Ф. И. О.],B121)</f>
        <v>0</v>
      </c>
      <c r="T124" s="93">
        <f t="shared" ref="T124:T129" si="72">ROUND(Q124*R124*S124,2)</f>
        <v>0</v>
      </c>
      <c r="U124" s="366">
        <f>IF(D116&lt;=3,база!$M$4,
IF(D116=4,база!$M$5,
IF(D116=5,база!$M$6)))</f>
        <v>225.09719999999999</v>
      </c>
      <c r="V124" s="272">
        <v>1.4</v>
      </c>
      <c r="W124" s="307">
        <f>SUMIFS(Таблица1[сумма],Таблица1[коэф],"1,4",Таблица1[р/р],"3/24",Таблица1[Ф. И. О.],B121)</f>
        <v>0</v>
      </c>
      <c r="X124" s="313">
        <f>ROUND(U124*V124*W124,2)</f>
        <v>0</v>
      </c>
      <c r="Y124" s="849"/>
      <c r="Z124" s="840"/>
      <c r="AA124" s="843"/>
    </row>
    <row r="125" spans="1:30">
      <c r="A125" s="786"/>
      <c r="B125" s="216"/>
      <c r="C125" s="845"/>
      <c r="D125" s="847"/>
      <c r="E125" s="83"/>
      <c r="F125" s="272"/>
      <c r="G125" s="99"/>
      <c r="H125" s="93"/>
      <c r="I125" s="79"/>
      <c r="J125" s="272"/>
      <c r="K125" s="217"/>
      <c r="L125" s="217"/>
      <c r="M125" s="217"/>
      <c r="N125" s="217"/>
      <c r="O125" s="217"/>
      <c r="P125" s="29"/>
      <c r="Q125" s="79">
        <f>база!$L$5</f>
        <v>231.45480000000001</v>
      </c>
      <c r="R125" s="272">
        <v>1.4</v>
      </c>
      <c r="S125" s="99">
        <f>SUMIFS(Таблица1[сумма],Таблица1[коэф],"1,4",Таблица1[р/р],"4/16",Таблица1[Ф. И. О.],B121)</f>
        <v>0</v>
      </c>
      <c r="T125" s="93">
        <f t="shared" si="72"/>
        <v>0</v>
      </c>
      <c r="U125" s="366">
        <f>база!$M$5</f>
        <v>247.41720000000001</v>
      </c>
      <c r="V125" s="272">
        <v>1.4</v>
      </c>
      <c r="W125" s="307">
        <f>SUMIFS(Таблица1[сумма],Таблица1[коэф],"1,4",Таблица1[р/р],"4/24",Таблица1[Ф. И. О.],B121)</f>
        <v>0</v>
      </c>
      <c r="X125" s="313">
        <f>ROUND(U125*V125*W125,2)</f>
        <v>0</v>
      </c>
      <c r="Y125" s="849"/>
      <c r="Z125" s="840"/>
      <c r="AA125" s="843"/>
    </row>
    <row r="126" spans="1:30" ht="24" thickBot="1">
      <c r="A126" s="787"/>
      <c r="B126" s="216"/>
      <c r="C126" s="846"/>
      <c r="D126" s="848"/>
      <c r="E126" s="303"/>
      <c r="F126" s="275"/>
      <c r="G126" s="105"/>
      <c r="H126" s="316"/>
      <c r="I126" s="218"/>
      <c r="J126" s="275"/>
      <c r="K126" s="302"/>
      <c r="L126" s="302"/>
      <c r="M126" s="302"/>
      <c r="N126" s="302"/>
      <c r="O126" s="302"/>
      <c r="P126" s="220"/>
      <c r="Q126" s="218">
        <f>база!$L$6</f>
        <v>261.04640000000001</v>
      </c>
      <c r="R126" s="275">
        <v>1.4</v>
      </c>
      <c r="S126" s="105">
        <f>SUMIFS(Таблица1[сумма],Таблица1[коэф],"1,4",Таблица1[р/р],"5/16",Таблица1[Ф. И. О.],B121)</f>
        <v>0</v>
      </c>
      <c r="T126" s="316">
        <f t="shared" si="72"/>
        <v>0</v>
      </c>
      <c r="U126" s="369">
        <f>база!$M$6</f>
        <v>279.0496</v>
      </c>
      <c r="V126" s="275">
        <v>1.4</v>
      </c>
      <c r="W126" s="333">
        <f>SUMIFS(Таблица1[сумма],Таблица1[коэф],"1,4",Таблица1[р/р],"5/24",Таблица1[Ф. И. О.],B121)</f>
        <v>0</v>
      </c>
      <c r="X126" s="350">
        <f>ROUND(U126*V126*W126,2)</f>
        <v>0</v>
      </c>
      <c r="Y126" s="850"/>
      <c r="Z126" s="841"/>
      <c r="AA126" s="844"/>
    </row>
    <row r="127" spans="1:30">
      <c r="A127" s="785">
        <v>12</v>
      </c>
      <c r="B127" s="304"/>
      <c r="C127" s="851">
        <f>INDEX(база!$E$2:$E$81, MATCH(B132,база!$B$2:$B$50,0))</f>
        <v>17350</v>
      </c>
      <c r="D127" s="852">
        <f>INDEX(база!$D$2:$D$89, MATCH(B132,база!$B$2:$B$50,0))</f>
        <v>3</v>
      </c>
      <c r="E127" s="310">
        <f>IF(D127&lt;=3,база!$I$4,
IF(D127=4,база!$I$5,
IF(D127=5,база!$I$6)))</f>
        <v>188.7912</v>
      </c>
      <c r="F127" s="270">
        <v>1</v>
      </c>
      <c r="G127" s="96">
        <f>SUMIFS(Таблица1[сумма],Таблица1[коэф],"1",Таблица1[р/р],"2/4",Таблица1[Ф. И. О.],B132)</f>
        <v>0</v>
      </c>
      <c r="H127" s="317">
        <f>ROUND(E127*F127*G127,2)</f>
        <v>0</v>
      </c>
      <c r="I127" s="73">
        <f>IF(D127&lt;=3,база!$J$4,
IF(D127=4,база!$J$5,
IF(D127=5,база!$J$6)))</f>
        <v>196.05240000000001</v>
      </c>
      <c r="J127" s="270">
        <v>1</v>
      </c>
      <c r="K127" s="288">
        <f>SUMIFS(Таблица1[сумма],Таблица1[коэф],"1",Таблица1[р/р],"2/8",Таблица1[Ф. И. О.],B132)</f>
        <v>0</v>
      </c>
      <c r="L127" s="288">
        <f>ROUND(I127*J127*K127,2)</f>
        <v>0</v>
      </c>
      <c r="M127" s="288"/>
      <c r="N127" s="288">
        <v>1</v>
      </c>
      <c r="O127" s="288">
        <f>SUMIFS(Data_Tech!$AM$3:$AM$67,Data_Tech!$E$3:$E$67,"1",Data_Tech!$G$3:$G$67,"3/12",Data_Tech!$F$3:$F$67,B132)</f>
        <v>0</v>
      </c>
      <c r="P127" s="28">
        <f>ROUND(M127*N127*O127,2)</f>
        <v>0</v>
      </c>
      <c r="Q127" s="73">
        <f>IF(D127&lt;=3,база!$L$4,
IF(D127=4,база!$L$5,
IF(D127=5,база!$L$6)))</f>
        <v>210.57480000000001</v>
      </c>
      <c r="R127" s="270">
        <v>1</v>
      </c>
      <c r="S127" s="96">
        <f>SUMIFS(Таблица1[сумма],Таблица1[коэф],"1",Таблица1[р/р],"3/16",Таблица1[Ф. И. О.],B132)</f>
        <v>0</v>
      </c>
      <c r="T127" s="317">
        <f t="shared" si="72"/>
        <v>0</v>
      </c>
      <c r="U127" s="365">
        <f>IF(D127&lt;=3,база!$M$4,
IF(D127=4,база!$M$5,
IF(D127=5,база!$M$6)))</f>
        <v>225.09719999999999</v>
      </c>
      <c r="V127" s="270">
        <v>1</v>
      </c>
      <c r="W127" s="340">
        <f>SUMIFS(Таблица1[сумма],Таблица1[коэф],"1",Таблица1[р/р],"3/24",Таблица1[Ф. И. О.],B132)</f>
        <v>0</v>
      </c>
      <c r="X127" s="342">
        <f>ROUND(U127*V127*W127,2)</f>
        <v>0</v>
      </c>
      <c r="Y127" s="849">
        <f t="shared" ref="Y127" si="73">SUM(G127:G137,K127:K137,O127:O137,S127:S137,W127:W137)</f>
        <v>0</v>
      </c>
      <c r="Z127" s="840">
        <f t="shared" ref="Z127" si="74">IFERROR(SUM(H127:H137,L127:L137,T127:T137,X127:X137),"")</f>
        <v>0</v>
      </c>
      <c r="AA127" s="843"/>
    </row>
    <row r="128" spans="1:30">
      <c r="A128" s="786"/>
      <c r="B128" s="216"/>
      <c r="C128" s="845"/>
      <c r="D128" s="847"/>
      <c r="E128" s="83">
        <f>IF(D127&lt;=3,база!$I$4,
IF(D127=4,база!$I$5,
IF(D127=5,база!$I$6)))</f>
        <v>188.7912</v>
      </c>
      <c r="F128" s="272">
        <v>1</v>
      </c>
      <c r="G128" s="99">
        <f>SUMIFS(Таблица1[сумма],Таблица1[коэф],"1",Таблица1[р/р],"3/4",Таблица1[Ф. И. О.],B132)</f>
        <v>0</v>
      </c>
      <c r="H128" s="93">
        <f>ROUND(E128*F128*G128,2)</f>
        <v>0</v>
      </c>
      <c r="I128" s="79">
        <f>IF(D127&lt;=3,база!$J$4,
IF(D127=4,база!$J$5,
IF(D127=5,база!$J$6)))</f>
        <v>196.05240000000001</v>
      </c>
      <c r="J128" s="272">
        <v>1</v>
      </c>
      <c r="K128" s="217">
        <f>SUMIFS(Таблица1[сумма],Таблица1[коэф],"1",Таблица1[р/р],"3/8",Таблица1[Ф. И. О.],B132)</f>
        <v>0</v>
      </c>
      <c r="L128" s="217">
        <f>ROUND(I128*J128*K128,2)</f>
        <v>0</v>
      </c>
      <c r="M128" s="217"/>
      <c r="N128" s="217">
        <v>1</v>
      </c>
      <c r="O128" s="217">
        <f>SUMIFS(Data_Tech!$AM$3:$AM$67,Data_Tech!$E$3:$E$67,"1",Data_Tech!$G$3:$G$67,"4/12",Data_Tech!$F$3:$F$67,B132)</f>
        <v>0</v>
      </c>
      <c r="P128" s="29">
        <f>ROUND(M128*O128,2)</f>
        <v>0</v>
      </c>
      <c r="Q128" s="79">
        <f>база!$L$5</f>
        <v>231.45480000000001</v>
      </c>
      <c r="R128" s="272">
        <v>1</v>
      </c>
      <c r="S128" s="99">
        <f>SUMIFS(Таблица1[сумма],Таблица1[коэф],"1",Таблица1[р/р],"4/16",Таблица1[Ф. И. О.],B132)</f>
        <v>0</v>
      </c>
      <c r="T128" s="93">
        <f t="shared" si="72"/>
        <v>0</v>
      </c>
      <c r="U128" s="366">
        <f>база!$M$5</f>
        <v>247.41720000000001</v>
      </c>
      <c r="V128" s="272">
        <v>1</v>
      </c>
      <c r="W128" s="307">
        <f>SUMIFS(Таблица1[сумма],Таблица1[коэф],"1",Таблица1[р/р],"4/24",Таблица1[Ф. И. О.],B132)</f>
        <v>0</v>
      </c>
      <c r="X128" s="313">
        <f t="shared" ref="X128" si="75">ROUND(U128*V128*W128,2)</f>
        <v>0</v>
      </c>
      <c r="Y128" s="849"/>
      <c r="Z128" s="840"/>
      <c r="AA128" s="843"/>
    </row>
    <row r="129" spans="1:30">
      <c r="A129" s="786"/>
      <c r="B129" s="216"/>
      <c r="C129" s="845"/>
      <c r="D129" s="847"/>
      <c r="E129" s="83"/>
      <c r="F129" s="272"/>
      <c r="G129" s="99"/>
      <c r="H129" s="93"/>
      <c r="I129" s="79"/>
      <c r="J129" s="272"/>
      <c r="K129" s="217"/>
      <c r="L129" s="217"/>
      <c r="M129" s="217"/>
      <c r="N129" s="217"/>
      <c r="O129" s="217"/>
      <c r="P129" s="29"/>
      <c r="Q129" s="79">
        <f>база!$L$6</f>
        <v>261.04640000000001</v>
      </c>
      <c r="R129" s="272">
        <v>1</v>
      </c>
      <c r="S129" s="99">
        <f>SUMIFS(Таблица1[сумма],Таблица1[коэф],"1",Таблица1[р/р],"5/16",Таблица1[Ф. И. О.],B132)</f>
        <v>0</v>
      </c>
      <c r="T129" s="93">
        <f t="shared" si="72"/>
        <v>0</v>
      </c>
      <c r="U129" s="366">
        <f>база!$M$6</f>
        <v>279.0496</v>
      </c>
      <c r="V129" s="272">
        <v>1</v>
      </c>
      <c r="W129" s="307">
        <f>SUMIFS(Таблица1[сумма],Таблица1[коэф],"1",Таблица1[р/р],"5/24",Таблица1[Ф. И. О.],B132)</f>
        <v>0</v>
      </c>
      <c r="X129" s="313">
        <f>ROUND(U129*V129*W129,2)</f>
        <v>0</v>
      </c>
      <c r="Y129" s="849"/>
      <c r="Z129" s="840"/>
      <c r="AA129" s="843"/>
    </row>
    <row r="130" spans="1:30">
      <c r="A130" s="786"/>
      <c r="B130" s="216"/>
      <c r="C130" s="845"/>
      <c r="D130" s="847"/>
      <c r="E130" s="83"/>
      <c r="F130" s="272"/>
      <c r="G130" s="99"/>
      <c r="H130" s="93"/>
      <c r="I130" s="79">
        <f>база!$J$5</f>
        <v>215.4924</v>
      </c>
      <c r="J130" s="272">
        <v>1.5</v>
      </c>
      <c r="K130" s="217">
        <f>SUMIFS(Таблица1[сумма],Таблица1[коэф],"1,5",Таблица1[р/р],"4/8",Таблица1[Ф. И. О.],B132)</f>
        <v>0</v>
      </c>
      <c r="L130" s="217">
        <f>ROUND(I130*J130*K130,2)</f>
        <v>0</v>
      </c>
      <c r="M130" s="217"/>
      <c r="N130" s="217"/>
      <c r="O130" s="217"/>
      <c r="P130" s="29"/>
      <c r="Q130" s="79">
        <f>IF(D127&lt;=3,база!$L$4,
IF(D127=4,база!$L$5,
IF(D127=5,база!$L$6)))</f>
        <v>210.57480000000001</v>
      </c>
      <c r="R130" s="272">
        <v>1.2</v>
      </c>
      <c r="S130" s="99">
        <f>SUMIFS(Таблица1[сумма],Таблица1[коэф],"1,2",Таблица1[р/р],"3/16",Таблица1[Ф. И. О.],B132)</f>
        <v>0</v>
      </c>
      <c r="T130" s="93">
        <f t="shared" ref="T130:T131" si="76">ROUND(Q130*R130*S130,2)</f>
        <v>0</v>
      </c>
      <c r="U130" s="366">
        <f>IF(D127&lt;=3,база!$M$4,
IF(D127=4,база!$M$5,
IF(D127=5,база!$M$6)))</f>
        <v>225.09719999999999</v>
      </c>
      <c r="V130" s="272">
        <v>1.2</v>
      </c>
      <c r="W130" s="307">
        <f>SUMIFS(Таблица1[сумма],Таблица1[коэф],"1,2",Таблица1[р/р],"3/24",Таблица1[Ф. И. О.],B132)</f>
        <v>0</v>
      </c>
      <c r="X130" s="313">
        <f t="shared" ref="X130:X131" si="77">ROUND(U130*V130*W130,2)</f>
        <v>0</v>
      </c>
      <c r="Y130" s="849"/>
      <c r="Z130" s="840"/>
      <c r="AA130" s="843"/>
    </row>
    <row r="131" spans="1:30">
      <c r="A131" s="786"/>
      <c r="B131" s="216"/>
      <c r="C131" s="845"/>
      <c r="D131" s="847"/>
      <c r="E131" s="83"/>
      <c r="F131" s="272"/>
      <c r="G131" s="99"/>
      <c r="H131" s="93"/>
      <c r="I131" s="79">
        <f>база!$J$6</f>
        <v>243.04319999999998</v>
      </c>
      <c r="J131" s="272">
        <v>1.5</v>
      </c>
      <c r="K131" s="217">
        <f>SUMIFS(Таблица1[сумма],Таблица1[коэф],"1,5",Таблица1[р/р],"5/8",Таблица1[Ф. И. О.],B132)</f>
        <v>0</v>
      </c>
      <c r="L131" s="217">
        <f>ROUND(I131*J131*K131,2)</f>
        <v>0</v>
      </c>
      <c r="M131" s="217"/>
      <c r="N131" s="217"/>
      <c r="O131" s="217"/>
      <c r="P131" s="29"/>
      <c r="Q131" s="79">
        <f>база!$L$5</f>
        <v>231.45480000000001</v>
      </c>
      <c r="R131" s="272">
        <v>1.2</v>
      </c>
      <c r="S131" s="99">
        <f>SUMIFS(Таблица1[сумма],Таблица1[коэф],"1,2",Таблица1[р/р],"4/16",Таблица1[Ф. И. О.],B132)</f>
        <v>0</v>
      </c>
      <c r="T131" s="93">
        <f t="shared" si="76"/>
        <v>0</v>
      </c>
      <c r="U131" s="366">
        <f>база!$M$5</f>
        <v>247.41720000000001</v>
      </c>
      <c r="V131" s="272">
        <v>1.2</v>
      </c>
      <c r="W131" s="307">
        <f>SUMIFS(Таблица1[сумма],Таблица1[коэф],"1,2",Таблица1[р/р],"4/24",Таблица1[Ф. И. О.],B132)</f>
        <v>0</v>
      </c>
      <c r="X131" s="313">
        <f t="shared" si="77"/>
        <v>0</v>
      </c>
      <c r="Y131" s="849"/>
      <c r="Z131" s="840"/>
      <c r="AA131" s="843"/>
      <c r="AC131" s="722" t="str">
        <f>IF(SUMIFS(Таблица1[Столбец2],Таблица1[Ф. И. О.],B132)-Z127=0,"",SUMIFS(Таблица1[Столбец2],Таблица1[Ф. И. О.],B132)-Z127)</f>
        <v/>
      </c>
    </row>
    <row r="132" spans="1:30">
      <c r="A132" s="786"/>
      <c r="B132" s="216" t="str">
        <f>база!B13</f>
        <v>Бутова Юлия Сергеевна</v>
      </c>
      <c r="C132" s="845"/>
      <c r="D132" s="847"/>
      <c r="E132" s="83"/>
      <c r="F132" s="272"/>
      <c r="G132" s="99"/>
      <c r="H132" s="93"/>
      <c r="I132" s="79"/>
      <c r="J132" s="272"/>
      <c r="K132" s="217"/>
      <c r="L132" s="217"/>
      <c r="M132" s="217"/>
      <c r="N132" s="217"/>
      <c r="O132" s="217"/>
      <c r="P132" s="29"/>
      <c r="Q132" s="79">
        <f>база!$L$6</f>
        <v>261.04640000000001</v>
      </c>
      <c r="R132" s="272">
        <v>1.2</v>
      </c>
      <c r="S132" s="99">
        <f>SUMIFS(Таблица1[сумма],Таблица1[коэф],"1,2",Таблица1[р/р],"5/16",Таблица1[Ф. И. О.],B132)</f>
        <v>0</v>
      </c>
      <c r="T132" s="93">
        <f>ROUND(Q132*R132*S132,2)</f>
        <v>0</v>
      </c>
      <c r="U132" s="366">
        <f>база!$M$6</f>
        <v>279.0496</v>
      </c>
      <c r="V132" s="272">
        <v>1.2</v>
      </c>
      <c r="W132" s="307">
        <f>SUMIFS(Таблица1[сумма],Таблица1[коэф],"1,2",Таблица1[р/р],"5/24",Таблица1[Ф. И. О.],B132)</f>
        <v>0</v>
      </c>
      <c r="X132" s="313">
        <f>ROUND(U132*V132*W132,2)</f>
        <v>0</v>
      </c>
      <c r="Y132" s="849"/>
      <c r="Z132" s="840"/>
      <c r="AA132" s="843"/>
      <c r="AC132" s="722" t="str">
        <f>IF(SUMIFS(Таблица1[сумма],Таблица1[Ф. И. О.],B132)=Y127,"",B127&amp;"  часы не верны")</f>
        <v/>
      </c>
      <c r="AD132" s="759" t="e">
        <f>INDEX('[2]декабрь 23'!$AI$4:$AI$100,MATCH(C127,'[2]декабрь 23'!$AK$4:$AK$100,0))</f>
        <v>#N/A</v>
      </c>
    </row>
    <row r="133" spans="1:30">
      <c r="A133" s="786"/>
      <c r="B133" s="216"/>
      <c r="C133" s="845"/>
      <c r="D133" s="847"/>
      <c r="E133" s="83"/>
      <c r="F133" s="272"/>
      <c r="G133" s="99"/>
      <c r="H133" s="93"/>
      <c r="I133" s="79"/>
      <c r="J133" s="272"/>
      <c r="K133" s="217"/>
      <c r="L133" s="217"/>
      <c r="M133" s="217"/>
      <c r="N133" s="217"/>
      <c r="O133" s="217"/>
      <c r="P133" s="29"/>
      <c r="Q133" s="79">
        <f>IF($D$6&lt;=3,база!$L$4,
IF($D$6=4,база!$L$5,
IF($D$6=5,база!$L$6)))</f>
        <v>231.45480000000001</v>
      </c>
      <c r="R133" s="272">
        <v>1.3</v>
      </c>
      <c r="S133" s="99">
        <f>SUMIFS(Таблица1[сумма],Таблица1[коэф],"1,3",Таблица1[р/р],"3/16",Таблица1[Ф. И. О.],B132)</f>
        <v>0</v>
      </c>
      <c r="T133" s="93">
        <f t="shared" ref="T133:T134" si="78">ROUND(Q133*R133*S133,2)</f>
        <v>0</v>
      </c>
      <c r="U133" s="366">
        <f>IF(D127&lt;=3,база!$M$4,
IF(D127=4,база!$M$5,
IF(D127=5,база!$M$6)))</f>
        <v>225.09719999999999</v>
      </c>
      <c r="V133" s="272">
        <v>1.3</v>
      </c>
      <c r="W133" s="307">
        <f>SUMIFS(Таблица1[сумма],Таблица1[коэф],"1,3",Таблица1[р/р],"3/24",Таблица1[Ф. И. О.],B132)</f>
        <v>0</v>
      </c>
      <c r="X133" s="313">
        <f t="shared" ref="X133:X134" si="79">ROUND(U133*V133*W133,2)</f>
        <v>0</v>
      </c>
      <c r="Y133" s="849"/>
      <c r="Z133" s="840"/>
      <c r="AA133" s="843"/>
    </row>
    <row r="134" spans="1:30">
      <c r="A134" s="786"/>
      <c r="B134" s="216"/>
      <c r="C134" s="845"/>
      <c r="D134" s="847"/>
      <c r="E134" s="83"/>
      <c r="F134" s="272"/>
      <c r="G134" s="99"/>
      <c r="H134" s="93"/>
      <c r="I134" s="79"/>
      <c r="J134" s="272"/>
      <c r="K134" s="217"/>
      <c r="L134" s="217"/>
      <c r="M134" s="217"/>
      <c r="N134" s="217"/>
      <c r="O134" s="217"/>
      <c r="P134" s="29"/>
      <c r="Q134" s="79">
        <f>база!$L$5</f>
        <v>231.45480000000001</v>
      </c>
      <c r="R134" s="272">
        <v>1.3</v>
      </c>
      <c r="S134" s="99">
        <f>SUMIFS(Таблица1[сумма],Таблица1[коэф],"1,3",Таблица1[р/р],"4/16",Таблица1[Ф. И. О.],B132)</f>
        <v>0</v>
      </c>
      <c r="T134" s="93">
        <f t="shared" si="78"/>
        <v>0</v>
      </c>
      <c r="U134" s="366">
        <f>база!$M$5</f>
        <v>247.41720000000001</v>
      </c>
      <c r="V134" s="272">
        <v>1.3</v>
      </c>
      <c r="W134" s="307">
        <f>SUMIFS(Таблица1[сумма],Таблица1[коэф],"1,3",Таблица1[р/р],"4/24",Таблица1[Ф. И. О.],B132)</f>
        <v>0</v>
      </c>
      <c r="X134" s="313">
        <f t="shared" si="79"/>
        <v>0</v>
      </c>
      <c r="Y134" s="849"/>
      <c r="Z134" s="840"/>
      <c r="AA134" s="843"/>
    </row>
    <row r="135" spans="1:30">
      <c r="A135" s="786"/>
      <c r="B135" s="216"/>
      <c r="C135" s="845"/>
      <c r="D135" s="847"/>
      <c r="E135" s="83"/>
      <c r="F135" s="272"/>
      <c r="G135" s="99"/>
      <c r="H135" s="93"/>
      <c r="I135" s="79"/>
      <c r="J135" s="272"/>
      <c r="K135" s="217"/>
      <c r="L135" s="217"/>
      <c r="M135" s="217"/>
      <c r="N135" s="217"/>
      <c r="O135" s="217"/>
      <c r="P135" s="29"/>
      <c r="Q135" s="79">
        <f>IF(D127&lt;=3,база!$L$4,
IF(D127=4,база!$L$5,
IF(D127=5,база!$L$6)))</f>
        <v>210.57480000000001</v>
      </c>
      <c r="R135" s="272">
        <v>1.4</v>
      </c>
      <c r="S135" s="99">
        <f>SUMIFS(Таблица1[сумма],Таблица1[коэф],"1,4",Таблица1[р/р],"3/16",Таблица1[Ф. И. О.],B132)</f>
        <v>0</v>
      </c>
      <c r="T135" s="93">
        <f t="shared" ref="T135:T140" si="80">ROUND(Q135*R135*S135,2)</f>
        <v>0</v>
      </c>
      <c r="U135" s="366">
        <f>IF(D127&lt;=3,база!$M$4,
IF(D127=4,база!$M$5,
IF(D127=5,база!$M$6)))</f>
        <v>225.09719999999999</v>
      </c>
      <c r="V135" s="272">
        <v>1.4</v>
      </c>
      <c r="W135" s="307">
        <f>SUMIFS(Таблица1[сумма],Таблица1[коэф],"1,4",Таблица1[р/р],"3/24",Таблица1[Ф. И. О.],B132)</f>
        <v>0</v>
      </c>
      <c r="X135" s="313">
        <f>ROUND(U135*V135*W135,2)</f>
        <v>0</v>
      </c>
      <c r="Y135" s="849"/>
      <c r="Z135" s="840"/>
      <c r="AA135" s="843"/>
    </row>
    <row r="136" spans="1:30">
      <c r="A136" s="786"/>
      <c r="B136" s="216"/>
      <c r="C136" s="845"/>
      <c r="D136" s="847"/>
      <c r="E136" s="83"/>
      <c r="F136" s="272"/>
      <c r="G136" s="99"/>
      <c r="H136" s="93"/>
      <c r="I136" s="79"/>
      <c r="J136" s="272"/>
      <c r="K136" s="217"/>
      <c r="L136" s="217"/>
      <c r="M136" s="217"/>
      <c r="N136" s="217"/>
      <c r="O136" s="217"/>
      <c r="P136" s="29"/>
      <c r="Q136" s="79">
        <f>база!$L$5</f>
        <v>231.45480000000001</v>
      </c>
      <c r="R136" s="272">
        <v>1.4</v>
      </c>
      <c r="S136" s="99">
        <f>SUMIFS(Таблица1[сумма],Таблица1[коэф],"1,4",Таблица1[р/р],"4/16",Таблица1[Ф. И. О.],B132)</f>
        <v>0</v>
      </c>
      <c r="T136" s="93">
        <f t="shared" si="80"/>
        <v>0</v>
      </c>
      <c r="U136" s="366">
        <f>база!$M$5</f>
        <v>247.41720000000001</v>
      </c>
      <c r="V136" s="272">
        <v>1.4</v>
      </c>
      <c r="W136" s="307">
        <f>SUMIFS(Таблица1[сумма],Таблица1[коэф],"1,4",Таблица1[р/р],"4/24",Таблица1[Ф. И. О.],B132)</f>
        <v>0</v>
      </c>
      <c r="X136" s="313">
        <f>ROUND(U136*V136*W136,2)</f>
        <v>0</v>
      </c>
      <c r="Y136" s="849"/>
      <c r="Z136" s="840"/>
      <c r="AA136" s="843"/>
    </row>
    <row r="137" spans="1:30" ht="24" thickBot="1">
      <c r="A137" s="787"/>
      <c r="B137" s="203"/>
      <c r="C137" s="846"/>
      <c r="D137" s="848"/>
      <c r="E137" s="221"/>
      <c r="F137" s="274"/>
      <c r="G137" s="98"/>
      <c r="H137" s="239"/>
      <c r="I137" s="102"/>
      <c r="J137" s="274"/>
      <c r="K137" s="289"/>
      <c r="L137" s="289"/>
      <c r="M137" s="289"/>
      <c r="N137" s="289"/>
      <c r="O137" s="289"/>
      <c r="P137" s="26"/>
      <c r="Q137" s="102">
        <f>база!$L$6</f>
        <v>261.04640000000001</v>
      </c>
      <c r="R137" s="274">
        <v>1.4</v>
      </c>
      <c r="S137" s="98">
        <f>SUMIFS(Таблица1[сумма],Таблица1[коэф],"1,4",Таблица1[р/р],"5/16",Таблица1[Ф. И. О.],B132)</f>
        <v>0</v>
      </c>
      <c r="T137" s="239">
        <f t="shared" si="80"/>
        <v>0</v>
      </c>
      <c r="U137" s="367">
        <f>база!$M$6</f>
        <v>279.0496</v>
      </c>
      <c r="V137" s="274">
        <v>1.4</v>
      </c>
      <c r="W137" s="312">
        <f>SUMIFS(Таблица1[сумма],Таблица1[коэф],"1,4",Таблица1[р/р],"5/24",Таблица1[Ф. И. О.],B132)</f>
        <v>0</v>
      </c>
      <c r="X137" s="343">
        <f>ROUND(U137*V137*W137,2)</f>
        <v>0</v>
      </c>
      <c r="Y137" s="850"/>
      <c r="Z137" s="841"/>
      <c r="AA137" s="844"/>
    </row>
    <row r="138" spans="1:30">
      <c r="A138" s="785">
        <v>13</v>
      </c>
      <c r="B138" s="216"/>
      <c r="C138" s="851">
        <f>INDEX(база!$E$2:$E$81, MATCH(B143,база!$B$2:$B$50,0))</f>
        <v>17332</v>
      </c>
      <c r="D138" s="852">
        <f>INDEX(база!$D$2:$D$89, MATCH(B143,база!$B$2:$B$50,0))</f>
        <v>3</v>
      </c>
      <c r="E138" s="73">
        <f>IF(D138&lt;=3,база!$I$4,
IF(D138=4,база!$I$5,
IF(D138=5,база!$I$6)))</f>
        <v>188.7912</v>
      </c>
      <c r="F138" s="270">
        <v>1</v>
      </c>
      <c r="G138" s="96">
        <f>SUMIFS(Таблица1[сумма],Таблица1[коэф],"1",Таблица1[р/р],"2/4",Таблица1[Ф. И. О.],B143)</f>
        <v>0</v>
      </c>
      <c r="H138" s="88">
        <f>ROUND(E138*F138*G138,2)</f>
        <v>0</v>
      </c>
      <c r="I138" s="82">
        <f>IF(D138&lt;=3,база!$J$4,
IF(D138=4,база!$J$5,
IF(D138=5,база!$J$6)))</f>
        <v>196.05240000000001</v>
      </c>
      <c r="J138" s="271">
        <v>1</v>
      </c>
      <c r="K138" s="309">
        <f>SUMIFS(Таблица1[сумма],Таблица1[коэф],"1",Таблица1[р/р],"2/8",Таблица1[Ф. И. О.],B143)</f>
        <v>0</v>
      </c>
      <c r="L138" s="309">
        <f>ROUND(I138*J138*K138,2)</f>
        <v>0</v>
      </c>
      <c r="M138" s="309"/>
      <c r="N138" s="309">
        <v>1</v>
      </c>
      <c r="O138" s="309">
        <f>SUMIFS(Data_Tech!$AM$3:$AM$67,Data_Tech!$E$3:$E$67,"1",Data_Tech!$G$3:$G$67,"3/12",Data_Tech!$F$3:$F$67,B143)</f>
        <v>0</v>
      </c>
      <c r="P138" s="282">
        <f>ROUND(M138*N138*O138,2)</f>
        <v>0</v>
      </c>
      <c r="Q138" s="73">
        <f>IF(D138&lt;=3,база!$L$4,
IF(D138=4,база!$L$5,
IF(D138=5,база!$L$6)))</f>
        <v>210.57480000000001</v>
      </c>
      <c r="R138" s="270">
        <v>1</v>
      </c>
      <c r="S138" s="96">
        <f>SUMIFS(Таблица1[сумма],Таблица1[коэф],"1",Таблица1[р/р],"3/16",Таблица1[Ф. И. О.],B143)</f>
        <v>0</v>
      </c>
      <c r="T138" s="88">
        <f t="shared" si="80"/>
        <v>0</v>
      </c>
      <c r="U138" s="363">
        <f>IF(D138&lt;=3,база!$M$4,
IF(D138=4,база!$M$5,
IF(D138=5,база!$M$6)))</f>
        <v>225.09719999999999</v>
      </c>
      <c r="V138" s="270">
        <v>1</v>
      </c>
      <c r="W138" s="349">
        <f>SUMIFS(Таблица1[сумма],Таблица1[коэф],"1",Таблица1[р/р],"3/24",Таблица1[Ф. И. О.],B143)</f>
        <v>0</v>
      </c>
      <c r="X138" s="342">
        <f>ROUND(U138*V138*W138,2)</f>
        <v>0</v>
      </c>
      <c r="Y138" s="849">
        <f t="shared" ref="Y138" si="81">SUM(G138:G148,K138:K148,O138:O148,S138:S148,W138:W148)</f>
        <v>0</v>
      </c>
      <c r="Z138" s="840">
        <f t="shared" ref="Z138" si="82">IFERROR(SUM(H138:H148,L138:L148,T138:T148,X138:X148),"")</f>
        <v>0</v>
      </c>
      <c r="AA138" s="843"/>
    </row>
    <row r="139" spans="1:30">
      <c r="A139" s="786"/>
      <c r="B139" s="216"/>
      <c r="C139" s="845"/>
      <c r="D139" s="847"/>
      <c r="E139" s="79">
        <f>IF(D138&lt;=3,база!$I$4,
IF(D138=4,база!$I$5,
IF(D138=5,база!$I$6)))</f>
        <v>188.7912</v>
      </c>
      <c r="F139" s="272">
        <v>1</v>
      </c>
      <c r="G139" s="99">
        <f>SUMIFS(Таблица1[сумма],Таблица1[коэф],"1",Таблица1[р/р],"3/4",Таблица1[Ф. И. О.],B143)</f>
        <v>0</v>
      </c>
      <c r="H139" s="95">
        <f>ROUND(E139*F139*G139,2)</f>
        <v>0</v>
      </c>
      <c r="I139" s="83">
        <f>IF(D138&lt;=3,база!$J$4,
IF(D138=4,база!$J$5,
IF(D138=5,база!$J$6)))</f>
        <v>196.05240000000001</v>
      </c>
      <c r="J139" s="272">
        <v>1</v>
      </c>
      <c r="K139" s="217">
        <f>SUMIFS(Таблица1[сумма],Таблица1[коэф],"1",Таблица1[р/р],"3/8",Таблица1[Ф. И. О.],B143)</f>
        <v>0</v>
      </c>
      <c r="L139" s="217">
        <f>ROUND(I139*J139*K139,2)</f>
        <v>0</v>
      </c>
      <c r="M139" s="217"/>
      <c r="N139" s="217">
        <v>1</v>
      </c>
      <c r="O139" s="217">
        <f>SUMIFS(Data_Tech!$AM$3:$AM$67,Data_Tech!$E$3:$E$67,"1",Data_Tech!$G$3:$G$67,"4/12",Data_Tech!$F$3:$F$67,B143)</f>
        <v>0</v>
      </c>
      <c r="P139" s="30">
        <f>ROUND(M139*O139,2)</f>
        <v>0</v>
      </c>
      <c r="Q139" s="79">
        <f>база!$L$5</f>
        <v>231.45480000000001</v>
      </c>
      <c r="R139" s="272">
        <v>1</v>
      </c>
      <c r="S139" s="99">
        <f>SUMIFS(Таблица1[сумма],Таблица1[коэф],"1",Таблица1[р/р],"4/16",Таблица1[Ф. И. О.],B143)</f>
        <v>0</v>
      </c>
      <c r="T139" s="95">
        <f t="shared" si="80"/>
        <v>0</v>
      </c>
      <c r="U139" s="361">
        <f>база!$M$5</f>
        <v>247.41720000000001</v>
      </c>
      <c r="V139" s="272">
        <v>1</v>
      </c>
      <c r="W139" s="314">
        <f>SUMIFS(Таблица1[сумма],Таблица1[коэф],"1",Таблица1[р/р],"4/24",Таблица1[Ф. И. О.],B143)</f>
        <v>0</v>
      </c>
      <c r="X139" s="313">
        <f t="shared" ref="X139" si="83">ROUND(U139*V139*W139,2)</f>
        <v>0</v>
      </c>
      <c r="Y139" s="849"/>
      <c r="Z139" s="840"/>
      <c r="AA139" s="843"/>
    </row>
    <row r="140" spans="1:30">
      <c r="A140" s="786"/>
      <c r="B140" s="216"/>
      <c r="C140" s="845"/>
      <c r="D140" s="847"/>
      <c r="E140" s="79"/>
      <c r="F140" s="272"/>
      <c r="G140" s="99"/>
      <c r="H140" s="95"/>
      <c r="I140" s="83"/>
      <c r="J140" s="272"/>
      <c r="K140" s="217"/>
      <c r="L140" s="217"/>
      <c r="M140" s="217"/>
      <c r="N140" s="217"/>
      <c r="O140" s="217"/>
      <c r="P140" s="30"/>
      <c r="Q140" s="79">
        <f>база!$L$6</f>
        <v>261.04640000000001</v>
      </c>
      <c r="R140" s="272">
        <v>1</v>
      </c>
      <c r="S140" s="99">
        <f>SUMIFS(Таблица1[сумма],Таблица1[коэф],"1",Таблица1[р/р],"5/16",Таблица1[Ф. И. О.],B143)</f>
        <v>0</v>
      </c>
      <c r="T140" s="95">
        <f t="shared" si="80"/>
        <v>0</v>
      </c>
      <c r="U140" s="361">
        <f>база!$M$6</f>
        <v>279.0496</v>
      </c>
      <c r="V140" s="272">
        <v>1</v>
      </c>
      <c r="W140" s="314">
        <f>SUMIFS(Таблица1[сумма],Таблица1[коэф],"1",Таблица1[р/р],"5/24",Таблица1[Ф. И. О.],B143)</f>
        <v>0</v>
      </c>
      <c r="X140" s="313">
        <f>ROUND(U140*V140*W140,2)</f>
        <v>0</v>
      </c>
      <c r="Y140" s="849"/>
      <c r="Z140" s="840"/>
      <c r="AA140" s="843"/>
    </row>
    <row r="141" spans="1:30">
      <c r="A141" s="786"/>
      <c r="B141" s="216"/>
      <c r="C141" s="845"/>
      <c r="D141" s="847"/>
      <c r="E141" s="79"/>
      <c r="F141" s="272"/>
      <c r="G141" s="99"/>
      <c r="H141" s="95"/>
      <c r="I141" s="83">
        <f>база!$J$5</f>
        <v>215.4924</v>
      </c>
      <c r="J141" s="272">
        <v>1.5</v>
      </c>
      <c r="K141" s="217">
        <f>SUMIFS(Таблица1[сумма],Таблица1[коэф],"1,5",Таблица1[р/р],"4/8",Таблица1[Ф. И. О.],B143)</f>
        <v>0</v>
      </c>
      <c r="L141" s="217">
        <f>ROUND(I141*J141*K141,2)</f>
        <v>0</v>
      </c>
      <c r="M141" s="217"/>
      <c r="N141" s="217"/>
      <c r="O141" s="217"/>
      <c r="P141" s="30"/>
      <c r="Q141" s="79">
        <f>IF(D138&lt;=3,база!$L$4,
IF(D138=4,база!$L$5,
IF(D138=5,база!$L$6)))</f>
        <v>210.57480000000001</v>
      </c>
      <c r="R141" s="272">
        <v>1.2</v>
      </c>
      <c r="S141" s="99">
        <f>SUMIFS(Таблица1[сумма],Таблица1[коэф],"1,2",Таблица1[р/р],"3/16",Таблица1[Ф. И. О.],B143)</f>
        <v>0</v>
      </c>
      <c r="T141" s="95">
        <f t="shared" ref="T141:T142" si="84">ROUND(Q141*R141*S141,2)</f>
        <v>0</v>
      </c>
      <c r="U141" s="361">
        <f>IF(D138&lt;=3,база!$M$4,
IF(D138=4,база!$M$5,
IF(D138=5,база!$M$6)))</f>
        <v>225.09719999999999</v>
      </c>
      <c r="V141" s="272">
        <v>1.2</v>
      </c>
      <c r="W141" s="314">
        <f>SUMIFS(Таблица1[сумма],Таблица1[коэф],"1,2",Таблица1[р/р],"3/24",Таблица1[Ф. И. О.],B143)</f>
        <v>0</v>
      </c>
      <c r="X141" s="313">
        <f t="shared" ref="X141:X142" si="85">ROUND(U141*V141*W141,2)</f>
        <v>0</v>
      </c>
      <c r="Y141" s="849"/>
      <c r="Z141" s="840"/>
      <c r="AA141" s="843"/>
    </row>
    <row r="142" spans="1:30">
      <c r="A142" s="786"/>
      <c r="B142" s="216"/>
      <c r="C142" s="845"/>
      <c r="D142" s="847"/>
      <c r="E142" s="79"/>
      <c r="F142" s="272"/>
      <c r="G142" s="99"/>
      <c r="H142" s="95"/>
      <c r="I142" s="83">
        <f>база!$J$6</f>
        <v>243.04319999999998</v>
      </c>
      <c r="J142" s="272">
        <v>1.5</v>
      </c>
      <c r="K142" s="217">
        <f>SUMIFS(Таблица1[сумма],Таблица1[коэф],"1,5",Таблица1[р/р],"5/8",Таблица1[Ф. И. О.],B143)</f>
        <v>0</v>
      </c>
      <c r="L142" s="217">
        <f>ROUND(I142*J142*K142,2)</f>
        <v>0</v>
      </c>
      <c r="M142" s="217"/>
      <c r="N142" s="217"/>
      <c r="O142" s="217"/>
      <c r="P142" s="30"/>
      <c r="Q142" s="79">
        <f>база!$L$5</f>
        <v>231.45480000000001</v>
      </c>
      <c r="R142" s="272">
        <v>1.2</v>
      </c>
      <c r="S142" s="99">
        <f>SUMIFS(Таблица1[сумма],Таблица1[коэф],"1,2",Таблица1[р/р],"4/16",Таблица1[Ф. И. О.],B143)</f>
        <v>0</v>
      </c>
      <c r="T142" s="95">
        <f t="shared" si="84"/>
        <v>0</v>
      </c>
      <c r="U142" s="361">
        <f>база!$M$5</f>
        <v>247.41720000000001</v>
      </c>
      <c r="V142" s="272">
        <v>1.2</v>
      </c>
      <c r="W142" s="314">
        <f>SUMIFS(Таблица1[сумма],Таблица1[коэф],"1,2",Таблица1[р/р],"4/24",Таблица1[Ф. И. О.],B143)</f>
        <v>0</v>
      </c>
      <c r="X142" s="313">
        <f t="shared" si="85"/>
        <v>0</v>
      </c>
      <c r="Y142" s="849"/>
      <c r="Z142" s="840"/>
      <c r="AA142" s="843"/>
      <c r="AC142" s="722" t="str">
        <f>IF(SUMIFS(Таблица1[Столбец2],Таблица1[Ф. И. О.],B143)-Z138=0,"",SUMIFS(Таблица1[Столбец2],Таблица1[Ф. И. О.],B143)-Z138)</f>
        <v/>
      </c>
    </row>
    <row r="143" spans="1:30">
      <c r="A143" s="786"/>
      <c r="B143" s="216" t="str">
        <f>база!B14</f>
        <v>Васильева Марина Витальевна</v>
      </c>
      <c r="C143" s="845"/>
      <c r="D143" s="847"/>
      <c r="E143" s="79"/>
      <c r="F143" s="272"/>
      <c r="G143" s="99"/>
      <c r="H143" s="95"/>
      <c r="I143" s="83"/>
      <c r="J143" s="272"/>
      <c r="K143" s="217"/>
      <c r="L143" s="217"/>
      <c r="M143" s="217"/>
      <c r="N143" s="217"/>
      <c r="O143" s="217"/>
      <c r="P143" s="30"/>
      <c r="Q143" s="79">
        <f>база!$L$6</f>
        <v>261.04640000000001</v>
      </c>
      <c r="R143" s="272">
        <v>1.2</v>
      </c>
      <c r="S143" s="99">
        <f>SUMIFS(Таблица1[сумма],Таблица1[коэф],"1,2",Таблица1[р/р],"5/16",Таблица1[Ф. И. О.],B143)</f>
        <v>0</v>
      </c>
      <c r="T143" s="95">
        <f>ROUND(Q143*R143*S143,2)</f>
        <v>0</v>
      </c>
      <c r="U143" s="361">
        <f>база!$M$6</f>
        <v>279.0496</v>
      </c>
      <c r="V143" s="272">
        <v>1.2</v>
      </c>
      <c r="W143" s="314">
        <f>SUMIFS(Таблица1[сумма],Таблица1[коэф],"1,2",Таблица1[р/р],"5/24",Таблица1[Ф. И. О.],B143)</f>
        <v>0</v>
      </c>
      <c r="X143" s="313">
        <f>ROUND(U143*V143*W143,2)</f>
        <v>0</v>
      </c>
      <c r="Y143" s="849"/>
      <c r="Z143" s="840"/>
      <c r="AA143" s="843"/>
      <c r="AC143" s="722" t="str">
        <f>IF(SUMIFS(Таблица1[сумма],Таблица1[Ф. И. О.],B143)=Y138,"",B138&amp;"  часы не верны")</f>
        <v/>
      </c>
      <c r="AD143" s="759">
        <f>INDEX('[2]декабрь 23'!$AI$4:$AI$100,MATCH(C138,'[2]декабрь 23'!$AK$4:$AK$100,0))</f>
        <v>72.000000000000014</v>
      </c>
    </row>
    <row r="144" spans="1:30">
      <c r="A144" s="786"/>
      <c r="B144" s="216"/>
      <c r="C144" s="845"/>
      <c r="D144" s="847"/>
      <c r="E144" s="79"/>
      <c r="F144" s="272"/>
      <c r="G144" s="99"/>
      <c r="H144" s="95"/>
      <c r="I144" s="83"/>
      <c r="J144" s="272"/>
      <c r="K144" s="217"/>
      <c r="L144" s="217"/>
      <c r="M144" s="217"/>
      <c r="N144" s="217"/>
      <c r="O144" s="217"/>
      <c r="P144" s="30"/>
      <c r="Q144" s="79">
        <f>IF($D$6&lt;=3,база!$L$4,
IF($D$6=4,база!$L$5,
IF($D$6=5,база!$L$6)))</f>
        <v>231.45480000000001</v>
      </c>
      <c r="R144" s="272">
        <v>1.3</v>
      </c>
      <c r="S144" s="99">
        <f>SUMIFS(Таблица1[сумма],Таблица1[коэф],"1,3",Таблица1[р/р],"3/16",Таблица1[Ф. И. О.],B143)</f>
        <v>0</v>
      </c>
      <c r="T144" s="95">
        <f t="shared" ref="T144:T145" si="86">ROUND(Q144*R144*S144,2)</f>
        <v>0</v>
      </c>
      <c r="U144" s="361">
        <f>IF(D138&lt;=3,база!$M$4,
IF(D138=4,база!$M$5,
IF(D138=5,база!$M$6)))</f>
        <v>225.09719999999999</v>
      </c>
      <c r="V144" s="272">
        <v>1.3</v>
      </c>
      <c r="W144" s="314">
        <f>SUMIFS(Таблица1[сумма],Таблица1[коэф],"1,3",Таблица1[р/р],"3/24",Таблица1[Ф. И. О.],B143)</f>
        <v>0</v>
      </c>
      <c r="X144" s="313">
        <f t="shared" ref="X144:X145" si="87">ROUND(U144*V144*W144,2)</f>
        <v>0</v>
      </c>
      <c r="Y144" s="849"/>
      <c r="Z144" s="840"/>
      <c r="AA144" s="843"/>
    </row>
    <row r="145" spans="1:30">
      <c r="A145" s="786"/>
      <c r="B145" s="216"/>
      <c r="C145" s="845"/>
      <c r="D145" s="847"/>
      <c r="E145" s="79"/>
      <c r="F145" s="272"/>
      <c r="G145" s="99"/>
      <c r="H145" s="95"/>
      <c r="I145" s="83"/>
      <c r="J145" s="272"/>
      <c r="K145" s="217"/>
      <c r="L145" s="217"/>
      <c r="M145" s="217"/>
      <c r="N145" s="217"/>
      <c r="O145" s="217"/>
      <c r="P145" s="30"/>
      <c r="Q145" s="79">
        <f>база!$L$5</f>
        <v>231.45480000000001</v>
      </c>
      <c r="R145" s="272">
        <v>1.3</v>
      </c>
      <c r="S145" s="99">
        <f>SUMIFS(Таблица1[сумма],Таблица1[коэф],"1,3",Таблица1[р/р],"4/16",Таблица1[Ф. И. О.],B143)</f>
        <v>0</v>
      </c>
      <c r="T145" s="95">
        <f t="shared" si="86"/>
        <v>0</v>
      </c>
      <c r="U145" s="361">
        <f>база!$M$5</f>
        <v>247.41720000000001</v>
      </c>
      <c r="V145" s="272">
        <v>1.3</v>
      </c>
      <c r="W145" s="314">
        <f>SUMIFS(Таблица1[сумма],Таблица1[коэф],"1,3",Таблица1[р/р],"4/24",Таблица1[Ф. И. О.],B143)</f>
        <v>0</v>
      </c>
      <c r="X145" s="313">
        <f t="shared" si="87"/>
        <v>0</v>
      </c>
      <c r="Y145" s="849"/>
      <c r="Z145" s="840"/>
      <c r="AA145" s="843"/>
    </row>
    <row r="146" spans="1:30">
      <c r="A146" s="786"/>
      <c r="B146" s="216"/>
      <c r="C146" s="845"/>
      <c r="D146" s="847"/>
      <c r="E146" s="79"/>
      <c r="F146" s="272"/>
      <c r="G146" s="99"/>
      <c r="H146" s="95"/>
      <c r="I146" s="83"/>
      <c r="J146" s="272"/>
      <c r="K146" s="217"/>
      <c r="L146" s="217"/>
      <c r="M146" s="217"/>
      <c r="N146" s="217"/>
      <c r="O146" s="217"/>
      <c r="P146" s="30"/>
      <c r="Q146" s="79">
        <f>IF(D138&lt;=3,база!$L$4,
IF(D138=4,база!$L$5,
IF(D138=5,база!$L$6)))</f>
        <v>210.57480000000001</v>
      </c>
      <c r="R146" s="272">
        <v>1.4</v>
      </c>
      <c r="S146" s="99">
        <f>SUMIFS(Таблица1[сумма],Таблица1[коэф],"1,4",Таблица1[р/р],"3/16",Таблица1[Ф. И. О.],B143)</f>
        <v>0</v>
      </c>
      <c r="T146" s="95">
        <f t="shared" ref="T146:T151" si="88">ROUND(Q146*R146*S146,2)</f>
        <v>0</v>
      </c>
      <c r="U146" s="361">
        <f>IF(D138&lt;=3,база!$M$4,
IF(D138=4,база!$M$5,
IF(D138=5,база!$M$6)))</f>
        <v>225.09719999999999</v>
      </c>
      <c r="V146" s="272">
        <v>1.4</v>
      </c>
      <c r="W146" s="314">
        <f>SUMIFS(Таблица1[сумма],Таблица1[коэф],"1,4",Таблица1[р/р],"3/24",Таблица1[Ф. И. О.],B143)</f>
        <v>0</v>
      </c>
      <c r="X146" s="313">
        <f>ROUND(U146*V146*W146,2)</f>
        <v>0</v>
      </c>
      <c r="Y146" s="849"/>
      <c r="Z146" s="840"/>
      <c r="AA146" s="843"/>
    </row>
    <row r="147" spans="1:30">
      <c r="A147" s="786"/>
      <c r="B147" s="216"/>
      <c r="C147" s="845"/>
      <c r="D147" s="847"/>
      <c r="E147" s="79"/>
      <c r="F147" s="272"/>
      <c r="G147" s="99"/>
      <c r="H147" s="95"/>
      <c r="I147" s="83"/>
      <c r="J147" s="272"/>
      <c r="K147" s="217"/>
      <c r="L147" s="217"/>
      <c r="M147" s="217"/>
      <c r="N147" s="217"/>
      <c r="O147" s="217"/>
      <c r="P147" s="30"/>
      <c r="Q147" s="79">
        <f>база!$L$5</f>
        <v>231.45480000000001</v>
      </c>
      <c r="R147" s="272">
        <v>1.4</v>
      </c>
      <c r="S147" s="99">
        <f>SUMIFS(Таблица1[сумма],Таблица1[коэф],"1,4",Таблица1[р/р],"4/16",Таблица1[Ф. И. О.],B143)</f>
        <v>0</v>
      </c>
      <c r="T147" s="95">
        <f t="shared" si="88"/>
        <v>0</v>
      </c>
      <c r="U147" s="361">
        <f>база!$M$5</f>
        <v>247.41720000000001</v>
      </c>
      <c r="V147" s="272">
        <v>1.4</v>
      </c>
      <c r="W147" s="314">
        <f>SUMIFS(Таблица1[сумма],Таблица1[коэф],"1,4",Таблица1[р/р],"4/24",Таблица1[Ф. И. О.],B143)</f>
        <v>0</v>
      </c>
      <c r="X147" s="313">
        <f>ROUND(U147*V147*W147,2)</f>
        <v>0</v>
      </c>
      <c r="Y147" s="849"/>
      <c r="Z147" s="840"/>
      <c r="AA147" s="843"/>
    </row>
    <row r="148" spans="1:30" ht="24" thickBot="1">
      <c r="A148" s="787"/>
      <c r="B148" s="216"/>
      <c r="C148" s="846"/>
      <c r="D148" s="848"/>
      <c r="E148" s="218"/>
      <c r="F148" s="275"/>
      <c r="G148" s="105"/>
      <c r="H148" s="104"/>
      <c r="I148" s="303"/>
      <c r="J148" s="275"/>
      <c r="K148" s="302"/>
      <c r="L148" s="302"/>
      <c r="M148" s="302"/>
      <c r="N148" s="302"/>
      <c r="O148" s="302"/>
      <c r="P148" s="308"/>
      <c r="Q148" s="218">
        <f>база!$L$6</f>
        <v>261.04640000000001</v>
      </c>
      <c r="R148" s="275">
        <v>1.4</v>
      </c>
      <c r="S148" s="105">
        <f>SUMIFS(Таблица1[сумма],Таблица1[коэф],"1,4",Таблица1[р/р],"5/16",Таблица1[Ф. И. О.],B143)</f>
        <v>0</v>
      </c>
      <c r="T148" s="104">
        <f t="shared" si="88"/>
        <v>0</v>
      </c>
      <c r="U148" s="362">
        <f>база!$M$6</f>
        <v>279.0496</v>
      </c>
      <c r="V148" s="275">
        <v>1.4</v>
      </c>
      <c r="W148" s="346">
        <f>SUMIFS(Таблица1[сумма],Таблица1[коэф],"1,4",Таблица1[р/р],"5/24",Таблица1[Ф. И. О.],B143)</f>
        <v>0</v>
      </c>
      <c r="X148" s="350">
        <f>ROUND(U148*V148*W148,2)</f>
        <v>0</v>
      </c>
      <c r="Y148" s="850"/>
      <c r="Z148" s="841"/>
      <c r="AA148" s="844"/>
    </row>
    <row r="149" spans="1:30">
      <c r="A149" s="785">
        <v>14</v>
      </c>
      <c r="B149" s="236"/>
      <c r="C149" s="851">
        <f>INDEX(база!$E$2:$E$81, MATCH(B154,база!$B$2:$B$50,0))</f>
        <v>17198</v>
      </c>
      <c r="D149" s="852">
        <f>INDEX(база!$D$2:$D$89, MATCH(B154,база!$B$2:$B$50,0))</f>
        <v>3</v>
      </c>
      <c r="E149" s="73">
        <f>IF(D149&lt;=3,база!$I$4,
IF(D149=4,база!$I$5,
IF(D149=5,база!$I$6)))</f>
        <v>188.7912</v>
      </c>
      <c r="F149" s="270">
        <v>1</v>
      </c>
      <c r="G149" s="96">
        <f>SUMIFS(Таблица1[сумма],Таблица1[коэф],"1",Таблица1[р/р],"2/4",Таблица1[Ф. И. О.],B154)</f>
        <v>0</v>
      </c>
      <c r="H149" s="88">
        <f>ROUND(E149*F149*G149,2)</f>
        <v>0</v>
      </c>
      <c r="I149" s="310">
        <f>IF(D149&lt;=3,база!$J$4,
IF(D149=4,база!$J$5,
IF(D149=5,база!$J$6)))</f>
        <v>196.05240000000001</v>
      </c>
      <c r="J149" s="270">
        <v>1</v>
      </c>
      <c r="K149" s="288">
        <f>SUMIFS(Таблица1[сумма],Таблица1[коэф],"1",Таблица1[р/р],"2/8",Таблица1[Ф. И. О.],B154)</f>
        <v>0</v>
      </c>
      <c r="L149" s="288">
        <f>ROUND(I149*J149*K149,2)</f>
        <v>0</v>
      </c>
      <c r="M149" s="288"/>
      <c r="N149" s="288">
        <v>1</v>
      </c>
      <c r="O149" s="288">
        <f>SUMIFS(Data_Tech!$AM$3:$AM$67,Data_Tech!$E$3:$E$67,"1",Data_Tech!$G$3:$G$67,"3/12",Data_Tech!$F$3:$F$67,B154)</f>
        <v>0</v>
      </c>
      <c r="P149" s="281">
        <f>ROUND(M149*N149*O149,2)</f>
        <v>0</v>
      </c>
      <c r="Q149" s="73">
        <f>IF(D149&lt;=3,база!$L$4,
IF(D149=4,база!$L$5,
IF(D149=5,база!$L$6)))</f>
        <v>210.57480000000001</v>
      </c>
      <c r="R149" s="270">
        <v>1</v>
      </c>
      <c r="S149" s="96">
        <f>SUMIFS(Таблица1[сумма],Таблица1[коэф],"1",Таблица1[р/р],"3/16",Таблица1[Ф. И. О.],B154)</f>
        <v>0</v>
      </c>
      <c r="T149" s="88">
        <f t="shared" si="88"/>
        <v>0</v>
      </c>
      <c r="U149" s="363">
        <f>IF(D149&lt;=3,база!$M$4,
IF(D149=4,база!$M$5,
IF(D149=5,база!$M$6)))</f>
        <v>225.09719999999999</v>
      </c>
      <c r="V149" s="270">
        <v>1</v>
      </c>
      <c r="W149" s="339">
        <f>SUMIFS(Таблица1[сумма],Таблица1[коэф],"1",Таблица1[р/р],"3/24",Таблица1[Ф. И. О.],B154)</f>
        <v>0</v>
      </c>
      <c r="X149" s="342">
        <f>ROUND(U149*V149*W149,2)</f>
        <v>0</v>
      </c>
      <c r="Y149" s="849">
        <f t="shared" ref="Y149" si="89">SUM(G149:G159,K149:K159,O149:O159,S149:S159,W149:W159)</f>
        <v>0</v>
      </c>
      <c r="Z149" s="840">
        <f t="shared" ref="Z149" si="90">IFERROR(SUM(H149:H159,L149:L159,T149:T159,X149:X159),"")</f>
        <v>0</v>
      </c>
      <c r="AA149" s="843"/>
    </row>
    <row r="150" spans="1:30">
      <c r="A150" s="786"/>
      <c r="B150" s="216"/>
      <c r="C150" s="845"/>
      <c r="D150" s="847"/>
      <c r="E150" s="79">
        <f>IF(D149&lt;=3,база!$I$4,
IF(D149=4,база!$I$5,
IF(D149=5,база!$I$6)))</f>
        <v>188.7912</v>
      </c>
      <c r="F150" s="272">
        <v>1</v>
      </c>
      <c r="G150" s="99">
        <f>SUMIFS(Таблица1[сумма],Таблица1[коэф],"1",Таблица1[р/р],"3/4",Таблица1[Ф. И. О.],B154)</f>
        <v>0</v>
      </c>
      <c r="H150" s="95">
        <f>ROUND(E150*F150*G150,2)</f>
        <v>0</v>
      </c>
      <c r="I150" s="83">
        <f>IF(D149&lt;=3,база!$J$4,
IF(D149=4,база!$J$5,
IF(D149=5,база!$J$6)))</f>
        <v>196.05240000000001</v>
      </c>
      <c r="J150" s="272">
        <v>1</v>
      </c>
      <c r="K150" s="217">
        <f>SUMIFS(Таблица1[сумма],Таблица1[коэф],"1",Таблица1[р/р],"3/8",Таблица1[Ф. И. О.],B154)</f>
        <v>0</v>
      </c>
      <c r="L150" s="217">
        <f>ROUND(I150*J150*K150,2)</f>
        <v>0</v>
      </c>
      <c r="M150" s="217"/>
      <c r="N150" s="217">
        <v>1</v>
      </c>
      <c r="O150" s="217">
        <f>SUMIFS(Data_Tech!$AM$3:$AM$67,Data_Tech!$E$3:$E$67,"1",Data_Tech!$G$3:$G$67,"4/12",Data_Tech!$F$3:$F$67,B154)</f>
        <v>0</v>
      </c>
      <c r="P150" s="30">
        <f>ROUND(M150*O150,2)</f>
        <v>0</v>
      </c>
      <c r="Q150" s="79">
        <f>база!$L$5</f>
        <v>231.45480000000001</v>
      </c>
      <c r="R150" s="272">
        <v>1</v>
      </c>
      <c r="S150" s="99">
        <f>SUMIFS(Таблица1[сумма],Таблица1[коэф],"1",Таблица1[р/р],"4/16",Таблица1[Ф. И. О.],B154)</f>
        <v>0</v>
      </c>
      <c r="T150" s="95">
        <f t="shared" si="88"/>
        <v>0</v>
      </c>
      <c r="U150" s="361">
        <f>база!$M$5</f>
        <v>247.41720000000001</v>
      </c>
      <c r="V150" s="272">
        <v>1</v>
      </c>
      <c r="W150" s="314">
        <f>SUMIFS(Таблица1[сумма],Таблица1[коэф],"1",Таблица1[р/р],"4/24",Таблица1[Ф. И. О.],B154)</f>
        <v>0</v>
      </c>
      <c r="X150" s="313">
        <f t="shared" ref="X150" si="91">ROUND(U150*V150*W150,2)</f>
        <v>0</v>
      </c>
      <c r="Y150" s="849"/>
      <c r="Z150" s="840"/>
      <c r="AA150" s="843"/>
    </row>
    <row r="151" spans="1:30">
      <c r="A151" s="786"/>
      <c r="B151" s="216"/>
      <c r="C151" s="845"/>
      <c r="D151" s="847"/>
      <c r="E151" s="79"/>
      <c r="F151" s="272"/>
      <c r="G151" s="99"/>
      <c r="H151" s="95"/>
      <c r="I151" s="83"/>
      <c r="J151" s="272"/>
      <c r="K151" s="217"/>
      <c r="L151" s="217"/>
      <c r="M151" s="217"/>
      <c r="N151" s="217"/>
      <c r="O151" s="217"/>
      <c r="P151" s="30"/>
      <c r="Q151" s="79">
        <f>база!$L$6</f>
        <v>261.04640000000001</v>
      </c>
      <c r="R151" s="272">
        <v>1</v>
      </c>
      <c r="S151" s="99">
        <f>SUMIFS(Таблица1[сумма],Таблица1[коэф],"1",Таблица1[р/р],"5/16",Таблица1[Ф. И. О.],B154)</f>
        <v>0</v>
      </c>
      <c r="T151" s="95">
        <f t="shared" si="88"/>
        <v>0</v>
      </c>
      <c r="U151" s="361">
        <f>база!$M$6</f>
        <v>279.0496</v>
      </c>
      <c r="V151" s="272">
        <v>1</v>
      </c>
      <c r="W151" s="314">
        <f>SUMIFS(Таблица1[сумма],Таблица1[коэф],"1",Таблица1[р/р],"5/24",Таблица1[Ф. И. О.],B154)</f>
        <v>0</v>
      </c>
      <c r="X151" s="313">
        <f>ROUND(U151*V151*W151,2)</f>
        <v>0</v>
      </c>
      <c r="Y151" s="849"/>
      <c r="Z151" s="840"/>
      <c r="AA151" s="843"/>
    </row>
    <row r="152" spans="1:30">
      <c r="A152" s="786"/>
      <c r="B152" s="216"/>
      <c r="C152" s="845"/>
      <c r="D152" s="847"/>
      <c r="E152" s="79"/>
      <c r="F152" s="272"/>
      <c r="G152" s="99"/>
      <c r="H152" s="95"/>
      <c r="I152" s="83">
        <f>база!$J$5</f>
        <v>215.4924</v>
      </c>
      <c r="J152" s="272">
        <v>1.5</v>
      </c>
      <c r="K152" s="217">
        <f>SUMIFS(Таблица1[сумма],Таблица1[коэф],"1,5",Таблица1[р/р],"4/8",Таблица1[Ф. И. О.],B154)</f>
        <v>0</v>
      </c>
      <c r="L152" s="217">
        <f>ROUND(I152*J152*K152,2)</f>
        <v>0</v>
      </c>
      <c r="M152" s="217"/>
      <c r="N152" s="217"/>
      <c r="O152" s="217"/>
      <c r="P152" s="30"/>
      <c r="Q152" s="79">
        <f>IF(D149&lt;=3,база!$L$4,
IF(D149=4,база!$L$5,
IF(D149=5,база!$L$6)))</f>
        <v>210.57480000000001</v>
      </c>
      <c r="R152" s="272">
        <v>1.2</v>
      </c>
      <c r="S152" s="99">
        <f>SUMIFS(Таблица1[сумма],Таблица1[коэф],"1,2",Таблица1[р/р],"3/16",Таблица1[Ф. И. О.],B154)</f>
        <v>0</v>
      </c>
      <c r="T152" s="95">
        <f t="shared" ref="T152:T153" si="92">ROUND(Q152*R152*S152,2)</f>
        <v>0</v>
      </c>
      <c r="U152" s="361">
        <f>IF(D149&lt;=3,база!$M$4,
IF(D149=4,база!$M$5,
IF(D149=5,база!$M$6)))</f>
        <v>225.09719999999999</v>
      </c>
      <c r="V152" s="272">
        <v>1.2</v>
      </c>
      <c r="W152" s="314">
        <f>SUMIFS(Таблица1[сумма],Таблица1[коэф],"1,2",Таблица1[р/р],"3/24",Таблица1[Ф. И. О.],B154)</f>
        <v>0</v>
      </c>
      <c r="X152" s="313">
        <f t="shared" ref="X152:X153" si="93">ROUND(U152*V152*W152,2)</f>
        <v>0</v>
      </c>
      <c r="Y152" s="849"/>
      <c r="Z152" s="840"/>
      <c r="AA152" s="843"/>
    </row>
    <row r="153" spans="1:30">
      <c r="A153" s="786"/>
      <c r="B153" s="216"/>
      <c r="C153" s="845"/>
      <c r="D153" s="847"/>
      <c r="E153" s="79"/>
      <c r="F153" s="272"/>
      <c r="G153" s="99"/>
      <c r="H153" s="95"/>
      <c r="I153" s="83">
        <f>база!$J$6</f>
        <v>243.04319999999998</v>
      </c>
      <c r="J153" s="272">
        <v>1.5</v>
      </c>
      <c r="K153" s="217">
        <f>SUMIFS(Таблица1[сумма],Таблица1[коэф],"1,5",Таблица1[р/р],"5/8",Таблица1[Ф. И. О.],B154)</f>
        <v>0</v>
      </c>
      <c r="L153" s="217">
        <f>ROUND(I153*J153*K153,2)</f>
        <v>0</v>
      </c>
      <c r="M153" s="217"/>
      <c r="N153" s="217"/>
      <c r="O153" s="217"/>
      <c r="P153" s="30"/>
      <c r="Q153" s="79">
        <f>база!$L$5</f>
        <v>231.45480000000001</v>
      </c>
      <c r="R153" s="272">
        <v>1.2</v>
      </c>
      <c r="S153" s="99">
        <f>SUMIFS(Таблица1[сумма],Таблица1[коэф],"1,2",Таблица1[р/р],"4/16",Таблица1[Ф. И. О.],B154)</f>
        <v>0</v>
      </c>
      <c r="T153" s="95">
        <f t="shared" si="92"/>
        <v>0</v>
      </c>
      <c r="U153" s="361">
        <f>база!$M$5</f>
        <v>247.41720000000001</v>
      </c>
      <c r="V153" s="272">
        <v>1.2</v>
      </c>
      <c r="W153" s="314">
        <f>SUMIFS(Таблица1[сумма],Таблица1[коэф],"1,2",Таблица1[р/р],"4/24",Таблица1[Ф. И. О.],B154)</f>
        <v>0</v>
      </c>
      <c r="X153" s="313">
        <f t="shared" si="93"/>
        <v>0</v>
      </c>
      <c r="Y153" s="849"/>
      <c r="Z153" s="840"/>
      <c r="AA153" s="843"/>
      <c r="AC153" s="722" t="str">
        <f>IF(SUMIFS(Таблица1[Столбец2],Таблица1[Ф. И. О.],B154)-Z149=0,"",SUMIFS(Таблица1[Столбец2],Таблица1[Ф. И. О.],B154)-Z149)</f>
        <v/>
      </c>
    </row>
    <row r="154" spans="1:30">
      <c r="A154" s="786"/>
      <c r="B154" s="216" t="str">
        <f>база!B15</f>
        <v>Волошина Светлана Владимировна</v>
      </c>
      <c r="C154" s="845"/>
      <c r="D154" s="847"/>
      <c r="E154" s="79"/>
      <c r="F154" s="272"/>
      <c r="G154" s="99"/>
      <c r="H154" s="95"/>
      <c r="I154" s="83"/>
      <c r="J154" s="272"/>
      <c r="K154" s="217"/>
      <c r="L154" s="217"/>
      <c r="M154" s="217"/>
      <c r="N154" s="217"/>
      <c r="O154" s="217"/>
      <c r="P154" s="30"/>
      <c r="Q154" s="79">
        <f>база!$L$6</f>
        <v>261.04640000000001</v>
      </c>
      <c r="R154" s="272">
        <v>1.2</v>
      </c>
      <c r="S154" s="99">
        <f>SUMIFS(Таблица1[сумма],Таблица1[коэф],"1,2",Таблица1[р/р],"5/16",Таблица1[Ф. И. О.],B154)</f>
        <v>0</v>
      </c>
      <c r="T154" s="95">
        <f>ROUND(Q154*R154*S154,2)</f>
        <v>0</v>
      </c>
      <c r="U154" s="361">
        <f>база!$M$6</f>
        <v>279.0496</v>
      </c>
      <c r="V154" s="272">
        <v>1.2</v>
      </c>
      <c r="W154" s="314">
        <f>SUMIFS(Таблица1[сумма],Таблица1[коэф],"1,2",Таблица1[р/р],"5/24",Таблица1[Ф. И. О.],B154)</f>
        <v>0</v>
      </c>
      <c r="X154" s="313">
        <f>ROUND(U154*V154*W154,2)</f>
        <v>0</v>
      </c>
      <c r="Y154" s="849"/>
      <c r="Z154" s="840"/>
      <c r="AA154" s="843"/>
      <c r="AC154" s="722" t="str">
        <f>IF(SUMIFS(Таблица1[сумма],Таблица1[Ф. И. О.],B154)=Y149,"",B149&amp;"  часы не верны")</f>
        <v/>
      </c>
      <c r="AD154" s="759">
        <f>INDEX('[2]декабрь 23'!$AI$4:$AI$100,MATCH(C149,'[2]декабрь 23'!$AK$4:$AK$100,0))</f>
        <v>64.800000000000011</v>
      </c>
    </row>
    <row r="155" spans="1:30">
      <c r="A155" s="786"/>
      <c r="B155" s="216"/>
      <c r="C155" s="845"/>
      <c r="D155" s="847"/>
      <c r="E155" s="79"/>
      <c r="F155" s="272"/>
      <c r="G155" s="99"/>
      <c r="H155" s="95"/>
      <c r="I155" s="83"/>
      <c r="J155" s="272"/>
      <c r="K155" s="217"/>
      <c r="L155" s="217"/>
      <c r="M155" s="217"/>
      <c r="N155" s="217"/>
      <c r="O155" s="217"/>
      <c r="P155" s="30"/>
      <c r="Q155" s="79">
        <f>IF($D$6&lt;=3,база!$L$4,
IF($D$6=4,база!$L$5,
IF($D$6=5,база!$L$6)))</f>
        <v>231.45480000000001</v>
      </c>
      <c r="R155" s="272">
        <v>1.3</v>
      </c>
      <c r="S155" s="99">
        <f>SUMIFS(Таблица1[сумма],Таблица1[коэф],"1,3",Таблица1[р/р],"3/16",Таблица1[Ф. И. О.],B154)</f>
        <v>0</v>
      </c>
      <c r="T155" s="95">
        <f t="shared" ref="T155:T156" si="94">ROUND(Q155*R155*S155,2)</f>
        <v>0</v>
      </c>
      <c r="U155" s="361">
        <f>IF(D149&lt;=3,база!$M$4,
IF(D149=4,база!$M$5,
IF(D149=5,база!$M$6)))</f>
        <v>225.09719999999999</v>
      </c>
      <c r="V155" s="272">
        <v>1.3</v>
      </c>
      <c r="W155" s="314">
        <f>SUMIFS(Таблица1[сумма],Таблица1[коэф],"1,3",Таблица1[р/р],"3/24",Таблица1[Ф. И. О.],B154)</f>
        <v>0</v>
      </c>
      <c r="X155" s="313">
        <f t="shared" ref="X155:X156" si="95">ROUND(U155*V155*W155,2)</f>
        <v>0</v>
      </c>
      <c r="Y155" s="849"/>
      <c r="Z155" s="840"/>
      <c r="AA155" s="843"/>
    </row>
    <row r="156" spans="1:30">
      <c r="A156" s="786"/>
      <c r="B156" s="216"/>
      <c r="C156" s="845"/>
      <c r="D156" s="847"/>
      <c r="E156" s="79"/>
      <c r="F156" s="272"/>
      <c r="G156" s="99"/>
      <c r="H156" s="95"/>
      <c r="I156" s="83"/>
      <c r="J156" s="272"/>
      <c r="K156" s="217"/>
      <c r="L156" s="217"/>
      <c r="M156" s="217"/>
      <c r="N156" s="217"/>
      <c r="O156" s="217"/>
      <c r="P156" s="30"/>
      <c r="Q156" s="79">
        <f>база!$L$5</f>
        <v>231.45480000000001</v>
      </c>
      <c r="R156" s="272">
        <v>1.3</v>
      </c>
      <c r="S156" s="99">
        <f>SUMIFS(Таблица1[сумма],Таблица1[коэф],"1,3",Таблица1[р/р],"4/16",Таблица1[Ф. И. О.],B154)</f>
        <v>0</v>
      </c>
      <c r="T156" s="95">
        <f t="shared" si="94"/>
        <v>0</v>
      </c>
      <c r="U156" s="361">
        <f>база!$M$5</f>
        <v>247.41720000000001</v>
      </c>
      <c r="V156" s="272">
        <v>1.3</v>
      </c>
      <c r="W156" s="314">
        <f>SUMIFS(Таблица1[сумма],Таблица1[коэф],"1,3",Таблица1[р/р],"4/24",Таблица1[Ф. И. О.],B154)</f>
        <v>0</v>
      </c>
      <c r="X156" s="313">
        <f t="shared" si="95"/>
        <v>0</v>
      </c>
      <c r="Y156" s="849"/>
      <c r="Z156" s="840"/>
      <c r="AA156" s="843"/>
    </row>
    <row r="157" spans="1:30">
      <c r="A157" s="786"/>
      <c r="B157" s="216"/>
      <c r="C157" s="845"/>
      <c r="D157" s="847"/>
      <c r="E157" s="79"/>
      <c r="F157" s="272"/>
      <c r="G157" s="99"/>
      <c r="H157" s="95"/>
      <c r="I157" s="83"/>
      <c r="J157" s="272"/>
      <c r="K157" s="217"/>
      <c r="L157" s="217"/>
      <c r="M157" s="217"/>
      <c r="N157" s="217"/>
      <c r="O157" s="217"/>
      <c r="P157" s="30"/>
      <c r="Q157" s="79">
        <f>IF(D149&lt;=3,база!$L$4,
IF(D149=4,база!$L$5,
IF(D149=5,база!$L$6)))</f>
        <v>210.57480000000001</v>
      </c>
      <c r="R157" s="272">
        <v>1.4</v>
      </c>
      <c r="S157" s="99">
        <f>SUMIFS(Таблица1[сумма],Таблица1[коэф],"1,4",Таблица1[р/р],"3/16",Таблица1[Ф. И. О.],B154)</f>
        <v>0</v>
      </c>
      <c r="T157" s="95">
        <f t="shared" ref="T157:T162" si="96">ROUND(Q157*R157*S157,2)</f>
        <v>0</v>
      </c>
      <c r="U157" s="361">
        <f>IF(D149&lt;=3,база!$M$4,
IF(D149=4,база!$M$5,
IF(D149=5,база!$M$6)))</f>
        <v>225.09719999999999</v>
      </c>
      <c r="V157" s="272">
        <v>1.4</v>
      </c>
      <c r="W157" s="314">
        <f>SUMIFS(Таблица1[сумма],Таблица1[коэф],"1,4",Таблица1[р/р],"3/24",Таблица1[Ф. И. О.],B154)</f>
        <v>0</v>
      </c>
      <c r="X157" s="313">
        <f>ROUND(U157*V157*W157,2)</f>
        <v>0</v>
      </c>
      <c r="Y157" s="849"/>
      <c r="Z157" s="840"/>
      <c r="AA157" s="843"/>
    </row>
    <row r="158" spans="1:30">
      <c r="A158" s="786"/>
      <c r="B158" s="216"/>
      <c r="C158" s="845"/>
      <c r="D158" s="847"/>
      <c r="E158" s="79"/>
      <c r="F158" s="272"/>
      <c r="G158" s="99"/>
      <c r="H158" s="95"/>
      <c r="I158" s="83"/>
      <c r="J158" s="272"/>
      <c r="K158" s="217"/>
      <c r="L158" s="217"/>
      <c r="M158" s="217"/>
      <c r="N158" s="217"/>
      <c r="O158" s="217"/>
      <c r="P158" s="30"/>
      <c r="Q158" s="79">
        <f>база!$L$5</f>
        <v>231.45480000000001</v>
      </c>
      <c r="R158" s="272">
        <v>1.4</v>
      </c>
      <c r="S158" s="99">
        <f>SUMIFS(Таблица1[сумма],Таблица1[коэф],"1,4",Таблица1[р/р],"4/16",Таблица1[Ф. И. О.],B154)</f>
        <v>0</v>
      </c>
      <c r="T158" s="95">
        <f t="shared" si="96"/>
        <v>0</v>
      </c>
      <c r="U158" s="361">
        <f>база!$M$5</f>
        <v>247.41720000000001</v>
      </c>
      <c r="V158" s="272">
        <v>1.4</v>
      </c>
      <c r="W158" s="314">
        <f>SUMIFS(Таблица1[сумма],Таблица1[коэф],"1,4",Таблица1[р/р],"4/24",Таблица1[Ф. И. О.],B154)</f>
        <v>0</v>
      </c>
      <c r="X158" s="313">
        <f>ROUND(U158*V158*W158,2)</f>
        <v>0</v>
      </c>
      <c r="Y158" s="849"/>
      <c r="Z158" s="840"/>
      <c r="AA158" s="843"/>
    </row>
    <row r="159" spans="1:30" ht="24" thickBot="1">
      <c r="A159" s="787"/>
      <c r="B159" s="203"/>
      <c r="C159" s="846"/>
      <c r="D159" s="848"/>
      <c r="E159" s="102"/>
      <c r="F159" s="274"/>
      <c r="G159" s="98"/>
      <c r="H159" s="91"/>
      <c r="I159" s="221"/>
      <c r="J159" s="274"/>
      <c r="K159" s="289"/>
      <c r="L159" s="289"/>
      <c r="M159" s="289"/>
      <c r="N159" s="289"/>
      <c r="O159" s="289"/>
      <c r="P159" s="315"/>
      <c r="Q159" s="102">
        <f>база!$L$6</f>
        <v>261.04640000000001</v>
      </c>
      <c r="R159" s="274">
        <v>1.4</v>
      </c>
      <c r="S159" s="98">
        <f>SUMIFS(Таблица1[сумма],Таблица1[коэф],"1,4",Таблица1[р/р],"5/16",Таблица1[Ф. И. О.],B154)</f>
        <v>0</v>
      </c>
      <c r="T159" s="91">
        <f t="shared" si="96"/>
        <v>0</v>
      </c>
      <c r="U159" s="364">
        <f>база!$M$6</f>
        <v>279.0496</v>
      </c>
      <c r="V159" s="274">
        <v>1.4</v>
      </c>
      <c r="W159" s="347">
        <f>SUMIFS(Таблица1[сумма],Таблица1[коэф],"1,4",Таблица1[р/р],"5/24",Таблица1[Ф. И. О.],B154)</f>
        <v>0</v>
      </c>
      <c r="X159" s="343">
        <f>ROUND(U159*V159*W159,2)</f>
        <v>0</v>
      </c>
      <c r="Y159" s="850"/>
      <c r="Z159" s="841"/>
      <c r="AA159" s="844"/>
    </row>
    <row r="160" spans="1:30">
      <c r="A160" s="785">
        <v>15</v>
      </c>
      <c r="B160" s="216"/>
      <c r="C160" s="851">
        <f>INDEX(база!$E$2:$E$81, MATCH(B165,база!$B$2:$B$50,0))</f>
        <v>17115</v>
      </c>
      <c r="D160" s="852">
        <f>INDEX(база!$D$2:$D$89, MATCH(B165,база!$B$2:$B$50,0))</f>
        <v>3</v>
      </c>
      <c r="E160" s="82">
        <f>IF(D160&lt;=3,база!$I$4,
IF(D160=4,база!$I$5,
IF(D160=5,база!$I$6)))</f>
        <v>188.7912</v>
      </c>
      <c r="F160" s="271">
        <v>1</v>
      </c>
      <c r="G160" s="97">
        <f>SUMIFS(Таблица1[сумма],Таблица1[коэф],"1",Таблица1[р/р],"2/4",Таблица1[Ф. И. О.],B165)</f>
        <v>0</v>
      </c>
      <c r="H160" s="311">
        <f>ROUND(E160*F160*G160,2)</f>
        <v>0</v>
      </c>
      <c r="I160" s="73">
        <f>IF(D160&lt;=3,база!$J$4,
IF(D160=4,база!$J$5,
IF(D160=5,база!$J$6)))</f>
        <v>196.05240000000001</v>
      </c>
      <c r="J160" s="270">
        <v>1</v>
      </c>
      <c r="K160" s="288">
        <f>SUMIFS(Таблица1[сумма],Таблица1[коэф],"1",Таблица1[р/р],"2/8",Таблица1[Ф. И. О.],B165)</f>
        <v>0</v>
      </c>
      <c r="L160" s="288">
        <f>ROUND(I160*J160*K160,2)</f>
        <v>0</v>
      </c>
      <c r="M160" s="288"/>
      <c r="N160" s="288">
        <v>1</v>
      </c>
      <c r="O160" s="288">
        <f>SUMIFS(Data_Tech!$AM$3:$AM$67,Data_Tech!$E$3:$E$67,"1",Data_Tech!$G$3:$G$67,"3/12",Data_Tech!$F$3:$F$67,B165)</f>
        <v>0</v>
      </c>
      <c r="P160" s="28">
        <f>ROUND(M160*N160*O160,2)</f>
        <v>0</v>
      </c>
      <c r="Q160" s="73">
        <f>IF(D160&lt;=3,база!$L$4,
IF(D160=4,база!$L$5,
IF(D160=5,база!$L$6)))</f>
        <v>210.57480000000001</v>
      </c>
      <c r="R160" s="271">
        <v>1</v>
      </c>
      <c r="S160" s="97">
        <f>SUMIFS(Таблица1[сумма],Таблица1[коэф],"1",Таблица1[р/р],"3/16",Таблица1[Ф. И. О.],B165)</f>
        <v>0</v>
      </c>
      <c r="T160" s="311">
        <f t="shared" si="96"/>
        <v>0</v>
      </c>
      <c r="U160" s="365">
        <f>IF(D160&lt;=3,база!$M$4,
IF(D160=4,база!$M$5,
IF(D160=5,база!$M$6)))</f>
        <v>225.09719999999999</v>
      </c>
      <c r="V160" s="270">
        <v>1</v>
      </c>
      <c r="W160" s="340">
        <f>SUMIFS(Таблица1[сумма],Таблица1[коэф],"1",Таблица1[р/р],"3/24",Таблица1[Ф. И. О.],B165)</f>
        <v>0</v>
      </c>
      <c r="X160" s="342">
        <f>ROUND(U160*V160*W160,2)</f>
        <v>0</v>
      </c>
      <c r="Y160" s="849">
        <f t="shared" ref="Y160" si="97">SUM(G160:G170,K160:K170,O160:O170,S160:S170,W160:W170)</f>
        <v>0</v>
      </c>
      <c r="Z160" s="840">
        <f t="shared" ref="Z160" si="98">IFERROR(SUM(H160:H170,L160:L170,T160:T170,X160:X170),"")</f>
        <v>0</v>
      </c>
      <c r="AA160" s="843"/>
    </row>
    <row r="161" spans="1:30">
      <c r="A161" s="786"/>
      <c r="B161" s="216"/>
      <c r="C161" s="845"/>
      <c r="D161" s="847"/>
      <c r="E161" s="83">
        <f>IF(D160&lt;=3,база!$I$4,
IF(D160=4,база!$I$5,
IF(D160=5,база!$I$6)))</f>
        <v>188.7912</v>
      </c>
      <c r="F161" s="272">
        <v>1</v>
      </c>
      <c r="G161" s="99">
        <f>SUMIFS(Таблица1[сумма],Таблица1[коэф],"1",Таблица1[р/р],"3/4",Таблица1[Ф. И. О.],B165)</f>
        <v>0</v>
      </c>
      <c r="H161" s="93">
        <f>ROUND(E161*F161*G161,2)</f>
        <v>0</v>
      </c>
      <c r="I161" s="79">
        <f>IF(D160&lt;=3,база!$J$4,
IF(D160=4,база!$J$5,
IF(D160=5,база!$J$6)))</f>
        <v>196.05240000000001</v>
      </c>
      <c r="J161" s="272">
        <v>1</v>
      </c>
      <c r="K161" s="217">
        <f>SUMIFS(Таблица1[сумма],Таблица1[коэф],"1",Таблица1[р/р],"3/8",Таблица1[Ф. И. О.],B165)</f>
        <v>0</v>
      </c>
      <c r="L161" s="217">
        <f>ROUND(I161*J161*K161,2)</f>
        <v>0</v>
      </c>
      <c r="M161" s="217"/>
      <c r="N161" s="217">
        <v>1</v>
      </c>
      <c r="O161" s="217">
        <f>SUMIFS(Data_Tech!$AM$3:$AM$67,Data_Tech!$E$3:$E$67,"1",Data_Tech!$G$3:$G$67,"4/12",Data_Tech!$F$3:$F$67,B165)</f>
        <v>0</v>
      </c>
      <c r="P161" s="29">
        <f>ROUND(M161*O161,2)</f>
        <v>0</v>
      </c>
      <c r="Q161" s="79">
        <f>база!$L$5</f>
        <v>231.45480000000001</v>
      </c>
      <c r="R161" s="272">
        <v>1</v>
      </c>
      <c r="S161" s="99">
        <f>SUMIFS(Таблица1[сумма],Таблица1[коэф],"1",Таблица1[р/р],"4/16",Таблица1[Ф. И. О.],B165)</f>
        <v>0</v>
      </c>
      <c r="T161" s="93">
        <f t="shared" si="96"/>
        <v>0</v>
      </c>
      <c r="U161" s="366">
        <f>база!$M$5</f>
        <v>247.41720000000001</v>
      </c>
      <c r="V161" s="272">
        <v>1</v>
      </c>
      <c r="W161" s="307">
        <f>SUMIFS(Таблица1[сумма],Таблица1[коэф],"1",Таблица1[р/р],"4/24",Таблица1[Ф. И. О.],B165)</f>
        <v>0</v>
      </c>
      <c r="X161" s="313">
        <f t="shared" ref="X161" si="99">ROUND(U161*V161*W161,2)</f>
        <v>0</v>
      </c>
      <c r="Y161" s="849"/>
      <c r="Z161" s="840"/>
      <c r="AA161" s="843"/>
    </row>
    <row r="162" spans="1:30">
      <c r="A162" s="786"/>
      <c r="B162" s="216"/>
      <c r="C162" s="845"/>
      <c r="D162" s="847"/>
      <c r="E162" s="83"/>
      <c r="F162" s="272"/>
      <c r="G162" s="99"/>
      <c r="H162" s="93"/>
      <c r="I162" s="79"/>
      <c r="J162" s="272"/>
      <c r="K162" s="217"/>
      <c r="L162" s="217"/>
      <c r="M162" s="217"/>
      <c r="N162" s="217"/>
      <c r="O162" s="217"/>
      <c r="P162" s="29"/>
      <c r="Q162" s="79">
        <f>база!$L$6</f>
        <v>261.04640000000001</v>
      </c>
      <c r="R162" s="272">
        <v>1</v>
      </c>
      <c r="S162" s="99">
        <f>SUMIFS(Таблица1[сумма],Таблица1[коэф],"1",Таблица1[р/р],"5/16",Таблица1[Ф. И. О.],B165)</f>
        <v>0</v>
      </c>
      <c r="T162" s="93">
        <f t="shared" si="96"/>
        <v>0</v>
      </c>
      <c r="U162" s="366">
        <f>база!$M$6</f>
        <v>279.0496</v>
      </c>
      <c r="V162" s="272">
        <v>1</v>
      </c>
      <c r="W162" s="307">
        <f>SUMIFS(Таблица1[сумма],Таблица1[коэф],"1",Таблица1[р/р],"5/24",Таблица1[Ф. И. О.],B165)</f>
        <v>0</v>
      </c>
      <c r="X162" s="313">
        <f>ROUND(U162*V162*W162,2)</f>
        <v>0</v>
      </c>
      <c r="Y162" s="849"/>
      <c r="Z162" s="840"/>
      <c r="AA162" s="843"/>
    </row>
    <row r="163" spans="1:30">
      <c r="A163" s="786"/>
      <c r="B163" s="216"/>
      <c r="C163" s="845"/>
      <c r="D163" s="847"/>
      <c r="E163" s="83"/>
      <c r="F163" s="272"/>
      <c r="G163" s="99"/>
      <c r="H163" s="93"/>
      <c r="I163" s="79">
        <f>база!$J$5</f>
        <v>215.4924</v>
      </c>
      <c r="J163" s="272">
        <v>1.5</v>
      </c>
      <c r="K163" s="217">
        <f>SUMIFS(Таблица1[сумма],Таблица1[коэф],"1,5",Таблица1[р/р],"4/8",Таблица1[Ф. И. О.],B165)</f>
        <v>0</v>
      </c>
      <c r="L163" s="217">
        <f>ROUND(I163*J163*K163,2)</f>
        <v>0</v>
      </c>
      <c r="M163" s="217"/>
      <c r="N163" s="217"/>
      <c r="O163" s="217"/>
      <c r="P163" s="29"/>
      <c r="Q163" s="79">
        <f>IF(D160&lt;=3,база!$L$4,
IF(D160=4,база!$L$5,
IF(D160=5,база!$L$6)))</f>
        <v>210.57480000000001</v>
      </c>
      <c r="R163" s="272">
        <v>1.2</v>
      </c>
      <c r="S163" s="99">
        <f>SUMIFS(Таблица1[сумма],Таблица1[коэф],"1,2",Таблица1[р/р],"3/16",Таблица1[Ф. И. О.],B165)</f>
        <v>0</v>
      </c>
      <c r="T163" s="93">
        <f t="shared" ref="T163:T164" si="100">ROUND(Q163*R163*S163,2)</f>
        <v>0</v>
      </c>
      <c r="U163" s="366">
        <f>IF(D160&lt;=3,база!$M$4,
IF(D160=4,база!$M$5,
IF(D160=5,база!$M$6)))</f>
        <v>225.09719999999999</v>
      </c>
      <c r="V163" s="272">
        <v>1.2</v>
      </c>
      <c r="W163" s="307">
        <f>SUMIFS(Таблица1[сумма],Таблица1[коэф],"1,2",Таблица1[р/р],"3/24",Таблица1[Ф. И. О.],B165)</f>
        <v>0</v>
      </c>
      <c r="X163" s="313">
        <f t="shared" ref="X163:X164" si="101">ROUND(U163*V163*W163,2)</f>
        <v>0</v>
      </c>
      <c r="Y163" s="849"/>
      <c r="Z163" s="840"/>
      <c r="AA163" s="843"/>
    </row>
    <row r="164" spans="1:30">
      <c r="A164" s="786"/>
      <c r="B164" s="216"/>
      <c r="C164" s="845"/>
      <c r="D164" s="847"/>
      <c r="E164" s="83"/>
      <c r="F164" s="272"/>
      <c r="G164" s="99"/>
      <c r="H164" s="93"/>
      <c r="I164" s="79">
        <f>база!$J$6</f>
        <v>243.04319999999998</v>
      </c>
      <c r="J164" s="272">
        <v>1.5</v>
      </c>
      <c r="K164" s="217">
        <f>SUMIFS(Таблица1[сумма],Таблица1[коэф],"1,5",Таблица1[р/р],"5/8",Таблица1[Ф. И. О.],B165)</f>
        <v>0</v>
      </c>
      <c r="L164" s="217">
        <f>ROUND(I164*J164*K164,2)</f>
        <v>0</v>
      </c>
      <c r="M164" s="217"/>
      <c r="N164" s="217"/>
      <c r="O164" s="217"/>
      <c r="P164" s="29"/>
      <c r="Q164" s="79">
        <f>база!$L$5</f>
        <v>231.45480000000001</v>
      </c>
      <c r="R164" s="272">
        <v>1.2</v>
      </c>
      <c r="S164" s="99">
        <f>SUMIFS(Таблица1[сумма],Таблица1[коэф],"1,2",Таблица1[р/р],"4/16",Таблица1[Ф. И. О.],B165)</f>
        <v>0</v>
      </c>
      <c r="T164" s="93">
        <f t="shared" si="100"/>
        <v>0</v>
      </c>
      <c r="U164" s="366">
        <f>база!$M$5</f>
        <v>247.41720000000001</v>
      </c>
      <c r="V164" s="272">
        <v>1.2</v>
      </c>
      <c r="W164" s="307">
        <f>SUMIFS(Таблица1[сумма],Таблица1[коэф],"1,2",Таблица1[р/р],"4/24",Таблица1[Ф. И. О.],B165)</f>
        <v>0</v>
      </c>
      <c r="X164" s="313">
        <f t="shared" si="101"/>
        <v>0</v>
      </c>
      <c r="Y164" s="849"/>
      <c r="Z164" s="840"/>
      <c r="AA164" s="843"/>
      <c r="AC164" s="722" t="str">
        <f>IF(SUMIFS(Таблица1[Столбец2],Таблица1[Ф. И. О.],B165)-Z160=0,"",SUMIFS(Таблица1[Столбец2],Таблица1[Ф. И. О.],B165)-Z160)</f>
        <v/>
      </c>
    </row>
    <row r="165" spans="1:30">
      <c r="A165" s="786"/>
      <c r="B165" s="216" t="str">
        <f>база!B16</f>
        <v>Глинка Екатерина Юрьевна</v>
      </c>
      <c r="C165" s="845"/>
      <c r="D165" s="847"/>
      <c r="E165" s="83"/>
      <c r="F165" s="272"/>
      <c r="G165" s="99"/>
      <c r="H165" s="93"/>
      <c r="I165" s="79"/>
      <c r="J165" s="272"/>
      <c r="K165" s="217"/>
      <c r="L165" s="217"/>
      <c r="M165" s="217"/>
      <c r="N165" s="217"/>
      <c r="O165" s="217"/>
      <c r="P165" s="29"/>
      <c r="Q165" s="79">
        <f>база!$L$6</f>
        <v>261.04640000000001</v>
      </c>
      <c r="R165" s="272">
        <v>1.2</v>
      </c>
      <c r="S165" s="99">
        <f>SUMIFS(Таблица1[сумма],Таблица1[коэф],"1,2",Таблица1[р/р],"5/16",Таблица1[Ф. И. О.],B165)</f>
        <v>0</v>
      </c>
      <c r="T165" s="93">
        <f>ROUND(Q165*R165*S165,2)</f>
        <v>0</v>
      </c>
      <c r="U165" s="366">
        <f>база!$M$6</f>
        <v>279.0496</v>
      </c>
      <c r="V165" s="272">
        <v>1.2</v>
      </c>
      <c r="W165" s="307">
        <f>SUMIFS(Таблица1[сумма],Таблица1[коэф],"1,2",Таблица1[р/р],"5/24",Таблица1[Ф. И. О.],B165)</f>
        <v>0</v>
      </c>
      <c r="X165" s="313">
        <f>ROUND(U165*V165*W165,2)</f>
        <v>0</v>
      </c>
      <c r="Y165" s="849"/>
      <c r="Z165" s="840"/>
      <c r="AA165" s="843"/>
      <c r="AC165" s="722" t="str">
        <f>IF(SUMIFS(Таблица1[сумма],Таблица1[Ф. И. О.],B165)=Y160,"",B160&amp;"  часы не верны")</f>
        <v/>
      </c>
      <c r="AD165" s="759">
        <f>INDEX('[2]декабрь 23'!$AI$4:$AI$100,MATCH(C160,'[2]декабрь 23'!$AK$4:$AK$100,0))</f>
        <v>64.800000000000011</v>
      </c>
    </row>
    <row r="166" spans="1:30">
      <c r="A166" s="786"/>
      <c r="B166" s="216"/>
      <c r="C166" s="845"/>
      <c r="D166" s="847"/>
      <c r="E166" s="83"/>
      <c r="F166" s="272"/>
      <c r="G166" s="99"/>
      <c r="H166" s="93"/>
      <c r="I166" s="79"/>
      <c r="J166" s="272"/>
      <c r="K166" s="217"/>
      <c r="L166" s="217"/>
      <c r="M166" s="217"/>
      <c r="N166" s="217"/>
      <c r="O166" s="217"/>
      <c r="P166" s="29"/>
      <c r="Q166" s="79">
        <f>IF($D$6&lt;=3,база!$L$4,
IF($D$6=4,база!$L$5,
IF($D$6=5,база!$L$6)))</f>
        <v>231.45480000000001</v>
      </c>
      <c r="R166" s="272">
        <v>1.3</v>
      </c>
      <c r="S166" s="99">
        <f>SUMIFS(Таблица1[сумма],Таблица1[коэф],"1,3",Таблица1[р/р],"3/16",Таблица1[Ф. И. О.],B165)</f>
        <v>0</v>
      </c>
      <c r="T166" s="93">
        <f t="shared" ref="T166:T167" si="102">ROUND(Q166*R166*S166,2)</f>
        <v>0</v>
      </c>
      <c r="U166" s="366">
        <f>IF(D160&lt;=3,база!$M$4,
IF(D160=4,база!$M$5,
IF(D160=5,база!$M$6)))</f>
        <v>225.09719999999999</v>
      </c>
      <c r="V166" s="272">
        <v>1.3</v>
      </c>
      <c r="W166" s="307">
        <f>SUMIFS(Таблица1[сумма],Таблица1[коэф],"1,3",Таблица1[р/р],"3/24",Таблица1[Ф. И. О.],B165)</f>
        <v>0</v>
      </c>
      <c r="X166" s="313">
        <f t="shared" ref="X166:X167" si="103">ROUND(U166*V166*W166,2)</f>
        <v>0</v>
      </c>
      <c r="Y166" s="849"/>
      <c r="Z166" s="840"/>
      <c r="AA166" s="843"/>
    </row>
    <row r="167" spans="1:30">
      <c r="A167" s="786"/>
      <c r="B167" s="216"/>
      <c r="C167" s="845"/>
      <c r="D167" s="847"/>
      <c r="E167" s="83"/>
      <c r="F167" s="272"/>
      <c r="G167" s="99"/>
      <c r="H167" s="93"/>
      <c r="I167" s="79"/>
      <c r="J167" s="272"/>
      <c r="K167" s="217"/>
      <c r="L167" s="217"/>
      <c r="M167" s="217"/>
      <c r="N167" s="217"/>
      <c r="O167" s="217"/>
      <c r="P167" s="29"/>
      <c r="Q167" s="79">
        <f>база!$L$5</f>
        <v>231.45480000000001</v>
      </c>
      <c r="R167" s="272">
        <v>1.3</v>
      </c>
      <c r="S167" s="99">
        <f>SUMIFS(Таблица1[сумма],Таблица1[коэф],"1,3",Таблица1[р/р],"4/16",Таблица1[Ф. И. О.],B165)</f>
        <v>0</v>
      </c>
      <c r="T167" s="93">
        <f t="shared" si="102"/>
        <v>0</v>
      </c>
      <c r="U167" s="366">
        <f>база!$M$5</f>
        <v>247.41720000000001</v>
      </c>
      <c r="V167" s="272">
        <v>1.3</v>
      </c>
      <c r="W167" s="307">
        <f>SUMIFS(Таблица1[сумма],Таблица1[коэф],"1,3",Таблица1[р/р],"4/24",Таблица1[Ф. И. О.],B165)</f>
        <v>0</v>
      </c>
      <c r="X167" s="313">
        <f t="shared" si="103"/>
        <v>0</v>
      </c>
      <c r="Y167" s="849"/>
      <c r="Z167" s="840"/>
      <c r="AA167" s="843"/>
    </row>
    <row r="168" spans="1:30">
      <c r="A168" s="786"/>
      <c r="B168" s="216"/>
      <c r="C168" s="845"/>
      <c r="D168" s="847"/>
      <c r="E168" s="83"/>
      <c r="F168" s="272"/>
      <c r="G168" s="99"/>
      <c r="H168" s="93"/>
      <c r="I168" s="79"/>
      <c r="J168" s="272"/>
      <c r="K168" s="217"/>
      <c r="L168" s="217"/>
      <c r="M168" s="217"/>
      <c r="N168" s="217"/>
      <c r="O168" s="217"/>
      <c r="P168" s="29"/>
      <c r="Q168" s="79">
        <f>IF(D160&lt;=3,база!$L$4,
IF(D160=4,база!$L$5,
IF(D160=5,база!$L$6)))</f>
        <v>210.57480000000001</v>
      </c>
      <c r="R168" s="272">
        <v>1.4</v>
      </c>
      <c r="S168" s="99">
        <f>SUMIFS(Таблица1[сумма],Таблица1[коэф],"1,4",Таблица1[р/р],"3/16",Таблица1[Ф. И. О.],B165)</f>
        <v>0</v>
      </c>
      <c r="T168" s="93">
        <f t="shared" ref="T168:T173" si="104">ROUND(Q168*R168*S168,2)</f>
        <v>0</v>
      </c>
      <c r="U168" s="366">
        <f>IF(D160&lt;=3,база!$M$4,
IF(D160=4,база!$M$5,
IF(D160=5,база!$M$6)))</f>
        <v>225.09719999999999</v>
      </c>
      <c r="V168" s="272">
        <v>1.4</v>
      </c>
      <c r="W168" s="307">
        <f>SUMIFS(Таблица1[сумма],Таблица1[коэф],"1,4",Таблица1[р/р],"3/24",Таблица1[Ф. И. О.],B165)</f>
        <v>0</v>
      </c>
      <c r="X168" s="313">
        <f>ROUND(U168*V168*W168,2)</f>
        <v>0</v>
      </c>
      <c r="Y168" s="849"/>
      <c r="Z168" s="840"/>
      <c r="AA168" s="843"/>
    </row>
    <row r="169" spans="1:30">
      <c r="A169" s="786"/>
      <c r="B169" s="216"/>
      <c r="C169" s="845"/>
      <c r="D169" s="847"/>
      <c r="E169" s="83"/>
      <c r="F169" s="272"/>
      <c r="G169" s="99"/>
      <c r="H169" s="93"/>
      <c r="I169" s="79"/>
      <c r="J169" s="272"/>
      <c r="K169" s="217"/>
      <c r="L169" s="217"/>
      <c r="M169" s="217"/>
      <c r="N169" s="217"/>
      <c r="O169" s="217"/>
      <c r="P169" s="29"/>
      <c r="Q169" s="79">
        <f>база!$L$5</f>
        <v>231.45480000000001</v>
      </c>
      <c r="R169" s="272">
        <v>1.4</v>
      </c>
      <c r="S169" s="99">
        <f>SUMIFS(Таблица1[сумма],Таблица1[коэф],"1,4",Таблица1[р/р],"4/16",Таблица1[Ф. И. О.],B165)</f>
        <v>0</v>
      </c>
      <c r="T169" s="93">
        <f t="shared" si="104"/>
        <v>0</v>
      </c>
      <c r="U169" s="366">
        <f>база!$M$5</f>
        <v>247.41720000000001</v>
      </c>
      <c r="V169" s="272">
        <v>1.4</v>
      </c>
      <c r="W169" s="307">
        <f>SUMIFS(Таблица1[сумма],Таблица1[коэф],"1,4",Таблица1[р/р],"4/24",Таблица1[Ф. И. О.],B165)</f>
        <v>0</v>
      </c>
      <c r="X169" s="313">
        <f>ROUND(U169*V169*W169,2)</f>
        <v>0</v>
      </c>
      <c r="Y169" s="849"/>
      <c r="Z169" s="840"/>
      <c r="AA169" s="843"/>
    </row>
    <row r="170" spans="1:30" ht="24" thickBot="1">
      <c r="A170" s="787"/>
      <c r="B170" s="216"/>
      <c r="C170" s="846"/>
      <c r="D170" s="848"/>
      <c r="E170" s="303"/>
      <c r="F170" s="275"/>
      <c r="G170" s="105"/>
      <c r="H170" s="316"/>
      <c r="I170" s="218"/>
      <c r="J170" s="275"/>
      <c r="K170" s="302"/>
      <c r="L170" s="302"/>
      <c r="M170" s="302"/>
      <c r="N170" s="302"/>
      <c r="O170" s="302"/>
      <c r="P170" s="220"/>
      <c r="Q170" s="218">
        <f>база!$L$6</f>
        <v>261.04640000000001</v>
      </c>
      <c r="R170" s="275">
        <v>1.4</v>
      </c>
      <c r="S170" s="105">
        <f>SUMIFS(Таблица1[сумма],Таблица1[коэф],"1,4",Таблица1[р/р],"5/16",Таблица1[Ф. И. О.],B165)</f>
        <v>0</v>
      </c>
      <c r="T170" s="316">
        <f t="shared" si="104"/>
        <v>0</v>
      </c>
      <c r="U170" s="369">
        <f>база!$M$6</f>
        <v>279.0496</v>
      </c>
      <c r="V170" s="275">
        <v>1.4</v>
      </c>
      <c r="W170" s="333">
        <f>SUMIFS(Таблица1[сумма],Таблица1[коэф],"1,4",Таблица1[р/р],"5/24",Таблица1[Ф. И. О.],B165)</f>
        <v>0</v>
      </c>
      <c r="X170" s="350">
        <f>ROUND(U170*V170*W170,2)</f>
        <v>0</v>
      </c>
      <c r="Y170" s="850"/>
      <c r="Z170" s="841"/>
      <c r="AA170" s="844"/>
    </row>
    <row r="171" spans="1:30">
      <c r="A171" s="785">
        <v>16</v>
      </c>
      <c r="B171" s="236"/>
      <c r="C171" s="851">
        <f>INDEX(база!$E$2:$E$81, MATCH(B176,база!$B$2:$B$50,0))</f>
        <v>15880</v>
      </c>
      <c r="D171" s="852">
        <f>INDEX(база!$D$2:$D$89, MATCH(B176,база!$B$2:$B$50,0))</f>
        <v>3</v>
      </c>
      <c r="E171" s="310">
        <f>IF(D171&lt;=3,база!$I$4,
IF(D171=4,база!$I$5,
IF(D171=5,база!$I$6)))</f>
        <v>188.7912</v>
      </c>
      <c r="F171" s="270">
        <v>1</v>
      </c>
      <c r="G171" s="96">
        <f>SUMIFS(Таблица1[сумма],Таблица1[коэф],"1",Таблица1[р/р],"2/4",Таблица1[Ф. И. О.],B176)</f>
        <v>0</v>
      </c>
      <c r="H171" s="317">
        <f>ROUND(E171*F171*G171,2)</f>
        <v>0</v>
      </c>
      <c r="I171" s="73">
        <f>IF(D171&lt;=3,база!$J$4,
IF(D171=4,база!$J$5,
IF(D171=5,база!$J$6)))</f>
        <v>196.05240000000001</v>
      </c>
      <c r="J171" s="270">
        <v>1</v>
      </c>
      <c r="K171" s="288">
        <f>SUMIFS(Таблица1[сумма],Таблица1[коэф],"1",Таблица1[р/р],"2/8",Таблица1[Ф. И. О.],B176)</f>
        <v>0</v>
      </c>
      <c r="L171" s="288">
        <f>ROUND(I171*J171*K171,2)</f>
        <v>0</v>
      </c>
      <c r="M171" s="288"/>
      <c r="N171" s="288">
        <v>1</v>
      </c>
      <c r="O171" s="288">
        <f>SUMIFS(Data_Tech!$AM$3:$AM$67,Data_Tech!$E$3:$E$67,"1",Data_Tech!$G$3:$G$67,"3/12",Data_Tech!$F$3:$F$67,B176)</f>
        <v>0</v>
      </c>
      <c r="P171" s="28">
        <f>ROUND(M171*N171*O171,2)</f>
        <v>0</v>
      </c>
      <c r="Q171" s="73">
        <f>IF(D171&lt;=3,база!$L$4,
IF(D171=4,база!$L$5,
IF(D171=5,база!$L$6)))</f>
        <v>210.57480000000001</v>
      </c>
      <c r="R171" s="270">
        <v>1</v>
      </c>
      <c r="S171" s="96">
        <f>SUMIFS(Таблица1[сумма],Таблица1[коэф],"1",Таблица1[р/р],"3/16",Таблица1[Ф. И. О.],B176)</f>
        <v>0</v>
      </c>
      <c r="T171" s="317">
        <f t="shared" si="104"/>
        <v>0</v>
      </c>
      <c r="U171" s="365">
        <f>IF(D171&lt;=3,база!$M$4,
IF(D171=4,база!$M$5,
IF(D171=5,база!$M$6)))</f>
        <v>225.09719999999999</v>
      </c>
      <c r="V171" s="270">
        <v>1</v>
      </c>
      <c r="W171" s="340">
        <f>SUMIFS(Таблица1[сумма],Таблица1[коэф],"1",Таблица1[р/р],"3/24",Таблица1[Ф. И. О.],B176)</f>
        <v>0</v>
      </c>
      <c r="X171" s="342">
        <f>ROUND(U171*V171*W171,2)</f>
        <v>0</v>
      </c>
      <c r="Y171" s="849">
        <f t="shared" ref="Y171" si="105">SUM(G171:G181,K171:K181,O171:O181,S171:S181,W171:W181)</f>
        <v>0</v>
      </c>
      <c r="Z171" s="840">
        <f t="shared" ref="Z171" si="106">IFERROR(SUM(H171:H181,L171:L181,T171:T181,X171:X181),"")</f>
        <v>0</v>
      </c>
      <c r="AA171" s="843"/>
    </row>
    <row r="172" spans="1:30">
      <c r="A172" s="786"/>
      <c r="B172" s="216"/>
      <c r="C172" s="845"/>
      <c r="D172" s="847"/>
      <c r="E172" s="83">
        <f>IF(D171&lt;=3,база!$I$4,
IF(D171=4,база!$I$5,
IF(D171=5,база!$I$6)))</f>
        <v>188.7912</v>
      </c>
      <c r="F172" s="272">
        <v>1</v>
      </c>
      <c r="G172" s="99">
        <f>SUMIFS(Таблица1[сумма],Таблица1[коэф],"1",Таблица1[р/р],"3/4",Таблица1[Ф. И. О.],B176)</f>
        <v>0</v>
      </c>
      <c r="H172" s="93">
        <f>ROUND(E172*F172*G172,2)</f>
        <v>0</v>
      </c>
      <c r="I172" s="79">
        <f>IF(D171&lt;=3,база!$J$4,
IF(D171=4,база!$J$5,
IF(D171=5,база!$J$6)))</f>
        <v>196.05240000000001</v>
      </c>
      <c r="J172" s="272">
        <v>1</v>
      </c>
      <c r="K172" s="217">
        <f>SUMIFS(Таблица1[сумма],Таблица1[коэф],"1",Таблица1[р/р],"3/8",Таблица1[Ф. И. О.],B176)</f>
        <v>0</v>
      </c>
      <c r="L172" s="217">
        <f>ROUND(I172*J172*K172,2)</f>
        <v>0</v>
      </c>
      <c r="M172" s="217"/>
      <c r="N172" s="217">
        <v>1</v>
      </c>
      <c r="O172" s="217">
        <f>SUMIFS(Data_Tech!$AM$3:$AM$67,Data_Tech!$E$3:$E$67,"1",Data_Tech!$G$3:$G$67,"4/12",Data_Tech!$F$3:$F$67,B176)</f>
        <v>0</v>
      </c>
      <c r="P172" s="29">
        <f>ROUND(M172*O172,2)</f>
        <v>0</v>
      </c>
      <c r="Q172" s="79">
        <f>база!$L$5</f>
        <v>231.45480000000001</v>
      </c>
      <c r="R172" s="272">
        <v>1</v>
      </c>
      <c r="S172" s="99">
        <f>SUMIFS(Таблица1[сумма],Таблица1[коэф],"1",Таблица1[р/р],"4/16",Таблица1[Ф. И. О.],B176)</f>
        <v>0</v>
      </c>
      <c r="T172" s="93">
        <f t="shared" si="104"/>
        <v>0</v>
      </c>
      <c r="U172" s="366">
        <f>база!$M$5</f>
        <v>247.41720000000001</v>
      </c>
      <c r="V172" s="272">
        <v>1</v>
      </c>
      <c r="W172" s="307">
        <f>SUMIFS(Таблица1[сумма],Таблица1[коэф],"1",Таблица1[р/р],"4/24",Таблица1[Ф. И. О.],B176)</f>
        <v>0</v>
      </c>
      <c r="X172" s="313">
        <f t="shared" ref="X172" si="107">ROUND(U172*V172*W172,2)</f>
        <v>0</v>
      </c>
      <c r="Y172" s="849"/>
      <c r="Z172" s="840"/>
      <c r="AA172" s="843"/>
    </row>
    <row r="173" spans="1:30">
      <c r="A173" s="786"/>
      <c r="B173" s="216"/>
      <c r="C173" s="845"/>
      <c r="D173" s="847"/>
      <c r="E173" s="83"/>
      <c r="F173" s="272"/>
      <c r="G173" s="99"/>
      <c r="H173" s="93"/>
      <c r="I173" s="79"/>
      <c r="J173" s="272"/>
      <c r="K173" s="217"/>
      <c r="L173" s="217"/>
      <c r="M173" s="217"/>
      <c r="N173" s="217"/>
      <c r="O173" s="217"/>
      <c r="P173" s="29"/>
      <c r="Q173" s="79">
        <f>база!$L$6</f>
        <v>261.04640000000001</v>
      </c>
      <c r="R173" s="272">
        <v>1</v>
      </c>
      <c r="S173" s="99">
        <f>SUMIFS(Таблица1[сумма],Таблица1[коэф],"1",Таблица1[р/р],"5/16",Таблица1[Ф. И. О.],B176)</f>
        <v>0</v>
      </c>
      <c r="T173" s="93">
        <f t="shared" si="104"/>
        <v>0</v>
      </c>
      <c r="U173" s="366">
        <f>база!$M$6</f>
        <v>279.0496</v>
      </c>
      <c r="V173" s="272">
        <v>1</v>
      </c>
      <c r="W173" s="307">
        <f>SUMIFS(Таблица1[сумма],Таблица1[коэф],"1",Таблица1[р/р],"5/24",Таблица1[Ф. И. О.],B176)</f>
        <v>0</v>
      </c>
      <c r="X173" s="313">
        <f>ROUND(U173*V173*W173,2)</f>
        <v>0</v>
      </c>
      <c r="Y173" s="849"/>
      <c r="Z173" s="840"/>
      <c r="AA173" s="843"/>
    </row>
    <row r="174" spans="1:30">
      <c r="A174" s="786"/>
      <c r="B174" s="216"/>
      <c r="C174" s="845"/>
      <c r="D174" s="847"/>
      <c r="E174" s="83"/>
      <c r="F174" s="272"/>
      <c r="G174" s="99"/>
      <c r="H174" s="93"/>
      <c r="I174" s="79">
        <f>база!$J$5</f>
        <v>215.4924</v>
      </c>
      <c r="J174" s="272">
        <v>1.5</v>
      </c>
      <c r="K174" s="217">
        <f>SUMIFS(Таблица1[сумма],Таблица1[коэф],"1,5",Таблица1[р/р],"4/8",Таблица1[Ф. И. О.],B176)</f>
        <v>0</v>
      </c>
      <c r="L174" s="217">
        <f>ROUND(I174*J174*K174,2)</f>
        <v>0</v>
      </c>
      <c r="M174" s="217"/>
      <c r="N174" s="217"/>
      <c r="O174" s="217"/>
      <c r="P174" s="29"/>
      <c r="Q174" s="79">
        <f>IF(D171&lt;=3,база!$L$4,
IF(D171=4,база!$L$5,
IF(D171=5,база!$L$6)))</f>
        <v>210.57480000000001</v>
      </c>
      <c r="R174" s="272">
        <v>1.2</v>
      </c>
      <c r="S174" s="99">
        <f>SUMIFS(Таблица1[сумма],Таблица1[коэф],"1,2",Таблица1[р/р],"3/16",Таблица1[Ф. И. О.],B176)</f>
        <v>0</v>
      </c>
      <c r="T174" s="93">
        <f t="shared" ref="T174:T175" si="108">ROUND(Q174*R174*S174,2)</f>
        <v>0</v>
      </c>
      <c r="U174" s="366">
        <f>IF(D171&lt;=3,база!$M$4,
IF(D171=4,база!$M$5,
IF(D171=5,база!$M$6)))</f>
        <v>225.09719999999999</v>
      </c>
      <c r="V174" s="272">
        <v>1.2</v>
      </c>
      <c r="W174" s="307">
        <f>SUMIFS(Таблица1[сумма],Таблица1[коэф],"1,2",Таблица1[р/р],"3/24",Таблица1[Ф. И. О.],B176)</f>
        <v>0</v>
      </c>
      <c r="X174" s="313">
        <f t="shared" ref="X174:X175" si="109">ROUND(U174*V174*W174,2)</f>
        <v>0</v>
      </c>
      <c r="Y174" s="849"/>
      <c r="Z174" s="840"/>
      <c r="AA174" s="843"/>
    </row>
    <row r="175" spans="1:30">
      <c r="A175" s="786"/>
      <c r="B175" s="216"/>
      <c r="C175" s="845"/>
      <c r="D175" s="847"/>
      <c r="E175" s="83"/>
      <c r="F175" s="272"/>
      <c r="G175" s="99"/>
      <c r="H175" s="93"/>
      <c r="I175" s="79">
        <f>база!$J$6</f>
        <v>243.04319999999998</v>
      </c>
      <c r="J175" s="272">
        <v>1.5</v>
      </c>
      <c r="K175" s="217">
        <f>SUMIFS(Таблица1[сумма],Таблица1[коэф],"1,5",Таблица1[р/р],"5/8",Таблица1[Ф. И. О.],B176)</f>
        <v>0</v>
      </c>
      <c r="L175" s="217">
        <f>ROUND(I175*J175*K175,2)</f>
        <v>0</v>
      </c>
      <c r="M175" s="217"/>
      <c r="N175" s="217"/>
      <c r="O175" s="217"/>
      <c r="P175" s="29"/>
      <c r="Q175" s="79">
        <f>база!$L$5</f>
        <v>231.45480000000001</v>
      </c>
      <c r="R175" s="272">
        <v>1.2</v>
      </c>
      <c r="S175" s="99">
        <f>SUMIFS(Таблица1[сумма],Таблица1[коэф],"1,2",Таблица1[р/р],"4/16",Таблица1[Ф. И. О.],B176)</f>
        <v>0</v>
      </c>
      <c r="T175" s="93">
        <f t="shared" si="108"/>
        <v>0</v>
      </c>
      <c r="U175" s="366">
        <f>база!$M$5</f>
        <v>247.41720000000001</v>
      </c>
      <c r="V175" s="272">
        <v>1.2</v>
      </c>
      <c r="W175" s="307">
        <f>SUMIFS(Таблица1[сумма],Таблица1[коэф],"1,2",Таблица1[р/р],"4/24",Таблица1[Ф. И. О.],B176)</f>
        <v>0</v>
      </c>
      <c r="X175" s="313">
        <f t="shared" si="109"/>
        <v>0</v>
      </c>
      <c r="Y175" s="849"/>
      <c r="Z175" s="840"/>
      <c r="AA175" s="843"/>
      <c r="AC175" s="722" t="str">
        <f>IF(SUMIFS(Таблица1[Столбец2],Таблица1[Ф. И. О.],B176)-Z171=0,"",SUMIFS(Таблица1[Столбец2],Таблица1[Ф. И. О.],B176)-Z171)</f>
        <v/>
      </c>
    </row>
    <row r="176" spans="1:30">
      <c r="A176" s="786"/>
      <c r="B176" s="216" t="str">
        <f>база!B17</f>
        <v>Грешнова Ольга Викторовна</v>
      </c>
      <c r="C176" s="845"/>
      <c r="D176" s="847"/>
      <c r="E176" s="83"/>
      <c r="F176" s="272"/>
      <c r="G176" s="99"/>
      <c r="H176" s="93"/>
      <c r="I176" s="79"/>
      <c r="J176" s="272"/>
      <c r="K176" s="217"/>
      <c r="L176" s="217"/>
      <c r="M176" s="217"/>
      <c r="N176" s="217"/>
      <c r="O176" s="217"/>
      <c r="P176" s="29"/>
      <c r="Q176" s="79">
        <f>база!$L$6</f>
        <v>261.04640000000001</v>
      </c>
      <c r="R176" s="272">
        <v>1.2</v>
      </c>
      <c r="S176" s="99">
        <f>SUMIFS(Таблица1[сумма],Таблица1[коэф],"1,2",Таблица1[р/р],"5/16",Таблица1[Ф. И. О.],B176)</f>
        <v>0</v>
      </c>
      <c r="T176" s="93">
        <f>ROUND(Q176*R176*S176,2)</f>
        <v>0</v>
      </c>
      <c r="U176" s="366">
        <f>база!$M$6</f>
        <v>279.0496</v>
      </c>
      <c r="V176" s="272">
        <v>1.2</v>
      </c>
      <c r="W176" s="307">
        <f>SUMIFS(Таблица1[сумма],Таблица1[коэф],"1,2",Таблица1[р/р],"5/24",Таблица1[Ф. И. О.],B176)</f>
        <v>0</v>
      </c>
      <c r="X176" s="313">
        <f>ROUND(U176*V176*W176,2)</f>
        <v>0</v>
      </c>
      <c r="Y176" s="849"/>
      <c r="Z176" s="840"/>
      <c r="AA176" s="843"/>
      <c r="AC176" s="722" t="str">
        <f>IF(SUMIFS(Таблица1[сумма],Таблица1[Ф. И. О.],B176)=Y171,"",B171&amp;"  часы не верны")</f>
        <v/>
      </c>
      <c r="AD176" s="759">
        <f>INDEX('[2]декабрь 23'!$AI$4:$AI$100,MATCH(C171,'[2]декабрь 23'!$AK$4:$AK$100,0))</f>
        <v>0</v>
      </c>
    </row>
    <row r="177" spans="1:30">
      <c r="A177" s="786"/>
      <c r="B177" s="216"/>
      <c r="C177" s="845"/>
      <c r="D177" s="847"/>
      <c r="E177" s="83"/>
      <c r="F177" s="272"/>
      <c r="G177" s="99"/>
      <c r="H177" s="93"/>
      <c r="I177" s="79"/>
      <c r="J177" s="272"/>
      <c r="K177" s="217"/>
      <c r="L177" s="217"/>
      <c r="M177" s="217"/>
      <c r="N177" s="217"/>
      <c r="O177" s="217"/>
      <c r="P177" s="29"/>
      <c r="Q177" s="79">
        <f>IF($D$6&lt;=3,база!$L$4,
IF($D$6=4,база!$L$5,
IF($D$6=5,база!$L$6)))</f>
        <v>231.45480000000001</v>
      </c>
      <c r="R177" s="272">
        <v>1.3</v>
      </c>
      <c r="S177" s="99">
        <f>SUMIFS(Таблица1[сумма],Таблица1[коэф],"1,3",Таблица1[р/р],"3/16",Таблица1[Ф. И. О.],B176)</f>
        <v>0</v>
      </c>
      <c r="T177" s="93">
        <f t="shared" ref="T177:T178" si="110">ROUND(Q177*R177*S177,2)</f>
        <v>0</v>
      </c>
      <c r="U177" s="366">
        <f>IF(D171&lt;=3,база!$M$4,
IF(D171=4,база!$M$5,
IF(D171=5,база!$M$6)))</f>
        <v>225.09719999999999</v>
      </c>
      <c r="V177" s="272">
        <v>1.3</v>
      </c>
      <c r="W177" s="307">
        <f>SUMIFS(Таблица1[сумма],Таблица1[коэф],"1,3",Таблица1[р/р],"3/24",Таблица1[Ф. И. О.],B176)</f>
        <v>0</v>
      </c>
      <c r="X177" s="313">
        <f t="shared" ref="X177:X178" si="111">ROUND(U177*V177*W177,2)</f>
        <v>0</v>
      </c>
      <c r="Y177" s="849"/>
      <c r="Z177" s="840"/>
      <c r="AA177" s="843"/>
    </row>
    <row r="178" spans="1:30">
      <c r="A178" s="786"/>
      <c r="B178" s="216"/>
      <c r="C178" s="845"/>
      <c r="D178" s="847"/>
      <c r="E178" s="83"/>
      <c r="F178" s="272"/>
      <c r="G178" s="99"/>
      <c r="H178" s="93"/>
      <c r="I178" s="79"/>
      <c r="J178" s="272"/>
      <c r="K178" s="217"/>
      <c r="L178" s="217"/>
      <c r="M178" s="217"/>
      <c r="N178" s="217"/>
      <c r="O178" s="217"/>
      <c r="P178" s="29"/>
      <c r="Q178" s="79">
        <f>база!$L$5</f>
        <v>231.45480000000001</v>
      </c>
      <c r="R178" s="272">
        <v>1.3</v>
      </c>
      <c r="S178" s="99">
        <f>SUMIFS(Таблица1[сумма],Таблица1[коэф],"1,3",Таблица1[р/р],"4/16",Таблица1[Ф. И. О.],B176)</f>
        <v>0</v>
      </c>
      <c r="T178" s="93">
        <f t="shared" si="110"/>
        <v>0</v>
      </c>
      <c r="U178" s="366">
        <f>база!$M$5</f>
        <v>247.41720000000001</v>
      </c>
      <c r="V178" s="272">
        <v>1.3</v>
      </c>
      <c r="W178" s="307">
        <f>SUMIFS(Таблица1[сумма],Таблица1[коэф],"1,3",Таблица1[р/р],"4/24",Таблица1[Ф. И. О.],B176)</f>
        <v>0</v>
      </c>
      <c r="X178" s="313">
        <f t="shared" si="111"/>
        <v>0</v>
      </c>
      <c r="Y178" s="849"/>
      <c r="Z178" s="840"/>
      <c r="AA178" s="843"/>
    </row>
    <row r="179" spans="1:30">
      <c r="A179" s="786"/>
      <c r="B179" s="216"/>
      <c r="C179" s="845"/>
      <c r="D179" s="847"/>
      <c r="E179" s="83"/>
      <c r="F179" s="272"/>
      <c r="G179" s="99"/>
      <c r="H179" s="93"/>
      <c r="I179" s="79"/>
      <c r="J179" s="272"/>
      <c r="K179" s="217"/>
      <c r="L179" s="217"/>
      <c r="M179" s="217"/>
      <c r="N179" s="217"/>
      <c r="O179" s="217"/>
      <c r="P179" s="29"/>
      <c r="Q179" s="79">
        <f>IF(D171&lt;=3,база!$L$4,
IF(D171=4,база!$L$5,
IF(D171=5,база!$L$6)))</f>
        <v>210.57480000000001</v>
      </c>
      <c r="R179" s="272">
        <v>1.4</v>
      </c>
      <c r="S179" s="99">
        <f>SUMIFS(Таблица1[сумма],Таблица1[коэф],"1,4",Таблица1[р/р],"3/16",Таблица1[Ф. И. О.],B176)</f>
        <v>0</v>
      </c>
      <c r="T179" s="93">
        <f t="shared" ref="T179:T184" si="112">ROUND(Q179*R179*S179,2)</f>
        <v>0</v>
      </c>
      <c r="U179" s="366">
        <f>IF(D171&lt;=3,база!$M$4,
IF(D171=4,база!$M$5,
IF(D171=5,база!$M$6)))</f>
        <v>225.09719999999999</v>
      </c>
      <c r="V179" s="272">
        <v>1.4</v>
      </c>
      <c r="W179" s="307">
        <f>SUMIFS(Таблица1[сумма],Таблица1[коэф],"1,4",Таблица1[р/р],"3/24",Таблица1[Ф. И. О.],B176)</f>
        <v>0</v>
      </c>
      <c r="X179" s="313">
        <f>ROUND(U179*V179*W179,2)</f>
        <v>0</v>
      </c>
      <c r="Y179" s="849"/>
      <c r="Z179" s="840"/>
      <c r="AA179" s="843"/>
    </row>
    <row r="180" spans="1:30">
      <c r="A180" s="786"/>
      <c r="B180" s="216"/>
      <c r="C180" s="845"/>
      <c r="D180" s="847"/>
      <c r="E180" s="83"/>
      <c r="F180" s="272"/>
      <c r="G180" s="99"/>
      <c r="H180" s="93"/>
      <c r="I180" s="79"/>
      <c r="J180" s="272"/>
      <c r="K180" s="217"/>
      <c r="L180" s="217"/>
      <c r="M180" s="217"/>
      <c r="N180" s="217"/>
      <c r="O180" s="217"/>
      <c r="P180" s="29"/>
      <c r="Q180" s="79">
        <f>база!$L$5</f>
        <v>231.45480000000001</v>
      </c>
      <c r="R180" s="272">
        <v>1.4</v>
      </c>
      <c r="S180" s="99">
        <f>SUMIFS(Таблица1[сумма],Таблица1[коэф],"1,4",Таблица1[р/р],"4/16",Таблица1[Ф. И. О.],B176)</f>
        <v>0</v>
      </c>
      <c r="T180" s="93">
        <f t="shared" si="112"/>
        <v>0</v>
      </c>
      <c r="U180" s="366">
        <f>база!$M$5</f>
        <v>247.41720000000001</v>
      </c>
      <c r="V180" s="272">
        <v>1.4</v>
      </c>
      <c r="W180" s="307">
        <f>SUMIFS(Таблица1[сумма],Таблица1[коэф],"1,4",Таблица1[р/р],"4/24",Таблица1[Ф. И. О.],B176)</f>
        <v>0</v>
      </c>
      <c r="X180" s="313">
        <f>ROUND(U180*V180*W180,2)</f>
        <v>0</v>
      </c>
      <c r="Y180" s="849"/>
      <c r="Z180" s="840"/>
      <c r="AA180" s="843"/>
    </row>
    <row r="181" spans="1:30" ht="24" thickBot="1">
      <c r="A181" s="787"/>
      <c r="B181" s="203"/>
      <c r="C181" s="846"/>
      <c r="D181" s="848"/>
      <c r="E181" s="221"/>
      <c r="F181" s="274"/>
      <c r="G181" s="98"/>
      <c r="H181" s="239"/>
      <c r="I181" s="102"/>
      <c r="J181" s="274"/>
      <c r="K181" s="289"/>
      <c r="L181" s="289"/>
      <c r="M181" s="289"/>
      <c r="N181" s="289"/>
      <c r="O181" s="289"/>
      <c r="P181" s="26"/>
      <c r="Q181" s="102">
        <f>база!$L$6</f>
        <v>261.04640000000001</v>
      </c>
      <c r="R181" s="274">
        <v>1.4</v>
      </c>
      <c r="S181" s="98">
        <f>SUMIFS(Таблица1[сумма],Таблица1[коэф],"1,4",Таблица1[р/р],"5/16",Таблица1[Ф. И. О.],B176)</f>
        <v>0</v>
      </c>
      <c r="T181" s="239">
        <f t="shared" si="112"/>
        <v>0</v>
      </c>
      <c r="U181" s="367">
        <f>база!$M$6</f>
        <v>279.0496</v>
      </c>
      <c r="V181" s="274">
        <v>1.4</v>
      </c>
      <c r="W181" s="312">
        <f>SUMIFS(Таблица1[сумма],Таблица1[коэф],"1,4",Таблица1[р/р],"5/24",Таблица1[Ф. И. О.],B176)</f>
        <v>0</v>
      </c>
      <c r="X181" s="343">
        <f>ROUND(U181*V181*W181,2)</f>
        <v>0</v>
      </c>
      <c r="Y181" s="850"/>
      <c r="Z181" s="841"/>
      <c r="AA181" s="844"/>
    </row>
    <row r="182" spans="1:30" ht="18.75" customHeight="1">
      <c r="A182" s="785">
        <v>17</v>
      </c>
      <c r="B182" s="216"/>
      <c r="C182" s="851">
        <f>INDEX(база!$E$2:$E$81, MATCH(B187,база!$B$2:$B$50,0))</f>
        <v>15894</v>
      </c>
      <c r="D182" s="852">
        <f>INDEX(база!$D$2:$D$89, MATCH(B187,база!$B$2:$B$50,0))</f>
        <v>3</v>
      </c>
      <c r="E182" s="73">
        <f>IF(D182&lt;=3,база!$I$4,
IF(D182=4,база!$I$5,
IF(D182=5,база!$I$6)))</f>
        <v>188.7912</v>
      </c>
      <c r="F182" s="270">
        <v>1</v>
      </c>
      <c r="G182" s="96">
        <f>SUMIFS(Таблица1[сумма],Таблица1[коэф],"1",Таблица1[р/р],"2/4",Таблица1[Ф. И. О.],B187)</f>
        <v>0</v>
      </c>
      <c r="H182" s="88">
        <f>ROUND(E182*F182*G182,2)</f>
        <v>0</v>
      </c>
      <c r="I182" s="82">
        <f>IF(D182&lt;=3,база!$J$4,
IF(D182=4,база!$J$5,
IF(D182=5,база!$J$6)))</f>
        <v>196.05240000000001</v>
      </c>
      <c r="J182" s="271">
        <v>1</v>
      </c>
      <c r="K182" s="309">
        <f>SUMIFS(Таблица1[сумма],Таблица1[коэф],"1",Таблица1[р/р],"2/8",Таблица1[Ф. И. О.],B187)</f>
        <v>0</v>
      </c>
      <c r="L182" s="309">
        <f>ROUND(I182*J182*K182,2)</f>
        <v>0</v>
      </c>
      <c r="M182" s="309"/>
      <c r="N182" s="309">
        <v>1</v>
      </c>
      <c r="O182" s="309">
        <f>SUMIFS(Data_Tech!$AM$3:$AM$67,Data_Tech!$E$3:$E$67,"1",Data_Tech!$G$3:$G$67,"3/12",Data_Tech!$F$3:$F$67,B187)</f>
        <v>0</v>
      </c>
      <c r="P182" s="282">
        <f>ROUND(M182*N182*O182,2)</f>
        <v>0</v>
      </c>
      <c r="Q182" s="73">
        <f>IF(D182&lt;=3,база!$L$4,
IF(D182=4,база!$L$5,
IF(D182=5,база!$L$6)))</f>
        <v>210.57480000000001</v>
      </c>
      <c r="R182" s="270">
        <v>1</v>
      </c>
      <c r="S182" s="96">
        <f>SUMIFS(Таблица1[сумма],Таблица1[коэф],"1",Таблица1[р/р],"3/16",Таблица1[Ф. И. О.],B187)</f>
        <v>0</v>
      </c>
      <c r="T182" s="88">
        <f t="shared" si="112"/>
        <v>0</v>
      </c>
      <c r="U182" s="368">
        <f>IF(D182&lt;=3,база!$M$4,
IF(D182=4,база!$M$5,
IF(D182=5,база!$M$6)))</f>
        <v>225.09719999999999</v>
      </c>
      <c r="V182" s="271">
        <v>1</v>
      </c>
      <c r="W182" s="337">
        <f>SUMIFS(Таблица1[сумма],Таблица1[коэф],"1",Таблица1[р/р],"3/24",Таблица1[Ф. И. О.],B187)</f>
        <v>0</v>
      </c>
      <c r="X182" s="342">
        <f>ROUND(U182*V182*W182,2)</f>
        <v>0</v>
      </c>
      <c r="Y182" s="849">
        <f t="shared" ref="Y182" si="113">SUM(G182:G192,K182:K192,O182:O192,S182:S192,W182:W192)</f>
        <v>0</v>
      </c>
      <c r="Z182" s="840">
        <f t="shared" ref="Z182" si="114">IFERROR(SUM(H182:H192,L182:L192,T182:T192,X182:X192),"")</f>
        <v>0</v>
      </c>
      <c r="AA182" s="843"/>
    </row>
    <row r="183" spans="1:30" ht="18.75" customHeight="1">
      <c r="A183" s="786"/>
      <c r="B183" s="216"/>
      <c r="C183" s="845"/>
      <c r="D183" s="847"/>
      <c r="E183" s="79">
        <f>IF(D182&lt;=3,база!$I$4,
IF(D182=4,база!$I$5,
IF(D182=5,база!$I$6)))</f>
        <v>188.7912</v>
      </c>
      <c r="F183" s="272">
        <v>1</v>
      </c>
      <c r="G183" s="99">
        <f>SUMIFS(Таблица1[сумма],Таблица1[коэф],"1",Таблица1[р/р],"3/4",Таблица1[Ф. И. О.],B187)</f>
        <v>0</v>
      </c>
      <c r="H183" s="95">
        <f>ROUND(E183*F183*G183,2)</f>
        <v>0</v>
      </c>
      <c r="I183" s="83">
        <f>IF(D182&lt;=3,база!$J$4,
IF(D182=4,база!$J$5,
IF(D182=5,база!$J$6)))</f>
        <v>196.05240000000001</v>
      </c>
      <c r="J183" s="272">
        <v>1</v>
      </c>
      <c r="K183" s="217">
        <f>SUMIFS(Таблица1[сумма],Таблица1[коэф],"1",Таблица1[р/р],"3/8",Таблица1[Ф. И. О.],B187)</f>
        <v>0</v>
      </c>
      <c r="L183" s="217">
        <f>ROUND(I183*J183*K183,2)</f>
        <v>0</v>
      </c>
      <c r="M183" s="217"/>
      <c r="N183" s="217">
        <v>1</v>
      </c>
      <c r="O183" s="217">
        <f>SUMIFS(Data_Tech!$AM$3:$AM$67,Data_Tech!$E$3:$E$67,"1",Data_Tech!$G$3:$G$67,"4/12",Data_Tech!$F$3:$F$67,B187)</f>
        <v>0</v>
      </c>
      <c r="P183" s="30">
        <f>ROUND(M183*O183,2)</f>
        <v>0</v>
      </c>
      <c r="Q183" s="79">
        <f>база!$L$5</f>
        <v>231.45480000000001</v>
      </c>
      <c r="R183" s="272">
        <v>1</v>
      </c>
      <c r="S183" s="99">
        <f>SUMIFS(Таблица1[сумма],Таблица1[коэф],"1",Таблица1[р/р],"4/16",Таблица1[Ф. И. О.],B187)</f>
        <v>0</v>
      </c>
      <c r="T183" s="95">
        <f t="shared" si="112"/>
        <v>0</v>
      </c>
      <c r="U183" s="361">
        <f>база!$M$5</f>
        <v>247.41720000000001</v>
      </c>
      <c r="V183" s="272">
        <v>1</v>
      </c>
      <c r="W183" s="307">
        <f>SUMIFS(Таблица1[сумма],Таблица1[коэф],"1",Таблица1[р/р],"4/24",Таблица1[Ф. И. О.],B187)</f>
        <v>0</v>
      </c>
      <c r="X183" s="313">
        <f t="shared" ref="X183" si="115">ROUND(U183*V183*W183,2)</f>
        <v>0</v>
      </c>
      <c r="Y183" s="849"/>
      <c r="Z183" s="840"/>
      <c r="AA183" s="843"/>
    </row>
    <row r="184" spans="1:30" ht="19.5" customHeight="1">
      <c r="A184" s="786"/>
      <c r="B184" s="216"/>
      <c r="C184" s="845"/>
      <c r="D184" s="847"/>
      <c r="E184" s="79"/>
      <c r="F184" s="272"/>
      <c r="G184" s="99"/>
      <c r="H184" s="95"/>
      <c r="I184" s="83"/>
      <c r="J184" s="272"/>
      <c r="K184" s="217"/>
      <c r="L184" s="217"/>
      <c r="M184" s="217"/>
      <c r="N184" s="217"/>
      <c r="O184" s="217"/>
      <c r="P184" s="30"/>
      <c r="Q184" s="79">
        <f>база!$L$6</f>
        <v>261.04640000000001</v>
      </c>
      <c r="R184" s="272">
        <v>1</v>
      </c>
      <c r="S184" s="99">
        <f>SUMIFS(Таблица1[сумма],Таблица1[коэф],"1",Таблица1[р/р],"5/16",Таблица1[Ф. И. О.],B187)</f>
        <v>0</v>
      </c>
      <c r="T184" s="95">
        <f t="shared" si="112"/>
        <v>0</v>
      </c>
      <c r="U184" s="361">
        <f>база!$M$6</f>
        <v>279.0496</v>
      </c>
      <c r="V184" s="272">
        <v>1</v>
      </c>
      <c r="W184" s="307">
        <f>SUMIFS(Таблица1[сумма],Таблица1[коэф],"1",Таблица1[р/р],"5/24",Таблица1[Ф. И. О.],B187)</f>
        <v>0</v>
      </c>
      <c r="X184" s="313">
        <f>ROUND(U184*V184*W184,2)</f>
        <v>0</v>
      </c>
      <c r="Y184" s="849"/>
      <c r="Z184" s="840"/>
      <c r="AA184" s="843"/>
    </row>
    <row r="185" spans="1:30" ht="19.5" customHeight="1">
      <c r="A185" s="786"/>
      <c r="B185" s="216"/>
      <c r="C185" s="845"/>
      <c r="D185" s="847"/>
      <c r="E185" s="79"/>
      <c r="F185" s="272"/>
      <c r="G185" s="99"/>
      <c r="H185" s="95"/>
      <c r="I185" s="83">
        <f>база!$J$5</f>
        <v>215.4924</v>
      </c>
      <c r="J185" s="272">
        <v>1.5</v>
      </c>
      <c r="K185" s="217">
        <f>SUMIFS(Таблица1[сумма],Таблица1[коэф],"1,5",Таблица1[р/р],"4/8",Таблица1[Ф. И. О.],B187)</f>
        <v>0</v>
      </c>
      <c r="L185" s="217">
        <f>ROUND(I185*J185*K185,2)</f>
        <v>0</v>
      </c>
      <c r="M185" s="217"/>
      <c r="N185" s="217"/>
      <c r="O185" s="217"/>
      <c r="P185" s="30"/>
      <c r="Q185" s="79">
        <f>IF(D182&lt;=3,база!$L$4,
IF(D182=4,база!$L$5,
IF(D182=5,база!$L$6)))</f>
        <v>210.57480000000001</v>
      </c>
      <c r="R185" s="272">
        <v>1.2</v>
      </c>
      <c r="S185" s="99">
        <f>SUMIFS(Таблица1[сумма],Таблица1[коэф],"1,2",Таблица1[р/р],"3/16",Таблица1[Ф. И. О.],B187)</f>
        <v>0</v>
      </c>
      <c r="T185" s="95">
        <f t="shared" ref="T185:T186" si="116">ROUND(Q185*R185*S185,2)</f>
        <v>0</v>
      </c>
      <c r="U185" s="361">
        <f>IF(D182&lt;=3,база!$M$4,
IF(D182=4,база!$M$5,
IF(D182=5,база!$M$6)))</f>
        <v>225.09719999999999</v>
      </c>
      <c r="V185" s="272">
        <v>1.2</v>
      </c>
      <c r="W185" s="307">
        <f>SUMIFS(Таблица1[сумма],Таблица1[коэф],"1,2",Таблица1[р/р],"3/24",Таблица1[Ф. И. О.],B187)</f>
        <v>0</v>
      </c>
      <c r="X185" s="313">
        <f t="shared" ref="X185:X186" si="117">ROUND(U185*V185*W185,2)</f>
        <v>0</v>
      </c>
      <c r="Y185" s="849"/>
      <c r="Z185" s="840"/>
      <c r="AA185" s="843"/>
    </row>
    <row r="186" spans="1:30" ht="19.5" customHeight="1">
      <c r="A186" s="786"/>
      <c r="B186" s="216"/>
      <c r="C186" s="845"/>
      <c r="D186" s="847"/>
      <c r="E186" s="79"/>
      <c r="F186" s="272"/>
      <c r="G186" s="99"/>
      <c r="H186" s="95"/>
      <c r="I186" s="83">
        <f>база!$J$6</f>
        <v>243.04319999999998</v>
      </c>
      <c r="J186" s="272">
        <v>1.5</v>
      </c>
      <c r="K186" s="217">
        <f>SUMIFS(Таблица1[сумма],Таблица1[коэф],"1,5",Таблица1[р/р],"5/8",Таблица1[Ф. И. О.],B187)</f>
        <v>0</v>
      </c>
      <c r="L186" s="217">
        <f>ROUND(I186*J186*K186,2)</f>
        <v>0</v>
      </c>
      <c r="M186" s="217"/>
      <c r="N186" s="217"/>
      <c r="O186" s="217"/>
      <c r="P186" s="30"/>
      <c r="Q186" s="79">
        <f>база!$L$5</f>
        <v>231.45480000000001</v>
      </c>
      <c r="R186" s="272">
        <v>1.2</v>
      </c>
      <c r="S186" s="99">
        <f>SUMIFS(Таблица1[сумма],Таблица1[коэф],"1,2",Таблица1[р/р],"4/16",Таблица1[Ф. И. О.],B187)</f>
        <v>0</v>
      </c>
      <c r="T186" s="95">
        <f t="shared" si="116"/>
        <v>0</v>
      </c>
      <c r="U186" s="361">
        <f>база!$M$5</f>
        <v>247.41720000000001</v>
      </c>
      <c r="V186" s="272">
        <v>1.2</v>
      </c>
      <c r="W186" s="307">
        <f>SUMIFS(Таблица1[сумма],Таблица1[коэф],"1,2",Таблица1[р/р],"4/24",Таблица1[Ф. И. О.],B187)</f>
        <v>0</v>
      </c>
      <c r="X186" s="313">
        <f t="shared" si="117"/>
        <v>0</v>
      </c>
      <c r="Y186" s="849"/>
      <c r="Z186" s="840"/>
      <c r="AA186" s="843"/>
      <c r="AC186" s="722" t="str">
        <f>IF(SUMIFS(Таблица1[Столбец2],Таблица1[Ф. И. О.],B187)-Z182=0,"",SUMIFS(Таблица1[Столбец2],Таблица1[Ф. И. О.],B187)-Z182)</f>
        <v/>
      </c>
    </row>
    <row r="187" spans="1:30" ht="19.5" customHeight="1">
      <c r="A187" s="786"/>
      <c r="B187" s="216" t="str">
        <f>база!B18</f>
        <v>Груздева Олеся Изидоровна</v>
      </c>
      <c r="C187" s="845"/>
      <c r="D187" s="847"/>
      <c r="E187" s="79"/>
      <c r="F187" s="272"/>
      <c r="G187" s="99"/>
      <c r="H187" s="95"/>
      <c r="I187" s="83"/>
      <c r="J187" s="272"/>
      <c r="K187" s="217"/>
      <c r="L187" s="217"/>
      <c r="M187" s="217"/>
      <c r="N187" s="217"/>
      <c r="O187" s="217"/>
      <c r="P187" s="30"/>
      <c r="Q187" s="79">
        <f>база!$L$6</f>
        <v>261.04640000000001</v>
      </c>
      <c r="R187" s="272">
        <v>1.2</v>
      </c>
      <c r="S187" s="99">
        <f>SUMIFS(Таблица1[сумма],Таблица1[коэф],"1,2",Таблица1[р/р],"5/16",Таблица1[Ф. И. О.],B187)</f>
        <v>0</v>
      </c>
      <c r="T187" s="95">
        <f>ROUND(Q187*R187*S187,2)</f>
        <v>0</v>
      </c>
      <c r="U187" s="361">
        <f>база!$M$6</f>
        <v>279.0496</v>
      </c>
      <c r="V187" s="272">
        <v>1.2</v>
      </c>
      <c r="W187" s="307">
        <f>SUMIFS(Таблица1[сумма],Таблица1[коэф],"1,2",Таблица1[р/р],"5/24",Таблица1[Ф. И. О.],B187)</f>
        <v>0</v>
      </c>
      <c r="X187" s="313">
        <f>ROUND(U187*V187*W187,2)</f>
        <v>0</v>
      </c>
      <c r="Y187" s="849"/>
      <c r="Z187" s="840"/>
      <c r="AA187" s="843"/>
      <c r="AC187" s="722" t="str">
        <f>IF(SUMIFS(Таблица1[сумма],Таблица1[Ф. И. О.],B187)=Y182,"",B182&amp;"  часы не верны")</f>
        <v/>
      </c>
      <c r="AD187" s="759">
        <f>INDEX('[2]декабрь 23'!$AI$4:$AI$100,MATCH(C182,'[2]декабрь 23'!$AK$4:$AK$100,0))</f>
        <v>108.00000000000003</v>
      </c>
    </row>
    <row r="188" spans="1:30" ht="19.5" customHeight="1">
      <c r="A188" s="786"/>
      <c r="B188" s="216"/>
      <c r="C188" s="845"/>
      <c r="D188" s="847"/>
      <c r="E188" s="79"/>
      <c r="F188" s="272"/>
      <c r="G188" s="99"/>
      <c r="H188" s="95"/>
      <c r="I188" s="83"/>
      <c r="J188" s="272"/>
      <c r="K188" s="217"/>
      <c r="L188" s="217"/>
      <c r="M188" s="217"/>
      <c r="N188" s="217"/>
      <c r="O188" s="217"/>
      <c r="P188" s="30"/>
      <c r="Q188" s="79">
        <f>IF($D$6&lt;=3,база!$L$4,
IF($D$6=4,база!$L$5,
IF($D$6=5,база!$L$6)))</f>
        <v>231.45480000000001</v>
      </c>
      <c r="R188" s="272">
        <v>1.3</v>
      </c>
      <c r="S188" s="99">
        <f>SUMIFS(Таблица1[сумма],Таблица1[коэф],"1,3",Таблица1[р/р],"3/16",Таблица1[Ф. И. О.],B187)</f>
        <v>0</v>
      </c>
      <c r="T188" s="95">
        <f t="shared" ref="T188:T189" si="118">ROUND(Q188*R188*S188,2)</f>
        <v>0</v>
      </c>
      <c r="U188" s="361">
        <f>IF(D182&lt;=3,база!$M$4,
IF(D182=4,база!$M$5,
IF(D182=5,база!$M$6)))</f>
        <v>225.09719999999999</v>
      </c>
      <c r="V188" s="272">
        <v>1.3</v>
      </c>
      <c r="W188" s="307">
        <f>SUMIFS(Таблица1[сумма],Таблица1[коэф],"1,3",Таблица1[р/р],"3/24",Таблица1[Ф. И. О.],B187)</f>
        <v>0</v>
      </c>
      <c r="X188" s="313">
        <f t="shared" ref="X188:X189" si="119">ROUND(U188*V188*W188,2)</f>
        <v>0</v>
      </c>
      <c r="Y188" s="849"/>
      <c r="Z188" s="840"/>
      <c r="AA188" s="843"/>
    </row>
    <row r="189" spans="1:30" ht="19.5" customHeight="1">
      <c r="A189" s="786"/>
      <c r="B189" s="216"/>
      <c r="C189" s="845"/>
      <c r="D189" s="847"/>
      <c r="E189" s="79"/>
      <c r="F189" s="272"/>
      <c r="G189" s="99"/>
      <c r="H189" s="95"/>
      <c r="I189" s="83"/>
      <c r="J189" s="272"/>
      <c r="K189" s="217"/>
      <c r="L189" s="217"/>
      <c r="M189" s="217"/>
      <c r="N189" s="217"/>
      <c r="O189" s="217"/>
      <c r="P189" s="30"/>
      <c r="Q189" s="79">
        <f>база!$L$5</f>
        <v>231.45480000000001</v>
      </c>
      <c r="R189" s="272">
        <v>1.3</v>
      </c>
      <c r="S189" s="99">
        <f>SUMIFS(Таблица1[сумма],Таблица1[коэф],"1,3",Таблица1[р/р],"4/16",Таблица1[Ф. И. О.],B187)</f>
        <v>0</v>
      </c>
      <c r="T189" s="95">
        <f t="shared" si="118"/>
        <v>0</v>
      </c>
      <c r="U189" s="361">
        <f>база!$M$5</f>
        <v>247.41720000000001</v>
      </c>
      <c r="V189" s="272">
        <v>1.3</v>
      </c>
      <c r="W189" s="307">
        <f>SUMIFS(Таблица1[сумма],Таблица1[коэф],"1,3",Таблица1[р/р],"4/24",Таблица1[Ф. И. О.],B187)</f>
        <v>0</v>
      </c>
      <c r="X189" s="313">
        <f t="shared" si="119"/>
        <v>0</v>
      </c>
      <c r="Y189" s="849"/>
      <c r="Z189" s="840"/>
      <c r="AA189" s="843"/>
    </row>
    <row r="190" spans="1:30" ht="19.5" customHeight="1">
      <c r="A190" s="786"/>
      <c r="B190" s="216"/>
      <c r="C190" s="845"/>
      <c r="D190" s="847"/>
      <c r="E190" s="79"/>
      <c r="F190" s="272"/>
      <c r="G190" s="99"/>
      <c r="H190" s="95"/>
      <c r="I190" s="83"/>
      <c r="J190" s="272"/>
      <c r="K190" s="217"/>
      <c r="L190" s="217"/>
      <c r="M190" s="217"/>
      <c r="N190" s="217"/>
      <c r="O190" s="217"/>
      <c r="P190" s="30"/>
      <c r="Q190" s="79">
        <f>IF(D182&lt;=3,база!$L$4,
IF(D182=4,база!$L$5,
IF(D182=5,база!$L$6)))</f>
        <v>210.57480000000001</v>
      </c>
      <c r="R190" s="272">
        <v>1.4</v>
      </c>
      <c r="S190" s="99">
        <f>SUMIFS(Таблица1[сумма],Таблица1[коэф],"1,4",Таблица1[р/р],"3/16",Таблица1[Ф. И. О.],B187)</f>
        <v>0</v>
      </c>
      <c r="T190" s="95">
        <f t="shared" ref="T190:T195" si="120">ROUND(Q190*R190*S190,2)</f>
        <v>0</v>
      </c>
      <c r="U190" s="361">
        <f>IF(D182&lt;=3,база!$M$4,
IF(D182=4,база!$M$5,
IF(D182=5,база!$M$6)))</f>
        <v>225.09719999999999</v>
      </c>
      <c r="V190" s="272">
        <v>1.4</v>
      </c>
      <c r="W190" s="307">
        <f>SUMIFS(Таблица1[сумма],Таблица1[коэф],"1,4",Таблица1[р/р],"3/24",Таблица1[Ф. И. О.],B187)</f>
        <v>0</v>
      </c>
      <c r="X190" s="313">
        <f>ROUND(U190*V190*W190,2)</f>
        <v>0</v>
      </c>
      <c r="Y190" s="849"/>
      <c r="Z190" s="840"/>
      <c r="AA190" s="843"/>
    </row>
    <row r="191" spans="1:30" ht="19.5" customHeight="1">
      <c r="A191" s="786"/>
      <c r="B191" s="216"/>
      <c r="C191" s="845"/>
      <c r="D191" s="847"/>
      <c r="E191" s="79"/>
      <c r="F191" s="272"/>
      <c r="G191" s="99"/>
      <c r="H191" s="95"/>
      <c r="I191" s="83"/>
      <c r="J191" s="272"/>
      <c r="K191" s="217"/>
      <c r="L191" s="217"/>
      <c r="M191" s="217"/>
      <c r="N191" s="217"/>
      <c r="O191" s="217"/>
      <c r="P191" s="30"/>
      <c r="Q191" s="79">
        <f>база!$L$5</f>
        <v>231.45480000000001</v>
      </c>
      <c r="R191" s="272">
        <v>1.4</v>
      </c>
      <c r="S191" s="99">
        <f>SUMIFS(Таблица1[сумма],Таблица1[коэф],"1,4",Таблица1[р/р],"4/16",Таблица1[Ф. И. О.],B187)</f>
        <v>0</v>
      </c>
      <c r="T191" s="95">
        <f t="shared" si="120"/>
        <v>0</v>
      </c>
      <c r="U191" s="361">
        <f>база!$M$5</f>
        <v>247.41720000000001</v>
      </c>
      <c r="V191" s="272">
        <v>1.4</v>
      </c>
      <c r="W191" s="307">
        <f>SUMIFS(Таблица1[сумма],Таблица1[коэф],"1,4",Таблица1[р/р],"4/24",Таблица1[Ф. И. О.],B187)</f>
        <v>0</v>
      </c>
      <c r="X191" s="313">
        <f>ROUND(U191*V191*W191,2)</f>
        <v>0</v>
      </c>
      <c r="Y191" s="849"/>
      <c r="Z191" s="840"/>
      <c r="AA191" s="843"/>
    </row>
    <row r="192" spans="1:30" ht="19.5" customHeight="1" thickBot="1">
      <c r="A192" s="787"/>
      <c r="B192" s="216"/>
      <c r="C192" s="846"/>
      <c r="D192" s="848"/>
      <c r="E192" s="218"/>
      <c r="F192" s="275"/>
      <c r="G192" s="105"/>
      <c r="H192" s="104"/>
      <c r="I192" s="303"/>
      <c r="J192" s="275"/>
      <c r="K192" s="302"/>
      <c r="L192" s="302"/>
      <c r="M192" s="302"/>
      <c r="N192" s="302"/>
      <c r="O192" s="302"/>
      <c r="P192" s="308"/>
      <c r="Q192" s="218">
        <f>база!$L$6</f>
        <v>261.04640000000001</v>
      </c>
      <c r="R192" s="275">
        <v>1.4</v>
      </c>
      <c r="S192" s="105">
        <f>SUMIFS(Таблица1[сумма],Таблица1[коэф],"1,4",Таблица1[р/р],"5/16",Таблица1[Ф. И. О.],B187)</f>
        <v>0</v>
      </c>
      <c r="T192" s="104">
        <f t="shared" si="120"/>
        <v>0</v>
      </c>
      <c r="U192" s="362">
        <f>база!$M$6</f>
        <v>279.0496</v>
      </c>
      <c r="V192" s="275">
        <v>1.4</v>
      </c>
      <c r="W192" s="333">
        <f>SUMIFS(Таблица1[сумма],Таблица1[коэф],"1,4",Таблица1[р/р],"5/24",Таблица1[Ф. И. О.],B187)</f>
        <v>0</v>
      </c>
      <c r="X192" s="350">
        <f>ROUND(U192*V192*W192,2)</f>
        <v>0</v>
      </c>
      <c r="Y192" s="850"/>
      <c r="Z192" s="841"/>
      <c r="AA192" s="844"/>
    </row>
    <row r="193" spans="1:30" ht="18.75" customHeight="1">
      <c r="A193" s="785">
        <v>18</v>
      </c>
      <c r="B193" s="236"/>
      <c r="C193" s="851">
        <f>INDEX(база!$E$2:$E$81, MATCH(B198,база!$B$2:$B$50,0))</f>
        <v>17160</v>
      </c>
      <c r="D193" s="852">
        <f>INDEX(база!$D$2:$D$89, MATCH(B198,база!$B$2:$B$50,0))</f>
        <v>3</v>
      </c>
      <c r="E193" s="73">
        <f>IF(D193&lt;=3,база!$I$4,
IF(D193=4,база!$I$5,
IF(D193=5,база!$I$6)))</f>
        <v>188.7912</v>
      </c>
      <c r="F193" s="270">
        <v>1</v>
      </c>
      <c r="G193" s="96">
        <f>SUMIFS(Таблица1[сумма],Таблица1[коэф],"1",Таблица1[р/р],"2/4",Таблица1[Ф. И. О.],B198)</f>
        <v>0</v>
      </c>
      <c r="H193" s="88">
        <f>ROUND(E193*F193*G193,2)</f>
        <v>0</v>
      </c>
      <c r="I193" s="310">
        <f>IF(D193&lt;=3,база!$J$4,
IF(D193=4,база!$J$5,
IF(D193=5,база!$J$6)))</f>
        <v>196.05240000000001</v>
      </c>
      <c r="J193" s="270">
        <v>1</v>
      </c>
      <c r="K193" s="288">
        <f>SUMIFS(Таблица1[сумма],Таблица1[коэф],"1",Таблица1[р/р],"2/8",Таблица1[Ф. И. О.],B198)</f>
        <v>0</v>
      </c>
      <c r="L193" s="288">
        <f>ROUND(I193*J193*K193,2)</f>
        <v>0</v>
      </c>
      <c r="M193" s="288"/>
      <c r="N193" s="288">
        <v>1</v>
      </c>
      <c r="O193" s="288">
        <f>SUMIFS(Data_Tech!$AM$3:$AM$67,Data_Tech!$E$3:$E$67,"1",Data_Tech!$G$3:$G$67,"3/12",Data_Tech!$F$3:$F$67,B198)</f>
        <v>0</v>
      </c>
      <c r="P193" s="281">
        <f>ROUND(M193*N193*O193,2)</f>
        <v>0</v>
      </c>
      <c r="Q193" s="73">
        <f>IF(D193&lt;=3,база!$L$4,
IF(D193=4,база!$L$5,
IF(D193=5,база!$L$6)))</f>
        <v>210.57480000000001</v>
      </c>
      <c r="R193" s="270">
        <v>1</v>
      </c>
      <c r="S193" s="96">
        <f>SUMIFS(Таблица1[сумма],Таблица1[коэф],"1",Таблица1[р/р],"3/16",Таблица1[Ф. И. О.],B198)</f>
        <v>0</v>
      </c>
      <c r="T193" s="88">
        <f t="shared" si="120"/>
        <v>0</v>
      </c>
      <c r="U193" s="363">
        <f>IF(D193&lt;=3,база!$M$4,
IF(D193=4,база!$M$5,
IF(D193=5,база!$M$6)))</f>
        <v>225.09719999999999</v>
      </c>
      <c r="V193" s="270">
        <v>1</v>
      </c>
      <c r="W193" s="340">
        <f>SUMIFS(Таблица1[сумма],Таблица1[коэф],"1",Таблица1[р/р],"3/24",Таблица1[Ф. И. О.],B198)</f>
        <v>0</v>
      </c>
      <c r="X193" s="342">
        <f>ROUND(U193*V193*W193,2)</f>
        <v>0</v>
      </c>
      <c r="Y193" s="849">
        <f t="shared" ref="Y193" si="121">SUM(G193:G203,K193:K203,O193:O203,S193:S203,W193:W203)</f>
        <v>0</v>
      </c>
      <c r="Z193" s="840">
        <f t="shared" ref="Z193" si="122">IFERROR(SUM(H193:H203,L193:L203,T193:T203,X193:X203),"")</f>
        <v>0</v>
      </c>
      <c r="AA193" s="843"/>
    </row>
    <row r="194" spans="1:30" ht="18.75" customHeight="1">
      <c r="A194" s="786"/>
      <c r="B194" s="216"/>
      <c r="C194" s="845"/>
      <c r="D194" s="847"/>
      <c r="E194" s="79">
        <f>IF(D193&lt;=3,база!$I$4,
IF(D193=4,база!$I$5,
IF(D193=5,база!$I$6)))</f>
        <v>188.7912</v>
      </c>
      <c r="F194" s="272">
        <v>1</v>
      </c>
      <c r="G194" s="99">
        <f>SUMIFS(Таблица1[сумма],Таблица1[коэф],"1",Таблица1[р/р],"3/4",Таблица1[Ф. И. О.],B198)</f>
        <v>0</v>
      </c>
      <c r="H194" s="95">
        <f>ROUND(E194*F194*G194,2)</f>
        <v>0</v>
      </c>
      <c r="I194" s="83">
        <f>IF(D193&lt;=3,база!$J$4,
IF(D193=4,база!$J$5,
IF(D193=5,база!$J$6)))</f>
        <v>196.05240000000001</v>
      </c>
      <c r="J194" s="272">
        <v>1</v>
      </c>
      <c r="K194" s="217">
        <f>SUMIFS(Таблица1[сумма],Таблица1[коэф],"1",Таблица1[р/р],"3/8",Таблица1[Ф. И. О.],B198)</f>
        <v>0</v>
      </c>
      <c r="L194" s="217">
        <f>ROUND(I194*J194*K194,2)</f>
        <v>0</v>
      </c>
      <c r="M194" s="217"/>
      <c r="N194" s="217">
        <v>1</v>
      </c>
      <c r="O194" s="217">
        <f>SUMIFS(Data_Tech!$AM$3:$AM$67,Data_Tech!$E$3:$E$67,"1",Data_Tech!$G$3:$G$67,"4/12",Data_Tech!$F$3:$F$67,B198)</f>
        <v>0</v>
      </c>
      <c r="P194" s="30">
        <f>ROUND(M194*O194,2)</f>
        <v>0</v>
      </c>
      <c r="Q194" s="79">
        <f>база!$L$5</f>
        <v>231.45480000000001</v>
      </c>
      <c r="R194" s="272">
        <v>1</v>
      </c>
      <c r="S194" s="99">
        <f>SUMIFS(Таблица1[сумма],Таблица1[коэф],"1",Таблица1[р/р],"4/16",Таблица1[Ф. И. О.],B198)</f>
        <v>0</v>
      </c>
      <c r="T194" s="95">
        <f t="shared" si="120"/>
        <v>0</v>
      </c>
      <c r="U194" s="361">
        <f>база!$M$5</f>
        <v>247.41720000000001</v>
      </c>
      <c r="V194" s="272">
        <v>1</v>
      </c>
      <c r="W194" s="307">
        <f>SUMIFS(Таблица1[сумма],Таблица1[коэф],"1",Таблица1[р/р],"4/24",Таблица1[Ф. И. О.],B198)</f>
        <v>0</v>
      </c>
      <c r="X194" s="313">
        <f t="shared" ref="X194" si="123">ROUND(U194*V194*W194,2)</f>
        <v>0</v>
      </c>
      <c r="Y194" s="849"/>
      <c r="Z194" s="840"/>
      <c r="AA194" s="843"/>
    </row>
    <row r="195" spans="1:30" ht="19.5" customHeight="1">
      <c r="A195" s="786"/>
      <c r="B195" s="216"/>
      <c r="C195" s="845"/>
      <c r="D195" s="847"/>
      <c r="E195" s="79"/>
      <c r="F195" s="272"/>
      <c r="G195" s="99"/>
      <c r="H195" s="95"/>
      <c r="I195" s="83"/>
      <c r="J195" s="272"/>
      <c r="K195" s="217"/>
      <c r="L195" s="217"/>
      <c r="M195" s="217"/>
      <c r="N195" s="217"/>
      <c r="O195" s="217"/>
      <c r="P195" s="30"/>
      <c r="Q195" s="79">
        <f>база!$L$6</f>
        <v>261.04640000000001</v>
      </c>
      <c r="R195" s="272">
        <v>1</v>
      </c>
      <c r="S195" s="99">
        <f>SUMIFS(Таблица1[сумма],Таблица1[коэф],"1",Таблица1[р/р],"5/16",Таблица1[Ф. И. О.],B198)</f>
        <v>0</v>
      </c>
      <c r="T195" s="95">
        <f t="shared" si="120"/>
        <v>0</v>
      </c>
      <c r="U195" s="361">
        <f>база!$M$6</f>
        <v>279.0496</v>
      </c>
      <c r="V195" s="272">
        <v>1</v>
      </c>
      <c r="W195" s="307">
        <f>SUMIFS(Таблица1[сумма],Таблица1[коэф],"1",Таблица1[р/р],"5/24",Таблица1[Ф. И. О.],B198)</f>
        <v>0</v>
      </c>
      <c r="X195" s="313">
        <f>ROUND(U195*V195*W195,2)</f>
        <v>0</v>
      </c>
      <c r="Y195" s="849"/>
      <c r="Z195" s="840"/>
      <c r="AA195" s="843"/>
    </row>
    <row r="196" spans="1:30" ht="19.5" customHeight="1">
      <c r="A196" s="786"/>
      <c r="B196" s="216"/>
      <c r="C196" s="845"/>
      <c r="D196" s="847"/>
      <c r="E196" s="79"/>
      <c r="F196" s="272"/>
      <c r="G196" s="99"/>
      <c r="H196" s="95"/>
      <c r="I196" s="83">
        <f>база!$J$5</f>
        <v>215.4924</v>
      </c>
      <c r="J196" s="272">
        <v>1.5</v>
      </c>
      <c r="K196" s="217">
        <f>SUMIFS(Таблица1[сумма],Таблица1[коэф],"1,5",Таблица1[р/р],"4/8",Таблица1[Ф. И. О.],B198)</f>
        <v>0</v>
      </c>
      <c r="L196" s="217">
        <f>ROUND(I196*J196*K196,2)</f>
        <v>0</v>
      </c>
      <c r="M196" s="217"/>
      <c r="N196" s="217"/>
      <c r="O196" s="217"/>
      <c r="P196" s="30"/>
      <c r="Q196" s="79">
        <f>IF(D193&lt;=3,база!$L$4,
IF(D193=4,база!$L$5,
IF(D193=5,база!$L$6)))</f>
        <v>210.57480000000001</v>
      </c>
      <c r="R196" s="272">
        <v>1.2</v>
      </c>
      <c r="S196" s="99">
        <f>SUMIFS(Таблица1[сумма],Таблица1[коэф],"1,2",Таблица1[р/р],"3/16",Таблица1[Ф. И. О.],B198)</f>
        <v>0</v>
      </c>
      <c r="T196" s="95">
        <f t="shared" ref="T196:T197" si="124">ROUND(Q196*R196*S196,2)</f>
        <v>0</v>
      </c>
      <c r="U196" s="361">
        <f>IF(D193&lt;=3,база!$M$4,
IF(D193=4,база!$M$5,
IF(D193=5,база!$M$6)))</f>
        <v>225.09719999999999</v>
      </c>
      <c r="V196" s="272">
        <v>1.2</v>
      </c>
      <c r="W196" s="307">
        <f>SUMIFS(Таблица1[сумма],Таблица1[коэф],"1,2",Таблица1[р/р],"3/24",Таблица1[Ф. И. О.],B198)</f>
        <v>0</v>
      </c>
      <c r="X196" s="313">
        <f t="shared" ref="X196:X197" si="125">ROUND(U196*V196*W196,2)</f>
        <v>0</v>
      </c>
      <c r="Y196" s="849"/>
      <c r="Z196" s="840"/>
      <c r="AA196" s="843"/>
    </row>
    <row r="197" spans="1:30" ht="19.5" customHeight="1">
      <c r="A197" s="786"/>
      <c r="B197" s="216"/>
      <c r="C197" s="845"/>
      <c r="D197" s="847"/>
      <c r="E197" s="79"/>
      <c r="F197" s="272"/>
      <c r="G197" s="99"/>
      <c r="H197" s="95"/>
      <c r="I197" s="83">
        <f>база!$J$6</f>
        <v>243.04319999999998</v>
      </c>
      <c r="J197" s="272">
        <v>1.5</v>
      </c>
      <c r="K197" s="217">
        <f>SUMIFS(Таблица1[сумма],Таблица1[коэф],"1,5",Таблица1[р/р],"5/8",Таблица1[Ф. И. О.],B198)</f>
        <v>0</v>
      </c>
      <c r="L197" s="217">
        <f>ROUND(I197*J197*K197,2)</f>
        <v>0</v>
      </c>
      <c r="M197" s="217"/>
      <c r="N197" s="217"/>
      <c r="O197" s="217"/>
      <c r="P197" s="30"/>
      <c r="Q197" s="79">
        <f>база!$L$5</f>
        <v>231.45480000000001</v>
      </c>
      <c r="R197" s="272">
        <v>1.2</v>
      </c>
      <c r="S197" s="99">
        <f>SUMIFS(Таблица1[сумма],Таблица1[коэф],"1,2",Таблица1[р/р],"4/16",Таблица1[Ф. И. О.],B198)</f>
        <v>0</v>
      </c>
      <c r="T197" s="95">
        <f t="shared" si="124"/>
        <v>0</v>
      </c>
      <c r="U197" s="361">
        <f>база!$M$5</f>
        <v>247.41720000000001</v>
      </c>
      <c r="V197" s="272">
        <v>1.2</v>
      </c>
      <c r="W197" s="307">
        <f>SUMIFS(Таблица1[сумма],Таблица1[коэф],"1,2",Таблица1[р/р],"4/24",Таблица1[Ф. И. О.],B198)</f>
        <v>0</v>
      </c>
      <c r="X197" s="313">
        <f t="shared" si="125"/>
        <v>0</v>
      </c>
      <c r="Y197" s="849"/>
      <c r="Z197" s="840"/>
      <c r="AA197" s="843"/>
      <c r="AC197" s="722" t="str">
        <f>IF(SUMIFS(Таблица1[Столбец2],Таблица1[Ф. И. О.],B198)-Z193=0,"",SUMIFS(Таблица1[Столбец2],Таблица1[Ф. И. О.],B198)-Z193)</f>
        <v/>
      </c>
    </row>
    <row r="198" spans="1:30" ht="19.5" customHeight="1">
      <c r="A198" s="786"/>
      <c r="B198" s="216" t="str">
        <f>база!B19</f>
        <v>Дорофеева Юлия Николаевна</v>
      </c>
      <c r="C198" s="845"/>
      <c r="D198" s="847"/>
      <c r="E198" s="79"/>
      <c r="F198" s="272"/>
      <c r="G198" s="99"/>
      <c r="H198" s="95"/>
      <c r="I198" s="83"/>
      <c r="J198" s="272"/>
      <c r="K198" s="217"/>
      <c r="L198" s="217"/>
      <c r="M198" s="217"/>
      <c r="N198" s="217"/>
      <c r="O198" s="217"/>
      <c r="P198" s="30"/>
      <c r="Q198" s="79">
        <f>база!$L$6</f>
        <v>261.04640000000001</v>
      </c>
      <c r="R198" s="272">
        <v>1.2</v>
      </c>
      <c r="S198" s="99">
        <f>SUMIFS(Таблица1[сумма],Таблица1[коэф],"1,2",Таблица1[р/р],"5/16",Таблица1[Ф. И. О.],B198)</f>
        <v>0</v>
      </c>
      <c r="T198" s="95">
        <f>ROUND(Q198*R198*S198,2)</f>
        <v>0</v>
      </c>
      <c r="U198" s="361">
        <f>база!$M$6</f>
        <v>279.0496</v>
      </c>
      <c r="V198" s="272">
        <v>1.2</v>
      </c>
      <c r="W198" s="307">
        <f>SUMIFS(Таблица1[сумма],Таблица1[коэф],"1,2",Таблица1[р/р],"5/24",Таблица1[Ф. И. О.],B198)</f>
        <v>0</v>
      </c>
      <c r="X198" s="313">
        <f>ROUND(U198*V198*W198,2)</f>
        <v>0</v>
      </c>
      <c r="Y198" s="849"/>
      <c r="Z198" s="840"/>
      <c r="AA198" s="843"/>
      <c r="AC198" s="722" t="str">
        <f>IF(SUMIFS(Таблица1[сумма],Таблица1[Ф. И. О.],B198)=Y193,"",B193&amp;"  часы не верны")</f>
        <v/>
      </c>
      <c r="AD198" s="759">
        <f>INDEX('[2]декабрь 23'!$AI$4:$AI$100,MATCH(C193,'[2]декабрь 23'!$AK$4:$AK$100,0))</f>
        <v>136.80000000000001</v>
      </c>
    </row>
    <row r="199" spans="1:30" ht="19.5" customHeight="1">
      <c r="A199" s="786"/>
      <c r="B199" s="216"/>
      <c r="C199" s="845"/>
      <c r="D199" s="847"/>
      <c r="E199" s="79"/>
      <c r="F199" s="272"/>
      <c r="G199" s="99"/>
      <c r="H199" s="95"/>
      <c r="I199" s="83"/>
      <c r="J199" s="272"/>
      <c r="K199" s="217"/>
      <c r="L199" s="217"/>
      <c r="M199" s="217"/>
      <c r="N199" s="217"/>
      <c r="O199" s="217"/>
      <c r="P199" s="30"/>
      <c r="Q199" s="79">
        <f>IF($D$6&lt;=3,база!$L$4,
IF($D$6=4,база!$L$5,
IF($D$6=5,база!$L$6)))</f>
        <v>231.45480000000001</v>
      </c>
      <c r="R199" s="272">
        <v>1.3</v>
      </c>
      <c r="S199" s="99">
        <f>SUMIFS(Таблица1[сумма],Таблица1[коэф],"1,3",Таблица1[р/р],"3/16",Таблица1[Ф. И. О.],B198)</f>
        <v>0</v>
      </c>
      <c r="T199" s="95">
        <f t="shared" ref="T199:T200" si="126">ROUND(Q199*R199*S199,2)</f>
        <v>0</v>
      </c>
      <c r="U199" s="361">
        <f>IF(D193&lt;=3,база!$M$4,
IF(D193=4,база!$M$5,
IF(D193=5,база!$M$6)))</f>
        <v>225.09719999999999</v>
      </c>
      <c r="V199" s="272">
        <v>1.3</v>
      </c>
      <c r="W199" s="307">
        <f>SUMIFS(Таблица1[сумма],Таблица1[коэф],"1,3",Таблица1[р/р],"3/24",Таблица1[Ф. И. О.],B198)</f>
        <v>0</v>
      </c>
      <c r="X199" s="313">
        <f t="shared" ref="X199:X200" si="127">ROUND(U199*V199*W199,2)</f>
        <v>0</v>
      </c>
      <c r="Y199" s="849"/>
      <c r="Z199" s="840"/>
      <c r="AA199" s="843"/>
    </row>
    <row r="200" spans="1:30" ht="19.5" customHeight="1">
      <c r="A200" s="786"/>
      <c r="B200" s="216"/>
      <c r="C200" s="845"/>
      <c r="D200" s="847"/>
      <c r="E200" s="79"/>
      <c r="F200" s="272"/>
      <c r="G200" s="99"/>
      <c r="H200" s="95"/>
      <c r="I200" s="83"/>
      <c r="J200" s="272"/>
      <c r="K200" s="217"/>
      <c r="L200" s="217"/>
      <c r="M200" s="217"/>
      <c r="N200" s="217"/>
      <c r="O200" s="217"/>
      <c r="P200" s="30"/>
      <c r="Q200" s="79">
        <f>база!$L$5</f>
        <v>231.45480000000001</v>
      </c>
      <c r="R200" s="272">
        <v>1.3</v>
      </c>
      <c r="S200" s="99">
        <f>SUMIFS(Таблица1[сумма],Таблица1[коэф],"1,3",Таблица1[р/р],"4/16",Таблица1[Ф. И. О.],B198)</f>
        <v>0</v>
      </c>
      <c r="T200" s="95">
        <f t="shared" si="126"/>
        <v>0</v>
      </c>
      <c r="U200" s="361">
        <f>база!$M$5</f>
        <v>247.41720000000001</v>
      </c>
      <c r="V200" s="272">
        <v>1.3</v>
      </c>
      <c r="W200" s="307">
        <f>SUMIFS(Таблица1[сумма],Таблица1[коэф],"1,3",Таблица1[р/р],"4/24",Таблица1[Ф. И. О.],B198)</f>
        <v>0</v>
      </c>
      <c r="X200" s="313">
        <f t="shared" si="127"/>
        <v>0</v>
      </c>
      <c r="Y200" s="849"/>
      <c r="Z200" s="840"/>
      <c r="AA200" s="843"/>
    </row>
    <row r="201" spans="1:30" ht="19.5" customHeight="1">
      <c r="A201" s="786"/>
      <c r="B201" s="216"/>
      <c r="C201" s="845"/>
      <c r="D201" s="847"/>
      <c r="E201" s="79"/>
      <c r="F201" s="272"/>
      <c r="G201" s="99"/>
      <c r="H201" s="95"/>
      <c r="I201" s="83"/>
      <c r="J201" s="272"/>
      <c r="K201" s="217"/>
      <c r="L201" s="217"/>
      <c r="M201" s="217"/>
      <c r="N201" s="217"/>
      <c r="O201" s="217"/>
      <c r="P201" s="30"/>
      <c r="Q201" s="79">
        <f>IF(D193&lt;=3,база!$L$4,
IF(D193=4,база!$L$5,
IF(D193=5,база!$L$6)))</f>
        <v>210.57480000000001</v>
      </c>
      <c r="R201" s="272">
        <v>1.4</v>
      </c>
      <c r="S201" s="99">
        <f>SUMIFS(Таблица1[сумма],Таблица1[коэф],"1,4",Таблица1[р/р],"3/16",Таблица1[Ф. И. О.],B198)</f>
        <v>0</v>
      </c>
      <c r="T201" s="95">
        <f t="shared" ref="T201:T206" si="128">ROUND(Q201*R201*S201,2)</f>
        <v>0</v>
      </c>
      <c r="U201" s="361">
        <f>IF(D193&lt;=3,база!$M$4,
IF(D193=4,база!$M$5,
IF(D193=5,база!$M$6)))</f>
        <v>225.09719999999999</v>
      </c>
      <c r="V201" s="272">
        <v>1.4</v>
      </c>
      <c r="W201" s="307">
        <f>SUMIFS(Таблица1[сумма],Таблица1[коэф],"1,4",Таблица1[р/р],"3/24",Таблица1[Ф. И. О.],B198)</f>
        <v>0</v>
      </c>
      <c r="X201" s="313">
        <f>ROUND(U201*V201*W201,2)</f>
        <v>0</v>
      </c>
      <c r="Y201" s="849"/>
      <c r="Z201" s="840"/>
      <c r="AA201" s="843"/>
    </row>
    <row r="202" spans="1:30" ht="19.5" customHeight="1">
      <c r="A202" s="786"/>
      <c r="B202" s="216"/>
      <c r="C202" s="845"/>
      <c r="D202" s="847"/>
      <c r="E202" s="79"/>
      <c r="F202" s="272"/>
      <c r="G202" s="99"/>
      <c r="H202" s="95"/>
      <c r="I202" s="83"/>
      <c r="J202" s="272"/>
      <c r="K202" s="217"/>
      <c r="L202" s="217"/>
      <c r="M202" s="217"/>
      <c r="N202" s="217"/>
      <c r="O202" s="217"/>
      <c r="P202" s="30"/>
      <c r="Q202" s="79">
        <f>база!$L$5</f>
        <v>231.45480000000001</v>
      </c>
      <c r="R202" s="272">
        <v>1.4</v>
      </c>
      <c r="S202" s="99">
        <f>SUMIFS(Таблица1[сумма],Таблица1[коэф],"1,4",Таблица1[р/р],"4/16",Таблица1[Ф. И. О.],B198)</f>
        <v>0</v>
      </c>
      <c r="T202" s="95">
        <f t="shared" si="128"/>
        <v>0</v>
      </c>
      <c r="U202" s="361">
        <f>база!$M$5</f>
        <v>247.41720000000001</v>
      </c>
      <c r="V202" s="272">
        <v>1.4</v>
      </c>
      <c r="W202" s="307">
        <f>SUMIFS(Таблица1[сумма],Таблица1[коэф],"1,4",Таблица1[р/р],"4/24",Таблица1[Ф. И. О.],B198)</f>
        <v>0</v>
      </c>
      <c r="X202" s="313">
        <f>ROUND(U202*V202*W202,2)</f>
        <v>0</v>
      </c>
      <c r="Y202" s="849"/>
      <c r="Z202" s="840"/>
      <c r="AA202" s="843"/>
    </row>
    <row r="203" spans="1:30" ht="19.5" customHeight="1" thickBot="1">
      <c r="A203" s="787"/>
      <c r="B203" s="203"/>
      <c r="C203" s="846"/>
      <c r="D203" s="848"/>
      <c r="E203" s="102"/>
      <c r="F203" s="274"/>
      <c r="G203" s="98"/>
      <c r="H203" s="91"/>
      <c r="I203" s="221"/>
      <c r="J203" s="274"/>
      <c r="K203" s="289"/>
      <c r="L203" s="289"/>
      <c r="M203" s="289"/>
      <c r="N203" s="289"/>
      <c r="O203" s="289"/>
      <c r="P203" s="315"/>
      <c r="Q203" s="102">
        <f>база!$L$6</f>
        <v>261.04640000000001</v>
      </c>
      <c r="R203" s="274">
        <v>1.4</v>
      </c>
      <c r="S203" s="98">
        <f>SUMIFS(Таблица1[сумма],Таблица1[коэф],"1,4",Таблица1[р/р],"5/16",Таблица1[Ф. И. О.],B198)</f>
        <v>0</v>
      </c>
      <c r="T203" s="91">
        <f t="shared" si="128"/>
        <v>0</v>
      </c>
      <c r="U203" s="364">
        <f>база!$M$6</f>
        <v>279.0496</v>
      </c>
      <c r="V203" s="274">
        <v>1.4</v>
      </c>
      <c r="W203" s="312">
        <f>SUMIFS(Таблица1[сумма],Таблица1[коэф],"1,4",Таблица1[р/р],"5/24",Таблица1[Ф. И. О.],B198)</f>
        <v>0</v>
      </c>
      <c r="X203" s="343">
        <f>ROUND(U203*V203*W203,2)</f>
        <v>0</v>
      </c>
      <c r="Y203" s="850"/>
      <c r="Z203" s="841"/>
      <c r="AA203" s="844"/>
    </row>
    <row r="204" spans="1:30" ht="18.75" customHeight="1">
      <c r="A204" s="785">
        <v>19</v>
      </c>
      <c r="B204" s="216"/>
      <c r="C204" s="851">
        <f>INDEX(база!$E$2:$E$81, MATCH(B209,база!$B$2:$B$50,0))</f>
        <v>16860</v>
      </c>
      <c r="D204" s="852">
        <f>INDEX(база!$D$2:$D$89, MATCH(B209,база!$B$2:$B$50,0))</f>
        <v>3</v>
      </c>
      <c r="E204" s="82">
        <f>IF(D204&lt;=3,база!$I$4,
IF(D204=4,база!$I$5,
IF(D204=5,база!$I$6)))</f>
        <v>188.7912</v>
      </c>
      <c r="F204" s="271">
        <v>1</v>
      </c>
      <c r="G204" s="97">
        <f>SUMIFS(Таблица1[сумма],Таблица1[коэф],"1",Таблица1[р/р],"2/4",Таблица1[Ф. И. О.],B209)</f>
        <v>0</v>
      </c>
      <c r="H204" s="311">
        <f>ROUND(E204*F204*G204,2)</f>
        <v>0</v>
      </c>
      <c r="I204" s="73">
        <f>IF(D204&lt;=3,база!$J$4,
IF(D204=4,база!$J$5,
IF(D204=5,база!$J$6)))</f>
        <v>196.05240000000001</v>
      </c>
      <c r="J204" s="270">
        <v>1</v>
      </c>
      <c r="K204" s="288">
        <f>SUMIFS(Таблица1[сумма],Таблица1[коэф],"1",Таблица1[р/р],"2/8",Таблица1[Ф. И. О.],B209)</f>
        <v>0</v>
      </c>
      <c r="L204" s="28">
        <f>ROUND(I204*J204*K204,2)</f>
        <v>0</v>
      </c>
      <c r="M204" s="344"/>
      <c r="N204" s="309">
        <v>1</v>
      </c>
      <c r="O204" s="309">
        <f>SUMIFS(Data_Tech!$AM$3:$AM$67,Data_Tech!$E$3:$E$67,"1",Data_Tech!$G$3:$G$67,"3/12",Data_Tech!$F$3:$F$67,B209)</f>
        <v>0</v>
      </c>
      <c r="P204" s="309">
        <f>ROUND(M204*N204*O204,2)</f>
        <v>0</v>
      </c>
      <c r="Q204" s="76">
        <f>IF(D204&lt;=3,база!$L$4,
IF(D204=4,база!$L$5,
IF(D204=5,база!$L$6)))</f>
        <v>210.57480000000001</v>
      </c>
      <c r="R204" s="271">
        <v>1</v>
      </c>
      <c r="S204" s="97">
        <f>SUMIFS(Таблица1[сумма],Таблица1[коэф],"1",Таблица1[р/р],"3/16",Таблица1[Ф. И. О.],B209)</f>
        <v>0</v>
      </c>
      <c r="T204" s="311">
        <f t="shared" si="128"/>
        <v>0</v>
      </c>
      <c r="U204" s="365">
        <f>IF(D204&lt;=3,база!$M$4,
IF(D204=4,база!$M$5,
IF(D204=5,база!$M$6)))</f>
        <v>225.09719999999999</v>
      </c>
      <c r="V204" s="270">
        <v>1</v>
      </c>
      <c r="W204" s="340">
        <f>SUMIFS(Таблица1[сумма],Таблица1[коэф],"1",Таблица1[р/р],"3/24",Таблица1[Ф. И. О.],B209)</f>
        <v>0</v>
      </c>
      <c r="X204" s="342">
        <f>ROUND(U204*V204*W204,2)</f>
        <v>0</v>
      </c>
      <c r="Y204" s="849">
        <f t="shared" ref="Y204" si="129">SUM(G204:G214,K204:K214,O204:O214,S204:S214,W204:W214)</f>
        <v>0</v>
      </c>
      <c r="Z204" s="840">
        <f t="shared" ref="Z204" si="130">IFERROR(SUM(H204:H214,L204:L214,T204:T214,X204:X214),"")</f>
        <v>0</v>
      </c>
      <c r="AA204" s="843"/>
    </row>
    <row r="205" spans="1:30" ht="18.75" customHeight="1">
      <c r="A205" s="786"/>
      <c r="B205" s="216"/>
      <c r="C205" s="845"/>
      <c r="D205" s="847"/>
      <c r="E205" s="83">
        <f>IF(D204&lt;=3,база!$I$4,
IF(D204=4,база!$I$5,
IF(D204=5,база!$I$6)))</f>
        <v>188.7912</v>
      </c>
      <c r="F205" s="272">
        <v>1</v>
      </c>
      <c r="G205" s="99">
        <f>SUMIFS(Таблица1[сумма],Таблица1[коэф],"1",Таблица1[р/р],"3/4",Таблица1[Ф. И. О.],B209)</f>
        <v>0</v>
      </c>
      <c r="H205" s="93">
        <f>ROUND(E205*F205*G205,2)</f>
        <v>0</v>
      </c>
      <c r="I205" s="79">
        <f>IF(D204&lt;=3,база!$J$4,
IF(D204=4,база!$J$5,
IF(D204=5,база!$J$6)))</f>
        <v>196.05240000000001</v>
      </c>
      <c r="J205" s="272">
        <v>1</v>
      </c>
      <c r="K205" s="217">
        <f>SUMIFS(Таблица1[сумма],Таблица1[коэф],"1",Таблица1[р/р],"3/8",Таблица1[Ф. И. О.],B209)</f>
        <v>0</v>
      </c>
      <c r="L205" s="29">
        <f>ROUND(I205*J205*K205,2)</f>
        <v>0</v>
      </c>
      <c r="M205" s="334"/>
      <c r="N205" s="217">
        <v>1</v>
      </c>
      <c r="O205" s="217">
        <f>SUMIFS(Data_Tech!$AM$3:$AM$67,Data_Tech!$E$3:$E$67,"1",Data_Tech!$G$3:$G$67,"4/12",Data_Tech!$F$3:$F$67,B209)</f>
        <v>0</v>
      </c>
      <c r="P205" s="217">
        <f>ROUND(M205*O205,2)</f>
        <v>0</v>
      </c>
      <c r="Q205" s="80">
        <f>база!$L$5</f>
        <v>231.45480000000001</v>
      </c>
      <c r="R205" s="272">
        <v>1</v>
      </c>
      <c r="S205" s="99">
        <f>SUMIFS(Таблица1[сумма],Таблица1[коэф],"1",Таблица1[р/р],"4/16",Таблица1[Ф. И. О.],B209)</f>
        <v>0</v>
      </c>
      <c r="T205" s="93">
        <f t="shared" si="128"/>
        <v>0</v>
      </c>
      <c r="U205" s="366">
        <f>база!$M$5</f>
        <v>247.41720000000001</v>
      </c>
      <c r="V205" s="272">
        <v>1</v>
      </c>
      <c r="W205" s="307">
        <f>SUMIFS(Таблица1[сумма],Таблица1[коэф],"1",Таблица1[р/р],"4/24",Таблица1[Ф. И. О.],B209)</f>
        <v>0</v>
      </c>
      <c r="X205" s="313">
        <f t="shared" ref="X205" si="131">ROUND(U205*V205*W205,2)</f>
        <v>0</v>
      </c>
      <c r="Y205" s="849"/>
      <c r="Z205" s="840"/>
      <c r="AA205" s="843"/>
    </row>
    <row r="206" spans="1:30" ht="19.5" customHeight="1">
      <c r="A206" s="786"/>
      <c r="B206" s="216"/>
      <c r="C206" s="845"/>
      <c r="D206" s="847"/>
      <c r="E206" s="83"/>
      <c r="F206" s="272"/>
      <c r="G206" s="99"/>
      <c r="H206" s="93"/>
      <c r="I206" s="79"/>
      <c r="J206" s="272"/>
      <c r="K206" s="217"/>
      <c r="L206" s="29"/>
      <c r="M206" s="334"/>
      <c r="N206" s="217"/>
      <c r="O206" s="217"/>
      <c r="P206" s="217"/>
      <c r="Q206" s="80">
        <f>база!$L$6</f>
        <v>261.04640000000001</v>
      </c>
      <c r="R206" s="272">
        <v>1</v>
      </c>
      <c r="S206" s="99">
        <f>SUMIFS(Таблица1[сумма],Таблица1[коэф],"1",Таблица1[р/р],"5/16",Таблица1[Ф. И. О.],B209)</f>
        <v>0</v>
      </c>
      <c r="T206" s="93">
        <f t="shared" si="128"/>
        <v>0</v>
      </c>
      <c r="U206" s="366">
        <f>база!$M$6</f>
        <v>279.0496</v>
      </c>
      <c r="V206" s="272">
        <v>1</v>
      </c>
      <c r="W206" s="307">
        <f>SUMIFS(Таблица1[сумма],Таблица1[коэф],"1",Таблица1[р/р],"5/24",Таблица1[Ф. И. О.],B209)</f>
        <v>0</v>
      </c>
      <c r="X206" s="313">
        <f>ROUND(U206*V206*W206,2)</f>
        <v>0</v>
      </c>
      <c r="Y206" s="849"/>
      <c r="Z206" s="840"/>
      <c r="AA206" s="843"/>
    </row>
    <row r="207" spans="1:30" ht="19.5" customHeight="1">
      <c r="A207" s="786"/>
      <c r="B207" s="216"/>
      <c r="C207" s="845"/>
      <c r="D207" s="847"/>
      <c r="E207" s="83"/>
      <c r="F207" s="272"/>
      <c r="G207" s="99"/>
      <c r="H207" s="93"/>
      <c r="I207" s="79">
        <f>база!$J$5</f>
        <v>215.4924</v>
      </c>
      <c r="J207" s="272">
        <v>1.5</v>
      </c>
      <c r="K207" s="217">
        <f>SUMIFS(Таблица1[сумма],Таблица1[коэф],"1,5",Таблица1[р/р],"4/8",Таблица1[Ф. И. О.],B209)</f>
        <v>0</v>
      </c>
      <c r="L207" s="29">
        <f>ROUND(I207*J207*K207,2)</f>
        <v>0</v>
      </c>
      <c r="M207" s="334"/>
      <c r="N207" s="217"/>
      <c r="O207" s="217"/>
      <c r="P207" s="217"/>
      <c r="Q207" s="80">
        <f>IF(D204&lt;=3,база!$L$4,
IF(D204=4,база!$L$5,
IF(D204=5,база!$L$6)))</f>
        <v>210.57480000000001</v>
      </c>
      <c r="R207" s="272">
        <v>1.2</v>
      </c>
      <c r="S207" s="99">
        <f>SUMIFS(Таблица1[сумма],Таблица1[коэф],"1,2",Таблица1[р/р],"3/16",Таблица1[Ф. И. О.],B209)</f>
        <v>0</v>
      </c>
      <c r="T207" s="93">
        <f t="shared" ref="T207:T208" si="132">ROUND(Q207*R207*S207,2)</f>
        <v>0</v>
      </c>
      <c r="U207" s="366">
        <f>IF(D204&lt;=3,база!$M$4,
IF(D204=4,база!$M$5,
IF(D204=5,база!$M$6)))</f>
        <v>225.09719999999999</v>
      </c>
      <c r="V207" s="272">
        <v>1.2</v>
      </c>
      <c r="W207" s="307">
        <f>SUMIFS(Таблица1[сумма],Таблица1[коэф],"1,2",Таблица1[р/р],"3/24",Таблица1[Ф. И. О.],B209)</f>
        <v>0</v>
      </c>
      <c r="X207" s="313">
        <f t="shared" ref="X207:X208" si="133">ROUND(U207*V207*W207,2)</f>
        <v>0</v>
      </c>
      <c r="Y207" s="849"/>
      <c r="Z207" s="840"/>
      <c r="AA207" s="843"/>
    </row>
    <row r="208" spans="1:30" ht="19.5" customHeight="1">
      <c r="A208" s="786"/>
      <c r="B208" s="216"/>
      <c r="C208" s="845"/>
      <c r="D208" s="847"/>
      <c r="E208" s="83"/>
      <c r="F208" s="272"/>
      <c r="G208" s="99"/>
      <c r="H208" s="93"/>
      <c r="I208" s="79">
        <f>база!$J$6</f>
        <v>243.04319999999998</v>
      </c>
      <c r="J208" s="272">
        <v>1.5</v>
      </c>
      <c r="K208" s="217">
        <f>SUMIFS(Таблица1[сумма],Таблица1[коэф],"1,5",Таблица1[р/р],"5/8",Таблица1[Ф. И. О.],B209)</f>
        <v>0</v>
      </c>
      <c r="L208" s="29">
        <f>ROUND(I208*J208*K208,2)</f>
        <v>0</v>
      </c>
      <c r="M208" s="334"/>
      <c r="N208" s="217"/>
      <c r="O208" s="217"/>
      <c r="P208" s="217"/>
      <c r="Q208" s="80">
        <f>база!$L$5</f>
        <v>231.45480000000001</v>
      </c>
      <c r="R208" s="272">
        <v>1.2</v>
      </c>
      <c r="S208" s="99">
        <f>SUMIFS(Таблица1[сумма],Таблица1[коэф],"1,2",Таблица1[р/р],"4/16",Таблица1[Ф. И. О.],B209)</f>
        <v>0</v>
      </c>
      <c r="T208" s="93">
        <f t="shared" si="132"/>
        <v>0</v>
      </c>
      <c r="U208" s="366">
        <f>база!$M$5</f>
        <v>247.41720000000001</v>
      </c>
      <c r="V208" s="272">
        <v>1.2</v>
      </c>
      <c r="W208" s="307">
        <f>SUMIFS(Таблица1[сумма],Таблица1[коэф],"1,2",Таблица1[р/р],"4/24",Таблица1[Ф. И. О.],B209)</f>
        <v>0</v>
      </c>
      <c r="X208" s="313">
        <f t="shared" si="133"/>
        <v>0</v>
      </c>
      <c r="Y208" s="849"/>
      <c r="Z208" s="840"/>
      <c r="AA208" s="843"/>
      <c r="AC208" s="722" t="str">
        <f>IF(SUMIFS(Таблица1[Столбец2],Таблица1[Ф. И. О.],B209)-Z204=0,"",SUMIFS(Таблица1[Столбец2],Таблица1[Ф. И. О.],B209)-Z204)</f>
        <v/>
      </c>
    </row>
    <row r="209" spans="1:30" ht="18" customHeight="1">
      <c r="A209" s="786"/>
      <c r="B209" s="216" t="str">
        <f>база!B20</f>
        <v>Егоров Дмитрий Геннадьевич</v>
      </c>
      <c r="C209" s="845"/>
      <c r="D209" s="847"/>
      <c r="E209" s="83"/>
      <c r="F209" s="272"/>
      <c r="G209" s="99"/>
      <c r="H209" s="93"/>
      <c r="I209" s="79"/>
      <c r="J209" s="272"/>
      <c r="K209" s="217"/>
      <c r="L209" s="29"/>
      <c r="M209" s="334"/>
      <c r="N209" s="217"/>
      <c r="O209" s="217"/>
      <c r="P209" s="217"/>
      <c r="Q209" s="80">
        <f>база!$L$6</f>
        <v>261.04640000000001</v>
      </c>
      <c r="R209" s="272">
        <v>1.2</v>
      </c>
      <c r="S209" s="99">
        <f>SUMIFS(Таблица1[сумма],Таблица1[коэф],"1,2",Таблица1[р/р],"5/16",Таблица1[Ф. И. О.],B209)</f>
        <v>0</v>
      </c>
      <c r="T209" s="93">
        <f>ROUND(Q209*R209*S209,2)</f>
        <v>0</v>
      </c>
      <c r="U209" s="366">
        <f>база!$M$6</f>
        <v>279.0496</v>
      </c>
      <c r="V209" s="272">
        <v>1.2</v>
      </c>
      <c r="W209" s="307">
        <f>SUMIFS(Таблица1[сумма],Таблица1[коэф],"1,2",Таблица1[р/р],"5/24",Таблица1[Ф. И. О.],B209)</f>
        <v>0</v>
      </c>
      <c r="X209" s="313">
        <f>ROUND(U209*V209*W209,2)</f>
        <v>0</v>
      </c>
      <c r="Y209" s="849"/>
      <c r="Z209" s="840"/>
      <c r="AA209" s="843"/>
      <c r="AC209" s="722" t="str">
        <f>IF(SUMIFS(Таблица1[сумма],Таблица1[Ф. И. О.],B209)=Y204,"",B204&amp;"  часы не верны")</f>
        <v/>
      </c>
      <c r="AD209" s="759">
        <f>INDEX('[2]декабрь 23'!$AI$4:$AI$100,MATCH(C204,'[2]декабрь 23'!$AK$4:$AK$100,0))</f>
        <v>144</v>
      </c>
    </row>
    <row r="210" spans="1:30" ht="19.5" customHeight="1">
      <c r="A210" s="786"/>
      <c r="B210" s="216"/>
      <c r="C210" s="845"/>
      <c r="D210" s="847"/>
      <c r="E210" s="83"/>
      <c r="F210" s="272"/>
      <c r="G210" s="99"/>
      <c r="H210" s="93"/>
      <c r="I210" s="79"/>
      <c r="J210" s="272"/>
      <c r="K210" s="217"/>
      <c r="L210" s="29"/>
      <c r="M210" s="334"/>
      <c r="N210" s="217"/>
      <c r="O210" s="217"/>
      <c r="P210" s="217"/>
      <c r="Q210" s="80">
        <f>IF($D$6&lt;=3,база!$L$4,
IF($D$6=4,база!$L$5,
IF($D$6=5,база!$L$6)))</f>
        <v>231.45480000000001</v>
      </c>
      <c r="R210" s="272">
        <v>1.3</v>
      </c>
      <c r="S210" s="99">
        <f>SUMIFS(Таблица1[сумма],Таблица1[коэф],"1,3",Таблица1[р/р],"3/16",Таблица1[Ф. И. О.],B209)</f>
        <v>0</v>
      </c>
      <c r="T210" s="93">
        <f t="shared" ref="T210:T211" si="134">ROUND(Q210*R210*S210,2)</f>
        <v>0</v>
      </c>
      <c r="U210" s="366">
        <f>IF(D204&lt;=3,база!$M$4,
IF(D204=4,база!$M$5,
IF(D204=5,база!$M$6)))</f>
        <v>225.09719999999999</v>
      </c>
      <c r="V210" s="272">
        <v>1.3</v>
      </c>
      <c r="W210" s="307">
        <f>SUMIFS(Таблица1[сумма],Таблица1[коэф],"1,3",Таблица1[р/р],"3/24",Таблица1[Ф. И. О.],B209)</f>
        <v>0</v>
      </c>
      <c r="X210" s="313">
        <f t="shared" ref="X210:X211" si="135">ROUND(U210*V210*W210,2)</f>
        <v>0</v>
      </c>
      <c r="Y210" s="849"/>
      <c r="Z210" s="840"/>
      <c r="AA210" s="843"/>
    </row>
    <row r="211" spans="1:30" ht="19.5" customHeight="1">
      <c r="A211" s="786"/>
      <c r="B211" s="216"/>
      <c r="C211" s="845"/>
      <c r="D211" s="847"/>
      <c r="E211" s="83"/>
      <c r="F211" s="272"/>
      <c r="G211" s="99"/>
      <c r="H211" s="93"/>
      <c r="I211" s="79"/>
      <c r="J211" s="272"/>
      <c r="K211" s="217"/>
      <c r="L211" s="29"/>
      <c r="M211" s="334"/>
      <c r="N211" s="217"/>
      <c r="O211" s="217"/>
      <c r="P211" s="217"/>
      <c r="Q211" s="80">
        <f>база!$L$5</f>
        <v>231.45480000000001</v>
      </c>
      <c r="R211" s="272">
        <v>1.3</v>
      </c>
      <c r="S211" s="99">
        <f>SUMIFS(Таблица1[сумма],Таблица1[коэф],"1,3",Таблица1[р/р],"4/16",Таблица1[Ф. И. О.],B209)</f>
        <v>0</v>
      </c>
      <c r="T211" s="93">
        <f t="shared" si="134"/>
        <v>0</v>
      </c>
      <c r="U211" s="366">
        <f>база!$M$5</f>
        <v>247.41720000000001</v>
      </c>
      <c r="V211" s="272">
        <v>1.3</v>
      </c>
      <c r="W211" s="307">
        <f>SUMIFS(Таблица1[сумма],Таблица1[коэф],"1,3",Таблица1[р/р],"4/24",Таблица1[Ф. И. О.],B209)</f>
        <v>0</v>
      </c>
      <c r="X211" s="313">
        <f t="shared" si="135"/>
        <v>0</v>
      </c>
      <c r="Y211" s="849"/>
      <c r="Z211" s="840"/>
      <c r="AA211" s="843"/>
    </row>
    <row r="212" spans="1:30" ht="19.5" customHeight="1">
      <c r="A212" s="786"/>
      <c r="B212" s="216"/>
      <c r="C212" s="845"/>
      <c r="D212" s="847"/>
      <c r="E212" s="83"/>
      <c r="F212" s="272"/>
      <c r="G212" s="99"/>
      <c r="H212" s="93"/>
      <c r="I212" s="79"/>
      <c r="J212" s="272"/>
      <c r="K212" s="217"/>
      <c r="L212" s="29"/>
      <c r="M212" s="334"/>
      <c r="N212" s="217"/>
      <c r="O212" s="217"/>
      <c r="P212" s="217"/>
      <c r="Q212" s="80">
        <f>IF(D204&lt;=3,база!$L$4,
IF(D204=4,база!$L$5,
IF(D204=5,база!$L$6)))</f>
        <v>210.57480000000001</v>
      </c>
      <c r="R212" s="272">
        <v>1.4</v>
      </c>
      <c r="S212" s="99">
        <f>SUMIFS(Таблица1[сумма],Таблица1[коэф],"1,4",Таблица1[р/р],"3/16",Таблица1[Ф. И. О.],B209)</f>
        <v>0</v>
      </c>
      <c r="T212" s="93">
        <f t="shared" ref="T212:T217" si="136">ROUND(Q212*R212*S212,2)</f>
        <v>0</v>
      </c>
      <c r="U212" s="366">
        <f>IF(D204&lt;=3,база!$M$4,
IF(D204=4,база!$M$5,
IF(D204=5,база!$M$6)))</f>
        <v>225.09719999999999</v>
      </c>
      <c r="V212" s="272">
        <v>1.4</v>
      </c>
      <c r="W212" s="307">
        <f>SUMIFS(Таблица1[сумма],Таблица1[коэф],"1,4",Таблица1[р/р],"3/24",Таблица1[Ф. И. О.],B209)</f>
        <v>0</v>
      </c>
      <c r="X212" s="313">
        <f>ROUND(U212*V212*W212,2)</f>
        <v>0</v>
      </c>
      <c r="Y212" s="849"/>
      <c r="Z212" s="840"/>
      <c r="AA212" s="843"/>
    </row>
    <row r="213" spans="1:30" ht="19.5" customHeight="1">
      <c r="A213" s="786"/>
      <c r="B213" s="216"/>
      <c r="C213" s="845"/>
      <c r="D213" s="847"/>
      <c r="E213" s="83"/>
      <c r="F213" s="272"/>
      <c r="G213" s="99"/>
      <c r="H213" s="93"/>
      <c r="I213" s="79"/>
      <c r="J213" s="272"/>
      <c r="K213" s="217"/>
      <c r="L213" s="29"/>
      <c r="M213" s="334"/>
      <c r="N213" s="217"/>
      <c r="O213" s="217"/>
      <c r="P213" s="217"/>
      <c r="Q213" s="80">
        <f>база!$L$5</f>
        <v>231.45480000000001</v>
      </c>
      <c r="R213" s="272">
        <v>1.4</v>
      </c>
      <c r="S213" s="99">
        <f>SUMIFS(Таблица1[сумма],Таблица1[коэф],"1,4",Таблица1[р/р],"4/16",Таблица1[Ф. И. О.],B209)</f>
        <v>0</v>
      </c>
      <c r="T213" s="93">
        <f t="shared" si="136"/>
        <v>0</v>
      </c>
      <c r="U213" s="366">
        <f>база!$M$5</f>
        <v>247.41720000000001</v>
      </c>
      <c r="V213" s="272">
        <v>1.4</v>
      </c>
      <c r="W213" s="307">
        <f>SUMIFS(Таблица1[сумма],Таблица1[коэф],"1,4",Таблица1[р/р],"4/24",Таблица1[Ф. И. О.],B209)</f>
        <v>0</v>
      </c>
      <c r="X213" s="313">
        <f>ROUND(U213*V213*W213,2)</f>
        <v>0</v>
      </c>
      <c r="Y213" s="849"/>
      <c r="Z213" s="840"/>
      <c r="AA213" s="843"/>
    </row>
    <row r="214" spans="1:30" ht="19.5" customHeight="1" thickBot="1">
      <c r="A214" s="787"/>
      <c r="B214" s="203"/>
      <c r="C214" s="846"/>
      <c r="D214" s="848"/>
      <c r="E214" s="221"/>
      <c r="F214" s="274"/>
      <c r="G214" s="98"/>
      <c r="H214" s="239"/>
      <c r="I214" s="102"/>
      <c r="J214" s="274"/>
      <c r="K214" s="289"/>
      <c r="L214" s="26"/>
      <c r="M214" s="348"/>
      <c r="N214" s="289"/>
      <c r="O214" s="289"/>
      <c r="P214" s="289"/>
      <c r="Q214" s="78">
        <f>база!$L$6</f>
        <v>261.04640000000001</v>
      </c>
      <c r="R214" s="274">
        <v>1.4</v>
      </c>
      <c r="S214" s="98">
        <f>SUMIFS(Таблица1[сумма],Таблица1[коэф],"1,4",Таблица1[р/р],"5/16",Таблица1[Ф. И. О.],B209)</f>
        <v>0</v>
      </c>
      <c r="T214" s="239">
        <f t="shared" si="136"/>
        <v>0</v>
      </c>
      <c r="U214" s="367">
        <f>база!$M$6</f>
        <v>279.0496</v>
      </c>
      <c r="V214" s="274">
        <v>1.4</v>
      </c>
      <c r="W214" s="312">
        <f>SUMIFS(Таблица1[сумма],Таблица1[коэф],"1,4",Таблица1[р/р],"5/24",Таблица1[Ф. И. О.],B209)</f>
        <v>0</v>
      </c>
      <c r="X214" s="343">
        <f>ROUND(U214*V214*W214,2)</f>
        <v>0</v>
      </c>
      <c r="Y214" s="850"/>
      <c r="Z214" s="841"/>
      <c r="AA214" s="844"/>
    </row>
    <row r="215" spans="1:30" ht="18.75" customHeight="1">
      <c r="A215" s="785">
        <v>20</v>
      </c>
      <c r="B215" s="216"/>
      <c r="C215" s="851">
        <f>INDEX(база!$E$2:$E$81, MATCH(B220,база!$B$2:$B$50,0))</f>
        <v>15590</v>
      </c>
      <c r="D215" s="852">
        <f>INDEX(база!$D$2:$D$89, MATCH(B220,база!$B$2:$B$50,0))</f>
        <v>3</v>
      </c>
      <c r="E215" s="82">
        <f>IF(D215&lt;=3,база!$I$4,
IF(D215=4,база!$I$5,
IF(D215=5,база!$I$6)))</f>
        <v>188.7912</v>
      </c>
      <c r="F215" s="271">
        <v>1</v>
      </c>
      <c r="G215" s="97">
        <f>SUMIFS(Таблица1[сумма],Таблица1[коэф],"1",Таблица1[р/р],"2/4",Таблица1[Ф. И. О.],B220)</f>
        <v>0</v>
      </c>
      <c r="H215" s="311">
        <f>ROUND(E215*F215*G215,2)</f>
        <v>0</v>
      </c>
      <c r="I215" s="75">
        <f>IF(D215&lt;=3,база!$J$4,
IF(D215=4,база!$J$5,
IF(D215=5,база!$J$6)))</f>
        <v>196.05240000000001</v>
      </c>
      <c r="J215" s="271">
        <v>1</v>
      </c>
      <c r="K215" s="309">
        <f>SUMIFS(Таблица1[сумма],Таблица1[коэф],"1",Таблица1[р/р],"2/8",Таблица1[Ф. И. О.],B220)</f>
        <v>0</v>
      </c>
      <c r="L215" s="23">
        <f>ROUND(I215*J215*K215,2)</f>
        <v>0</v>
      </c>
      <c r="M215" s="344"/>
      <c r="N215" s="309">
        <v>1</v>
      </c>
      <c r="O215" s="309">
        <f>SUMIFS(Data_Tech!$AM$3:$AM$67,Data_Tech!$E$3:$E$67,"1",Data_Tech!$G$3:$G$67,"3/12",Data_Tech!$F$3:$F$67,B220)</f>
        <v>0</v>
      </c>
      <c r="P215" s="309">
        <f>ROUND(M215*N215*O215,2)</f>
        <v>0</v>
      </c>
      <c r="Q215" s="76">
        <f>IF(D215&lt;=3,база!$L$4,
IF(D215=4,база!$L$5,
IF(D215=5,база!$L$6)))</f>
        <v>210.57480000000001</v>
      </c>
      <c r="R215" s="271">
        <v>1</v>
      </c>
      <c r="S215" s="97">
        <f>SUMIFS(Таблица1[сумма],Таблица1[коэф],"1",Таблица1[р/р],"3/16",Таблица1[Ф. И. О.],B220)</f>
        <v>0</v>
      </c>
      <c r="T215" s="311">
        <f t="shared" si="136"/>
        <v>0</v>
      </c>
      <c r="U215" s="370">
        <f>IF(D215&lt;=3,база!$M$4,
IF(D215=4,база!$M$5,
IF(D215=5,база!$M$6)))</f>
        <v>225.09719999999999</v>
      </c>
      <c r="V215" s="271">
        <v>1</v>
      </c>
      <c r="W215" s="337">
        <f>SUMIFS(Таблица1[сумма],Таблица1[коэф],"1",Таблица1[р/р],"3/24",Таблица1[Ф. И. О.],B220)</f>
        <v>0</v>
      </c>
      <c r="X215" s="351">
        <f>ROUND(U215*V215*W215,2)</f>
        <v>0</v>
      </c>
      <c r="Y215" s="849">
        <f t="shared" ref="Y215" si="137">SUM(G215:G225,K215:K225,O215:O225,S215:S225,W215:W225)</f>
        <v>0</v>
      </c>
      <c r="Z215" s="840">
        <f t="shared" ref="Z215" si="138">IFERROR(SUM(H215:H225,L215:L225,T215:T225,X215:X225),"")</f>
        <v>0</v>
      </c>
      <c r="AA215" s="843"/>
    </row>
    <row r="216" spans="1:30" ht="18.75" customHeight="1">
      <c r="A216" s="786"/>
      <c r="B216" s="216"/>
      <c r="C216" s="845"/>
      <c r="D216" s="847"/>
      <c r="E216" s="83">
        <f>IF(D215&lt;=3,база!$I$4,
IF(D215=4,база!$I$5,
IF(D215=5,база!$I$6)))</f>
        <v>188.7912</v>
      </c>
      <c r="F216" s="272">
        <v>1</v>
      </c>
      <c r="G216" s="99">
        <f>SUMIFS(Таблица1[сумма],Таблица1[коэф],"1",Таблица1[р/р],"3/4",Таблица1[Ф. И. О.],B220)</f>
        <v>0</v>
      </c>
      <c r="H216" s="93">
        <f>ROUND(E216*F216*G216,2)</f>
        <v>0</v>
      </c>
      <c r="I216" s="79">
        <f>IF(D215&lt;=3,база!$J$4,
IF(D215=4,база!$J$5,
IF(D215=5,база!$J$6)))</f>
        <v>196.05240000000001</v>
      </c>
      <c r="J216" s="272">
        <v>1</v>
      </c>
      <c r="K216" s="217">
        <f>SUMIFS(Таблица1[сумма],Таблица1[коэф],"1",Таблица1[р/р],"3/8",Таблица1[Ф. И. О.],B220)</f>
        <v>0</v>
      </c>
      <c r="L216" s="29">
        <f>ROUND(I216*J216*K216,2)</f>
        <v>0</v>
      </c>
      <c r="M216" s="334"/>
      <c r="N216" s="217">
        <v>1</v>
      </c>
      <c r="O216" s="217">
        <f>SUMIFS(Data_Tech!$AM$3:$AM$67,Data_Tech!$E$3:$E$67,"1",Data_Tech!$G$3:$G$67,"4/12",Data_Tech!$F$3:$F$67,B220)</f>
        <v>0</v>
      </c>
      <c r="P216" s="217">
        <f>ROUND(M216*O216,2)</f>
        <v>0</v>
      </c>
      <c r="Q216" s="80">
        <f>база!$L$5</f>
        <v>231.45480000000001</v>
      </c>
      <c r="R216" s="272">
        <v>1</v>
      </c>
      <c r="S216" s="99">
        <f>SUMIFS(Таблица1[сумма],Таблица1[коэф],"1",Таблица1[р/р],"4/16",Таблица1[Ф. И. О.],B220)</f>
        <v>0</v>
      </c>
      <c r="T216" s="93">
        <f t="shared" si="136"/>
        <v>0</v>
      </c>
      <c r="U216" s="366">
        <f>база!$M$5</f>
        <v>247.41720000000001</v>
      </c>
      <c r="V216" s="272">
        <v>1</v>
      </c>
      <c r="W216" s="307">
        <f>SUMIFS(Таблица1[сумма],Таблица1[коэф],"1",Таблица1[р/р],"4/24",Таблица1[Ф. И. О.],B220)</f>
        <v>0</v>
      </c>
      <c r="X216" s="313">
        <f t="shared" ref="X216" si="139">ROUND(U216*V216*W216,2)</f>
        <v>0</v>
      </c>
      <c r="Y216" s="849"/>
      <c r="Z216" s="840"/>
      <c r="AA216" s="843"/>
    </row>
    <row r="217" spans="1:30" ht="18.75" customHeight="1">
      <c r="A217" s="786"/>
      <c r="B217" s="216"/>
      <c r="C217" s="845"/>
      <c r="D217" s="847"/>
      <c r="E217" s="83"/>
      <c r="F217" s="272"/>
      <c r="G217" s="99"/>
      <c r="H217" s="93"/>
      <c r="I217" s="79"/>
      <c r="J217" s="272"/>
      <c r="K217" s="217"/>
      <c r="L217" s="29"/>
      <c r="M217" s="334"/>
      <c r="N217" s="217"/>
      <c r="O217" s="217"/>
      <c r="P217" s="217"/>
      <c r="Q217" s="80">
        <f>база!$L$6</f>
        <v>261.04640000000001</v>
      </c>
      <c r="R217" s="272">
        <v>1</v>
      </c>
      <c r="S217" s="99">
        <f>SUMIFS(Таблица1[сумма],Таблица1[коэф],"1",Таблица1[р/р],"5/16",Таблица1[Ф. И. О.],B220)</f>
        <v>0</v>
      </c>
      <c r="T217" s="93">
        <f t="shared" si="136"/>
        <v>0</v>
      </c>
      <c r="U217" s="366">
        <f>база!$M$6</f>
        <v>279.0496</v>
      </c>
      <c r="V217" s="272">
        <v>1</v>
      </c>
      <c r="W217" s="307">
        <f>SUMIFS(Таблица1[сумма],Таблица1[коэф],"1",Таблица1[р/р],"5/24",Таблица1[Ф. И. О.],B220)</f>
        <v>0</v>
      </c>
      <c r="X217" s="313">
        <f>ROUND(U217*V217*W217,2)</f>
        <v>0</v>
      </c>
      <c r="Y217" s="849"/>
      <c r="Z217" s="840"/>
      <c r="AA217" s="843"/>
    </row>
    <row r="218" spans="1:30" ht="18.75" customHeight="1">
      <c r="A218" s="786"/>
      <c r="B218" s="216"/>
      <c r="C218" s="845"/>
      <c r="D218" s="847"/>
      <c r="E218" s="83"/>
      <c r="F218" s="272"/>
      <c r="G218" s="99"/>
      <c r="H218" s="93"/>
      <c r="I218" s="79">
        <f>база!$J$5</f>
        <v>215.4924</v>
      </c>
      <c r="J218" s="272">
        <v>1.5</v>
      </c>
      <c r="K218" s="217">
        <f>SUMIFS(Таблица1[сумма],Таблица1[коэф],"1,5",Таблица1[р/р],"4/8",Таблица1[Ф. И. О.],B220)</f>
        <v>0</v>
      </c>
      <c r="L218" s="29">
        <f>ROUND(I218*J218*K218,2)</f>
        <v>0</v>
      </c>
      <c r="M218" s="334"/>
      <c r="N218" s="217"/>
      <c r="O218" s="217"/>
      <c r="P218" s="217"/>
      <c r="Q218" s="80">
        <f>IF(D215&lt;=3,база!$L$4,
IF(D215=4,база!$L$5,
IF(D215=5,база!$L$6)))</f>
        <v>210.57480000000001</v>
      </c>
      <c r="R218" s="272">
        <v>1.2</v>
      </c>
      <c r="S218" s="99">
        <f>SUMIFS(Таблица1[сумма],Таблица1[коэф],"1,2",Таблица1[р/р],"3/16",Таблица1[Ф. И. О.],B220)</f>
        <v>0</v>
      </c>
      <c r="T218" s="93">
        <f t="shared" ref="T218:T219" si="140">ROUND(Q218*R218*S218,2)</f>
        <v>0</v>
      </c>
      <c r="U218" s="366">
        <f>IF(D215&lt;=3,база!$M$4,
IF(D215=4,база!$M$5,
IF(D215=5,база!$M$6)))</f>
        <v>225.09719999999999</v>
      </c>
      <c r="V218" s="272">
        <v>1.2</v>
      </c>
      <c r="W218" s="307">
        <f>SUMIFS(Таблица1[сумма],Таблица1[коэф],"1,2",Таблица1[р/р],"3/24",Таблица1[Ф. И. О.],B220)</f>
        <v>0</v>
      </c>
      <c r="X218" s="313">
        <f t="shared" ref="X218:X219" si="141">ROUND(U218*V218*W218,2)</f>
        <v>0</v>
      </c>
      <c r="Y218" s="849"/>
      <c r="Z218" s="840"/>
      <c r="AA218" s="843"/>
    </row>
    <row r="219" spans="1:30" ht="18.75" customHeight="1">
      <c r="A219" s="786"/>
      <c r="B219" s="216"/>
      <c r="C219" s="845"/>
      <c r="D219" s="847"/>
      <c r="E219" s="83"/>
      <c r="F219" s="272"/>
      <c r="G219" s="99"/>
      <c r="H219" s="93"/>
      <c r="I219" s="79">
        <f>база!$J$6</f>
        <v>243.04319999999998</v>
      </c>
      <c r="J219" s="272">
        <v>1.5</v>
      </c>
      <c r="K219" s="217">
        <f>SUMIFS(Таблица1[сумма],Таблица1[коэф],"1,5",Таблица1[р/р],"5/8",Таблица1[Ф. И. О.],B220)</f>
        <v>0</v>
      </c>
      <c r="L219" s="29">
        <f>ROUND(I219*J219*K219,2)</f>
        <v>0</v>
      </c>
      <c r="M219" s="334"/>
      <c r="N219" s="217"/>
      <c r="O219" s="217"/>
      <c r="P219" s="217"/>
      <c r="Q219" s="80">
        <f>база!$L$5</f>
        <v>231.45480000000001</v>
      </c>
      <c r="R219" s="272">
        <v>1.2</v>
      </c>
      <c r="S219" s="99">
        <f>SUMIFS(Таблица1[сумма],Таблица1[коэф],"1,2",Таблица1[р/р],"4/16",Таблица1[Ф. И. О.],B220)</f>
        <v>0</v>
      </c>
      <c r="T219" s="93">
        <f t="shared" si="140"/>
        <v>0</v>
      </c>
      <c r="U219" s="366">
        <f>база!$M$5</f>
        <v>247.41720000000001</v>
      </c>
      <c r="V219" s="272">
        <v>1.2</v>
      </c>
      <c r="W219" s="307">
        <f>SUMIFS(Таблица1[сумма],Таблица1[коэф],"1,2",Таблица1[р/р],"4/24",Таблица1[Ф. И. О.],B220)</f>
        <v>0</v>
      </c>
      <c r="X219" s="313">
        <f t="shared" si="141"/>
        <v>0</v>
      </c>
      <c r="Y219" s="849"/>
      <c r="Z219" s="840"/>
      <c r="AA219" s="843"/>
      <c r="AC219" s="722" t="str">
        <f>IF(SUMIFS(Таблица1[Столбец2],Таблица1[Ф. И. О.],B220)-Z215=0,"",SUMIFS(Таблица1[Столбец2],Таблица1[Ф. И. О.],B220)-Z215)</f>
        <v/>
      </c>
    </row>
    <row r="220" spans="1:30" ht="22.5" customHeight="1">
      <c r="A220" s="786"/>
      <c r="B220" s="216" t="str">
        <f>база!B21</f>
        <v>Егорова Татьяна Владимировна</v>
      </c>
      <c r="C220" s="845"/>
      <c r="D220" s="847"/>
      <c r="E220" s="83"/>
      <c r="F220" s="272"/>
      <c r="G220" s="99"/>
      <c r="H220" s="93"/>
      <c r="I220" s="79"/>
      <c r="J220" s="272"/>
      <c r="K220" s="217"/>
      <c r="L220" s="29"/>
      <c r="M220" s="334"/>
      <c r="N220" s="217"/>
      <c r="O220" s="217"/>
      <c r="P220" s="217"/>
      <c r="Q220" s="80">
        <f>база!$L$6</f>
        <v>261.04640000000001</v>
      </c>
      <c r="R220" s="272">
        <v>1.2</v>
      </c>
      <c r="S220" s="99">
        <f>SUMIFS(Таблица1[сумма],Таблица1[коэф],"1,2",Таблица1[р/р],"5/16",Таблица1[Ф. И. О.],B220)</f>
        <v>0</v>
      </c>
      <c r="T220" s="93">
        <f>ROUND(Q220*R220*S220,2)</f>
        <v>0</v>
      </c>
      <c r="U220" s="366">
        <f>база!$M$6</f>
        <v>279.0496</v>
      </c>
      <c r="V220" s="272">
        <v>1.2</v>
      </c>
      <c r="W220" s="307">
        <f>SUMIFS(Таблица1[сумма],Таблица1[коэф],"1,2",Таблица1[р/р],"5/24",Таблица1[Ф. И. О.],B220)</f>
        <v>0</v>
      </c>
      <c r="X220" s="313">
        <f>ROUND(U220*V220*W220,2)</f>
        <v>0</v>
      </c>
      <c r="Y220" s="849"/>
      <c r="Z220" s="840"/>
      <c r="AA220" s="843"/>
      <c r="AC220" s="722" t="str">
        <f>IF(SUMIFS(Таблица1[сумма],Таблица1[Ф. И. О.],B220)=Y215,"",B215&amp;"  часы не верны")</f>
        <v/>
      </c>
      <c r="AD220" s="759">
        <f>INDEX('[2]декабрь 23'!$AI$4:$AI$100,MATCH(C215,'[2]декабрь 23'!$AK$4:$AK$100,0))</f>
        <v>144</v>
      </c>
    </row>
    <row r="221" spans="1:30" ht="18.75" customHeight="1">
      <c r="A221" s="786"/>
      <c r="B221" s="216"/>
      <c r="C221" s="845"/>
      <c r="D221" s="847"/>
      <c r="E221" s="83"/>
      <c r="F221" s="272"/>
      <c r="G221" s="99"/>
      <c r="H221" s="93"/>
      <c r="I221" s="79"/>
      <c r="J221" s="272"/>
      <c r="K221" s="217"/>
      <c r="L221" s="29"/>
      <c r="M221" s="334"/>
      <c r="N221" s="217"/>
      <c r="O221" s="217"/>
      <c r="P221" s="217"/>
      <c r="Q221" s="80">
        <f>IF($D$6&lt;=3,база!$L$4,
IF($D$6=4,база!$L$5,
IF($D$6=5,база!$L$6)))</f>
        <v>231.45480000000001</v>
      </c>
      <c r="R221" s="272">
        <v>1.3</v>
      </c>
      <c r="S221" s="99">
        <f>SUMIFS(Таблица1[сумма],Таблица1[коэф],"1,3",Таблица1[р/р],"3/16",Таблица1[Ф. И. О.],B220)</f>
        <v>0</v>
      </c>
      <c r="T221" s="93">
        <f t="shared" ref="T221:T222" si="142">ROUND(Q221*R221*S221,2)</f>
        <v>0</v>
      </c>
      <c r="U221" s="366">
        <f>IF(D215&lt;=3,база!$M$4,
IF(D215=4,база!$M$5,
IF(D215=5,база!$M$6)))</f>
        <v>225.09719999999999</v>
      </c>
      <c r="V221" s="272">
        <v>1.3</v>
      </c>
      <c r="W221" s="307">
        <f>SUMIFS(Таблица1[сумма],Таблица1[коэф],"1,3",Таблица1[р/р],"3/24",Таблица1[Ф. И. О.],B220)</f>
        <v>0</v>
      </c>
      <c r="X221" s="313">
        <f t="shared" ref="X221:X222" si="143">ROUND(U221*V221*W221,2)</f>
        <v>0</v>
      </c>
      <c r="Y221" s="849"/>
      <c r="Z221" s="840"/>
      <c r="AA221" s="843"/>
    </row>
    <row r="222" spans="1:30" ht="18.75" customHeight="1">
      <c r="A222" s="786"/>
      <c r="B222" s="216"/>
      <c r="C222" s="845"/>
      <c r="D222" s="847"/>
      <c r="E222" s="83"/>
      <c r="F222" s="272"/>
      <c r="G222" s="99"/>
      <c r="H222" s="93"/>
      <c r="I222" s="79"/>
      <c r="J222" s="272"/>
      <c r="K222" s="217"/>
      <c r="L222" s="29"/>
      <c r="M222" s="334"/>
      <c r="N222" s="217"/>
      <c r="O222" s="217"/>
      <c r="P222" s="217"/>
      <c r="Q222" s="80">
        <f>база!$L$5</f>
        <v>231.45480000000001</v>
      </c>
      <c r="R222" s="272">
        <v>1.3</v>
      </c>
      <c r="S222" s="99">
        <f>SUMIFS(Таблица1[сумма],Таблица1[коэф],"1,3",Таблица1[р/р],"4/16",Таблица1[Ф. И. О.],B220)</f>
        <v>0</v>
      </c>
      <c r="T222" s="93">
        <f t="shared" si="142"/>
        <v>0</v>
      </c>
      <c r="U222" s="366">
        <f>база!$M$5</f>
        <v>247.41720000000001</v>
      </c>
      <c r="V222" s="272">
        <v>1.3</v>
      </c>
      <c r="W222" s="307">
        <f>SUMIFS(Таблица1[сумма],Таблица1[коэф],"1,3",Таблица1[р/р],"4/24",Таблица1[Ф. И. О.],B220)</f>
        <v>0</v>
      </c>
      <c r="X222" s="313">
        <f t="shared" si="143"/>
        <v>0</v>
      </c>
      <c r="Y222" s="849"/>
      <c r="Z222" s="840"/>
      <c r="AA222" s="843"/>
    </row>
    <row r="223" spans="1:30" ht="18.75" customHeight="1">
      <c r="A223" s="786"/>
      <c r="B223" s="216"/>
      <c r="C223" s="845"/>
      <c r="D223" s="847"/>
      <c r="E223" s="83"/>
      <c r="F223" s="272"/>
      <c r="G223" s="99"/>
      <c r="H223" s="93"/>
      <c r="I223" s="79"/>
      <c r="J223" s="272"/>
      <c r="K223" s="217"/>
      <c r="L223" s="29"/>
      <c r="M223" s="334"/>
      <c r="N223" s="217"/>
      <c r="O223" s="217"/>
      <c r="P223" s="217"/>
      <c r="Q223" s="80">
        <f>IF(D215&lt;=3,база!$L$4,
IF(D215=4,база!$L$5,
IF(D215=5,база!$L$6)))</f>
        <v>210.57480000000001</v>
      </c>
      <c r="R223" s="272">
        <v>1.4</v>
      </c>
      <c r="S223" s="99">
        <f>SUMIFS(Таблица1[сумма],Таблица1[коэф],"1,4",Таблица1[р/р],"3/16",Таблица1[Ф. И. О.],B220)</f>
        <v>0</v>
      </c>
      <c r="T223" s="93">
        <f t="shared" ref="T223:T228" si="144">ROUND(Q223*R223*S223,2)</f>
        <v>0</v>
      </c>
      <c r="U223" s="366">
        <f>IF(D215&lt;=3,база!$M$4,
IF(D215=4,база!$M$5,
IF(D215=5,база!$M$6)))</f>
        <v>225.09719999999999</v>
      </c>
      <c r="V223" s="272">
        <v>1.4</v>
      </c>
      <c r="W223" s="307">
        <f>SUMIFS(Таблица1[сумма],Таблица1[коэф],"1,4",Таблица1[р/р],"3/24",Таблица1[Ф. И. О.],B220)</f>
        <v>0</v>
      </c>
      <c r="X223" s="313">
        <f>ROUND(U223*V223*W223,2)</f>
        <v>0</v>
      </c>
      <c r="Y223" s="849"/>
      <c r="Z223" s="840"/>
      <c r="AA223" s="843"/>
    </row>
    <row r="224" spans="1:30" ht="18.75" customHeight="1">
      <c r="A224" s="786"/>
      <c r="B224" s="216"/>
      <c r="C224" s="845"/>
      <c r="D224" s="847"/>
      <c r="E224" s="83"/>
      <c r="F224" s="272"/>
      <c r="G224" s="99"/>
      <c r="H224" s="93"/>
      <c r="I224" s="79"/>
      <c r="J224" s="272"/>
      <c r="K224" s="217"/>
      <c r="L224" s="29"/>
      <c r="M224" s="334"/>
      <c r="N224" s="217"/>
      <c r="O224" s="217"/>
      <c r="P224" s="217"/>
      <c r="Q224" s="80">
        <f>база!$L$5</f>
        <v>231.45480000000001</v>
      </c>
      <c r="R224" s="272">
        <v>1.4</v>
      </c>
      <c r="S224" s="99">
        <f>SUMIFS(Таблица1[сумма],Таблица1[коэф],"1,4",Таблица1[р/р],"4/16",Таблица1[Ф. И. О.],B220)</f>
        <v>0</v>
      </c>
      <c r="T224" s="93">
        <f t="shared" si="144"/>
        <v>0</v>
      </c>
      <c r="U224" s="366">
        <f>база!$M$5</f>
        <v>247.41720000000001</v>
      </c>
      <c r="V224" s="272">
        <v>1.4</v>
      </c>
      <c r="W224" s="307">
        <f>SUMIFS(Таблица1[сумма],Таблица1[коэф],"1,4",Таблица1[р/р],"4/24",Таблица1[Ф. И. О.],B220)</f>
        <v>0</v>
      </c>
      <c r="X224" s="313">
        <f>ROUND(U224*V224*W224,2)</f>
        <v>0</v>
      </c>
      <c r="Y224" s="849"/>
      <c r="Z224" s="840"/>
      <c r="AA224" s="843"/>
    </row>
    <row r="225" spans="1:30" ht="19.5" customHeight="1" thickBot="1">
      <c r="A225" s="787"/>
      <c r="B225" s="216"/>
      <c r="C225" s="846"/>
      <c r="D225" s="848"/>
      <c r="E225" s="303"/>
      <c r="F225" s="275"/>
      <c r="G225" s="105"/>
      <c r="H225" s="316"/>
      <c r="I225" s="218"/>
      <c r="J225" s="275"/>
      <c r="K225" s="302"/>
      <c r="L225" s="220"/>
      <c r="M225" s="345"/>
      <c r="N225" s="302"/>
      <c r="O225" s="302"/>
      <c r="P225" s="302"/>
      <c r="Q225" s="107">
        <f>база!$L$6</f>
        <v>261.04640000000001</v>
      </c>
      <c r="R225" s="275">
        <v>1.4</v>
      </c>
      <c r="S225" s="105">
        <f>SUMIFS(Таблица1[сумма],Таблица1[коэф],"1,4",Таблица1[р/р],"5/16",Таблица1[Ф. И. О.],B220)</f>
        <v>0</v>
      </c>
      <c r="T225" s="316">
        <f t="shared" si="144"/>
        <v>0</v>
      </c>
      <c r="U225" s="369">
        <f>база!$M$6</f>
        <v>279.0496</v>
      </c>
      <c r="V225" s="275">
        <v>1.4</v>
      </c>
      <c r="W225" s="333">
        <f>SUMIFS(Таблица1[сумма],Таблица1[коэф],"1,4",Таблица1[р/р],"5/24",Таблица1[Ф. И. О.],B220)</f>
        <v>0</v>
      </c>
      <c r="X225" s="350">
        <f>ROUND(U225*V225*W225,2)</f>
        <v>0</v>
      </c>
      <c r="Y225" s="850"/>
      <c r="Z225" s="841"/>
      <c r="AA225" s="844"/>
    </row>
    <row r="226" spans="1:30" ht="18.75" customHeight="1">
      <c r="A226" s="785">
        <v>21</v>
      </c>
      <c r="B226" s="236"/>
      <c r="C226" s="851">
        <f>INDEX(база!$E$2:$E$81, MATCH(B231,база!$B$2:$B$50,0))</f>
        <v>16771</v>
      </c>
      <c r="D226" s="852">
        <f>INDEX(база!$D$2:$D$89, MATCH(B231,база!$B$2:$B$50,0))</f>
        <v>3</v>
      </c>
      <c r="E226" s="310">
        <f>IF(D226&lt;=3,база!$I$4,
IF(D226=4,база!$I$5,
IF(D226=5,база!$I$6)))</f>
        <v>188.7912</v>
      </c>
      <c r="F226" s="270">
        <v>1</v>
      </c>
      <c r="G226" s="96">
        <f>SUMIFS(Таблица1[сумма],Таблица1[коэф],"1",Таблица1[р/р],"2/4",Таблица1[Ф. И. О.],B231)</f>
        <v>0</v>
      </c>
      <c r="H226" s="317">
        <f>ROUND(E226*F226*G226,2)</f>
        <v>0</v>
      </c>
      <c r="I226" s="73">
        <f>IF(D226&lt;=3,база!$J$4,
IF(D226=4,база!$J$5,
IF(D226=5,база!$J$6)))</f>
        <v>196.05240000000001</v>
      </c>
      <c r="J226" s="270">
        <v>1</v>
      </c>
      <c r="K226" s="288">
        <f>SUMIFS(Таблица1[сумма],Таблица1[коэф],"1",Таблица1[р/р],"2/8",Таблица1[Ф. И. О.],B231)</f>
        <v>0</v>
      </c>
      <c r="L226" s="28">
        <f>ROUND(I226*J226*K226,2)</f>
        <v>0</v>
      </c>
      <c r="M226" s="338"/>
      <c r="N226" s="288">
        <v>1</v>
      </c>
      <c r="O226" s="288">
        <f>SUMIFS(Data_Tech!$AM$3:$AM$67,Data_Tech!$E$3:$E$67,"1",Data_Tech!$G$3:$G$67,"3/12",Data_Tech!$F$3:$F$67,B231)</f>
        <v>0</v>
      </c>
      <c r="P226" s="288">
        <f>ROUND(M226*N226*O226,2)</f>
        <v>0</v>
      </c>
      <c r="Q226" s="74">
        <f>IF(D226&lt;=3,база!$L$4,
IF(D226=4,база!$L$5,
IF(D226=5,база!$L$6)))</f>
        <v>210.57480000000001</v>
      </c>
      <c r="R226" s="270">
        <v>1</v>
      </c>
      <c r="S226" s="96">
        <f>SUMIFS(Таблица1[сумма],Таблица1[коэф],"1",Таблица1[р/р],"3/16",Таблица1[Ф. И. О.],B231)</f>
        <v>0</v>
      </c>
      <c r="T226" s="317">
        <f t="shared" si="144"/>
        <v>0</v>
      </c>
      <c r="U226" s="365">
        <f>IF(D226&lt;=3,база!$M$4,
IF(D226=4,база!$M$5,
IF(D226=5,база!$M$6)))</f>
        <v>225.09719999999999</v>
      </c>
      <c r="V226" s="270">
        <v>1</v>
      </c>
      <c r="W226" s="340">
        <f>SUMIFS(Таблица1[сумма],Таблица1[коэф],"1",Таблица1[р/р],"3/24",Таблица1[Ф. И. О.],B231)</f>
        <v>0</v>
      </c>
      <c r="X226" s="342">
        <f>ROUND(U226*V226*W226,2)</f>
        <v>0</v>
      </c>
      <c r="Y226" s="849">
        <f t="shared" ref="Y226" si="145">SUM(G226:G236,K226:K236,O226:O236,S226:S236,W226:W236)</f>
        <v>0</v>
      </c>
      <c r="Z226" s="840">
        <f t="shared" ref="Z226" si="146">IFERROR(SUM(H226:H236,L226:L236,T226:T236,X226:X236),"")</f>
        <v>0</v>
      </c>
      <c r="AA226" s="843"/>
    </row>
    <row r="227" spans="1:30" ht="18.75" customHeight="1">
      <c r="A227" s="786"/>
      <c r="B227" s="216"/>
      <c r="C227" s="845"/>
      <c r="D227" s="847"/>
      <c r="E227" s="83">
        <f>IF(D226&lt;=3,база!$I$4,
IF(D226=4,база!$I$5,
IF(D226=5,база!$I$6)))</f>
        <v>188.7912</v>
      </c>
      <c r="F227" s="272">
        <v>1</v>
      </c>
      <c r="G227" s="99">
        <f>SUMIFS(Таблица1[сумма],Таблица1[коэф],"1",Таблица1[р/р],"3/4",Таблица1[Ф. И. О.],B231)</f>
        <v>0</v>
      </c>
      <c r="H227" s="93">
        <f>ROUND(E227*F227*G227,2)</f>
        <v>0</v>
      </c>
      <c r="I227" s="79">
        <f>IF(D226&lt;=3,база!$J$4,
IF(D226=4,база!$J$5,
IF(D226=5,база!$J$6)))</f>
        <v>196.05240000000001</v>
      </c>
      <c r="J227" s="272">
        <v>1</v>
      </c>
      <c r="K227" s="217">
        <f>SUMIFS(Таблица1[сумма],Таблица1[коэф],"1",Таблица1[р/р],"3/8",Таблица1[Ф. И. О.],B231)</f>
        <v>0</v>
      </c>
      <c r="L227" s="29">
        <f>ROUND(I227*J227*K227,2)</f>
        <v>0</v>
      </c>
      <c r="M227" s="334"/>
      <c r="N227" s="217">
        <v>1</v>
      </c>
      <c r="O227" s="217">
        <f>SUMIFS(Data_Tech!$AM$3:$AM$67,Data_Tech!$E$3:$E$67,"1",Data_Tech!$G$3:$G$67,"4/12",Data_Tech!$F$3:$F$67,B231)</f>
        <v>0</v>
      </c>
      <c r="P227" s="217">
        <f>ROUND(M227*O227,2)</f>
        <v>0</v>
      </c>
      <c r="Q227" s="80">
        <f>база!$L$5</f>
        <v>231.45480000000001</v>
      </c>
      <c r="R227" s="272">
        <v>1</v>
      </c>
      <c r="S227" s="99">
        <f>SUMIFS(Таблица1[сумма],Таблица1[коэф],"1",Таблица1[р/р],"4/16",Таблица1[Ф. И. О.],B231)</f>
        <v>0</v>
      </c>
      <c r="T227" s="93">
        <f t="shared" si="144"/>
        <v>0</v>
      </c>
      <c r="U227" s="366">
        <f>база!$M$5</f>
        <v>247.41720000000001</v>
      </c>
      <c r="V227" s="272">
        <v>1</v>
      </c>
      <c r="W227" s="307">
        <f>SUMIFS(Таблица1[сумма],Таблица1[коэф],"1",Таблица1[р/р],"4/24",Таблица1[Ф. И. О.],B231)</f>
        <v>0</v>
      </c>
      <c r="X227" s="313">
        <f t="shared" ref="X227" si="147">ROUND(U227*V227*W227,2)</f>
        <v>0</v>
      </c>
      <c r="Y227" s="849"/>
      <c r="Z227" s="840"/>
      <c r="AA227" s="843"/>
    </row>
    <row r="228" spans="1:30" ht="19.5" customHeight="1">
      <c r="A228" s="786"/>
      <c r="B228" s="216"/>
      <c r="C228" s="845"/>
      <c r="D228" s="847"/>
      <c r="E228" s="83"/>
      <c r="F228" s="272"/>
      <c r="G228" s="99"/>
      <c r="H228" s="93"/>
      <c r="I228" s="79"/>
      <c r="J228" s="272"/>
      <c r="K228" s="217"/>
      <c r="L228" s="29"/>
      <c r="M228" s="334"/>
      <c r="N228" s="217"/>
      <c r="O228" s="217"/>
      <c r="P228" s="217"/>
      <c r="Q228" s="80">
        <f>база!$L$6</f>
        <v>261.04640000000001</v>
      </c>
      <c r="R228" s="272">
        <v>1</v>
      </c>
      <c r="S228" s="99">
        <f>SUMIFS(Таблица1[сумма],Таблица1[коэф],"1",Таблица1[р/р],"5/16",Таблица1[Ф. И. О.],B231)</f>
        <v>0</v>
      </c>
      <c r="T228" s="93">
        <f t="shared" si="144"/>
        <v>0</v>
      </c>
      <c r="U228" s="366">
        <f>база!$M$6</f>
        <v>279.0496</v>
      </c>
      <c r="V228" s="272">
        <v>1</v>
      </c>
      <c r="W228" s="307">
        <f>SUMIFS(Таблица1[сумма],Таблица1[коэф],"1",Таблица1[р/р],"5/24",Таблица1[Ф. И. О.],B231)</f>
        <v>0</v>
      </c>
      <c r="X228" s="313">
        <f>ROUND(U228*V228*W228,2)</f>
        <v>0</v>
      </c>
      <c r="Y228" s="849"/>
      <c r="Z228" s="840"/>
      <c r="AA228" s="843"/>
    </row>
    <row r="229" spans="1:30" ht="19.5" customHeight="1">
      <c r="A229" s="786"/>
      <c r="B229" s="216"/>
      <c r="C229" s="845"/>
      <c r="D229" s="847"/>
      <c r="E229" s="83"/>
      <c r="F229" s="272"/>
      <c r="G229" s="99"/>
      <c r="H229" s="93"/>
      <c r="I229" s="79">
        <f>база!$J$5</f>
        <v>215.4924</v>
      </c>
      <c r="J229" s="272">
        <v>1.5</v>
      </c>
      <c r="K229" s="217">
        <f>SUMIFS(Таблица1[сумма],Таблица1[коэф],"1,5",Таблица1[р/р],"4/8",Таблица1[Ф. И. О.],B231)</f>
        <v>0</v>
      </c>
      <c r="L229" s="29">
        <f>ROUND(I229*J229*K229,2)</f>
        <v>0</v>
      </c>
      <c r="M229" s="334"/>
      <c r="N229" s="217"/>
      <c r="O229" s="217"/>
      <c r="P229" s="217"/>
      <c r="Q229" s="80">
        <f>IF(D226&lt;=3,база!$L$4,
IF(D226=4,база!$L$5,
IF(D226=5,база!$L$6)))</f>
        <v>210.57480000000001</v>
      </c>
      <c r="R229" s="272">
        <v>1.2</v>
      </c>
      <c r="S229" s="99">
        <f>SUMIFS(Таблица1[сумма],Таблица1[коэф],"1,2",Таблица1[р/р],"3/16",Таблица1[Ф. И. О.],B231)</f>
        <v>0</v>
      </c>
      <c r="T229" s="93">
        <f t="shared" ref="T229:T230" si="148">ROUND(Q229*R229*S229,2)</f>
        <v>0</v>
      </c>
      <c r="U229" s="366">
        <f>IF(D226&lt;=3,база!$M$4,
IF(D226=4,база!$M$5,
IF(D226=5,база!$M$6)))</f>
        <v>225.09719999999999</v>
      </c>
      <c r="V229" s="272">
        <v>1.2</v>
      </c>
      <c r="W229" s="307">
        <f>SUMIFS(Таблица1[сумма],Таблица1[коэф],"1,2",Таблица1[р/р],"3/24",Таблица1[Ф. И. О.],B231)</f>
        <v>0</v>
      </c>
      <c r="X229" s="313">
        <f t="shared" ref="X229:X230" si="149">ROUND(U229*V229*W229,2)</f>
        <v>0</v>
      </c>
      <c r="Y229" s="849"/>
      <c r="Z229" s="840"/>
      <c r="AA229" s="843"/>
    </row>
    <row r="230" spans="1:30" ht="19.5" customHeight="1">
      <c r="A230" s="786"/>
      <c r="B230" s="216"/>
      <c r="C230" s="845"/>
      <c r="D230" s="847"/>
      <c r="E230" s="83"/>
      <c r="F230" s="272"/>
      <c r="G230" s="99"/>
      <c r="H230" s="93"/>
      <c r="I230" s="79">
        <f>база!$J$6</f>
        <v>243.04319999999998</v>
      </c>
      <c r="J230" s="272">
        <v>1.5</v>
      </c>
      <c r="K230" s="217">
        <f>SUMIFS(Таблица1[сумма],Таблица1[коэф],"1,5",Таблица1[р/р],"5/8",Таблица1[Ф. И. О.],B231)</f>
        <v>0</v>
      </c>
      <c r="L230" s="29">
        <f>ROUND(I230*J230*K230,2)</f>
        <v>0</v>
      </c>
      <c r="M230" s="334"/>
      <c r="N230" s="217"/>
      <c r="O230" s="217"/>
      <c r="P230" s="217"/>
      <c r="Q230" s="80">
        <f>база!$L$5</f>
        <v>231.45480000000001</v>
      </c>
      <c r="R230" s="272">
        <v>1.2</v>
      </c>
      <c r="S230" s="99">
        <f>SUMIFS(Таблица1[сумма],Таблица1[коэф],"1,2",Таблица1[р/р],"4/16",Таблица1[Ф. И. О.],B231)</f>
        <v>0</v>
      </c>
      <c r="T230" s="93">
        <f t="shared" si="148"/>
        <v>0</v>
      </c>
      <c r="U230" s="366">
        <f>база!$M$5</f>
        <v>247.41720000000001</v>
      </c>
      <c r="V230" s="272">
        <v>1.2</v>
      </c>
      <c r="W230" s="307">
        <f>SUMIFS(Таблица1[сумма],Таблица1[коэф],"1,2",Таблица1[р/р],"4/24",Таблица1[Ф. И. О.],B231)</f>
        <v>0</v>
      </c>
      <c r="X230" s="313">
        <f t="shared" si="149"/>
        <v>0</v>
      </c>
      <c r="Y230" s="849"/>
      <c r="Z230" s="840"/>
      <c r="AA230" s="843"/>
      <c r="AC230" s="722" t="str">
        <f>IF(SUMIFS(Таблица1[Столбец2],Таблица1[Ф. И. О.],B231)-Z226=0,"",SUMIFS(Таблица1[Столбец2],Таблица1[Ф. И. О.],B231)-Z226)</f>
        <v/>
      </c>
    </row>
    <row r="231" spans="1:30" ht="19.5" customHeight="1">
      <c r="A231" s="786"/>
      <c r="B231" s="216" t="str">
        <f>база!B22</f>
        <v>Елькина Татьяна Владимировна</v>
      </c>
      <c r="C231" s="845"/>
      <c r="D231" s="847"/>
      <c r="E231" s="83"/>
      <c r="F231" s="272"/>
      <c r="G231" s="99"/>
      <c r="H231" s="93"/>
      <c r="I231" s="79"/>
      <c r="J231" s="272"/>
      <c r="K231" s="217"/>
      <c r="L231" s="29"/>
      <c r="M231" s="334"/>
      <c r="N231" s="217"/>
      <c r="O231" s="217"/>
      <c r="P231" s="217"/>
      <c r="Q231" s="80">
        <f>база!$L$6</f>
        <v>261.04640000000001</v>
      </c>
      <c r="R231" s="272">
        <v>1.2</v>
      </c>
      <c r="S231" s="99">
        <f>SUMIFS(Таблица1[сумма],Таблица1[коэф],"1,2",Таблица1[р/р],"5/16",Таблица1[Ф. И. О.],B231)</f>
        <v>0</v>
      </c>
      <c r="T231" s="93">
        <f>ROUND(Q231*R231*S231,2)</f>
        <v>0</v>
      </c>
      <c r="U231" s="366">
        <f>база!$M$6</f>
        <v>279.0496</v>
      </c>
      <c r="V231" s="272">
        <v>1.2</v>
      </c>
      <c r="W231" s="307">
        <f>SUMIFS(Таблица1[сумма],Таблица1[коэф],"1,2",Таблица1[р/р],"5/24",Таблица1[Ф. И. О.],B231)</f>
        <v>0</v>
      </c>
      <c r="X231" s="313">
        <f>ROUND(U231*V231*W231,2)</f>
        <v>0</v>
      </c>
      <c r="Y231" s="849"/>
      <c r="Z231" s="840"/>
      <c r="AA231" s="843"/>
      <c r="AC231" s="722" t="str">
        <f>IF(SUMIFS(Таблица1[сумма],Таблица1[Ф. И. О.],B231)=Y226,"",B226&amp;"  часы не верны")</f>
        <v/>
      </c>
      <c r="AD231" s="759">
        <f>INDEX('[2]декабрь 23'!$AI$4:$AI$100,MATCH(C226,'[2]декабрь 23'!$AK$4:$AK$100,0))</f>
        <v>151.19999999999999</v>
      </c>
    </row>
    <row r="232" spans="1:30" ht="19.5" customHeight="1">
      <c r="A232" s="786"/>
      <c r="B232" s="216"/>
      <c r="C232" s="845"/>
      <c r="D232" s="847"/>
      <c r="E232" s="83"/>
      <c r="F232" s="272"/>
      <c r="G232" s="99"/>
      <c r="H232" s="93"/>
      <c r="I232" s="79"/>
      <c r="J232" s="272"/>
      <c r="K232" s="217"/>
      <c r="L232" s="29"/>
      <c r="M232" s="334"/>
      <c r="N232" s="217"/>
      <c r="O232" s="217"/>
      <c r="P232" s="217"/>
      <c r="Q232" s="80">
        <f>IF($D$6&lt;=3,база!$L$4,
IF($D$6=4,база!$L$5,
IF($D$6=5,база!$L$6)))</f>
        <v>231.45480000000001</v>
      </c>
      <c r="R232" s="272">
        <v>1.3</v>
      </c>
      <c r="S232" s="99">
        <f>SUMIFS(Таблица1[сумма],Таблица1[коэф],"1,3",Таблица1[р/р],"3/16",Таблица1[Ф. И. О.],B231)</f>
        <v>0</v>
      </c>
      <c r="T232" s="93">
        <f t="shared" ref="T232:T233" si="150">ROUND(Q232*R232*S232,2)</f>
        <v>0</v>
      </c>
      <c r="U232" s="366">
        <f>IF(D226&lt;=3,база!$M$4,
IF(D226=4,база!$M$5,
IF(D226=5,база!$M$6)))</f>
        <v>225.09719999999999</v>
      </c>
      <c r="V232" s="272">
        <v>1.3</v>
      </c>
      <c r="W232" s="307">
        <f>SUMIFS(Таблица1[сумма],Таблица1[коэф],"1,3",Таблица1[р/р],"3/24",Таблица1[Ф. И. О.],B231)</f>
        <v>0</v>
      </c>
      <c r="X232" s="313">
        <f t="shared" ref="X232:X233" si="151">ROUND(U232*V232*W232,2)</f>
        <v>0</v>
      </c>
      <c r="Y232" s="849"/>
      <c r="Z232" s="840"/>
      <c r="AA232" s="843"/>
    </row>
    <row r="233" spans="1:30" ht="19.5" customHeight="1">
      <c r="A233" s="786"/>
      <c r="B233" s="216"/>
      <c r="C233" s="845"/>
      <c r="D233" s="847"/>
      <c r="E233" s="83"/>
      <c r="F233" s="272"/>
      <c r="G233" s="99"/>
      <c r="H233" s="93"/>
      <c r="I233" s="79"/>
      <c r="J233" s="272"/>
      <c r="K233" s="217"/>
      <c r="L233" s="29"/>
      <c r="M233" s="334"/>
      <c r="N233" s="217"/>
      <c r="O233" s="217"/>
      <c r="P233" s="217"/>
      <c r="Q233" s="80">
        <f>база!$L$5</f>
        <v>231.45480000000001</v>
      </c>
      <c r="R233" s="272">
        <v>1.3</v>
      </c>
      <c r="S233" s="99">
        <f>SUMIFS(Таблица1[сумма],Таблица1[коэф],"1,3",Таблица1[р/р],"4/16",Таблица1[Ф. И. О.],B231)</f>
        <v>0</v>
      </c>
      <c r="T233" s="93">
        <f t="shared" si="150"/>
        <v>0</v>
      </c>
      <c r="U233" s="366">
        <f>база!$M$5</f>
        <v>247.41720000000001</v>
      </c>
      <c r="V233" s="272">
        <v>1.3</v>
      </c>
      <c r="W233" s="307">
        <f>SUMIFS(Таблица1[сумма],Таблица1[коэф],"1,3",Таблица1[р/р],"4/24",Таблица1[Ф. И. О.],B231)</f>
        <v>0</v>
      </c>
      <c r="X233" s="313">
        <f t="shared" si="151"/>
        <v>0</v>
      </c>
      <c r="Y233" s="849"/>
      <c r="Z233" s="840"/>
      <c r="AA233" s="843"/>
    </row>
    <row r="234" spans="1:30" ht="19.5" customHeight="1">
      <c r="A234" s="786"/>
      <c r="B234" s="216"/>
      <c r="C234" s="845"/>
      <c r="D234" s="847"/>
      <c r="E234" s="83"/>
      <c r="F234" s="272"/>
      <c r="G234" s="99"/>
      <c r="H234" s="93"/>
      <c r="I234" s="79"/>
      <c r="J234" s="272"/>
      <c r="K234" s="217"/>
      <c r="L234" s="29"/>
      <c r="M234" s="334"/>
      <c r="N234" s="217"/>
      <c r="O234" s="217"/>
      <c r="P234" s="217"/>
      <c r="Q234" s="80">
        <f>IF(D226&lt;=3,база!$L$4,
IF(D226=4,база!$L$5,
IF(D226=5,база!$L$6)))</f>
        <v>210.57480000000001</v>
      </c>
      <c r="R234" s="272">
        <v>1.4</v>
      </c>
      <c r="S234" s="99">
        <f>SUMIFS(Таблица1[сумма],Таблица1[коэф],"1,4",Таблица1[р/р],"3/16",Таблица1[Ф. И. О.],B231)</f>
        <v>0</v>
      </c>
      <c r="T234" s="93">
        <f t="shared" ref="T234:T239" si="152">ROUND(Q234*R234*S234,2)</f>
        <v>0</v>
      </c>
      <c r="U234" s="366">
        <f>IF(D226&lt;=3,база!$M$4,
IF(D226=4,база!$M$5,
IF(D226=5,база!$M$6)))</f>
        <v>225.09719999999999</v>
      </c>
      <c r="V234" s="272">
        <v>1.4</v>
      </c>
      <c r="W234" s="307">
        <f>SUMIFS(Таблица1[сумма],Таблица1[коэф],"1,4",Таблица1[р/р],"3/24",Таблица1[Ф. И. О.],B231)</f>
        <v>0</v>
      </c>
      <c r="X234" s="313">
        <f>ROUND(U234*V234*W234,2)</f>
        <v>0</v>
      </c>
      <c r="Y234" s="849"/>
      <c r="Z234" s="840"/>
      <c r="AA234" s="843"/>
    </row>
    <row r="235" spans="1:30" ht="19.5" customHeight="1">
      <c r="A235" s="786"/>
      <c r="B235" s="216"/>
      <c r="C235" s="845"/>
      <c r="D235" s="847"/>
      <c r="E235" s="83"/>
      <c r="F235" s="272"/>
      <c r="G235" s="99"/>
      <c r="H235" s="93"/>
      <c r="I235" s="79"/>
      <c r="J235" s="272"/>
      <c r="K235" s="217"/>
      <c r="L235" s="29"/>
      <c r="M235" s="334"/>
      <c r="N235" s="217"/>
      <c r="O235" s="217"/>
      <c r="P235" s="217"/>
      <c r="Q235" s="80">
        <f>база!$L$5</f>
        <v>231.45480000000001</v>
      </c>
      <c r="R235" s="272">
        <v>1.4</v>
      </c>
      <c r="S235" s="99">
        <f>SUMIFS(Таблица1[сумма],Таблица1[коэф],"1,4",Таблица1[р/р],"4/16",Таблица1[Ф. И. О.],B231)</f>
        <v>0</v>
      </c>
      <c r="T235" s="93">
        <f t="shared" si="152"/>
        <v>0</v>
      </c>
      <c r="U235" s="366">
        <f>база!$M$5</f>
        <v>247.41720000000001</v>
      </c>
      <c r="V235" s="272">
        <v>1.4</v>
      </c>
      <c r="W235" s="307">
        <f>SUMIFS(Таблица1[сумма],Таблица1[коэф],"1,4",Таблица1[р/р],"4/24",Таблица1[Ф. И. О.],B231)</f>
        <v>0</v>
      </c>
      <c r="X235" s="313">
        <f>ROUND(U235*V235*W235,2)</f>
        <v>0</v>
      </c>
      <c r="Y235" s="849"/>
      <c r="Z235" s="840"/>
      <c r="AA235" s="843"/>
    </row>
    <row r="236" spans="1:30" ht="19.5" customHeight="1" thickBot="1">
      <c r="A236" s="787"/>
      <c r="B236" s="203"/>
      <c r="C236" s="846"/>
      <c r="D236" s="848"/>
      <c r="E236" s="221"/>
      <c r="F236" s="274"/>
      <c r="G236" s="98"/>
      <c r="H236" s="239"/>
      <c r="I236" s="102"/>
      <c r="J236" s="274"/>
      <c r="K236" s="289"/>
      <c r="L236" s="26"/>
      <c r="M236" s="348"/>
      <c r="N236" s="289"/>
      <c r="O236" s="289"/>
      <c r="P236" s="289"/>
      <c r="Q236" s="78">
        <f>база!$L$6</f>
        <v>261.04640000000001</v>
      </c>
      <c r="R236" s="274">
        <v>1.4</v>
      </c>
      <c r="S236" s="98">
        <f>SUMIFS(Таблица1[сумма],Таблица1[коэф],"1,4",Таблица1[р/р],"5/16",Таблица1[Ф. И. О.],B231)</f>
        <v>0</v>
      </c>
      <c r="T236" s="239">
        <f t="shared" si="152"/>
        <v>0</v>
      </c>
      <c r="U236" s="367">
        <f>база!$M$6</f>
        <v>279.0496</v>
      </c>
      <c r="V236" s="274">
        <v>1.4</v>
      </c>
      <c r="W236" s="312">
        <f>SUMIFS(Таблица1[сумма],Таблица1[коэф],"1,4",Таблица1[р/р],"5/24",Таблица1[Ф. И. О.],B231)</f>
        <v>0</v>
      </c>
      <c r="X236" s="343">
        <f>ROUND(U236*V236*W236,2)</f>
        <v>0</v>
      </c>
      <c r="Y236" s="850"/>
      <c r="Z236" s="841"/>
      <c r="AA236" s="844"/>
    </row>
    <row r="237" spans="1:30" ht="18.75" customHeight="1">
      <c r="A237" s="785">
        <v>22</v>
      </c>
      <c r="B237" s="216"/>
      <c r="C237" s="851">
        <f>INDEX(база!$E$2:$E$81, MATCH(B242,база!$B$2:$B$50,0))</f>
        <v>17345</v>
      </c>
      <c r="D237" s="852">
        <f>INDEX(база!$D$2:$D$89, MATCH(B242,база!$B$2:$B$50,0))</f>
        <v>3</v>
      </c>
      <c r="E237" s="73">
        <f>IF(D237&lt;=3,база!$I$4,
IF(D237=4,база!$I$5,
IF(D237=5,база!$I$6)))</f>
        <v>188.7912</v>
      </c>
      <c r="F237" s="270">
        <v>1</v>
      </c>
      <c r="G237" s="96">
        <f>SUMIFS(Таблица1[сумма],Таблица1[коэф],"1",Таблица1[р/р],"2/4",Таблица1[Ф. И. О.],B242)</f>
        <v>0</v>
      </c>
      <c r="H237" s="88">
        <f>ROUND(E237*F237*G237,2)</f>
        <v>0</v>
      </c>
      <c r="I237" s="82">
        <f>IF(D237&lt;=3,база!$J$4,
IF(D237=4,база!$J$5,
IF(D237=5,база!$J$6)))</f>
        <v>196.05240000000001</v>
      </c>
      <c r="J237" s="271">
        <v>1</v>
      </c>
      <c r="K237" s="309">
        <f>SUMIFS(Таблица1[сумма],Таблица1[коэф],"1",Таблица1[р/р],"2/8",Таблица1[Ф. И. О.],B242)</f>
        <v>0</v>
      </c>
      <c r="L237" s="309">
        <f>ROUND(I237*J237*K237,2)</f>
        <v>0</v>
      </c>
      <c r="M237" s="309"/>
      <c r="N237" s="309">
        <v>1</v>
      </c>
      <c r="O237" s="309">
        <f>SUMIFS(Data_Tech!$AM$3:$AM$67,Data_Tech!$E$3:$E$67,"1",Data_Tech!$G$3:$G$67,"3/12",Data_Tech!$F$3:$F$67,B242)</f>
        <v>0</v>
      </c>
      <c r="P237" s="282">
        <f>ROUND(M237*N237*O237,2)</f>
        <v>0</v>
      </c>
      <c r="Q237" s="73">
        <f>IF(D237&lt;=3,база!$L$4,
IF(D237=4,база!$L$5,
IF(D237=5,база!$L$6)))</f>
        <v>210.57480000000001</v>
      </c>
      <c r="R237" s="270">
        <v>1</v>
      </c>
      <c r="S237" s="96">
        <f>SUMIFS(Таблица1[сумма],Таблица1[коэф],"1",Таблица1[р/р],"3/16",Таблица1[Ф. И. О.],B242)</f>
        <v>0</v>
      </c>
      <c r="T237" s="88">
        <f t="shared" si="152"/>
        <v>0</v>
      </c>
      <c r="U237" s="368">
        <f>IF(D237&lt;=3,база!$M$4,
IF(D237=4,база!$M$5,
IF(D237=5,база!$M$6)))</f>
        <v>225.09719999999999</v>
      </c>
      <c r="V237" s="271">
        <v>1</v>
      </c>
      <c r="W237" s="337">
        <f>SUMIFS(Таблица1[сумма],Таблица1[коэф],"1",Таблица1[р/р],"3/24",Таблица1[Ф. И. О.],B242)</f>
        <v>0</v>
      </c>
      <c r="X237" s="342">
        <f>ROUND(U237*V237*W237,2)</f>
        <v>0</v>
      </c>
      <c r="Y237" s="849">
        <f t="shared" ref="Y237" si="153">SUM(G237:G247,K237:K247,O237:O247,S237:S247,W237:W247)</f>
        <v>0</v>
      </c>
      <c r="Z237" s="840">
        <f t="shared" ref="Z237" si="154">IFERROR(SUM(H237:H247,L237:L247,T237:T247,X237:X247),"")</f>
        <v>0</v>
      </c>
      <c r="AA237" s="843"/>
    </row>
    <row r="238" spans="1:30" ht="18.75" customHeight="1">
      <c r="A238" s="786"/>
      <c r="B238" s="216"/>
      <c r="C238" s="845"/>
      <c r="D238" s="847"/>
      <c r="E238" s="79">
        <f>IF(D237&lt;=3,база!$I$4,
IF(D237=4,база!$I$5,
IF(D237=5,база!$I$6)))</f>
        <v>188.7912</v>
      </c>
      <c r="F238" s="272">
        <v>1</v>
      </c>
      <c r="G238" s="99">
        <f>SUMIFS(Таблица1[сумма],Таблица1[коэф],"1",Таблица1[р/р],"3/4",Таблица1[Ф. И. О.],B242)</f>
        <v>0</v>
      </c>
      <c r="H238" s="95">
        <f>ROUND(E238*F238*G238,2)</f>
        <v>0</v>
      </c>
      <c r="I238" s="83">
        <f>IF(D237&lt;=3,база!$J$4,
IF(D237=4,база!$J$5,
IF(D237=5,база!$J$6)))</f>
        <v>196.05240000000001</v>
      </c>
      <c r="J238" s="272">
        <v>1</v>
      </c>
      <c r="K238" s="217">
        <f>SUMIFS(Таблица1[сумма],Таблица1[коэф],"1",Таблица1[р/р],"3/8",Таблица1[Ф. И. О.],B242)</f>
        <v>0</v>
      </c>
      <c r="L238" s="217">
        <f>ROUND(I238*J238*K238,2)</f>
        <v>0</v>
      </c>
      <c r="M238" s="217"/>
      <c r="N238" s="217">
        <v>1</v>
      </c>
      <c r="O238" s="217">
        <f>SUMIFS(Data_Tech!$AM$3:$AM$67,Data_Tech!$E$3:$E$67,"1",Data_Tech!$G$3:$G$67,"4/12",Data_Tech!$F$3:$F$67,B242)</f>
        <v>0</v>
      </c>
      <c r="P238" s="30">
        <f>ROUND(M238*O238,2)</f>
        <v>0</v>
      </c>
      <c r="Q238" s="79">
        <f>база!$L$5</f>
        <v>231.45480000000001</v>
      </c>
      <c r="R238" s="272">
        <v>1</v>
      </c>
      <c r="S238" s="99">
        <f>SUMIFS(Таблица1[сумма],Таблица1[коэф],"1",Таблица1[р/р],"4/16",Таблица1[Ф. И. О.],B242)</f>
        <v>0</v>
      </c>
      <c r="T238" s="95">
        <f t="shared" si="152"/>
        <v>0</v>
      </c>
      <c r="U238" s="361">
        <f>база!$M$5</f>
        <v>247.41720000000001</v>
      </c>
      <c r="V238" s="272">
        <v>1</v>
      </c>
      <c r="W238" s="307">
        <f>SUMIFS(Таблица1[сумма],Таблица1[коэф],"1",Таблица1[р/р],"4/24",Таблица1[Ф. И. О.],B242)</f>
        <v>0</v>
      </c>
      <c r="X238" s="313">
        <f t="shared" ref="X238" si="155">ROUND(U238*V238*W238,2)</f>
        <v>0</v>
      </c>
      <c r="Y238" s="849"/>
      <c r="Z238" s="840"/>
      <c r="AA238" s="843"/>
    </row>
    <row r="239" spans="1:30" ht="18.75" customHeight="1">
      <c r="A239" s="786"/>
      <c r="B239" s="216"/>
      <c r="C239" s="845"/>
      <c r="D239" s="847"/>
      <c r="E239" s="79"/>
      <c r="F239" s="272"/>
      <c r="G239" s="99"/>
      <c r="H239" s="95"/>
      <c r="I239" s="83"/>
      <c r="J239" s="272"/>
      <c r="K239" s="217"/>
      <c r="L239" s="217"/>
      <c r="M239" s="217"/>
      <c r="N239" s="217"/>
      <c r="O239" s="217"/>
      <c r="P239" s="30"/>
      <c r="Q239" s="79">
        <f>база!$L$6</f>
        <v>261.04640000000001</v>
      </c>
      <c r="R239" s="272">
        <v>1</v>
      </c>
      <c r="S239" s="99">
        <f>SUMIFS(Таблица1[сумма],Таблица1[коэф],"1",Таблица1[р/р],"5/16",Таблица1[Ф. И. О.],B242)</f>
        <v>0</v>
      </c>
      <c r="T239" s="95">
        <f t="shared" si="152"/>
        <v>0</v>
      </c>
      <c r="U239" s="361">
        <f>база!$M$6</f>
        <v>279.0496</v>
      </c>
      <c r="V239" s="272">
        <v>1</v>
      </c>
      <c r="W239" s="307">
        <f>SUMIFS(Таблица1[сумма],Таблица1[коэф],"1",Таблица1[р/р],"5/24",Таблица1[Ф. И. О.],B242)</f>
        <v>0</v>
      </c>
      <c r="X239" s="313">
        <f>ROUND(U239*V239*W239,2)</f>
        <v>0</v>
      </c>
      <c r="Y239" s="849"/>
      <c r="Z239" s="840"/>
      <c r="AA239" s="843"/>
    </row>
    <row r="240" spans="1:30" ht="19.5" customHeight="1">
      <c r="A240" s="786"/>
      <c r="B240" s="216"/>
      <c r="C240" s="845"/>
      <c r="D240" s="847"/>
      <c r="E240" s="79"/>
      <c r="F240" s="272"/>
      <c r="G240" s="99"/>
      <c r="H240" s="95"/>
      <c r="I240" s="83">
        <f>база!$J$5</f>
        <v>215.4924</v>
      </c>
      <c r="J240" s="272">
        <v>1.5</v>
      </c>
      <c r="K240" s="217">
        <f>SUMIFS(Таблица1[сумма],Таблица1[коэф],"1,5",Таблица1[р/р],"4/8",Таблица1[Ф. И. О.],B242)</f>
        <v>0</v>
      </c>
      <c r="L240" s="217">
        <f>ROUND(I240*J240*K240,2)</f>
        <v>0</v>
      </c>
      <c r="M240" s="217"/>
      <c r="N240" s="217"/>
      <c r="O240" s="217"/>
      <c r="P240" s="30"/>
      <c r="Q240" s="79">
        <f>IF(D237&lt;=3,база!$L$4,
IF(D237=4,база!$L$5,
IF(D237=5,база!$L$6)))</f>
        <v>210.57480000000001</v>
      </c>
      <c r="R240" s="272">
        <v>1.2</v>
      </c>
      <c r="S240" s="99">
        <f>SUMIFS(Таблица1[сумма],Таблица1[коэф],"1,2",Таблица1[р/р],"3/16",Таблица1[Ф. И. О.],B242)</f>
        <v>0</v>
      </c>
      <c r="T240" s="95">
        <f t="shared" ref="T240:T241" si="156">ROUND(Q240*R240*S240,2)</f>
        <v>0</v>
      </c>
      <c r="U240" s="361">
        <f>IF(D237&lt;=3,база!$M$4,
IF(D237=4,база!$M$5,
IF(D237=5,база!$M$6)))</f>
        <v>225.09719999999999</v>
      </c>
      <c r="V240" s="272">
        <v>1.2</v>
      </c>
      <c r="W240" s="307">
        <f>SUMIFS(Таблица1[сумма],Таблица1[коэф],"1,2",Таблица1[р/р],"3/24",Таблица1[Ф. И. О.],B242)</f>
        <v>0</v>
      </c>
      <c r="X240" s="313">
        <f t="shared" ref="X240:X241" si="157">ROUND(U240*V240*W240,2)</f>
        <v>0</v>
      </c>
      <c r="Y240" s="849"/>
      <c r="Z240" s="840"/>
      <c r="AA240" s="843"/>
    </row>
    <row r="241" spans="1:30" ht="19.5" customHeight="1">
      <c r="A241" s="786"/>
      <c r="B241" s="216"/>
      <c r="C241" s="845"/>
      <c r="D241" s="847"/>
      <c r="E241" s="79"/>
      <c r="F241" s="272"/>
      <c r="G241" s="99"/>
      <c r="H241" s="95"/>
      <c r="I241" s="83">
        <f>база!$J$6</f>
        <v>243.04319999999998</v>
      </c>
      <c r="J241" s="272">
        <v>1.5</v>
      </c>
      <c r="K241" s="217">
        <f>SUMIFS(Таблица1[сумма],Таблица1[коэф],"1,5",Таблица1[р/р],"5/8",Таблица1[Ф. И. О.],B242)</f>
        <v>0</v>
      </c>
      <c r="L241" s="217">
        <f>ROUND(I241*J241*K241,2)</f>
        <v>0</v>
      </c>
      <c r="M241" s="217"/>
      <c r="N241" s="217"/>
      <c r="O241" s="217"/>
      <c r="P241" s="30"/>
      <c r="Q241" s="79">
        <f>база!$L$5</f>
        <v>231.45480000000001</v>
      </c>
      <c r="R241" s="272">
        <v>1.2</v>
      </c>
      <c r="S241" s="99">
        <f>SUMIFS(Таблица1[сумма],Таблица1[коэф],"1,2",Таблица1[р/р],"4/16",Таблица1[Ф. И. О.],B242)</f>
        <v>0</v>
      </c>
      <c r="T241" s="95">
        <f t="shared" si="156"/>
        <v>0</v>
      </c>
      <c r="U241" s="361">
        <f>база!$M$5</f>
        <v>247.41720000000001</v>
      </c>
      <c r="V241" s="272">
        <v>1.2</v>
      </c>
      <c r="W241" s="307">
        <f>SUMIFS(Таблица1[сумма],Таблица1[коэф],"1,2",Таблица1[р/р],"4/24",Таблица1[Ф. И. О.],B242)</f>
        <v>0</v>
      </c>
      <c r="X241" s="313">
        <f t="shared" si="157"/>
        <v>0</v>
      </c>
      <c r="Y241" s="849"/>
      <c r="Z241" s="840"/>
      <c r="AA241" s="843"/>
      <c r="AC241" s="722" t="str">
        <f>IF(SUMIFS(Таблица1[Столбец2],Таблица1[Ф. И. О.],B242)-Z237=0,"",SUMIFS(Таблица1[Столбец2],Таблица1[Ф. И. О.],B242)-Z237)</f>
        <v/>
      </c>
    </row>
    <row r="242" spans="1:30" ht="19.5" customHeight="1">
      <c r="A242" s="786"/>
      <c r="B242" s="216" t="str">
        <f>база!B23</f>
        <v>Ерошевич Дарья Александровна</v>
      </c>
      <c r="C242" s="845"/>
      <c r="D242" s="847"/>
      <c r="E242" s="79"/>
      <c r="F242" s="272"/>
      <c r="G242" s="99"/>
      <c r="H242" s="95"/>
      <c r="I242" s="83"/>
      <c r="J242" s="272"/>
      <c r="K242" s="217"/>
      <c r="L242" s="217"/>
      <c r="M242" s="217"/>
      <c r="N242" s="217"/>
      <c r="O242" s="217"/>
      <c r="P242" s="30"/>
      <c r="Q242" s="79">
        <f>база!$L$6</f>
        <v>261.04640000000001</v>
      </c>
      <c r="R242" s="272">
        <v>1.2</v>
      </c>
      <c r="S242" s="99">
        <f>SUMIFS(Таблица1[сумма],Таблица1[коэф],"1,2",Таблица1[р/р],"5/16",Таблица1[Ф. И. О.],B242)</f>
        <v>0</v>
      </c>
      <c r="T242" s="95">
        <f>ROUND(Q242*R242*S242,2)</f>
        <v>0</v>
      </c>
      <c r="U242" s="361">
        <f>база!$M$6</f>
        <v>279.0496</v>
      </c>
      <c r="V242" s="272">
        <v>1.2</v>
      </c>
      <c r="W242" s="307">
        <f>SUMIFS(Таблица1[сумма],Таблица1[коэф],"1,2",Таблица1[р/р],"5/24",Таблица1[Ф. И. О.],B242)</f>
        <v>0</v>
      </c>
      <c r="X242" s="313">
        <f>ROUND(U242*V242*W242,2)</f>
        <v>0</v>
      </c>
      <c r="Y242" s="849"/>
      <c r="Z242" s="840"/>
      <c r="AA242" s="843"/>
      <c r="AC242" s="722" t="str">
        <f>IF(SUMIFS(Таблица1[сумма],Таблица1[Ф. И. О.],B242)=Y237,"",B237&amp;"  часы не верны")</f>
        <v/>
      </c>
      <c r="AD242" s="759" t="e">
        <f>INDEX('[2]декабрь 23'!$AI$4:$AI$100,MATCH(C237,'[2]декабрь 23'!$AK$4:$AK$100,0))</f>
        <v>#N/A</v>
      </c>
    </row>
    <row r="243" spans="1:30" ht="19.5" customHeight="1">
      <c r="A243" s="786"/>
      <c r="B243" s="216"/>
      <c r="C243" s="845"/>
      <c r="D243" s="847"/>
      <c r="E243" s="79"/>
      <c r="F243" s="272"/>
      <c r="G243" s="99"/>
      <c r="H243" s="95"/>
      <c r="I243" s="83"/>
      <c r="J243" s="272"/>
      <c r="K243" s="217"/>
      <c r="L243" s="217"/>
      <c r="M243" s="217"/>
      <c r="N243" s="217"/>
      <c r="O243" s="217"/>
      <c r="P243" s="30"/>
      <c r="Q243" s="79">
        <f>IF($D$6&lt;=3,база!$L$4,
IF($D$6=4,база!$L$5,
IF($D$6=5,база!$L$6)))</f>
        <v>231.45480000000001</v>
      </c>
      <c r="R243" s="272">
        <v>1.3</v>
      </c>
      <c r="S243" s="99">
        <f>SUMIFS(Таблица1[сумма],Таблица1[коэф],"1,3",Таблица1[р/р],"3/16",Таблица1[Ф. И. О.],B242)</f>
        <v>0</v>
      </c>
      <c r="T243" s="95">
        <f t="shared" ref="T243:T244" si="158">ROUND(Q243*R243*S243,2)</f>
        <v>0</v>
      </c>
      <c r="U243" s="361">
        <f>IF(D237&lt;=3,база!$M$4,
IF(D237=4,база!$M$5,
IF(D237=5,база!$M$6)))</f>
        <v>225.09719999999999</v>
      </c>
      <c r="V243" s="272">
        <v>1.3</v>
      </c>
      <c r="W243" s="307">
        <f>SUMIFS(Таблица1[сумма],Таблица1[коэф],"1,3",Таблица1[р/р],"3/24",Таблица1[Ф. И. О.],B242)</f>
        <v>0</v>
      </c>
      <c r="X243" s="313">
        <f t="shared" ref="X243:X244" si="159">ROUND(U243*V243*W243,2)</f>
        <v>0</v>
      </c>
      <c r="Y243" s="849"/>
      <c r="Z243" s="840"/>
      <c r="AA243" s="843"/>
    </row>
    <row r="244" spans="1:30" ht="19.5" customHeight="1">
      <c r="A244" s="786"/>
      <c r="B244" s="216"/>
      <c r="C244" s="845"/>
      <c r="D244" s="847"/>
      <c r="E244" s="79"/>
      <c r="F244" s="272"/>
      <c r="G244" s="99"/>
      <c r="H244" s="95"/>
      <c r="I244" s="83"/>
      <c r="J244" s="272"/>
      <c r="K244" s="217"/>
      <c r="L244" s="217"/>
      <c r="M244" s="217"/>
      <c r="N244" s="217"/>
      <c r="O244" s="217"/>
      <c r="P244" s="30"/>
      <c r="Q244" s="79">
        <f>база!$L$5</f>
        <v>231.45480000000001</v>
      </c>
      <c r="R244" s="272">
        <v>1.3</v>
      </c>
      <c r="S244" s="99">
        <f>SUMIFS(Таблица1[сумма],Таблица1[коэф],"1,3",Таблица1[р/р],"4/16",Таблица1[Ф. И. О.],B242)</f>
        <v>0</v>
      </c>
      <c r="T244" s="95">
        <f t="shared" si="158"/>
        <v>0</v>
      </c>
      <c r="U244" s="361">
        <f>база!$M$5</f>
        <v>247.41720000000001</v>
      </c>
      <c r="V244" s="272">
        <v>1.3</v>
      </c>
      <c r="W244" s="307">
        <f>SUMIFS(Таблица1[сумма],Таблица1[коэф],"1,3",Таблица1[р/р],"4/24",Таблица1[Ф. И. О.],B242)</f>
        <v>0</v>
      </c>
      <c r="X244" s="313">
        <f t="shared" si="159"/>
        <v>0</v>
      </c>
      <c r="Y244" s="849"/>
      <c r="Z244" s="840"/>
      <c r="AA244" s="843"/>
    </row>
    <row r="245" spans="1:30" ht="19.5" customHeight="1">
      <c r="A245" s="786"/>
      <c r="B245" s="216"/>
      <c r="C245" s="845"/>
      <c r="D245" s="847"/>
      <c r="E245" s="79"/>
      <c r="F245" s="272"/>
      <c r="G245" s="99"/>
      <c r="H245" s="95"/>
      <c r="I245" s="83"/>
      <c r="J245" s="272"/>
      <c r="K245" s="217"/>
      <c r="L245" s="217"/>
      <c r="M245" s="217"/>
      <c r="N245" s="217"/>
      <c r="O245" s="217"/>
      <c r="P245" s="30"/>
      <c r="Q245" s="79">
        <f>IF(D237&lt;=3,база!$L$4,
IF(D237=4,база!$L$5,
IF(D237=5,база!$L$6)))</f>
        <v>210.57480000000001</v>
      </c>
      <c r="R245" s="272">
        <v>1.4</v>
      </c>
      <c r="S245" s="99">
        <f>SUMIFS(Таблица1[сумма],Таблица1[коэф],"1,4",Таблица1[р/р],"3/16",Таблица1[Ф. И. О.],B242)</f>
        <v>0</v>
      </c>
      <c r="T245" s="95">
        <f t="shared" ref="T245:T261" si="160">ROUND(Q245*R245*S245,2)</f>
        <v>0</v>
      </c>
      <c r="U245" s="361">
        <f>IF(D237&lt;=3,база!$M$4,
IF(D237=4,база!$M$5,
IF(D237=5,база!$M$6)))</f>
        <v>225.09719999999999</v>
      </c>
      <c r="V245" s="272">
        <v>1.4</v>
      </c>
      <c r="W245" s="307">
        <f>SUMIFS(Таблица1[сумма],Таблица1[коэф],"1,4",Таблица1[р/р],"3/24",Таблица1[Ф. И. О.],B242)</f>
        <v>0</v>
      </c>
      <c r="X245" s="313">
        <f>ROUND(U245*V245*W245,2)</f>
        <v>0</v>
      </c>
      <c r="Y245" s="849"/>
      <c r="Z245" s="840"/>
      <c r="AA245" s="843"/>
    </row>
    <row r="246" spans="1:30" ht="19.5" customHeight="1">
      <c r="A246" s="786"/>
      <c r="B246" s="216"/>
      <c r="C246" s="845"/>
      <c r="D246" s="847"/>
      <c r="E246" s="79"/>
      <c r="F246" s="272"/>
      <c r="G246" s="99"/>
      <c r="H246" s="95"/>
      <c r="I246" s="83"/>
      <c r="J246" s="272"/>
      <c r="K246" s="217"/>
      <c r="L246" s="217"/>
      <c r="M246" s="217"/>
      <c r="N246" s="217"/>
      <c r="O246" s="217"/>
      <c r="P246" s="30"/>
      <c r="Q246" s="79">
        <f>база!$L$5</f>
        <v>231.45480000000001</v>
      </c>
      <c r="R246" s="272">
        <v>1.4</v>
      </c>
      <c r="S246" s="99">
        <f>SUMIFS(Таблица1[сумма],Таблица1[коэф],"1,4",Таблица1[р/р],"4/16",Таблица1[Ф. И. О.],B242)</f>
        <v>0</v>
      </c>
      <c r="T246" s="95">
        <f t="shared" si="160"/>
        <v>0</v>
      </c>
      <c r="U246" s="361">
        <f>база!$M$5</f>
        <v>247.41720000000001</v>
      </c>
      <c r="V246" s="272">
        <v>1.4</v>
      </c>
      <c r="W246" s="307">
        <f>SUMIFS(Таблица1[сумма],Таблица1[коэф],"1,4",Таблица1[р/р],"4/24",Таблица1[Ф. И. О.],B242)</f>
        <v>0</v>
      </c>
      <c r="X246" s="313">
        <f>ROUND(U246*V246*W246,2)</f>
        <v>0</v>
      </c>
      <c r="Y246" s="849"/>
      <c r="Z246" s="840"/>
      <c r="AA246" s="843"/>
    </row>
    <row r="247" spans="1:30" ht="19.5" customHeight="1" thickBot="1">
      <c r="A247" s="787"/>
      <c r="B247" s="216"/>
      <c r="C247" s="846"/>
      <c r="D247" s="848"/>
      <c r="E247" s="218"/>
      <c r="F247" s="275"/>
      <c r="G247" s="105"/>
      <c r="H247" s="104"/>
      <c r="I247" s="303"/>
      <c r="J247" s="275"/>
      <c r="K247" s="302"/>
      <c r="L247" s="302"/>
      <c r="M247" s="302"/>
      <c r="N247" s="302"/>
      <c r="O247" s="302"/>
      <c r="P247" s="308"/>
      <c r="Q247" s="218">
        <f>база!$L$6</f>
        <v>261.04640000000001</v>
      </c>
      <c r="R247" s="275">
        <v>1.4</v>
      </c>
      <c r="S247" s="105">
        <f>SUMIFS(Таблица1[сумма],Таблица1[коэф],"1,4",Таблица1[р/р],"5/16",Таблица1[Ф. И. О.],B242)</f>
        <v>0</v>
      </c>
      <c r="T247" s="104">
        <f t="shared" si="160"/>
        <v>0</v>
      </c>
      <c r="U247" s="362">
        <f>база!$M$6</f>
        <v>279.0496</v>
      </c>
      <c r="V247" s="275">
        <v>1.4</v>
      </c>
      <c r="W247" s="333">
        <f>SUMIFS(Таблица1[сумма],Таблица1[коэф],"1,4",Таблица1[р/р],"5/24",Таблица1[Ф. И. О.],B242)</f>
        <v>0</v>
      </c>
      <c r="X247" s="350">
        <f>ROUND(U247*V247*W247,2)</f>
        <v>0</v>
      </c>
      <c r="Y247" s="850"/>
      <c r="Z247" s="841"/>
      <c r="AA247" s="844"/>
    </row>
    <row r="248" spans="1:30" ht="18.75" customHeight="1">
      <c r="A248" s="785">
        <v>23</v>
      </c>
      <c r="B248" s="236"/>
      <c r="C248" s="851">
        <f>INDEX(база!$E$2:$E$81, MATCH(B253,база!$B$2:$B$50,0))</f>
        <v>15340</v>
      </c>
      <c r="D248" s="852">
        <f>INDEX(база!$D$2:$D$89, MATCH(B253,база!$B$2:$B$50,0))</f>
        <v>3</v>
      </c>
      <c r="E248" s="73">
        <f>IF(D248&lt;=3,база!$I$4,
IF(D248=4,база!$I$5,
IF(D248=5,база!$I$6)))</f>
        <v>188.7912</v>
      </c>
      <c r="F248" s="270">
        <v>1</v>
      </c>
      <c r="G248" s="96">
        <f>SUMIFS(Таблица1[сумма],Таблица1[коэф],"1",Таблица1[р/р],"2/4",Таблица1[Ф. И. О.],B253)</f>
        <v>0</v>
      </c>
      <c r="H248" s="88">
        <f>ROUND(E248*F248*G248,2)</f>
        <v>0</v>
      </c>
      <c r="I248" s="338">
        <f>IF(D248&lt;=3,база!$J$4,
IF(D248=4,база!$J$5,
IF(D248=5,база!$J$6)))</f>
        <v>196.05240000000001</v>
      </c>
      <c r="J248" s="277">
        <v>1</v>
      </c>
      <c r="K248" s="288">
        <f>SUMIFS(Таблица1[сумма],Таблица1[коэф],"1",Таблица1[р/р],"2/8",Таблица1[Ф. И. О.],B253)</f>
        <v>0</v>
      </c>
      <c r="L248" s="288">
        <f>ROUND(I248*J248*K248,2)</f>
        <v>0</v>
      </c>
      <c r="M248" s="288"/>
      <c r="N248" s="288">
        <v>1</v>
      </c>
      <c r="O248" s="288">
        <f>SUMIFS(Data_Tech!$AM$3:$AM$67,Data_Tech!$E$3:$E$67,"1",Data_Tech!$G$3:$G$67,"3/12",Data_Tech!$F$3:$F$67,B253)</f>
        <v>0</v>
      </c>
      <c r="P248" s="281">
        <f>ROUND(M248*N248*O248,2)</f>
        <v>0</v>
      </c>
      <c r="Q248" s="73">
        <f>IF(D248&lt;=3,база!$L$4,
IF(D248=4,база!$L$5,
IF(D248=5,база!$L$6)))</f>
        <v>210.57480000000001</v>
      </c>
      <c r="R248" s="270">
        <v>1</v>
      </c>
      <c r="S248" s="96">
        <f>SUMIFS(Таблица1[сумма],Таблица1[коэф],"1",Таблица1[р/р],"3/16",Таблица1[Ф. И. О.],B253)</f>
        <v>0</v>
      </c>
      <c r="T248" s="88">
        <f t="shared" ref="T248:T252" si="161">ROUND(Q248*R248*S248,2)</f>
        <v>0</v>
      </c>
      <c r="U248" s="339">
        <f>IF(D248&lt;=3,база!$M$4,
IF(D248=4,база!$M$5,
IF(D248=5,база!$M$6)))</f>
        <v>225.09719999999999</v>
      </c>
      <c r="V248" s="270">
        <v>1</v>
      </c>
      <c r="W248" s="340">
        <f>SUMIFS(Таблица1[сумма],Таблица1[коэф],"1",Таблица1[р/р],"3/24",Таблица1[Ф. И. О.],B253)</f>
        <v>0</v>
      </c>
      <c r="X248" s="342">
        <f>ROUND(U248*V248*W248,2)</f>
        <v>0</v>
      </c>
      <c r="Y248" s="849">
        <f t="shared" ref="Y248" si="162">SUM(G248:G258,K248:K258,O248:O258,S248:S258,W248:W258)</f>
        <v>0</v>
      </c>
      <c r="Z248" s="840">
        <f t="shared" ref="Z248" si="163">IFERROR(SUM(H248:H258,L248:L258,T248:T258,X248:X258),"")</f>
        <v>0</v>
      </c>
      <c r="AA248" s="843"/>
    </row>
    <row r="249" spans="1:30" ht="18.75" customHeight="1">
      <c r="A249" s="786"/>
      <c r="B249" s="216"/>
      <c r="C249" s="845"/>
      <c r="D249" s="847"/>
      <c r="E249" s="79">
        <f>IF(D248&lt;=3,база!$I$4,
IF(D248=4,база!$I$5,
IF(D248=5,база!$I$6)))</f>
        <v>188.7912</v>
      </c>
      <c r="F249" s="272">
        <v>1</v>
      </c>
      <c r="G249" s="99">
        <f>SUMIFS(Таблица1[сумма],Таблица1[коэф],"1",Таблица1[р/р],"3/4",Таблица1[Ф. И. О.],B253)</f>
        <v>0</v>
      </c>
      <c r="H249" s="95">
        <f>ROUND(E249*F249*G249,2)</f>
        <v>0</v>
      </c>
      <c r="I249" s="334">
        <f>IF(D248&lt;=3,база!$J$4,
IF(D248=4,база!$J$5,
IF(D248=5,база!$J$6)))</f>
        <v>196.05240000000001</v>
      </c>
      <c r="J249" s="279">
        <v>1</v>
      </c>
      <c r="K249" s="217">
        <f>SUMIFS(Таблица1[сумма],Таблица1[коэф],"1",Таблица1[р/р],"3/8",Таблица1[Ф. И. О.],B253)</f>
        <v>0</v>
      </c>
      <c r="L249" s="217">
        <f>ROUND(I249*J249*K249,2)</f>
        <v>0</v>
      </c>
      <c r="M249" s="217"/>
      <c r="N249" s="217">
        <v>1</v>
      </c>
      <c r="O249" s="217">
        <f>SUMIFS(Data_Tech!$AM$3:$AM$67,Data_Tech!$E$3:$E$67,"1",Data_Tech!$G$3:$G$67,"4/12",Data_Tech!$F$3:$F$67,B253)</f>
        <v>0</v>
      </c>
      <c r="P249" s="30">
        <f>ROUND(M249*O249,2)</f>
        <v>0</v>
      </c>
      <c r="Q249" s="79">
        <f>база!$L$5</f>
        <v>231.45480000000001</v>
      </c>
      <c r="R249" s="272">
        <v>1</v>
      </c>
      <c r="S249" s="99">
        <f>SUMIFS(Таблица1[сумма],Таблица1[коэф],"1",Таблица1[р/р],"4/16",Таблица1[Ф. И. О.],B253)</f>
        <v>0</v>
      </c>
      <c r="T249" s="95">
        <f t="shared" si="161"/>
        <v>0</v>
      </c>
      <c r="U249" s="314">
        <f>база!$M$5</f>
        <v>247.41720000000001</v>
      </c>
      <c r="V249" s="272">
        <v>1</v>
      </c>
      <c r="W249" s="307">
        <f>SUMIFS(Таблица1[сумма],Таблица1[коэф],"1",Таблица1[р/р],"4/24",Таблица1[Ф. И. О.],B253)</f>
        <v>0</v>
      </c>
      <c r="X249" s="313">
        <f t="shared" ref="X249" si="164">ROUND(U249*V249*W249,2)</f>
        <v>0</v>
      </c>
      <c r="Y249" s="849"/>
      <c r="Z249" s="840"/>
      <c r="AA249" s="843"/>
    </row>
    <row r="250" spans="1:30" ht="19.5" customHeight="1">
      <c r="A250" s="786"/>
      <c r="B250" s="216"/>
      <c r="C250" s="845"/>
      <c r="D250" s="847"/>
      <c r="E250" s="79"/>
      <c r="F250" s="272"/>
      <c r="G250" s="99"/>
      <c r="H250" s="95"/>
      <c r="I250" s="334"/>
      <c r="J250" s="279"/>
      <c r="K250" s="217"/>
      <c r="L250" s="217"/>
      <c r="M250" s="217"/>
      <c r="N250" s="217"/>
      <c r="O250" s="217"/>
      <c r="P250" s="30"/>
      <c r="Q250" s="79">
        <f>база!$L$6</f>
        <v>261.04640000000001</v>
      </c>
      <c r="R250" s="272">
        <v>1</v>
      </c>
      <c r="S250" s="99">
        <f>SUMIFS(Таблица1[сумма],Таблица1[коэф],"1",Таблица1[р/р],"5/16",Таблица1[Ф. И. О.],B253)</f>
        <v>0</v>
      </c>
      <c r="T250" s="95">
        <f t="shared" si="161"/>
        <v>0</v>
      </c>
      <c r="U250" s="314">
        <f>база!$M$6</f>
        <v>279.0496</v>
      </c>
      <c r="V250" s="272">
        <v>1</v>
      </c>
      <c r="W250" s="307">
        <f>SUMIFS(Таблица1[сумма],Таблица1[коэф],"1",Таблица1[р/р],"5/24",Таблица1[Ф. И. О.],B253)</f>
        <v>0</v>
      </c>
      <c r="X250" s="313">
        <f>ROUND(U250*V250*W250,2)</f>
        <v>0</v>
      </c>
      <c r="Y250" s="849"/>
      <c r="Z250" s="840"/>
      <c r="AA250" s="843"/>
    </row>
    <row r="251" spans="1:30" ht="19.5" customHeight="1">
      <c r="A251" s="786"/>
      <c r="B251" s="216"/>
      <c r="C251" s="845"/>
      <c r="D251" s="847"/>
      <c r="E251" s="79"/>
      <c r="F251" s="272"/>
      <c r="G251" s="99"/>
      <c r="H251" s="95"/>
      <c r="I251" s="334">
        <f>база!$J$5</f>
        <v>215.4924</v>
      </c>
      <c r="J251" s="279">
        <v>1.5</v>
      </c>
      <c r="K251" s="217">
        <f>SUMIFS(Таблица1[сумма],Таблица1[коэф],"1,5",Таблица1[р/р],"4/8",Таблица1[Ф. И. О.],B253)</f>
        <v>0</v>
      </c>
      <c r="L251" s="217">
        <f>ROUND(I251*J251*K251,2)</f>
        <v>0</v>
      </c>
      <c r="M251" s="217"/>
      <c r="N251" s="217"/>
      <c r="O251" s="217"/>
      <c r="P251" s="30"/>
      <c r="Q251" s="79">
        <f>IF(D248&lt;=3,база!$L$4,
IF(D248=4,база!$L$5,
IF(D248=5,база!$L$6)))</f>
        <v>210.57480000000001</v>
      </c>
      <c r="R251" s="272">
        <v>1.2</v>
      </c>
      <c r="S251" s="99">
        <f>SUMIFS(Таблица1[сумма],Таблица1[коэф],"1,2",Таблица1[р/р],"3/16",Таблица1[Ф. И. О.],B253)</f>
        <v>0</v>
      </c>
      <c r="T251" s="95">
        <f t="shared" si="161"/>
        <v>0</v>
      </c>
      <c r="U251" s="314">
        <f>IF(D248&lt;=3,база!$M$4,
IF(D248=4,база!$M$5,
IF(D248=5,база!$M$6)))</f>
        <v>225.09719999999999</v>
      </c>
      <c r="V251" s="272">
        <v>1.2</v>
      </c>
      <c r="W251" s="307">
        <f>SUMIFS(Таблица1[сумма],Таблица1[коэф],"1,2",Таблица1[р/р],"3/24",Таблица1[Ф. И. О.],B253)</f>
        <v>0</v>
      </c>
      <c r="X251" s="313">
        <f t="shared" ref="X251:X252" si="165">ROUND(U251*V251*W251,2)</f>
        <v>0</v>
      </c>
      <c r="Y251" s="849"/>
      <c r="Z251" s="840"/>
      <c r="AA251" s="843"/>
    </row>
    <row r="252" spans="1:30" ht="19.5" customHeight="1">
      <c r="A252" s="786"/>
      <c r="B252" s="216"/>
      <c r="C252" s="845"/>
      <c r="D252" s="847"/>
      <c r="E252" s="79"/>
      <c r="F252" s="272"/>
      <c r="G252" s="99"/>
      <c r="H252" s="95"/>
      <c r="I252" s="334">
        <f>база!$J$6</f>
        <v>243.04319999999998</v>
      </c>
      <c r="J252" s="279">
        <v>1.5</v>
      </c>
      <c r="K252" s="217">
        <f>SUMIFS(Таблица1[сумма],Таблица1[коэф],"1,5",Таблица1[р/р],"5/8",Таблица1[Ф. И. О.],B253)</f>
        <v>0</v>
      </c>
      <c r="L252" s="217">
        <f>ROUND(I252*J252*K252,2)</f>
        <v>0</v>
      </c>
      <c r="M252" s="217"/>
      <c r="N252" s="217"/>
      <c r="O252" s="217"/>
      <c r="P252" s="30"/>
      <c r="Q252" s="79">
        <f>база!$L$5</f>
        <v>231.45480000000001</v>
      </c>
      <c r="R252" s="272">
        <v>1.2</v>
      </c>
      <c r="S252" s="99">
        <f>SUMIFS(Таблица1[сумма],Таблица1[коэф],"1,2",Таблица1[р/р],"4/16",Таблица1[Ф. И. О.],B253)</f>
        <v>0</v>
      </c>
      <c r="T252" s="95">
        <f t="shared" si="161"/>
        <v>0</v>
      </c>
      <c r="U252" s="314">
        <f>база!$M$5</f>
        <v>247.41720000000001</v>
      </c>
      <c r="V252" s="272">
        <v>1.2</v>
      </c>
      <c r="W252" s="307">
        <f>SUMIFS(Таблица1[сумма],Таблица1[коэф],"1,2",Таблица1[р/р],"4/24",Таблица1[Ф. И. О.],B253)</f>
        <v>0</v>
      </c>
      <c r="X252" s="313">
        <f t="shared" si="165"/>
        <v>0</v>
      </c>
      <c r="Y252" s="849"/>
      <c r="Z252" s="840"/>
      <c r="AA252" s="843"/>
      <c r="AC252" s="722" t="str">
        <f>IF(SUMIFS(Таблица1[Столбец2],Таблица1[Ф. И. О.],B253)-Z248=0,"",SUMIFS(Таблица1[Столбец2],Таблица1[Ф. И. О.],B253)-Z248)</f>
        <v/>
      </c>
    </row>
    <row r="253" spans="1:30" ht="19.5" customHeight="1">
      <c r="A253" s="786"/>
      <c r="B253" s="216" t="str">
        <f>база!B24</f>
        <v>Ерошина Ирина Павловна</v>
      </c>
      <c r="C253" s="845"/>
      <c r="D253" s="847"/>
      <c r="E253" s="79"/>
      <c r="F253" s="272"/>
      <c r="G253" s="99"/>
      <c r="H253" s="95"/>
      <c r="I253" s="334"/>
      <c r="J253" s="279"/>
      <c r="K253" s="217"/>
      <c r="L253" s="217"/>
      <c r="M253" s="217"/>
      <c r="N253" s="217"/>
      <c r="O253" s="217"/>
      <c r="P253" s="30"/>
      <c r="Q253" s="79">
        <f>база!$L$6</f>
        <v>261.04640000000001</v>
      </c>
      <c r="R253" s="272">
        <v>1.2</v>
      </c>
      <c r="S253" s="99">
        <f>SUMIFS(Таблица1[сумма],Таблица1[коэф],"1,2",Таблица1[р/р],"5/16",Таблица1[Ф. И. О.],B253)</f>
        <v>0</v>
      </c>
      <c r="T253" s="95">
        <f>ROUND(Q253*R253*S253,2)</f>
        <v>0</v>
      </c>
      <c r="U253" s="314">
        <f>база!$M$6</f>
        <v>279.0496</v>
      </c>
      <c r="V253" s="272">
        <v>1.2</v>
      </c>
      <c r="W253" s="307">
        <f>SUMIFS(Таблица1[сумма],Таблица1[коэф],"1,2",Таблица1[р/р],"5/24",Таблица1[Ф. И. О.],B253)</f>
        <v>0</v>
      </c>
      <c r="X253" s="313">
        <f>ROUND(U253*V253*W253,2)</f>
        <v>0</v>
      </c>
      <c r="Y253" s="849"/>
      <c r="Z253" s="840"/>
      <c r="AA253" s="843"/>
      <c r="AC253" s="722" t="str">
        <f>IF(SUMIFS(Таблица1[сумма],Таблица1[Ф. И. О.],B253)=Y248,"",B248&amp;"  часы не верны")</f>
        <v/>
      </c>
      <c r="AD253" s="759">
        <f>INDEX('[2]декабрь 23'!$AI$4:$AI$100,MATCH(C248,'[2]декабрь 23'!$AK$4:$AK$100,0))</f>
        <v>108.00000000000003</v>
      </c>
    </row>
    <row r="254" spans="1:30" ht="19.5" customHeight="1">
      <c r="A254" s="786"/>
      <c r="B254" s="216"/>
      <c r="C254" s="845"/>
      <c r="D254" s="847"/>
      <c r="E254" s="79"/>
      <c r="F254" s="272"/>
      <c r="G254" s="99"/>
      <c r="H254" s="95"/>
      <c r="I254" s="334"/>
      <c r="J254" s="279"/>
      <c r="K254" s="217"/>
      <c r="L254" s="217"/>
      <c r="M254" s="217"/>
      <c r="N254" s="217"/>
      <c r="O254" s="217"/>
      <c r="P254" s="30"/>
      <c r="Q254" s="79">
        <f>IF($D$6&lt;=3,база!$L$4,
IF($D$6=4,база!$L$5,
IF($D$6=5,база!$L$6)))</f>
        <v>231.45480000000001</v>
      </c>
      <c r="R254" s="272">
        <v>1.3</v>
      </c>
      <c r="S254" s="99">
        <f>SUMIFS(Таблица1[сумма],Таблица1[коэф],"1,3",Таблица1[р/р],"3/16",Таблица1[Ф. И. О.],B253)</f>
        <v>0</v>
      </c>
      <c r="T254" s="95">
        <f t="shared" ref="T254:T258" si="166">ROUND(Q254*R254*S254,2)</f>
        <v>0</v>
      </c>
      <c r="U254" s="314">
        <f>IF(D248&lt;=3,база!$M$4,
IF(D248=4,база!$M$5,
IF(D248=5,база!$M$6)))</f>
        <v>225.09719999999999</v>
      </c>
      <c r="V254" s="272">
        <v>1.3</v>
      </c>
      <c r="W254" s="307">
        <f>SUMIFS(Таблица1[сумма],Таблица1[коэф],"1,3",Таблица1[р/р],"3/24",Таблица1[Ф. И. О.],B253)</f>
        <v>0</v>
      </c>
      <c r="X254" s="313">
        <f t="shared" ref="X254:X255" si="167">ROUND(U254*V254*W254,2)</f>
        <v>0</v>
      </c>
      <c r="Y254" s="849"/>
      <c r="Z254" s="840"/>
      <c r="AA254" s="843"/>
    </row>
    <row r="255" spans="1:30" ht="19.5" customHeight="1">
      <c r="A255" s="786"/>
      <c r="B255" s="216"/>
      <c r="C255" s="845"/>
      <c r="D255" s="847"/>
      <c r="E255" s="79"/>
      <c r="F255" s="272"/>
      <c r="G255" s="99"/>
      <c r="H255" s="95"/>
      <c r="I255" s="334"/>
      <c r="J255" s="279"/>
      <c r="K255" s="217"/>
      <c r="L255" s="217"/>
      <c r="M255" s="217"/>
      <c r="N255" s="217"/>
      <c r="O255" s="217"/>
      <c r="P255" s="30"/>
      <c r="Q255" s="79">
        <f>база!$L$5</f>
        <v>231.45480000000001</v>
      </c>
      <c r="R255" s="272">
        <v>1.3</v>
      </c>
      <c r="S255" s="99">
        <f>SUMIFS(Таблица1[сумма],Таблица1[коэф],"1,3",Таблица1[р/р],"4/16",Таблица1[Ф. И. О.],B253)</f>
        <v>0</v>
      </c>
      <c r="T255" s="95">
        <f t="shared" si="166"/>
        <v>0</v>
      </c>
      <c r="U255" s="314">
        <f>база!$M$5</f>
        <v>247.41720000000001</v>
      </c>
      <c r="V255" s="272">
        <v>1.3</v>
      </c>
      <c r="W255" s="307">
        <f>SUMIFS(Таблица1[сумма],Таблица1[коэф],"1,3",Таблица1[р/р],"4/24",Таблица1[Ф. И. О.],B253)</f>
        <v>0</v>
      </c>
      <c r="X255" s="313">
        <f t="shared" si="167"/>
        <v>0</v>
      </c>
      <c r="Y255" s="849"/>
      <c r="Z255" s="840"/>
      <c r="AA255" s="843"/>
    </row>
    <row r="256" spans="1:30" ht="19.5" customHeight="1">
      <c r="A256" s="786"/>
      <c r="B256" s="216"/>
      <c r="C256" s="845"/>
      <c r="D256" s="847"/>
      <c r="E256" s="79"/>
      <c r="F256" s="272"/>
      <c r="G256" s="99"/>
      <c r="H256" s="95"/>
      <c r="I256" s="334"/>
      <c r="J256" s="279"/>
      <c r="K256" s="217"/>
      <c r="L256" s="217"/>
      <c r="M256" s="217"/>
      <c r="N256" s="217"/>
      <c r="O256" s="217"/>
      <c r="P256" s="30"/>
      <c r="Q256" s="79">
        <f>IF(D248&lt;=3,база!$L$4,
IF(D248=4,база!$L$5,
IF(D248=5,база!$L$6)))</f>
        <v>210.57480000000001</v>
      </c>
      <c r="R256" s="272">
        <v>1.4</v>
      </c>
      <c r="S256" s="99">
        <f>SUMIFS(Таблица1[сумма],Таблица1[коэф],"1,4",Таблица1[р/р],"3/16",Таблица1[Ф. И. О.],B253)</f>
        <v>0</v>
      </c>
      <c r="T256" s="95">
        <f t="shared" si="166"/>
        <v>0</v>
      </c>
      <c r="U256" s="314">
        <f>IF(D248&lt;=3,база!$M$4,
IF(D248=4,база!$M$5,
IF(D248=5,база!$M$6)))</f>
        <v>225.09719999999999</v>
      </c>
      <c r="V256" s="272">
        <v>1.4</v>
      </c>
      <c r="W256" s="307">
        <f>SUMIFS(Таблица1[сумма],Таблица1[коэф],"1,4",Таблица1[р/р],"3/24",Таблица1[Ф. И. О.],B253)</f>
        <v>0</v>
      </c>
      <c r="X256" s="313">
        <f>ROUND(U256*V256*W256,2)</f>
        <v>0</v>
      </c>
      <c r="Y256" s="849"/>
      <c r="Z256" s="840"/>
      <c r="AA256" s="843"/>
    </row>
    <row r="257" spans="1:30" ht="19.5" customHeight="1">
      <c r="A257" s="786"/>
      <c r="B257" s="216"/>
      <c r="C257" s="845"/>
      <c r="D257" s="847"/>
      <c r="E257" s="79"/>
      <c r="F257" s="272"/>
      <c r="G257" s="99"/>
      <c r="H257" s="95"/>
      <c r="I257" s="334"/>
      <c r="J257" s="279"/>
      <c r="K257" s="217"/>
      <c r="L257" s="217"/>
      <c r="M257" s="217"/>
      <c r="N257" s="217"/>
      <c r="O257" s="217"/>
      <c r="P257" s="30"/>
      <c r="Q257" s="79">
        <f>база!$L$5</f>
        <v>231.45480000000001</v>
      </c>
      <c r="R257" s="272">
        <v>1.4</v>
      </c>
      <c r="S257" s="99">
        <f>SUMIFS(Таблица1[сумма],Таблица1[коэф],"1,4",Таблица1[р/р],"4/16",Таблица1[Ф. И. О.],B253)</f>
        <v>0</v>
      </c>
      <c r="T257" s="95">
        <f t="shared" si="166"/>
        <v>0</v>
      </c>
      <c r="U257" s="314">
        <f>база!$M$5</f>
        <v>247.41720000000001</v>
      </c>
      <c r="V257" s="272">
        <v>1.4</v>
      </c>
      <c r="W257" s="307">
        <f>SUMIFS(Таблица1[сумма],Таблица1[коэф],"1,4",Таблица1[р/р],"4/24",Таблица1[Ф. И. О.],B253)</f>
        <v>0</v>
      </c>
      <c r="X257" s="313">
        <f>ROUND(U257*V257*W257,2)</f>
        <v>0</v>
      </c>
      <c r="Y257" s="849"/>
      <c r="Z257" s="840"/>
      <c r="AA257" s="843"/>
    </row>
    <row r="258" spans="1:30" ht="19.5" customHeight="1" thickBot="1">
      <c r="A258" s="787"/>
      <c r="B258" s="203"/>
      <c r="C258" s="846"/>
      <c r="D258" s="848"/>
      <c r="E258" s="102"/>
      <c r="F258" s="274"/>
      <c r="G258" s="98"/>
      <c r="H258" s="91"/>
      <c r="I258" s="348"/>
      <c r="J258" s="280"/>
      <c r="K258" s="289"/>
      <c r="L258" s="289"/>
      <c r="M258" s="289"/>
      <c r="N258" s="289"/>
      <c r="O258" s="289"/>
      <c r="P258" s="315"/>
      <c r="Q258" s="102">
        <f>база!$L$6</f>
        <v>261.04640000000001</v>
      </c>
      <c r="R258" s="274">
        <v>1.4</v>
      </c>
      <c r="S258" s="98">
        <f>SUMIFS(Таблица1[сумма],Таблица1[коэф],"1,4",Таблица1[р/р],"5/16",Таблица1[Ф. И. О.],B253)</f>
        <v>0</v>
      </c>
      <c r="T258" s="91">
        <f t="shared" si="166"/>
        <v>0</v>
      </c>
      <c r="U258" s="347">
        <f>база!$M$6</f>
        <v>279.0496</v>
      </c>
      <c r="V258" s="274">
        <v>1.4</v>
      </c>
      <c r="W258" s="312">
        <f>SUMIFS(Таблица1[сумма],Таблица1[коэф],"1,4",Таблица1[р/р],"5/24",Таблица1[Ф. И. О.],B253)</f>
        <v>0</v>
      </c>
      <c r="X258" s="343">
        <f>ROUND(U258*V258*W258,2)</f>
        <v>0</v>
      </c>
      <c r="Y258" s="850"/>
      <c r="Z258" s="841"/>
      <c r="AA258" s="844"/>
    </row>
    <row r="259" spans="1:30" ht="18.75" customHeight="1">
      <c r="A259" s="785">
        <v>24</v>
      </c>
      <c r="B259" s="236"/>
      <c r="C259" s="851">
        <f>INDEX(база!$E$2:$E$81, MATCH(B264,база!$B$2:$B$50,0))</f>
        <v>17309</v>
      </c>
      <c r="D259" s="852">
        <f>INDEX(база!$D$2:$D$89, MATCH(B264,база!$B$2:$B$50,0))</f>
        <v>3</v>
      </c>
      <c r="E259" s="73">
        <f>IF(D259&lt;=3,база!$I$4,
IF(D259=4,база!$I$5,
IF(D259=5,база!$I$6)))</f>
        <v>188.7912</v>
      </c>
      <c r="F259" s="270">
        <v>1</v>
      </c>
      <c r="G259" s="96">
        <f>SUMIFS(Таблица1[сумма],Таблица1[коэф],"1",Таблица1[р/р],"2/4",Таблица1[Ф. И. О.],B264)</f>
        <v>0</v>
      </c>
      <c r="H259" s="88">
        <f>ROUND(E259*F259*G259,2)</f>
        <v>0</v>
      </c>
      <c r="I259" s="338">
        <f>IF(D259&lt;=3,база!$J$4,
IF(D259=4,база!$J$5,
IF(D259=5,база!$J$6)))</f>
        <v>196.05240000000001</v>
      </c>
      <c r="J259" s="277">
        <v>1</v>
      </c>
      <c r="K259" s="288">
        <f>SUMIFS(Таблица1[сумма],Таблица1[коэф],"1",Таблица1[р/р],"2/8",Таблица1[Ф. И. О.],B264)</f>
        <v>0</v>
      </c>
      <c r="L259" s="288">
        <f>ROUND(I259*J259*K259,2)</f>
        <v>0</v>
      </c>
      <c r="M259" s="288"/>
      <c r="N259" s="288">
        <v>1</v>
      </c>
      <c r="O259" s="288">
        <f>SUMIFS(Data_Tech!$AM$3:$AM$67,Data_Tech!$E$3:$E$67,"1",Data_Tech!$G$3:$G$67,"3/12",Data_Tech!$F$3:$F$67,B264)</f>
        <v>0</v>
      </c>
      <c r="P259" s="281">
        <f>ROUND(M259*N259*O259,2)</f>
        <v>0</v>
      </c>
      <c r="Q259" s="73">
        <f>IF(D259&lt;=3,база!$L$4,
IF(D259=4,база!$L$5,
IF(D259=5,база!$L$6)))</f>
        <v>210.57480000000001</v>
      </c>
      <c r="R259" s="270">
        <v>1</v>
      </c>
      <c r="S259" s="96">
        <f>SUMIFS(Таблица1[сумма],Таблица1[коэф],"1",Таблица1[р/р],"3/16",Таблица1[Ф. И. О.],B264)</f>
        <v>0</v>
      </c>
      <c r="T259" s="88">
        <f t="shared" si="160"/>
        <v>0</v>
      </c>
      <c r="U259" s="339">
        <f>IF(D259&lt;=3,база!$M$4,
IF(D259=4,база!$M$5,
IF(D259=5,база!$M$6)))</f>
        <v>225.09719999999999</v>
      </c>
      <c r="V259" s="270">
        <v>1</v>
      </c>
      <c r="W259" s="340">
        <f>SUMIFS(Таблица1[сумма],Таблица1[коэф],"1",Таблица1[р/р],"3/24",Таблица1[Ф. И. О.],B264)</f>
        <v>0</v>
      </c>
      <c r="X259" s="342">
        <f>ROUND(U259*V259*W259,2)</f>
        <v>0</v>
      </c>
      <c r="Y259" s="849">
        <f t="shared" ref="Y259" si="168">SUM(G259:G269,K259:K269,O259:O269,S259:S269,W259:W269)</f>
        <v>0</v>
      </c>
      <c r="Z259" s="840">
        <f t="shared" ref="Z259" si="169">IFERROR(SUM(H259:H269,L259:L269,T259:T269,X259:X269),"")</f>
        <v>0</v>
      </c>
      <c r="AA259" s="843"/>
    </row>
    <row r="260" spans="1:30" ht="18.75" customHeight="1">
      <c r="A260" s="786"/>
      <c r="B260" s="216"/>
      <c r="C260" s="845"/>
      <c r="D260" s="847"/>
      <c r="E260" s="79">
        <f>IF(D259&lt;=3,база!$I$4,
IF(D259=4,база!$I$5,
IF(D259=5,база!$I$6)))</f>
        <v>188.7912</v>
      </c>
      <c r="F260" s="272">
        <v>1</v>
      </c>
      <c r="G260" s="99">
        <f>SUMIFS(Таблица1[сумма],Таблица1[коэф],"1",Таблица1[р/р],"3/4",Таблица1[Ф. И. О.],B264)</f>
        <v>0</v>
      </c>
      <c r="H260" s="95">
        <f>ROUND(E260*F260*G260,2)</f>
        <v>0</v>
      </c>
      <c r="I260" s="334">
        <f>IF(D259&lt;=3,база!$J$4,
IF(D259=4,база!$J$5,
IF(D259=5,база!$J$6)))</f>
        <v>196.05240000000001</v>
      </c>
      <c r="J260" s="279">
        <v>1</v>
      </c>
      <c r="K260" s="217">
        <f>SUMIFS(Таблица1[сумма],Таблица1[коэф],"1",Таблица1[р/р],"3/8",Таблица1[Ф. И. О.],B264)</f>
        <v>0</v>
      </c>
      <c r="L260" s="217">
        <f>ROUND(I260*J260*K260,2)</f>
        <v>0</v>
      </c>
      <c r="M260" s="217"/>
      <c r="N260" s="217">
        <v>1</v>
      </c>
      <c r="O260" s="217">
        <f>SUMIFS(Data_Tech!$AM$3:$AM$67,Data_Tech!$E$3:$E$67,"1",Data_Tech!$G$3:$G$67,"4/12",Data_Tech!$F$3:$F$67,B264)</f>
        <v>0</v>
      </c>
      <c r="P260" s="30">
        <f>ROUND(M260*O260,2)</f>
        <v>0</v>
      </c>
      <c r="Q260" s="79">
        <f>база!$L$5</f>
        <v>231.45480000000001</v>
      </c>
      <c r="R260" s="272">
        <v>1</v>
      </c>
      <c r="S260" s="99">
        <f>SUMIFS(Таблица1[сумма],Таблица1[коэф],"1",Таблица1[р/р],"4/16",Таблица1[Ф. И. О.],B264)</f>
        <v>0</v>
      </c>
      <c r="T260" s="95">
        <f t="shared" si="160"/>
        <v>0</v>
      </c>
      <c r="U260" s="314">
        <f>база!$M$5</f>
        <v>247.41720000000001</v>
      </c>
      <c r="V260" s="272">
        <v>1</v>
      </c>
      <c r="W260" s="307">
        <f>SUMIFS(Таблица1[сумма],Таблица1[коэф],"1",Таблица1[р/р],"4/24",Таблица1[Ф. И. О.],B264)</f>
        <v>0</v>
      </c>
      <c r="X260" s="313">
        <f t="shared" ref="X260" si="170">ROUND(U260*V260*W260,2)</f>
        <v>0</v>
      </c>
      <c r="Y260" s="849"/>
      <c r="Z260" s="840"/>
      <c r="AA260" s="843"/>
    </row>
    <row r="261" spans="1:30" ht="19.5" customHeight="1">
      <c r="A261" s="786"/>
      <c r="B261" s="216"/>
      <c r="C261" s="845"/>
      <c r="D261" s="847"/>
      <c r="E261" s="79"/>
      <c r="F261" s="272"/>
      <c r="G261" s="99"/>
      <c r="H261" s="95"/>
      <c r="I261" s="334"/>
      <c r="J261" s="279"/>
      <c r="K261" s="217"/>
      <c r="L261" s="217"/>
      <c r="M261" s="217"/>
      <c r="N261" s="217"/>
      <c r="O261" s="217"/>
      <c r="P261" s="30"/>
      <c r="Q261" s="79">
        <f>база!$L$6</f>
        <v>261.04640000000001</v>
      </c>
      <c r="R261" s="272">
        <v>1</v>
      </c>
      <c r="S261" s="99">
        <f>SUMIFS(Таблица1[сумма],Таблица1[коэф],"1",Таблица1[р/р],"5/16",Таблица1[Ф. И. О.],B264)</f>
        <v>0</v>
      </c>
      <c r="T261" s="95">
        <f t="shared" si="160"/>
        <v>0</v>
      </c>
      <c r="U261" s="314">
        <f>база!$M$6</f>
        <v>279.0496</v>
      </c>
      <c r="V261" s="272">
        <v>1</v>
      </c>
      <c r="W261" s="307">
        <f>SUMIFS(Таблица1[сумма],Таблица1[коэф],"1",Таблица1[р/р],"5/24",Таблица1[Ф. И. О.],B264)</f>
        <v>0</v>
      </c>
      <c r="X261" s="313">
        <f>ROUND(U261*V261*W261,2)</f>
        <v>0</v>
      </c>
      <c r="Y261" s="849"/>
      <c r="Z261" s="840"/>
      <c r="AA261" s="843"/>
    </row>
    <row r="262" spans="1:30" ht="19.5" customHeight="1">
      <c r="A262" s="786"/>
      <c r="B262" s="216"/>
      <c r="C262" s="845"/>
      <c r="D262" s="847"/>
      <c r="E262" s="79"/>
      <c r="F262" s="272"/>
      <c r="G262" s="99"/>
      <c r="H262" s="95"/>
      <c r="I262" s="334">
        <f>база!$J$5</f>
        <v>215.4924</v>
      </c>
      <c r="J262" s="279">
        <v>1.5</v>
      </c>
      <c r="K262" s="217">
        <f>SUMIFS(Таблица1[сумма],Таблица1[коэф],"1,5",Таблица1[р/р],"4/8",Таблица1[Ф. И. О.],B264)</f>
        <v>0</v>
      </c>
      <c r="L262" s="217">
        <f>ROUND(I262*J262*K262,2)</f>
        <v>0</v>
      </c>
      <c r="M262" s="217"/>
      <c r="N262" s="217"/>
      <c r="O262" s="217"/>
      <c r="P262" s="30"/>
      <c r="Q262" s="79">
        <f>IF(D259&lt;=3,база!$L$4,
IF(D259=4,база!$L$5,
IF(D259=5,база!$L$6)))</f>
        <v>210.57480000000001</v>
      </c>
      <c r="R262" s="272">
        <v>1.2</v>
      </c>
      <c r="S262" s="99">
        <f>SUMIFS(Таблица1[сумма],Таблица1[коэф],"1,2",Таблица1[р/р],"3/16",Таблица1[Ф. И. О.],B264)</f>
        <v>0</v>
      </c>
      <c r="T262" s="95">
        <f t="shared" ref="T262:T263" si="171">ROUND(Q262*R262*S262,2)</f>
        <v>0</v>
      </c>
      <c r="U262" s="314">
        <f>IF(D259&lt;=3,база!$M$4,
IF(D259=4,база!$M$5,
IF(D259=5,база!$M$6)))</f>
        <v>225.09719999999999</v>
      </c>
      <c r="V262" s="272">
        <v>1.2</v>
      </c>
      <c r="W262" s="307">
        <f>SUMIFS(Таблица1[сумма],Таблица1[коэф],"1,2",Таблица1[р/р],"3/24",Таблица1[Ф. И. О.],B264)</f>
        <v>0</v>
      </c>
      <c r="X262" s="313">
        <f t="shared" ref="X262:X263" si="172">ROUND(U262*V262*W262,2)</f>
        <v>0</v>
      </c>
      <c r="Y262" s="849"/>
      <c r="Z262" s="840"/>
      <c r="AA262" s="843"/>
    </row>
    <row r="263" spans="1:30" ht="19.5" customHeight="1">
      <c r="A263" s="786"/>
      <c r="B263" s="216"/>
      <c r="C263" s="845"/>
      <c r="D263" s="847"/>
      <c r="E263" s="79"/>
      <c r="F263" s="272"/>
      <c r="G263" s="99"/>
      <c r="H263" s="95"/>
      <c r="I263" s="334">
        <f>база!$J$6</f>
        <v>243.04319999999998</v>
      </c>
      <c r="J263" s="279">
        <v>1.5</v>
      </c>
      <c r="K263" s="217">
        <f>SUMIFS(Таблица1[сумма],Таблица1[коэф],"1,5",Таблица1[р/р],"5/8",Таблица1[Ф. И. О.],B264)</f>
        <v>0</v>
      </c>
      <c r="L263" s="217">
        <f>ROUND(I263*J263*K263,2)</f>
        <v>0</v>
      </c>
      <c r="M263" s="217"/>
      <c r="N263" s="217"/>
      <c r="O263" s="217"/>
      <c r="P263" s="30"/>
      <c r="Q263" s="79">
        <f>база!$L$5</f>
        <v>231.45480000000001</v>
      </c>
      <c r="R263" s="272">
        <v>1.2</v>
      </c>
      <c r="S263" s="99">
        <f>SUMIFS(Таблица1[сумма],Таблица1[коэф],"1,2",Таблица1[р/р],"4/16",Таблица1[Ф. И. О.],B264)</f>
        <v>0</v>
      </c>
      <c r="T263" s="95">
        <f t="shared" si="171"/>
        <v>0</v>
      </c>
      <c r="U263" s="314">
        <f>база!$M$5</f>
        <v>247.41720000000001</v>
      </c>
      <c r="V263" s="272">
        <v>1.2</v>
      </c>
      <c r="W263" s="307">
        <f>SUMIFS(Таблица1[сумма],Таблица1[коэф],"1,2",Таблица1[р/р],"4/24",Таблица1[Ф. И. О.],B264)</f>
        <v>0</v>
      </c>
      <c r="X263" s="313">
        <f t="shared" si="172"/>
        <v>0</v>
      </c>
      <c r="Y263" s="849"/>
      <c r="Z263" s="840"/>
      <c r="AA263" s="843"/>
      <c r="AC263" s="722" t="str">
        <f>IF(SUMIFS(Таблица1[Столбец2],Таблица1[Ф. И. О.],B264)-Z259=0,"",SUMIFS(Таблица1[Столбец2],Таблица1[Ф. И. О.],B264)-Z259)</f>
        <v/>
      </c>
    </row>
    <row r="264" spans="1:30" ht="19.5" customHeight="1">
      <c r="A264" s="786"/>
      <c r="B264" s="216" t="str">
        <f>база!B25</f>
        <v>Ескина Ксения Анатольевна</v>
      </c>
      <c r="C264" s="845"/>
      <c r="D264" s="847"/>
      <c r="E264" s="79"/>
      <c r="F264" s="272"/>
      <c r="G264" s="99"/>
      <c r="H264" s="95"/>
      <c r="I264" s="334"/>
      <c r="J264" s="279"/>
      <c r="K264" s="217"/>
      <c r="L264" s="217"/>
      <c r="M264" s="217"/>
      <c r="N264" s="217"/>
      <c r="O264" s="217"/>
      <c r="P264" s="30"/>
      <c r="Q264" s="79">
        <f>база!$L$6</f>
        <v>261.04640000000001</v>
      </c>
      <c r="R264" s="272">
        <v>1.2</v>
      </c>
      <c r="S264" s="99">
        <f>SUMIFS(Таблица1[сумма],Таблица1[коэф],"1,2",Таблица1[р/р],"5/16",Таблица1[Ф. И. О.],B264)</f>
        <v>0</v>
      </c>
      <c r="T264" s="95">
        <f>ROUND(Q264*R264*S264,2)</f>
        <v>0</v>
      </c>
      <c r="U264" s="314">
        <f>база!$M$6</f>
        <v>279.0496</v>
      </c>
      <c r="V264" s="272">
        <v>1.2</v>
      </c>
      <c r="W264" s="307">
        <f>SUMIFS(Таблица1[сумма],Таблица1[коэф],"1,2",Таблица1[р/р],"5/24",Таблица1[Ф. И. О.],B264)</f>
        <v>0</v>
      </c>
      <c r="X264" s="313">
        <f>ROUND(U264*V264*W264,2)</f>
        <v>0</v>
      </c>
      <c r="Y264" s="849"/>
      <c r="Z264" s="840"/>
      <c r="AA264" s="843"/>
      <c r="AC264" s="722" t="str">
        <f>IF(SUMIFS(Таблица1[сумма],Таблица1[Ф. И. О.],B264)=Y259,"",B259&amp;"  часы не верны")</f>
        <v/>
      </c>
      <c r="AD264" s="759">
        <f>INDEX('[2]декабрь 23'!$AI$4:$AI$100,MATCH(C259,'[2]декабрь 23'!$AK$4:$AK$100,0))</f>
        <v>144</v>
      </c>
    </row>
    <row r="265" spans="1:30" ht="19.5" customHeight="1">
      <c r="A265" s="786"/>
      <c r="B265" s="216"/>
      <c r="C265" s="845"/>
      <c r="D265" s="847"/>
      <c r="E265" s="79"/>
      <c r="F265" s="272"/>
      <c r="G265" s="99"/>
      <c r="H265" s="95"/>
      <c r="I265" s="334"/>
      <c r="J265" s="279"/>
      <c r="K265" s="217"/>
      <c r="L265" s="217"/>
      <c r="M265" s="217"/>
      <c r="N265" s="217"/>
      <c r="O265" s="217"/>
      <c r="P265" s="30"/>
      <c r="Q265" s="79">
        <f>IF($D$6&lt;=3,база!$L$4,
IF($D$6=4,база!$L$5,
IF($D$6=5,база!$L$6)))</f>
        <v>231.45480000000001</v>
      </c>
      <c r="R265" s="272">
        <v>1.3</v>
      </c>
      <c r="S265" s="99">
        <f>SUMIFS(Таблица1[сумма],Таблица1[коэф],"1,3",Таблица1[р/р],"3/16",Таблица1[Ф. И. О.],B264)</f>
        <v>0</v>
      </c>
      <c r="T265" s="95">
        <f t="shared" ref="T265:T266" si="173">ROUND(Q265*R265*S265,2)</f>
        <v>0</v>
      </c>
      <c r="U265" s="314">
        <f>IF(D259&lt;=3,база!$M$4,
IF(D259=4,база!$M$5,
IF(D259=5,база!$M$6)))</f>
        <v>225.09719999999999</v>
      </c>
      <c r="V265" s="272">
        <v>1.3</v>
      </c>
      <c r="W265" s="307">
        <f>SUMIFS(Таблица1[сумма],Таблица1[коэф],"1,3",Таблица1[р/р],"3/24",Таблица1[Ф. И. О.],B264)</f>
        <v>0</v>
      </c>
      <c r="X265" s="313">
        <f t="shared" ref="X265:X266" si="174">ROUND(U265*V265*W265,2)</f>
        <v>0</v>
      </c>
      <c r="Y265" s="849"/>
      <c r="Z265" s="840"/>
      <c r="AA265" s="843"/>
    </row>
    <row r="266" spans="1:30" ht="19.5" customHeight="1">
      <c r="A266" s="786"/>
      <c r="B266" s="216"/>
      <c r="C266" s="845"/>
      <c r="D266" s="847"/>
      <c r="E266" s="79"/>
      <c r="F266" s="272"/>
      <c r="G266" s="99"/>
      <c r="H266" s="95"/>
      <c r="I266" s="334"/>
      <c r="J266" s="279"/>
      <c r="K266" s="217"/>
      <c r="L266" s="217"/>
      <c r="M266" s="217"/>
      <c r="N266" s="217"/>
      <c r="O266" s="217"/>
      <c r="P266" s="30"/>
      <c r="Q266" s="79">
        <f>база!$L$5</f>
        <v>231.45480000000001</v>
      </c>
      <c r="R266" s="272">
        <v>1.3</v>
      </c>
      <c r="S266" s="99">
        <f>SUMIFS(Таблица1[сумма],Таблица1[коэф],"1,3",Таблица1[р/р],"4/16",Таблица1[Ф. И. О.],B264)</f>
        <v>0</v>
      </c>
      <c r="T266" s="95">
        <f t="shared" si="173"/>
        <v>0</v>
      </c>
      <c r="U266" s="314">
        <f>база!$M$5</f>
        <v>247.41720000000001</v>
      </c>
      <c r="V266" s="272">
        <v>1.3</v>
      </c>
      <c r="W266" s="307">
        <f>SUMIFS(Таблица1[сумма],Таблица1[коэф],"1,3",Таблица1[р/р],"4/24",Таблица1[Ф. И. О.],B264)</f>
        <v>0</v>
      </c>
      <c r="X266" s="313">
        <f t="shared" si="174"/>
        <v>0</v>
      </c>
      <c r="Y266" s="849"/>
      <c r="Z266" s="840"/>
      <c r="AA266" s="843"/>
    </row>
    <row r="267" spans="1:30" ht="19.5" customHeight="1">
      <c r="A267" s="786"/>
      <c r="B267" s="216"/>
      <c r="C267" s="845"/>
      <c r="D267" s="847"/>
      <c r="E267" s="79"/>
      <c r="F267" s="272"/>
      <c r="G267" s="99"/>
      <c r="H267" s="95"/>
      <c r="I267" s="334"/>
      <c r="J267" s="279"/>
      <c r="K267" s="217"/>
      <c r="L267" s="217"/>
      <c r="M267" s="217"/>
      <c r="N267" s="217"/>
      <c r="O267" s="217"/>
      <c r="P267" s="30"/>
      <c r="Q267" s="79">
        <f>IF(D259&lt;=3,база!$L$4,
IF(D259=4,база!$L$5,
IF(D259=5,база!$L$6)))</f>
        <v>210.57480000000001</v>
      </c>
      <c r="R267" s="272">
        <v>1.4</v>
      </c>
      <c r="S267" s="99">
        <f>SUMIFS(Таблица1[сумма],Таблица1[коэф],"1,4",Таблица1[р/р],"3/16",Таблица1[Ф. И. О.],B264)</f>
        <v>0</v>
      </c>
      <c r="T267" s="95">
        <f t="shared" ref="T267:T921" si="175">ROUND(Q267*R267*S267,2)</f>
        <v>0</v>
      </c>
      <c r="U267" s="314">
        <f>IF(D259&lt;=3,база!$M$4,
IF(D259=4,база!$M$5,
IF(D259=5,база!$M$6)))</f>
        <v>225.09719999999999</v>
      </c>
      <c r="V267" s="272">
        <v>1.4</v>
      </c>
      <c r="W267" s="307">
        <f>SUMIFS(Таблица1[сумма],Таблица1[коэф],"1,4",Таблица1[р/р],"3/24",Таблица1[Ф. И. О.],B264)</f>
        <v>0</v>
      </c>
      <c r="X267" s="313">
        <f>ROUND(U267*V267*W267,2)</f>
        <v>0</v>
      </c>
      <c r="Y267" s="849"/>
      <c r="Z267" s="840"/>
      <c r="AA267" s="843"/>
    </row>
    <row r="268" spans="1:30" ht="19.5" customHeight="1">
      <c r="A268" s="786"/>
      <c r="B268" s="216"/>
      <c r="C268" s="845"/>
      <c r="D268" s="847"/>
      <c r="E268" s="79"/>
      <c r="F268" s="272"/>
      <c r="G268" s="99"/>
      <c r="H268" s="95"/>
      <c r="I268" s="334"/>
      <c r="J268" s="279"/>
      <c r="K268" s="217"/>
      <c r="L268" s="217"/>
      <c r="M268" s="217"/>
      <c r="N268" s="217"/>
      <c r="O268" s="217"/>
      <c r="P268" s="30"/>
      <c r="Q268" s="79">
        <f>база!$L$5</f>
        <v>231.45480000000001</v>
      </c>
      <c r="R268" s="272">
        <v>1.4</v>
      </c>
      <c r="S268" s="99">
        <f>SUMIFS(Таблица1[сумма],Таблица1[коэф],"1,4",Таблица1[р/р],"4/16",Таблица1[Ф. И. О.],B264)</f>
        <v>0</v>
      </c>
      <c r="T268" s="95">
        <f t="shared" si="175"/>
        <v>0</v>
      </c>
      <c r="U268" s="314">
        <f>база!$M$5</f>
        <v>247.41720000000001</v>
      </c>
      <c r="V268" s="272">
        <v>1.4</v>
      </c>
      <c r="W268" s="307">
        <f>SUMIFS(Таблица1[сумма],Таблица1[коэф],"1,4",Таблица1[р/р],"4/24",Таблица1[Ф. И. О.],B264)</f>
        <v>0</v>
      </c>
      <c r="X268" s="313">
        <f>ROUND(U268*V268*W268,2)</f>
        <v>0</v>
      </c>
      <c r="Y268" s="849"/>
      <c r="Z268" s="840"/>
      <c r="AA268" s="843"/>
    </row>
    <row r="269" spans="1:30" ht="19.5" customHeight="1" thickBot="1">
      <c r="A269" s="787"/>
      <c r="B269" s="203"/>
      <c r="C269" s="846"/>
      <c r="D269" s="848"/>
      <c r="E269" s="102"/>
      <c r="F269" s="274"/>
      <c r="G269" s="98"/>
      <c r="H269" s="91"/>
      <c r="I269" s="348"/>
      <c r="J269" s="280"/>
      <c r="K269" s="289"/>
      <c r="L269" s="289"/>
      <c r="M269" s="289"/>
      <c r="N269" s="289"/>
      <c r="O269" s="289"/>
      <c r="P269" s="315"/>
      <c r="Q269" s="102">
        <f>база!$L$6</f>
        <v>261.04640000000001</v>
      </c>
      <c r="R269" s="274">
        <v>1.4</v>
      </c>
      <c r="S269" s="98">
        <f>SUMIFS(Таблица1[сумма],Таблица1[коэф],"1,4",Таблица1[р/р],"5/16",Таблица1[Ф. И. О.],B264)</f>
        <v>0</v>
      </c>
      <c r="T269" s="91">
        <f t="shared" si="175"/>
        <v>0</v>
      </c>
      <c r="U269" s="347">
        <f>база!$M$6</f>
        <v>279.0496</v>
      </c>
      <c r="V269" s="274">
        <v>1.4</v>
      </c>
      <c r="W269" s="312">
        <f>SUMIFS(Таблица1[сумма],Таблица1[коэф],"1,4",Таблица1[р/р],"5/24",Таблица1[Ф. И. О.],B264)</f>
        <v>0</v>
      </c>
      <c r="X269" s="343">
        <f>ROUND(U269*V269*W269,2)</f>
        <v>0</v>
      </c>
      <c r="Y269" s="850"/>
      <c r="Z269" s="841"/>
      <c r="AA269" s="844"/>
    </row>
    <row r="270" spans="1:30" ht="18.75" customHeight="1">
      <c r="A270" s="785">
        <v>25</v>
      </c>
      <c r="B270" s="236"/>
      <c r="C270" s="851">
        <f>INDEX(база!$E$2:$E$81, MATCH(B275,база!$B$2:$B$50,0))</f>
        <v>17346</v>
      </c>
      <c r="D270" s="852">
        <f>INDEX(база!$D$2:$D$89, MATCH(B275,база!$B$2:$B$50,0))</f>
        <v>3</v>
      </c>
      <c r="E270" s="73">
        <f>IF(D270&lt;=3,база!$I$4,
IF(D270=4,база!$I$5,
IF(D270=5,база!$I$6)))</f>
        <v>188.7912</v>
      </c>
      <c r="F270" s="270">
        <v>1</v>
      </c>
      <c r="G270" s="96">
        <f>SUMIFS(Таблица1[сумма],Таблица1[коэф],"1",Таблица1[р/р],"2/4",Таблица1[Ф. И. О.],B275)</f>
        <v>0</v>
      </c>
      <c r="H270" s="88">
        <f>ROUND(E270*F270*G270,2)</f>
        <v>0</v>
      </c>
      <c r="I270" s="338">
        <f>IF(D270&lt;=3,база!$J$4,
IF(D270=4,база!$J$5,
IF(D270=5,база!$J$6)))</f>
        <v>196.05240000000001</v>
      </c>
      <c r="J270" s="277">
        <v>1</v>
      </c>
      <c r="K270" s="288">
        <f>SUMIFS(Таблица1[сумма],Таблица1[коэф],"1",Таблица1[р/р],"2/8",Таблица1[Ф. И. О.],B275)</f>
        <v>0</v>
      </c>
      <c r="L270" s="288">
        <f>ROUND(I270*J270*K270,2)</f>
        <v>0</v>
      </c>
      <c r="M270" s="288"/>
      <c r="N270" s="288">
        <v>1</v>
      </c>
      <c r="O270" s="288">
        <f>SUMIFS(Data_Tech!$AM$3:$AM$67,Data_Tech!$E$3:$E$67,"1",Data_Tech!$G$3:$G$67,"3/12",Data_Tech!$F$3:$F$67,B275)</f>
        <v>0</v>
      </c>
      <c r="P270" s="281">
        <f>ROUND(M270*N270*O270,2)</f>
        <v>0</v>
      </c>
      <c r="Q270" s="73">
        <f>IF(D270&lt;=3,база!$L$4,
IF(D270=4,база!$L$5,
IF(D270=5,база!$L$6)))</f>
        <v>210.57480000000001</v>
      </c>
      <c r="R270" s="270">
        <v>1</v>
      </c>
      <c r="S270" s="96">
        <f>SUMIFS(Таблица1[сумма],Таблица1[коэф],"1",Таблица1[р/р],"3/16",Таблица1[Ф. И. О.],B275)</f>
        <v>0</v>
      </c>
      <c r="T270" s="88">
        <f t="shared" si="175"/>
        <v>0</v>
      </c>
      <c r="U270" s="339">
        <f>IF(D270&lt;=3,база!$M$4,
IF(D270=4,база!$M$5,
IF(D270=5,база!$M$6)))</f>
        <v>225.09719999999999</v>
      </c>
      <c r="V270" s="270">
        <v>1</v>
      </c>
      <c r="W270" s="340">
        <f>SUMIFS(Таблица1[сумма],Таблица1[коэф],"1",Таблица1[р/р],"3/24",Таблица1[Ф. И. О.],B275)</f>
        <v>0</v>
      </c>
      <c r="X270" s="342">
        <f>ROUND(U270*V270*W270,2)</f>
        <v>0</v>
      </c>
      <c r="Y270" s="849">
        <f t="shared" ref="Y270" si="176">SUM(G270:G280,K270:K280,O270:O280,S270:S280,W270:W280)</f>
        <v>0</v>
      </c>
      <c r="Z270" s="840">
        <f t="shared" ref="Z270" si="177">IFERROR(SUM(H270:H280,L270:L280,T270:T280,X270:X280),"")</f>
        <v>0</v>
      </c>
      <c r="AA270" s="843"/>
    </row>
    <row r="271" spans="1:30" ht="18.75" customHeight="1">
      <c r="A271" s="786"/>
      <c r="B271" s="216"/>
      <c r="C271" s="845"/>
      <c r="D271" s="847"/>
      <c r="E271" s="79">
        <f>IF(D270&lt;=3,база!$I$4,
IF(D270=4,база!$I$5,
IF(D270=5,база!$I$6)))</f>
        <v>188.7912</v>
      </c>
      <c r="F271" s="272">
        <v>1</v>
      </c>
      <c r="G271" s="99">
        <f>SUMIFS(Таблица1[сумма],Таблица1[коэф],"1",Таблица1[р/р],"3/4",Таблица1[Ф. И. О.],B275)</f>
        <v>0</v>
      </c>
      <c r="H271" s="95">
        <f>ROUND(E271*F271*G271,2)</f>
        <v>0</v>
      </c>
      <c r="I271" s="334">
        <f>IF(D270&lt;=3,база!$J$4,
IF(D270=4,база!$J$5,
IF(D270=5,база!$J$6)))</f>
        <v>196.05240000000001</v>
      </c>
      <c r="J271" s="279">
        <v>1</v>
      </c>
      <c r="K271" s="217">
        <f>SUMIFS(Таблица1[сумма],Таблица1[коэф],"1",Таблица1[р/р],"3/8",Таблица1[Ф. И. О.],B275)</f>
        <v>0</v>
      </c>
      <c r="L271" s="217">
        <f>ROUND(I271*J271*K271,2)</f>
        <v>0</v>
      </c>
      <c r="M271" s="217"/>
      <c r="N271" s="217">
        <v>1</v>
      </c>
      <c r="O271" s="217">
        <f>SUMIFS(Data_Tech!$AM$3:$AM$67,Data_Tech!$E$3:$E$67,"1",Data_Tech!$G$3:$G$67,"4/12",Data_Tech!$F$3:$F$67,B275)</f>
        <v>0</v>
      </c>
      <c r="P271" s="30">
        <f>ROUND(M271*O271,2)</f>
        <v>0</v>
      </c>
      <c r="Q271" s="79">
        <f>база!$L$5</f>
        <v>231.45480000000001</v>
      </c>
      <c r="R271" s="272">
        <v>1</v>
      </c>
      <c r="S271" s="99">
        <f>SUMIFS(Таблица1[сумма],Таблица1[коэф],"1",Таблица1[р/р],"4/16",Таблица1[Ф. И. О.],B275)</f>
        <v>0</v>
      </c>
      <c r="T271" s="95">
        <f t="shared" si="175"/>
        <v>0</v>
      </c>
      <c r="U271" s="314">
        <f>база!$M$5</f>
        <v>247.41720000000001</v>
      </c>
      <c r="V271" s="272">
        <v>1</v>
      </c>
      <c r="W271" s="307">
        <f>SUMIFS(Таблица1[сумма],Таблица1[коэф],"1",Таблица1[р/р],"4/24",Таблица1[Ф. И. О.],B275)</f>
        <v>0</v>
      </c>
      <c r="X271" s="313">
        <f t="shared" ref="X271" si="178">ROUND(U271*V271*W271,2)</f>
        <v>0</v>
      </c>
      <c r="Y271" s="849"/>
      <c r="Z271" s="840"/>
      <c r="AA271" s="843"/>
    </row>
    <row r="272" spans="1:30" ht="19.5" customHeight="1">
      <c r="A272" s="786"/>
      <c r="B272" s="216"/>
      <c r="C272" s="845"/>
      <c r="D272" s="847"/>
      <c r="E272" s="79"/>
      <c r="F272" s="272"/>
      <c r="G272" s="99"/>
      <c r="H272" s="95"/>
      <c r="I272" s="334"/>
      <c r="J272" s="279"/>
      <c r="K272" s="217"/>
      <c r="L272" s="217"/>
      <c r="M272" s="217"/>
      <c r="N272" s="217"/>
      <c r="O272" s="217"/>
      <c r="P272" s="30"/>
      <c r="Q272" s="79">
        <f>база!$L$6</f>
        <v>261.04640000000001</v>
      </c>
      <c r="R272" s="272">
        <v>1</v>
      </c>
      <c r="S272" s="99">
        <f>SUMIFS(Таблица1[сумма],Таблица1[коэф],"1",Таблица1[р/р],"5/16",Таблица1[Ф. И. О.],B275)</f>
        <v>0</v>
      </c>
      <c r="T272" s="95">
        <f t="shared" si="175"/>
        <v>0</v>
      </c>
      <c r="U272" s="314">
        <f>база!$M$6</f>
        <v>279.0496</v>
      </c>
      <c r="V272" s="272">
        <v>1</v>
      </c>
      <c r="W272" s="307">
        <f>SUMIFS(Таблица1[сумма],Таблица1[коэф],"1",Таблица1[р/р],"5/24",Таблица1[Ф. И. О.],B275)</f>
        <v>0</v>
      </c>
      <c r="X272" s="313">
        <f>ROUND(U272*V272*W272,2)</f>
        <v>0</v>
      </c>
      <c r="Y272" s="849"/>
      <c r="Z272" s="840"/>
      <c r="AA272" s="843"/>
    </row>
    <row r="273" spans="1:30" ht="19.5" customHeight="1">
      <c r="A273" s="786"/>
      <c r="B273" s="216"/>
      <c r="C273" s="845"/>
      <c r="D273" s="847"/>
      <c r="E273" s="79"/>
      <c r="F273" s="272"/>
      <c r="G273" s="99"/>
      <c r="H273" s="95"/>
      <c r="I273" s="334">
        <f>база!$J$5</f>
        <v>215.4924</v>
      </c>
      <c r="J273" s="279">
        <v>1.5</v>
      </c>
      <c r="K273" s="217">
        <f>SUMIFS(Таблица1[сумма],Таблица1[коэф],"1,5",Таблица1[р/р],"4/8",Таблица1[Ф. И. О.],B275)</f>
        <v>0</v>
      </c>
      <c r="L273" s="217">
        <f>ROUND(I273*J273*K273,2)</f>
        <v>0</v>
      </c>
      <c r="M273" s="217"/>
      <c r="N273" s="217"/>
      <c r="O273" s="217"/>
      <c r="P273" s="30"/>
      <c r="Q273" s="79">
        <f>IF(D270&lt;=3,база!$L$4,
IF(D270=4,база!$L$5,
IF(D270=5,база!$L$6)))</f>
        <v>210.57480000000001</v>
      </c>
      <c r="R273" s="272">
        <v>1.2</v>
      </c>
      <c r="S273" s="99">
        <f>SUMIFS(Таблица1[сумма],Таблица1[коэф],"1,2",Таблица1[р/р],"3/16",Таблица1[Ф. И. О.],B275)</f>
        <v>0</v>
      </c>
      <c r="T273" s="95">
        <f t="shared" si="175"/>
        <v>0</v>
      </c>
      <c r="U273" s="314">
        <f>IF(D270&lt;=3,база!$M$4,
IF(D270=4,база!$M$5,
IF(D270=5,база!$M$6)))</f>
        <v>225.09719999999999</v>
      </c>
      <c r="V273" s="272">
        <v>1.2</v>
      </c>
      <c r="W273" s="307">
        <f>SUMIFS(Таблица1[сумма],Таблица1[коэф],"1,2",Таблица1[р/р],"3/24",Таблица1[Ф. И. О.],B275)</f>
        <v>0</v>
      </c>
      <c r="X273" s="313">
        <f t="shared" ref="X273:X274" si="179">ROUND(U273*V273*W273,2)</f>
        <v>0</v>
      </c>
      <c r="Y273" s="849"/>
      <c r="Z273" s="840"/>
      <c r="AA273" s="843"/>
    </row>
    <row r="274" spans="1:30" ht="19.5" customHeight="1">
      <c r="A274" s="786"/>
      <c r="B274" s="216"/>
      <c r="C274" s="845"/>
      <c r="D274" s="847"/>
      <c r="E274" s="79"/>
      <c r="F274" s="272"/>
      <c r="G274" s="99"/>
      <c r="H274" s="95"/>
      <c r="I274" s="334">
        <f>база!$J$6</f>
        <v>243.04319999999998</v>
      </c>
      <c r="J274" s="279">
        <v>1.5</v>
      </c>
      <c r="K274" s="217">
        <f>SUMIFS(Таблица1[сумма],Таблица1[коэф],"1,5",Таблица1[р/р],"5/8",Таблица1[Ф. И. О.],B275)</f>
        <v>0</v>
      </c>
      <c r="L274" s="217">
        <f>ROUND(I274*J274*K274,2)</f>
        <v>0</v>
      </c>
      <c r="M274" s="217"/>
      <c r="N274" s="217"/>
      <c r="O274" s="217"/>
      <c r="P274" s="30"/>
      <c r="Q274" s="79">
        <f>база!$L$5</f>
        <v>231.45480000000001</v>
      </c>
      <c r="R274" s="272">
        <v>1.2</v>
      </c>
      <c r="S274" s="99">
        <f>SUMIFS(Таблица1[сумма],Таблица1[коэф],"1,2",Таблица1[р/р],"4/16",Таблица1[Ф. И. О.],B275)</f>
        <v>0</v>
      </c>
      <c r="T274" s="95">
        <f t="shared" si="175"/>
        <v>0</v>
      </c>
      <c r="U274" s="314">
        <f>база!$M$5</f>
        <v>247.41720000000001</v>
      </c>
      <c r="V274" s="272">
        <v>1.2</v>
      </c>
      <c r="W274" s="307">
        <f>SUMIFS(Таблица1[сумма],Таблица1[коэф],"1,2",Таблица1[р/р],"4/24",Таблица1[Ф. И. О.],B275)</f>
        <v>0</v>
      </c>
      <c r="X274" s="313">
        <f t="shared" si="179"/>
        <v>0</v>
      </c>
      <c r="Y274" s="849"/>
      <c r="Z274" s="840"/>
      <c r="AA274" s="843"/>
      <c r="AC274" s="722" t="str">
        <f>IF(SUMIFS(Таблица1[Столбец2],Таблица1[Ф. И. О.],B275)-Z270=0,"",SUMIFS(Таблица1[Столбец2],Таблица1[Ф. И. О.],B275)-Z270)</f>
        <v/>
      </c>
    </row>
    <row r="275" spans="1:30" ht="19.5" customHeight="1">
      <c r="A275" s="786"/>
      <c r="B275" s="216" t="str">
        <f>база!B26</f>
        <v>Ефремова Юлия Сергеевна</v>
      </c>
      <c r="C275" s="845"/>
      <c r="D275" s="847"/>
      <c r="E275" s="79"/>
      <c r="F275" s="272"/>
      <c r="G275" s="99"/>
      <c r="H275" s="95"/>
      <c r="I275" s="334"/>
      <c r="J275" s="279"/>
      <c r="K275" s="217"/>
      <c r="L275" s="217"/>
      <c r="M275" s="217"/>
      <c r="N275" s="217"/>
      <c r="O275" s="217"/>
      <c r="P275" s="30"/>
      <c r="Q275" s="79">
        <f>база!$L$6</f>
        <v>261.04640000000001</v>
      </c>
      <c r="R275" s="272">
        <v>1.2</v>
      </c>
      <c r="S275" s="99">
        <f>SUMIFS(Таблица1[сумма],Таблица1[коэф],"1,2",Таблица1[р/р],"5/16",Таблица1[Ф. И. О.],B275)</f>
        <v>0</v>
      </c>
      <c r="T275" s="95">
        <f>ROUND(Q275*R275*S275,2)</f>
        <v>0</v>
      </c>
      <c r="U275" s="314">
        <f>база!$M$6</f>
        <v>279.0496</v>
      </c>
      <c r="V275" s="272">
        <v>1.2</v>
      </c>
      <c r="W275" s="307">
        <f>SUMIFS(Таблица1[сумма],Таблица1[коэф],"1,2",Таблица1[р/р],"5/24",Таблица1[Ф. И. О.],B275)</f>
        <v>0</v>
      </c>
      <c r="X275" s="313">
        <f>ROUND(U275*V275*W275,2)</f>
        <v>0</v>
      </c>
      <c r="Y275" s="849"/>
      <c r="Z275" s="840"/>
      <c r="AA275" s="843"/>
      <c r="AC275" s="722" t="str">
        <f>IF(SUMIFS(Таблица1[сумма],Таблица1[Ф. И. О.],B275)=Y270,"",B270&amp;"  часы не верны")</f>
        <v/>
      </c>
      <c r="AD275" s="759" t="e">
        <f>INDEX('[2]декабрь 23'!$AI$4:$AI$100,MATCH(C270,'[2]декабрь 23'!$AK$4:$AK$100,0))</f>
        <v>#N/A</v>
      </c>
    </row>
    <row r="276" spans="1:30" ht="19.5" customHeight="1">
      <c r="A276" s="786"/>
      <c r="B276" s="216"/>
      <c r="C276" s="845"/>
      <c r="D276" s="847"/>
      <c r="E276" s="79"/>
      <c r="F276" s="272"/>
      <c r="G276" s="99"/>
      <c r="H276" s="95"/>
      <c r="I276" s="334"/>
      <c r="J276" s="279"/>
      <c r="K276" s="217"/>
      <c r="L276" s="217"/>
      <c r="M276" s="217"/>
      <c r="N276" s="217"/>
      <c r="O276" s="217"/>
      <c r="P276" s="30"/>
      <c r="Q276" s="79">
        <f>IF($D$6&lt;=3,база!$L$4,
IF($D$6=4,база!$L$5,
IF($D$6=5,база!$L$6)))</f>
        <v>231.45480000000001</v>
      </c>
      <c r="R276" s="272">
        <v>1.3</v>
      </c>
      <c r="S276" s="99">
        <f>SUMIFS(Таблица1[сумма],Таблица1[коэф],"1,3",Таблица1[р/р],"3/16",Таблица1[Ф. И. О.],B275)</f>
        <v>0</v>
      </c>
      <c r="T276" s="95">
        <f t="shared" ref="T276:T285" si="180">ROUND(Q276*R276*S276,2)</f>
        <v>0</v>
      </c>
      <c r="U276" s="314">
        <f>IF(D270&lt;=3,база!$M$4,
IF(D270=4,база!$M$5,
IF(D270=5,база!$M$6)))</f>
        <v>225.09719999999999</v>
      </c>
      <c r="V276" s="272">
        <v>1.3</v>
      </c>
      <c r="W276" s="307">
        <f>SUMIFS(Таблица1[сумма],Таблица1[коэф],"1,3",Таблица1[р/р],"3/24",Таблица1[Ф. И. О.],B275)</f>
        <v>0</v>
      </c>
      <c r="X276" s="313">
        <f t="shared" ref="X276:X277" si="181">ROUND(U276*V276*W276,2)</f>
        <v>0</v>
      </c>
      <c r="Y276" s="849"/>
      <c r="Z276" s="840"/>
      <c r="AA276" s="843"/>
    </row>
    <row r="277" spans="1:30" ht="19.5" customHeight="1">
      <c r="A277" s="786"/>
      <c r="B277" s="216"/>
      <c r="C277" s="845"/>
      <c r="D277" s="847"/>
      <c r="E277" s="79"/>
      <c r="F277" s="272"/>
      <c r="G277" s="99"/>
      <c r="H277" s="95"/>
      <c r="I277" s="334"/>
      <c r="J277" s="279"/>
      <c r="K277" s="217"/>
      <c r="L277" s="217"/>
      <c r="M277" s="217"/>
      <c r="N277" s="217"/>
      <c r="O277" s="217"/>
      <c r="P277" s="30"/>
      <c r="Q277" s="79">
        <f>база!$L$5</f>
        <v>231.45480000000001</v>
      </c>
      <c r="R277" s="272">
        <v>1.3</v>
      </c>
      <c r="S277" s="99">
        <f>SUMIFS(Таблица1[сумма],Таблица1[коэф],"1,3",Таблица1[р/р],"4/16",Таблица1[Ф. И. О.],B275)</f>
        <v>0</v>
      </c>
      <c r="T277" s="95">
        <f t="shared" si="180"/>
        <v>0</v>
      </c>
      <c r="U277" s="314">
        <f>база!$M$5</f>
        <v>247.41720000000001</v>
      </c>
      <c r="V277" s="272">
        <v>1.3</v>
      </c>
      <c r="W277" s="307">
        <f>SUMIFS(Таблица1[сумма],Таблица1[коэф],"1,3",Таблица1[р/р],"4/24",Таблица1[Ф. И. О.],B275)</f>
        <v>0</v>
      </c>
      <c r="X277" s="313">
        <f t="shared" si="181"/>
        <v>0</v>
      </c>
      <c r="Y277" s="849"/>
      <c r="Z277" s="840"/>
      <c r="AA277" s="843"/>
    </row>
    <row r="278" spans="1:30" ht="19.5" customHeight="1">
      <c r="A278" s="786"/>
      <c r="B278" s="216"/>
      <c r="C278" s="845"/>
      <c r="D278" s="847"/>
      <c r="E278" s="79"/>
      <c r="F278" s="272"/>
      <c r="G278" s="99"/>
      <c r="H278" s="95"/>
      <c r="I278" s="334"/>
      <c r="J278" s="279"/>
      <c r="K278" s="217"/>
      <c r="L278" s="217"/>
      <c r="M278" s="217"/>
      <c r="N278" s="217"/>
      <c r="O278" s="217"/>
      <c r="P278" s="30"/>
      <c r="Q278" s="79">
        <f>IF(D270&lt;=3,база!$L$4,
IF(D270=4,база!$L$5,
IF(D270=5,база!$L$6)))</f>
        <v>210.57480000000001</v>
      </c>
      <c r="R278" s="272">
        <v>1.4</v>
      </c>
      <c r="S278" s="99">
        <f>SUMIFS(Таблица1[сумма],Таблица1[коэф],"1,4",Таблица1[р/р],"3/16",Таблица1[Ф. И. О.],B275)</f>
        <v>0</v>
      </c>
      <c r="T278" s="95">
        <f t="shared" si="180"/>
        <v>0</v>
      </c>
      <c r="U278" s="314">
        <f>IF(D270&lt;=3,база!$M$4,
IF(D270=4,база!$M$5,
IF(D270=5,база!$M$6)))</f>
        <v>225.09719999999999</v>
      </c>
      <c r="V278" s="272">
        <v>1.4</v>
      </c>
      <c r="W278" s="307">
        <f>SUMIFS(Таблица1[сумма],Таблица1[коэф],"1,4",Таблица1[р/р],"3/24",Таблица1[Ф. И. О.],B275)</f>
        <v>0</v>
      </c>
      <c r="X278" s="313">
        <f>ROUND(U278*V278*W278,2)</f>
        <v>0</v>
      </c>
      <c r="Y278" s="849"/>
      <c r="Z278" s="840"/>
      <c r="AA278" s="843"/>
    </row>
    <row r="279" spans="1:30" ht="19.5" customHeight="1">
      <c r="A279" s="786"/>
      <c r="B279" s="216"/>
      <c r="C279" s="845"/>
      <c r="D279" s="847"/>
      <c r="E279" s="79"/>
      <c r="F279" s="272"/>
      <c r="G279" s="99"/>
      <c r="H279" s="95"/>
      <c r="I279" s="334"/>
      <c r="J279" s="279"/>
      <c r="K279" s="217"/>
      <c r="L279" s="217"/>
      <c r="M279" s="217"/>
      <c r="N279" s="217"/>
      <c r="O279" s="217"/>
      <c r="P279" s="30"/>
      <c r="Q279" s="79">
        <f>база!$L$5</f>
        <v>231.45480000000001</v>
      </c>
      <c r="R279" s="272">
        <v>1.4</v>
      </c>
      <c r="S279" s="99">
        <f>SUMIFS(Таблица1[сумма],Таблица1[коэф],"1,4",Таблица1[р/р],"4/16",Таблица1[Ф. И. О.],B275)</f>
        <v>0</v>
      </c>
      <c r="T279" s="95">
        <f t="shared" si="180"/>
        <v>0</v>
      </c>
      <c r="U279" s="314">
        <f>база!$M$5</f>
        <v>247.41720000000001</v>
      </c>
      <c r="V279" s="272">
        <v>1.4</v>
      </c>
      <c r="W279" s="307">
        <f>SUMIFS(Таблица1[сумма],Таблица1[коэф],"1,4",Таблица1[р/р],"4/24",Таблица1[Ф. И. О.],B275)</f>
        <v>0</v>
      </c>
      <c r="X279" s="313">
        <f>ROUND(U279*V279*W279,2)</f>
        <v>0</v>
      </c>
      <c r="Y279" s="849"/>
      <c r="Z279" s="840"/>
      <c r="AA279" s="843"/>
    </row>
    <row r="280" spans="1:30" ht="19.5" customHeight="1" thickBot="1">
      <c r="A280" s="787"/>
      <c r="B280" s="203"/>
      <c r="C280" s="846"/>
      <c r="D280" s="848"/>
      <c r="E280" s="102"/>
      <c r="F280" s="274"/>
      <c r="G280" s="98"/>
      <c r="H280" s="91"/>
      <c r="I280" s="348"/>
      <c r="J280" s="280"/>
      <c r="K280" s="289"/>
      <c r="L280" s="289"/>
      <c r="M280" s="289"/>
      <c r="N280" s="289"/>
      <c r="O280" s="289"/>
      <c r="P280" s="315"/>
      <c r="Q280" s="102">
        <f>база!$L$6</f>
        <v>261.04640000000001</v>
      </c>
      <c r="R280" s="274">
        <v>1.4</v>
      </c>
      <c r="S280" s="98">
        <f>SUMIFS(Таблица1[сумма],Таблица1[коэф],"1,4",Таблица1[р/р],"5/16",Таблица1[Ф. И. О.],B275)</f>
        <v>0</v>
      </c>
      <c r="T280" s="91">
        <f t="shared" si="180"/>
        <v>0</v>
      </c>
      <c r="U280" s="347">
        <f>база!$M$6</f>
        <v>279.0496</v>
      </c>
      <c r="V280" s="274">
        <v>1.4</v>
      </c>
      <c r="W280" s="312">
        <f>SUMIFS(Таблица1[сумма],Таблица1[коэф],"1,4",Таблица1[р/р],"5/24",Таблица1[Ф. И. О.],B275)</f>
        <v>0</v>
      </c>
      <c r="X280" s="343">
        <f>ROUND(U280*V280*W280,2)</f>
        <v>0</v>
      </c>
      <c r="Y280" s="850"/>
      <c r="Z280" s="841"/>
      <c r="AA280" s="844"/>
    </row>
    <row r="281" spans="1:30" ht="18.75" customHeight="1">
      <c r="A281" s="785">
        <v>26</v>
      </c>
      <c r="B281" s="236"/>
      <c r="C281" s="851">
        <f>INDEX(база!$E$2:$E$81, MATCH(B286,база!$B$2:$B$50,0))</f>
        <v>15608</v>
      </c>
      <c r="D281" s="852">
        <f>INDEX(база!$D$2:$D$89, MATCH(B286,база!$B$2:$B$50,0))</f>
        <v>3</v>
      </c>
      <c r="E281" s="73">
        <f>IF(D281&lt;=3,база!$I$4,
IF(D281=4,база!$I$5,
IF(D281=5,база!$I$6)))</f>
        <v>188.7912</v>
      </c>
      <c r="F281" s="270">
        <v>1</v>
      </c>
      <c r="G281" s="96">
        <f>SUMIFS(Таблица1[сумма],Таблица1[коэф],"1",Таблица1[р/р],"2/4",Таблица1[Ф. И. О.],B286)</f>
        <v>0</v>
      </c>
      <c r="H281" s="88">
        <f>ROUND(E281*F281*G281,2)</f>
        <v>0</v>
      </c>
      <c r="I281" s="338">
        <f>IF(D281&lt;=3,база!$J$4,
IF(D281=4,база!$J$5,
IF(D281=5,база!$J$6)))</f>
        <v>196.05240000000001</v>
      </c>
      <c r="J281" s="277">
        <v>1</v>
      </c>
      <c r="K281" s="288">
        <f>SUMIFS(Таблица1[сумма],Таблица1[коэф],"1",Таблица1[р/р],"2/8",Таблица1[Ф. И. О.],B286)</f>
        <v>0</v>
      </c>
      <c r="L281" s="288">
        <f>ROUND(I281*J281*K281,2)</f>
        <v>0</v>
      </c>
      <c r="M281" s="288"/>
      <c r="N281" s="288">
        <v>1</v>
      </c>
      <c r="O281" s="288">
        <f>SUMIFS(Data_Tech!$AM$3:$AM$67,Data_Tech!$E$3:$E$67,"1",Data_Tech!$G$3:$G$67,"3/12",Data_Tech!$F$3:$F$67,B286)</f>
        <v>0</v>
      </c>
      <c r="P281" s="281">
        <f>ROUND(M281*N281*O281,2)</f>
        <v>0</v>
      </c>
      <c r="Q281" s="73">
        <f>IF(D281&lt;=3,база!$L$4,
IF(D281=4,база!$L$5,
IF(D281=5,база!$L$6)))</f>
        <v>210.57480000000001</v>
      </c>
      <c r="R281" s="270">
        <v>1</v>
      </c>
      <c r="S281" s="96">
        <f>SUMIFS(Таблица1[сумма],Таблица1[коэф],"1",Таблица1[р/р],"3/16",Таблица1[Ф. И. О.],B286)</f>
        <v>0</v>
      </c>
      <c r="T281" s="88">
        <f t="shared" si="180"/>
        <v>0</v>
      </c>
      <c r="U281" s="339">
        <f>IF(D281&lt;=3,база!$M$4,
IF(D281=4,база!$M$5,
IF(D281=5,база!$M$6)))</f>
        <v>225.09719999999999</v>
      </c>
      <c r="V281" s="270">
        <v>1</v>
      </c>
      <c r="W281" s="340">
        <f>SUMIFS(Таблица1[сумма],Таблица1[коэф],"1",Таблица1[р/р],"3/24",Таблица1[Ф. И. О.],B286)</f>
        <v>0</v>
      </c>
      <c r="X281" s="342">
        <f>ROUND(U281*V281*W281,2)</f>
        <v>0</v>
      </c>
      <c r="Y281" s="849">
        <f t="shared" ref="Y281" si="182">SUM(G281:G291,K281:K291,O281:O291,S281:S291,W281:W291)</f>
        <v>0</v>
      </c>
      <c r="Z281" s="840">
        <f t="shared" ref="Z281" si="183">IFERROR(SUM(H281:H291,L281:L291,T281:T291,X281:X291),"")</f>
        <v>0</v>
      </c>
      <c r="AA281" s="843"/>
    </row>
    <row r="282" spans="1:30" ht="18.75" customHeight="1">
      <c r="A282" s="786"/>
      <c r="B282" s="216"/>
      <c r="C282" s="845"/>
      <c r="D282" s="847"/>
      <c r="E282" s="79">
        <f>IF(D281&lt;=3,база!$I$4,
IF(D281=4,база!$I$5,
IF(D281=5,база!$I$6)))</f>
        <v>188.7912</v>
      </c>
      <c r="F282" s="272">
        <v>1</v>
      </c>
      <c r="G282" s="99">
        <f>SUMIFS(Таблица1[сумма],Таблица1[коэф],"1",Таблица1[р/р],"3/4",Таблица1[Ф. И. О.],B286)</f>
        <v>0</v>
      </c>
      <c r="H282" s="95">
        <f>ROUND(E282*F282*G282,2)</f>
        <v>0</v>
      </c>
      <c r="I282" s="334">
        <f>IF(D281&lt;=3,база!$J$4,
IF(D281=4,база!$J$5,
IF(D281=5,база!$J$6)))</f>
        <v>196.05240000000001</v>
      </c>
      <c r="J282" s="279">
        <v>1</v>
      </c>
      <c r="K282" s="217">
        <f>SUMIFS(Таблица1[сумма],Таблица1[коэф],"1",Таблица1[р/р],"3/8",Таблица1[Ф. И. О.],B286)</f>
        <v>0</v>
      </c>
      <c r="L282" s="217">
        <f>ROUND(I282*J282*K282,2)</f>
        <v>0</v>
      </c>
      <c r="M282" s="217"/>
      <c r="N282" s="217">
        <v>1</v>
      </c>
      <c r="O282" s="217">
        <f>SUMIFS(Data_Tech!$AM$3:$AM$67,Data_Tech!$E$3:$E$67,"1",Data_Tech!$G$3:$G$67,"4/12",Data_Tech!$F$3:$F$67,B286)</f>
        <v>0</v>
      </c>
      <c r="P282" s="30">
        <f>ROUND(M282*O282,2)</f>
        <v>0</v>
      </c>
      <c r="Q282" s="79">
        <f>база!$L$5</f>
        <v>231.45480000000001</v>
      </c>
      <c r="R282" s="272">
        <v>1</v>
      </c>
      <c r="S282" s="99">
        <f>SUMIFS(Таблица1[сумма],Таблица1[коэф],"1",Таблица1[р/р],"4/16",Таблица1[Ф. И. О.],B286)</f>
        <v>0</v>
      </c>
      <c r="T282" s="95">
        <f t="shared" si="180"/>
        <v>0</v>
      </c>
      <c r="U282" s="314">
        <f>база!$M$5</f>
        <v>247.41720000000001</v>
      </c>
      <c r="V282" s="272">
        <v>1</v>
      </c>
      <c r="W282" s="307">
        <f>SUMIFS(Таблица1[сумма],Таблица1[коэф],"1",Таблица1[р/р],"4/24",Таблица1[Ф. И. О.],B286)</f>
        <v>0</v>
      </c>
      <c r="X282" s="313">
        <f t="shared" ref="X282" si="184">ROUND(U282*V282*W282,2)</f>
        <v>0</v>
      </c>
      <c r="Y282" s="849"/>
      <c r="Z282" s="840"/>
      <c r="AA282" s="843"/>
    </row>
    <row r="283" spans="1:30" ht="19.5" customHeight="1">
      <c r="A283" s="786"/>
      <c r="B283" s="216"/>
      <c r="C283" s="845"/>
      <c r="D283" s="847"/>
      <c r="E283" s="79"/>
      <c r="F283" s="272"/>
      <c r="G283" s="99"/>
      <c r="H283" s="95"/>
      <c r="I283" s="334"/>
      <c r="J283" s="279"/>
      <c r="K283" s="217"/>
      <c r="L283" s="217"/>
      <c r="M283" s="217"/>
      <c r="N283" s="217"/>
      <c r="O283" s="217"/>
      <c r="P283" s="30"/>
      <c r="Q283" s="79">
        <f>база!$L$6</f>
        <v>261.04640000000001</v>
      </c>
      <c r="R283" s="272">
        <v>1</v>
      </c>
      <c r="S283" s="99">
        <f>SUMIFS(Таблица1[сумма],Таблица1[коэф],"1",Таблица1[р/р],"5/16",Таблица1[Ф. И. О.],B286)</f>
        <v>0</v>
      </c>
      <c r="T283" s="95">
        <f t="shared" si="180"/>
        <v>0</v>
      </c>
      <c r="U283" s="314">
        <f>база!$M$6</f>
        <v>279.0496</v>
      </c>
      <c r="V283" s="272">
        <v>1</v>
      </c>
      <c r="W283" s="307">
        <f>SUMIFS(Таблица1[сумма],Таблица1[коэф],"1",Таблица1[р/р],"5/24",Таблица1[Ф. И. О.],B286)</f>
        <v>0</v>
      </c>
      <c r="X283" s="313">
        <f>ROUND(U283*V283*W283,2)</f>
        <v>0</v>
      </c>
      <c r="Y283" s="849"/>
      <c r="Z283" s="840"/>
      <c r="AA283" s="843"/>
    </row>
    <row r="284" spans="1:30" ht="19.5" customHeight="1">
      <c r="A284" s="786"/>
      <c r="B284" s="216"/>
      <c r="C284" s="845"/>
      <c r="D284" s="847"/>
      <c r="E284" s="79"/>
      <c r="F284" s="272"/>
      <c r="G284" s="99"/>
      <c r="H284" s="95"/>
      <c r="I284" s="334">
        <f>база!$J$5</f>
        <v>215.4924</v>
      </c>
      <c r="J284" s="279">
        <v>1.5</v>
      </c>
      <c r="K284" s="217">
        <f>SUMIFS(Таблица1[сумма],Таблица1[коэф],"1,5",Таблица1[р/р],"4/8",Таблица1[Ф. И. О.],B286)</f>
        <v>0</v>
      </c>
      <c r="L284" s="217">
        <f>ROUND(I284*J284*K284,2)</f>
        <v>0</v>
      </c>
      <c r="M284" s="217"/>
      <c r="N284" s="217"/>
      <c r="O284" s="217"/>
      <c r="P284" s="30"/>
      <c r="Q284" s="79">
        <f>IF(D281&lt;=3,база!$L$4,
IF(D281=4,база!$L$5,
IF(D281=5,база!$L$6)))</f>
        <v>210.57480000000001</v>
      </c>
      <c r="R284" s="272">
        <v>1.2</v>
      </c>
      <c r="S284" s="99">
        <f>SUMIFS(Таблица1[сумма],Таблица1[коэф],"1,2",Таблица1[р/р],"3/16",Таблица1[Ф. И. О.],B286)</f>
        <v>0</v>
      </c>
      <c r="T284" s="95">
        <f t="shared" si="180"/>
        <v>0</v>
      </c>
      <c r="U284" s="314">
        <f>IF(D281&lt;=3,база!$M$4,
IF(D281=4,база!$M$5,
IF(D281=5,база!$M$6)))</f>
        <v>225.09719999999999</v>
      </c>
      <c r="V284" s="272">
        <v>1.2</v>
      </c>
      <c r="W284" s="307">
        <f>SUMIFS(Таблица1[сумма],Таблица1[коэф],"1,2",Таблица1[р/р],"3/24",Таблица1[Ф. И. О.],B286)</f>
        <v>0</v>
      </c>
      <c r="X284" s="313">
        <f t="shared" ref="X284:X285" si="185">ROUND(U284*V284*W284,2)</f>
        <v>0</v>
      </c>
      <c r="Y284" s="849"/>
      <c r="Z284" s="840"/>
      <c r="AA284" s="843"/>
    </row>
    <row r="285" spans="1:30" ht="19.5" customHeight="1">
      <c r="A285" s="786"/>
      <c r="B285" s="216"/>
      <c r="C285" s="845"/>
      <c r="D285" s="847"/>
      <c r="E285" s="79"/>
      <c r="F285" s="272"/>
      <c r="G285" s="99"/>
      <c r="H285" s="95"/>
      <c r="I285" s="334">
        <f>база!$J$6</f>
        <v>243.04319999999998</v>
      </c>
      <c r="J285" s="279">
        <v>1.5</v>
      </c>
      <c r="K285" s="217">
        <f>SUMIFS(Таблица1[сумма],Таблица1[коэф],"1,5",Таблица1[р/р],"5/8",Таблица1[Ф. И. О.],B286)</f>
        <v>0</v>
      </c>
      <c r="L285" s="217">
        <f>ROUND(I285*J285*K285,2)</f>
        <v>0</v>
      </c>
      <c r="M285" s="217"/>
      <c r="N285" s="217"/>
      <c r="O285" s="217"/>
      <c r="P285" s="30"/>
      <c r="Q285" s="79">
        <f>база!$L$5</f>
        <v>231.45480000000001</v>
      </c>
      <c r="R285" s="272">
        <v>1.2</v>
      </c>
      <c r="S285" s="99">
        <f>SUMIFS(Таблица1[сумма],Таблица1[коэф],"1,2",Таблица1[р/р],"4/16",Таблица1[Ф. И. О.],B286)</f>
        <v>0</v>
      </c>
      <c r="T285" s="95">
        <f t="shared" si="180"/>
        <v>0</v>
      </c>
      <c r="U285" s="314">
        <f>база!$M$5</f>
        <v>247.41720000000001</v>
      </c>
      <c r="V285" s="272">
        <v>1.2</v>
      </c>
      <c r="W285" s="307">
        <f>SUMIFS(Таблица1[сумма],Таблица1[коэф],"1,2",Таблица1[р/р],"4/24",Таблица1[Ф. И. О.],B286)</f>
        <v>0</v>
      </c>
      <c r="X285" s="313">
        <f t="shared" si="185"/>
        <v>0</v>
      </c>
      <c r="Y285" s="849"/>
      <c r="Z285" s="840"/>
      <c r="AA285" s="843"/>
      <c r="AC285" s="722" t="str">
        <f>IF(SUMIFS(Таблица1[Столбец2],Таблица1[Ф. И. О.],B286)-Z281=0,"",SUMIFS(Таблица1[Столбец2],Таблица1[Ф. И. О.],B286)-Z281)</f>
        <v/>
      </c>
    </row>
    <row r="286" spans="1:30" ht="19.5" customHeight="1">
      <c r="A286" s="786"/>
      <c r="B286" s="216" t="str">
        <f>база!B27</f>
        <v>Журавлева Мария Валентиновна</v>
      </c>
      <c r="C286" s="845"/>
      <c r="D286" s="847"/>
      <c r="E286" s="79"/>
      <c r="F286" s="272"/>
      <c r="G286" s="99"/>
      <c r="H286" s="95"/>
      <c r="I286" s="334"/>
      <c r="J286" s="279"/>
      <c r="K286" s="217"/>
      <c r="L286" s="217"/>
      <c r="M286" s="217"/>
      <c r="N286" s="217"/>
      <c r="O286" s="217"/>
      <c r="P286" s="30"/>
      <c r="Q286" s="79">
        <f>база!$L$6</f>
        <v>261.04640000000001</v>
      </c>
      <c r="R286" s="272">
        <v>1.2</v>
      </c>
      <c r="S286" s="99">
        <f>SUMIFS(Таблица1[сумма],Таблица1[коэф],"1,2",Таблица1[р/р],"5/16",Таблица1[Ф. И. О.],B286)</f>
        <v>0</v>
      </c>
      <c r="T286" s="95">
        <f>ROUND(Q286*R286*S286,2)</f>
        <v>0</v>
      </c>
      <c r="U286" s="314">
        <f>база!$M$6</f>
        <v>279.0496</v>
      </c>
      <c r="V286" s="272">
        <v>1.2</v>
      </c>
      <c r="W286" s="307">
        <f>SUMIFS(Таблица1[сумма],Таблица1[коэф],"1,2",Таблица1[р/р],"5/24",Таблица1[Ф. И. О.],B286)</f>
        <v>0</v>
      </c>
      <c r="X286" s="313">
        <f>ROUND(U286*V286*W286,2)</f>
        <v>0</v>
      </c>
      <c r="Y286" s="849"/>
      <c r="Z286" s="840"/>
      <c r="AA286" s="843"/>
      <c r="AC286" s="722" t="str">
        <f>IF(SUMIFS(Таблица1[сумма],Таблица1[Ф. И. О.],B286)=Y281,"",B281&amp;"  часы не верны")</f>
        <v/>
      </c>
      <c r="AD286" s="759">
        <f>INDEX('[2]декабрь 23'!$AI$4:$AI$100,MATCH(C281,'[2]декабрь 23'!$AK$4:$AK$100,0))</f>
        <v>147</v>
      </c>
    </row>
    <row r="287" spans="1:30" ht="19.5" customHeight="1">
      <c r="A287" s="786"/>
      <c r="B287" s="216"/>
      <c r="C287" s="845"/>
      <c r="D287" s="847"/>
      <c r="E287" s="79"/>
      <c r="F287" s="272"/>
      <c r="G287" s="99"/>
      <c r="H287" s="95"/>
      <c r="I287" s="334"/>
      <c r="J287" s="279"/>
      <c r="K287" s="217"/>
      <c r="L287" s="217"/>
      <c r="M287" s="217"/>
      <c r="N287" s="217"/>
      <c r="O287" s="217"/>
      <c r="P287" s="30"/>
      <c r="Q287" s="79">
        <f>IF($D$6&lt;=3,база!$L$4,
IF($D$6=4,база!$L$5,
IF($D$6=5,база!$L$6)))</f>
        <v>231.45480000000001</v>
      </c>
      <c r="R287" s="272">
        <v>1.3</v>
      </c>
      <c r="S287" s="99">
        <f>SUMIFS(Таблица1[сумма],Таблица1[коэф],"1,3",Таблица1[р/р],"3/16",Таблица1[Ф. И. О.],B286)</f>
        <v>0</v>
      </c>
      <c r="T287" s="95">
        <f t="shared" ref="T287:T296" si="186">ROUND(Q287*R287*S287,2)</f>
        <v>0</v>
      </c>
      <c r="U287" s="314">
        <f>IF(D281&lt;=3,база!$M$4,
IF(D281=4,база!$M$5,
IF(D281=5,база!$M$6)))</f>
        <v>225.09719999999999</v>
      </c>
      <c r="V287" s="272">
        <v>1.3</v>
      </c>
      <c r="W287" s="307">
        <f>SUMIFS(Таблица1[сумма],Таблица1[коэф],"1,3",Таблица1[р/р],"3/24",Таблица1[Ф. И. О.],B286)</f>
        <v>0</v>
      </c>
      <c r="X287" s="313">
        <f t="shared" ref="X287:X288" si="187">ROUND(U287*V287*W287,2)</f>
        <v>0</v>
      </c>
      <c r="Y287" s="849"/>
      <c r="Z287" s="840"/>
      <c r="AA287" s="843"/>
    </row>
    <row r="288" spans="1:30" ht="19.5" customHeight="1">
      <c r="A288" s="786"/>
      <c r="B288" s="216"/>
      <c r="C288" s="845"/>
      <c r="D288" s="847"/>
      <c r="E288" s="79"/>
      <c r="F288" s="272"/>
      <c r="G288" s="99"/>
      <c r="H288" s="95"/>
      <c r="I288" s="334"/>
      <c r="J288" s="279"/>
      <c r="K288" s="217"/>
      <c r="L288" s="217"/>
      <c r="M288" s="217"/>
      <c r="N288" s="217"/>
      <c r="O288" s="217"/>
      <c r="P288" s="30"/>
      <c r="Q288" s="79">
        <f>база!$L$5</f>
        <v>231.45480000000001</v>
      </c>
      <c r="R288" s="272">
        <v>1.3</v>
      </c>
      <c r="S288" s="99">
        <f>SUMIFS(Таблица1[сумма],Таблица1[коэф],"1,3",Таблица1[р/р],"4/16",Таблица1[Ф. И. О.],B286)</f>
        <v>0</v>
      </c>
      <c r="T288" s="95">
        <f t="shared" si="186"/>
        <v>0</v>
      </c>
      <c r="U288" s="314">
        <f>база!$M$5</f>
        <v>247.41720000000001</v>
      </c>
      <c r="V288" s="272">
        <v>1.3</v>
      </c>
      <c r="W288" s="307">
        <f>SUMIFS(Таблица1[сумма],Таблица1[коэф],"1,3",Таблица1[р/р],"4/24",Таблица1[Ф. И. О.],B286)</f>
        <v>0</v>
      </c>
      <c r="X288" s="313">
        <f t="shared" si="187"/>
        <v>0</v>
      </c>
      <c r="Y288" s="849"/>
      <c r="Z288" s="840"/>
      <c r="AA288" s="843"/>
    </row>
    <row r="289" spans="1:30" ht="19.5" customHeight="1">
      <c r="A289" s="786"/>
      <c r="B289" s="216"/>
      <c r="C289" s="845"/>
      <c r="D289" s="847"/>
      <c r="E289" s="79"/>
      <c r="F289" s="272"/>
      <c r="G289" s="99"/>
      <c r="H289" s="95"/>
      <c r="I289" s="334"/>
      <c r="J289" s="279"/>
      <c r="K289" s="217"/>
      <c r="L289" s="217"/>
      <c r="M289" s="217"/>
      <c r="N289" s="217"/>
      <c r="O289" s="217"/>
      <c r="P289" s="30"/>
      <c r="Q289" s="79">
        <f>IF(D281&lt;=3,база!$L$4,
IF(D281=4,база!$L$5,
IF(D281=5,база!$L$6)))</f>
        <v>210.57480000000001</v>
      </c>
      <c r="R289" s="272">
        <v>1.4</v>
      </c>
      <c r="S289" s="99">
        <f>SUMIFS(Таблица1[сумма],Таблица1[коэф],"1,4",Таблица1[р/р],"3/16",Таблица1[Ф. И. О.],B286)</f>
        <v>0</v>
      </c>
      <c r="T289" s="95">
        <f t="shared" si="186"/>
        <v>0</v>
      </c>
      <c r="U289" s="314">
        <f>IF(D281&lt;=3,база!$M$4,
IF(D281=4,база!$M$5,
IF(D281=5,база!$M$6)))</f>
        <v>225.09719999999999</v>
      </c>
      <c r="V289" s="272">
        <v>1.4</v>
      </c>
      <c r="W289" s="307">
        <f>SUMIFS(Таблица1[сумма],Таблица1[коэф],"1,4",Таблица1[р/р],"3/24",Таблица1[Ф. И. О.],B286)</f>
        <v>0</v>
      </c>
      <c r="X289" s="313">
        <f>ROUND(U289*V289*W289,2)</f>
        <v>0</v>
      </c>
      <c r="Y289" s="849"/>
      <c r="Z289" s="840"/>
      <c r="AA289" s="843"/>
    </row>
    <row r="290" spans="1:30" ht="19.5" customHeight="1">
      <c r="A290" s="786"/>
      <c r="B290" s="216"/>
      <c r="C290" s="845"/>
      <c r="D290" s="847"/>
      <c r="E290" s="79"/>
      <c r="F290" s="272"/>
      <c r="G290" s="99"/>
      <c r="H290" s="95"/>
      <c r="I290" s="334"/>
      <c r="J290" s="279"/>
      <c r="K290" s="217"/>
      <c r="L290" s="217"/>
      <c r="M290" s="217"/>
      <c r="N290" s="217"/>
      <c r="O290" s="217"/>
      <c r="P290" s="30"/>
      <c r="Q290" s="79">
        <f>база!$L$5</f>
        <v>231.45480000000001</v>
      </c>
      <c r="R290" s="272">
        <v>1.4</v>
      </c>
      <c r="S290" s="99">
        <f>SUMIFS(Таблица1[сумма],Таблица1[коэф],"1,4",Таблица1[р/р],"4/16",Таблица1[Ф. И. О.],B286)</f>
        <v>0</v>
      </c>
      <c r="T290" s="95">
        <f t="shared" si="186"/>
        <v>0</v>
      </c>
      <c r="U290" s="314">
        <f>база!$M$5</f>
        <v>247.41720000000001</v>
      </c>
      <c r="V290" s="272">
        <v>1.4</v>
      </c>
      <c r="W290" s="307">
        <f>SUMIFS(Таблица1[сумма],Таблица1[коэф],"1,4",Таблица1[р/р],"4/24",Таблица1[Ф. И. О.],B286)</f>
        <v>0</v>
      </c>
      <c r="X290" s="313">
        <f>ROUND(U290*V290*W290,2)</f>
        <v>0</v>
      </c>
      <c r="Y290" s="849"/>
      <c r="Z290" s="840"/>
      <c r="AA290" s="843"/>
    </row>
    <row r="291" spans="1:30" ht="19.5" customHeight="1" thickBot="1">
      <c r="A291" s="787"/>
      <c r="B291" s="203"/>
      <c r="C291" s="846"/>
      <c r="D291" s="848"/>
      <c r="E291" s="102"/>
      <c r="F291" s="274"/>
      <c r="G291" s="98"/>
      <c r="H291" s="91"/>
      <c r="I291" s="348"/>
      <c r="J291" s="280"/>
      <c r="K291" s="289"/>
      <c r="L291" s="289"/>
      <c r="M291" s="289"/>
      <c r="N291" s="289"/>
      <c r="O291" s="289"/>
      <c r="P291" s="315"/>
      <c r="Q291" s="102">
        <f>база!$L$6</f>
        <v>261.04640000000001</v>
      </c>
      <c r="R291" s="274">
        <v>1.4</v>
      </c>
      <c r="S291" s="98">
        <f>SUMIFS(Таблица1[сумма],Таблица1[коэф],"1,4",Таблица1[р/р],"5/16",Таблица1[Ф. И. О.],B286)</f>
        <v>0</v>
      </c>
      <c r="T291" s="91">
        <f t="shared" si="186"/>
        <v>0</v>
      </c>
      <c r="U291" s="347">
        <f>база!$M$6</f>
        <v>279.0496</v>
      </c>
      <c r="V291" s="274">
        <v>1.4</v>
      </c>
      <c r="W291" s="312">
        <f>SUMIFS(Таблица1[сумма],Таблица1[коэф],"1,4",Таблица1[р/р],"5/24",Таблица1[Ф. И. О.],B286)</f>
        <v>0</v>
      </c>
      <c r="X291" s="343">
        <f>ROUND(U291*V291*W291,2)</f>
        <v>0</v>
      </c>
      <c r="Y291" s="850"/>
      <c r="Z291" s="841"/>
      <c r="AA291" s="844"/>
    </row>
    <row r="292" spans="1:30" ht="18.75" customHeight="1">
      <c r="A292" s="785">
        <v>27</v>
      </c>
      <c r="B292" s="236"/>
      <c r="C292" s="851">
        <f>INDEX(база!$E$2:$E$81, MATCH(B297,база!$B$2:$B$50,0))</f>
        <v>17129</v>
      </c>
      <c r="D292" s="852">
        <f>INDEX(база!$D$2:$D$89, MATCH(B297,база!$B$2:$B$50,0))</f>
        <v>3</v>
      </c>
      <c r="E292" s="73">
        <f>IF(D292&lt;=3,база!$I$4,
IF(D292=4,база!$I$5,
IF(D292=5,база!$I$6)))</f>
        <v>188.7912</v>
      </c>
      <c r="F292" s="270">
        <v>1</v>
      </c>
      <c r="G292" s="96">
        <f>SUMIFS(Таблица1[сумма],Таблица1[коэф],"1",Таблица1[р/р],"2/4",Таблица1[Ф. И. О.],B297)</f>
        <v>0</v>
      </c>
      <c r="H292" s="88">
        <f>ROUND(E292*F292*G292,2)</f>
        <v>0</v>
      </c>
      <c r="I292" s="338">
        <f>IF(D292&lt;=3,база!$J$4,
IF(D292=4,база!$J$5,
IF(D292=5,база!$J$6)))</f>
        <v>196.05240000000001</v>
      </c>
      <c r="J292" s="277">
        <v>1</v>
      </c>
      <c r="K292" s="288">
        <f>SUMIFS(Таблица1[сумма],Таблица1[коэф],"1",Таблица1[р/р],"2/8",Таблица1[Ф. И. О.],B297)</f>
        <v>0</v>
      </c>
      <c r="L292" s="288">
        <f>ROUND(I292*J292*K292,2)</f>
        <v>0</v>
      </c>
      <c r="M292" s="288"/>
      <c r="N292" s="288">
        <v>1</v>
      </c>
      <c r="O292" s="288">
        <f>SUMIFS(Data_Tech!$AM$3:$AM$67,Data_Tech!$E$3:$E$67,"1",Data_Tech!$G$3:$G$67,"3/12",Data_Tech!$F$3:$F$67,B297)</f>
        <v>0</v>
      </c>
      <c r="P292" s="281">
        <f>ROUND(M292*N292*O292,2)</f>
        <v>0</v>
      </c>
      <c r="Q292" s="73">
        <f>IF(D292&lt;=3,база!$L$4,
IF(D292=4,база!$L$5,
IF(D292=5,база!$L$6)))</f>
        <v>210.57480000000001</v>
      </c>
      <c r="R292" s="270">
        <v>1</v>
      </c>
      <c r="S292" s="96">
        <f>SUMIFS(Таблица1[сумма],Таблица1[коэф],"1",Таблица1[р/р],"3/16",Таблица1[Ф. И. О.],B297)</f>
        <v>0</v>
      </c>
      <c r="T292" s="88">
        <f t="shared" si="186"/>
        <v>0</v>
      </c>
      <c r="U292" s="339">
        <f>IF(D292&lt;=3,база!$M$4,
IF(D292=4,база!$M$5,
IF(D292=5,база!$M$6)))</f>
        <v>225.09719999999999</v>
      </c>
      <c r="V292" s="270">
        <v>1</v>
      </c>
      <c r="W292" s="340">
        <f>SUMIFS(Таблица1[сумма],Таблица1[коэф],"1",Таблица1[р/р],"3/24",Таблица1[Ф. И. О.],B297)</f>
        <v>0</v>
      </c>
      <c r="X292" s="342">
        <f>ROUND(U292*V292*W292,2)</f>
        <v>0</v>
      </c>
      <c r="Y292" s="849">
        <f t="shared" ref="Y292" si="188">SUM(G292:G302,K292:K302,O292:O302,S292:S302,W292:W302)</f>
        <v>0</v>
      </c>
      <c r="Z292" s="840">
        <f t="shared" ref="Z292" si="189">IFERROR(SUM(H292:H302,L292:L302,T292:T302,X292:X302),"")</f>
        <v>0</v>
      </c>
      <c r="AA292" s="843"/>
    </row>
    <row r="293" spans="1:30" ht="18.75" customHeight="1">
      <c r="A293" s="786"/>
      <c r="B293" s="216"/>
      <c r="C293" s="845"/>
      <c r="D293" s="847"/>
      <c r="E293" s="79">
        <f>IF(D292&lt;=3,база!$I$4,
IF(D292=4,база!$I$5,
IF(D292=5,база!$I$6)))</f>
        <v>188.7912</v>
      </c>
      <c r="F293" s="272">
        <v>1</v>
      </c>
      <c r="G293" s="99">
        <f>SUMIFS(Таблица1[сумма],Таблица1[коэф],"1",Таблица1[р/р],"3/4",Таблица1[Ф. И. О.],B297)</f>
        <v>0</v>
      </c>
      <c r="H293" s="95">
        <f>ROUND(E293*F293*G293,2)</f>
        <v>0</v>
      </c>
      <c r="I293" s="334">
        <f>IF(D292&lt;=3,база!$J$4,
IF(D292=4,база!$J$5,
IF(D292=5,база!$J$6)))</f>
        <v>196.05240000000001</v>
      </c>
      <c r="J293" s="279">
        <v>1</v>
      </c>
      <c r="K293" s="217">
        <f>SUMIFS(Таблица1[сумма],Таблица1[коэф],"1",Таблица1[р/р],"3/8",Таблица1[Ф. И. О.],B297)</f>
        <v>0</v>
      </c>
      <c r="L293" s="217">
        <f>ROUND(I293*J293*K293,2)</f>
        <v>0</v>
      </c>
      <c r="M293" s="217"/>
      <c r="N293" s="217">
        <v>1</v>
      </c>
      <c r="O293" s="217">
        <f>SUMIFS(Data_Tech!$AM$3:$AM$67,Data_Tech!$E$3:$E$67,"1",Data_Tech!$G$3:$G$67,"4/12",Data_Tech!$F$3:$F$67,B297)</f>
        <v>0</v>
      </c>
      <c r="P293" s="30">
        <f>ROUND(M293*O293,2)</f>
        <v>0</v>
      </c>
      <c r="Q293" s="79">
        <f>база!$L$5</f>
        <v>231.45480000000001</v>
      </c>
      <c r="R293" s="272">
        <v>1</v>
      </c>
      <c r="S293" s="99">
        <f>SUMIFS(Таблица1[сумма],Таблица1[коэф],"1",Таблица1[р/р],"4/16",Таблица1[Ф. И. О.],B297)</f>
        <v>0</v>
      </c>
      <c r="T293" s="95">
        <f t="shared" si="186"/>
        <v>0</v>
      </c>
      <c r="U293" s="314">
        <f>база!$M$5</f>
        <v>247.41720000000001</v>
      </c>
      <c r="V293" s="272">
        <v>1</v>
      </c>
      <c r="W293" s="307">
        <f>SUMIFS(Таблица1[сумма],Таблица1[коэф],"1",Таблица1[р/р],"4/24",Таблица1[Ф. И. О.],B297)</f>
        <v>0</v>
      </c>
      <c r="X293" s="313">
        <f t="shared" ref="X293" si="190">ROUND(U293*V293*W293,2)</f>
        <v>0</v>
      </c>
      <c r="Y293" s="849"/>
      <c r="Z293" s="840"/>
      <c r="AA293" s="843"/>
    </row>
    <row r="294" spans="1:30" ht="19.5" customHeight="1">
      <c r="A294" s="786"/>
      <c r="B294" s="216"/>
      <c r="C294" s="845"/>
      <c r="D294" s="847"/>
      <c r="E294" s="79"/>
      <c r="F294" s="272"/>
      <c r="G294" s="99"/>
      <c r="H294" s="95"/>
      <c r="I294" s="334"/>
      <c r="J294" s="279"/>
      <c r="K294" s="217"/>
      <c r="L294" s="217"/>
      <c r="M294" s="217"/>
      <c r="N294" s="217"/>
      <c r="O294" s="217"/>
      <c r="P294" s="30"/>
      <c r="Q294" s="79">
        <f>база!$L$6</f>
        <v>261.04640000000001</v>
      </c>
      <c r="R294" s="272">
        <v>1</v>
      </c>
      <c r="S294" s="99">
        <f>SUMIFS(Таблица1[сумма],Таблица1[коэф],"1",Таблица1[р/р],"5/16",Таблица1[Ф. И. О.],B297)</f>
        <v>0</v>
      </c>
      <c r="T294" s="95">
        <f t="shared" si="186"/>
        <v>0</v>
      </c>
      <c r="U294" s="314">
        <f>база!$M$6</f>
        <v>279.0496</v>
      </c>
      <c r="V294" s="272">
        <v>1</v>
      </c>
      <c r="W294" s="307">
        <f>SUMIFS(Таблица1[сумма],Таблица1[коэф],"1",Таблица1[р/р],"5/24",Таблица1[Ф. И. О.],B297)</f>
        <v>0</v>
      </c>
      <c r="X294" s="313">
        <f>ROUND(U294*V294*W294,2)</f>
        <v>0</v>
      </c>
      <c r="Y294" s="849"/>
      <c r="Z294" s="840"/>
      <c r="AA294" s="843"/>
    </row>
    <row r="295" spans="1:30" ht="19.5" customHeight="1">
      <c r="A295" s="786"/>
      <c r="B295" s="216"/>
      <c r="C295" s="845"/>
      <c r="D295" s="847"/>
      <c r="E295" s="79"/>
      <c r="F295" s="272"/>
      <c r="G295" s="99"/>
      <c r="H295" s="95"/>
      <c r="I295" s="334">
        <f>база!$J$5</f>
        <v>215.4924</v>
      </c>
      <c r="J295" s="279">
        <v>1.5</v>
      </c>
      <c r="K295" s="217">
        <f>SUMIFS(Таблица1[сумма],Таблица1[коэф],"1,5",Таблица1[р/р],"4/8",Таблица1[Ф. И. О.],B297)</f>
        <v>0</v>
      </c>
      <c r="L295" s="217">
        <f>ROUND(I295*J295*K295,2)</f>
        <v>0</v>
      </c>
      <c r="M295" s="217"/>
      <c r="N295" s="217"/>
      <c r="O295" s="217"/>
      <c r="P295" s="30"/>
      <c r="Q295" s="79">
        <f>IF(D292&lt;=3,база!$L$4,
IF(D292=4,база!$L$5,
IF(D292=5,база!$L$6)))</f>
        <v>210.57480000000001</v>
      </c>
      <c r="R295" s="272">
        <v>1.2</v>
      </c>
      <c r="S295" s="99">
        <f>SUMIFS(Таблица1[сумма],Таблица1[коэф],"1,2",Таблица1[р/р],"3/16",Таблица1[Ф. И. О.],B297)</f>
        <v>0</v>
      </c>
      <c r="T295" s="95">
        <f t="shared" si="186"/>
        <v>0</v>
      </c>
      <c r="U295" s="314">
        <f>IF(D292&lt;=3,база!$M$4,
IF(D292=4,база!$M$5,
IF(D292=5,база!$M$6)))</f>
        <v>225.09719999999999</v>
      </c>
      <c r="V295" s="272">
        <v>1.2</v>
      </c>
      <c r="W295" s="307">
        <f>SUMIFS(Таблица1[сумма],Таблица1[коэф],"1,2",Таблица1[р/р],"3/24",Таблица1[Ф. И. О.],B297)</f>
        <v>0</v>
      </c>
      <c r="X295" s="313">
        <f t="shared" ref="X295:X296" si="191">ROUND(U295*V295*W295,2)</f>
        <v>0</v>
      </c>
      <c r="Y295" s="849"/>
      <c r="Z295" s="840"/>
      <c r="AA295" s="843"/>
    </row>
    <row r="296" spans="1:30" ht="19.5" customHeight="1">
      <c r="A296" s="786"/>
      <c r="B296" s="216"/>
      <c r="C296" s="845"/>
      <c r="D296" s="847"/>
      <c r="E296" s="79"/>
      <c r="F296" s="272"/>
      <c r="G296" s="99"/>
      <c r="H296" s="95"/>
      <c r="I296" s="334">
        <f>база!$J$6</f>
        <v>243.04319999999998</v>
      </c>
      <c r="J296" s="279">
        <v>1.5</v>
      </c>
      <c r="K296" s="217">
        <f>SUMIFS(Таблица1[сумма],Таблица1[коэф],"1,5",Таблица1[р/р],"5/8",Таблица1[Ф. И. О.],B297)</f>
        <v>0</v>
      </c>
      <c r="L296" s="217">
        <f>ROUND(I296*J296*K296,2)</f>
        <v>0</v>
      </c>
      <c r="M296" s="217"/>
      <c r="N296" s="217"/>
      <c r="O296" s="217"/>
      <c r="P296" s="30"/>
      <c r="Q296" s="79">
        <f>база!$L$5</f>
        <v>231.45480000000001</v>
      </c>
      <c r="R296" s="272">
        <v>1.2</v>
      </c>
      <c r="S296" s="99">
        <f>SUMIFS(Таблица1[сумма],Таблица1[коэф],"1,2",Таблица1[р/р],"4/16",Таблица1[Ф. И. О.],B297)</f>
        <v>0</v>
      </c>
      <c r="T296" s="95">
        <f t="shared" si="186"/>
        <v>0</v>
      </c>
      <c r="U296" s="314">
        <f>база!$M$5</f>
        <v>247.41720000000001</v>
      </c>
      <c r="V296" s="272">
        <v>1.2</v>
      </c>
      <c r="W296" s="307">
        <f>SUMIFS(Таблица1[сумма],Таблица1[коэф],"1,2",Таблица1[р/р],"4/24",Таблица1[Ф. И. О.],B297)</f>
        <v>0</v>
      </c>
      <c r="X296" s="313">
        <f t="shared" si="191"/>
        <v>0</v>
      </c>
      <c r="Y296" s="849"/>
      <c r="Z296" s="840"/>
      <c r="AA296" s="843"/>
      <c r="AC296" s="722" t="str">
        <f>IF(SUMIFS(Таблица1[Столбец2],Таблица1[Ф. И. О.],B297)-Z292=0,"",SUMIFS(Таблица1[Столбец2],Таблица1[Ф. И. О.],B297)-Z292)</f>
        <v/>
      </c>
    </row>
    <row r="297" spans="1:30" ht="19.5" customHeight="1">
      <c r="A297" s="786"/>
      <c r="B297" s="216" t="str">
        <f>база!B28</f>
        <v>Зинина Екатерина Олеговна</v>
      </c>
      <c r="C297" s="845"/>
      <c r="D297" s="847"/>
      <c r="E297" s="79"/>
      <c r="F297" s="272"/>
      <c r="G297" s="99"/>
      <c r="H297" s="95"/>
      <c r="I297" s="334"/>
      <c r="J297" s="279"/>
      <c r="K297" s="217"/>
      <c r="L297" s="217"/>
      <c r="M297" s="217"/>
      <c r="N297" s="217"/>
      <c r="O297" s="217"/>
      <c r="P297" s="30"/>
      <c r="Q297" s="79">
        <f>база!$L$6</f>
        <v>261.04640000000001</v>
      </c>
      <c r="R297" s="272">
        <v>1.2</v>
      </c>
      <c r="S297" s="99">
        <f>SUMIFS(Таблица1[сумма],Таблица1[коэф],"1,2",Таблица1[р/р],"5/16",Таблица1[Ф. И. О.],B297)</f>
        <v>0</v>
      </c>
      <c r="T297" s="95">
        <f>ROUND(Q297*R297*S297,2)</f>
        <v>0</v>
      </c>
      <c r="U297" s="314">
        <f>база!$M$6</f>
        <v>279.0496</v>
      </c>
      <c r="V297" s="272">
        <v>1.2</v>
      </c>
      <c r="W297" s="307">
        <f>SUMIFS(Таблица1[сумма],Таблица1[коэф],"1,2",Таблица1[р/р],"5/24",Таблица1[Ф. И. О.],B297)</f>
        <v>0</v>
      </c>
      <c r="X297" s="313">
        <f>ROUND(U297*V297*W297,2)</f>
        <v>0</v>
      </c>
      <c r="Y297" s="849"/>
      <c r="Z297" s="840"/>
      <c r="AA297" s="843"/>
      <c r="AC297" s="722" t="str">
        <f>IF(SUMIFS(Таблица1[сумма],Таблица1[Ф. И. О.],B297)=Y292,"",B292&amp;"  часы не верны")</f>
        <v/>
      </c>
      <c r="AD297" s="759">
        <f>INDEX('[2]декабрь 23'!$AI$4:$AI$100,MATCH(C292,'[2]декабрь 23'!$AK$4:$AK$100,0))</f>
        <v>140.80000000000001</v>
      </c>
    </row>
    <row r="298" spans="1:30" ht="19.5" customHeight="1">
      <c r="A298" s="786"/>
      <c r="B298" s="216"/>
      <c r="C298" s="845"/>
      <c r="D298" s="847"/>
      <c r="E298" s="79"/>
      <c r="F298" s="272"/>
      <c r="G298" s="99"/>
      <c r="H298" s="95"/>
      <c r="I298" s="334"/>
      <c r="J298" s="279"/>
      <c r="K298" s="217"/>
      <c r="L298" s="217"/>
      <c r="M298" s="217"/>
      <c r="N298" s="217"/>
      <c r="O298" s="217"/>
      <c r="P298" s="30"/>
      <c r="Q298" s="79">
        <f>IF($D$6&lt;=3,база!$L$4,
IF($D$6=4,база!$L$5,
IF($D$6=5,база!$L$6)))</f>
        <v>231.45480000000001</v>
      </c>
      <c r="R298" s="272">
        <v>1.3</v>
      </c>
      <c r="S298" s="99">
        <f>SUMIFS(Таблица1[сумма],Таблица1[коэф],"1,3",Таблица1[р/р],"3/16",Таблица1[Ф. И. О.],B297)</f>
        <v>0</v>
      </c>
      <c r="T298" s="95">
        <f t="shared" ref="T298:T307" si="192">ROUND(Q298*R298*S298,2)</f>
        <v>0</v>
      </c>
      <c r="U298" s="314">
        <f>IF(D292&lt;=3,база!$M$4,
IF(D292=4,база!$M$5,
IF(D292=5,база!$M$6)))</f>
        <v>225.09719999999999</v>
      </c>
      <c r="V298" s="272">
        <v>1.3</v>
      </c>
      <c r="W298" s="307">
        <f>SUMIFS(Таблица1[сумма],Таблица1[коэф],"1,3",Таблица1[р/р],"3/24",Таблица1[Ф. И. О.],B297)</f>
        <v>0</v>
      </c>
      <c r="X298" s="313">
        <f t="shared" ref="X298:X299" si="193">ROUND(U298*V298*W298,2)</f>
        <v>0</v>
      </c>
      <c r="Y298" s="849"/>
      <c r="Z298" s="840"/>
      <c r="AA298" s="843"/>
    </row>
    <row r="299" spans="1:30" ht="19.5" customHeight="1">
      <c r="A299" s="786"/>
      <c r="B299" s="216"/>
      <c r="C299" s="845"/>
      <c r="D299" s="847"/>
      <c r="E299" s="79"/>
      <c r="F299" s="272"/>
      <c r="G299" s="99"/>
      <c r="H299" s="95"/>
      <c r="I299" s="334"/>
      <c r="J299" s="279"/>
      <c r="K299" s="217"/>
      <c r="L299" s="217"/>
      <c r="M299" s="217"/>
      <c r="N299" s="217"/>
      <c r="O299" s="217"/>
      <c r="P299" s="30"/>
      <c r="Q299" s="79">
        <f>база!$L$5</f>
        <v>231.45480000000001</v>
      </c>
      <c r="R299" s="272">
        <v>1.3</v>
      </c>
      <c r="S299" s="99">
        <f>SUMIFS(Таблица1[сумма],Таблица1[коэф],"1,3",Таблица1[р/р],"4/16",Таблица1[Ф. И. О.],B297)</f>
        <v>0</v>
      </c>
      <c r="T299" s="95">
        <f t="shared" si="192"/>
        <v>0</v>
      </c>
      <c r="U299" s="314">
        <f>база!$M$5</f>
        <v>247.41720000000001</v>
      </c>
      <c r="V299" s="272">
        <v>1.3</v>
      </c>
      <c r="W299" s="307">
        <f>SUMIFS(Таблица1[сумма],Таблица1[коэф],"1,3",Таблица1[р/р],"4/24",Таблица1[Ф. И. О.],B297)</f>
        <v>0</v>
      </c>
      <c r="X299" s="313">
        <f t="shared" si="193"/>
        <v>0</v>
      </c>
      <c r="Y299" s="849"/>
      <c r="Z299" s="840"/>
      <c r="AA299" s="843"/>
    </row>
    <row r="300" spans="1:30" ht="19.5" customHeight="1">
      <c r="A300" s="786"/>
      <c r="B300" s="216"/>
      <c r="C300" s="845"/>
      <c r="D300" s="847"/>
      <c r="E300" s="79"/>
      <c r="F300" s="272"/>
      <c r="G300" s="99"/>
      <c r="H300" s="95"/>
      <c r="I300" s="334"/>
      <c r="J300" s="279"/>
      <c r="K300" s="217"/>
      <c r="L300" s="217"/>
      <c r="M300" s="217"/>
      <c r="N300" s="217"/>
      <c r="O300" s="217"/>
      <c r="P300" s="30"/>
      <c r="Q300" s="79">
        <f>IF(D292&lt;=3,база!$L$4,
IF(D292=4,база!$L$5,
IF(D292=5,база!$L$6)))</f>
        <v>210.57480000000001</v>
      </c>
      <c r="R300" s="272">
        <v>1.4</v>
      </c>
      <c r="S300" s="99">
        <f>SUMIFS(Таблица1[сумма],Таблица1[коэф],"1,4",Таблица1[р/р],"3/16",Таблица1[Ф. И. О.],B297)</f>
        <v>0</v>
      </c>
      <c r="T300" s="95">
        <f t="shared" si="192"/>
        <v>0</v>
      </c>
      <c r="U300" s="314">
        <f>IF(D292&lt;=3,база!$M$4,
IF(D292=4,база!$M$5,
IF(D292=5,база!$M$6)))</f>
        <v>225.09719999999999</v>
      </c>
      <c r="V300" s="272">
        <v>1.4</v>
      </c>
      <c r="W300" s="307">
        <f>SUMIFS(Таблица1[сумма],Таблица1[коэф],"1,4",Таблица1[р/р],"3/24",Таблица1[Ф. И. О.],B297)</f>
        <v>0</v>
      </c>
      <c r="X300" s="313">
        <f>ROUND(U300*V300*W300,2)</f>
        <v>0</v>
      </c>
      <c r="Y300" s="849"/>
      <c r="Z300" s="840"/>
      <c r="AA300" s="843"/>
    </row>
    <row r="301" spans="1:30" ht="19.5" customHeight="1">
      <c r="A301" s="786"/>
      <c r="B301" s="216"/>
      <c r="C301" s="845"/>
      <c r="D301" s="847"/>
      <c r="E301" s="79"/>
      <c r="F301" s="272"/>
      <c r="G301" s="99"/>
      <c r="H301" s="95"/>
      <c r="I301" s="334"/>
      <c r="J301" s="279"/>
      <c r="K301" s="217"/>
      <c r="L301" s="217"/>
      <c r="M301" s="217"/>
      <c r="N301" s="217"/>
      <c r="O301" s="217"/>
      <c r="P301" s="30"/>
      <c r="Q301" s="79">
        <f>база!$L$5</f>
        <v>231.45480000000001</v>
      </c>
      <c r="R301" s="272">
        <v>1.4</v>
      </c>
      <c r="S301" s="99">
        <f>SUMIFS(Таблица1[сумма],Таблица1[коэф],"1,4",Таблица1[р/р],"4/16",Таблица1[Ф. И. О.],B297)</f>
        <v>0</v>
      </c>
      <c r="T301" s="95">
        <f t="shared" si="192"/>
        <v>0</v>
      </c>
      <c r="U301" s="314">
        <f>база!$M$5</f>
        <v>247.41720000000001</v>
      </c>
      <c r="V301" s="272">
        <v>1.4</v>
      </c>
      <c r="W301" s="307">
        <f>SUMIFS(Таблица1[сумма],Таблица1[коэф],"1,4",Таблица1[р/р],"4/24",Таблица1[Ф. И. О.],B297)</f>
        <v>0</v>
      </c>
      <c r="X301" s="313">
        <f>ROUND(U301*V301*W301,2)</f>
        <v>0</v>
      </c>
      <c r="Y301" s="849"/>
      <c r="Z301" s="840"/>
      <c r="AA301" s="843"/>
    </row>
    <row r="302" spans="1:30" ht="19.5" customHeight="1" thickBot="1">
      <c r="A302" s="787"/>
      <c r="B302" s="203"/>
      <c r="C302" s="846"/>
      <c r="D302" s="848"/>
      <c r="E302" s="102"/>
      <c r="F302" s="274"/>
      <c r="G302" s="98"/>
      <c r="H302" s="91"/>
      <c r="I302" s="348"/>
      <c r="J302" s="280"/>
      <c r="K302" s="289"/>
      <c r="L302" s="289"/>
      <c r="M302" s="289"/>
      <c r="N302" s="289"/>
      <c r="O302" s="289"/>
      <c r="P302" s="315"/>
      <c r="Q302" s="102">
        <f>база!$L$6</f>
        <v>261.04640000000001</v>
      </c>
      <c r="R302" s="274">
        <v>1.4</v>
      </c>
      <c r="S302" s="98">
        <f>SUMIFS(Таблица1[сумма],Таблица1[коэф],"1,4",Таблица1[р/р],"5/16",Таблица1[Ф. И. О.],B297)</f>
        <v>0</v>
      </c>
      <c r="T302" s="91">
        <f t="shared" si="192"/>
        <v>0</v>
      </c>
      <c r="U302" s="347">
        <f>база!$M$6</f>
        <v>279.0496</v>
      </c>
      <c r="V302" s="274">
        <v>1.4</v>
      </c>
      <c r="W302" s="312">
        <f>SUMIFS(Таблица1[сумма],Таблица1[коэф],"1,4",Таблица1[р/р],"5/24",Таблица1[Ф. И. О.],B297)</f>
        <v>0</v>
      </c>
      <c r="X302" s="343">
        <f>ROUND(U302*V302*W302,2)</f>
        <v>0</v>
      </c>
      <c r="Y302" s="850"/>
      <c r="Z302" s="841"/>
      <c r="AA302" s="844"/>
    </row>
    <row r="303" spans="1:30">
      <c r="A303" s="785">
        <v>28</v>
      </c>
      <c r="B303" s="236"/>
      <c r="C303" s="851">
        <f>INDEX(база!$E$2:$E$81, MATCH(B308,база!$B$2:$B$50,0))</f>
        <v>13676</v>
      </c>
      <c r="D303" s="852">
        <f>INDEX(база!$D$2:$D$89, MATCH(B308,база!$B$2:$B$50,0))</f>
        <v>4</v>
      </c>
      <c r="E303" s="73">
        <f>IF(D303&lt;=3,база!$I$4,
IF(D303=4,база!$I$5,
IF(D303=5,база!$I$6)))</f>
        <v>207.5112</v>
      </c>
      <c r="F303" s="270">
        <v>1</v>
      </c>
      <c r="G303" s="96">
        <f>SUMIFS(Таблица1[сумма],Таблица1[коэф],"1",Таблица1[р/р],"2/4",Таблица1[Ф. И. О.],B308)</f>
        <v>0</v>
      </c>
      <c r="H303" s="88">
        <f>ROUND(E303*F303*G303,2)</f>
        <v>0</v>
      </c>
      <c r="I303" s="338">
        <f>IF(D303&lt;=3,база!$J$4,
IF(D303=4,база!$J$5,
IF(D303=5,база!$J$6)))</f>
        <v>215.4924</v>
      </c>
      <c r="J303" s="277">
        <v>1</v>
      </c>
      <c r="K303" s="288">
        <f>SUMIFS(Таблица1[сумма],Таблица1[коэф],"1",Таблица1[р/р],"2/8",Таблица1[Ф. И. О.],B308)</f>
        <v>0</v>
      </c>
      <c r="L303" s="288">
        <f>ROUND(I303*J303*K303,2)</f>
        <v>0</v>
      </c>
      <c r="M303" s="288"/>
      <c r="N303" s="288">
        <v>1</v>
      </c>
      <c r="O303" s="288">
        <f>SUMIFS(Data_Tech!$AM$3:$AM$67,Data_Tech!$E$3:$E$67,"1",Data_Tech!$G$3:$G$67,"3/12",Data_Tech!$F$3:$F$67,B308)</f>
        <v>0</v>
      </c>
      <c r="P303" s="281">
        <f>ROUND(M303*N303*O303,2)</f>
        <v>0</v>
      </c>
      <c r="Q303" s="73">
        <f>IF(D303&lt;=3,база!$L$4,
IF(D303=4,база!$L$5,
IF(D303=5,база!$L$6)))</f>
        <v>231.45480000000001</v>
      </c>
      <c r="R303" s="270">
        <v>1</v>
      </c>
      <c r="S303" s="96">
        <f>SUMIFS(Таблица1[сумма],Таблица1[коэф],"1",Таблица1[р/р],"3/16",Таблица1[Ф. И. О.],B308)</f>
        <v>0</v>
      </c>
      <c r="T303" s="88">
        <f t="shared" si="192"/>
        <v>0</v>
      </c>
      <c r="U303" s="339">
        <f>IF(D303&lt;=3,база!$M$4,
IF(D303=4,база!$M$5,
IF(D303=5,база!$M$6)))</f>
        <v>247.41720000000001</v>
      </c>
      <c r="V303" s="270">
        <v>1</v>
      </c>
      <c r="W303" s="340">
        <f>SUMIFS(Таблица1[сумма],Таблица1[коэф],"1",Таблица1[р/р],"3/24",Таблица1[Ф. И. О.],B308)</f>
        <v>0</v>
      </c>
      <c r="X303" s="342">
        <f>ROUND(U303*V303*W303,2)</f>
        <v>0</v>
      </c>
      <c r="Y303" s="849">
        <f t="shared" ref="Y303" si="194">SUM(G303:G313,K303:K313,O303:O313,S303:S313,W303:W313)</f>
        <v>0</v>
      </c>
      <c r="Z303" s="840">
        <f t="shared" ref="Z303" si="195">IFERROR(SUM(H303:H313,L303:L313,T303:T313,X303:X313),"")</f>
        <v>0</v>
      </c>
      <c r="AA303" s="843"/>
    </row>
    <row r="304" spans="1:30">
      <c r="A304" s="786"/>
      <c r="B304" s="216"/>
      <c r="C304" s="845"/>
      <c r="D304" s="847"/>
      <c r="E304" s="79">
        <f>IF(D303&lt;=3,база!$I$4,
IF(D303=4,база!$I$5,
IF(D303=5,база!$I$6)))</f>
        <v>207.5112</v>
      </c>
      <c r="F304" s="272">
        <v>1</v>
      </c>
      <c r="G304" s="99">
        <f>SUMIFS(Таблица1[сумма],Таблица1[коэф],"1",Таблица1[р/р],"3/4",Таблица1[Ф. И. О.],B308)</f>
        <v>0</v>
      </c>
      <c r="H304" s="95">
        <f>ROUND(E304*F304*G304,2)</f>
        <v>0</v>
      </c>
      <c r="I304" s="334">
        <f>IF(D303&lt;=3,база!$J$4,
IF(D303=4,база!$J$5,
IF(D303=5,база!$J$6)))</f>
        <v>215.4924</v>
      </c>
      <c r="J304" s="279">
        <v>1</v>
      </c>
      <c r="K304" s="217">
        <f>SUMIFS(Таблица1[сумма],Таблица1[коэф],"1",Таблица1[р/р],"3/8",Таблица1[Ф. И. О.],B308)</f>
        <v>0</v>
      </c>
      <c r="L304" s="217">
        <f>ROUND(I304*J304*K304,2)</f>
        <v>0</v>
      </c>
      <c r="M304" s="217"/>
      <c r="N304" s="217">
        <v>1</v>
      </c>
      <c r="O304" s="217">
        <f>SUMIFS(Data_Tech!$AM$3:$AM$67,Data_Tech!$E$3:$E$67,"1",Data_Tech!$G$3:$G$67,"4/12",Data_Tech!$F$3:$F$67,B308)</f>
        <v>0</v>
      </c>
      <c r="P304" s="30">
        <f>ROUND(M304*O304,2)</f>
        <v>0</v>
      </c>
      <c r="Q304" s="79">
        <f>база!$L$5</f>
        <v>231.45480000000001</v>
      </c>
      <c r="R304" s="272">
        <v>1</v>
      </c>
      <c r="S304" s="99">
        <f>SUMIFS(Таблица1[сумма],Таблица1[коэф],"1",Таблица1[р/р],"4/16",Таблица1[Ф. И. О.],B308)</f>
        <v>0</v>
      </c>
      <c r="T304" s="95">
        <f t="shared" si="192"/>
        <v>0</v>
      </c>
      <c r="U304" s="314">
        <f>база!$M$5</f>
        <v>247.41720000000001</v>
      </c>
      <c r="V304" s="272">
        <v>1</v>
      </c>
      <c r="W304" s="307">
        <f>SUMIFS(Таблица1[сумма],Таблица1[коэф],"1",Таблица1[р/р],"4/24",Таблица1[Ф. И. О.],B308)</f>
        <v>0</v>
      </c>
      <c r="X304" s="313">
        <f t="shared" ref="X304" si="196">ROUND(U304*V304*W304,2)</f>
        <v>0</v>
      </c>
      <c r="Y304" s="849"/>
      <c r="Z304" s="840"/>
      <c r="AA304" s="843"/>
    </row>
    <row r="305" spans="1:30">
      <c r="A305" s="786"/>
      <c r="B305" s="216"/>
      <c r="C305" s="845"/>
      <c r="D305" s="847"/>
      <c r="E305" s="79"/>
      <c r="F305" s="272"/>
      <c r="G305" s="99"/>
      <c r="H305" s="95"/>
      <c r="I305" s="334"/>
      <c r="J305" s="279"/>
      <c r="K305" s="217"/>
      <c r="L305" s="217"/>
      <c r="M305" s="217"/>
      <c r="N305" s="217"/>
      <c r="O305" s="217"/>
      <c r="P305" s="30"/>
      <c r="Q305" s="79">
        <f>база!$L$6</f>
        <v>261.04640000000001</v>
      </c>
      <c r="R305" s="272">
        <v>1</v>
      </c>
      <c r="S305" s="99">
        <f>SUMIFS(Таблица1[сумма],Таблица1[коэф],"1",Таблица1[р/р],"5/16",Таблица1[Ф. И. О.],B308)</f>
        <v>0</v>
      </c>
      <c r="T305" s="95">
        <f t="shared" si="192"/>
        <v>0</v>
      </c>
      <c r="U305" s="314">
        <f>база!$M$6</f>
        <v>279.0496</v>
      </c>
      <c r="V305" s="272">
        <v>1</v>
      </c>
      <c r="W305" s="307">
        <f>SUMIFS(Таблица1[сумма],Таблица1[коэф],"1",Таблица1[р/р],"5/24",Таблица1[Ф. И. О.],B308)</f>
        <v>0</v>
      </c>
      <c r="X305" s="313">
        <f>ROUND(U305*V305*W305,2)</f>
        <v>0</v>
      </c>
      <c r="Y305" s="849"/>
      <c r="Z305" s="840"/>
      <c r="AA305" s="843"/>
    </row>
    <row r="306" spans="1:30">
      <c r="A306" s="786"/>
      <c r="B306" s="216"/>
      <c r="C306" s="845"/>
      <c r="D306" s="847"/>
      <c r="E306" s="79"/>
      <c r="F306" s="272"/>
      <c r="G306" s="99"/>
      <c r="H306" s="95"/>
      <c r="I306" s="334">
        <f>база!$J$5</f>
        <v>215.4924</v>
      </c>
      <c r="J306" s="279">
        <v>1.5</v>
      </c>
      <c r="K306" s="217">
        <f>SUMIFS(Таблица1[сумма],Таблица1[коэф],"1,5",Таблица1[р/р],"4/8",Таблица1[Ф. И. О.],B308)</f>
        <v>0</v>
      </c>
      <c r="L306" s="217">
        <f>ROUND(I306*J306*K306,2)</f>
        <v>0</v>
      </c>
      <c r="M306" s="217"/>
      <c r="N306" s="217"/>
      <c r="O306" s="217"/>
      <c r="P306" s="30"/>
      <c r="Q306" s="79">
        <f>IF(D303&lt;=3,база!$L$4,
IF(D303=4,база!$L$5,
IF(D303=5,база!$L$6)))</f>
        <v>231.45480000000001</v>
      </c>
      <c r="R306" s="272">
        <v>1.2</v>
      </c>
      <c r="S306" s="99">
        <f>SUMIFS(Таблица1[сумма],Таблица1[коэф],"1,2",Таблица1[р/р],"3/16",Таблица1[Ф. И. О.],B308)</f>
        <v>0</v>
      </c>
      <c r="T306" s="95">
        <f t="shared" si="192"/>
        <v>0</v>
      </c>
      <c r="U306" s="314">
        <f>IF(D303&lt;=3,база!$M$4,
IF(D303=4,база!$M$5,
IF(D303=5,база!$M$6)))</f>
        <v>247.41720000000001</v>
      </c>
      <c r="V306" s="272">
        <v>1.2</v>
      </c>
      <c r="W306" s="307">
        <f>SUMIFS(Таблица1[сумма],Таблица1[коэф],"1,2",Таблица1[р/р],"3/24",Таблица1[Ф. И. О.],B308)</f>
        <v>0</v>
      </c>
      <c r="X306" s="313">
        <f t="shared" ref="X306:X307" si="197">ROUND(U306*V306*W306,2)</f>
        <v>0</v>
      </c>
      <c r="Y306" s="849"/>
      <c r="Z306" s="840"/>
      <c r="AA306" s="843"/>
    </row>
    <row r="307" spans="1:30">
      <c r="A307" s="786"/>
      <c r="B307" s="216"/>
      <c r="C307" s="845"/>
      <c r="D307" s="847"/>
      <c r="E307" s="79"/>
      <c r="F307" s="272"/>
      <c r="G307" s="99"/>
      <c r="H307" s="95"/>
      <c r="I307" s="334">
        <f>база!$J$6</f>
        <v>243.04319999999998</v>
      </c>
      <c r="J307" s="279">
        <v>1.5</v>
      </c>
      <c r="K307" s="217">
        <f>SUMIFS(Таблица1[сумма],Таблица1[коэф],"1,5",Таблица1[р/р],"5/8",Таблица1[Ф. И. О.],B308)</f>
        <v>0</v>
      </c>
      <c r="L307" s="217">
        <f>ROUND(I307*J307*K307,2)</f>
        <v>0</v>
      </c>
      <c r="M307" s="217"/>
      <c r="N307" s="217"/>
      <c r="O307" s="217"/>
      <c r="P307" s="30"/>
      <c r="Q307" s="79">
        <f>база!$L$5</f>
        <v>231.45480000000001</v>
      </c>
      <c r="R307" s="272">
        <v>1.2</v>
      </c>
      <c r="S307" s="99">
        <f>SUMIFS(Таблица1[сумма],Таблица1[коэф],"1,2",Таблица1[р/р],"4/16",Таблица1[Ф. И. О.],B308)</f>
        <v>0</v>
      </c>
      <c r="T307" s="95">
        <f t="shared" si="192"/>
        <v>0</v>
      </c>
      <c r="U307" s="314">
        <f>база!$M$5</f>
        <v>247.41720000000001</v>
      </c>
      <c r="V307" s="272">
        <v>1.2</v>
      </c>
      <c r="W307" s="307">
        <f>SUMIFS(Таблица1[сумма],Таблица1[коэф],"1,2",Таблица1[р/р],"4/24",Таблица1[Ф. И. О.],B308)</f>
        <v>0</v>
      </c>
      <c r="X307" s="313">
        <f t="shared" si="197"/>
        <v>0</v>
      </c>
      <c r="Y307" s="849"/>
      <c r="Z307" s="840"/>
      <c r="AA307" s="843"/>
      <c r="AC307" s="722" t="str">
        <f>IF(SUMIFS(Таблица1[Столбец2],Таблица1[Ф. И. О.],B308)-Z303=0,"",SUMIFS(Таблица1[Столбец2],Таблица1[Ф. И. О.],B308)-Z303)</f>
        <v/>
      </c>
    </row>
    <row r="308" spans="1:30">
      <c r="A308" s="786"/>
      <c r="B308" s="216" t="str">
        <f>база!B29</f>
        <v>Зоидзе Ирина Сергеевна</v>
      </c>
      <c r="C308" s="845"/>
      <c r="D308" s="847"/>
      <c r="E308" s="79"/>
      <c r="F308" s="272"/>
      <c r="G308" s="99"/>
      <c r="H308" s="95"/>
      <c r="I308" s="334"/>
      <c r="J308" s="279"/>
      <c r="K308" s="217"/>
      <c r="L308" s="217"/>
      <c r="M308" s="217"/>
      <c r="N308" s="217"/>
      <c r="O308" s="217"/>
      <c r="P308" s="30"/>
      <c r="Q308" s="79">
        <f>база!$L$6</f>
        <v>261.04640000000001</v>
      </c>
      <c r="R308" s="272">
        <v>1.2</v>
      </c>
      <c r="S308" s="99">
        <f>SUMIFS(Таблица1[сумма],Таблица1[коэф],"1,2",Таблица1[р/р],"5/16",Таблица1[Ф. И. О.],B308)</f>
        <v>0</v>
      </c>
      <c r="T308" s="95">
        <f>ROUND(Q308*R308*S308,2)</f>
        <v>0</v>
      </c>
      <c r="U308" s="314">
        <f>база!$M$6</f>
        <v>279.0496</v>
      </c>
      <c r="V308" s="272">
        <v>1.2</v>
      </c>
      <c r="W308" s="307">
        <f>SUMIFS(Таблица1[сумма],Таблица1[коэф],"1,2",Таблица1[р/р],"5/24",Таблица1[Ф. И. О.],B308)</f>
        <v>0</v>
      </c>
      <c r="X308" s="313">
        <f>ROUND(U308*V308*W308,2)</f>
        <v>0</v>
      </c>
      <c r="Y308" s="849"/>
      <c r="Z308" s="840"/>
      <c r="AA308" s="843"/>
      <c r="AC308" s="722" t="str">
        <f>IF(SUMIFS(Таблица1[сумма],Таблица1[Ф. И. О.],B308)=Y303,"",B303&amp;"  часы не верны")</f>
        <v/>
      </c>
      <c r="AD308" s="759">
        <f>INDEX('[2]декабрь 23'!$AI$4:$AI$100,MATCH(C303,'[2]декабрь 23'!$AK$4:$AK$100,0))</f>
        <v>138.80000000000001</v>
      </c>
    </row>
    <row r="309" spans="1:30">
      <c r="A309" s="786"/>
      <c r="B309" s="216"/>
      <c r="C309" s="845"/>
      <c r="D309" s="847"/>
      <c r="E309" s="79"/>
      <c r="F309" s="272"/>
      <c r="G309" s="99"/>
      <c r="H309" s="95"/>
      <c r="I309" s="334"/>
      <c r="J309" s="279"/>
      <c r="K309" s="217"/>
      <c r="L309" s="217"/>
      <c r="M309" s="217"/>
      <c r="N309" s="217"/>
      <c r="O309" s="217"/>
      <c r="P309" s="30"/>
      <c r="Q309" s="79">
        <f>IF($D$6&lt;=3,база!$L$4,
IF($D$6=4,база!$L$5,
IF($D$6=5,база!$L$6)))</f>
        <v>231.45480000000001</v>
      </c>
      <c r="R309" s="272">
        <v>1.3</v>
      </c>
      <c r="S309" s="99">
        <f>SUMIFS(Таблица1[сумма],Таблица1[коэф],"1,3",Таблица1[р/р],"3/16",Таблица1[Ф. И. О.],B308)</f>
        <v>0</v>
      </c>
      <c r="T309" s="95">
        <f t="shared" ref="T309:T318" si="198">ROUND(Q309*R309*S309,2)</f>
        <v>0</v>
      </c>
      <c r="U309" s="314">
        <f>IF(D303&lt;=3,база!$M$4,
IF(D303=4,база!$M$5,
IF(D303=5,база!$M$6)))</f>
        <v>247.41720000000001</v>
      </c>
      <c r="V309" s="272">
        <v>1.3</v>
      </c>
      <c r="W309" s="307">
        <f>SUMIFS(Таблица1[сумма],Таблица1[коэф],"1,3",Таблица1[р/р],"3/24",Таблица1[Ф. И. О.],B308)</f>
        <v>0</v>
      </c>
      <c r="X309" s="313">
        <f t="shared" ref="X309:X310" si="199">ROUND(U309*V309*W309,2)</f>
        <v>0</v>
      </c>
      <c r="Y309" s="849"/>
      <c r="Z309" s="840"/>
      <c r="AA309" s="843"/>
    </row>
    <row r="310" spans="1:30">
      <c r="A310" s="786"/>
      <c r="B310" s="216"/>
      <c r="C310" s="845"/>
      <c r="D310" s="847"/>
      <c r="E310" s="79"/>
      <c r="F310" s="272"/>
      <c r="G310" s="99"/>
      <c r="H310" s="95"/>
      <c r="I310" s="334"/>
      <c r="J310" s="279"/>
      <c r="K310" s="217"/>
      <c r="L310" s="217"/>
      <c r="M310" s="217"/>
      <c r="N310" s="217"/>
      <c r="O310" s="217"/>
      <c r="P310" s="30"/>
      <c r="Q310" s="79">
        <f>база!$L$5</f>
        <v>231.45480000000001</v>
      </c>
      <c r="R310" s="272">
        <v>1.3</v>
      </c>
      <c r="S310" s="99">
        <f>SUMIFS(Таблица1[сумма],Таблица1[коэф],"1,3",Таблица1[р/р],"4/16",Таблица1[Ф. И. О.],B308)</f>
        <v>0</v>
      </c>
      <c r="T310" s="95">
        <f t="shared" si="198"/>
        <v>0</v>
      </c>
      <c r="U310" s="314">
        <f>база!$M$5</f>
        <v>247.41720000000001</v>
      </c>
      <c r="V310" s="272">
        <v>1.3</v>
      </c>
      <c r="W310" s="307">
        <f>SUMIFS(Таблица1[сумма],Таблица1[коэф],"1,3",Таблица1[р/р],"4/24",Таблица1[Ф. И. О.],B308)</f>
        <v>0</v>
      </c>
      <c r="X310" s="313">
        <f t="shared" si="199"/>
        <v>0</v>
      </c>
      <c r="Y310" s="849"/>
      <c r="Z310" s="840"/>
      <c r="AA310" s="843"/>
    </row>
    <row r="311" spans="1:30">
      <c r="A311" s="786"/>
      <c r="B311" s="216"/>
      <c r="C311" s="845"/>
      <c r="D311" s="847"/>
      <c r="E311" s="79"/>
      <c r="F311" s="272"/>
      <c r="G311" s="99"/>
      <c r="H311" s="95"/>
      <c r="I311" s="334"/>
      <c r="J311" s="279"/>
      <c r="K311" s="217"/>
      <c r="L311" s="217"/>
      <c r="M311" s="217"/>
      <c r="N311" s="217"/>
      <c r="O311" s="217"/>
      <c r="P311" s="30"/>
      <c r="Q311" s="79">
        <f>IF(D303&lt;=3,база!$L$4,
IF(D303=4,база!$L$5,
IF(D303=5,база!$L$6)))</f>
        <v>231.45480000000001</v>
      </c>
      <c r="R311" s="272">
        <v>1.4</v>
      </c>
      <c r="S311" s="99">
        <f>SUMIFS(Таблица1[сумма],Таблица1[коэф],"1,4",Таблица1[р/р],"3/16",Таблица1[Ф. И. О.],B308)</f>
        <v>0</v>
      </c>
      <c r="T311" s="95">
        <f t="shared" si="198"/>
        <v>0</v>
      </c>
      <c r="U311" s="314">
        <f>IF(D303&lt;=3,база!$M$4,
IF(D303=4,база!$M$5,
IF(D303=5,база!$M$6)))</f>
        <v>247.41720000000001</v>
      </c>
      <c r="V311" s="272">
        <v>1.4</v>
      </c>
      <c r="W311" s="307">
        <f>SUMIFS(Таблица1[сумма],Таблица1[коэф],"1,4",Таблица1[р/р],"3/24",Таблица1[Ф. И. О.],B308)</f>
        <v>0</v>
      </c>
      <c r="X311" s="313">
        <f>ROUND(U311*V311*W311,2)</f>
        <v>0</v>
      </c>
      <c r="Y311" s="849"/>
      <c r="Z311" s="840"/>
      <c r="AA311" s="843"/>
    </row>
    <row r="312" spans="1:30">
      <c r="A312" s="786"/>
      <c r="B312" s="216"/>
      <c r="C312" s="845"/>
      <c r="D312" s="847"/>
      <c r="E312" s="79"/>
      <c r="F312" s="272"/>
      <c r="G312" s="99"/>
      <c r="H312" s="95"/>
      <c r="I312" s="334"/>
      <c r="J312" s="279"/>
      <c r="K312" s="217"/>
      <c r="L312" s="217"/>
      <c r="M312" s="217"/>
      <c r="N312" s="217"/>
      <c r="O312" s="217"/>
      <c r="P312" s="30"/>
      <c r="Q312" s="79">
        <f>база!$L$5</f>
        <v>231.45480000000001</v>
      </c>
      <c r="R312" s="272">
        <v>1.4</v>
      </c>
      <c r="S312" s="99">
        <f>SUMIFS(Таблица1[сумма],Таблица1[коэф],"1,4",Таблица1[р/р],"4/16",Таблица1[Ф. И. О.],B308)</f>
        <v>0</v>
      </c>
      <c r="T312" s="95">
        <f t="shared" si="198"/>
        <v>0</v>
      </c>
      <c r="U312" s="314">
        <f>база!$M$5</f>
        <v>247.41720000000001</v>
      </c>
      <c r="V312" s="272">
        <v>1.4</v>
      </c>
      <c r="W312" s="307">
        <f>SUMIFS(Таблица1[сумма],Таблица1[коэф],"1,4",Таблица1[р/р],"4/24",Таблица1[Ф. И. О.],B308)</f>
        <v>0</v>
      </c>
      <c r="X312" s="313">
        <f>ROUND(U312*V312*W312,2)</f>
        <v>0</v>
      </c>
      <c r="Y312" s="849"/>
      <c r="Z312" s="840"/>
      <c r="AA312" s="843"/>
    </row>
    <row r="313" spans="1:30" ht="24" thickBot="1">
      <c r="A313" s="787"/>
      <c r="B313" s="203"/>
      <c r="C313" s="846"/>
      <c r="D313" s="848"/>
      <c r="E313" s="102"/>
      <c r="F313" s="274"/>
      <c r="G313" s="98"/>
      <c r="H313" s="91"/>
      <c r="I313" s="348"/>
      <c r="J313" s="280"/>
      <c r="K313" s="289"/>
      <c r="L313" s="289"/>
      <c r="M313" s="289"/>
      <c r="N313" s="289"/>
      <c r="O313" s="289"/>
      <c r="P313" s="315"/>
      <c r="Q313" s="102">
        <f>база!$L$6</f>
        <v>261.04640000000001</v>
      </c>
      <c r="R313" s="274">
        <v>1.4</v>
      </c>
      <c r="S313" s="98">
        <f>SUMIFS(Таблица1[сумма],Таблица1[коэф],"1,4",Таблица1[р/р],"5/16",Таблица1[Ф. И. О.],B308)</f>
        <v>0</v>
      </c>
      <c r="T313" s="91">
        <f t="shared" si="198"/>
        <v>0</v>
      </c>
      <c r="U313" s="347">
        <f>база!$M$6</f>
        <v>279.0496</v>
      </c>
      <c r="V313" s="274">
        <v>1.4</v>
      </c>
      <c r="W313" s="312">
        <f>SUMIFS(Таблица1[сумма],Таблица1[коэф],"1,4",Таблица1[р/р],"5/24",Таблица1[Ф. И. О.],B308)</f>
        <v>0</v>
      </c>
      <c r="X313" s="343">
        <f>ROUND(U313*V313*W313,2)</f>
        <v>0</v>
      </c>
      <c r="Y313" s="850"/>
      <c r="Z313" s="841"/>
      <c r="AA313" s="844"/>
    </row>
    <row r="314" spans="1:30">
      <c r="A314" s="785">
        <v>29</v>
      </c>
      <c r="B314" s="236"/>
      <c r="C314" s="851">
        <f>INDEX(база!$E$2:$E$81, MATCH(B319,база!$B$2:$B$50,0))</f>
        <v>17122</v>
      </c>
      <c r="D314" s="852">
        <f>INDEX(база!$D$2:$D$89, MATCH(B319,база!$B$2:$B$50,0))</f>
        <v>3</v>
      </c>
      <c r="E314" s="73">
        <f>IF(D314&lt;=3,база!$I$4,
IF(D314=4,база!$I$5,
IF(D314=5,база!$I$6)))</f>
        <v>188.7912</v>
      </c>
      <c r="F314" s="270">
        <v>1</v>
      </c>
      <c r="G314" s="96">
        <f>SUMIFS(Таблица1[сумма],Таблица1[коэф],"1",Таблица1[р/р],"2/4",Таблица1[Ф. И. О.],B319)</f>
        <v>0</v>
      </c>
      <c r="H314" s="88">
        <f>ROUND(E314*F314*G314,2)</f>
        <v>0</v>
      </c>
      <c r="I314" s="338">
        <f>IF(D314&lt;=3,база!$J$4,
IF(D314=4,база!$J$5,
IF(D314=5,база!$J$6)))</f>
        <v>196.05240000000001</v>
      </c>
      <c r="J314" s="277">
        <v>1</v>
      </c>
      <c r="K314" s="288">
        <f>SUMIFS(Таблица1[сумма],Таблица1[коэф],"1",Таблица1[р/р],"2/8",Таблица1[Ф. И. О.],B319)</f>
        <v>0</v>
      </c>
      <c r="L314" s="288">
        <f>ROUND(I314*J314*K314,2)</f>
        <v>0</v>
      </c>
      <c r="M314" s="288"/>
      <c r="N314" s="288">
        <v>1</v>
      </c>
      <c r="O314" s="288">
        <f>SUMIFS(Data_Tech!$AM$3:$AM$67,Data_Tech!$E$3:$E$67,"1",Data_Tech!$G$3:$G$67,"3/12",Data_Tech!$F$3:$F$67,B319)</f>
        <v>0</v>
      </c>
      <c r="P314" s="281">
        <f>ROUND(M314*N314*O314,2)</f>
        <v>0</v>
      </c>
      <c r="Q314" s="73">
        <f>IF(D314&lt;=3,база!$L$4,
IF(D314=4,база!$L$5,
IF(D314=5,база!$L$6)))</f>
        <v>210.57480000000001</v>
      </c>
      <c r="R314" s="270">
        <v>1</v>
      </c>
      <c r="S314" s="96">
        <f>SUMIFS(Таблица1[сумма],Таблица1[коэф],"1",Таблица1[р/р],"3/16",Таблица1[Ф. И. О.],B319)</f>
        <v>0</v>
      </c>
      <c r="T314" s="88">
        <f t="shared" si="198"/>
        <v>0</v>
      </c>
      <c r="U314" s="339">
        <f>IF(D314&lt;=3,база!$M$4,
IF(D314=4,база!$M$5,
IF(D314=5,база!$M$6)))</f>
        <v>225.09719999999999</v>
      </c>
      <c r="V314" s="270">
        <v>1</v>
      </c>
      <c r="W314" s="340">
        <f>SUMIFS(Таблица1[сумма],Таблица1[коэф],"1",Таблица1[р/р],"3/24",Таблица1[Ф. И. О.],B319)</f>
        <v>0</v>
      </c>
      <c r="X314" s="342">
        <f>ROUND(U314*V314*W314,2)</f>
        <v>0</v>
      </c>
      <c r="Y314" s="849">
        <f t="shared" ref="Y314" si="200">SUM(G314:G324,K314:K324,O314:O324,S314:S324,W314:W324)</f>
        <v>0</v>
      </c>
      <c r="Z314" s="840">
        <f t="shared" ref="Z314" si="201">IFERROR(SUM(H314:H324,L314:L324,T314:T324,X314:X324),"")</f>
        <v>0</v>
      </c>
      <c r="AA314" s="843"/>
    </row>
    <row r="315" spans="1:30">
      <c r="A315" s="786"/>
      <c r="B315" s="216"/>
      <c r="C315" s="845"/>
      <c r="D315" s="847"/>
      <c r="E315" s="79">
        <f>IF(D314&lt;=3,база!$I$4,
IF(D314=4,база!$I$5,
IF(D314=5,база!$I$6)))</f>
        <v>188.7912</v>
      </c>
      <c r="F315" s="272">
        <v>1</v>
      </c>
      <c r="G315" s="99">
        <f>SUMIFS(Таблица1[сумма],Таблица1[коэф],"1",Таблица1[р/р],"3/4",Таблица1[Ф. И. О.],B319)</f>
        <v>0</v>
      </c>
      <c r="H315" s="95">
        <f>ROUND(E315*F315*G315,2)</f>
        <v>0</v>
      </c>
      <c r="I315" s="334">
        <f>IF(D314&lt;=3,база!$J$4,
IF(D314=4,база!$J$5,
IF(D314=5,база!$J$6)))</f>
        <v>196.05240000000001</v>
      </c>
      <c r="J315" s="279">
        <v>1</v>
      </c>
      <c r="K315" s="217">
        <f>SUMIFS(Таблица1[сумма],Таблица1[коэф],"1",Таблица1[р/р],"3/8",Таблица1[Ф. И. О.],B319)</f>
        <v>0</v>
      </c>
      <c r="L315" s="217">
        <f>ROUND(I315*J315*K315,2)</f>
        <v>0</v>
      </c>
      <c r="M315" s="217"/>
      <c r="N315" s="217">
        <v>1</v>
      </c>
      <c r="O315" s="217">
        <f>SUMIFS(Data_Tech!$AM$3:$AM$67,Data_Tech!$E$3:$E$67,"1",Data_Tech!$G$3:$G$67,"4/12",Data_Tech!$F$3:$F$67,B319)</f>
        <v>0</v>
      </c>
      <c r="P315" s="30">
        <f>ROUND(M315*O315,2)</f>
        <v>0</v>
      </c>
      <c r="Q315" s="79">
        <f>база!$L$5</f>
        <v>231.45480000000001</v>
      </c>
      <c r="R315" s="272">
        <v>1</v>
      </c>
      <c r="S315" s="99">
        <f>SUMIFS(Таблица1[сумма],Таблица1[коэф],"1",Таблица1[р/р],"4/16",Таблица1[Ф. И. О.],B319)</f>
        <v>0</v>
      </c>
      <c r="T315" s="95">
        <f t="shared" si="198"/>
        <v>0</v>
      </c>
      <c r="U315" s="314">
        <f>база!$M$5</f>
        <v>247.41720000000001</v>
      </c>
      <c r="V315" s="272">
        <v>1</v>
      </c>
      <c r="W315" s="307">
        <f>SUMIFS(Таблица1[сумма],Таблица1[коэф],"1",Таблица1[р/р],"4/24",Таблица1[Ф. И. О.],B319)</f>
        <v>0</v>
      </c>
      <c r="X315" s="313">
        <f t="shared" ref="X315" si="202">ROUND(U315*V315*W315,2)</f>
        <v>0</v>
      </c>
      <c r="Y315" s="849"/>
      <c r="Z315" s="840"/>
      <c r="AA315" s="843"/>
    </row>
    <row r="316" spans="1:30">
      <c r="A316" s="786"/>
      <c r="B316" s="216"/>
      <c r="C316" s="845"/>
      <c r="D316" s="847"/>
      <c r="E316" s="79"/>
      <c r="F316" s="272"/>
      <c r="G316" s="99"/>
      <c r="H316" s="95"/>
      <c r="I316" s="334"/>
      <c r="J316" s="279"/>
      <c r="K316" s="217"/>
      <c r="L316" s="217"/>
      <c r="M316" s="217"/>
      <c r="N316" s="217"/>
      <c r="O316" s="217"/>
      <c r="P316" s="30"/>
      <c r="Q316" s="79">
        <f>база!$L$6</f>
        <v>261.04640000000001</v>
      </c>
      <c r="R316" s="272">
        <v>1</v>
      </c>
      <c r="S316" s="99">
        <f>SUMIFS(Таблица1[сумма],Таблица1[коэф],"1",Таблица1[р/р],"5/16",Таблица1[Ф. И. О.],B319)</f>
        <v>0</v>
      </c>
      <c r="T316" s="95">
        <f t="shared" si="198"/>
        <v>0</v>
      </c>
      <c r="U316" s="314">
        <f>база!$M$6</f>
        <v>279.0496</v>
      </c>
      <c r="V316" s="272">
        <v>1</v>
      </c>
      <c r="W316" s="307">
        <f>SUMIFS(Таблица1[сумма],Таблица1[коэф],"1",Таблица1[р/р],"5/24",Таблица1[Ф. И. О.],B319)</f>
        <v>0</v>
      </c>
      <c r="X316" s="313">
        <f>ROUND(U316*V316*W316,2)</f>
        <v>0</v>
      </c>
      <c r="Y316" s="849"/>
      <c r="Z316" s="840"/>
      <c r="AA316" s="843"/>
    </row>
    <row r="317" spans="1:30">
      <c r="A317" s="786"/>
      <c r="B317" s="216"/>
      <c r="C317" s="845"/>
      <c r="D317" s="847"/>
      <c r="E317" s="79"/>
      <c r="F317" s="272"/>
      <c r="G317" s="99"/>
      <c r="H317" s="95"/>
      <c r="I317" s="334">
        <f>база!$J$5</f>
        <v>215.4924</v>
      </c>
      <c r="J317" s="279">
        <v>1.5</v>
      </c>
      <c r="K317" s="217">
        <f>SUMIFS(Таблица1[сумма],Таблица1[коэф],"1,5",Таблица1[р/р],"4/8",Таблица1[Ф. И. О.],B319)</f>
        <v>0</v>
      </c>
      <c r="L317" s="217">
        <f>ROUND(I317*J317*K317,2)</f>
        <v>0</v>
      </c>
      <c r="M317" s="217"/>
      <c r="N317" s="217"/>
      <c r="O317" s="217"/>
      <c r="P317" s="30"/>
      <c r="Q317" s="79">
        <f>IF(D314&lt;=3,база!$L$4,
IF(D314=4,база!$L$5,
IF(D314=5,база!$L$6)))</f>
        <v>210.57480000000001</v>
      </c>
      <c r="R317" s="272">
        <v>1.2</v>
      </c>
      <c r="S317" s="99">
        <f>SUMIFS(Таблица1[сумма],Таблица1[коэф],"1,2",Таблица1[р/р],"3/16",Таблица1[Ф. И. О.],B319)</f>
        <v>0</v>
      </c>
      <c r="T317" s="95">
        <f t="shared" si="198"/>
        <v>0</v>
      </c>
      <c r="U317" s="314">
        <f>IF(D314&lt;=3,база!$M$4,
IF(D314=4,база!$M$5,
IF(D314=5,база!$M$6)))</f>
        <v>225.09719999999999</v>
      </c>
      <c r="V317" s="272">
        <v>1.2</v>
      </c>
      <c r="W317" s="307">
        <f>SUMIFS(Таблица1[сумма],Таблица1[коэф],"1,2",Таблица1[р/р],"3/24",Таблица1[Ф. И. О.],B319)</f>
        <v>0</v>
      </c>
      <c r="X317" s="313">
        <f t="shared" ref="X317:X318" si="203">ROUND(U317*V317*W317,2)</f>
        <v>0</v>
      </c>
      <c r="Y317" s="849"/>
      <c r="Z317" s="840"/>
      <c r="AA317" s="843"/>
    </row>
    <row r="318" spans="1:30">
      <c r="A318" s="786"/>
      <c r="B318" s="216"/>
      <c r="C318" s="845"/>
      <c r="D318" s="847"/>
      <c r="E318" s="79"/>
      <c r="F318" s="272"/>
      <c r="G318" s="99"/>
      <c r="H318" s="95"/>
      <c r="I318" s="334">
        <f>база!$J$6</f>
        <v>243.04319999999998</v>
      </c>
      <c r="J318" s="279">
        <v>1.5</v>
      </c>
      <c r="K318" s="217">
        <f>SUMIFS(Таблица1[сумма],Таблица1[коэф],"1,5",Таблица1[р/р],"5/8",Таблица1[Ф. И. О.],B319)</f>
        <v>0</v>
      </c>
      <c r="L318" s="217">
        <f>ROUND(I318*J318*K318,2)</f>
        <v>0</v>
      </c>
      <c r="M318" s="217"/>
      <c r="N318" s="217"/>
      <c r="O318" s="217"/>
      <c r="P318" s="30"/>
      <c r="Q318" s="79">
        <f>база!$L$5</f>
        <v>231.45480000000001</v>
      </c>
      <c r="R318" s="272">
        <v>1.2</v>
      </c>
      <c r="S318" s="99">
        <f>SUMIFS(Таблица1[сумма],Таблица1[коэф],"1,2",Таблица1[р/р],"4/16",Таблица1[Ф. И. О.],B319)</f>
        <v>0</v>
      </c>
      <c r="T318" s="95">
        <f t="shared" si="198"/>
        <v>0</v>
      </c>
      <c r="U318" s="314">
        <f>база!$M$5</f>
        <v>247.41720000000001</v>
      </c>
      <c r="V318" s="272">
        <v>1.2</v>
      </c>
      <c r="W318" s="307">
        <f>SUMIFS(Таблица1[сумма],Таблица1[коэф],"1,2",Таблица1[р/р],"4/24",Таблица1[Ф. И. О.],B319)</f>
        <v>0</v>
      </c>
      <c r="X318" s="313">
        <f t="shared" si="203"/>
        <v>0</v>
      </c>
      <c r="Y318" s="849"/>
      <c r="Z318" s="840"/>
      <c r="AA318" s="843"/>
      <c r="AC318" s="722" t="str">
        <f>IF(SUMIFS(Таблица1[Столбец2],Таблица1[Ф. И. О.],B319)-Z314=0,"",SUMIFS(Таблица1[Столбец2],Таблица1[Ф. И. О.],B319)-Z314)</f>
        <v/>
      </c>
    </row>
    <row r="319" spans="1:30">
      <c r="A319" s="786"/>
      <c r="B319" s="216" t="str">
        <f>база!B30</f>
        <v>Иванова Екатерина Борисовна</v>
      </c>
      <c r="C319" s="845"/>
      <c r="D319" s="847"/>
      <c r="E319" s="79"/>
      <c r="F319" s="272"/>
      <c r="G319" s="99"/>
      <c r="H319" s="95"/>
      <c r="I319" s="334"/>
      <c r="J319" s="279"/>
      <c r="K319" s="217"/>
      <c r="L319" s="217"/>
      <c r="M319" s="217"/>
      <c r="N319" s="217"/>
      <c r="O319" s="217"/>
      <c r="P319" s="30"/>
      <c r="Q319" s="79">
        <f>база!$L$6</f>
        <v>261.04640000000001</v>
      </c>
      <c r="R319" s="272">
        <v>1.2</v>
      </c>
      <c r="S319" s="99">
        <f>SUMIFS(Таблица1[сумма],Таблица1[коэф],"1,2",Таблица1[р/р],"5/16",Таблица1[Ф. И. О.],B319)</f>
        <v>0</v>
      </c>
      <c r="T319" s="95">
        <f>ROUND(Q319*R319*S319,2)</f>
        <v>0</v>
      </c>
      <c r="U319" s="314">
        <f>база!$M$6</f>
        <v>279.0496</v>
      </c>
      <c r="V319" s="272">
        <v>1.2</v>
      </c>
      <c r="W319" s="307">
        <f>SUMIFS(Таблица1[сумма],Таблица1[коэф],"1,2",Таблица1[р/р],"5/24",Таблица1[Ф. И. О.],B319)</f>
        <v>0</v>
      </c>
      <c r="X319" s="313">
        <f>ROUND(U319*V319*W319,2)</f>
        <v>0</v>
      </c>
      <c r="Y319" s="849"/>
      <c r="Z319" s="840"/>
      <c r="AA319" s="843"/>
      <c r="AC319" s="722" t="str">
        <f>IF(SUMIFS(Таблица1[сумма],Таблица1[Ф. И. О.],B319)=Y314,"",B314&amp;"  часы не верны")</f>
        <v/>
      </c>
      <c r="AD319" s="759">
        <f>INDEX('[2]декабрь 23'!$AI$4:$AI$100,MATCH(C314,'[2]декабрь 23'!$AK$4:$AK$100,0))</f>
        <v>136.80000000000001</v>
      </c>
    </row>
    <row r="320" spans="1:30">
      <c r="A320" s="786"/>
      <c r="B320" s="216"/>
      <c r="C320" s="845"/>
      <c r="D320" s="847"/>
      <c r="E320" s="79"/>
      <c r="F320" s="272"/>
      <c r="G320" s="99"/>
      <c r="H320" s="95"/>
      <c r="I320" s="334"/>
      <c r="J320" s="279"/>
      <c r="K320" s="217"/>
      <c r="L320" s="217"/>
      <c r="M320" s="217"/>
      <c r="N320" s="217"/>
      <c r="O320" s="217"/>
      <c r="P320" s="30"/>
      <c r="Q320" s="79">
        <f>IF($D$6&lt;=3,база!$L$4,
IF($D$6=4,база!$L$5,
IF($D$6=5,база!$L$6)))</f>
        <v>231.45480000000001</v>
      </c>
      <c r="R320" s="272">
        <v>1.3</v>
      </c>
      <c r="S320" s="99">
        <f>SUMIFS(Таблица1[сумма],Таблица1[коэф],"1,3",Таблица1[р/р],"3/16",Таблица1[Ф. И. О.],B319)</f>
        <v>0</v>
      </c>
      <c r="T320" s="95">
        <f t="shared" ref="T320:T329" si="204">ROUND(Q320*R320*S320,2)</f>
        <v>0</v>
      </c>
      <c r="U320" s="314">
        <f>IF(D314&lt;=3,база!$M$4,
IF(D314=4,база!$M$5,
IF(D314=5,база!$M$6)))</f>
        <v>225.09719999999999</v>
      </c>
      <c r="V320" s="272">
        <v>1.3</v>
      </c>
      <c r="W320" s="307">
        <f>SUMIFS(Таблица1[сумма],Таблица1[коэф],"1,3",Таблица1[р/р],"3/24",Таблица1[Ф. И. О.],B319)</f>
        <v>0</v>
      </c>
      <c r="X320" s="313">
        <f t="shared" ref="X320:X321" si="205">ROUND(U320*V320*W320,2)</f>
        <v>0</v>
      </c>
      <c r="Y320" s="849"/>
      <c r="Z320" s="840"/>
      <c r="AA320" s="843"/>
    </row>
    <row r="321" spans="1:30">
      <c r="A321" s="786"/>
      <c r="B321" s="216"/>
      <c r="C321" s="845"/>
      <c r="D321" s="847"/>
      <c r="E321" s="79"/>
      <c r="F321" s="272"/>
      <c r="G321" s="99"/>
      <c r="H321" s="95"/>
      <c r="I321" s="334"/>
      <c r="J321" s="279"/>
      <c r="K321" s="217"/>
      <c r="L321" s="217"/>
      <c r="M321" s="217"/>
      <c r="N321" s="217"/>
      <c r="O321" s="217"/>
      <c r="P321" s="30"/>
      <c r="Q321" s="79">
        <f>база!$L$5</f>
        <v>231.45480000000001</v>
      </c>
      <c r="R321" s="272">
        <v>1.3</v>
      </c>
      <c r="S321" s="99">
        <f>SUMIFS(Таблица1[сумма],Таблица1[коэф],"1,3",Таблица1[р/р],"4/16",Таблица1[Ф. И. О.],B319)</f>
        <v>0</v>
      </c>
      <c r="T321" s="95">
        <f t="shared" si="204"/>
        <v>0</v>
      </c>
      <c r="U321" s="314">
        <f>база!$M$5</f>
        <v>247.41720000000001</v>
      </c>
      <c r="V321" s="272">
        <v>1.3</v>
      </c>
      <c r="W321" s="307">
        <f>SUMIFS(Таблица1[сумма],Таблица1[коэф],"1,3",Таблица1[р/р],"4/24",Таблица1[Ф. И. О.],B319)</f>
        <v>0</v>
      </c>
      <c r="X321" s="313">
        <f t="shared" si="205"/>
        <v>0</v>
      </c>
      <c r="Y321" s="849"/>
      <c r="Z321" s="840"/>
      <c r="AA321" s="843"/>
    </row>
    <row r="322" spans="1:30">
      <c r="A322" s="786"/>
      <c r="B322" s="216"/>
      <c r="C322" s="845"/>
      <c r="D322" s="847"/>
      <c r="E322" s="79"/>
      <c r="F322" s="272"/>
      <c r="G322" s="99"/>
      <c r="H322" s="95"/>
      <c r="I322" s="334"/>
      <c r="J322" s="279"/>
      <c r="K322" s="217"/>
      <c r="L322" s="217"/>
      <c r="M322" s="217"/>
      <c r="N322" s="217"/>
      <c r="O322" s="217"/>
      <c r="P322" s="30"/>
      <c r="Q322" s="79">
        <f>IF(D314&lt;=3,база!$L$4,
IF(D314=4,база!$L$5,
IF(D314=5,база!$L$6)))</f>
        <v>210.57480000000001</v>
      </c>
      <c r="R322" s="272">
        <v>1.4</v>
      </c>
      <c r="S322" s="99">
        <f>SUMIFS(Таблица1[сумма],Таблица1[коэф],"1,4",Таблица1[р/р],"3/16",Таблица1[Ф. И. О.],B319)</f>
        <v>0</v>
      </c>
      <c r="T322" s="95">
        <f t="shared" si="204"/>
        <v>0</v>
      </c>
      <c r="U322" s="314">
        <f>IF(D314&lt;=3,база!$M$4,
IF(D314=4,база!$M$5,
IF(D314=5,база!$M$6)))</f>
        <v>225.09719999999999</v>
      </c>
      <c r="V322" s="272">
        <v>1.4</v>
      </c>
      <c r="W322" s="307">
        <f>SUMIFS(Таблица1[сумма],Таблица1[коэф],"1,4",Таблица1[р/р],"3/24",Таблица1[Ф. И. О.],B319)</f>
        <v>0</v>
      </c>
      <c r="X322" s="313">
        <f>ROUND(U322*V322*W322,2)</f>
        <v>0</v>
      </c>
      <c r="Y322" s="849"/>
      <c r="Z322" s="840"/>
      <c r="AA322" s="843"/>
    </row>
    <row r="323" spans="1:30">
      <c r="A323" s="786"/>
      <c r="B323" s="216"/>
      <c r="C323" s="845"/>
      <c r="D323" s="847"/>
      <c r="E323" s="79"/>
      <c r="F323" s="272"/>
      <c r="G323" s="99"/>
      <c r="H323" s="95"/>
      <c r="I323" s="334"/>
      <c r="J323" s="279"/>
      <c r="K323" s="217"/>
      <c r="L323" s="217"/>
      <c r="M323" s="217"/>
      <c r="N323" s="217"/>
      <c r="O323" s="217"/>
      <c r="P323" s="30"/>
      <c r="Q323" s="79">
        <f>база!$L$5</f>
        <v>231.45480000000001</v>
      </c>
      <c r="R323" s="272">
        <v>1.4</v>
      </c>
      <c r="S323" s="99">
        <f>SUMIFS(Таблица1[сумма],Таблица1[коэф],"1,4",Таблица1[р/р],"4/16",Таблица1[Ф. И. О.],B319)</f>
        <v>0</v>
      </c>
      <c r="T323" s="95">
        <f t="shared" si="204"/>
        <v>0</v>
      </c>
      <c r="U323" s="314">
        <f>база!$M$5</f>
        <v>247.41720000000001</v>
      </c>
      <c r="V323" s="272">
        <v>1.4</v>
      </c>
      <c r="W323" s="307">
        <f>SUMIFS(Таблица1[сумма],Таблица1[коэф],"1,4",Таблица1[р/р],"4/24",Таблица1[Ф. И. О.],B319)</f>
        <v>0</v>
      </c>
      <c r="X323" s="313">
        <f>ROUND(U323*V323*W323,2)</f>
        <v>0</v>
      </c>
      <c r="Y323" s="849"/>
      <c r="Z323" s="840"/>
      <c r="AA323" s="843"/>
    </row>
    <row r="324" spans="1:30" ht="24" thickBot="1">
      <c r="A324" s="787"/>
      <c r="B324" s="203"/>
      <c r="C324" s="846"/>
      <c r="D324" s="848"/>
      <c r="E324" s="102"/>
      <c r="F324" s="274"/>
      <c r="G324" s="98"/>
      <c r="H324" s="91"/>
      <c r="I324" s="348"/>
      <c r="J324" s="280"/>
      <c r="K324" s="289"/>
      <c r="L324" s="289"/>
      <c r="M324" s="289"/>
      <c r="N324" s="289"/>
      <c r="O324" s="289"/>
      <c r="P324" s="315"/>
      <c r="Q324" s="102">
        <f>база!$L$6</f>
        <v>261.04640000000001</v>
      </c>
      <c r="R324" s="274">
        <v>1.4</v>
      </c>
      <c r="S324" s="98">
        <f>SUMIFS(Таблица1[сумма],Таблица1[коэф],"1,4",Таблица1[р/р],"5/16",Таблица1[Ф. И. О.],B319)</f>
        <v>0</v>
      </c>
      <c r="T324" s="91">
        <f t="shared" si="204"/>
        <v>0</v>
      </c>
      <c r="U324" s="347">
        <f>база!$M$6</f>
        <v>279.0496</v>
      </c>
      <c r="V324" s="274">
        <v>1.4</v>
      </c>
      <c r="W324" s="312">
        <f>SUMIFS(Таблица1[сумма],Таблица1[коэф],"1,4",Таблица1[р/р],"5/24",Таблица1[Ф. И. О.],B319)</f>
        <v>0</v>
      </c>
      <c r="X324" s="343">
        <f>ROUND(U324*V324*W324,2)</f>
        <v>0</v>
      </c>
      <c r="Y324" s="850"/>
      <c r="Z324" s="841"/>
      <c r="AA324" s="844"/>
    </row>
    <row r="325" spans="1:30">
      <c r="A325" s="785">
        <v>30</v>
      </c>
      <c r="B325" s="236"/>
      <c r="C325" s="851">
        <f>INDEX(база!$E$2:$E$81, MATCH(B330,база!$B$2:$B$50,0))</f>
        <v>17068</v>
      </c>
      <c r="D325" s="852">
        <f>INDEX(база!$D$2:$D$89, MATCH(B330,база!$B$2:$B$50,0))</f>
        <v>3</v>
      </c>
      <c r="E325" s="73">
        <f>IF(D325&lt;=3,база!$I$4,
IF(D325=4,база!$I$5,
IF(D325=5,база!$I$6)))</f>
        <v>188.7912</v>
      </c>
      <c r="F325" s="270">
        <v>1</v>
      </c>
      <c r="G325" s="96">
        <f>SUMIFS(Таблица1[сумма],Таблица1[коэф],"1",Таблица1[р/р],"2/4",Таблица1[Ф. И. О.],B330)</f>
        <v>0</v>
      </c>
      <c r="H325" s="88">
        <f>ROUND(E325*F325*G325,2)</f>
        <v>0</v>
      </c>
      <c r="I325" s="338">
        <f>IF(D325&lt;=3,база!$J$4,
IF(D325=4,база!$J$5,
IF(D325=5,база!$J$6)))</f>
        <v>196.05240000000001</v>
      </c>
      <c r="J325" s="277">
        <v>1</v>
      </c>
      <c r="K325" s="288">
        <f>SUMIFS(Таблица1[сумма],Таблица1[коэф],"1",Таблица1[р/р],"2/8",Таблица1[Ф. И. О.],B330)</f>
        <v>0</v>
      </c>
      <c r="L325" s="288">
        <f>ROUND(I325*J325*K325,2)</f>
        <v>0</v>
      </c>
      <c r="M325" s="288"/>
      <c r="N325" s="288">
        <v>1</v>
      </c>
      <c r="O325" s="288">
        <f>SUMIFS(Data_Tech!$AM$3:$AM$67,Data_Tech!$E$3:$E$67,"1",Data_Tech!$G$3:$G$67,"3/12",Data_Tech!$F$3:$F$67,B330)</f>
        <v>0</v>
      </c>
      <c r="P325" s="281">
        <f>ROUND(M325*N325*O325,2)</f>
        <v>0</v>
      </c>
      <c r="Q325" s="73">
        <f>IF(D325&lt;=3,база!$L$4,
IF(D325=4,база!$L$5,
IF(D325=5,база!$L$6)))</f>
        <v>210.57480000000001</v>
      </c>
      <c r="R325" s="270">
        <v>1</v>
      </c>
      <c r="S325" s="96">
        <f>SUMIFS(Таблица1[сумма],Таблица1[коэф],"1",Таблица1[р/р],"3/16",Таблица1[Ф. И. О.],B330)</f>
        <v>0</v>
      </c>
      <c r="T325" s="88">
        <f t="shared" si="204"/>
        <v>0</v>
      </c>
      <c r="U325" s="339">
        <f>IF(D325&lt;=3,база!$M$4,
IF(D325=4,база!$M$5,
IF(D325=5,база!$M$6)))</f>
        <v>225.09719999999999</v>
      </c>
      <c r="V325" s="270">
        <v>1</v>
      </c>
      <c r="W325" s="340">
        <f>SUMIFS(Таблица1[сумма],Таблица1[коэф],"1",Таблица1[р/р],"3/24",Таблица1[Ф. И. О.],B330)</f>
        <v>0</v>
      </c>
      <c r="X325" s="342">
        <f>ROUND(U325*V325*W325,2)</f>
        <v>0</v>
      </c>
      <c r="Y325" s="849">
        <f t="shared" ref="Y325" si="206">SUM(G325:G335,K325:K335,O325:O335,S325:S335,W325:W335)</f>
        <v>0</v>
      </c>
      <c r="Z325" s="840">
        <f t="shared" ref="Z325" si="207">IFERROR(SUM(H325:H335,L325:L335,T325:T335,X325:X335),"")</f>
        <v>0</v>
      </c>
      <c r="AA325" s="843"/>
    </row>
    <row r="326" spans="1:30">
      <c r="A326" s="786"/>
      <c r="B326" s="216"/>
      <c r="C326" s="845"/>
      <c r="D326" s="847"/>
      <c r="E326" s="79">
        <f>IF(D325&lt;=3,база!$I$4,
IF(D325=4,база!$I$5,
IF(D325=5,база!$I$6)))</f>
        <v>188.7912</v>
      </c>
      <c r="F326" s="272">
        <v>1</v>
      </c>
      <c r="G326" s="99">
        <f>SUMIFS(Таблица1[сумма],Таблица1[коэф],"1",Таблица1[р/р],"3/4",Таблица1[Ф. И. О.],B330)</f>
        <v>0</v>
      </c>
      <c r="H326" s="95">
        <f>ROUND(E326*F326*G326,2)</f>
        <v>0</v>
      </c>
      <c r="I326" s="334">
        <f>IF(D325&lt;=3,база!$J$4,
IF(D325=4,база!$J$5,
IF(D325=5,база!$J$6)))</f>
        <v>196.05240000000001</v>
      </c>
      <c r="J326" s="279">
        <v>1</v>
      </c>
      <c r="K326" s="217">
        <f>SUMIFS(Таблица1[сумма],Таблица1[коэф],"1",Таблица1[р/р],"3/8",Таблица1[Ф. И. О.],B330)</f>
        <v>0</v>
      </c>
      <c r="L326" s="217">
        <f>ROUND(I326*J326*K326,2)</f>
        <v>0</v>
      </c>
      <c r="M326" s="217"/>
      <c r="N326" s="217">
        <v>1</v>
      </c>
      <c r="O326" s="217">
        <f>SUMIFS(Data_Tech!$AM$3:$AM$67,Data_Tech!$E$3:$E$67,"1",Data_Tech!$G$3:$G$67,"4/12",Data_Tech!$F$3:$F$67,B330)</f>
        <v>0</v>
      </c>
      <c r="P326" s="30">
        <f>ROUND(M326*O326,2)</f>
        <v>0</v>
      </c>
      <c r="Q326" s="79">
        <f>база!$L$5</f>
        <v>231.45480000000001</v>
      </c>
      <c r="R326" s="272">
        <v>1</v>
      </c>
      <c r="S326" s="99">
        <f>SUMIFS(Таблица1[сумма],Таблица1[коэф],"1",Таблица1[р/р],"4/16",Таблица1[Ф. И. О.],B330)</f>
        <v>0</v>
      </c>
      <c r="T326" s="95">
        <f t="shared" si="204"/>
        <v>0</v>
      </c>
      <c r="U326" s="314">
        <f>база!$M$5</f>
        <v>247.41720000000001</v>
      </c>
      <c r="V326" s="272">
        <v>1</v>
      </c>
      <c r="W326" s="307">
        <f>SUMIFS(Таблица1[сумма],Таблица1[коэф],"1",Таблица1[р/р],"4/24",Таблица1[Ф. И. О.],B330)</f>
        <v>0</v>
      </c>
      <c r="X326" s="313">
        <f t="shared" ref="X326" si="208">ROUND(U326*V326*W326,2)</f>
        <v>0</v>
      </c>
      <c r="Y326" s="849"/>
      <c r="Z326" s="840"/>
      <c r="AA326" s="843"/>
    </row>
    <row r="327" spans="1:30">
      <c r="A327" s="786"/>
      <c r="B327" s="216"/>
      <c r="C327" s="845"/>
      <c r="D327" s="847"/>
      <c r="E327" s="79"/>
      <c r="F327" s="272"/>
      <c r="G327" s="99"/>
      <c r="H327" s="95"/>
      <c r="I327" s="334"/>
      <c r="J327" s="279"/>
      <c r="K327" s="217"/>
      <c r="L327" s="217"/>
      <c r="M327" s="217"/>
      <c r="N327" s="217"/>
      <c r="O327" s="217"/>
      <c r="P327" s="30"/>
      <c r="Q327" s="79">
        <f>база!$L$6</f>
        <v>261.04640000000001</v>
      </c>
      <c r="R327" s="272">
        <v>1</v>
      </c>
      <c r="S327" s="99">
        <f>SUMIFS(Таблица1[сумма],Таблица1[коэф],"1",Таблица1[р/р],"5/16",Таблица1[Ф. И. О.],B330)</f>
        <v>0</v>
      </c>
      <c r="T327" s="95">
        <f t="shared" si="204"/>
        <v>0</v>
      </c>
      <c r="U327" s="314">
        <f>база!$M$6</f>
        <v>279.0496</v>
      </c>
      <c r="V327" s="272">
        <v>1</v>
      </c>
      <c r="W327" s="307">
        <f>SUMIFS(Таблица1[сумма],Таблица1[коэф],"1",Таблица1[р/р],"5/24",Таблица1[Ф. И. О.],B330)</f>
        <v>0</v>
      </c>
      <c r="X327" s="313">
        <f>ROUND(U327*V327*W327,2)</f>
        <v>0</v>
      </c>
      <c r="Y327" s="849"/>
      <c r="Z327" s="840"/>
      <c r="AA327" s="843"/>
    </row>
    <row r="328" spans="1:30">
      <c r="A328" s="786"/>
      <c r="B328" s="216"/>
      <c r="C328" s="845"/>
      <c r="D328" s="847"/>
      <c r="E328" s="79"/>
      <c r="F328" s="272"/>
      <c r="G328" s="99"/>
      <c r="H328" s="95"/>
      <c r="I328" s="334">
        <f>база!$J$5</f>
        <v>215.4924</v>
      </c>
      <c r="J328" s="279">
        <v>1.5</v>
      </c>
      <c r="K328" s="217">
        <f>SUMIFS(Таблица1[сумма],Таблица1[коэф],"1,5",Таблица1[р/р],"4/8",Таблица1[Ф. И. О.],B330)</f>
        <v>0</v>
      </c>
      <c r="L328" s="217">
        <f>ROUND(I328*J328*K328,2)</f>
        <v>0</v>
      </c>
      <c r="M328" s="217"/>
      <c r="N328" s="217"/>
      <c r="O328" s="217"/>
      <c r="P328" s="30"/>
      <c r="Q328" s="79">
        <f>IF(D325&lt;=3,база!$L$4,
IF(D325=4,база!$L$5,
IF(D325=5,база!$L$6)))</f>
        <v>210.57480000000001</v>
      </c>
      <c r="R328" s="272">
        <v>1.2</v>
      </c>
      <c r="S328" s="99">
        <f>SUMIFS(Таблица1[сумма],Таблица1[коэф],"1,2",Таблица1[р/р],"3/16",Таблица1[Ф. И. О.],B330)</f>
        <v>0</v>
      </c>
      <c r="T328" s="95">
        <f t="shared" si="204"/>
        <v>0</v>
      </c>
      <c r="U328" s="314">
        <f>IF(D325&lt;=3,база!$M$4,
IF(D325=4,база!$M$5,
IF(D325=5,база!$M$6)))</f>
        <v>225.09719999999999</v>
      </c>
      <c r="V328" s="272">
        <v>1.2</v>
      </c>
      <c r="W328" s="307">
        <f>SUMIFS(Таблица1[сумма],Таблица1[коэф],"1,2",Таблица1[р/р],"3/24",Таблица1[Ф. И. О.],B330)</f>
        <v>0</v>
      </c>
      <c r="X328" s="313">
        <f t="shared" ref="X328:X329" si="209">ROUND(U328*V328*W328,2)</f>
        <v>0</v>
      </c>
      <c r="Y328" s="849"/>
      <c r="Z328" s="840"/>
      <c r="AA328" s="843"/>
    </row>
    <row r="329" spans="1:30">
      <c r="A329" s="786"/>
      <c r="B329" s="216"/>
      <c r="C329" s="845"/>
      <c r="D329" s="847"/>
      <c r="E329" s="79"/>
      <c r="F329" s="272"/>
      <c r="G329" s="99"/>
      <c r="H329" s="95"/>
      <c r="I329" s="334">
        <f>база!$J$6</f>
        <v>243.04319999999998</v>
      </c>
      <c r="J329" s="279">
        <v>1.5</v>
      </c>
      <c r="K329" s="217">
        <f>SUMIFS(Таблица1[сумма],Таблица1[коэф],"1,5",Таблица1[р/р],"5/8",Таблица1[Ф. И. О.],B330)</f>
        <v>0</v>
      </c>
      <c r="L329" s="217">
        <f>ROUND(I329*J329*K329,2)</f>
        <v>0</v>
      </c>
      <c r="M329" s="217"/>
      <c r="N329" s="217"/>
      <c r="O329" s="217"/>
      <c r="P329" s="30"/>
      <c r="Q329" s="79">
        <f>база!$L$5</f>
        <v>231.45480000000001</v>
      </c>
      <c r="R329" s="272">
        <v>1.2</v>
      </c>
      <c r="S329" s="99">
        <f>SUMIFS(Таблица1[сумма],Таблица1[коэф],"1,2",Таблица1[р/р],"4/16",Таблица1[Ф. И. О.],B330)</f>
        <v>0</v>
      </c>
      <c r="T329" s="95">
        <f t="shared" si="204"/>
        <v>0</v>
      </c>
      <c r="U329" s="314">
        <f>база!$M$5</f>
        <v>247.41720000000001</v>
      </c>
      <c r="V329" s="272">
        <v>1.2</v>
      </c>
      <c r="W329" s="307">
        <f>SUMIFS(Таблица1[сумма],Таблица1[коэф],"1,2",Таблица1[р/р],"4/24",Таблица1[Ф. И. О.],B330)</f>
        <v>0</v>
      </c>
      <c r="X329" s="313">
        <f t="shared" si="209"/>
        <v>0</v>
      </c>
      <c r="Y329" s="849"/>
      <c r="Z329" s="840"/>
      <c r="AA329" s="843"/>
      <c r="AC329" s="722" t="str">
        <f>IF(SUMIFS(Таблица1[Столбец2],Таблица1[Ф. И. О.],B330)-Z325=0,"",SUMIFS(Таблица1[Столбец2],Таблица1[Ф. И. О.],B330)-Z325)</f>
        <v/>
      </c>
    </row>
    <row r="330" spans="1:30">
      <c r="A330" s="786"/>
      <c r="B330" s="216" t="str">
        <f>база!B31</f>
        <v>Иванова Оксана Михайловна</v>
      </c>
      <c r="C330" s="845"/>
      <c r="D330" s="847"/>
      <c r="E330" s="79"/>
      <c r="F330" s="272"/>
      <c r="G330" s="99"/>
      <c r="H330" s="95"/>
      <c r="I330" s="334"/>
      <c r="J330" s="279"/>
      <c r="K330" s="217"/>
      <c r="L330" s="217"/>
      <c r="M330" s="217"/>
      <c r="N330" s="217"/>
      <c r="O330" s="217"/>
      <c r="P330" s="30"/>
      <c r="Q330" s="79">
        <f>база!$L$6</f>
        <v>261.04640000000001</v>
      </c>
      <c r="R330" s="272">
        <v>1.2</v>
      </c>
      <c r="S330" s="99">
        <f>SUMIFS(Таблица1[сумма],Таблица1[коэф],"1,2",Таблица1[р/р],"5/16",Таблица1[Ф. И. О.],B330)</f>
        <v>0</v>
      </c>
      <c r="T330" s="95">
        <f>ROUND(Q330*R330*S330,2)</f>
        <v>0</v>
      </c>
      <c r="U330" s="314">
        <f>база!$M$6</f>
        <v>279.0496</v>
      </c>
      <c r="V330" s="272">
        <v>1.2</v>
      </c>
      <c r="W330" s="307">
        <f>SUMIFS(Таблица1[сумма],Таблица1[коэф],"1,2",Таблица1[р/р],"5/24",Таблица1[Ф. И. О.],B330)</f>
        <v>0</v>
      </c>
      <c r="X330" s="313">
        <f>ROUND(U330*V330*W330,2)</f>
        <v>0</v>
      </c>
      <c r="Y330" s="849"/>
      <c r="Z330" s="840"/>
      <c r="AA330" s="843"/>
      <c r="AC330" s="722" t="str">
        <f>IF(SUMIFS(Таблица1[сумма],Таблица1[Ф. И. О.],B330)=Y325,"",B325&amp;"  часы не верны")</f>
        <v/>
      </c>
      <c r="AD330" s="759">
        <f>INDEX('[2]декабрь 23'!$AI$4:$AI$100,MATCH(C325,'[2]декабрь 23'!$AK$4:$AK$100,0))</f>
        <v>136.80000000000001</v>
      </c>
    </row>
    <row r="331" spans="1:30">
      <c r="A331" s="786"/>
      <c r="B331" s="216"/>
      <c r="C331" s="845"/>
      <c r="D331" s="847"/>
      <c r="E331" s="79"/>
      <c r="F331" s="272"/>
      <c r="G331" s="99"/>
      <c r="H331" s="95"/>
      <c r="I331" s="334"/>
      <c r="J331" s="279"/>
      <c r="K331" s="217"/>
      <c r="L331" s="217"/>
      <c r="M331" s="217"/>
      <c r="N331" s="217"/>
      <c r="O331" s="217"/>
      <c r="P331" s="30"/>
      <c r="Q331" s="79">
        <f>IF($D$6&lt;=3,база!$L$4,
IF($D$6=4,база!$L$5,
IF($D$6=5,база!$L$6)))</f>
        <v>231.45480000000001</v>
      </c>
      <c r="R331" s="272">
        <v>1.3</v>
      </c>
      <c r="S331" s="99">
        <f>SUMIFS(Таблица1[сумма],Таблица1[коэф],"1,3",Таблица1[р/р],"3/16",Таблица1[Ф. И. О.],B330)</f>
        <v>0</v>
      </c>
      <c r="T331" s="95">
        <f t="shared" ref="T331:T340" si="210">ROUND(Q331*R331*S331,2)</f>
        <v>0</v>
      </c>
      <c r="U331" s="314">
        <f>IF(D325&lt;=3,база!$M$4,
IF(D325=4,база!$M$5,
IF(D325=5,база!$M$6)))</f>
        <v>225.09719999999999</v>
      </c>
      <c r="V331" s="272">
        <v>1.3</v>
      </c>
      <c r="W331" s="307">
        <f>SUMIFS(Таблица1[сумма],Таблица1[коэф],"1,3",Таблица1[р/р],"3/24",Таблица1[Ф. И. О.],B330)</f>
        <v>0</v>
      </c>
      <c r="X331" s="313">
        <f t="shared" ref="X331:X332" si="211">ROUND(U331*V331*W331,2)</f>
        <v>0</v>
      </c>
      <c r="Y331" s="849"/>
      <c r="Z331" s="840"/>
      <c r="AA331" s="843"/>
    </row>
    <row r="332" spans="1:30">
      <c r="A332" s="786"/>
      <c r="B332" s="216"/>
      <c r="C332" s="845"/>
      <c r="D332" s="847"/>
      <c r="E332" s="79"/>
      <c r="F332" s="272"/>
      <c r="G332" s="99"/>
      <c r="H332" s="95"/>
      <c r="I332" s="334"/>
      <c r="J332" s="279"/>
      <c r="K332" s="217"/>
      <c r="L332" s="217"/>
      <c r="M332" s="217"/>
      <c r="N332" s="217"/>
      <c r="O332" s="217"/>
      <c r="P332" s="30"/>
      <c r="Q332" s="79">
        <f>база!$L$5</f>
        <v>231.45480000000001</v>
      </c>
      <c r="R332" s="272">
        <v>1.3</v>
      </c>
      <c r="S332" s="99">
        <f>SUMIFS(Таблица1[сумма],Таблица1[коэф],"1,3",Таблица1[р/р],"4/16",Таблица1[Ф. И. О.],B330)</f>
        <v>0</v>
      </c>
      <c r="T332" s="95">
        <f t="shared" si="210"/>
        <v>0</v>
      </c>
      <c r="U332" s="314">
        <f>база!$M$5</f>
        <v>247.41720000000001</v>
      </c>
      <c r="V332" s="272">
        <v>1.3</v>
      </c>
      <c r="W332" s="307">
        <f>SUMIFS(Таблица1[сумма],Таблица1[коэф],"1,3",Таблица1[р/р],"4/24",Таблица1[Ф. И. О.],B330)</f>
        <v>0</v>
      </c>
      <c r="X332" s="313">
        <f t="shared" si="211"/>
        <v>0</v>
      </c>
      <c r="Y332" s="849"/>
      <c r="Z332" s="840"/>
      <c r="AA332" s="843"/>
    </row>
    <row r="333" spans="1:30">
      <c r="A333" s="786"/>
      <c r="B333" s="216"/>
      <c r="C333" s="845"/>
      <c r="D333" s="847"/>
      <c r="E333" s="79"/>
      <c r="F333" s="272"/>
      <c r="G333" s="99"/>
      <c r="H333" s="95"/>
      <c r="I333" s="334"/>
      <c r="J333" s="279"/>
      <c r="K333" s="217"/>
      <c r="L333" s="217"/>
      <c r="M333" s="217"/>
      <c r="N333" s="217"/>
      <c r="O333" s="217"/>
      <c r="P333" s="30"/>
      <c r="Q333" s="79">
        <f>IF(D325&lt;=3,база!$L$4,
IF(D325=4,база!$L$5,
IF(D325=5,база!$L$6)))</f>
        <v>210.57480000000001</v>
      </c>
      <c r="R333" s="272">
        <v>1.4</v>
      </c>
      <c r="S333" s="99">
        <f>SUMIFS(Таблица1[сумма],Таблица1[коэф],"1,4",Таблица1[р/р],"3/16",Таблица1[Ф. И. О.],B330)</f>
        <v>0</v>
      </c>
      <c r="T333" s="95">
        <f t="shared" si="210"/>
        <v>0</v>
      </c>
      <c r="U333" s="314">
        <f>IF(D325&lt;=3,база!$M$4,
IF(D325=4,база!$M$5,
IF(D325=5,база!$M$6)))</f>
        <v>225.09719999999999</v>
      </c>
      <c r="V333" s="272">
        <v>1.4</v>
      </c>
      <c r="W333" s="307">
        <f>SUMIFS(Таблица1[сумма],Таблица1[коэф],"1,4",Таблица1[р/р],"3/24",Таблица1[Ф. И. О.],B330)</f>
        <v>0</v>
      </c>
      <c r="X333" s="313">
        <f>ROUND(U333*V333*W333,2)</f>
        <v>0</v>
      </c>
      <c r="Y333" s="849"/>
      <c r="Z333" s="840"/>
      <c r="AA333" s="843"/>
    </row>
    <row r="334" spans="1:30">
      <c r="A334" s="786"/>
      <c r="B334" s="216"/>
      <c r="C334" s="845"/>
      <c r="D334" s="847"/>
      <c r="E334" s="79"/>
      <c r="F334" s="272"/>
      <c r="G334" s="99"/>
      <c r="H334" s="95"/>
      <c r="I334" s="334"/>
      <c r="J334" s="279"/>
      <c r="K334" s="217"/>
      <c r="L334" s="217"/>
      <c r="M334" s="217"/>
      <c r="N334" s="217"/>
      <c r="O334" s="217"/>
      <c r="P334" s="30"/>
      <c r="Q334" s="79">
        <f>база!$L$5</f>
        <v>231.45480000000001</v>
      </c>
      <c r="R334" s="272">
        <v>1.4</v>
      </c>
      <c r="S334" s="99">
        <f>SUMIFS(Таблица1[сумма],Таблица1[коэф],"1,4",Таблица1[р/р],"4/16",Таблица1[Ф. И. О.],B330)</f>
        <v>0</v>
      </c>
      <c r="T334" s="95">
        <f t="shared" si="210"/>
        <v>0</v>
      </c>
      <c r="U334" s="314">
        <f>база!$M$5</f>
        <v>247.41720000000001</v>
      </c>
      <c r="V334" s="272">
        <v>1.4</v>
      </c>
      <c r="W334" s="307">
        <f>SUMIFS(Таблица1[сумма],Таблица1[коэф],"1,4",Таблица1[р/р],"4/24",Таблица1[Ф. И. О.],B330)</f>
        <v>0</v>
      </c>
      <c r="X334" s="313">
        <f>ROUND(U334*V334*W334,2)</f>
        <v>0</v>
      </c>
      <c r="Y334" s="849"/>
      <c r="Z334" s="840"/>
      <c r="AA334" s="843"/>
    </row>
    <row r="335" spans="1:30" ht="24" thickBot="1">
      <c r="A335" s="787"/>
      <c r="B335" s="203"/>
      <c r="C335" s="846"/>
      <c r="D335" s="848"/>
      <c r="E335" s="102"/>
      <c r="F335" s="274"/>
      <c r="G335" s="98"/>
      <c r="H335" s="91"/>
      <c r="I335" s="348"/>
      <c r="J335" s="280"/>
      <c r="K335" s="289"/>
      <c r="L335" s="289"/>
      <c r="M335" s="289"/>
      <c r="N335" s="289"/>
      <c r="O335" s="289"/>
      <c r="P335" s="315"/>
      <c r="Q335" s="102">
        <f>база!$L$6</f>
        <v>261.04640000000001</v>
      </c>
      <c r="R335" s="274">
        <v>1.4</v>
      </c>
      <c r="S335" s="98">
        <f>SUMIFS(Таблица1[сумма],Таблица1[коэф],"1,4",Таблица1[р/р],"5/16",Таблица1[Ф. И. О.],B330)</f>
        <v>0</v>
      </c>
      <c r="T335" s="91">
        <f t="shared" si="210"/>
        <v>0</v>
      </c>
      <c r="U335" s="347">
        <f>база!$M$6</f>
        <v>279.0496</v>
      </c>
      <c r="V335" s="274">
        <v>1.4</v>
      </c>
      <c r="W335" s="312">
        <f>SUMIFS(Таблица1[сумма],Таблица1[коэф],"1,4",Таблица1[р/р],"5/24",Таблица1[Ф. И. О.],B330)</f>
        <v>0</v>
      </c>
      <c r="X335" s="343">
        <f>ROUND(U335*V335*W335,2)</f>
        <v>0</v>
      </c>
      <c r="Y335" s="850"/>
      <c r="Z335" s="841"/>
      <c r="AA335" s="844"/>
    </row>
    <row r="336" spans="1:30">
      <c r="A336" s="785">
        <v>31</v>
      </c>
      <c r="B336" s="236"/>
      <c r="C336" s="851">
        <f>INDEX(база!$E$2:$E$81, MATCH(B341,база!$B$2:$B$50,0))</f>
        <v>16799</v>
      </c>
      <c r="D336" s="852">
        <f>INDEX(база!$D$2:$D$89, MATCH(B341,база!$B$2:$B$50,0))</f>
        <v>3</v>
      </c>
      <c r="E336" s="73">
        <f>IF(D336&lt;=3,база!$I$4,
IF(D336=4,база!$I$5,
IF(D336=5,база!$I$6)))</f>
        <v>188.7912</v>
      </c>
      <c r="F336" s="270">
        <v>1</v>
      </c>
      <c r="G336" s="96">
        <f>SUMIFS(Таблица1[сумма],Таблица1[коэф],"1",Таблица1[р/р],"2/4",Таблица1[Ф. И. О.],B341)</f>
        <v>0</v>
      </c>
      <c r="H336" s="88">
        <f>ROUND(E336*F336*G336,2)</f>
        <v>0</v>
      </c>
      <c r="I336" s="338">
        <f>IF(D336&lt;=3,база!$J$4,
IF(D336=4,база!$J$5,
IF(D336=5,база!$J$6)))</f>
        <v>196.05240000000001</v>
      </c>
      <c r="J336" s="277">
        <v>1</v>
      </c>
      <c r="K336" s="288">
        <f>SUMIFS(Таблица1[сумма],Таблица1[коэф],"1",Таблица1[р/р],"2/8",Таблица1[Ф. И. О.],B341)</f>
        <v>0</v>
      </c>
      <c r="L336" s="288">
        <f>ROUND(I336*J336*K336,2)</f>
        <v>0</v>
      </c>
      <c r="M336" s="288"/>
      <c r="N336" s="288">
        <v>1</v>
      </c>
      <c r="O336" s="288">
        <f>SUMIFS(Data_Tech!$AM$3:$AM$67,Data_Tech!$E$3:$E$67,"1",Data_Tech!$G$3:$G$67,"3/12",Data_Tech!$F$3:$F$67,B341)</f>
        <v>0</v>
      </c>
      <c r="P336" s="281">
        <f>ROUND(M336*N336*O336,2)</f>
        <v>0</v>
      </c>
      <c r="Q336" s="73">
        <f>IF(D336&lt;=3,база!$L$4,
IF(D336=4,база!$L$5,
IF(D336=5,база!$L$6)))</f>
        <v>210.57480000000001</v>
      </c>
      <c r="R336" s="270">
        <v>1</v>
      </c>
      <c r="S336" s="96">
        <f>SUMIFS(Таблица1[сумма],Таблица1[коэф],"1",Таблица1[р/р],"3/16",Таблица1[Ф. И. О.],B341)</f>
        <v>0</v>
      </c>
      <c r="T336" s="88">
        <f t="shared" si="210"/>
        <v>0</v>
      </c>
      <c r="U336" s="339">
        <f>IF(D336&lt;=3,база!$M$4,
IF(D336=4,база!$M$5,
IF(D336=5,база!$M$6)))</f>
        <v>225.09719999999999</v>
      </c>
      <c r="V336" s="270">
        <v>1</v>
      </c>
      <c r="W336" s="340">
        <f>SUMIFS(Таблица1[сумма],Таблица1[коэф],"1",Таблица1[р/р],"3/24",Таблица1[Ф. И. О.],B341)</f>
        <v>0</v>
      </c>
      <c r="X336" s="342">
        <f>ROUND(U336*V336*W336,2)</f>
        <v>0</v>
      </c>
      <c r="Y336" s="849">
        <f t="shared" ref="Y336" si="212">SUM(G336:G346,K336:K346,O336:O346,S336:S346,W336:W346)</f>
        <v>0</v>
      </c>
      <c r="Z336" s="840">
        <f t="shared" ref="Z336" si="213">IFERROR(SUM(H336:H346,L336:L346,T336:T346,X336:X346),"")</f>
        <v>0</v>
      </c>
      <c r="AA336" s="843"/>
    </row>
    <row r="337" spans="1:30">
      <c r="A337" s="786"/>
      <c r="B337" s="216"/>
      <c r="C337" s="845"/>
      <c r="D337" s="847"/>
      <c r="E337" s="79">
        <f>IF(D336&lt;=3,база!$I$4,
IF(D336=4,база!$I$5,
IF(D336=5,база!$I$6)))</f>
        <v>188.7912</v>
      </c>
      <c r="F337" s="272">
        <v>1</v>
      </c>
      <c r="G337" s="99">
        <f>SUMIFS(Таблица1[сумма],Таблица1[коэф],"1",Таблица1[р/р],"3/4",Таблица1[Ф. И. О.],B341)</f>
        <v>0</v>
      </c>
      <c r="H337" s="95">
        <f>ROUND(E337*F337*G337,2)</f>
        <v>0</v>
      </c>
      <c r="I337" s="334">
        <f>IF(D336&lt;=3,база!$J$4,
IF(D336=4,база!$J$5,
IF(D336=5,база!$J$6)))</f>
        <v>196.05240000000001</v>
      </c>
      <c r="J337" s="279">
        <v>1</v>
      </c>
      <c r="K337" s="217">
        <f>SUMIFS(Таблица1[сумма],Таблица1[коэф],"1",Таблица1[р/р],"3/8",Таблица1[Ф. И. О.],B341)</f>
        <v>0</v>
      </c>
      <c r="L337" s="217">
        <f>ROUND(I337*J337*K337,2)</f>
        <v>0</v>
      </c>
      <c r="M337" s="217"/>
      <c r="N337" s="217">
        <v>1</v>
      </c>
      <c r="O337" s="217">
        <f>SUMIFS(Data_Tech!$AM$3:$AM$67,Data_Tech!$E$3:$E$67,"1",Data_Tech!$G$3:$G$67,"4/12",Data_Tech!$F$3:$F$67,B341)</f>
        <v>0</v>
      </c>
      <c r="P337" s="30">
        <f>ROUND(M337*O337,2)</f>
        <v>0</v>
      </c>
      <c r="Q337" s="79">
        <f>база!$L$5</f>
        <v>231.45480000000001</v>
      </c>
      <c r="R337" s="272">
        <v>1</v>
      </c>
      <c r="S337" s="99">
        <f>SUMIFS(Таблица1[сумма],Таблица1[коэф],"1",Таблица1[р/р],"4/16",Таблица1[Ф. И. О.],B341)</f>
        <v>0</v>
      </c>
      <c r="T337" s="95">
        <f t="shared" si="210"/>
        <v>0</v>
      </c>
      <c r="U337" s="314">
        <f>база!$M$5</f>
        <v>247.41720000000001</v>
      </c>
      <c r="V337" s="272">
        <v>1</v>
      </c>
      <c r="W337" s="307">
        <f>SUMIFS(Таблица1[сумма],Таблица1[коэф],"1",Таблица1[р/р],"4/24",Таблица1[Ф. И. О.],B341)</f>
        <v>0</v>
      </c>
      <c r="X337" s="313">
        <f t="shared" ref="X337" si="214">ROUND(U337*V337*W337,2)</f>
        <v>0</v>
      </c>
      <c r="Y337" s="849"/>
      <c r="Z337" s="840"/>
      <c r="AA337" s="843"/>
    </row>
    <row r="338" spans="1:30">
      <c r="A338" s="786"/>
      <c r="B338" s="216"/>
      <c r="C338" s="845"/>
      <c r="D338" s="847"/>
      <c r="E338" s="79"/>
      <c r="F338" s="272"/>
      <c r="G338" s="99"/>
      <c r="H338" s="95"/>
      <c r="I338" s="334"/>
      <c r="J338" s="279"/>
      <c r="K338" s="217"/>
      <c r="L338" s="217"/>
      <c r="M338" s="217"/>
      <c r="N338" s="217"/>
      <c r="O338" s="217"/>
      <c r="P338" s="30"/>
      <c r="Q338" s="79">
        <f>база!$L$6</f>
        <v>261.04640000000001</v>
      </c>
      <c r="R338" s="272">
        <v>1</v>
      </c>
      <c r="S338" s="99">
        <f>SUMIFS(Таблица1[сумма],Таблица1[коэф],"1",Таблица1[р/р],"5/16",Таблица1[Ф. И. О.],B341)</f>
        <v>0</v>
      </c>
      <c r="T338" s="95">
        <f t="shared" si="210"/>
        <v>0</v>
      </c>
      <c r="U338" s="314">
        <f>база!$M$6</f>
        <v>279.0496</v>
      </c>
      <c r="V338" s="272">
        <v>1</v>
      </c>
      <c r="W338" s="307">
        <f>SUMIFS(Таблица1[сумма],Таблица1[коэф],"1",Таблица1[р/р],"5/24",Таблица1[Ф. И. О.],B341)</f>
        <v>0</v>
      </c>
      <c r="X338" s="313">
        <f>ROUND(U338*V338*W338,2)</f>
        <v>0</v>
      </c>
      <c r="Y338" s="849"/>
      <c r="Z338" s="840"/>
      <c r="AA338" s="843"/>
    </row>
    <row r="339" spans="1:30">
      <c r="A339" s="786"/>
      <c r="B339" s="216"/>
      <c r="C339" s="845"/>
      <c r="D339" s="847"/>
      <c r="E339" s="79"/>
      <c r="F339" s="272"/>
      <c r="G339" s="99"/>
      <c r="H339" s="95"/>
      <c r="I339" s="334">
        <f>база!$J$5</f>
        <v>215.4924</v>
      </c>
      <c r="J339" s="279">
        <v>1.5</v>
      </c>
      <c r="K339" s="217">
        <f>SUMIFS(Таблица1[сумма],Таблица1[коэф],"1,5",Таблица1[р/р],"4/8",Таблица1[Ф. И. О.],B341)</f>
        <v>0</v>
      </c>
      <c r="L339" s="217">
        <f>ROUND(I339*J339*K339,2)</f>
        <v>0</v>
      </c>
      <c r="M339" s="217"/>
      <c r="N339" s="217"/>
      <c r="O339" s="217"/>
      <c r="P339" s="30"/>
      <c r="Q339" s="79">
        <f>IF(D336&lt;=3,база!$L$4,
IF(D336=4,база!$L$5,
IF(D336=5,база!$L$6)))</f>
        <v>210.57480000000001</v>
      </c>
      <c r="R339" s="272">
        <v>1.2</v>
      </c>
      <c r="S339" s="99">
        <f>SUMIFS(Таблица1[сумма],Таблица1[коэф],"1,2",Таблица1[р/р],"3/16",Таблица1[Ф. И. О.],B341)</f>
        <v>0</v>
      </c>
      <c r="T339" s="95">
        <f t="shared" si="210"/>
        <v>0</v>
      </c>
      <c r="U339" s="314">
        <f>IF(D336&lt;=3,база!$M$4,
IF(D336=4,база!$M$5,
IF(D336=5,база!$M$6)))</f>
        <v>225.09719999999999</v>
      </c>
      <c r="V339" s="272">
        <v>1.2</v>
      </c>
      <c r="W339" s="307">
        <f>SUMIFS(Таблица1[сумма],Таблица1[коэф],"1,2",Таблица1[р/р],"3/24",Таблица1[Ф. И. О.],B341)</f>
        <v>0</v>
      </c>
      <c r="X339" s="313">
        <f t="shared" ref="X339:X340" si="215">ROUND(U339*V339*W339,2)</f>
        <v>0</v>
      </c>
      <c r="Y339" s="849"/>
      <c r="Z339" s="840"/>
      <c r="AA339" s="843"/>
    </row>
    <row r="340" spans="1:30">
      <c r="A340" s="786"/>
      <c r="B340" s="216"/>
      <c r="C340" s="845"/>
      <c r="D340" s="847"/>
      <c r="E340" s="79"/>
      <c r="F340" s="272"/>
      <c r="G340" s="99"/>
      <c r="H340" s="95"/>
      <c r="I340" s="334">
        <f>база!$J$6</f>
        <v>243.04319999999998</v>
      </c>
      <c r="J340" s="279">
        <v>1.5</v>
      </c>
      <c r="K340" s="217">
        <f>SUMIFS(Таблица1[сумма],Таблица1[коэф],"1,5",Таблица1[р/р],"5/8",Таблица1[Ф. И. О.],B341)</f>
        <v>0</v>
      </c>
      <c r="L340" s="217">
        <f>ROUND(I340*J340*K340,2)</f>
        <v>0</v>
      </c>
      <c r="M340" s="217"/>
      <c r="N340" s="217"/>
      <c r="O340" s="217"/>
      <c r="P340" s="30"/>
      <c r="Q340" s="79">
        <f>база!$L$5</f>
        <v>231.45480000000001</v>
      </c>
      <c r="R340" s="272">
        <v>1.2</v>
      </c>
      <c r="S340" s="99">
        <f>SUMIFS(Таблица1[сумма],Таблица1[коэф],"1,2",Таблица1[р/р],"4/16",Таблица1[Ф. И. О.],B341)</f>
        <v>0</v>
      </c>
      <c r="T340" s="95">
        <f t="shared" si="210"/>
        <v>0</v>
      </c>
      <c r="U340" s="314">
        <f>база!$M$5</f>
        <v>247.41720000000001</v>
      </c>
      <c r="V340" s="272">
        <v>1.2</v>
      </c>
      <c r="W340" s="307">
        <f>SUMIFS(Таблица1[сумма],Таблица1[коэф],"1,2",Таблица1[р/р],"4/24",Таблица1[Ф. И. О.],B341)</f>
        <v>0</v>
      </c>
      <c r="X340" s="313">
        <f t="shared" si="215"/>
        <v>0</v>
      </c>
      <c r="Y340" s="849"/>
      <c r="Z340" s="840"/>
      <c r="AA340" s="843"/>
      <c r="AC340" s="722" t="e">
        <f>IF(SUMIFS([1]!Таблица1[Столбец2],[1]!Таблица1[Ф. И. О.],B341)-Z336=0,"",SUMIFS([1]!Таблица1[Столбец2],[1]!Таблица1[Ф. И. О.],B341)-Z336)</f>
        <v>#REF!</v>
      </c>
    </row>
    <row r="341" spans="1:30">
      <c r="A341" s="786"/>
      <c r="B341" s="216" t="str">
        <f>база!B32</f>
        <v>Иванченко Ульяна Леонидовна</v>
      </c>
      <c r="C341" s="845"/>
      <c r="D341" s="847"/>
      <c r="E341" s="79"/>
      <c r="F341" s="272"/>
      <c r="G341" s="99"/>
      <c r="H341" s="95"/>
      <c r="I341" s="334"/>
      <c r="J341" s="279"/>
      <c r="K341" s="217"/>
      <c r="L341" s="217"/>
      <c r="M341" s="217"/>
      <c r="N341" s="217"/>
      <c r="O341" s="217"/>
      <c r="P341" s="30"/>
      <c r="Q341" s="79">
        <f>база!$L$6</f>
        <v>261.04640000000001</v>
      </c>
      <c r="R341" s="272">
        <v>1.2</v>
      </c>
      <c r="S341" s="99">
        <f>SUMIFS(Таблица1[сумма],Таблица1[коэф],"1,2",Таблица1[р/р],"5/16",Таблица1[Ф. И. О.],B341)</f>
        <v>0</v>
      </c>
      <c r="T341" s="95">
        <f>ROUND(Q341*R341*S341,2)</f>
        <v>0</v>
      </c>
      <c r="U341" s="314">
        <f>база!$M$6</f>
        <v>279.0496</v>
      </c>
      <c r="V341" s="272">
        <v>1.2</v>
      </c>
      <c r="W341" s="307">
        <f>SUMIFS(Таблица1[сумма],Таблица1[коэф],"1,2",Таблица1[р/р],"5/24",Таблица1[Ф. И. О.],B341)</f>
        <v>0</v>
      </c>
      <c r="X341" s="313">
        <f>ROUND(U341*V341*W341,2)</f>
        <v>0</v>
      </c>
      <c r="Y341" s="849"/>
      <c r="Z341" s="840"/>
      <c r="AA341" s="843"/>
      <c r="AC341" s="722" t="e">
        <f>IF(SUMIFS([1]!Таблица1[[                                                     ]],[1]!Таблица1[Ф. И. О.],B341)=Y336,"",B341&amp;"  часы не верны")</f>
        <v>#REF!</v>
      </c>
      <c r="AD341" s="759">
        <f>INDEX('[2]декабрь 23'!$AI$4:$AI$100,MATCH(C336,'[2]декабрь 23'!$AK$4:$AK$100,0))</f>
        <v>144</v>
      </c>
    </row>
    <row r="342" spans="1:30">
      <c r="A342" s="786"/>
      <c r="B342" s="216"/>
      <c r="C342" s="845"/>
      <c r="D342" s="847"/>
      <c r="E342" s="79"/>
      <c r="F342" s="272"/>
      <c r="G342" s="99"/>
      <c r="H342" s="95"/>
      <c r="I342" s="334"/>
      <c r="J342" s="279"/>
      <c r="K342" s="217"/>
      <c r="L342" s="217"/>
      <c r="M342" s="217"/>
      <c r="N342" s="217"/>
      <c r="O342" s="217"/>
      <c r="P342" s="30"/>
      <c r="Q342" s="79">
        <f>IF($D$6&lt;=3,база!$L$4,
IF($D$6=4,база!$L$5,
IF($D$6=5,база!$L$6)))</f>
        <v>231.45480000000001</v>
      </c>
      <c r="R342" s="272">
        <v>1.3</v>
      </c>
      <c r="S342" s="99">
        <f>SUMIFS(Таблица1[сумма],Таблица1[коэф],"1,3",Таблица1[р/р],"3/16",Таблица1[Ф. И. О.],B341)</f>
        <v>0</v>
      </c>
      <c r="T342" s="95">
        <f t="shared" ref="T342:T351" si="216">ROUND(Q342*R342*S342,2)</f>
        <v>0</v>
      </c>
      <c r="U342" s="314">
        <f>IF(D336&lt;=3,база!$M$4,
IF(D336=4,база!$M$5,
IF(D336=5,база!$M$6)))</f>
        <v>225.09719999999999</v>
      </c>
      <c r="V342" s="272">
        <v>1.3</v>
      </c>
      <c r="W342" s="307">
        <f>SUMIFS(Таблица1[сумма],Таблица1[коэф],"1,3",Таблица1[р/р],"3/24",Таблица1[Ф. И. О.],B341)</f>
        <v>0</v>
      </c>
      <c r="X342" s="313">
        <f t="shared" ref="X342:X343" si="217">ROUND(U342*V342*W342,2)</f>
        <v>0</v>
      </c>
      <c r="Y342" s="849"/>
      <c r="Z342" s="840"/>
      <c r="AA342" s="843"/>
    </row>
    <row r="343" spans="1:30">
      <c r="A343" s="786"/>
      <c r="B343" s="216"/>
      <c r="C343" s="845"/>
      <c r="D343" s="847"/>
      <c r="E343" s="79"/>
      <c r="F343" s="272"/>
      <c r="G343" s="99"/>
      <c r="H343" s="95"/>
      <c r="I343" s="334"/>
      <c r="J343" s="279"/>
      <c r="K343" s="217"/>
      <c r="L343" s="217"/>
      <c r="M343" s="217"/>
      <c r="N343" s="217"/>
      <c r="O343" s="217"/>
      <c r="P343" s="30"/>
      <c r="Q343" s="79">
        <f>база!$L$5</f>
        <v>231.45480000000001</v>
      </c>
      <c r="R343" s="272">
        <v>1.3</v>
      </c>
      <c r="S343" s="99">
        <f>SUMIFS(Таблица1[сумма],Таблица1[коэф],"1,3",Таблица1[р/р],"4/16",Таблица1[Ф. И. О.],B341)</f>
        <v>0</v>
      </c>
      <c r="T343" s="95">
        <f t="shared" si="216"/>
        <v>0</v>
      </c>
      <c r="U343" s="314">
        <f>база!$M$5</f>
        <v>247.41720000000001</v>
      </c>
      <c r="V343" s="272">
        <v>1.3</v>
      </c>
      <c r="W343" s="307">
        <f>SUMIFS(Таблица1[сумма],Таблица1[коэф],"1,3",Таблица1[р/р],"4/24",Таблица1[Ф. И. О.],B341)</f>
        <v>0</v>
      </c>
      <c r="X343" s="313">
        <f t="shared" si="217"/>
        <v>0</v>
      </c>
      <c r="Y343" s="849"/>
      <c r="Z343" s="840"/>
      <c r="AA343" s="843"/>
    </row>
    <row r="344" spans="1:30">
      <c r="A344" s="786"/>
      <c r="B344" s="216"/>
      <c r="C344" s="845"/>
      <c r="D344" s="847"/>
      <c r="E344" s="79"/>
      <c r="F344" s="272"/>
      <c r="G344" s="99"/>
      <c r="H344" s="95"/>
      <c r="I344" s="334"/>
      <c r="J344" s="279"/>
      <c r="K344" s="217"/>
      <c r="L344" s="217"/>
      <c r="M344" s="217"/>
      <c r="N344" s="217"/>
      <c r="O344" s="217"/>
      <c r="P344" s="30"/>
      <c r="Q344" s="79">
        <f>IF(D336&lt;=3,база!$L$4,
IF(D336=4,база!$L$5,
IF(D336=5,база!$L$6)))</f>
        <v>210.57480000000001</v>
      </c>
      <c r="R344" s="272">
        <v>1.4</v>
      </c>
      <c r="S344" s="99">
        <f>SUMIFS(Таблица1[сумма],Таблица1[коэф],"1,4",Таблица1[р/р],"3/16",Таблица1[Ф. И. О.],B341)</f>
        <v>0</v>
      </c>
      <c r="T344" s="95">
        <f t="shared" si="216"/>
        <v>0</v>
      </c>
      <c r="U344" s="314">
        <f>IF(D336&lt;=3,база!$M$4,
IF(D336=4,база!$M$5,
IF(D336=5,база!$M$6)))</f>
        <v>225.09719999999999</v>
      </c>
      <c r="V344" s="272">
        <v>1.4</v>
      </c>
      <c r="W344" s="307">
        <f>SUMIFS(Таблица1[сумма],Таблица1[коэф],"1,4",Таблица1[р/р],"3/24",Таблица1[Ф. И. О.],B341)</f>
        <v>0</v>
      </c>
      <c r="X344" s="313">
        <f>ROUND(U344*V344*W344,2)</f>
        <v>0</v>
      </c>
      <c r="Y344" s="849"/>
      <c r="Z344" s="840"/>
      <c r="AA344" s="843"/>
    </row>
    <row r="345" spans="1:30">
      <c r="A345" s="786"/>
      <c r="B345" s="216"/>
      <c r="C345" s="845"/>
      <c r="D345" s="847"/>
      <c r="E345" s="79"/>
      <c r="F345" s="272"/>
      <c r="G345" s="99"/>
      <c r="H345" s="95"/>
      <c r="I345" s="334"/>
      <c r="J345" s="279"/>
      <c r="K345" s="217"/>
      <c r="L345" s="217"/>
      <c r="M345" s="217"/>
      <c r="N345" s="217"/>
      <c r="O345" s="217"/>
      <c r="P345" s="30"/>
      <c r="Q345" s="79">
        <f>база!$L$5</f>
        <v>231.45480000000001</v>
      </c>
      <c r="R345" s="272">
        <v>1.4</v>
      </c>
      <c r="S345" s="99">
        <f>SUMIFS(Таблица1[сумма],Таблица1[коэф],"1,4",Таблица1[р/р],"4/16",Таблица1[Ф. И. О.],B341)</f>
        <v>0</v>
      </c>
      <c r="T345" s="95">
        <f t="shared" si="216"/>
        <v>0</v>
      </c>
      <c r="U345" s="314">
        <f>база!$M$5</f>
        <v>247.41720000000001</v>
      </c>
      <c r="V345" s="272">
        <v>1.4</v>
      </c>
      <c r="W345" s="307">
        <f>SUMIFS(Таблица1[сумма],Таблица1[коэф],"1,4",Таблица1[р/р],"4/24",Таблица1[Ф. И. О.],B341)</f>
        <v>0</v>
      </c>
      <c r="X345" s="313">
        <f>ROUND(U345*V345*W345,2)</f>
        <v>0</v>
      </c>
      <c r="Y345" s="849"/>
      <c r="Z345" s="840"/>
      <c r="AA345" s="843"/>
    </row>
    <row r="346" spans="1:30" ht="24" thickBot="1">
      <c r="A346" s="787"/>
      <c r="B346" s="203"/>
      <c r="C346" s="846"/>
      <c r="D346" s="848"/>
      <c r="E346" s="102"/>
      <c r="F346" s="274"/>
      <c r="G346" s="98"/>
      <c r="H346" s="91"/>
      <c r="I346" s="348"/>
      <c r="J346" s="280"/>
      <c r="K346" s="289"/>
      <c r="L346" s="289"/>
      <c r="M346" s="289"/>
      <c r="N346" s="289"/>
      <c r="O346" s="289"/>
      <c r="P346" s="315"/>
      <c r="Q346" s="102">
        <f>база!$L$6</f>
        <v>261.04640000000001</v>
      </c>
      <c r="R346" s="274">
        <v>1.4</v>
      </c>
      <c r="S346" s="98">
        <f>SUMIFS(Таблица1[сумма],Таблица1[коэф],"1,4",Таблица1[р/р],"5/16",Таблица1[Ф. И. О.],B341)</f>
        <v>0</v>
      </c>
      <c r="T346" s="91">
        <f t="shared" si="216"/>
        <v>0</v>
      </c>
      <c r="U346" s="347">
        <f>база!$M$6</f>
        <v>279.0496</v>
      </c>
      <c r="V346" s="274">
        <v>1.4</v>
      </c>
      <c r="W346" s="312">
        <f>SUMIFS(Таблица1[сумма],Таблица1[коэф],"1,4",Таблица1[р/р],"5/24",Таблица1[Ф. И. О.],B341)</f>
        <v>0</v>
      </c>
      <c r="X346" s="343">
        <f>ROUND(U346*V346*W346,2)</f>
        <v>0</v>
      </c>
      <c r="Y346" s="850"/>
      <c r="Z346" s="841"/>
      <c r="AA346" s="844"/>
    </row>
    <row r="347" spans="1:30">
      <c r="A347" s="785">
        <v>32</v>
      </c>
      <c r="B347" s="236"/>
      <c r="C347" s="851">
        <f>INDEX(база!$E$2:$E$81, MATCH(B352,база!$B$2:$B$50,0))</f>
        <v>17305</v>
      </c>
      <c r="D347" s="852">
        <f>INDEX(база!$D$2:$D$89, MATCH(B352,база!$B$2:$B$50,0))</f>
        <v>3</v>
      </c>
      <c r="E347" s="73">
        <f>IF(D347&lt;=3,база!$I$4,
IF(D347=4,база!$I$5,
IF(D347=5,база!$I$6)))</f>
        <v>188.7912</v>
      </c>
      <c r="F347" s="270">
        <v>1</v>
      </c>
      <c r="G347" s="96">
        <f>SUMIFS(Таблица1[сумма],Таблица1[коэф],"1",Таблица1[р/р],"2/4",Таблица1[Ф. И. О.],B352)</f>
        <v>0</v>
      </c>
      <c r="H347" s="88">
        <f>ROUND(E347*F347*G347,2)</f>
        <v>0</v>
      </c>
      <c r="I347" s="338">
        <f>IF(D347&lt;=3,база!$J$4,
IF(D347=4,база!$J$5,
IF(D347=5,база!$J$6)))</f>
        <v>196.05240000000001</v>
      </c>
      <c r="J347" s="277">
        <v>1</v>
      </c>
      <c r="K347" s="288">
        <f>SUMIFS(Таблица1[сумма],Таблица1[коэф],"1",Таблица1[р/р],"2/8",Таблица1[Ф. И. О.],B352)</f>
        <v>0</v>
      </c>
      <c r="L347" s="288">
        <f>ROUND(I347*J347*K347,2)</f>
        <v>0</v>
      </c>
      <c r="M347" s="288"/>
      <c r="N347" s="288">
        <v>1</v>
      </c>
      <c r="O347" s="288">
        <f>SUMIFS(Data_Tech!$AM$3:$AM$67,Data_Tech!$E$3:$E$67,"1",Data_Tech!$G$3:$G$67,"3/12",Data_Tech!$F$3:$F$67,B352)</f>
        <v>0</v>
      </c>
      <c r="P347" s="281">
        <f>ROUND(M347*N347*O347,2)</f>
        <v>0</v>
      </c>
      <c r="Q347" s="73">
        <f>IF(D347&lt;=3,база!$L$4,
IF(D347=4,база!$L$5,
IF(D347=5,база!$L$6)))</f>
        <v>210.57480000000001</v>
      </c>
      <c r="R347" s="270">
        <v>1</v>
      </c>
      <c r="S347" s="96">
        <f>SUMIFS(Таблица1[сумма],Таблица1[коэф],"1",Таблица1[р/р],"3/16",Таблица1[Ф. И. О.],B352)</f>
        <v>0</v>
      </c>
      <c r="T347" s="88">
        <f t="shared" si="216"/>
        <v>0</v>
      </c>
      <c r="U347" s="339">
        <f>IF(D347&lt;=3,база!$M$4,
IF(D347=4,база!$M$5,
IF(D347=5,база!$M$6)))</f>
        <v>225.09719999999999</v>
      </c>
      <c r="V347" s="270">
        <v>1</v>
      </c>
      <c r="W347" s="340">
        <f>SUMIFS(Таблица1[сумма],Таблица1[коэф],"1",Таблица1[р/р],"3/24",Таблица1[Ф. И. О.],B352)</f>
        <v>0</v>
      </c>
      <c r="X347" s="342">
        <f>ROUND(U347*V347*W347,2)</f>
        <v>0</v>
      </c>
      <c r="Y347" s="849">
        <f t="shared" ref="Y347" si="218">SUM(G347:G357,K347:K357,O347:O357,S347:S357,W347:W357)</f>
        <v>0</v>
      </c>
      <c r="Z347" s="840">
        <f t="shared" ref="Z347" si="219">IFERROR(SUM(H347:H357,L347:L357,T347:T357,X347:X357),"")</f>
        <v>0</v>
      </c>
      <c r="AA347" s="843"/>
    </row>
    <row r="348" spans="1:30">
      <c r="A348" s="786"/>
      <c r="B348" s="216"/>
      <c r="C348" s="845"/>
      <c r="D348" s="847"/>
      <c r="E348" s="79">
        <f>IF(D347&lt;=3,база!$I$4,
IF(D347=4,база!$I$5,
IF(D347=5,база!$I$6)))</f>
        <v>188.7912</v>
      </c>
      <c r="F348" s="272">
        <v>1</v>
      </c>
      <c r="G348" s="99">
        <f>SUMIFS(Таблица1[сумма],Таблица1[коэф],"1",Таблица1[р/р],"3/4",Таблица1[Ф. И. О.],B352)</f>
        <v>0</v>
      </c>
      <c r="H348" s="95">
        <f>ROUND(E348*F348*G348,2)</f>
        <v>0</v>
      </c>
      <c r="I348" s="334">
        <f>IF(D347&lt;=3,база!$J$4,
IF(D347=4,база!$J$5,
IF(D347=5,база!$J$6)))</f>
        <v>196.05240000000001</v>
      </c>
      <c r="J348" s="279">
        <v>1</v>
      </c>
      <c r="K348" s="217">
        <f>SUMIFS(Таблица1[сумма],Таблица1[коэф],"1",Таблица1[р/р],"3/8",Таблица1[Ф. И. О.],B352)</f>
        <v>0</v>
      </c>
      <c r="L348" s="217">
        <f>ROUND(I348*J348*K348,2)</f>
        <v>0</v>
      </c>
      <c r="M348" s="217"/>
      <c r="N348" s="217">
        <v>1</v>
      </c>
      <c r="O348" s="217">
        <f>SUMIFS(Data_Tech!$AM$3:$AM$67,Data_Tech!$E$3:$E$67,"1",Data_Tech!$G$3:$G$67,"4/12",Data_Tech!$F$3:$F$67,B352)</f>
        <v>0</v>
      </c>
      <c r="P348" s="30">
        <f>ROUND(M348*O348,2)</f>
        <v>0</v>
      </c>
      <c r="Q348" s="79">
        <f>база!$L$5</f>
        <v>231.45480000000001</v>
      </c>
      <c r="R348" s="272">
        <v>1</v>
      </c>
      <c r="S348" s="99">
        <f>SUMIFS(Таблица1[сумма],Таблица1[коэф],"1",Таблица1[р/р],"4/16",Таблица1[Ф. И. О.],B352)</f>
        <v>0</v>
      </c>
      <c r="T348" s="95">
        <f t="shared" si="216"/>
        <v>0</v>
      </c>
      <c r="U348" s="314">
        <f>база!$M$5</f>
        <v>247.41720000000001</v>
      </c>
      <c r="V348" s="272">
        <v>1</v>
      </c>
      <c r="W348" s="307">
        <f>SUMIFS(Таблица1[сумма],Таблица1[коэф],"1",Таблица1[р/р],"4/24",Таблица1[Ф. И. О.],B352)</f>
        <v>0</v>
      </c>
      <c r="X348" s="313">
        <f t="shared" ref="X348" si="220">ROUND(U348*V348*W348,2)</f>
        <v>0</v>
      </c>
      <c r="Y348" s="849"/>
      <c r="Z348" s="840"/>
      <c r="AA348" s="843"/>
    </row>
    <row r="349" spans="1:30">
      <c r="A349" s="786"/>
      <c r="B349" s="216"/>
      <c r="C349" s="845"/>
      <c r="D349" s="847"/>
      <c r="E349" s="79"/>
      <c r="F349" s="272"/>
      <c r="G349" s="99"/>
      <c r="H349" s="95"/>
      <c r="I349" s="334"/>
      <c r="J349" s="279"/>
      <c r="K349" s="217"/>
      <c r="L349" s="217"/>
      <c r="M349" s="217"/>
      <c r="N349" s="217"/>
      <c r="O349" s="217"/>
      <c r="P349" s="30"/>
      <c r="Q349" s="79">
        <f>база!$L$6</f>
        <v>261.04640000000001</v>
      </c>
      <c r="R349" s="272">
        <v>1</v>
      </c>
      <c r="S349" s="99">
        <f>SUMIFS(Таблица1[сумма],Таблица1[коэф],"1",Таблица1[р/р],"5/16",Таблица1[Ф. И. О.],B352)</f>
        <v>0</v>
      </c>
      <c r="T349" s="95">
        <f t="shared" si="216"/>
        <v>0</v>
      </c>
      <c r="U349" s="314">
        <f>база!$M$6</f>
        <v>279.0496</v>
      </c>
      <c r="V349" s="272">
        <v>1</v>
      </c>
      <c r="W349" s="307">
        <f>SUMIFS(Таблица1[сумма],Таблица1[коэф],"1",Таблица1[р/р],"5/24",Таблица1[Ф. И. О.],B352)</f>
        <v>0</v>
      </c>
      <c r="X349" s="313">
        <f>ROUND(U349*V349*W349,2)</f>
        <v>0</v>
      </c>
      <c r="Y349" s="849"/>
      <c r="Z349" s="840"/>
      <c r="AA349" s="843"/>
    </row>
    <row r="350" spans="1:30">
      <c r="A350" s="786"/>
      <c r="B350" s="216"/>
      <c r="C350" s="845"/>
      <c r="D350" s="847"/>
      <c r="E350" s="79"/>
      <c r="F350" s="272"/>
      <c r="G350" s="99"/>
      <c r="H350" s="95"/>
      <c r="I350" s="334">
        <f>база!$J$5</f>
        <v>215.4924</v>
      </c>
      <c r="J350" s="279">
        <v>1.5</v>
      </c>
      <c r="K350" s="217">
        <f>SUMIFS(Таблица1[сумма],Таблица1[коэф],"1,5",Таблица1[р/р],"4/8",Таблица1[Ф. И. О.],B352)</f>
        <v>0</v>
      </c>
      <c r="L350" s="217">
        <f>ROUND(I350*J350*K350,2)</f>
        <v>0</v>
      </c>
      <c r="M350" s="217"/>
      <c r="N350" s="217"/>
      <c r="O350" s="217"/>
      <c r="P350" s="30"/>
      <c r="Q350" s="79">
        <f>IF(D347&lt;=3,база!$L$4,
IF(D347=4,база!$L$5,
IF(D347=5,база!$L$6)))</f>
        <v>210.57480000000001</v>
      </c>
      <c r="R350" s="272">
        <v>1.2</v>
      </c>
      <c r="S350" s="99">
        <f>SUMIFS(Таблица1[сумма],Таблица1[коэф],"1,2",Таблица1[р/р],"3/16",Таблица1[Ф. И. О.],B352)</f>
        <v>0</v>
      </c>
      <c r="T350" s="95">
        <f t="shared" si="216"/>
        <v>0</v>
      </c>
      <c r="U350" s="314">
        <f>IF(D347&lt;=3,база!$M$4,
IF(D347=4,база!$M$5,
IF(D347=5,база!$M$6)))</f>
        <v>225.09719999999999</v>
      </c>
      <c r="V350" s="272">
        <v>1.2</v>
      </c>
      <c r="W350" s="307">
        <f>SUMIFS(Таблица1[сумма],Таблица1[коэф],"1,2",Таблица1[р/р],"3/24",Таблица1[Ф. И. О.],B352)</f>
        <v>0</v>
      </c>
      <c r="X350" s="313">
        <f t="shared" ref="X350:X351" si="221">ROUND(U350*V350*W350,2)</f>
        <v>0</v>
      </c>
      <c r="Y350" s="849"/>
      <c r="Z350" s="840"/>
      <c r="AA350" s="843"/>
    </row>
    <row r="351" spans="1:30">
      <c r="A351" s="786"/>
      <c r="B351" s="216"/>
      <c r="C351" s="845"/>
      <c r="D351" s="847"/>
      <c r="E351" s="79"/>
      <c r="F351" s="272"/>
      <c r="G351" s="99"/>
      <c r="H351" s="95"/>
      <c r="I351" s="334">
        <f>база!$J$6</f>
        <v>243.04319999999998</v>
      </c>
      <c r="J351" s="279">
        <v>1.5</v>
      </c>
      <c r="K351" s="217">
        <f>SUMIFS(Таблица1[сумма],Таблица1[коэф],"1,5",Таблица1[р/р],"5/8",Таблица1[Ф. И. О.],B352)</f>
        <v>0</v>
      </c>
      <c r="L351" s="217">
        <f>ROUND(I351*J351*K351,2)</f>
        <v>0</v>
      </c>
      <c r="M351" s="217"/>
      <c r="N351" s="217"/>
      <c r="O351" s="217"/>
      <c r="P351" s="30"/>
      <c r="Q351" s="79">
        <f>база!$L$5</f>
        <v>231.45480000000001</v>
      </c>
      <c r="R351" s="272">
        <v>1.2</v>
      </c>
      <c r="S351" s="99">
        <f>SUMIFS(Таблица1[сумма],Таблица1[коэф],"1,2",Таблица1[р/р],"4/16",Таблица1[Ф. И. О.],B352)</f>
        <v>0</v>
      </c>
      <c r="T351" s="95">
        <f t="shared" si="216"/>
        <v>0</v>
      </c>
      <c r="U351" s="314">
        <f>база!$M$5</f>
        <v>247.41720000000001</v>
      </c>
      <c r="V351" s="272">
        <v>1.2</v>
      </c>
      <c r="W351" s="307">
        <f>SUMIFS(Таблица1[сумма],Таблица1[коэф],"1,2",Таблица1[р/р],"4/24",Таблица1[Ф. И. О.],B352)</f>
        <v>0</v>
      </c>
      <c r="X351" s="313">
        <f t="shared" si="221"/>
        <v>0</v>
      </c>
      <c r="Y351" s="849"/>
      <c r="Z351" s="840"/>
      <c r="AA351" s="843"/>
      <c r="AC351" s="722" t="str">
        <f>IF(SUMIFS(Таблица1[Столбец2],Таблица1[Ф. И. О.],B352)-Z347=0,"",SUMIFS(Таблица1[Столбец2],Таблица1[Ф. И. О.],B352)-Z347)</f>
        <v/>
      </c>
    </row>
    <row r="352" spans="1:30">
      <c r="A352" s="786"/>
      <c r="B352" s="216" t="str">
        <f>база!B33</f>
        <v>Исаева Инна Игоревна</v>
      </c>
      <c r="C352" s="845"/>
      <c r="D352" s="847"/>
      <c r="E352" s="79"/>
      <c r="F352" s="272"/>
      <c r="G352" s="99"/>
      <c r="H352" s="95"/>
      <c r="I352" s="334"/>
      <c r="J352" s="279"/>
      <c r="K352" s="217"/>
      <c r="L352" s="217"/>
      <c r="M352" s="217"/>
      <c r="N352" s="217"/>
      <c r="O352" s="217"/>
      <c r="P352" s="30"/>
      <c r="Q352" s="79">
        <f>база!$L$6</f>
        <v>261.04640000000001</v>
      </c>
      <c r="R352" s="272">
        <v>1.2</v>
      </c>
      <c r="S352" s="99">
        <f>SUMIFS(Таблица1[сумма],Таблица1[коэф],"1,2",Таблица1[р/р],"5/16",Таблица1[Ф. И. О.],B352)</f>
        <v>0</v>
      </c>
      <c r="T352" s="95">
        <f>ROUND(Q352*R352*S352,2)</f>
        <v>0</v>
      </c>
      <c r="U352" s="314">
        <f>база!$M$6</f>
        <v>279.0496</v>
      </c>
      <c r="V352" s="272">
        <v>1.2</v>
      </c>
      <c r="W352" s="307">
        <f>SUMIFS(Таблица1[сумма],Таблица1[коэф],"1,2",Таблица1[р/р],"5/24",Таблица1[Ф. И. О.],B352)</f>
        <v>0</v>
      </c>
      <c r="X352" s="313">
        <f>ROUND(U352*V352*W352,2)</f>
        <v>0</v>
      </c>
      <c r="Y352" s="849"/>
      <c r="Z352" s="840"/>
      <c r="AA352" s="843"/>
      <c r="AC352" s="722" t="str">
        <f>IF(SUMIFS(Таблица1[сумма],Таблица1[Ф. И. О.],B352)=Y347,"",B347&amp;"  часы не верны")</f>
        <v/>
      </c>
      <c r="AD352" s="759">
        <f>INDEX('[2]декабрь 23'!$AI$4:$AI$100,MATCH(C347,'[2]декабрь 23'!$AK$4:$AK$100,0))</f>
        <v>144</v>
      </c>
    </row>
    <row r="353" spans="1:30">
      <c r="A353" s="786"/>
      <c r="B353" s="216"/>
      <c r="C353" s="845"/>
      <c r="D353" s="847"/>
      <c r="E353" s="79"/>
      <c r="F353" s="272"/>
      <c r="G353" s="99"/>
      <c r="H353" s="95"/>
      <c r="I353" s="334"/>
      <c r="J353" s="279"/>
      <c r="K353" s="217"/>
      <c r="L353" s="217"/>
      <c r="M353" s="217"/>
      <c r="N353" s="217"/>
      <c r="O353" s="217"/>
      <c r="P353" s="30"/>
      <c r="Q353" s="79">
        <f>IF($D$6&lt;=3,база!$L$4,
IF($D$6=4,база!$L$5,
IF($D$6=5,база!$L$6)))</f>
        <v>231.45480000000001</v>
      </c>
      <c r="R353" s="272">
        <v>1.3</v>
      </c>
      <c r="S353" s="99">
        <f>SUMIFS(Таблица1[сумма],Таблица1[коэф],"1,3",Таблица1[р/р],"3/16",Таблица1[Ф. И. О.],B352)</f>
        <v>0</v>
      </c>
      <c r="T353" s="95">
        <f t="shared" ref="T353:T362" si="222">ROUND(Q353*R353*S353,2)</f>
        <v>0</v>
      </c>
      <c r="U353" s="314">
        <f>IF(D347&lt;=3,база!$M$4,
IF(D347=4,база!$M$5,
IF(D347=5,база!$M$6)))</f>
        <v>225.09719999999999</v>
      </c>
      <c r="V353" s="272">
        <v>1.3</v>
      </c>
      <c r="W353" s="307">
        <f>SUMIFS(Таблица1[сумма],Таблица1[коэф],"1,3",Таблица1[р/р],"3/24",Таблица1[Ф. И. О.],B352)</f>
        <v>0</v>
      </c>
      <c r="X353" s="313">
        <f t="shared" ref="X353:X354" si="223">ROUND(U353*V353*W353,2)</f>
        <v>0</v>
      </c>
      <c r="Y353" s="849"/>
      <c r="Z353" s="840"/>
      <c r="AA353" s="843"/>
    </row>
    <row r="354" spans="1:30">
      <c r="A354" s="786"/>
      <c r="B354" s="216"/>
      <c r="C354" s="845"/>
      <c r="D354" s="847"/>
      <c r="E354" s="79"/>
      <c r="F354" s="272"/>
      <c r="G354" s="99"/>
      <c r="H354" s="95"/>
      <c r="I354" s="334"/>
      <c r="J354" s="279"/>
      <c r="K354" s="217"/>
      <c r="L354" s="217"/>
      <c r="M354" s="217"/>
      <c r="N354" s="217"/>
      <c r="O354" s="217"/>
      <c r="P354" s="30"/>
      <c r="Q354" s="79">
        <f>база!$L$5</f>
        <v>231.45480000000001</v>
      </c>
      <c r="R354" s="272">
        <v>1.3</v>
      </c>
      <c r="S354" s="99">
        <f>SUMIFS(Таблица1[сумма],Таблица1[коэф],"1,3",Таблица1[р/р],"4/16",Таблица1[Ф. И. О.],B352)</f>
        <v>0</v>
      </c>
      <c r="T354" s="95">
        <f t="shared" si="222"/>
        <v>0</v>
      </c>
      <c r="U354" s="314">
        <f>база!$M$5</f>
        <v>247.41720000000001</v>
      </c>
      <c r="V354" s="272">
        <v>1.3</v>
      </c>
      <c r="W354" s="307">
        <f>SUMIFS(Таблица1[сумма],Таблица1[коэф],"1,3",Таблица1[р/р],"4/24",Таблица1[Ф. И. О.],B352)</f>
        <v>0</v>
      </c>
      <c r="X354" s="313">
        <f t="shared" si="223"/>
        <v>0</v>
      </c>
      <c r="Y354" s="849"/>
      <c r="Z354" s="840"/>
      <c r="AA354" s="843"/>
    </row>
    <row r="355" spans="1:30">
      <c r="A355" s="786"/>
      <c r="B355" s="216"/>
      <c r="C355" s="845"/>
      <c r="D355" s="847"/>
      <c r="E355" s="79"/>
      <c r="F355" s="272"/>
      <c r="G355" s="99"/>
      <c r="H355" s="95"/>
      <c r="I355" s="334"/>
      <c r="J355" s="279"/>
      <c r="K355" s="217"/>
      <c r="L355" s="217"/>
      <c r="M355" s="217"/>
      <c r="N355" s="217"/>
      <c r="O355" s="217"/>
      <c r="P355" s="30"/>
      <c r="Q355" s="79">
        <f>IF(D347&lt;=3,база!$L$4,
IF(D347=4,база!$L$5,
IF(D347=5,база!$L$6)))</f>
        <v>210.57480000000001</v>
      </c>
      <c r="R355" s="272">
        <v>1.4</v>
      </c>
      <c r="S355" s="99">
        <f>SUMIFS(Таблица1[сумма],Таблица1[коэф],"1,4",Таблица1[р/р],"3/16",Таблица1[Ф. И. О.],B352)</f>
        <v>0</v>
      </c>
      <c r="T355" s="95">
        <f t="shared" si="222"/>
        <v>0</v>
      </c>
      <c r="U355" s="314">
        <f>IF(D347&lt;=3,база!$M$4,
IF(D347=4,база!$M$5,
IF(D347=5,база!$M$6)))</f>
        <v>225.09719999999999</v>
      </c>
      <c r="V355" s="272">
        <v>1.4</v>
      </c>
      <c r="W355" s="307">
        <f>SUMIFS(Таблица1[сумма],Таблица1[коэф],"1,4",Таблица1[р/р],"3/24",Таблица1[Ф. И. О.],B352)</f>
        <v>0</v>
      </c>
      <c r="X355" s="313">
        <f>ROUND(U355*V355*W355,2)</f>
        <v>0</v>
      </c>
      <c r="Y355" s="849"/>
      <c r="Z355" s="840"/>
      <c r="AA355" s="843"/>
    </row>
    <row r="356" spans="1:30">
      <c r="A356" s="786"/>
      <c r="B356" s="216"/>
      <c r="C356" s="845"/>
      <c r="D356" s="847"/>
      <c r="E356" s="79"/>
      <c r="F356" s="272"/>
      <c r="G356" s="99"/>
      <c r="H356" s="95"/>
      <c r="I356" s="334"/>
      <c r="J356" s="279"/>
      <c r="K356" s="217"/>
      <c r="L356" s="217"/>
      <c r="M356" s="217"/>
      <c r="N356" s="217"/>
      <c r="O356" s="217"/>
      <c r="P356" s="30"/>
      <c r="Q356" s="79">
        <f>база!$L$5</f>
        <v>231.45480000000001</v>
      </c>
      <c r="R356" s="272">
        <v>1.4</v>
      </c>
      <c r="S356" s="99">
        <f>SUMIFS(Таблица1[сумма],Таблица1[коэф],"1,4",Таблица1[р/р],"4/16",Таблица1[Ф. И. О.],B352)</f>
        <v>0</v>
      </c>
      <c r="T356" s="95">
        <f t="shared" si="222"/>
        <v>0</v>
      </c>
      <c r="U356" s="314">
        <f>база!$M$5</f>
        <v>247.41720000000001</v>
      </c>
      <c r="V356" s="272">
        <v>1.4</v>
      </c>
      <c r="W356" s="307">
        <f>SUMIFS(Таблица1[сумма],Таблица1[коэф],"1,4",Таблица1[р/р],"4/24",Таблица1[Ф. И. О.],B352)</f>
        <v>0</v>
      </c>
      <c r="X356" s="313">
        <f>ROUND(U356*V356*W356,2)</f>
        <v>0</v>
      </c>
      <c r="Y356" s="849"/>
      <c r="Z356" s="840"/>
      <c r="AA356" s="843"/>
    </row>
    <row r="357" spans="1:30" ht="24" thickBot="1">
      <c r="A357" s="787"/>
      <c r="B357" s="203"/>
      <c r="C357" s="846"/>
      <c r="D357" s="848"/>
      <c r="E357" s="102"/>
      <c r="F357" s="274"/>
      <c r="G357" s="98"/>
      <c r="H357" s="91"/>
      <c r="I357" s="348"/>
      <c r="J357" s="280"/>
      <c r="K357" s="289"/>
      <c r="L357" s="289"/>
      <c r="M357" s="289"/>
      <c r="N357" s="289"/>
      <c r="O357" s="289"/>
      <c r="P357" s="315"/>
      <c r="Q357" s="102">
        <f>база!$L$6</f>
        <v>261.04640000000001</v>
      </c>
      <c r="R357" s="274">
        <v>1.4</v>
      </c>
      <c r="S357" s="98">
        <f>SUMIFS(Таблица1[сумма],Таблица1[коэф],"1,4",Таблица1[р/р],"5/16",Таблица1[Ф. И. О.],B352)</f>
        <v>0</v>
      </c>
      <c r="T357" s="91">
        <f t="shared" si="222"/>
        <v>0</v>
      </c>
      <c r="U357" s="347">
        <f>база!$M$6</f>
        <v>279.0496</v>
      </c>
      <c r="V357" s="274">
        <v>1.4</v>
      </c>
      <c r="W357" s="312">
        <f>SUMIFS(Таблица1[сумма],Таблица1[коэф],"1,4",Таблица1[р/р],"5/24",Таблица1[Ф. И. О.],B352)</f>
        <v>0</v>
      </c>
      <c r="X357" s="343">
        <f>ROUND(U357*V357*W357,2)</f>
        <v>0</v>
      </c>
      <c r="Y357" s="850"/>
      <c r="Z357" s="841"/>
      <c r="AA357" s="844"/>
    </row>
    <row r="358" spans="1:30">
      <c r="A358" s="785">
        <v>33</v>
      </c>
      <c r="B358" s="236"/>
      <c r="C358" s="851">
        <f>INDEX(база!$E$2:$E$81, MATCH(B363,база!$B$2:$B$50,0))</f>
        <v>17270</v>
      </c>
      <c r="D358" s="852">
        <f>INDEX(база!$D$2:$D$89, MATCH(B363,база!$B$2:$B$50,0))</f>
        <v>3</v>
      </c>
      <c r="E358" s="73">
        <f>IF(D358&lt;=3,база!$I$4,
IF(D358=4,база!$I$5,
IF(D358=5,база!$I$6)))</f>
        <v>188.7912</v>
      </c>
      <c r="F358" s="270">
        <v>1</v>
      </c>
      <c r="G358" s="96">
        <f>SUMIFS(Таблица1[сумма],Таблица1[коэф],"1",Таблица1[р/р],"2/4",Таблица1[Ф. И. О.],B363)</f>
        <v>0</v>
      </c>
      <c r="H358" s="88">
        <f>ROUND(E358*F358*G358,2)</f>
        <v>0</v>
      </c>
      <c r="I358" s="338">
        <f>IF(D358&lt;=3,база!$J$4,
IF(D358=4,база!$J$5,
IF(D358=5,база!$J$6)))</f>
        <v>196.05240000000001</v>
      </c>
      <c r="J358" s="277">
        <v>1</v>
      </c>
      <c r="K358" s="288">
        <f>SUMIFS(Таблица1[сумма],Таблица1[коэф],"1",Таблица1[р/р],"2/8",Таблица1[Ф. И. О.],B363)</f>
        <v>0</v>
      </c>
      <c r="L358" s="288">
        <f>ROUND(I358*J358*K358,2)</f>
        <v>0</v>
      </c>
      <c r="M358" s="288"/>
      <c r="N358" s="288">
        <v>1</v>
      </c>
      <c r="O358" s="288">
        <f>SUMIFS(Data_Tech!$AM$3:$AM$67,Data_Tech!$E$3:$E$67,"1",Data_Tech!$G$3:$G$67,"3/12",Data_Tech!$F$3:$F$67,B363)</f>
        <v>0</v>
      </c>
      <c r="P358" s="281">
        <f>ROUND(M358*N358*O358,2)</f>
        <v>0</v>
      </c>
      <c r="Q358" s="73">
        <f>IF(D358&lt;=3,база!$L$4,
IF(D358=4,база!$L$5,
IF(D358=5,база!$L$6)))</f>
        <v>210.57480000000001</v>
      </c>
      <c r="R358" s="270">
        <v>1</v>
      </c>
      <c r="S358" s="96">
        <f>SUMIFS(Таблица1[сумма],Таблица1[коэф],"1",Таблица1[р/р],"3/16",Таблица1[Ф. И. О.],B363)</f>
        <v>0</v>
      </c>
      <c r="T358" s="88">
        <f t="shared" si="222"/>
        <v>0</v>
      </c>
      <c r="U358" s="339">
        <f>IF(D358&lt;=3,база!$M$4,
IF(D358=4,база!$M$5,
IF(D358=5,база!$M$6)))</f>
        <v>225.09719999999999</v>
      </c>
      <c r="V358" s="270">
        <v>1</v>
      </c>
      <c r="W358" s="340">
        <f>SUMIFS(Таблица1[сумма],Таблица1[коэф],"1",Таблица1[р/р],"3/24",Таблица1[Ф. И. О.],B363)</f>
        <v>0</v>
      </c>
      <c r="X358" s="342">
        <f>ROUND(U358*V358*W358,2)</f>
        <v>0</v>
      </c>
      <c r="Y358" s="849">
        <f t="shared" ref="Y358" si="224">SUM(G358:G368,K358:K368,O358:O368,S358:S368,W358:W368)</f>
        <v>0</v>
      </c>
      <c r="Z358" s="840">
        <f t="shared" ref="Z358" si="225">IFERROR(SUM(H358:H368,L358:L368,T358:T368,X358:X368),"")</f>
        <v>0</v>
      </c>
      <c r="AA358" s="843"/>
    </row>
    <row r="359" spans="1:30">
      <c r="A359" s="786"/>
      <c r="B359" s="216"/>
      <c r="C359" s="845"/>
      <c r="D359" s="847"/>
      <c r="E359" s="79">
        <f>IF(D358&lt;=3,база!$I$4,
IF(D358=4,база!$I$5,
IF(D358=5,база!$I$6)))</f>
        <v>188.7912</v>
      </c>
      <c r="F359" s="272">
        <v>1</v>
      </c>
      <c r="G359" s="99">
        <f>SUMIFS(Таблица1[сумма],Таблица1[коэф],"1",Таблица1[р/р],"3/4",Таблица1[Ф. И. О.],B363)</f>
        <v>0</v>
      </c>
      <c r="H359" s="95">
        <f>ROUND(E359*F359*G359,2)</f>
        <v>0</v>
      </c>
      <c r="I359" s="334">
        <f>IF(D358&lt;=3,база!$J$4,
IF(D358=4,база!$J$5,
IF(D358=5,база!$J$6)))</f>
        <v>196.05240000000001</v>
      </c>
      <c r="J359" s="279">
        <v>1</v>
      </c>
      <c r="K359" s="217">
        <f>SUMIFS(Таблица1[сумма],Таблица1[коэф],"1",Таблица1[р/р],"3/8",Таблица1[Ф. И. О.],B363)</f>
        <v>0</v>
      </c>
      <c r="L359" s="217">
        <f>ROUND(I359*J359*K359,2)</f>
        <v>0</v>
      </c>
      <c r="M359" s="217"/>
      <c r="N359" s="217">
        <v>1</v>
      </c>
      <c r="O359" s="217">
        <f>SUMIFS(Data_Tech!$AM$3:$AM$67,Data_Tech!$E$3:$E$67,"1",Data_Tech!$G$3:$G$67,"4/12",Data_Tech!$F$3:$F$67,B363)</f>
        <v>0</v>
      </c>
      <c r="P359" s="30">
        <f>ROUND(M359*O359,2)</f>
        <v>0</v>
      </c>
      <c r="Q359" s="79">
        <f>база!$L$5</f>
        <v>231.45480000000001</v>
      </c>
      <c r="R359" s="272">
        <v>1</v>
      </c>
      <c r="S359" s="99">
        <f>SUMIFS(Таблица1[сумма],Таблица1[коэф],"1",Таблица1[р/р],"4/16",Таблица1[Ф. И. О.],B363)</f>
        <v>0</v>
      </c>
      <c r="T359" s="95">
        <f t="shared" si="222"/>
        <v>0</v>
      </c>
      <c r="U359" s="314">
        <f>база!$M$5</f>
        <v>247.41720000000001</v>
      </c>
      <c r="V359" s="272">
        <v>1</v>
      </c>
      <c r="W359" s="307">
        <f>SUMIFS(Таблица1[сумма],Таблица1[коэф],"1",Таблица1[р/р],"4/24",Таблица1[Ф. И. О.],B363)</f>
        <v>0</v>
      </c>
      <c r="X359" s="313">
        <f t="shared" ref="X359" si="226">ROUND(U359*V359*W359,2)</f>
        <v>0</v>
      </c>
      <c r="Y359" s="849"/>
      <c r="Z359" s="840"/>
      <c r="AA359" s="843"/>
    </row>
    <row r="360" spans="1:30">
      <c r="A360" s="786"/>
      <c r="B360" s="216"/>
      <c r="C360" s="845"/>
      <c r="D360" s="847"/>
      <c r="E360" s="79"/>
      <c r="F360" s="272"/>
      <c r="G360" s="99"/>
      <c r="H360" s="95"/>
      <c r="I360" s="334"/>
      <c r="J360" s="279"/>
      <c r="K360" s="217"/>
      <c r="L360" s="217"/>
      <c r="M360" s="217"/>
      <c r="N360" s="217"/>
      <c r="O360" s="217"/>
      <c r="P360" s="30"/>
      <c r="Q360" s="79">
        <f>база!$L$6</f>
        <v>261.04640000000001</v>
      </c>
      <c r="R360" s="272">
        <v>1</v>
      </c>
      <c r="S360" s="99">
        <f>SUMIFS(Таблица1[сумма],Таблица1[коэф],"1",Таблица1[р/р],"5/16",Таблица1[Ф. И. О.],B363)</f>
        <v>0</v>
      </c>
      <c r="T360" s="95">
        <f t="shared" si="222"/>
        <v>0</v>
      </c>
      <c r="U360" s="314">
        <f>база!$M$6</f>
        <v>279.0496</v>
      </c>
      <c r="V360" s="272">
        <v>1</v>
      </c>
      <c r="W360" s="307">
        <f>SUMIFS(Таблица1[сумма],Таблица1[коэф],"1",Таблица1[р/р],"5/24",Таблица1[Ф. И. О.],B363)</f>
        <v>0</v>
      </c>
      <c r="X360" s="313">
        <f>ROUND(U360*V360*W360,2)</f>
        <v>0</v>
      </c>
      <c r="Y360" s="849"/>
      <c r="Z360" s="840"/>
      <c r="AA360" s="843"/>
    </row>
    <row r="361" spans="1:30">
      <c r="A361" s="786"/>
      <c r="B361" s="216"/>
      <c r="C361" s="845"/>
      <c r="D361" s="847"/>
      <c r="E361" s="79"/>
      <c r="F361" s="272"/>
      <c r="G361" s="99"/>
      <c r="H361" s="95"/>
      <c r="I361" s="334">
        <f>база!$J$5</f>
        <v>215.4924</v>
      </c>
      <c r="J361" s="279">
        <v>1.5</v>
      </c>
      <c r="K361" s="217">
        <f>SUMIFS(Таблица1[сумма],Таблица1[коэф],"1,5",Таблица1[р/р],"4/8",Таблица1[Ф. И. О.],B363)</f>
        <v>0</v>
      </c>
      <c r="L361" s="217">
        <f>ROUND(I361*J361*K361,2)</f>
        <v>0</v>
      </c>
      <c r="M361" s="217"/>
      <c r="N361" s="217"/>
      <c r="O361" s="217"/>
      <c r="P361" s="30"/>
      <c r="Q361" s="79">
        <f>IF(D358&lt;=3,база!$L$4,
IF(D358=4,база!$L$5,
IF(D358=5,база!$L$6)))</f>
        <v>210.57480000000001</v>
      </c>
      <c r="R361" s="272">
        <v>1.2</v>
      </c>
      <c r="S361" s="99">
        <f>SUMIFS(Таблица1[сумма],Таблица1[коэф],"1,2",Таблица1[р/р],"3/16",Таблица1[Ф. И. О.],B363)</f>
        <v>0</v>
      </c>
      <c r="T361" s="95">
        <f t="shared" si="222"/>
        <v>0</v>
      </c>
      <c r="U361" s="314">
        <f>IF(D358&lt;=3,база!$M$4,
IF(D358=4,база!$M$5,
IF(D358=5,база!$M$6)))</f>
        <v>225.09719999999999</v>
      </c>
      <c r="V361" s="272">
        <v>1.2</v>
      </c>
      <c r="W361" s="307">
        <f>SUMIFS(Таблица1[сумма],Таблица1[коэф],"1,2",Таблица1[р/р],"3/24",Таблица1[Ф. И. О.],B363)</f>
        <v>0</v>
      </c>
      <c r="X361" s="313">
        <f t="shared" ref="X361:X362" si="227">ROUND(U361*V361*W361,2)</f>
        <v>0</v>
      </c>
      <c r="Y361" s="849"/>
      <c r="Z361" s="840"/>
      <c r="AA361" s="843"/>
    </row>
    <row r="362" spans="1:30">
      <c r="A362" s="786"/>
      <c r="B362" s="216"/>
      <c r="C362" s="845"/>
      <c r="D362" s="847"/>
      <c r="E362" s="79"/>
      <c r="F362" s="272"/>
      <c r="G362" s="99"/>
      <c r="H362" s="95"/>
      <c r="I362" s="334">
        <f>база!$J$6</f>
        <v>243.04319999999998</v>
      </c>
      <c r="J362" s="279">
        <v>1.5</v>
      </c>
      <c r="K362" s="217">
        <f>SUMIFS(Таблица1[сумма],Таблица1[коэф],"1,5",Таблица1[р/р],"5/8",Таблица1[Ф. И. О.],B363)</f>
        <v>0</v>
      </c>
      <c r="L362" s="217">
        <f>ROUND(I362*J362*K362,2)</f>
        <v>0</v>
      </c>
      <c r="M362" s="217"/>
      <c r="N362" s="217"/>
      <c r="O362" s="217"/>
      <c r="P362" s="30"/>
      <c r="Q362" s="79">
        <f>база!$L$5</f>
        <v>231.45480000000001</v>
      </c>
      <c r="R362" s="272">
        <v>1.2</v>
      </c>
      <c r="S362" s="99">
        <f>SUMIFS(Таблица1[сумма],Таблица1[коэф],"1,2",Таблица1[р/р],"4/16",Таблица1[Ф. И. О.],B363)</f>
        <v>0</v>
      </c>
      <c r="T362" s="95">
        <f t="shared" si="222"/>
        <v>0</v>
      </c>
      <c r="U362" s="314">
        <f>база!$M$5</f>
        <v>247.41720000000001</v>
      </c>
      <c r="V362" s="272">
        <v>1.2</v>
      </c>
      <c r="W362" s="307">
        <f>SUMIFS(Таблица1[сумма],Таблица1[коэф],"1,2",Таблица1[р/р],"4/24",Таблица1[Ф. И. О.],B363)</f>
        <v>0</v>
      </c>
      <c r="X362" s="313">
        <f t="shared" si="227"/>
        <v>0</v>
      </c>
      <c r="Y362" s="849"/>
      <c r="Z362" s="840"/>
      <c r="AA362" s="843"/>
      <c r="AC362" s="722" t="str">
        <f>IF(SUMIFS(Таблица1[Столбец2],Таблица1[Ф. И. О.],B363)-Z358=0,"",SUMIFS(Таблица1[Столбец2],Таблица1[Ф. И. О.],B363)-Z358)</f>
        <v/>
      </c>
    </row>
    <row r="363" spans="1:30">
      <c r="A363" s="786"/>
      <c r="B363" s="216" t="str">
        <f>база!B34</f>
        <v>Кабакова Алина Дмитриевна</v>
      </c>
      <c r="C363" s="845"/>
      <c r="D363" s="847"/>
      <c r="E363" s="79"/>
      <c r="F363" s="272"/>
      <c r="G363" s="99"/>
      <c r="H363" s="95"/>
      <c r="I363" s="334"/>
      <c r="J363" s="279"/>
      <c r="K363" s="217"/>
      <c r="L363" s="217"/>
      <c r="M363" s="217"/>
      <c r="N363" s="217"/>
      <c r="O363" s="217"/>
      <c r="P363" s="30"/>
      <c r="Q363" s="79">
        <f>база!$L$6</f>
        <v>261.04640000000001</v>
      </c>
      <c r="R363" s="272">
        <v>1.2</v>
      </c>
      <c r="S363" s="99">
        <f>SUMIFS(Таблица1[сумма],Таблица1[коэф],"1,2",Таблица1[р/р],"5/16",Таблица1[Ф. И. О.],B363)</f>
        <v>0</v>
      </c>
      <c r="T363" s="95">
        <f>ROUND(Q363*R363*S363,2)</f>
        <v>0</v>
      </c>
      <c r="U363" s="314">
        <f>база!$M$6</f>
        <v>279.0496</v>
      </c>
      <c r="V363" s="272">
        <v>1.2</v>
      </c>
      <c r="W363" s="307">
        <f>SUMIFS(Таблица1[сумма],Таблица1[коэф],"1,2",Таблица1[р/р],"5/24",Таблица1[Ф. И. О.],B363)</f>
        <v>0</v>
      </c>
      <c r="X363" s="313">
        <f>ROUND(U363*V363*W363,2)</f>
        <v>0</v>
      </c>
      <c r="Y363" s="849"/>
      <c r="Z363" s="840"/>
      <c r="AA363" s="843"/>
      <c r="AC363" s="722" t="str">
        <f>IF(SUMIFS(Таблица1[сумма],Таблица1[Ф. И. О.],B363)=Y358,"",B358&amp;"  часы не верны")</f>
        <v/>
      </c>
      <c r="AD363" s="759">
        <f>INDEX('[2]декабрь 23'!$AI$4:$AI$100,MATCH(C358,'[2]декабрь 23'!$AK$4:$AK$100,0))</f>
        <v>129.60000000000002</v>
      </c>
    </row>
    <row r="364" spans="1:30">
      <c r="A364" s="786"/>
      <c r="B364" s="216"/>
      <c r="C364" s="845"/>
      <c r="D364" s="847"/>
      <c r="E364" s="79"/>
      <c r="F364" s="272"/>
      <c r="G364" s="99"/>
      <c r="H364" s="95"/>
      <c r="I364" s="334"/>
      <c r="J364" s="279"/>
      <c r="K364" s="217"/>
      <c r="L364" s="217"/>
      <c r="M364" s="217"/>
      <c r="N364" s="217"/>
      <c r="O364" s="217"/>
      <c r="P364" s="30"/>
      <c r="Q364" s="79">
        <f>IF($D$6&lt;=3,база!$L$4,
IF($D$6=4,база!$L$5,
IF($D$6=5,база!$L$6)))</f>
        <v>231.45480000000001</v>
      </c>
      <c r="R364" s="272">
        <v>1.3</v>
      </c>
      <c r="S364" s="99">
        <f>SUMIFS(Таблица1[сумма],Таблица1[коэф],"1,3",Таблица1[р/р],"3/16",Таблица1[Ф. И. О.],B363)</f>
        <v>0</v>
      </c>
      <c r="T364" s="95">
        <f t="shared" ref="T364:T373" si="228">ROUND(Q364*R364*S364,2)</f>
        <v>0</v>
      </c>
      <c r="U364" s="314">
        <f>IF(D358&lt;=3,база!$M$4,
IF(D358=4,база!$M$5,
IF(D358=5,база!$M$6)))</f>
        <v>225.09719999999999</v>
      </c>
      <c r="V364" s="272">
        <v>1.3</v>
      </c>
      <c r="W364" s="307">
        <f>SUMIFS(Таблица1[сумма],Таблица1[коэф],"1,3",Таблица1[р/р],"3/24",Таблица1[Ф. И. О.],B363)</f>
        <v>0</v>
      </c>
      <c r="X364" s="313">
        <f t="shared" ref="X364:X365" si="229">ROUND(U364*V364*W364,2)</f>
        <v>0</v>
      </c>
      <c r="Y364" s="849"/>
      <c r="Z364" s="840"/>
      <c r="AA364" s="843"/>
    </row>
    <row r="365" spans="1:30">
      <c r="A365" s="786"/>
      <c r="B365" s="216"/>
      <c r="C365" s="845"/>
      <c r="D365" s="847"/>
      <c r="E365" s="79"/>
      <c r="F365" s="272"/>
      <c r="G365" s="99"/>
      <c r="H365" s="95"/>
      <c r="I365" s="334"/>
      <c r="J365" s="279"/>
      <c r="K365" s="217"/>
      <c r="L365" s="217"/>
      <c r="M365" s="217"/>
      <c r="N365" s="217"/>
      <c r="O365" s="217"/>
      <c r="P365" s="30"/>
      <c r="Q365" s="79">
        <f>база!$L$5</f>
        <v>231.45480000000001</v>
      </c>
      <c r="R365" s="272">
        <v>1.3</v>
      </c>
      <c r="S365" s="99">
        <f>SUMIFS(Таблица1[сумма],Таблица1[коэф],"1,3",Таблица1[р/р],"4/16",Таблица1[Ф. И. О.],B363)</f>
        <v>0</v>
      </c>
      <c r="T365" s="95">
        <f t="shared" si="228"/>
        <v>0</v>
      </c>
      <c r="U365" s="314">
        <f>база!$M$5</f>
        <v>247.41720000000001</v>
      </c>
      <c r="V365" s="272">
        <v>1.3</v>
      </c>
      <c r="W365" s="307">
        <f>SUMIFS(Таблица1[сумма],Таблица1[коэф],"1,3",Таблица1[р/р],"4/24",Таблица1[Ф. И. О.],B363)</f>
        <v>0</v>
      </c>
      <c r="X365" s="313">
        <f t="shared" si="229"/>
        <v>0</v>
      </c>
      <c r="Y365" s="849"/>
      <c r="Z365" s="840"/>
      <c r="AA365" s="843"/>
    </row>
    <row r="366" spans="1:30">
      <c r="A366" s="786"/>
      <c r="B366" s="216"/>
      <c r="C366" s="845"/>
      <c r="D366" s="847"/>
      <c r="E366" s="79"/>
      <c r="F366" s="272"/>
      <c r="G366" s="99"/>
      <c r="H366" s="95"/>
      <c r="I366" s="334"/>
      <c r="J366" s="279"/>
      <c r="K366" s="217"/>
      <c r="L366" s="217"/>
      <c r="M366" s="217"/>
      <c r="N366" s="217"/>
      <c r="O366" s="217"/>
      <c r="P366" s="30"/>
      <c r="Q366" s="79">
        <f>IF(D358&lt;=3,база!$L$4,
IF(D358=4,база!$L$5,
IF(D358=5,база!$L$6)))</f>
        <v>210.57480000000001</v>
      </c>
      <c r="R366" s="272">
        <v>1.4</v>
      </c>
      <c r="S366" s="99">
        <f>SUMIFS(Таблица1[сумма],Таблица1[коэф],"1,4",Таблица1[р/р],"3/16",Таблица1[Ф. И. О.],B363)</f>
        <v>0</v>
      </c>
      <c r="T366" s="95">
        <f t="shared" si="228"/>
        <v>0</v>
      </c>
      <c r="U366" s="314">
        <f>IF(D358&lt;=3,база!$M$4,
IF(D358=4,база!$M$5,
IF(D358=5,база!$M$6)))</f>
        <v>225.09719999999999</v>
      </c>
      <c r="V366" s="272">
        <v>1.4</v>
      </c>
      <c r="W366" s="307">
        <f>SUMIFS(Таблица1[сумма],Таблица1[коэф],"1,4",Таблица1[р/р],"3/24",Таблица1[Ф. И. О.],B363)</f>
        <v>0</v>
      </c>
      <c r="X366" s="313">
        <f>ROUND(U366*V366*W366,2)</f>
        <v>0</v>
      </c>
      <c r="Y366" s="849"/>
      <c r="Z366" s="840"/>
      <c r="AA366" s="843"/>
    </row>
    <row r="367" spans="1:30">
      <c r="A367" s="786"/>
      <c r="B367" s="216"/>
      <c r="C367" s="845"/>
      <c r="D367" s="847"/>
      <c r="E367" s="79"/>
      <c r="F367" s="272"/>
      <c r="G367" s="99"/>
      <c r="H367" s="95"/>
      <c r="I367" s="334"/>
      <c r="J367" s="279"/>
      <c r="K367" s="217"/>
      <c r="L367" s="217"/>
      <c r="M367" s="217"/>
      <c r="N367" s="217"/>
      <c r="O367" s="217"/>
      <c r="P367" s="30"/>
      <c r="Q367" s="79">
        <f>база!$L$5</f>
        <v>231.45480000000001</v>
      </c>
      <c r="R367" s="272">
        <v>1.4</v>
      </c>
      <c r="S367" s="99">
        <f>SUMIFS(Таблица1[сумма],Таблица1[коэф],"1,4",Таблица1[р/р],"4/16",Таблица1[Ф. И. О.],B363)</f>
        <v>0</v>
      </c>
      <c r="T367" s="95">
        <f t="shared" si="228"/>
        <v>0</v>
      </c>
      <c r="U367" s="314">
        <f>база!$M$5</f>
        <v>247.41720000000001</v>
      </c>
      <c r="V367" s="272">
        <v>1.4</v>
      </c>
      <c r="W367" s="307">
        <f>SUMIFS(Таблица1[сумма],Таблица1[коэф],"1,4",Таблица1[р/р],"4/24",Таблица1[Ф. И. О.],B363)</f>
        <v>0</v>
      </c>
      <c r="X367" s="313">
        <f>ROUND(U367*V367*W367,2)</f>
        <v>0</v>
      </c>
      <c r="Y367" s="849"/>
      <c r="Z367" s="840"/>
      <c r="AA367" s="843"/>
    </row>
    <row r="368" spans="1:30" ht="24" thickBot="1">
      <c r="A368" s="787"/>
      <c r="B368" s="203"/>
      <c r="C368" s="846"/>
      <c r="D368" s="848"/>
      <c r="E368" s="102"/>
      <c r="F368" s="274"/>
      <c r="G368" s="98"/>
      <c r="H368" s="91"/>
      <c r="I368" s="348"/>
      <c r="J368" s="280"/>
      <c r="K368" s="289"/>
      <c r="L368" s="289"/>
      <c r="M368" s="289"/>
      <c r="N368" s="289"/>
      <c r="O368" s="289"/>
      <c r="P368" s="315"/>
      <c r="Q368" s="102">
        <f>база!$L$6</f>
        <v>261.04640000000001</v>
      </c>
      <c r="R368" s="274">
        <v>1.4</v>
      </c>
      <c r="S368" s="98">
        <f>SUMIFS(Таблица1[сумма],Таблица1[коэф],"1,4",Таблица1[р/р],"5/16",Таблица1[Ф. И. О.],B363)</f>
        <v>0</v>
      </c>
      <c r="T368" s="91">
        <f t="shared" si="228"/>
        <v>0</v>
      </c>
      <c r="U368" s="347">
        <f>база!$M$6</f>
        <v>279.0496</v>
      </c>
      <c r="V368" s="274">
        <v>1.4</v>
      </c>
      <c r="W368" s="312">
        <f>SUMIFS(Таблица1[сумма],Таблица1[коэф],"1,4",Таблица1[р/р],"5/24",Таблица1[Ф. И. О.],B363)</f>
        <v>0</v>
      </c>
      <c r="X368" s="343">
        <f>ROUND(U368*V368*W368,2)</f>
        <v>0</v>
      </c>
      <c r="Y368" s="850"/>
      <c r="Z368" s="841"/>
      <c r="AA368" s="844"/>
    </row>
    <row r="369" spans="1:30">
      <c r="A369" s="785">
        <v>34</v>
      </c>
      <c r="B369" s="236"/>
      <c r="C369" s="851">
        <f>INDEX(база!$E$2:$E$81, MATCH(B374,база!$B$2:$B$50,0))</f>
        <v>16919</v>
      </c>
      <c r="D369" s="852">
        <f>INDEX(база!$D$2:$D$89, MATCH(B374,база!$B$2:$B$50,0))</f>
        <v>3</v>
      </c>
      <c r="E369" s="73">
        <f>IF(D369&lt;=3,база!$I$4,
IF(D369=4,база!$I$5,
IF(D369=5,база!$I$6)))</f>
        <v>188.7912</v>
      </c>
      <c r="F369" s="270">
        <v>1</v>
      </c>
      <c r="G369" s="96">
        <f>SUMIFS(Таблица1[сумма],Таблица1[коэф],"1",Таблица1[р/р],"2/4",Таблица1[Ф. И. О.],B374)</f>
        <v>0</v>
      </c>
      <c r="H369" s="88">
        <f>ROUND(E369*F369*G369,2)</f>
        <v>0</v>
      </c>
      <c r="I369" s="338">
        <f>IF(D369&lt;=3,база!$J$4,
IF(D369=4,база!$J$5,
IF(D369=5,база!$J$6)))</f>
        <v>196.05240000000001</v>
      </c>
      <c r="J369" s="277">
        <v>1</v>
      </c>
      <c r="K369" s="288">
        <f>SUMIFS(Таблица1[сумма],Таблица1[коэф],"1",Таблица1[р/р],"2/8",Таблица1[Ф. И. О.],B374)</f>
        <v>0</v>
      </c>
      <c r="L369" s="288">
        <f>ROUND(I369*J369*K369,2)</f>
        <v>0</v>
      </c>
      <c r="M369" s="288"/>
      <c r="N369" s="288">
        <v>1</v>
      </c>
      <c r="O369" s="288">
        <f>SUMIFS(Data_Tech!$AM$3:$AM$67,Data_Tech!$E$3:$E$67,"1",Data_Tech!$G$3:$G$67,"3/12",Data_Tech!$F$3:$F$67,B374)</f>
        <v>0</v>
      </c>
      <c r="P369" s="281">
        <f>ROUND(M369*N369*O369,2)</f>
        <v>0</v>
      </c>
      <c r="Q369" s="73">
        <f>IF(D369&lt;=3,база!$L$4,
IF(D369=4,база!$L$5,
IF(D369=5,база!$L$6)))</f>
        <v>210.57480000000001</v>
      </c>
      <c r="R369" s="270">
        <v>1</v>
      </c>
      <c r="S369" s="96">
        <f>SUMIFS(Таблица1[сумма],Таблица1[коэф],"1",Таблица1[р/р],"3/16",Таблица1[Ф. И. О.],B374)</f>
        <v>0</v>
      </c>
      <c r="T369" s="88">
        <f t="shared" si="228"/>
        <v>0</v>
      </c>
      <c r="U369" s="339">
        <f>IF(D369&lt;=3,база!$M$4,
IF(D369=4,база!$M$5,
IF(D369=5,база!$M$6)))</f>
        <v>225.09719999999999</v>
      </c>
      <c r="V369" s="270">
        <v>1</v>
      </c>
      <c r="W369" s="340">
        <f>SUMIFS(Таблица1[сумма],Таблица1[коэф],"1",Таблица1[р/р],"3/24",Таблица1[Ф. И. О.],B374)</f>
        <v>0</v>
      </c>
      <c r="X369" s="342">
        <f>ROUND(U369*V369*W369,2)</f>
        <v>0</v>
      </c>
      <c r="Y369" s="849">
        <f t="shared" ref="Y369" si="230">SUM(G369:G379,K369:K379,O369:O379,S369:S379,W369:W379)</f>
        <v>0</v>
      </c>
      <c r="Z369" s="840">
        <f t="shared" ref="Z369" si="231">IFERROR(SUM(H369:H379,L369:L379,T369:T379,X369:X379),"")</f>
        <v>0</v>
      </c>
      <c r="AA369" s="843"/>
    </row>
    <row r="370" spans="1:30">
      <c r="A370" s="786"/>
      <c r="B370" s="216"/>
      <c r="C370" s="845"/>
      <c r="D370" s="847"/>
      <c r="E370" s="79">
        <f>IF(D369&lt;=3,база!$I$4,
IF(D369=4,база!$I$5,
IF(D369=5,база!$I$6)))</f>
        <v>188.7912</v>
      </c>
      <c r="F370" s="272">
        <v>1</v>
      </c>
      <c r="G370" s="99">
        <f>SUMIFS(Таблица1[сумма],Таблица1[коэф],"1",Таблица1[р/р],"3/4",Таблица1[Ф. И. О.],B374)</f>
        <v>0</v>
      </c>
      <c r="H370" s="95">
        <f>ROUND(E370*F370*G370,2)</f>
        <v>0</v>
      </c>
      <c r="I370" s="334">
        <f>IF(D369&lt;=3,база!$J$4,
IF(D369=4,база!$J$5,
IF(D369=5,база!$J$6)))</f>
        <v>196.05240000000001</v>
      </c>
      <c r="J370" s="279">
        <v>1</v>
      </c>
      <c r="K370" s="217">
        <f>SUMIFS(Таблица1[сумма],Таблица1[коэф],"1",Таблица1[р/р],"3/8",Таблица1[Ф. И. О.],B374)</f>
        <v>0</v>
      </c>
      <c r="L370" s="217">
        <f>ROUND(I370*J370*K370,2)</f>
        <v>0</v>
      </c>
      <c r="M370" s="217"/>
      <c r="N370" s="217">
        <v>1</v>
      </c>
      <c r="O370" s="217">
        <f>SUMIFS(Data_Tech!$AM$3:$AM$67,Data_Tech!$E$3:$E$67,"1",Data_Tech!$G$3:$G$67,"4/12",Data_Tech!$F$3:$F$67,B374)</f>
        <v>0</v>
      </c>
      <c r="P370" s="30">
        <f>ROUND(M370*O370,2)</f>
        <v>0</v>
      </c>
      <c r="Q370" s="79">
        <f>база!$L$5</f>
        <v>231.45480000000001</v>
      </c>
      <c r="R370" s="272">
        <v>1</v>
      </c>
      <c r="S370" s="99">
        <f>SUMIFS(Таблица1[сумма],Таблица1[коэф],"1",Таблица1[р/р],"4/16",Таблица1[Ф. И. О.],B374)</f>
        <v>0</v>
      </c>
      <c r="T370" s="95">
        <f t="shared" si="228"/>
        <v>0</v>
      </c>
      <c r="U370" s="314">
        <f>база!$M$5</f>
        <v>247.41720000000001</v>
      </c>
      <c r="V370" s="272">
        <v>1</v>
      </c>
      <c r="W370" s="307">
        <f>SUMIFS(Таблица1[сумма],Таблица1[коэф],"1",Таблица1[р/р],"4/24",Таблица1[Ф. И. О.],B374)</f>
        <v>0</v>
      </c>
      <c r="X370" s="313">
        <f t="shared" ref="X370" si="232">ROUND(U370*V370*W370,2)</f>
        <v>0</v>
      </c>
      <c r="Y370" s="849"/>
      <c r="Z370" s="840"/>
      <c r="AA370" s="843"/>
    </row>
    <row r="371" spans="1:30">
      <c r="A371" s="786"/>
      <c r="B371" s="216"/>
      <c r="C371" s="845"/>
      <c r="D371" s="847"/>
      <c r="E371" s="79"/>
      <c r="F371" s="272"/>
      <c r="G371" s="99"/>
      <c r="H371" s="95"/>
      <c r="I371" s="334"/>
      <c r="J371" s="279"/>
      <c r="K371" s="217"/>
      <c r="L371" s="217"/>
      <c r="M371" s="217"/>
      <c r="N371" s="217"/>
      <c r="O371" s="217"/>
      <c r="P371" s="30"/>
      <c r="Q371" s="79">
        <f>база!$L$6</f>
        <v>261.04640000000001</v>
      </c>
      <c r="R371" s="272">
        <v>1</v>
      </c>
      <c r="S371" s="99">
        <f>SUMIFS(Таблица1[сумма],Таблица1[коэф],"1",Таблица1[р/р],"5/16",Таблица1[Ф. И. О.],B374)</f>
        <v>0</v>
      </c>
      <c r="T371" s="95">
        <f t="shared" si="228"/>
        <v>0</v>
      </c>
      <c r="U371" s="314">
        <f>база!$M$6</f>
        <v>279.0496</v>
      </c>
      <c r="V371" s="272">
        <v>1</v>
      </c>
      <c r="W371" s="307">
        <f>SUMIFS(Таблица1[сумма],Таблица1[коэф],"1",Таблица1[р/р],"5/24",Таблица1[Ф. И. О.],B374)</f>
        <v>0</v>
      </c>
      <c r="X371" s="313">
        <f>ROUND(U371*V371*W371,2)</f>
        <v>0</v>
      </c>
      <c r="Y371" s="849"/>
      <c r="Z371" s="840"/>
      <c r="AA371" s="843"/>
    </row>
    <row r="372" spans="1:30">
      <c r="A372" s="786"/>
      <c r="B372" s="216"/>
      <c r="C372" s="845"/>
      <c r="D372" s="847"/>
      <c r="E372" s="79"/>
      <c r="F372" s="272"/>
      <c r="G372" s="99"/>
      <c r="H372" s="95"/>
      <c r="I372" s="334">
        <f>база!$J$5</f>
        <v>215.4924</v>
      </c>
      <c r="J372" s="279">
        <v>1.5</v>
      </c>
      <c r="K372" s="217">
        <f>SUMIFS(Таблица1[сумма],Таблица1[коэф],"1,5",Таблица1[р/р],"4/8",Таблица1[Ф. И. О.],B374)</f>
        <v>0</v>
      </c>
      <c r="L372" s="217">
        <f>ROUND(I372*J372*K372,2)</f>
        <v>0</v>
      </c>
      <c r="M372" s="217"/>
      <c r="N372" s="217"/>
      <c r="O372" s="217"/>
      <c r="P372" s="30"/>
      <c r="Q372" s="79">
        <f>IF(D369&lt;=3,база!$L$4,
IF(D369=4,база!$L$5,
IF(D369=5,база!$L$6)))</f>
        <v>210.57480000000001</v>
      </c>
      <c r="R372" s="272">
        <v>1.2</v>
      </c>
      <c r="S372" s="99">
        <f>SUMIFS(Таблица1[сумма],Таблица1[коэф],"1,2",Таблица1[р/р],"3/16",Таблица1[Ф. И. О.],B374)</f>
        <v>0</v>
      </c>
      <c r="T372" s="95">
        <f t="shared" si="228"/>
        <v>0</v>
      </c>
      <c r="U372" s="314">
        <f>IF(D369&lt;=3,база!$M$4,
IF(D369=4,база!$M$5,
IF(D369=5,база!$M$6)))</f>
        <v>225.09719999999999</v>
      </c>
      <c r="V372" s="272">
        <v>1.2</v>
      </c>
      <c r="W372" s="307">
        <f>SUMIFS(Таблица1[сумма],Таблица1[коэф],"1,2",Таблица1[р/р],"3/24",Таблица1[Ф. И. О.],B374)</f>
        <v>0</v>
      </c>
      <c r="X372" s="313">
        <f t="shared" ref="X372:X373" si="233">ROUND(U372*V372*W372,2)</f>
        <v>0</v>
      </c>
      <c r="Y372" s="849"/>
      <c r="Z372" s="840"/>
      <c r="AA372" s="843"/>
    </row>
    <row r="373" spans="1:30">
      <c r="A373" s="786"/>
      <c r="B373" s="216"/>
      <c r="C373" s="845"/>
      <c r="D373" s="847"/>
      <c r="E373" s="79"/>
      <c r="F373" s="272"/>
      <c r="G373" s="99"/>
      <c r="H373" s="95"/>
      <c r="I373" s="334">
        <f>база!$J$6</f>
        <v>243.04319999999998</v>
      </c>
      <c r="J373" s="279">
        <v>1.5</v>
      </c>
      <c r="K373" s="217">
        <f>SUMIFS(Таблица1[сумма],Таблица1[коэф],"1,5",Таблица1[р/р],"5/8",Таблица1[Ф. И. О.],B374)</f>
        <v>0</v>
      </c>
      <c r="L373" s="217">
        <f>ROUND(I373*J373*K373,2)</f>
        <v>0</v>
      </c>
      <c r="M373" s="217"/>
      <c r="N373" s="217"/>
      <c r="O373" s="217"/>
      <c r="P373" s="30"/>
      <c r="Q373" s="79">
        <f>база!$L$5</f>
        <v>231.45480000000001</v>
      </c>
      <c r="R373" s="272">
        <v>1.2</v>
      </c>
      <c r="S373" s="99">
        <f>SUMIFS(Таблица1[сумма],Таблица1[коэф],"1,2",Таблица1[р/р],"4/16",Таблица1[Ф. И. О.],B374)</f>
        <v>0</v>
      </c>
      <c r="T373" s="95">
        <f t="shared" si="228"/>
        <v>0</v>
      </c>
      <c r="U373" s="314">
        <f>база!$M$5</f>
        <v>247.41720000000001</v>
      </c>
      <c r="V373" s="272">
        <v>1.2</v>
      </c>
      <c r="W373" s="307">
        <f>SUMIFS(Таблица1[сумма],Таблица1[коэф],"1,2",Таблица1[р/р],"4/24",Таблица1[Ф. И. О.],B374)</f>
        <v>0</v>
      </c>
      <c r="X373" s="313">
        <f t="shared" si="233"/>
        <v>0</v>
      </c>
      <c r="Y373" s="849"/>
      <c r="Z373" s="840"/>
      <c r="AA373" s="843"/>
      <c r="AC373" s="722" t="str">
        <f>IF(SUMIFS(Таблица1[Столбец2],Таблица1[Ф. И. О.],B374)-Z369=0,"",SUMIFS(Таблица1[Столбец2],Таблица1[Ф. И. О.],B374)-Z369)</f>
        <v/>
      </c>
    </row>
    <row r="374" spans="1:30">
      <c r="A374" s="786"/>
      <c r="B374" s="216" t="str">
        <f>база!B35</f>
        <v>Кабанова Анастасия Евгеньевна</v>
      </c>
      <c r="C374" s="845"/>
      <c r="D374" s="847"/>
      <c r="E374" s="79"/>
      <c r="F374" s="272"/>
      <c r="G374" s="99"/>
      <c r="H374" s="95"/>
      <c r="I374" s="334"/>
      <c r="J374" s="279"/>
      <c r="K374" s="217"/>
      <c r="L374" s="217"/>
      <c r="M374" s="217"/>
      <c r="N374" s="217"/>
      <c r="O374" s="217"/>
      <c r="P374" s="30"/>
      <c r="Q374" s="79">
        <f>база!$L$6</f>
        <v>261.04640000000001</v>
      </c>
      <c r="R374" s="272">
        <v>1.2</v>
      </c>
      <c r="S374" s="99">
        <f>SUMIFS(Таблица1[сумма],Таблица1[коэф],"1,2",Таблица1[р/р],"5/16",Таблица1[Ф. И. О.],B374)</f>
        <v>0</v>
      </c>
      <c r="T374" s="95">
        <f>ROUND(Q374*R374*S374,2)</f>
        <v>0</v>
      </c>
      <c r="U374" s="314">
        <f>база!$M$6</f>
        <v>279.0496</v>
      </c>
      <c r="V374" s="272">
        <v>1.2</v>
      </c>
      <c r="W374" s="307">
        <f>SUMIFS(Таблица1[сумма],Таблица1[коэф],"1,2",Таблица1[р/р],"5/24",Таблица1[Ф. И. О.],B374)</f>
        <v>0</v>
      </c>
      <c r="X374" s="313">
        <f>ROUND(U374*V374*W374,2)</f>
        <v>0</v>
      </c>
      <c r="Y374" s="849"/>
      <c r="Z374" s="840"/>
      <c r="AA374" s="843"/>
      <c r="AC374" s="722" t="str">
        <f>IF(SUMIFS(Таблица1[сумма],Таблица1[Ф. И. О.],B374)=Y369,"",B369&amp;"  часы не верны")</f>
        <v/>
      </c>
      <c r="AD374" s="759">
        <f>INDEX('[2]декабрь 23'!$AI$4:$AI$100,MATCH(C369,'[2]декабрь 23'!$AK$4:$AK$100,0))</f>
        <v>151.19999999999999</v>
      </c>
    </row>
    <row r="375" spans="1:30">
      <c r="A375" s="786"/>
      <c r="B375" s="216"/>
      <c r="C375" s="845"/>
      <c r="D375" s="847"/>
      <c r="E375" s="79"/>
      <c r="F375" s="272"/>
      <c r="G375" s="99"/>
      <c r="H375" s="95"/>
      <c r="I375" s="334"/>
      <c r="J375" s="279"/>
      <c r="K375" s="217"/>
      <c r="L375" s="217"/>
      <c r="M375" s="217"/>
      <c r="N375" s="217"/>
      <c r="O375" s="217"/>
      <c r="P375" s="30"/>
      <c r="Q375" s="79">
        <f>IF($D$6&lt;=3,база!$L$4,
IF($D$6=4,база!$L$5,
IF($D$6=5,база!$L$6)))</f>
        <v>231.45480000000001</v>
      </c>
      <c r="R375" s="272">
        <v>1.3</v>
      </c>
      <c r="S375" s="99">
        <f>SUMIFS(Таблица1[сумма],Таблица1[коэф],"1,3",Таблица1[р/р],"3/16",Таблица1[Ф. И. О.],B374)</f>
        <v>0</v>
      </c>
      <c r="T375" s="95">
        <f t="shared" ref="T375:T384" si="234">ROUND(Q375*R375*S375,2)</f>
        <v>0</v>
      </c>
      <c r="U375" s="314">
        <f>IF(D369&lt;=3,база!$M$4,
IF(D369=4,база!$M$5,
IF(D369=5,база!$M$6)))</f>
        <v>225.09719999999999</v>
      </c>
      <c r="V375" s="272">
        <v>1.3</v>
      </c>
      <c r="W375" s="307">
        <f>SUMIFS(Таблица1[сумма],Таблица1[коэф],"1,3",Таблица1[р/р],"3/24",Таблица1[Ф. И. О.],B374)</f>
        <v>0</v>
      </c>
      <c r="X375" s="313">
        <f t="shared" ref="X375:X376" si="235">ROUND(U375*V375*W375,2)</f>
        <v>0</v>
      </c>
      <c r="Y375" s="849"/>
      <c r="Z375" s="840"/>
      <c r="AA375" s="843"/>
    </row>
    <row r="376" spans="1:30">
      <c r="A376" s="786"/>
      <c r="B376" s="216"/>
      <c r="C376" s="845"/>
      <c r="D376" s="847"/>
      <c r="E376" s="79"/>
      <c r="F376" s="272"/>
      <c r="G376" s="99"/>
      <c r="H376" s="95"/>
      <c r="I376" s="334"/>
      <c r="J376" s="279"/>
      <c r="K376" s="217"/>
      <c r="L376" s="217"/>
      <c r="M376" s="217"/>
      <c r="N376" s="217"/>
      <c r="O376" s="217"/>
      <c r="P376" s="30"/>
      <c r="Q376" s="79">
        <f>база!$L$5</f>
        <v>231.45480000000001</v>
      </c>
      <c r="R376" s="272">
        <v>1.3</v>
      </c>
      <c r="S376" s="99">
        <f>SUMIFS(Таблица1[сумма],Таблица1[коэф],"1,3",Таблица1[р/р],"4/16",Таблица1[Ф. И. О.],B374)</f>
        <v>0</v>
      </c>
      <c r="T376" s="95">
        <f t="shared" si="234"/>
        <v>0</v>
      </c>
      <c r="U376" s="314">
        <f>база!$M$5</f>
        <v>247.41720000000001</v>
      </c>
      <c r="V376" s="272">
        <v>1.3</v>
      </c>
      <c r="W376" s="307">
        <f>SUMIFS(Таблица1[сумма],Таблица1[коэф],"1,3",Таблица1[р/р],"4/24",Таблица1[Ф. И. О.],B374)</f>
        <v>0</v>
      </c>
      <c r="X376" s="313">
        <f t="shared" si="235"/>
        <v>0</v>
      </c>
      <c r="Y376" s="849"/>
      <c r="Z376" s="840"/>
      <c r="AA376" s="843"/>
    </row>
    <row r="377" spans="1:30">
      <c r="A377" s="786"/>
      <c r="B377" s="216"/>
      <c r="C377" s="845"/>
      <c r="D377" s="847"/>
      <c r="E377" s="79"/>
      <c r="F377" s="272"/>
      <c r="G377" s="99"/>
      <c r="H377" s="95"/>
      <c r="I377" s="334"/>
      <c r="J377" s="279"/>
      <c r="K377" s="217"/>
      <c r="L377" s="217"/>
      <c r="M377" s="217"/>
      <c r="N377" s="217"/>
      <c r="O377" s="217"/>
      <c r="P377" s="30"/>
      <c r="Q377" s="79">
        <f>IF(D369&lt;=3,база!$L$4,
IF(D369=4,база!$L$5,
IF(D369=5,база!$L$6)))</f>
        <v>210.57480000000001</v>
      </c>
      <c r="R377" s="272">
        <v>1.4</v>
      </c>
      <c r="S377" s="99">
        <f>SUMIFS(Таблица1[сумма],Таблица1[коэф],"1,4",Таблица1[р/р],"3/16",Таблица1[Ф. И. О.],B374)</f>
        <v>0</v>
      </c>
      <c r="T377" s="95">
        <f t="shared" si="234"/>
        <v>0</v>
      </c>
      <c r="U377" s="314">
        <f>IF(D369&lt;=3,база!$M$4,
IF(D369=4,база!$M$5,
IF(D369=5,база!$M$6)))</f>
        <v>225.09719999999999</v>
      </c>
      <c r="V377" s="272">
        <v>1.4</v>
      </c>
      <c r="W377" s="307">
        <f>SUMIFS(Таблица1[сумма],Таблица1[коэф],"1,4",Таблица1[р/р],"3/24",Таблица1[Ф. И. О.],B374)</f>
        <v>0</v>
      </c>
      <c r="X377" s="313">
        <f>ROUND(U377*V377*W377,2)</f>
        <v>0</v>
      </c>
      <c r="Y377" s="849"/>
      <c r="Z377" s="840"/>
      <c r="AA377" s="843"/>
    </row>
    <row r="378" spans="1:30">
      <c r="A378" s="786"/>
      <c r="B378" s="216"/>
      <c r="C378" s="845"/>
      <c r="D378" s="847"/>
      <c r="E378" s="79"/>
      <c r="F378" s="272"/>
      <c r="G378" s="99"/>
      <c r="H378" s="95"/>
      <c r="I378" s="334"/>
      <c r="J378" s="279"/>
      <c r="K378" s="217"/>
      <c r="L378" s="217"/>
      <c r="M378" s="217"/>
      <c r="N378" s="217"/>
      <c r="O378" s="217"/>
      <c r="P378" s="30"/>
      <c r="Q378" s="79">
        <f>база!$L$5</f>
        <v>231.45480000000001</v>
      </c>
      <c r="R378" s="272">
        <v>1.4</v>
      </c>
      <c r="S378" s="99">
        <f>SUMIFS(Таблица1[сумма],Таблица1[коэф],"1,4",Таблица1[р/р],"4/16",Таблица1[Ф. И. О.],B374)</f>
        <v>0</v>
      </c>
      <c r="T378" s="95">
        <f t="shared" si="234"/>
        <v>0</v>
      </c>
      <c r="U378" s="314">
        <f>база!$M$5</f>
        <v>247.41720000000001</v>
      </c>
      <c r="V378" s="272">
        <v>1.4</v>
      </c>
      <c r="W378" s="307">
        <f>SUMIFS(Таблица1[сумма],Таблица1[коэф],"1,4",Таблица1[р/р],"4/24",Таблица1[Ф. И. О.],B374)</f>
        <v>0</v>
      </c>
      <c r="X378" s="313">
        <f>ROUND(U378*V378*W378,2)</f>
        <v>0</v>
      </c>
      <c r="Y378" s="849"/>
      <c r="Z378" s="840"/>
      <c r="AA378" s="843"/>
    </row>
    <row r="379" spans="1:30" ht="24" thickBot="1">
      <c r="A379" s="787"/>
      <c r="B379" s="203"/>
      <c r="C379" s="846"/>
      <c r="D379" s="848"/>
      <c r="E379" s="102"/>
      <c r="F379" s="274"/>
      <c r="G379" s="98"/>
      <c r="H379" s="91"/>
      <c r="I379" s="348"/>
      <c r="J379" s="280"/>
      <c r="K379" s="289"/>
      <c r="L379" s="289"/>
      <c r="M379" s="289"/>
      <c r="N379" s="289"/>
      <c r="O379" s="289"/>
      <c r="P379" s="315"/>
      <c r="Q379" s="102">
        <f>база!$L$6</f>
        <v>261.04640000000001</v>
      </c>
      <c r="R379" s="274">
        <v>1.4</v>
      </c>
      <c r="S379" s="98">
        <f>SUMIFS(Таблица1[сумма],Таблица1[коэф],"1,4",Таблица1[р/р],"5/16",Таблица1[Ф. И. О.],B374)</f>
        <v>0</v>
      </c>
      <c r="T379" s="91">
        <f t="shared" si="234"/>
        <v>0</v>
      </c>
      <c r="U379" s="347">
        <f>база!$M$6</f>
        <v>279.0496</v>
      </c>
      <c r="V379" s="274">
        <v>1.4</v>
      </c>
      <c r="W379" s="312">
        <f>SUMIFS(Таблица1[сумма],Таблица1[коэф],"1,4",Таблица1[р/р],"5/24",Таблица1[Ф. И. О.],B374)</f>
        <v>0</v>
      </c>
      <c r="X379" s="343">
        <f>ROUND(U379*V379*W379,2)</f>
        <v>0</v>
      </c>
      <c r="Y379" s="850"/>
      <c r="Z379" s="841"/>
      <c r="AA379" s="844"/>
    </row>
    <row r="380" spans="1:30">
      <c r="A380" s="785">
        <v>35</v>
      </c>
      <c r="B380" s="236"/>
      <c r="C380" s="851">
        <f>INDEX(база!$E$2:$E$81, MATCH(B385,база!$B$2:$B$50,0))</f>
        <v>17282</v>
      </c>
      <c r="D380" s="852">
        <f>INDEX(база!$D$2:$D$89, MATCH(B385,база!$B$2:$B$50,0))</f>
        <v>3</v>
      </c>
      <c r="E380" s="73">
        <f>IF(D380&lt;=3,база!$I$4,
IF(D380=4,база!$I$5,
IF(D380=5,база!$I$6)))</f>
        <v>188.7912</v>
      </c>
      <c r="F380" s="270">
        <v>1</v>
      </c>
      <c r="G380" s="96">
        <f>SUMIFS(Таблица1[сумма],Таблица1[коэф],"1",Таблица1[р/р],"2/4",Таблица1[Ф. И. О.],B385)</f>
        <v>0</v>
      </c>
      <c r="H380" s="88">
        <f>ROUND(E380*F380*G380,2)</f>
        <v>0</v>
      </c>
      <c r="I380" s="338">
        <f>IF(D380&lt;=3,база!$J$4,
IF(D380=4,база!$J$5,
IF(D380=5,база!$J$6)))</f>
        <v>196.05240000000001</v>
      </c>
      <c r="J380" s="277">
        <v>1</v>
      </c>
      <c r="K380" s="288">
        <f>SUMIFS(Таблица1[сумма],Таблица1[коэф],"1",Таблица1[р/р],"2/8",Таблица1[Ф. И. О.],B385)</f>
        <v>0</v>
      </c>
      <c r="L380" s="288">
        <f>ROUND(I380*J380*K380,2)</f>
        <v>0</v>
      </c>
      <c r="M380" s="288"/>
      <c r="N380" s="288">
        <v>1</v>
      </c>
      <c r="O380" s="288">
        <f>SUMIFS(Data_Tech!$AM$3:$AM$67,Data_Tech!$E$3:$E$67,"1",Data_Tech!$G$3:$G$67,"3/12",Data_Tech!$F$3:$F$67,B385)</f>
        <v>0</v>
      </c>
      <c r="P380" s="281">
        <f>ROUND(M380*N380*O380,2)</f>
        <v>0</v>
      </c>
      <c r="Q380" s="73">
        <f>IF(D380&lt;=3,база!$L$4,
IF(D380=4,база!$L$5,
IF(D380=5,база!$L$6)))</f>
        <v>210.57480000000001</v>
      </c>
      <c r="R380" s="270">
        <v>1</v>
      </c>
      <c r="S380" s="96">
        <f>SUMIFS(Таблица1[сумма],Таблица1[коэф],"1",Таблица1[р/р],"3/16",Таблица1[Ф. И. О.],B385)</f>
        <v>0</v>
      </c>
      <c r="T380" s="88">
        <f t="shared" si="234"/>
        <v>0</v>
      </c>
      <c r="U380" s="339">
        <f>IF(D380&lt;=3,база!$M$4,
IF(D380=4,база!$M$5,
IF(D380=5,база!$M$6)))</f>
        <v>225.09719999999999</v>
      </c>
      <c r="V380" s="270">
        <v>1</v>
      </c>
      <c r="W380" s="340">
        <f>SUMIFS(Таблица1[сумма],Таблица1[коэф],"1",Таблица1[р/р],"3/24",Таблица1[Ф. И. О.],B385)</f>
        <v>0</v>
      </c>
      <c r="X380" s="342">
        <f>ROUND(U380*V380*W380,2)</f>
        <v>0</v>
      </c>
      <c r="Y380" s="849">
        <f t="shared" ref="Y380" si="236">SUM(G380:G390,K380:K390,O380:O390,S380:S390,W380:W390)</f>
        <v>0</v>
      </c>
      <c r="Z380" s="840">
        <f t="shared" ref="Z380" si="237">IFERROR(SUM(H380:H390,L380:L390,T380:T390,X380:X390),"")</f>
        <v>0</v>
      </c>
      <c r="AA380" s="843"/>
    </row>
    <row r="381" spans="1:30">
      <c r="A381" s="786"/>
      <c r="B381" s="216"/>
      <c r="C381" s="845"/>
      <c r="D381" s="847"/>
      <c r="E381" s="79">
        <f>IF(D380&lt;=3,база!$I$4,
IF(D380=4,база!$I$5,
IF(D380=5,база!$I$6)))</f>
        <v>188.7912</v>
      </c>
      <c r="F381" s="272">
        <v>1</v>
      </c>
      <c r="G381" s="99">
        <f>SUMIFS(Таблица1[сумма],Таблица1[коэф],"1",Таблица1[р/р],"3/4",Таблица1[Ф. И. О.],B385)</f>
        <v>0</v>
      </c>
      <c r="H381" s="95">
        <f>ROUND(E381*F381*G381,2)</f>
        <v>0</v>
      </c>
      <c r="I381" s="334">
        <f>IF(D380&lt;=3,база!$J$4,
IF(D380=4,база!$J$5,
IF(D380=5,база!$J$6)))</f>
        <v>196.05240000000001</v>
      </c>
      <c r="J381" s="279">
        <v>1</v>
      </c>
      <c r="K381" s="217">
        <f>SUMIFS(Таблица1[сумма],Таблица1[коэф],"1",Таблица1[р/р],"3/8",Таблица1[Ф. И. О.],B385)</f>
        <v>0</v>
      </c>
      <c r="L381" s="217">
        <f>ROUND(I381*J381*K381,2)</f>
        <v>0</v>
      </c>
      <c r="M381" s="217"/>
      <c r="N381" s="217">
        <v>1</v>
      </c>
      <c r="O381" s="217">
        <f>SUMIFS(Data_Tech!$AM$3:$AM$67,Data_Tech!$E$3:$E$67,"1",Data_Tech!$G$3:$G$67,"4/12",Data_Tech!$F$3:$F$67,B385)</f>
        <v>0</v>
      </c>
      <c r="P381" s="30">
        <f>ROUND(M381*O381,2)</f>
        <v>0</v>
      </c>
      <c r="Q381" s="79">
        <f>база!$L$5</f>
        <v>231.45480000000001</v>
      </c>
      <c r="R381" s="272">
        <v>1</v>
      </c>
      <c r="S381" s="99">
        <f>SUMIFS(Таблица1[сумма],Таблица1[коэф],"1",Таблица1[р/р],"4/16",Таблица1[Ф. И. О.],B385)</f>
        <v>0</v>
      </c>
      <c r="T381" s="95">
        <f t="shared" si="234"/>
        <v>0</v>
      </c>
      <c r="U381" s="314">
        <f>база!$M$5</f>
        <v>247.41720000000001</v>
      </c>
      <c r="V381" s="272">
        <v>1</v>
      </c>
      <c r="W381" s="307">
        <f>SUMIFS(Таблица1[сумма],Таблица1[коэф],"1",Таблица1[р/р],"4/24",Таблица1[Ф. И. О.],B385)</f>
        <v>0</v>
      </c>
      <c r="X381" s="313">
        <f t="shared" ref="X381" si="238">ROUND(U381*V381*W381,2)</f>
        <v>0</v>
      </c>
      <c r="Y381" s="849"/>
      <c r="Z381" s="840"/>
      <c r="AA381" s="843"/>
    </row>
    <row r="382" spans="1:30">
      <c r="A382" s="786"/>
      <c r="B382" s="216"/>
      <c r="C382" s="845"/>
      <c r="D382" s="847"/>
      <c r="E382" s="79"/>
      <c r="F382" s="272"/>
      <c r="G382" s="99"/>
      <c r="H382" s="95"/>
      <c r="I382" s="334"/>
      <c r="J382" s="279"/>
      <c r="K382" s="217"/>
      <c r="L382" s="217"/>
      <c r="M382" s="217"/>
      <c r="N382" s="217"/>
      <c r="O382" s="217"/>
      <c r="P382" s="30"/>
      <c r="Q382" s="79">
        <f>база!$L$6</f>
        <v>261.04640000000001</v>
      </c>
      <c r="R382" s="272">
        <v>1</v>
      </c>
      <c r="S382" s="99">
        <f>SUMIFS(Таблица1[сумма],Таблица1[коэф],"1",Таблица1[р/р],"5/16",Таблица1[Ф. И. О.],B385)</f>
        <v>0</v>
      </c>
      <c r="T382" s="95">
        <f t="shared" si="234"/>
        <v>0</v>
      </c>
      <c r="U382" s="314">
        <f>база!$M$6</f>
        <v>279.0496</v>
      </c>
      <c r="V382" s="272">
        <v>1</v>
      </c>
      <c r="W382" s="307">
        <f>SUMIFS(Таблица1[сумма],Таблица1[коэф],"1",Таблица1[р/р],"5/24",Таблица1[Ф. И. О.],B385)</f>
        <v>0</v>
      </c>
      <c r="X382" s="313">
        <f>ROUND(U382*V382*W382,2)</f>
        <v>0</v>
      </c>
      <c r="Y382" s="849"/>
      <c r="Z382" s="840"/>
      <c r="AA382" s="843"/>
    </row>
    <row r="383" spans="1:30">
      <c r="A383" s="786"/>
      <c r="B383" s="216"/>
      <c r="C383" s="845"/>
      <c r="D383" s="847"/>
      <c r="E383" s="79"/>
      <c r="F383" s="272"/>
      <c r="G383" s="99"/>
      <c r="H383" s="95"/>
      <c r="I383" s="334">
        <f>база!$J$5</f>
        <v>215.4924</v>
      </c>
      <c r="J383" s="279">
        <v>1.5</v>
      </c>
      <c r="K383" s="217">
        <f>SUMIFS(Таблица1[сумма],Таблица1[коэф],"1,5",Таблица1[р/р],"4/8",Таблица1[Ф. И. О.],B385)</f>
        <v>0</v>
      </c>
      <c r="L383" s="217">
        <f>ROUND(I383*J383*K383,2)</f>
        <v>0</v>
      </c>
      <c r="M383" s="217"/>
      <c r="N383" s="217"/>
      <c r="O383" s="217"/>
      <c r="P383" s="30"/>
      <c r="Q383" s="79">
        <f>IF(D380&lt;=3,база!$L$4,
IF(D380=4,база!$L$5,
IF(D380=5,база!$L$6)))</f>
        <v>210.57480000000001</v>
      </c>
      <c r="R383" s="272">
        <v>1.2</v>
      </c>
      <c r="S383" s="99">
        <f>SUMIFS(Таблица1[сумма],Таблица1[коэф],"1,2",Таблица1[р/р],"3/16",Таблица1[Ф. И. О.],B385)</f>
        <v>0</v>
      </c>
      <c r="T383" s="95">
        <f t="shared" si="234"/>
        <v>0</v>
      </c>
      <c r="U383" s="314">
        <f>IF(D380&lt;=3,база!$M$4,
IF(D380=4,база!$M$5,
IF(D380=5,база!$M$6)))</f>
        <v>225.09719999999999</v>
      </c>
      <c r="V383" s="272">
        <v>1.2</v>
      </c>
      <c r="W383" s="307">
        <f>SUMIFS(Таблица1[сумма],Таблица1[коэф],"1,2",Таблица1[р/р],"3/24",Таблица1[Ф. И. О.],B385)</f>
        <v>0</v>
      </c>
      <c r="X383" s="313">
        <f t="shared" ref="X383:X384" si="239">ROUND(U383*V383*W383,2)</f>
        <v>0</v>
      </c>
      <c r="Y383" s="849"/>
      <c r="Z383" s="840"/>
      <c r="AA383" s="843"/>
    </row>
    <row r="384" spans="1:30">
      <c r="A384" s="786"/>
      <c r="B384" s="216"/>
      <c r="C384" s="845"/>
      <c r="D384" s="847"/>
      <c r="E384" s="79"/>
      <c r="F384" s="272"/>
      <c r="G384" s="99"/>
      <c r="H384" s="95"/>
      <c r="I384" s="334">
        <f>база!$J$6</f>
        <v>243.04319999999998</v>
      </c>
      <c r="J384" s="279">
        <v>1.5</v>
      </c>
      <c r="K384" s="217">
        <f>SUMIFS(Таблица1[сумма],Таблица1[коэф],"1,5",Таблица1[р/р],"5/8",Таблица1[Ф. И. О.],B385)</f>
        <v>0</v>
      </c>
      <c r="L384" s="217">
        <f>ROUND(I384*J384*K384,2)</f>
        <v>0</v>
      </c>
      <c r="M384" s="217"/>
      <c r="N384" s="217"/>
      <c r="O384" s="217"/>
      <c r="P384" s="30"/>
      <c r="Q384" s="79">
        <f>база!$L$5</f>
        <v>231.45480000000001</v>
      </c>
      <c r="R384" s="272">
        <v>1.2</v>
      </c>
      <c r="S384" s="99">
        <f>SUMIFS(Таблица1[сумма],Таблица1[коэф],"1,2",Таблица1[р/р],"4/16",Таблица1[Ф. И. О.],B385)</f>
        <v>0</v>
      </c>
      <c r="T384" s="95">
        <f t="shared" si="234"/>
        <v>0</v>
      </c>
      <c r="U384" s="314">
        <f>база!$M$5</f>
        <v>247.41720000000001</v>
      </c>
      <c r="V384" s="272">
        <v>1.2</v>
      </c>
      <c r="W384" s="307">
        <f>SUMIFS(Таблица1[сумма],Таблица1[коэф],"1,2",Таблица1[р/р],"4/24",Таблица1[Ф. И. О.],B385)</f>
        <v>0</v>
      </c>
      <c r="X384" s="313">
        <f t="shared" si="239"/>
        <v>0</v>
      </c>
      <c r="Y384" s="849"/>
      <c r="Z384" s="840"/>
      <c r="AA384" s="843"/>
      <c r="AC384" s="722" t="str">
        <f>IF(SUMIFS(Таблица1[Столбец2],Таблица1[Ф. И. О.],B385)-Z380=0,"",SUMIFS(Таблица1[Столбец2],Таблица1[Ф. И. О.],B385)-Z380)</f>
        <v/>
      </c>
    </row>
    <row r="385" spans="1:30">
      <c r="A385" s="786"/>
      <c r="B385" s="216" t="str">
        <f>база!B36</f>
        <v>Кириллова Надежда Вячеславовна</v>
      </c>
      <c r="C385" s="845"/>
      <c r="D385" s="847"/>
      <c r="E385" s="79"/>
      <c r="F385" s="272"/>
      <c r="G385" s="99"/>
      <c r="H385" s="95"/>
      <c r="I385" s="334"/>
      <c r="J385" s="279"/>
      <c r="K385" s="217"/>
      <c r="L385" s="217"/>
      <c r="M385" s="217"/>
      <c r="N385" s="217"/>
      <c r="O385" s="217"/>
      <c r="P385" s="30"/>
      <c r="Q385" s="79">
        <f>база!$L$6</f>
        <v>261.04640000000001</v>
      </c>
      <c r="R385" s="272">
        <v>1.2</v>
      </c>
      <c r="S385" s="99">
        <f>SUMIFS(Таблица1[сумма],Таблица1[коэф],"1,2",Таблица1[р/р],"5/16",Таблица1[Ф. И. О.],B385)</f>
        <v>0</v>
      </c>
      <c r="T385" s="95">
        <f>ROUND(Q385*R385*S385,2)</f>
        <v>0</v>
      </c>
      <c r="U385" s="314">
        <f>база!$M$6</f>
        <v>279.0496</v>
      </c>
      <c r="V385" s="272">
        <v>1.2</v>
      </c>
      <c r="W385" s="307">
        <f>SUMIFS(Таблица1[сумма],Таблица1[коэф],"1,2",Таблица1[р/р],"5/24",Таблица1[Ф. И. О.],B385)</f>
        <v>0</v>
      </c>
      <c r="X385" s="313">
        <f>ROUND(U385*V385*W385,2)</f>
        <v>0</v>
      </c>
      <c r="Y385" s="849"/>
      <c r="Z385" s="840"/>
      <c r="AA385" s="843"/>
      <c r="AC385" s="722" t="str">
        <f>IF(SUMIFS(Таблица1[сумма],Таблица1[Ф. И. О.],B385)=Y380,"",B380&amp;"  часы не верны")</f>
        <v/>
      </c>
      <c r="AD385" s="759">
        <f>INDEX('[2]декабрь 23'!$AI$4:$AI$100,MATCH(C380,'[2]декабрь 23'!$AK$4:$AK$100,0))</f>
        <v>136.80000000000001</v>
      </c>
    </row>
    <row r="386" spans="1:30">
      <c r="A386" s="786"/>
      <c r="B386" s="216"/>
      <c r="C386" s="845"/>
      <c r="D386" s="847"/>
      <c r="E386" s="79"/>
      <c r="F386" s="272"/>
      <c r="G386" s="99"/>
      <c r="H386" s="95"/>
      <c r="I386" s="334"/>
      <c r="J386" s="279"/>
      <c r="K386" s="217"/>
      <c r="L386" s="217"/>
      <c r="M386" s="217"/>
      <c r="N386" s="217"/>
      <c r="O386" s="217"/>
      <c r="P386" s="30"/>
      <c r="Q386" s="79">
        <f>IF($D$6&lt;=3,база!$L$4,
IF($D$6=4,база!$L$5,
IF($D$6=5,база!$L$6)))</f>
        <v>231.45480000000001</v>
      </c>
      <c r="R386" s="272">
        <v>1.3</v>
      </c>
      <c r="S386" s="99">
        <f>SUMIFS(Таблица1[сумма],Таблица1[коэф],"1,3",Таблица1[р/р],"3/16",Таблица1[Ф. И. О.],B385)</f>
        <v>0</v>
      </c>
      <c r="T386" s="95">
        <f t="shared" ref="T386:T395" si="240">ROUND(Q386*R386*S386,2)</f>
        <v>0</v>
      </c>
      <c r="U386" s="314">
        <f>IF(D380&lt;=3,база!$M$4,
IF(D380=4,база!$M$5,
IF(D380=5,база!$M$6)))</f>
        <v>225.09719999999999</v>
      </c>
      <c r="V386" s="272">
        <v>1.3</v>
      </c>
      <c r="W386" s="307">
        <f>SUMIFS(Таблица1[сумма],Таблица1[коэф],"1,3",Таблица1[р/р],"3/24",Таблица1[Ф. И. О.],B385)</f>
        <v>0</v>
      </c>
      <c r="X386" s="313">
        <f t="shared" ref="X386:X387" si="241">ROUND(U386*V386*W386,2)</f>
        <v>0</v>
      </c>
      <c r="Y386" s="849"/>
      <c r="Z386" s="840"/>
      <c r="AA386" s="843"/>
    </row>
    <row r="387" spans="1:30">
      <c r="A387" s="786"/>
      <c r="B387" s="216"/>
      <c r="C387" s="845"/>
      <c r="D387" s="847"/>
      <c r="E387" s="79"/>
      <c r="F387" s="272"/>
      <c r="G387" s="99"/>
      <c r="H387" s="95"/>
      <c r="I387" s="334"/>
      <c r="J387" s="279"/>
      <c r="K387" s="217"/>
      <c r="L387" s="217"/>
      <c r="M387" s="217"/>
      <c r="N387" s="217"/>
      <c r="O387" s="217"/>
      <c r="P387" s="30"/>
      <c r="Q387" s="79">
        <f>база!$L$5</f>
        <v>231.45480000000001</v>
      </c>
      <c r="R387" s="272">
        <v>1.3</v>
      </c>
      <c r="S387" s="99">
        <f>SUMIFS(Таблица1[сумма],Таблица1[коэф],"1,3",Таблица1[р/р],"4/16",Таблица1[Ф. И. О.],B385)</f>
        <v>0</v>
      </c>
      <c r="T387" s="95">
        <f t="shared" si="240"/>
        <v>0</v>
      </c>
      <c r="U387" s="314">
        <f>база!$M$5</f>
        <v>247.41720000000001</v>
      </c>
      <c r="V387" s="272">
        <v>1.3</v>
      </c>
      <c r="W387" s="307">
        <f>SUMIFS(Таблица1[сумма],Таблица1[коэф],"1,3",Таблица1[р/р],"4/24",Таблица1[Ф. И. О.],B385)</f>
        <v>0</v>
      </c>
      <c r="X387" s="313">
        <f t="shared" si="241"/>
        <v>0</v>
      </c>
      <c r="Y387" s="849"/>
      <c r="Z387" s="840"/>
      <c r="AA387" s="843"/>
    </row>
    <row r="388" spans="1:30">
      <c r="A388" s="786"/>
      <c r="B388" s="216"/>
      <c r="C388" s="845"/>
      <c r="D388" s="847"/>
      <c r="E388" s="79"/>
      <c r="F388" s="272"/>
      <c r="G388" s="99"/>
      <c r="H388" s="95"/>
      <c r="I388" s="334"/>
      <c r="J388" s="279"/>
      <c r="K388" s="217"/>
      <c r="L388" s="217"/>
      <c r="M388" s="217"/>
      <c r="N388" s="217"/>
      <c r="O388" s="217"/>
      <c r="P388" s="30"/>
      <c r="Q388" s="79">
        <f>IF(D380&lt;=3,база!$L$4,
IF(D380=4,база!$L$5,
IF(D380=5,база!$L$6)))</f>
        <v>210.57480000000001</v>
      </c>
      <c r="R388" s="272">
        <v>1.4</v>
      </c>
      <c r="S388" s="99">
        <f>SUMIFS(Таблица1[сумма],Таблица1[коэф],"1,4",Таблица1[р/р],"3/16",Таблица1[Ф. И. О.],B385)</f>
        <v>0</v>
      </c>
      <c r="T388" s="95">
        <f t="shared" si="240"/>
        <v>0</v>
      </c>
      <c r="U388" s="314">
        <f>IF(D380&lt;=3,база!$M$4,
IF(D380=4,база!$M$5,
IF(D380=5,база!$M$6)))</f>
        <v>225.09719999999999</v>
      </c>
      <c r="V388" s="272">
        <v>1.4</v>
      </c>
      <c r="W388" s="307">
        <f>SUMIFS(Таблица1[сумма],Таблица1[коэф],"1,4",Таблица1[р/р],"3/24",Таблица1[Ф. И. О.],B385)</f>
        <v>0</v>
      </c>
      <c r="X388" s="313">
        <f>ROUND(U388*V388*W388,2)</f>
        <v>0</v>
      </c>
      <c r="Y388" s="849"/>
      <c r="Z388" s="840"/>
      <c r="AA388" s="843"/>
    </row>
    <row r="389" spans="1:30">
      <c r="A389" s="786"/>
      <c r="B389" s="216"/>
      <c r="C389" s="845"/>
      <c r="D389" s="847"/>
      <c r="E389" s="79"/>
      <c r="F389" s="272"/>
      <c r="G389" s="99"/>
      <c r="H389" s="95"/>
      <c r="I389" s="334"/>
      <c r="J389" s="279"/>
      <c r="K389" s="217"/>
      <c r="L389" s="217"/>
      <c r="M389" s="217"/>
      <c r="N389" s="217"/>
      <c r="O389" s="217"/>
      <c r="P389" s="30"/>
      <c r="Q389" s="79">
        <f>база!$L$5</f>
        <v>231.45480000000001</v>
      </c>
      <c r="R389" s="272">
        <v>1.4</v>
      </c>
      <c r="S389" s="99">
        <f>SUMIFS(Таблица1[сумма],Таблица1[коэф],"1,4",Таблица1[р/р],"4/16",Таблица1[Ф. И. О.],B385)</f>
        <v>0</v>
      </c>
      <c r="T389" s="95">
        <f t="shared" si="240"/>
        <v>0</v>
      </c>
      <c r="U389" s="314">
        <f>база!$M$5</f>
        <v>247.41720000000001</v>
      </c>
      <c r="V389" s="272">
        <v>1.4</v>
      </c>
      <c r="W389" s="307">
        <f>SUMIFS(Таблица1[сумма],Таблица1[коэф],"1,4",Таблица1[р/р],"4/24",Таблица1[Ф. И. О.],B385)</f>
        <v>0</v>
      </c>
      <c r="X389" s="313">
        <f>ROUND(U389*V389*W389,2)</f>
        <v>0</v>
      </c>
      <c r="Y389" s="849"/>
      <c r="Z389" s="840"/>
      <c r="AA389" s="843"/>
    </row>
    <row r="390" spans="1:30" ht="24" thickBot="1">
      <c r="A390" s="787"/>
      <c r="B390" s="203"/>
      <c r="C390" s="846"/>
      <c r="D390" s="848"/>
      <c r="E390" s="102"/>
      <c r="F390" s="274"/>
      <c r="G390" s="98"/>
      <c r="H390" s="91"/>
      <c r="I390" s="348"/>
      <c r="J390" s="280"/>
      <c r="K390" s="289"/>
      <c r="L390" s="289"/>
      <c r="M390" s="289"/>
      <c r="N390" s="289"/>
      <c r="O390" s="289"/>
      <c r="P390" s="315"/>
      <c r="Q390" s="102">
        <f>база!$L$6</f>
        <v>261.04640000000001</v>
      </c>
      <c r="R390" s="274">
        <v>1.4</v>
      </c>
      <c r="S390" s="98">
        <f>SUMIFS(Таблица1[сумма],Таблица1[коэф],"1,4",Таблица1[р/р],"5/16",Таблица1[Ф. И. О.],B385)</f>
        <v>0</v>
      </c>
      <c r="T390" s="91">
        <f t="shared" si="240"/>
        <v>0</v>
      </c>
      <c r="U390" s="347">
        <f>база!$M$6</f>
        <v>279.0496</v>
      </c>
      <c r="V390" s="274">
        <v>1.4</v>
      </c>
      <c r="W390" s="312">
        <f>SUMIFS(Таблица1[сумма],Таблица1[коэф],"1,4",Таблица1[р/р],"5/24",Таблица1[Ф. И. О.],B385)</f>
        <v>0</v>
      </c>
      <c r="X390" s="343">
        <f>ROUND(U390*V390*W390,2)</f>
        <v>0</v>
      </c>
      <c r="Y390" s="850"/>
      <c r="Z390" s="841"/>
      <c r="AA390" s="844"/>
    </row>
    <row r="391" spans="1:30">
      <c r="A391" s="785">
        <v>36</v>
      </c>
      <c r="B391" s="236"/>
      <c r="C391" s="851">
        <f>INDEX(база!$E$2:$E$81, MATCH(B396,база!$B$2:$B$50,0))</f>
        <v>15575</v>
      </c>
      <c r="D391" s="852">
        <f>INDEX(база!$D$2:$D$89, MATCH(B396,база!$B$2:$B$50,0))</f>
        <v>3</v>
      </c>
      <c r="E391" s="73">
        <f>IF(D391&lt;=3,база!$I$4,
IF(D391=4,база!$I$5,
IF(D391=5,база!$I$6)))</f>
        <v>188.7912</v>
      </c>
      <c r="F391" s="270">
        <v>1</v>
      </c>
      <c r="G391" s="96">
        <f>SUMIFS(Таблица1[сумма],Таблица1[коэф],"1",Таблица1[р/р],"2/4",Таблица1[Ф. И. О.],B396)</f>
        <v>0</v>
      </c>
      <c r="H391" s="88">
        <f>ROUND(E391*F391*G391,2)</f>
        <v>0</v>
      </c>
      <c r="I391" s="338">
        <f>IF(D391&lt;=3,база!$J$4,
IF(D391=4,база!$J$5,
IF(D391=5,база!$J$6)))</f>
        <v>196.05240000000001</v>
      </c>
      <c r="J391" s="277">
        <v>1</v>
      </c>
      <c r="K391" s="288">
        <f>SUMIFS(Таблица1[сумма],Таблица1[коэф],"1",Таблица1[р/р],"2/8",Таблица1[Ф. И. О.],B396)</f>
        <v>0</v>
      </c>
      <c r="L391" s="288">
        <f>ROUND(I391*J391*K391,2)</f>
        <v>0</v>
      </c>
      <c r="M391" s="288"/>
      <c r="N391" s="288">
        <v>1</v>
      </c>
      <c r="O391" s="288">
        <f>SUMIFS(Data_Tech!$AM$3:$AM$67,Data_Tech!$E$3:$E$67,"1",Data_Tech!$G$3:$G$67,"3/12",Data_Tech!$F$3:$F$67,B396)</f>
        <v>0</v>
      </c>
      <c r="P391" s="281">
        <f>ROUND(M391*N391*O391,2)</f>
        <v>0</v>
      </c>
      <c r="Q391" s="73">
        <f>IF(D391&lt;=3,база!$L$4,
IF(D391=4,база!$L$5,
IF(D391=5,база!$L$6)))</f>
        <v>210.57480000000001</v>
      </c>
      <c r="R391" s="270">
        <v>1</v>
      </c>
      <c r="S391" s="96">
        <f>SUMIFS(Таблица1[сумма],Таблица1[коэф],"1",Таблица1[р/р],"3/16",Таблица1[Ф. И. О.],B396)</f>
        <v>0</v>
      </c>
      <c r="T391" s="88">
        <f t="shared" si="240"/>
        <v>0</v>
      </c>
      <c r="U391" s="339">
        <f>IF(D391&lt;=3,база!$M$4,
IF(D391=4,база!$M$5,
IF(D391=5,база!$M$6)))</f>
        <v>225.09719999999999</v>
      </c>
      <c r="V391" s="270">
        <v>1</v>
      </c>
      <c r="W391" s="340">
        <f>SUMIFS(Таблица1[сумма],Таблица1[коэф],"1",Таблица1[р/р],"3/24",Таблица1[Ф. И. О.],B396)</f>
        <v>0</v>
      </c>
      <c r="X391" s="342">
        <f>ROUND(U391*V391*W391,2)</f>
        <v>0</v>
      </c>
      <c r="Y391" s="849">
        <f t="shared" ref="Y391" si="242">SUM(G391:G401,K391:K401,O391:O401,S391:S401,W391:W401)</f>
        <v>0</v>
      </c>
      <c r="Z391" s="840">
        <f t="shared" ref="Z391" si="243">IFERROR(SUM(H391:H401,L391:L401,T391:T401,X391:X401),"")</f>
        <v>0</v>
      </c>
      <c r="AA391" s="843"/>
    </row>
    <row r="392" spans="1:30">
      <c r="A392" s="786"/>
      <c r="B392" s="216"/>
      <c r="C392" s="845"/>
      <c r="D392" s="847"/>
      <c r="E392" s="79">
        <f>IF(D391&lt;=3,база!$I$4,
IF(D391=4,база!$I$5,
IF(D391=5,база!$I$6)))</f>
        <v>188.7912</v>
      </c>
      <c r="F392" s="272">
        <v>1</v>
      </c>
      <c r="G392" s="99">
        <f>SUMIFS(Таблица1[сумма],Таблица1[коэф],"1",Таблица1[р/р],"3/4",Таблица1[Ф. И. О.],B396)</f>
        <v>0</v>
      </c>
      <c r="H392" s="95">
        <f>ROUND(E392*F392*G392,2)</f>
        <v>0</v>
      </c>
      <c r="I392" s="334">
        <f>IF(D391&lt;=3,база!$J$4,
IF(D391=4,база!$J$5,
IF(D391=5,база!$J$6)))</f>
        <v>196.05240000000001</v>
      </c>
      <c r="J392" s="279">
        <v>1</v>
      </c>
      <c r="K392" s="217">
        <f>SUMIFS(Таблица1[сумма],Таблица1[коэф],"1",Таблица1[р/р],"3/8",Таблица1[Ф. И. О.],B396)</f>
        <v>0</v>
      </c>
      <c r="L392" s="217">
        <f>ROUND(I392*J392*K392,2)</f>
        <v>0</v>
      </c>
      <c r="M392" s="217"/>
      <c r="N392" s="217">
        <v>1</v>
      </c>
      <c r="O392" s="217">
        <f>SUMIFS(Data_Tech!$AM$3:$AM$67,Data_Tech!$E$3:$E$67,"1",Data_Tech!$G$3:$G$67,"4/12",Data_Tech!$F$3:$F$67,B396)</f>
        <v>0</v>
      </c>
      <c r="P392" s="30">
        <f>ROUND(M392*O392,2)</f>
        <v>0</v>
      </c>
      <c r="Q392" s="79">
        <f>база!$L$5</f>
        <v>231.45480000000001</v>
      </c>
      <c r="R392" s="272">
        <v>1</v>
      </c>
      <c r="S392" s="99">
        <f>SUMIFS(Таблица1[сумма],Таблица1[коэф],"1",Таблица1[р/р],"4/16",Таблица1[Ф. И. О.],B396)</f>
        <v>0</v>
      </c>
      <c r="T392" s="95">
        <f t="shared" si="240"/>
        <v>0</v>
      </c>
      <c r="U392" s="314">
        <f>база!$M$5</f>
        <v>247.41720000000001</v>
      </c>
      <c r="V392" s="272">
        <v>1</v>
      </c>
      <c r="W392" s="307">
        <f>SUMIFS(Таблица1[сумма],Таблица1[коэф],"1",Таблица1[р/р],"4/24",Таблица1[Ф. И. О.],B396)</f>
        <v>0</v>
      </c>
      <c r="X392" s="313">
        <f t="shared" ref="X392" si="244">ROUND(U392*V392*W392,2)</f>
        <v>0</v>
      </c>
      <c r="Y392" s="849"/>
      <c r="Z392" s="840"/>
      <c r="AA392" s="843"/>
    </row>
    <row r="393" spans="1:30">
      <c r="A393" s="786"/>
      <c r="B393" s="216"/>
      <c r="C393" s="845"/>
      <c r="D393" s="847"/>
      <c r="E393" s="79"/>
      <c r="F393" s="272"/>
      <c r="G393" s="99"/>
      <c r="H393" s="95"/>
      <c r="I393" s="334"/>
      <c r="J393" s="279"/>
      <c r="K393" s="217"/>
      <c r="L393" s="217"/>
      <c r="M393" s="217"/>
      <c r="N393" s="217"/>
      <c r="O393" s="217"/>
      <c r="P393" s="30"/>
      <c r="Q393" s="79">
        <f>база!$L$6</f>
        <v>261.04640000000001</v>
      </c>
      <c r="R393" s="272">
        <v>1</v>
      </c>
      <c r="S393" s="99">
        <f>SUMIFS(Таблица1[сумма],Таблица1[коэф],"1",Таблица1[р/р],"5/16",Таблица1[Ф. И. О.],B396)</f>
        <v>0</v>
      </c>
      <c r="T393" s="95">
        <f t="shared" si="240"/>
        <v>0</v>
      </c>
      <c r="U393" s="314">
        <f>база!$M$6</f>
        <v>279.0496</v>
      </c>
      <c r="V393" s="272">
        <v>1</v>
      </c>
      <c r="W393" s="307">
        <f>SUMIFS(Таблица1[сумма],Таблица1[коэф],"1",Таблица1[р/р],"5/24",Таблица1[Ф. И. О.],B396)</f>
        <v>0</v>
      </c>
      <c r="X393" s="313">
        <f>ROUND(U393*V393*W393,2)</f>
        <v>0</v>
      </c>
      <c r="Y393" s="849"/>
      <c r="Z393" s="840"/>
      <c r="AA393" s="843"/>
    </row>
    <row r="394" spans="1:30">
      <c r="A394" s="786"/>
      <c r="B394" s="216"/>
      <c r="C394" s="845"/>
      <c r="D394" s="847"/>
      <c r="E394" s="79"/>
      <c r="F394" s="272"/>
      <c r="G394" s="99"/>
      <c r="H394" s="95"/>
      <c r="I394" s="334">
        <f>база!$J$5</f>
        <v>215.4924</v>
      </c>
      <c r="J394" s="279">
        <v>1.5</v>
      </c>
      <c r="K394" s="217">
        <f>SUMIFS(Таблица1[сумма],Таблица1[коэф],"1,5",Таблица1[р/р],"4/8",Таблица1[Ф. И. О.],B396)</f>
        <v>0</v>
      </c>
      <c r="L394" s="217">
        <f>ROUND(I394*J394*K394,2)</f>
        <v>0</v>
      </c>
      <c r="M394" s="217"/>
      <c r="N394" s="217"/>
      <c r="O394" s="217"/>
      <c r="P394" s="30"/>
      <c r="Q394" s="79">
        <f>IF(D391&lt;=3,база!$L$4,
IF(D391=4,база!$L$5,
IF(D391=5,база!$L$6)))</f>
        <v>210.57480000000001</v>
      </c>
      <c r="R394" s="272">
        <v>1.2</v>
      </c>
      <c r="S394" s="99">
        <f>SUMIFS(Таблица1[сумма],Таблица1[коэф],"1,2",Таблица1[р/р],"3/16",Таблица1[Ф. И. О.],B396)</f>
        <v>0</v>
      </c>
      <c r="T394" s="95">
        <f t="shared" si="240"/>
        <v>0</v>
      </c>
      <c r="U394" s="314">
        <f>IF(D391&lt;=3,база!$M$4,
IF(D391=4,база!$M$5,
IF(D391=5,база!$M$6)))</f>
        <v>225.09719999999999</v>
      </c>
      <c r="V394" s="272">
        <v>1.2</v>
      </c>
      <c r="W394" s="307">
        <f>SUMIFS(Таблица1[сумма],Таблица1[коэф],"1,2",Таблица1[р/р],"3/24",Таблица1[Ф. И. О.],B396)</f>
        <v>0</v>
      </c>
      <c r="X394" s="313">
        <f t="shared" ref="X394:X395" si="245">ROUND(U394*V394*W394,2)</f>
        <v>0</v>
      </c>
      <c r="Y394" s="849"/>
      <c r="Z394" s="840"/>
      <c r="AA394" s="843"/>
    </row>
    <row r="395" spans="1:30">
      <c r="A395" s="786"/>
      <c r="B395" s="216"/>
      <c r="C395" s="845"/>
      <c r="D395" s="847"/>
      <c r="E395" s="79"/>
      <c r="F395" s="272"/>
      <c r="G395" s="99"/>
      <c r="H395" s="95"/>
      <c r="I395" s="334">
        <f>база!$J$6</f>
        <v>243.04319999999998</v>
      </c>
      <c r="J395" s="279">
        <v>1.5</v>
      </c>
      <c r="K395" s="217">
        <f>SUMIFS(Таблица1[сумма],Таблица1[коэф],"1,5",Таблица1[р/р],"5/8",Таблица1[Ф. И. О.],B396)</f>
        <v>0</v>
      </c>
      <c r="L395" s="217">
        <f>ROUND(I395*J395*K395,2)</f>
        <v>0</v>
      </c>
      <c r="M395" s="217"/>
      <c r="N395" s="217"/>
      <c r="O395" s="217"/>
      <c r="P395" s="30"/>
      <c r="Q395" s="79">
        <f>база!$L$5</f>
        <v>231.45480000000001</v>
      </c>
      <c r="R395" s="272">
        <v>1.2</v>
      </c>
      <c r="S395" s="99">
        <f>SUMIFS(Таблица1[сумма],Таблица1[коэф],"1,2",Таблица1[р/р],"4/16",Таблица1[Ф. И. О.],B396)</f>
        <v>0</v>
      </c>
      <c r="T395" s="95">
        <f t="shared" si="240"/>
        <v>0</v>
      </c>
      <c r="U395" s="314">
        <f>база!$M$5</f>
        <v>247.41720000000001</v>
      </c>
      <c r="V395" s="272">
        <v>1.2</v>
      </c>
      <c r="W395" s="307">
        <f>SUMIFS(Таблица1[сумма],Таблица1[коэф],"1,2",Таблица1[р/р],"4/24",Таблица1[Ф. И. О.],B396)</f>
        <v>0</v>
      </c>
      <c r="X395" s="313">
        <f t="shared" si="245"/>
        <v>0</v>
      </c>
      <c r="Y395" s="849"/>
      <c r="Z395" s="840"/>
      <c r="AA395" s="843"/>
      <c r="AC395" s="722" t="str">
        <f>IF(SUMIFS(Таблица1[Столбец2],Таблица1[Ф. И. О.],B396)-Z391=0,"",SUMIFS(Таблица1[Столбец2],Таблица1[Ф. И. О.],B396)-Z391)</f>
        <v/>
      </c>
    </row>
    <row r="396" spans="1:30">
      <c r="A396" s="786"/>
      <c r="B396" s="216" t="str">
        <f>база!B37</f>
        <v>Киселёва Надежда Игоревна</v>
      </c>
      <c r="C396" s="845"/>
      <c r="D396" s="847"/>
      <c r="E396" s="79"/>
      <c r="F396" s="272"/>
      <c r="G396" s="99"/>
      <c r="H396" s="95"/>
      <c r="I396" s="334"/>
      <c r="J396" s="279"/>
      <c r="K396" s="217"/>
      <c r="L396" s="217"/>
      <c r="M396" s="217"/>
      <c r="N396" s="217"/>
      <c r="O396" s="217"/>
      <c r="P396" s="30"/>
      <c r="Q396" s="79">
        <f>база!$L$6</f>
        <v>261.04640000000001</v>
      </c>
      <c r="R396" s="272">
        <v>1.2</v>
      </c>
      <c r="S396" s="99">
        <f>SUMIFS(Таблица1[сумма],Таблица1[коэф],"1,2",Таблица1[р/р],"5/16",Таблица1[Ф. И. О.],B396)</f>
        <v>0</v>
      </c>
      <c r="T396" s="95">
        <f>ROUND(Q396*R396*S396,2)</f>
        <v>0</v>
      </c>
      <c r="U396" s="314">
        <f>база!$M$6</f>
        <v>279.0496</v>
      </c>
      <c r="V396" s="272">
        <v>1.2</v>
      </c>
      <c r="W396" s="307">
        <f>SUMIFS(Таблица1[сумма],Таблица1[коэф],"1,2",Таблица1[р/р],"5/24",Таблица1[Ф. И. О.],B396)</f>
        <v>0</v>
      </c>
      <c r="X396" s="313">
        <f>ROUND(U396*V396*W396,2)</f>
        <v>0</v>
      </c>
      <c r="Y396" s="849"/>
      <c r="Z396" s="840"/>
      <c r="AA396" s="843"/>
      <c r="AC396" s="722" t="str">
        <f>IF(SUMIFS(Таблица1[сумма],Таблица1[Ф. И. О.],B396)=Y391,"",B391&amp;"  часы не верны")</f>
        <v/>
      </c>
      <c r="AD396" s="759">
        <f>INDEX('[2]декабрь 23'!$AI$4:$AI$100,MATCH(C391,'[2]декабрь 23'!$AK$4:$AK$100,0))</f>
        <v>100.80000000000003</v>
      </c>
    </row>
    <row r="397" spans="1:30">
      <c r="A397" s="786"/>
      <c r="B397" s="216"/>
      <c r="C397" s="845"/>
      <c r="D397" s="847"/>
      <c r="E397" s="79"/>
      <c r="F397" s="272"/>
      <c r="G397" s="99"/>
      <c r="H397" s="95"/>
      <c r="I397" s="334"/>
      <c r="J397" s="279"/>
      <c r="K397" s="217"/>
      <c r="L397" s="217"/>
      <c r="M397" s="217"/>
      <c r="N397" s="217"/>
      <c r="O397" s="217"/>
      <c r="P397" s="30"/>
      <c r="Q397" s="79">
        <f>IF($D$6&lt;=3,база!$L$4,
IF($D$6=4,база!$L$5,
IF($D$6=5,база!$L$6)))</f>
        <v>231.45480000000001</v>
      </c>
      <c r="R397" s="272">
        <v>1.3</v>
      </c>
      <c r="S397" s="99">
        <f>SUMIFS(Таблица1[сумма],Таблица1[коэф],"1,3",Таблица1[р/р],"3/16",Таблица1[Ф. И. О.],B396)</f>
        <v>0</v>
      </c>
      <c r="T397" s="95">
        <f t="shared" ref="T397:T406" si="246">ROUND(Q397*R397*S397,2)</f>
        <v>0</v>
      </c>
      <c r="U397" s="314">
        <f>IF(D391&lt;=3,база!$M$4,
IF(D391=4,база!$M$5,
IF(D391=5,база!$M$6)))</f>
        <v>225.09719999999999</v>
      </c>
      <c r="V397" s="272">
        <v>1.3</v>
      </c>
      <c r="W397" s="307">
        <f>SUMIFS(Таблица1[сумма],Таблица1[коэф],"1,3",Таблица1[р/р],"3/24",Таблица1[Ф. И. О.],B396)</f>
        <v>0</v>
      </c>
      <c r="X397" s="313">
        <f t="shared" ref="X397:X398" si="247">ROUND(U397*V397*W397,2)</f>
        <v>0</v>
      </c>
      <c r="Y397" s="849"/>
      <c r="Z397" s="840"/>
      <c r="AA397" s="843"/>
    </row>
    <row r="398" spans="1:30">
      <c r="A398" s="786"/>
      <c r="B398" s="216"/>
      <c r="C398" s="845"/>
      <c r="D398" s="847"/>
      <c r="E398" s="79"/>
      <c r="F398" s="272"/>
      <c r="G398" s="99"/>
      <c r="H398" s="95"/>
      <c r="I398" s="334"/>
      <c r="J398" s="279"/>
      <c r="K398" s="217"/>
      <c r="L398" s="217"/>
      <c r="M398" s="217"/>
      <c r="N398" s="217"/>
      <c r="O398" s="217"/>
      <c r="P398" s="30"/>
      <c r="Q398" s="79">
        <f>база!$L$5</f>
        <v>231.45480000000001</v>
      </c>
      <c r="R398" s="272">
        <v>1.3</v>
      </c>
      <c r="S398" s="99">
        <f>SUMIFS(Таблица1[сумма],Таблица1[коэф],"1,3",Таблица1[р/р],"4/16",Таблица1[Ф. И. О.],B396)</f>
        <v>0</v>
      </c>
      <c r="T398" s="95">
        <f t="shared" si="246"/>
        <v>0</v>
      </c>
      <c r="U398" s="314">
        <f>база!$M$5</f>
        <v>247.41720000000001</v>
      </c>
      <c r="V398" s="272">
        <v>1.3</v>
      </c>
      <c r="W398" s="307">
        <f>SUMIFS(Таблица1[сумма],Таблица1[коэф],"1,3",Таблица1[р/р],"4/24",Таблица1[Ф. И. О.],B396)</f>
        <v>0</v>
      </c>
      <c r="X398" s="313">
        <f t="shared" si="247"/>
        <v>0</v>
      </c>
      <c r="Y398" s="849"/>
      <c r="Z398" s="840"/>
      <c r="AA398" s="843"/>
    </row>
    <row r="399" spans="1:30">
      <c r="A399" s="786"/>
      <c r="B399" s="216"/>
      <c r="C399" s="845"/>
      <c r="D399" s="847"/>
      <c r="E399" s="79"/>
      <c r="F399" s="272"/>
      <c r="G399" s="99"/>
      <c r="H399" s="95"/>
      <c r="I399" s="334"/>
      <c r="J399" s="279"/>
      <c r="K399" s="217"/>
      <c r="L399" s="217"/>
      <c r="M399" s="217"/>
      <c r="N399" s="217"/>
      <c r="O399" s="217"/>
      <c r="P399" s="30"/>
      <c r="Q399" s="79">
        <f>IF(D391&lt;=3,база!$L$4,
IF(D391=4,база!$L$5,
IF(D391=5,база!$L$6)))</f>
        <v>210.57480000000001</v>
      </c>
      <c r="R399" s="272">
        <v>1.4</v>
      </c>
      <c r="S399" s="99">
        <f>SUMIFS(Таблица1[сумма],Таблица1[коэф],"1,4",Таблица1[р/р],"3/16",Таблица1[Ф. И. О.],B396)</f>
        <v>0</v>
      </c>
      <c r="T399" s="95">
        <f t="shared" si="246"/>
        <v>0</v>
      </c>
      <c r="U399" s="314">
        <f>IF(D391&lt;=3,база!$M$4,
IF(D391=4,база!$M$5,
IF(D391=5,база!$M$6)))</f>
        <v>225.09719999999999</v>
      </c>
      <c r="V399" s="272">
        <v>1.4</v>
      </c>
      <c r="W399" s="307">
        <f>SUMIFS(Таблица1[сумма],Таблица1[коэф],"1,4",Таблица1[р/р],"3/24",Таблица1[Ф. И. О.],B396)</f>
        <v>0</v>
      </c>
      <c r="X399" s="313">
        <f>ROUND(U399*V399*W399,2)</f>
        <v>0</v>
      </c>
      <c r="Y399" s="849"/>
      <c r="Z399" s="840"/>
      <c r="AA399" s="843"/>
    </row>
    <row r="400" spans="1:30">
      <c r="A400" s="786"/>
      <c r="B400" s="216"/>
      <c r="C400" s="845"/>
      <c r="D400" s="847"/>
      <c r="E400" s="79"/>
      <c r="F400" s="272"/>
      <c r="G400" s="99"/>
      <c r="H400" s="95"/>
      <c r="I400" s="334"/>
      <c r="J400" s="279"/>
      <c r="K400" s="217"/>
      <c r="L400" s="217"/>
      <c r="M400" s="217"/>
      <c r="N400" s="217"/>
      <c r="O400" s="217"/>
      <c r="P400" s="30"/>
      <c r="Q400" s="79">
        <f>база!$L$5</f>
        <v>231.45480000000001</v>
      </c>
      <c r="R400" s="272">
        <v>1.4</v>
      </c>
      <c r="S400" s="99">
        <f>SUMIFS(Таблица1[сумма],Таблица1[коэф],"1,4",Таблица1[р/р],"4/16",Таблица1[Ф. И. О.],B396)</f>
        <v>0</v>
      </c>
      <c r="T400" s="95">
        <f t="shared" si="246"/>
        <v>0</v>
      </c>
      <c r="U400" s="314">
        <f>база!$M$5</f>
        <v>247.41720000000001</v>
      </c>
      <c r="V400" s="272">
        <v>1.4</v>
      </c>
      <c r="W400" s="307">
        <f>SUMIFS(Таблица1[сумма],Таблица1[коэф],"1,4",Таблица1[р/р],"4/24",Таблица1[Ф. И. О.],B396)</f>
        <v>0</v>
      </c>
      <c r="X400" s="313">
        <f>ROUND(U400*V400*W400,2)</f>
        <v>0</v>
      </c>
      <c r="Y400" s="849"/>
      <c r="Z400" s="840"/>
      <c r="AA400" s="843"/>
    </row>
    <row r="401" spans="1:30" ht="24" thickBot="1">
      <c r="A401" s="787"/>
      <c r="B401" s="203"/>
      <c r="C401" s="846"/>
      <c r="D401" s="848"/>
      <c r="E401" s="102"/>
      <c r="F401" s="274"/>
      <c r="G401" s="98"/>
      <c r="H401" s="91"/>
      <c r="I401" s="348"/>
      <c r="J401" s="280"/>
      <c r="K401" s="289"/>
      <c r="L401" s="289"/>
      <c r="M401" s="289"/>
      <c r="N401" s="289"/>
      <c r="O401" s="289"/>
      <c r="P401" s="315"/>
      <c r="Q401" s="102">
        <f>база!$L$6</f>
        <v>261.04640000000001</v>
      </c>
      <c r="R401" s="274">
        <v>1.4</v>
      </c>
      <c r="S401" s="98">
        <f>SUMIFS(Таблица1[сумма],Таблица1[коэф],"1,4",Таблица1[р/р],"5/16",Таблица1[Ф. И. О.],B396)</f>
        <v>0</v>
      </c>
      <c r="T401" s="91">
        <f t="shared" si="246"/>
        <v>0</v>
      </c>
      <c r="U401" s="347">
        <f>база!$M$6</f>
        <v>279.0496</v>
      </c>
      <c r="V401" s="274">
        <v>1.4</v>
      </c>
      <c r="W401" s="312">
        <f>SUMIFS(Таблица1[сумма],Таблица1[коэф],"1,4",Таблица1[р/р],"5/24",Таблица1[Ф. И. О.],B396)</f>
        <v>0</v>
      </c>
      <c r="X401" s="343">
        <f>ROUND(U401*V401*W401,2)</f>
        <v>0</v>
      </c>
      <c r="Y401" s="850"/>
      <c r="Z401" s="841"/>
      <c r="AA401" s="844"/>
    </row>
    <row r="402" spans="1:30">
      <c r="A402" s="785">
        <v>37</v>
      </c>
      <c r="B402" s="236"/>
      <c r="C402" s="851">
        <f>INDEX(база!$E$2:$E$81, MATCH(B407,база!$B$2:$B$50,0))</f>
        <v>17188</v>
      </c>
      <c r="D402" s="852">
        <f>INDEX(база!$D$2:$D$89, MATCH(B407,база!$B$2:$B$50,0))</f>
        <v>3</v>
      </c>
      <c r="E402" s="73">
        <f>IF(D402&lt;=3,база!$I$4,
IF(D402=4,база!$I$5,
IF(D402=5,база!$I$6)))</f>
        <v>188.7912</v>
      </c>
      <c r="F402" s="270">
        <v>1</v>
      </c>
      <c r="G402" s="96">
        <f>SUMIFS(Таблица1[сумма],Таблица1[коэф],"1",Таблица1[р/р],"2/4",Таблица1[Ф. И. О.],B407)</f>
        <v>0</v>
      </c>
      <c r="H402" s="88">
        <f>ROUND(E402*F402*G402,2)</f>
        <v>0</v>
      </c>
      <c r="I402" s="338">
        <f>IF(D402&lt;=3,база!$J$4,
IF(D402=4,база!$J$5,
IF(D402=5,база!$J$6)))</f>
        <v>196.05240000000001</v>
      </c>
      <c r="J402" s="277">
        <v>1</v>
      </c>
      <c r="K402" s="288">
        <f>SUMIFS(Таблица1[сумма],Таблица1[коэф],"1",Таблица1[р/р],"2/8",Таблица1[Ф. И. О.],B407)</f>
        <v>0</v>
      </c>
      <c r="L402" s="288">
        <f>ROUND(I402*J402*K402,2)</f>
        <v>0</v>
      </c>
      <c r="M402" s="288"/>
      <c r="N402" s="288">
        <v>1</v>
      </c>
      <c r="O402" s="288">
        <f>SUMIFS(Data_Tech!$AM$3:$AM$67,Data_Tech!$E$3:$E$67,"1",Data_Tech!$G$3:$G$67,"3/12",Data_Tech!$F$3:$F$67,B407)</f>
        <v>0</v>
      </c>
      <c r="P402" s="281">
        <f>ROUND(M402*N402*O402,2)</f>
        <v>0</v>
      </c>
      <c r="Q402" s="73">
        <f>IF(D402&lt;=3,база!$L$4,
IF(D402=4,база!$L$5,
IF(D402=5,база!$L$6)))</f>
        <v>210.57480000000001</v>
      </c>
      <c r="R402" s="270">
        <v>1</v>
      </c>
      <c r="S402" s="96">
        <f>SUMIFS(Таблица1[сумма],Таблица1[коэф],"1",Таблица1[р/р],"3/16",Таблица1[Ф. И. О.],B407)</f>
        <v>0</v>
      </c>
      <c r="T402" s="88">
        <f t="shared" si="246"/>
        <v>0</v>
      </c>
      <c r="U402" s="339">
        <f>IF(D402&lt;=3,база!$M$4,
IF(D402=4,база!$M$5,
IF(D402=5,база!$M$6)))</f>
        <v>225.09719999999999</v>
      </c>
      <c r="V402" s="270">
        <v>1</v>
      </c>
      <c r="W402" s="340">
        <f>SUMIFS(Таблица1[сумма],Таблица1[коэф],"1",Таблица1[р/р],"3/24",Таблица1[Ф. И. О.],B407)</f>
        <v>0</v>
      </c>
      <c r="X402" s="342">
        <f>ROUND(U402*V402*W402,2)</f>
        <v>0</v>
      </c>
      <c r="Y402" s="849">
        <f t="shared" ref="Y402" si="248">SUM(G402:G412,K402:K412,O402:O412,S402:S412,W402:W412)</f>
        <v>0</v>
      </c>
      <c r="Z402" s="840">
        <f t="shared" ref="Z402" si="249">IFERROR(SUM(H402:H412,L402:L412,T402:T412,X402:X412),"")</f>
        <v>0</v>
      </c>
      <c r="AA402" s="843"/>
    </row>
    <row r="403" spans="1:30">
      <c r="A403" s="786"/>
      <c r="B403" s="216"/>
      <c r="C403" s="845"/>
      <c r="D403" s="847"/>
      <c r="E403" s="79">
        <f>IF(D402&lt;=3,база!$I$4,
IF(D402=4,база!$I$5,
IF(D402=5,база!$I$6)))</f>
        <v>188.7912</v>
      </c>
      <c r="F403" s="272">
        <v>1</v>
      </c>
      <c r="G403" s="99">
        <f>SUMIFS(Таблица1[сумма],Таблица1[коэф],"1",Таблица1[р/р],"3/4",Таблица1[Ф. И. О.],B407)</f>
        <v>0</v>
      </c>
      <c r="H403" s="95">
        <f>ROUND(E403*F403*G403,2)</f>
        <v>0</v>
      </c>
      <c r="I403" s="334">
        <f>IF(D402&lt;=3,база!$J$4,
IF(D402=4,база!$J$5,
IF(D402=5,база!$J$6)))</f>
        <v>196.05240000000001</v>
      </c>
      <c r="J403" s="279">
        <v>1</v>
      </c>
      <c r="K403" s="217">
        <f>SUMIFS(Таблица1[сумма],Таблица1[коэф],"1",Таблица1[р/р],"3/8",Таблица1[Ф. И. О.],B407)</f>
        <v>0</v>
      </c>
      <c r="L403" s="217">
        <f>ROUND(I403*J403*K403,2)</f>
        <v>0</v>
      </c>
      <c r="M403" s="217"/>
      <c r="N403" s="217">
        <v>1</v>
      </c>
      <c r="O403" s="217">
        <f>SUMIFS(Data_Tech!$AM$3:$AM$67,Data_Tech!$E$3:$E$67,"1",Data_Tech!$G$3:$G$67,"4/12",Data_Tech!$F$3:$F$67,B407)</f>
        <v>0</v>
      </c>
      <c r="P403" s="30">
        <f>ROUND(M403*O403,2)</f>
        <v>0</v>
      </c>
      <c r="Q403" s="79">
        <f>база!$L$5</f>
        <v>231.45480000000001</v>
      </c>
      <c r="R403" s="272">
        <v>1</v>
      </c>
      <c r="S403" s="99">
        <f>SUMIFS(Таблица1[сумма],Таблица1[коэф],"1",Таблица1[р/р],"4/16",Таблица1[Ф. И. О.],B407)</f>
        <v>0</v>
      </c>
      <c r="T403" s="95">
        <f t="shared" si="246"/>
        <v>0</v>
      </c>
      <c r="U403" s="314">
        <f>база!$M$5</f>
        <v>247.41720000000001</v>
      </c>
      <c r="V403" s="272">
        <v>1</v>
      </c>
      <c r="W403" s="307">
        <f>SUMIFS(Таблица1[сумма],Таблица1[коэф],"1",Таблица1[р/р],"4/24",Таблица1[Ф. И. О.],B407)</f>
        <v>0</v>
      </c>
      <c r="X403" s="313">
        <f t="shared" ref="X403" si="250">ROUND(U403*V403*W403,2)</f>
        <v>0</v>
      </c>
      <c r="Y403" s="849"/>
      <c r="Z403" s="840"/>
      <c r="AA403" s="843"/>
    </row>
    <row r="404" spans="1:30">
      <c r="A404" s="786"/>
      <c r="B404" s="216"/>
      <c r="C404" s="845"/>
      <c r="D404" s="847"/>
      <c r="E404" s="79"/>
      <c r="F404" s="272"/>
      <c r="G404" s="99"/>
      <c r="H404" s="95"/>
      <c r="I404" s="334"/>
      <c r="J404" s="279"/>
      <c r="K404" s="217"/>
      <c r="L404" s="217"/>
      <c r="M404" s="217"/>
      <c r="N404" s="217"/>
      <c r="O404" s="217"/>
      <c r="P404" s="30"/>
      <c r="Q404" s="79">
        <f>база!$L$6</f>
        <v>261.04640000000001</v>
      </c>
      <c r="R404" s="272">
        <v>1</v>
      </c>
      <c r="S404" s="99">
        <f>SUMIFS(Таблица1[сумма],Таблица1[коэф],"1",Таблица1[р/р],"5/16",Таблица1[Ф. И. О.],B407)</f>
        <v>0</v>
      </c>
      <c r="T404" s="95">
        <f t="shared" si="246"/>
        <v>0</v>
      </c>
      <c r="U404" s="314">
        <f>база!$M$6</f>
        <v>279.0496</v>
      </c>
      <c r="V404" s="272">
        <v>1</v>
      </c>
      <c r="W404" s="307">
        <f>SUMIFS(Таблица1[сумма],Таблица1[коэф],"1",Таблица1[р/р],"5/24",Таблица1[Ф. И. О.],B407)</f>
        <v>0</v>
      </c>
      <c r="X404" s="313">
        <f>ROUND(U404*V404*W404,2)</f>
        <v>0</v>
      </c>
      <c r="Y404" s="849"/>
      <c r="Z404" s="840"/>
      <c r="AA404" s="843"/>
    </row>
    <row r="405" spans="1:30">
      <c r="A405" s="786"/>
      <c r="B405" s="216"/>
      <c r="C405" s="845"/>
      <c r="D405" s="847"/>
      <c r="E405" s="79"/>
      <c r="F405" s="272"/>
      <c r="G405" s="99"/>
      <c r="H405" s="95"/>
      <c r="I405" s="334">
        <f>база!$J$5</f>
        <v>215.4924</v>
      </c>
      <c r="J405" s="279">
        <v>1.5</v>
      </c>
      <c r="K405" s="217">
        <f>SUMIFS(Таблица1[сумма],Таблица1[коэф],"1,5",Таблица1[р/р],"4/8",Таблица1[Ф. И. О.],B407)</f>
        <v>0</v>
      </c>
      <c r="L405" s="217">
        <f>ROUND(I405*J405*K405,2)</f>
        <v>0</v>
      </c>
      <c r="M405" s="217"/>
      <c r="N405" s="217"/>
      <c r="O405" s="217"/>
      <c r="P405" s="30"/>
      <c r="Q405" s="79">
        <f>IF(D402&lt;=3,база!$L$4,
IF(D402=4,база!$L$5,
IF(D402=5,база!$L$6)))</f>
        <v>210.57480000000001</v>
      </c>
      <c r="R405" s="272">
        <v>1.2</v>
      </c>
      <c r="S405" s="99">
        <f>SUMIFS(Таблица1[сумма],Таблица1[коэф],"1,2",Таблица1[р/р],"3/16",Таблица1[Ф. И. О.],B407)</f>
        <v>0</v>
      </c>
      <c r="T405" s="95">
        <f t="shared" si="246"/>
        <v>0</v>
      </c>
      <c r="U405" s="314">
        <f>IF(D402&lt;=3,база!$M$4,
IF(D402=4,база!$M$5,
IF(D402=5,база!$M$6)))</f>
        <v>225.09719999999999</v>
      </c>
      <c r="V405" s="272">
        <v>1.2</v>
      </c>
      <c r="W405" s="307">
        <f>SUMIFS(Таблица1[сумма],Таблица1[коэф],"1,2",Таблица1[р/р],"3/24",Таблица1[Ф. И. О.],B407)</f>
        <v>0</v>
      </c>
      <c r="X405" s="313">
        <f t="shared" ref="X405:X406" si="251">ROUND(U405*V405*W405,2)</f>
        <v>0</v>
      </c>
      <c r="Y405" s="849"/>
      <c r="Z405" s="840"/>
      <c r="AA405" s="843"/>
    </row>
    <row r="406" spans="1:30">
      <c r="A406" s="786"/>
      <c r="B406" s="216"/>
      <c r="C406" s="845"/>
      <c r="D406" s="847"/>
      <c r="E406" s="79"/>
      <c r="F406" s="272"/>
      <c r="G406" s="99"/>
      <c r="H406" s="95"/>
      <c r="I406" s="334">
        <f>база!$J$6</f>
        <v>243.04319999999998</v>
      </c>
      <c r="J406" s="279">
        <v>1.5</v>
      </c>
      <c r="K406" s="217">
        <f>SUMIFS(Таблица1[сумма],Таблица1[коэф],"1,5",Таблица1[р/р],"5/8",Таблица1[Ф. И. О.],B407)</f>
        <v>0</v>
      </c>
      <c r="L406" s="217">
        <f>ROUND(I406*J406*K406,2)</f>
        <v>0</v>
      </c>
      <c r="M406" s="217"/>
      <c r="N406" s="217"/>
      <c r="O406" s="217"/>
      <c r="P406" s="30"/>
      <c r="Q406" s="79">
        <f>база!$L$5</f>
        <v>231.45480000000001</v>
      </c>
      <c r="R406" s="272">
        <v>1.2</v>
      </c>
      <c r="S406" s="99">
        <f>SUMIFS(Таблица1[сумма],Таблица1[коэф],"1,2",Таблица1[р/р],"4/16",Таблица1[Ф. И. О.],B407)</f>
        <v>0</v>
      </c>
      <c r="T406" s="95">
        <f t="shared" si="246"/>
        <v>0</v>
      </c>
      <c r="U406" s="314">
        <f>база!$M$5</f>
        <v>247.41720000000001</v>
      </c>
      <c r="V406" s="272">
        <v>1.2</v>
      </c>
      <c r="W406" s="307">
        <f>SUMIFS(Таблица1[сумма],Таблица1[коэф],"1,2",Таблица1[р/р],"4/24",Таблица1[Ф. И. О.],B407)</f>
        <v>0</v>
      </c>
      <c r="X406" s="313">
        <f t="shared" si="251"/>
        <v>0</v>
      </c>
      <c r="Y406" s="849"/>
      <c r="Z406" s="840"/>
      <c r="AA406" s="843"/>
      <c r="AC406" s="722" t="str">
        <f>IF(SUMIFS(Таблица1[Столбец2],Таблица1[Ф. И. О.],B407)-Z402=0,"",SUMIFS(Таблица1[Столбец2],Таблица1[Ф. И. О.],B407)-Z402)</f>
        <v/>
      </c>
    </row>
    <row r="407" spans="1:30">
      <c r="A407" s="786"/>
      <c r="B407" s="216" t="str">
        <f>база!B38</f>
        <v>Климонтович Янина Анатольевна</v>
      </c>
      <c r="C407" s="845"/>
      <c r="D407" s="847"/>
      <c r="E407" s="79"/>
      <c r="F407" s="272"/>
      <c r="G407" s="99"/>
      <c r="H407" s="95"/>
      <c r="I407" s="334"/>
      <c r="J407" s="279"/>
      <c r="K407" s="217"/>
      <c r="L407" s="217"/>
      <c r="M407" s="217"/>
      <c r="N407" s="217"/>
      <c r="O407" s="217"/>
      <c r="P407" s="30"/>
      <c r="Q407" s="79">
        <f>база!$L$6</f>
        <v>261.04640000000001</v>
      </c>
      <c r="R407" s="272">
        <v>1.2</v>
      </c>
      <c r="S407" s="99">
        <f>SUMIFS(Таблица1[сумма],Таблица1[коэф],"1,2",Таблица1[р/р],"5/16",Таблица1[Ф. И. О.],B407)</f>
        <v>0</v>
      </c>
      <c r="T407" s="95">
        <f>ROUND(Q407*R407*S407,2)</f>
        <v>0</v>
      </c>
      <c r="U407" s="314">
        <f>база!$M$6</f>
        <v>279.0496</v>
      </c>
      <c r="V407" s="272">
        <v>1.2</v>
      </c>
      <c r="W407" s="307">
        <f>SUMIFS(Таблица1[сумма],Таблица1[коэф],"1,2",Таблица1[р/р],"5/24",Таблица1[Ф. И. О.],B407)</f>
        <v>0</v>
      </c>
      <c r="X407" s="313">
        <f>ROUND(U407*V407*W407,2)</f>
        <v>0</v>
      </c>
      <c r="Y407" s="849"/>
      <c r="Z407" s="840"/>
      <c r="AA407" s="843"/>
      <c r="AC407" s="722" t="str">
        <f>IF(SUMIFS(Таблица1[сумма],Таблица1[Ф. И. О.],B407)=Y402,"",B402&amp;"  часы не верны")</f>
        <v/>
      </c>
      <c r="AD407" s="759">
        <f>INDEX('[2]декабрь 23'!$AI$4:$AI$100,MATCH(C402,'[2]декабрь 23'!$AK$4:$AK$100,0))</f>
        <v>151.19999999999999</v>
      </c>
    </row>
    <row r="408" spans="1:30">
      <c r="A408" s="786"/>
      <c r="B408" s="216"/>
      <c r="C408" s="845"/>
      <c r="D408" s="847"/>
      <c r="E408" s="79"/>
      <c r="F408" s="272"/>
      <c r="G408" s="99"/>
      <c r="H408" s="95"/>
      <c r="I408" s="334"/>
      <c r="J408" s="279"/>
      <c r="K408" s="217"/>
      <c r="L408" s="217"/>
      <c r="M408" s="217"/>
      <c r="N408" s="217"/>
      <c r="O408" s="217"/>
      <c r="P408" s="30"/>
      <c r="Q408" s="79">
        <f>IF($D$6&lt;=3,база!$L$4,
IF($D$6=4,база!$L$5,
IF($D$6=5,база!$L$6)))</f>
        <v>231.45480000000001</v>
      </c>
      <c r="R408" s="272">
        <v>1.3</v>
      </c>
      <c r="S408" s="99">
        <f>SUMIFS(Таблица1[сумма],Таблица1[коэф],"1,3",Таблица1[р/р],"3/16",Таблица1[Ф. И. О.],B407)</f>
        <v>0</v>
      </c>
      <c r="T408" s="95">
        <f t="shared" ref="T408:T417" si="252">ROUND(Q408*R408*S408,2)</f>
        <v>0</v>
      </c>
      <c r="U408" s="314">
        <f>IF(D402&lt;=3,база!$M$4,
IF(D402=4,база!$M$5,
IF(D402=5,база!$M$6)))</f>
        <v>225.09719999999999</v>
      </c>
      <c r="V408" s="272">
        <v>1.3</v>
      </c>
      <c r="W408" s="307">
        <f>SUMIFS(Таблица1[сумма],Таблица1[коэф],"1,3",Таблица1[р/р],"3/24",Таблица1[Ф. И. О.],B407)</f>
        <v>0</v>
      </c>
      <c r="X408" s="313">
        <f t="shared" ref="X408:X409" si="253">ROUND(U408*V408*W408,2)</f>
        <v>0</v>
      </c>
      <c r="Y408" s="849"/>
      <c r="Z408" s="840"/>
      <c r="AA408" s="843"/>
    </row>
    <row r="409" spans="1:30">
      <c r="A409" s="786"/>
      <c r="B409" s="216"/>
      <c r="C409" s="845"/>
      <c r="D409" s="847"/>
      <c r="E409" s="79"/>
      <c r="F409" s="272"/>
      <c r="G409" s="99"/>
      <c r="H409" s="95"/>
      <c r="I409" s="334"/>
      <c r="J409" s="279"/>
      <c r="K409" s="217"/>
      <c r="L409" s="217"/>
      <c r="M409" s="217"/>
      <c r="N409" s="217"/>
      <c r="O409" s="217"/>
      <c r="P409" s="30"/>
      <c r="Q409" s="79">
        <f>база!$L$5</f>
        <v>231.45480000000001</v>
      </c>
      <c r="R409" s="272">
        <v>1.3</v>
      </c>
      <c r="S409" s="99">
        <f>SUMIFS(Таблица1[сумма],Таблица1[коэф],"1,3",Таблица1[р/р],"4/16",Таблица1[Ф. И. О.],B407)</f>
        <v>0</v>
      </c>
      <c r="T409" s="95">
        <f t="shared" si="252"/>
        <v>0</v>
      </c>
      <c r="U409" s="314">
        <f>база!$M$5</f>
        <v>247.41720000000001</v>
      </c>
      <c r="V409" s="272">
        <v>1.3</v>
      </c>
      <c r="W409" s="307">
        <f>SUMIFS(Таблица1[сумма],Таблица1[коэф],"1,3",Таблица1[р/р],"4/24",Таблица1[Ф. И. О.],B407)</f>
        <v>0</v>
      </c>
      <c r="X409" s="313">
        <f t="shared" si="253"/>
        <v>0</v>
      </c>
      <c r="Y409" s="849"/>
      <c r="Z409" s="840"/>
      <c r="AA409" s="843"/>
    </row>
    <row r="410" spans="1:30">
      <c r="A410" s="786"/>
      <c r="B410" s="216"/>
      <c r="C410" s="845"/>
      <c r="D410" s="847"/>
      <c r="E410" s="79"/>
      <c r="F410" s="272"/>
      <c r="G410" s="99"/>
      <c r="H410" s="95"/>
      <c r="I410" s="334"/>
      <c r="J410" s="279"/>
      <c r="K410" s="217"/>
      <c r="L410" s="217"/>
      <c r="M410" s="217"/>
      <c r="N410" s="217"/>
      <c r="O410" s="217"/>
      <c r="P410" s="30"/>
      <c r="Q410" s="79">
        <f>IF(D402&lt;=3,база!$L$4,
IF(D402=4,база!$L$5,
IF(D402=5,база!$L$6)))</f>
        <v>210.57480000000001</v>
      </c>
      <c r="R410" s="272">
        <v>1.4</v>
      </c>
      <c r="S410" s="99">
        <f>SUMIFS(Таблица1[сумма],Таблица1[коэф],"1,4",Таблица1[р/р],"3/16",Таблица1[Ф. И. О.],B407)</f>
        <v>0</v>
      </c>
      <c r="T410" s="95">
        <f t="shared" si="252"/>
        <v>0</v>
      </c>
      <c r="U410" s="314">
        <f>IF(D402&lt;=3,база!$M$4,
IF(D402=4,база!$M$5,
IF(D402=5,база!$M$6)))</f>
        <v>225.09719999999999</v>
      </c>
      <c r="V410" s="272">
        <v>1.4</v>
      </c>
      <c r="W410" s="307">
        <f>SUMIFS(Таблица1[сумма],Таблица1[коэф],"1,4",Таблица1[р/р],"3/24",Таблица1[Ф. И. О.],B407)</f>
        <v>0</v>
      </c>
      <c r="X410" s="313">
        <f>ROUND(U410*V410*W410,2)</f>
        <v>0</v>
      </c>
      <c r="Y410" s="849"/>
      <c r="Z410" s="840"/>
      <c r="AA410" s="843"/>
    </row>
    <row r="411" spans="1:30">
      <c r="A411" s="786"/>
      <c r="B411" s="216"/>
      <c r="C411" s="845"/>
      <c r="D411" s="847"/>
      <c r="E411" s="79"/>
      <c r="F411" s="272"/>
      <c r="G411" s="99"/>
      <c r="H411" s="95"/>
      <c r="I411" s="334"/>
      <c r="J411" s="279"/>
      <c r="K411" s="217"/>
      <c r="L411" s="217"/>
      <c r="M411" s="217"/>
      <c r="N411" s="217"/>
      <c r="O411" s="217"/>
      <c r="P411" s="30"/>
      <c r="Q411" s="79">
        <f>база!$L$5</f>
        <v>231.45480000000001</v>
      </c>
      <c r="R411" s="272">
        <v>1.4</v>
      </c>
      <c r="S411" s="99">
        <f>SUMIFS(Таблица1[сумма],Таблица1[коэф],"1,4",Таблица1[р/р],"4/16",Таблица1[Ф. И. О.],B407)</f>
        <v>0</v>
      </c>
      <c r="T411" s="95">
        <f t="shared" si="252"/>
        <v>0</v>
      </c>
      <c r="U411" s="314">
        <f>база!$M$5</f>
        <v>247.41720000000001</v>
      </c>
      <c r="V411" s="272">
        <v>1.4</v>
      </c>
      <c r="W411" s="307">
        <f>SUMIFS(Таблица1[сумма],Таблица1[коэф],"1,4",Таблица1[р/р],"4/24",Таблица1[Ф. И. О.],B407)</f>
        <v>0</v>
      </c>
      <c r="X411" s="313">
        <f>ROUND(U411*V411*W411,2)</f>
        <v>0</v>
      </c>
      <c r="Y411" s="849"/>
      <c r="Z411" s="840"/>
      <c r="AA411" s="843"/>
    </row>
    <row r="412" spans="1:30" ht="24" thickBot="1">
      <c r="A412" s="787"/>
      <c r="B412" s="203"/>
      <c r="C412" s="846"/>
      <c r="D412" s="848"/>
      <c r="E412" s="102"/>
      <c r="F412" s="274"/>
      <c r="G412" s="98"/>
      <c r="H412" s="91"/>
      <c r="I412" s="348"/>
      <c r="J412" s="280"/>
      <c r="K412" s="289"/>
      <c r="L412" s="289"/>
      <c r="M412" s="289"/>
      <c r="N412" s="289"/>
      <c r="O412" s="289"/>
      <c r="P412" s="315"/>
      <c r="Q412" s="102">
        <f>база!$L$6</f>
        <v>261.04640000000001</v>
      </c>
      <c r="R412" s="274">
        <v>1.4</v>
      </c>
      <c r="S412" s="98">
        <f>SUMIFS(Таблица1[сумма],Таблица1[коэф],"1,4",Таблица1[р/р],"5/16",Таблица1[Ф. И. О.],B407)</f>
        <v>0</v>
      </c>
      <c r="T412" s="91">
        <f t="shared" si="252"/>
        <v>0</v>
      </c>
      <c r="U412" s="347">
        <f>база!$M$6</f>
        <v>279.0496</v>
      </c>
      <c r="V412" s="274">
        <v>1.4</v>
      </c>
      <c r="W412" s="312">
        <f>SUMIFS(Таблица1[сумма],Таблица1[коэф],"1,4",Таблица1[р/р],"5/24",Таблица1[Ф. И. О.],B407)</f>
        <v>0</v>
      </c>
      <c r="X412" s="343">
        <f>ROUND(U412*V412*W412,2)</f>
        <v>0</v>
      </c>
      <c r="Y412" s="850"/>
      <c r="Z412" s="841"/>
      <c r="AA412" s="844"/>
    </row>
    <row r="413" spans="1:30">
      <c r="A413" s="785">
        <v>38</v>
      </c>
      <c r="B413" s="236"/>
      <c r="C413" s="851">
        <f>INDEX(база!$E$2:$E$81, MATCH(B418,база!$B$2:$B$50,0))</f>
        <v>15888</v>
      </c>
      <c r="D413" s="852">
        <f>INDEX(база!$D$2:$D$89, MATCH(B418,база!$B$2:$B$50,0))</f>
        <v>3</v>
      </c>
      <c r="E413" s="73">
        <f>IF(D413&lt;=3,база!$I$4,
IF(D413=4,база!$I$5,
IF(D413=5,база!$I$6)))</f>
        <v>188.7912</v>
      </c>
      <c r="F413" s="270">
        <v>1</v>
      </c>
      <c r="G413" s="96">
        <f>SUMIFS(Таблица1[сумма],Таблица1[коэф],"1",Таблица1[р/р],"2/4",Таблица1[Ф. И. О.],B418)</f>
        <v>0</v>
      </c>
      <c r="H413" s="88">
        <f>ROUND(E413*F413*G413,2)</f>
        <v>0</v>
      </c>
      <c r="I413" s="338">
        <f>IF(D413&lt;=3,база!$J$4,
IF(D413=4,база!$J$5,
IF(D413=5,база!$J$6)))</f>
        <v>196.05240000000001</v>
      </c>
      <c r="J413" s="277">
        <v>1</v>
      </c>
      <c r="K413" s="288">
        <f>SUMIFS(Таблица1[сумма],Таблица1[коэф],"1",Таблица1[р/р],"2/8",Таблица1[Ф. И. О.],B418)</f>
        <v>0</v>
      </c>
      <c r="L413" s="288">
        <f>ROUND(I413*J413*K413,2)</f>
        <v>0</v>
      </c>
      <c r="M413" s="288"/>
      <c r="N413" s="288">
        <v>1</v>
      </c>
      <c r="O413" s="288">
        <f>SUMIFS(Data_Tech!$AM$3:$AM$67,Data_Tech!$E$3:$E$67,"1",Data_Tech!$G$3:$G$67,"3/12",Data_Tech!$F$3:$F$67,B418)</f>
        <v>0</v>
      </c>
      <c r="P413" s="281">
        <f>ROUND(M413*N413*O413,2)</f>
        <v>0</v>
      </c>
      <c r="Q413" s="73">
        <f>IF(D413&lt;=3,база!$L$4,
IF(D413=4,база!$L$5,
IF(D413=5,база!$L$6)))</f>
        <v>210.57480000000001</v>
      </c>
      <c r="R413" s="270">
        <v>1</v>
      </c>
      <c r="S413" s="96">
        <f>SUMIFS(Таблица1[сумма],Таблица1[коэф],"1",Таблица1[р/р],"3/16",Таблица1[Ф. И. О.],B418)</f>
        <v>0</v>
      </c>
      <c r="T413" s="88">
        <f t="shared" si="252"/>
        <v>0</v>
      </c>
      <c r="U413" s="339">
        <f>IF(D413&lt;=3,база!$M$4,
IF(D413=4,база!$M$5,
IF(D413=5,база!$M$6)))</f>
        <v>225.09719999999999</v>
      </c>
      <c r="V413" s="270">
        <v>1</v>
      </c>
      <c r="W413" s="340">
        <f>SUMIFS(Таблица1[сумма],Таблица1[коэф],"1",Таблица1[р/р],"3/24",Таблица1[Ф. И. О.],B418)</f>
        <v>0</v>
      </c>
      <c r="X413" s="342">
        <f>ROUND(U413*V413*W413,2)</f>
        <v>0</v>
      </c>
      <c r="Y413" s="849">
        <f t="shared" ref="Y413" si="254">SUM(G413:G423,K413:K423,O413:O423,S413:S423,W413:W423)</f>
        <v>0</v>
      </c>
      <c r="Z413" s="840">
        <f t="shared" ref="Z413" si="255">IFERROR(SUM(H413:H423,L413:L423,T413:T423,X413:X423),"")</f>
        <v>0</v>
      </c>
      <c r="AA413" s="843"/>
    </row>
    <row r="414" spans="1:30">
      <c r="A414" s="786"/>
      <c r="B414" s="216"/>
      <c r="C414" s="845"/>
      <c r="D414" s="847"/>
      <c r="E414" s="79">
        <f>IF(D413&lt;=3,база!$I$4,
IF(D413=4,база!$I$5,
IF(D413=5,база!$I$6)))</f>
        <v>188.7912</v>
      </c>
      <c r="F414" s="272">
        <v>1</v>
      </c>
      <c r="G414" s="99">
        <f>SUMIFS(Таблица1[сумма],Таблица1[коэф],"1",Таблица1[р/р],"3/4",Таблица1[Ф. И. О.],B418)</f>
        <v>0</v>
      </c>
      <c r="H414" s="95">
        <f>ROUND(E414*F414*G414,2)</f>
        <v>0</v>
      </c>
      <c r="I414" s="334">
        <f>IF(D413&lt;=3,база!$J$4,
IF(D413=4,база!$J$5,
IF(D413=5,база!$J$6)))</f>
        <v>196.05240000000001</v>
      </c>
      <c r="J414" s="279">
        <v>1</v>
      </c>
      <c r="K414" s="217">
        <f>SUMIFS(Таблица1[сумма],Таблица1[коэф],"1",Таблица1[р/р],"3/8",Таблица1[Ф. И. О.],B418)</f>
        <v>0</v>
      </c>
      <c r="L414" s="217">
        <f>ROUND(I414*J414*K414,2)</f>
        <v>0</v>
      </c>
      <c r="M414" s="217"/>
      <c r="N414" s="217">
        <v>1</v>
      </c>
      <c r="O414" s="217">
        <f>SUMIFS(Data_Tech!$AM$3:$AM$67,Data_Tech!$E$3:$E$67,"1",Data_Tech!$G$3:$G$67,"4/12",Data_Tech!$F$3:$F$67,B418)</f>
        <v>0</v>
      </c>
      <c r="P414" s="30">
        <f>ROUND(M414*O414,2)</f>
        <v>0</v>
      </c>
      <c r="Q414" s="79">
        <f>база!$L$5</f>
        <v>231.45480000000001</v>
      </c>
      <c r="R414" s="272">
        <v>1</v>
      </c>
      <c r="S414" s="99">
        <f>SUMIFS(Таблица1[сумма],Таблица1[коэф],"1",Таблица1[р/р],"4/16",Таблица1[Ф. И. О.],B418)</f>
        <v>0</v>
      </c>
      <c r="T414" s="95">
        <f t="shared" si="252"/>
        <v>0</v>
      </c>
      <c r="U414" s="314">
        <f>база!$M$5</f>
        <v>247.41720000000001</v>
      </c>
      <c r="V414" s="272">
        <v>1</v>
      </c>
      <c r="W414" s="307">
        <f>SUMIFS(Таблица1[сумма],Таблица1[коэф],"1",Таблица1[р/р],"4/24",Таблица1[Ф. И. О.],B418)</f>
        <v>0</v>
      </c>
      <c r="X414" s="313">
        <f t="shared" ref="X414" si="256">ROUND(U414*V414*W414,2)</f>
        <v>0</v>
      </c>
      <c r="Y414" s="849"/>
      <c r="Z414" s="840"/>
      <c r="AA414" s="843"/>
    </row>
    <row r="415" spans="1:30">
      <c r="A415" s="786"/>
      <c r="B415" s="216"/>
      <c r="C415" s="845"/>
      <c r="D415" s="847"/>
      <c r="E415" s="79"/>
      <c r="F415" s="272"/>
      <c r="G415" s="99"/>
      <c r="H415" s="95"/>
      <c r="I415" s="334"/>
      <c r="J415" s="279"/>
      <c r="K415" s="217"/>
      <c r="L415" s="217"/>
      <c r="M415" s="217"/>
      <c r="N415" s="217"/>
      <c r="O415" s="217"/>
      <c r="P415" s="30"/>
      <c r="Q415" s="79">
        <f>база!$L$6</f>
        <v>261.04640000000001</v>
      </c>
      <c r="R415" s="272">
        <v>1</v>
      </c>
      <c r="S415" s="99">
        <f>SUMIFS(Таблица1[сумма],Таблица1[коэф],"1",Таблица1[р/р],"5/16",Таблица1[Ф. И. О.],B418)</f>
        <v>0</v>
      </c>
      <c r="T415" s="95">
        <f t="shared" si="252"/>
        <v>0</v>
      </c>
      <c r="U415" s="314">
        <f>база!$M$6</f>
        <v>279.0496</v>
      </c>
      <c r="V415" s="272">
        <v>1</v>
      </c>
      <c r="W415" s="307">
        <f>SUMIFS(Таблица1[сумма],Таблица1[коэф],"1",Таблица1[р/р],"5/24",Таблица1[Ф. И. О.],B418)</f>
        <v>0</v>
      </c>
      <c r="X415" s="313">
        <f>ROUND(U415*V415*W415,2)</f>
        <v>0</v>
      </c>
      <c r="Y415" s="849"/>
      <c r="Z415" s="840"/>
      <c r="AA415" s="843"/>
    </row>
    <row r="416" spans="1:30">
      <c r="A416" s="786"/>
      <c r="B416" s="216"/>
      <c r="C416" s="845"/>
      <c r="D416" s="847"/>
      <c r="E416" s="79"/>
      <c r="F416" s="272"/>
      <c r="G416" s="99"/>
      <c r="H416" s="95"/>
      <c r="I416" s="334">
        <f>база!$J$5</f>
        <v>215.4924</v>
      </c>
      <c r="J416" s="279">
        <v>1.5</v>
      </c>
      <c r="K416" s="217">
        <f>SUMIFS(Таблица1[сумма],Таблица1[коэф],"1,5",Таблица1[р/р],"4/8",Таблица1[Ф. И. О.],B418)</f>
        <v>0</v>
      </c>
      <c r="L416" s="217">
        <f>ROUND(I416*J416*K416,2)</f>
        <v>0</v>
      </c>
      <c r="M416" s="217"/>
      <c r="N416" s="217"/>
      <c r="O416" s="217"/>
      <c r="P416" s="30"/>
      <c r="Q416" s="79">
        <f>IF(D413&lt;=3,база!$L$4,
IF(D413=4,база!$L$5,
IF(D413=5,база!$L$6)))</f>
        <v>210.57480000000001</v>
      </c>
      <c r="R416" s="272">
        <v>1.2</v>
      </c>
      <c r="S416" s="99">
        <f>SUMIFS(Таблица1[сумма],Таблица1[коэф],"1,2",Таблица1[р/р],"3/16",Таблица1[Ф. И. О.],B418)</f>
        <v>0</v>
      </c>
      <c r="T416" s="95">
        <f t="shared" si="252"/>
        <v>0</v>
      </c>
      <c r="U416" s="314">
        <f>IF(D413&lt;=3,база!$M$4,
IF(D413=4,база!$M$5,
IF(D413=5,база!$M$6)))</f>
        <v>225.09719999999999</v>
      </c>
      <c r="V416" s="272">
        <v>1.2</v>
      </c>
      <c r="W416" s="307">
        <f>SUMIFS(Таблица1[сумма],Таблица1[коэф],"1,2",Таблица1[р/р],"3/24",Таблица1[Ф. И. О.],B418)</f>
        <v>0</v>
      </c>
      <c r="X416" s="313">
        <f t="shared" ref="X416:X417" si="257">ROUND(U416*V416*W416,2)</f>
        <v>0</v>
      </c>
      <c r="Y416" s="849"/>
      <c r="Z416" s="840"/>
      <c r="AA416" s="843"/>
    </row>
    <row r="417" spans="1:30">
      <c r="A417" s="786"/>
      <c r="B417" s="216"/>
      <c r="C417" s="845"/>
      <c r="D417" s="847"/>
      <c r="E417" s="79"/>
      <c r="F417" s="272"/>
      <c r="G417" s="99"/>
      <c r="H417" s="95"/>
      <c r="I417" s="334">
        <f>база!$J$6</f>
        <v>243.04319999999998</v>
      </c>
      <c r="J417" s="279">
        <v>1.5</v>
      </c>
      <c r="K417" s="217">
        <f>SUMIFS(Таблица1[сумма],Таблица1[коэф],"1,5",Таблица1[р/р],"5/8",Таблица1[Ф. И. О.],B418)</f>
        <v>0</v>
      </c>
      <c r="L417" s="217">
        <f>ROUND(I417*J417*K417,2)</f>
        <v>0</v>
      </c>
      <c r="M417" s="217"/>
      <c r="N417" s="217"/>
      <c r="O417" s="217"/>
      <c r="P417" s="30"/>
      <c r="Q417" s="79">
        <f>база!$L$5</f>
        <v>231.45480000000001</v>
      </c>
      <c r="R417" s="272">
        <v>1.2</v>
      </c>
      <c r="S417" s="99">
        <f>SUMIFS(Таблица1[сумма],Таблица1[коэф],"1,2",Таблица1[р/р],"4/16",Таблица1[Ф. И. О.],B418)</f>
        <v>0</v>
      </c>
      <c r="T417" s="95">
        <f t="shared" si="252"/>
        <v>0</v>
      </c>
      <c r="U417" s="314">
        <f>база!$M$5</f>
        <v>247.41720000000001</v>
      </c>
      <c r="V417" s="272">
        <v>1.2</v>
      </c>
      <c r="W417" s="307">
        <f>SUMIFS(Таблица1[сумма],Таблица1[коэф],"1,2",Таблица1[р/р],"4/24",Таблица1[Ф. И. О.],B418)</f>
        <v>0</v>
      </c>
      <c r="X417" s="313">
        <f t="shared" si="257"/>
        <v>0</v>
      </c>
      <c r="Y417" s="849"/>
      <c r="Z417" s="840"/>
      <c r="AA417" s="843"/>
      <c r="AC417" s="722" t="str">
        <f>IF(SUMIFS(Таблица1[Столбец2],Таблица1[Ф. И. О.],B418)-Z413=0,"",SUMIFS(Таблица1[Столбец2],Таблица1[Ф. И. О.],B418)-Z413)</f>
        <v/>
      </c>
    </row>
    <row r="418" spans="1:30">
      <c r="A418" s="786"/>
      <c r="B418" s="216" t="str">
        <f>база!B39</f>
        <v>Коричева Юлия Владимировна</v>
      </c>
      <c r="C418" s="845"/>
      <c r="D418" s="847"/>
      <c r="E418" s="79"/>
      <c r="F418" s="272"/>
      <c r="G418" s="99"/>
      <c r="H418" s="95"/>
      <c r="I418" s="334"/>
      <c r="J418" s="279"/>
      <c r="K418" s="217"/>
      <c r="L418" s="217"/>
      <c r="M418" s="217"/>
      <c r="N418" s="217"/>
      <c r="O418" s="217"/>
      <c r="P418" s="30"/>
      <c r="Q418" s="79">
        <f>база!$L$6</f>
        <v>261.04640000000001</v>
      </c>
      <c r="R418" s="272">
        <v>1.2</v>
      </c>
      <c r="S418" s="99">
        <f>SUMIFS(Таблица1[сумма],Таблица1[коэф],"1,2",Таблица1[р/р],"5/16",Таблица1[Ф. И. О.],B418)</f>
        <v>0</v>
      </c>
      <c r="T418" s="95">
        <f>ROUND(Q418*R418*S418,2)</f>
        <v>0</v>
      </c>
      <c r="U418" s="314">
        <f>база!$M$6</f>
        <v>279.0496</v>
      </c>
      <c r="V418" s="272">
        <v>1.2</v>
      </c>
      <c r="W418" s="307">
        <f>SUMIFS(Таблица1[сумма],Таблица1[коэф],"1,2",Таблица1[р/р],"5/24",Таблица1[Ф. И. О.],B418)</f>
        <v>0</v>
      </c>
      <c r="X418" s="313">
        <f>ROUND(U418*V418*W418,2)</f>
        <v>0</v>
      </c>
      <c r="Y418" s="849"/>
      <c r="Z418" s="840"/>
      <c r="AA418" s="843"/>
      <c r="AC418" s="722" t="str">
        <f>IF(SUMIFS(Таблица1[сумма],Таблица1[Ф. И. О.],B418)=Y413,"",B413&amp;"  часы не верны")</f>
        <v/>
      </c>
      <c r="AD418" s="759">
        <f>INDEX('[2]декабрь 23'!$AI$4:$AI$100,MATCH(C413,'[2]декабрь 23'!$AK$4:$AK$100,0))</f>
        <v>144</v>
      </c>
    </row>
    <row r="419" spans="1:30">
      <c r="A419" s="786"/>
      <c r="B419" s="216"/>
      <c r="C419" s="845"/>
      <c r="D419" s="847"/>
      <c r="E419" s="79"/>
      <c r="F419" s="272"/>
      <c r="G419" s="99"/>
      <c r="H419" s="95"/>
      <c r="I419" s="334"/>
      <c r="J419" s="279"/>
      <c r="K419" s="217"/>
      <c r="L419" s="217"/>
      <c r="M419" s="217"/>
      <c r="N419" s="217"/>
      <c r="O419" s="217"/>
      <c r="P419" s="30"/>
      <c r="Q419" s="79">
        <f>IF($D$6&lt;=3,база!$L$4,
IF($D$6=4,база!$L$5,
IF($D$6=5,база!$L$6)))</f>
        <v>231.45480000000001</v>
      </c>
      <c r="R419" s="272">
        <v>1.3</v>
      </c>
      <c r="S419" s="99">
        <f>SUMIFS(Таблица1[сумма],Таблица1[коэф],"1,3",Таблица1[р/р],"3/16",Таблица1[Ф. И. О.],B418)</f>
        <v>0</v>
      </c>
      <c r="T419" s="95">
        <f t="shared" ref="T419:T428" si="258">ROUND(Q419*R419*S419,2)</f>
        <v>0</v>
      </c>
      <c r="U419" s="314">
        <f>IF(D413&lt;=3,база!$M$4,
IF(D413=4,база!$M$5,
IF(D413=5,база!$M$6)))</f>
        <v>225.09719999999999</v>
      </c>
      <c r="V419" s="272">
        <v>1.3</v>
      </c>
      <c r="W419" s="307">
        <f>SUMIFS(Таблица1[сумма],Таблица1[коэф],"1,3",Таблица1[р/р],"3/24",Таблица1[Ф. И. О.],B418)</f>
        <v>0</v>
      </c>
      <c r="X419" s="313">
        <f t="shared" ref="X419:X420" si="259">ROUND(U419*V419*W419,2)</f>
        <v>0</v>
      </c>
      <c r="Y419" s="849"/>
      <c r="Z419" s="840"/>
      <c r="AA419" s="843"/>
    </row>
    <row r="420" spans="1:30">
      <c r="A420" s="786"/>
      <c r="B420" s="216"/>
      <c r="C420" s="845"/>
      <c r="D420" s="847"/>
      <c r="E420" s="79"/>
      <c r="F420" s="272"/>
      <c r="G420" s="99"/>
      <c r="H420" s="95"/>
      <c r="I420" s="334"/>
      <c r="J420" s="279"/>
      <c r="K420" s="217"/>
      <c r="L420" s="217"/>
      <c r="M420" s="217"/>
      <c r="N420" s="217"/>
      <c r="O420" s="217"/>
      <c r="P420" s="30"/>
      <c r="Q420" s="79">
        <f>база!$L$5</f>
        <v>231.45480000000001</v>
      </c>
      <c r="R420" s="272">
        <v>1.3</v>
      </c>
      <c r="S420" s="99">
        <f>SUMIFS(Таблица1[сумма],Таблица1[коэф],"1,3",Таблица1[р/р],"4/16",Таблица1[Ф. И. О.],B418)</f>
        <v>0</v>
      </c>
      <c r="T420" s="95">
        <f t="shared" si="258"/>
        <v>0</v>
      </c>
      <c r="U420" s="314">
        <f>база!$M$5</f>
        <v>247.41720000000001</v>
      </c>
      <c r="V420" s="272">
        <v>1.3</v>
      </c>
      <c r="W420" s="307">
        <f>SUMIFS(Таблица1[сумма],Таблица1[коэф],"1,3",Таблица1[р/р],"4/24",Таблица1[Ф. И. О.],B418)</f>
        <v>0</v>
      </c>
      <c r="X420" s="313">
        <f t="shared" si="259"/>
        <v>0</v>
      </c>
      <c r="Y420" s="849"/>
      <c r="Z420" s="840"/>
      <c r="AA420" s="843"/>
    </row>
    <row r="421" spans="1:30">
      <c r="A421" s="786"/>
      <c r="B421" s="216"/>
      <c r="C421" s="845"/>
      <c r="D421" s="847"/>
      <c r="E421" s="79"/>
      <c r="F421" s="272"/>
      <c r="G421" s="99"/>
      <c r="H421" s="95"/>
      <c r="I421" s="334"/>
      <c r="J421" s="279"/>
      <c r="K421" s="217"/>
      <c r="L421" s="217"/>
      <c r="M421" s="217"/>
      <c r="N421" s="217"/>
      <c r="O421" s="217"/>
      <c r="P421" s="30"/>
      <c r="Q421" s="79">
        <f>IF(D413&lt;=3,база!$L$4,
IF(D413=4,база!$L$5,
IF(D413=5,база!$L$6)))</f>
        <v>210.57480000000001</v>
      </c>
      <c r="R421" s="272">
        <v>1.4</v>
      </c>
      <c r="S421" s="99">
        <f>SUMIFS(Таблица1[сумма],Таблица1[коэф],"1,4",Таблица1[р/р],"3/16",Таблица1[Ф. И. О.],B418)</f>
        <v>0</v>
      </c>
      <c r="T421" s="95">
        <f t="shared" si="258"/>
        <v>0</v>
      </c>
      <c r="U421" s="314">
        <f>IF(D413&lt;=3,база!$M$4,
IF(D413=4,база!$M$5,
IF(D413=5,база!$M$6)))</f>
        <v>225.09719999999999</v>
      </c>
      <c r="V421" s="272">
        <v>1.4</v>
      </c>
      <c r="W421" s="307">
        <f>SUMIFS(Таблица1[сумма],Таблица1[коэф],"1,4",Таблица1[р/р],"3/24",Таблица1[Ф. И. О.],B418)</f>
        <v>0</v>
      </c>
      <c r="X421" s="313">
        <f>ROUND(U421*V421*W421,2)</f>
        <v>0</v>
      </c>
      <c r="Y421" s="849"/>
      <c r="Z421" s="840"/>
      <c r="AA421" s="843"/>
    </row>
    <row r="422" spans="1:30">
      <c r="A422" s="786"/>
      <c r="B422" s="216"/>
      <c r="C422" s="845"/>
      <c r="D422" s="847"/>
      <c r="E422" s="79"/>
      <c r="F422" s="272"/>
      <c r="G422" s="99"/>
      <c r="H422" s="95"/>
      <c r="I422" s="334"/>
      <c r="J422" s="279"/>
      <c r="K422" s="217"/>
      <c r="L422" s="217"/>
      <c r="M422" s="217"/>
      <c r="N422" s="217"/>
      <c r="O422" s="217"/>
      <c r="P422" s="30"/>
      <c r="Q422" s="79">
        <f>база!$L$5</f>
        <v>231.45480000000001</v>
      </c>
      <c r="R422" s="272">
        <v>1.4</v>
      </c>
      <c r="S422" s="99">
        <f>SUMIFS(Таблица1[сумма],Таблица1[коэф],"1,4",Таблица1[р/р],"4/16",Таблица1[Ф. И. О.],B418)</f>
        <v>0</v>
      </c>
      <c r="T422" s="95">
        <f t="shared" si="258"/>
        <v>0</v>
      </c>
      <c r="U422" s="314">
        <f>база!$M$5</f>
        <v>247.41720000000001</v>
      </c>
      <c r="V422" s="272">
        <v>1.4</v>
      </c>
      <c r="W422" s="307">
        <f>SUMIFS(Таблица1[сумма],Таблица1[коэф],"1,4",Таблица1[р/р],"4/24",Таблица1[Ф. И. О.],B418)</f>
        <v>0</v>
      </c>
      <c r="X422" s="313">
        <f>ROUND(U422*V422*W422,2)</f>
        <v>0</v>
      </c>
      <c r="Y422" s="849"/>
      <c r="Z422" s="840"/>
      <c r="AA422" s="843"/>
    </row>
    <row r="423" spans="1:30" ht="24" thickBot="1">
      <c r="A423" s="787"/>
      <c r="B423" s="203"/>
      <c r="C423" s="846"/>
      <c r="D423" s="848"/>
      <c r="E423" s="102"/>
      <c r="F423" s="274"/>
      <c r="G423" s="98"/>
      <c r="H423" s="91"/>
      <c r="I423" s="348"/>
      <c r="J423" s="280"/>
      <c r="K423" s="289"/>
      <c r="L423" s="289"/>
      <c r="M423" s="289"/>
      <c r="N423" s="289"/>
      <c r="O423" s="289"/>
      <c r="P423" s="315"/>
      <c r="Q423" s="102">
        <f>база!$L$6</f>
        <v>261.04640000000001</v>
      </c>
      <c r="R423" s="274">
        <v>1.4</v>
      </c>
      <c r="S423" s="98">
        <f>SUMIFS(Таблица1[сумма],Таблица1[коэф],"1,4",Таблица1[р/р],"5/16",Таблица1[Ф. И. О.],B418)</f>
        <v>0</v>
      </c>
      <c r="T423" s="91">
        <f t="shared" si="258"/>
        <v>0</v>
      </c>
      <c r="U423" s="347">
        <f>база!$M$6</f>
        <v>279.0496</v>
      </c>
      <c r="V423" s="274">
        <v>1.4</v>
      </c>
      <c r="W423" s="312">
        <f>SUMIFS(Таблица1[сумма],Таблица1[коэф],"1,4",Таблица1[р/р],"5/24",Таблица1[Ф. И. О.],B418)</f>
        <v>0</v>
      </c>
      <c r="X423" s="343">
        <f>ROUND(U423*V423*W423,2)</f>
        <v>0</v>
      </c>
      <c r="Y423" s="850"/>
      <c r="Z423" s="841"/>
      <c r="AA423" s="844"/>
    </row>
    <row r="424" spans="1:30" ht="20.25" customHeight="1">
      <c r="A424" s="785">
        <v>39</v>
      </c>
      <c r="B424" s="216"/>
      <c r="C424" s="851">
        <f>INDEX(база!$E$2:$E$81, MATCH(B429,база!$B$2:$B$50,0))</f>
        <v>17271</v>
      </c>
      <c r="D424" s="852">
        <f>INDEX(база!$D$2:$D$89, MATCH(B429,база!$B$2:$B$50,0))</f>
        <v>3</v>
      </c>
      <c r="E424" s="73">
        <f>IF(D424&lt;=3,база!$I$4,
IF(D424=4,база!$I$5,
IF(D424=5,база!$I$6)))</f>
        <v>188.7912</v>
      </c>
      <c r="F424" s="270">
        <v>1</v>
      </c>
      <c r="G424" s="96">
        <f>SUMIFS(Таблица1[сумма],Таблица1[коэф],"1",Таблица1[р/р],"2/4",Таблица1[Ф. И. О.],B429)</f>
        <v>0</v>
      </c>
      <c r="H424" s="88">
        <f>ROUND(E424*F424*G424,2)</f>
        <v>0</v>
      </c>
      <c r="I424" s="338">
        <f>IF(D424&lt;=3,база!$J$4,
IF(D424=4,база!$J$5,
IF(D424=5,база!$J$6)))</f>
        <v>196.05240000000001</v>
      </c>
      <c r="J424" s="277">
        <v>1</v>
      </c>
      <c r="K424" s="288">
        <f>SUMIFS(Таблица1[сумма],Таблица1[коэф],"1",Таблица1[р/р],"2/8",Таблица1[Ф. И. О.],B429)</f>
        <v>0</v>
      </c>
      <c r="L424" s="288">
        <f>ROUND(I424*J424*K424,2)</f>
        <v>0</v>
      </c>
      <c r="M424" s="288"/>
      <c r="N424" s="288">
        <v>1</v>
      </c>
      <c r="O424" s="288">
        <f>SUMIFS(Data_Tech!$AM$3:$AM$67,Data_Tech!$E$3:$E$67,"1",Data_Tech!$G$3:$G$67,"3/12",Data_Tech!$F$3:$F$67,B429)</f>
        <v>0</v>
      </c>
      <c r="P424" s="281">
        <f>ROUND(M424*N424*O424,2)</f>
        <v>0</v>
      </c>
      <c r="Q424" s="73">
        <f>IF(D424&lt;=3,база!$L$4,
IF(D424=4,база!$L$5,
IF(D424=5,база!$L$6)))</f>
        <v>210.57480000000001</v>
      </c>
      <c r="R424" s="270">
        <v>1</v>
      </c>
      <c r="S424" s="96">
        <f>SUMIFS(Таблица1[сумма],Таблица1[коэф],"1",Таблица1[р/р],"3/16",Таблица1[Ф. И. О.],B429)</f>
        <v>0</v>
      </c>
      <c r="T424" s="88">
        <f t="shared" si="258"/>
        <v>0</v>
      </c>
      <c r="U424" s="339">
        <f>IF(D424&lt;=3,база!$M$4,
IF(D424=4,база!$M$5,
IF(D424=5,база!$M$6)))</f>
        <v>225.09719999999999</v>
      </c>
      <c r="V424" s="270">
        <v>1</v>
      </c>
      <c r="W424" s="340">
        <f>SUMIFS(Таблица1[сумма],Таблица1[коэф],"1",Таблица1[р/р],"3/24",Таблица1[Ф. И. О.],B429)</f>
        <v>0</v>
      </c>
      <c r="X424" s="342">
        <f>ROUND(U424*V424*W424,2)</f>
        <v>0</v>
      </c>
      <c r="Y424" s="837">
        <f t="shared" ref="Y424" si="260">SUM(G424:G434,K424:K434,O424:O434,S424:S434,W424:W434)</f>
        <v>0</v>
      </c>
      <c r="Z424" s="853">
        <f t="shared" ref="Z424" si="261">IFERROR(SUM(H424:H434,L424:L434,T424:T434,X424:X434),"")</f>
        <v>0</v>
      </c>
      <c r="AA424" s="842"/>
    </row>
    <row r="425" spans="1:30">
      <c r="A425" s="786"/>
      <c r="B425" s="216"/>
      <c r="C425" s="845"/>
      <c r="D425" s="847"/>
      <c r="E425" s="79">
        <f>IF(D424&lt;=3,база!$I$4,
IF(D424=4,база!$I$5,
IF(D424=5,база!$I$6)))</f>
        <v>188.7912</v>
      </c>
      <c r="F425" s="272">
        <v>1</v>
      </c>
      <c r="G425" s="99">
        <f>SUMIFS(Таблица1[сумма],Таблица1[коэф],"1",Таблица1[р/р],"3/4",Таблица1[Ф. И. О.],B429)</f>
        <v>0</v>
      </c>
      <c r="H425" s="95">
        <f>ROUND(E425*F425*G425,2)</f>
        <v>0</v>
      </c>
      <c r="I425" s="334">
        <f>IF(D424&lt;=3,база!$J$4,
IF(D424=4,база!$J$5,
IF(D424=5,база!$J$6)))</f>
        <v>196.05240000000001</v>
      </c>
      <c r="J425" s="279">
        <v>1</v>
      </c>
      <c r="K425" s="217">
        <f>SUMIFS(Таблица1[сумма],Таблица1[коэф],"1",Таблица1[р/р],"3/8",Таблица1[Ф. И. О.],B429)</f>
        <v>0</v>
      </c>
      <c r="L425" s="217">
        <f>ROUND(I425*J425*K425,2)</f>
        <v>0</v>
      </c>
      <c r="M425" s="217"/>
      <c r="N425" s="217">
        <v>1</v>
      </c>
      <c r="O425" s="217">
        <f>SUMIFS(Data_Tech!$AM$3:$AM$67,Data_Tech!$E$3:$E$67,"1",Data_Tech!$G$3:$G$67,"4/12",Data_Tech!$F$3:$F$67,B429)</f>
        <v>0</v>
      </c>
      <c r="P425" s="30">
        <f>ROUND(M425*O425,2)</f>
        <v>0</v>
      </c>
      <c r="Q425" s="79">
        <f>база!$L$5</f>
        <v>231.45480000000001</v>
      </c>
      <c r="R425" s="272">
        <v>1</v>
      </c>
      <c r="S425" s="99">
        <f>SUMIFS(Таблица1[сумма],Таблица1[коэф],"1",Таблица1[р/р],"4/16",Таблица1[Ф. И. О.],B429)</f>
        <v>0</v>
      </c>
      <c r="T425" s="95">
        <f t="shared" si="258"/>
        <v>0</v>
      </c>
      <c r="U425" s="314">
        <f>база!$M$5</f>
        <v>247.41720000000001</v>
      </c>
      <c r="V425" s="272">
        <v>1</v>
      </c>
      <c r="W425" s="307">
        <f>SUMIFS(Таблица1[сумма],Таблица1[коэф],"1",Таблица1[р/р],"4/24",Таблица1[Ф. И. О.],B429)</f>
        <v>0</v>
      </c>
      <c r="X425" s="313">
        <f t="shared" ref="X425" si="262">ROUND(U425*V425*W425,2)</f>
        <v>0</v>
      </c>
      <c r="Y425" s="838"/>
      <c r="Z425" s="840"/>
      <c r="AA425" s="843"/>
    </row>
    <row r="426" spans="1:30">
      <c r="A426" s="786"/>
      <c r="B426" s="216"/>
      <c r="C426" s="845"/>
      <c r="D426" s="847"/>
      <c r="E426" s="79"/>
      <c r="F426" s="272"/>
      <c r="G426" s="99"/>
      <c r="H426" s="95"/>
      <c r="I426" s="334"/>
      <c r="J426" s="279"/>
      <c r="K426" s="217"/>
      <c r="L426" s="217"/>
      <c r="M426" s="217"/>
      <c r="N426" s="217"/>
      <c r="O426" s="217"/>
      <c r="P426" s="30"/>
      <c r="Q426" s="79">
        <f>база!$L$6</f>
        <v>261.04640000000001</v>
      </c>
      <c r="R426" s="272">
        <v>1</v>
      </c>
      <c r="S426" s="99">
        <f>SUMIFS(Таблица1[сумма],Таблица1[коэф],"1",Таблица1[р/р],"5/16",Таблица1[Ф. И. О.],B429)</f>
        <v>0</v>
      </c>
      <c r="T426" s="95">
        <f t="shared" si="258"/>
        <v>0</v>
      </c>
      <c r="U426" s="314">
        <f>база!$M$6</f>
        <v>279.0496</v>
      </c>
      <c r="V426" s="272">
        <v>1</v>
      </c>
      <c r="W426" s="307">
        <f>SUMIFS(Таблица1[сумма],Таблица1[коэф],"1",Таблица1[р/р],"5/24",Таблица1[Ф. И. О.],B429)</f>
        <v>0</v>
      </c>
      <c r="X426" s="313">
        <f>ROUND(U426*V426*W426,2)</f>
        <v>0</v>
      </c>
      <c r="Y426" s="838"/>
      <c r="Z426" s="840"/>
      <c r="AA426" s="843"/>
    </row>
    <row r="427" spans="1:30">
      <c r="A427" s="786"/>
      <c r="B427" s="216"/>
      <c r="C427" s="845"/>
      <c r="D427" s="847"/>
      <c r="E427" s="79"/>
      <c r="F427" s="272"/>
      <c r="G427" s="99"/>
      <c r="H427" s="95"/>
      <c r="I427" s="334">
        <f>база!$J$5</f>
        <v>215.4924</v>
      </c>
      <c r="J427" s="279">
        <v>1.5</v>
      </c>
      <c r="K427" s="217">
        <f>SUMIFS(Таблица1[сумма],Таблица1[коэф],"1,5",Таблица1[р/р],"4/8",Таблица1[Ф. И. О.],B429)</f>
        <v>0</v>
      </c>
      <c r="L427" s="217">
        <f>ROUND(I427*J427*K427,2)</f>
        <v>0</v>
      </c>
      <c r="M427" s="217"/>
      <c r="N427" s="217"/>
      <c r="O427" s="217"/>
      <c r="P427" s="30"/>
      <c r="Q427" s="79">
        <f>IF(D424&lt;=3,база!$L$4,
IF(D424=4,база!$L$5,
IF(D424=5,база!$L$6)))</f>
        <v>210.57480000000001</v>
      </c>
      <c r="R427" s="272">
        <v>1.2</v>
      </c>
      <c r="S427" s="99">
        <f>SUMIFS(Таблица1[сумма],Таблица1[коэф],"1,2",Таблица1[р/р],"3/16",Таблица1[Ф. И. О.],B429)</f>
        <v>0</v>
      </c>
      <c r="T427" s="95">
        <f t="shared" si="258"/>
        <v>0</v>
      </c>
      <c r="U427" s="314">
        <f>IF(D424&lt;=3,база!$M$4,
IF(D424=4,база!$M$5,
IF(D424=5,база!$M$6)))</f>
        <v>225.09719999999999</v>
      </c>
      <c r="V427" s="272">
        <v>1.2</v>
      </c>
      <c r="W427" s="307">
        <f>SUMIFS(Таблица1[сумма],Таблица1[коэф],"1,2",Таблица1[р/р],"3/24",Таблица1[Ф. И. О.],B429)</f>
        <v>0</v>
      </c>
      <c r="X427" s="313">
        <f t="shared" ref="X427:X428" si="263">ROUND(U427*V427*W427,2)</f>
        <v>0</v>
      </c>
      <c r="Y427" s="838"/>
      <c r="Z427" s="840"/>
      <c r="AA427" s="843"/>
    </row>
    <row r="428" spans="1:30">
      <c r="A428" s="786"/>
      <c r="B428" s="216"/>
      <c r="C428" s="845"/>
      <c r="D428" s="847"/>
      <c r="E428" s="79"/>
      <c r="F428" s="272"/>
      <c r="G428" s="99"/>
      <c r="H428" s="95"/>
      <c r="I428" s="334">
        <f>база!$J$6</f>
        <v>243.04319999999998</v>
      </c>
      <c r="J428" s="279">
        <v>1.5</v>
      </c>
      <c r="K428" s="217">
        <f>SUMIFS(Таблица1[сумма],Таблица1[коэф],"1,5",Таблица1[р/р],"5/8",Таблица1[Ф. И. О.],B429)</f>
        <v>0</v>
      </c>
      <c r="L428" s="217">
        <f>ROUND(I428*J428*K428,2)</f>
        <v>0</v>
      </c>
      <c r="M428" s="217"/>
      <c r="N428" s="217"/>
      <c r="O428" s="217"/>
      <c r="P428" s="30"/>
      <c r="Q428" s="79">
        <f>база!$L$5</f>
        <v>231.45480000000001</v>
      </c>
      <c r="R428" s="272">
        <v>1.2</v>
      </c>
      <c r="S428" s="99">
        <f>SUMIFS(Таблица1[сумма],Таблица1[коэф],"1,2",Таблица1[р/р],"4/16",Таблица1[Ф. И. О.],B429)</f>
        <v>0</v>
      </c>
      <c r="T428" s="95">
        <f t="shared" si="258"/>
        <v>0</v>
      </c>
      <c r="U428" s="314">
        <f>база!$M$5</f>
        <v>247.41720000000001</v>
      </c>
      <c r="V428" s="272">
        <v>1.2</v>
      </c>
      <c r="W428" s="307">
        <f>SUMIFS(Таблица1[сумма],Таблица1[коэф],"1,2",Таблица1[р/р],"4/24",Таблица1[Ф. И. О.],B429)</f>
        <v>0</v>
      </c>
      <c r="X428" s="313">
        <f t="shared" si="263"/>
        <v>0</v>
      </c>
      <c r="Y428" s="838"/>
      <c r="Z428" s="840"/>
      <c r="AA428" s="843"/>
      <c r="AC428" s="722" t="str">
        <f>IF(SUMIFS(Таблица1[Столбец2],Таблица1[Ф. И. О.],B429)-Z424=0,"",SUMIFS(Таблица1[Столбец2],Таблица1[Ф. И. О.],B429)-Z424)</f>
        <v/>
      </c>
    </row>
    <row r="429" spans="1:30">
      <c r="A429" s="786"/>
      <c r="B429" s="216" t="str">
        <f>база!B40</f>
        <v>Кочеткова Мария Андреевна</v>
      </c>
      <c r="C429" s="845"/>
      <c r="D429" s="847"/>
      <c r="E429" s="79"/>
      <c r="F429" s="272"/>
      <c r="G429" s="99"/>
      <c r="H429" s="95"/>
      <c r="I429" s="334"/>
      <c r="J429" s="279"/>
      <c r="K429" s="217"/>
      <c r="L429" s="217"/>
      <c r="M429" s="217"/>
      <c r="N429" s="217"/>
      <c r="O429" s="217"/>
      <c r="P429" s="30"/>
      <c r="Q429" s="79">
        <f>база!$L$6</f>
        <v>261.04640000000001</v>
      </c>
      <c r="R429" s="272">
        <v>1.2</v>
      </c>
      <c r="S429" s="99">
        <f>SUMIFS(Таблица1[сумма],Таблица1[коэф],"1,2",Таблица1[р/р],"5/16",Таблица1[Ф. И. О.],B429)</f>
        <v>0</v>
      </c>
      <c r="T429" s="95">
        <f>ROUND(Q429*R429*S429,2)</f>
        <v>0</v>
      </c>
      <c r="U429" s="314">
        <f>база!$M$6</f>
        <v>279.0496</v>
      </c>
      <c r="V429" s="272">
        <v>1.2</v>
      </c>
      <c r="W429" s="307">
        <f>SUMIFS(Таблица1[сумма],Таблица1[коэф],"1,2",Таблица1[р/р],"5/24",Таблица1[Ф. И. О.],B429)</f>
        <v>0</v>
      </c>
      <c r="X429" s="313">
        <f>ROUND(U429*V429*W429,2)</f>
        <v>0</v>
      </c>
      <c r="Y429" s="838"/>
      <c r="Z429" s="840"/>
      <c r="AA429" s="843"/>
      <c r="AC429" s="722" t="str">
        <f>IF(SUMIFS(Таблица1[сумма],Таблица1[Ф. И. О.],B429)=Y424,"",B424&amp;"  часы не верны")</f>
        <v/>
      </c>
      <c r="AD429" s="759">
        <f>INDEX('[2]декабрь 23'!$AI$4:$AI$100,MATCH(C424,'[2]декабрь 23'!$AK$4:$AK$100,0))</f>
        <v>72.000000000000014</v>
      </c>
    </row>
    <row r="430" spans="1:30">
      <c r="A430" s="786"/>
      <c r="B430" s="216"/>
      <c r="C430" s="845"/>
      <c r="D430" s="847"/>
      <c r="E430" s="79"/>
      <c r="F430" s="272"/>
      <c r="G430" s="99"/>
      <c r="H430" s="95"/>
      <c r="I430" s="334"/>
      <c r="J430" s="279"/>
      <c r="K430" s="217"/>
      <c r="L430" s="217"/>
      <c r="M430" s="217"/>
      <c r="N430" s="217"/>
      <c r="O430" s="217"/>
      <c r="P430" s="30"/>
      <c r="Q430" s="79">
        <f>IF($D$6&lt;=3,база!$L$4,
IF($D$6=4,база!$L$5,
IF($D$6=5,база!$L$6)))</f>
        <v>231.45480000000001</v>
      </c>
      <c r="R430" s="272">
        <v>1.3</v>
      </c>
      <c r="S430" s="99">
        <f>SUMIFS(Таблица1[сумма],Таблица1[коэф],"1,3",Таблица1[р/р],"3/16",Таблица1[Ф. И. О.],B429)</f>
        <v>0</v>
      </c>
      <c r="T430" s="95">
        <f t="shared" ref="T430:T439" si="264">ROUND(Q430*R430*S430,2)</f>
        <v>0</v>
      </c>
      <c r="U430" s="314">
        <f>IF(D424&lt;=3,база!$M$4,
IF(D424=4,база!$M$5,
IF(D424=5,база!$M$6)))</f>
        <v>225.09719999999999</v>
      </c>
      <c r="V430" s="272">
        <v>1.3</v>
      </c>
      <c r="W430" s="307">
        <f>SUMIFS(Таблица1[сумма],Таблица1[коэф],"1,3",Таблица1[р/р],"3/24",Таблица1[Ф. И. О.],B429)</f>
        <v>0</v>
      </c>
      <c r="X430" s="313">
        <f t="shared" ref="X430:X431" si="265">ROUND(U430*V430*W430,2)</f>
        <v>0</v>
      </c>
      <c r="Y430" s="838"/>
      <c r="Z430" s="840"/>
      <c r="AA430" s="843"/>
    </row>
    <row r="431" spans="1:30">
      <c r="A431" s="786"/>
      <c r="B431" s="216"/>
      <c r="C431" s="845"/>
      <c r="D431" s="847"/>
      <c r="E431" s="79"/>
      <c r="F431" s="272"/>
      <c r="G431" s="99"/>
      <c r="H431" s="95"/>
      <c r="I431" s="334"/>
      <c r="J431" s="279"/>
      <c r="K431" s="217"/>
      <c r="L431" s="217"/>
      <c r="M431" s="217"/>
      <c r="N431" s="217"/>
      <c r="O431" s="217"/>
      <c r="P431" s="30"/>
      <c r="Q431" s="79">
        <f>база!$L$5</f>
        <v>231.45480000000001</v>
      </c>
      <c r="R431" s="272">
        <v>1.3</v>
      </c>
      <c r="S431" s="99">
        <f>SUMIFS(Таблица1[сумма],Таблица1[коэф],"1,3",Таблица1[р/р],"4/16",Таблица1[Ф. И. О.],B429)</f>
        <v>0</v>
      </c>
      <c r="T431" s="95">
        <f t="shared" si="264"/>
        <v>0</v>
      </c>
      <c r="U431" s="314">
        <f>база!$M$5</f>
        <v>247.41720000000001</v>
      </c>
      <c r="V431" s="272">
        <v>1.3</v>
      </c>
      <c r="W431" s="307">
        <f>SUMIFS(Таблица1[сумма],Таблица1[коэф],"1,3",Таблица1[р/р],"4/24",Таблица1[Ф. И. О.],B429)</f>
        <v>0</v>
      </c>
      <c r="X431" s="313">
        <f t="shared" si="265"/>
        <v>0</v>
      </c>
      <c r="Y431" s="838"/>
      <c r="Z431" s="840"/>
      <c r="AA431" s="843"/>
    </row>
    <row r="432" spans="1:30">
      <c r="A432" s="786"/>
      <c r="B432" s="216"/>
      <c r="C432" s="845"/>
      <c r="D432" s="847"/>
      <c r="E432" s="79"/>
      <c r="F432" s="272"/>
      <c r="G432" s="99"/>
      <c r="H432" s="95"/>
      <c r="I432" s="334"/>
      <c r="J432" s="279"/>
      <c r="K432" s="217"/>
      <c r="L432" s="217"/>
      <c r="M432" s="217"/>
      <c r="N432" s="217"/>
      <c r="O432" s="217"/>
      <c r="P432" s="30"/>
      <c r="Q432" s="79">
        <f>IF(D424&lt;=3,база!$L$4,
IF(D424=4,база!$L$5,
IF(D424=5,база!$L$6)))</f>
        <v>210.57480000000001</v>
      </c>
      <c r="R432" s="272">
        <v>1.4</v>
      </c>
      <c r="S432" s="99">
        <f>SUMIFS(Таблица1[сумма],Таблица1[коэф],"1,4",Таблица1[р/р],"3/16",Таблица1[Ф. И. О.],B429)</f>
        <v>0</v>
      </c>
      <c r="T432" s="95">
        <f t="shared" si="264"/>
        <v>0</v>
      </c>
      <c r="U432" s="314">
        <f>IF(D424&lt;=3,база!$M$4,
IF(D424=4,база!$M$5,
IF(D424=5,база!$M$6)))</f>
        <v>225.09719999999999</v>
      </c>
      <c r="V432" s="272">
        <v>1.4</v>
      </c>
      <c r="W432" s="307">
        <f>SUMIFS(Таблица1[сумма],Таблица1[коэф],"1,4",Таблица1[р/р],"3/24",Таблица1[Ф. И. О.],B429)</f>
        <v>0</v>
      </c>
      <c r="X432" s="313">
        <f>ROUND(U432*V432*W432,2)</f>
        <v>0</v>
      </c>
      <c r="Y432" s="838"/>
      <c r="Z432" s="840"/>
      <c r="AA432" s="843"/>
    </row>
    <row r="433" spans="1:30">
      <c r="A433" s="786"/>
      <c r="B433" s="216"/>
      <c r="C433" s="845"/>
      <c r="D433" s="847"/>
      <c r="E433" s="79"/>
      <c r="F433" s="272"/>
      <c r="G433" s="99"/>
      <c r="H433" s="95"/>
      <c r="I433" s="334"/>
      <c r="J433" s="279"/>
      <c r="K433" s="217"/>
      <c r="L433" s="217"/>
      <c r="M433" s="217"/>
      <c r="N433" s="217"/>
      <c r="O433" s="217"/>
      <c r="P433" s="30"/>
      <c r="Q433" s="79">
        <f>база!$L$5</f>
        <v>231.45480000000001</v>
      </c>
      <c r="R433" s="272">
        <v>1.4</v>
      </c>
      <c r="S433" s="99">
        <f>SUMIFS(Таблица1[сумма],Таблица1[коэф],"1,4",Таблица1[р/р],"4/16",Таблица1[Ф. И. О.],B429)</f>
        <v>0</v>
      </c>
      <c r="T433" s="95">
        <f t="shared" si="264"/>
        <v>0</v>
      </c>
      <c r="U433" s="314">
        <f>база!$M$5</f>
        <v>247.41720000000001</v>
      </c>
      <c r="V433" s="272">
        <v>1.4</v>
      </c>
      <c r="W433" s="307">
        <f>SUMIFS(Таблица1[сумма],Таблица1[коэф],"1,4",Таблица1[р/р],"4/24",Таблица1[Ф. И. О.],B429)</f>
        <v>0</v>
      </c>
      <c r="X433" s="313">
        <f>ROUND(U433*V433*W433,2)</f>
        <v>0</v>
      </c>
      <c r="Y433" s="838"/>
      <c r="Z433" s="840"/>
      <c r="AA433" s="843"/>
    </row>
    <row r="434" spans="1:30" ht="24" thickBot="1">
      <c r="A434" s="787"/>
      <c r="B434" s="203"/>
      <c r="C434" s="846"/>
      <c r="D434" s="848"/>
      <c r="E434" s="85"/>
      <c r="F434" s="273"/>
      <c r="G434" s="101"/>
      <c r="H434" s="90"/>
      <c r="I434" s="595"/>
      <c r="J434" s="596"/>
      <c r="K434" s="328"/>
      <c r="L434" s="328"/>
      <c r="M434" s="325"/>
      <c r="N434" s="325"/>
      <c r="O434" s="325"/>
      <c r="P434" s="283"/>
      <c r="Q434" s="85">
        <f>база!$L$6</f>
        <v>261.04640000000001</v>
      </c>
      <c r="R434" s="273">
        <v>1.4</v>
      </c>
      <c r="S434" s="101">
        <f>SUMIFS(Таблица1[сумма],Таблица1[коэф],"1,4",Таблица1[р/р],"5/16",Таблица1[Ф. И. О.],B429)</f>
        <v>0</v>
      </c>
      <c r="T434" s="90">
        <f t="shared" si="264"/>
        <v>0</v>
      </c>
      <c r="U434" s="597">
        <f>база!$M$6</f>
        <v>279.0496</v>
      </c>
      <c r="V434" s="276">
        <v>1.4</v>
      </c>
      <c r="W434" s="322">
        <f>SUMIFS(Таблица1[сумма],Таблица1[коэф],"1,4",Таблица1[р/р],"5/24",Таблица1[Ф. И. О.],B429)</f>
        <v>0</v>
      </c>
      <c r="X434" s="594">
        <f>ROUND(U434*V434*W434,2)</f>
        <v>0</v>
      </c>
      <c r="Y434" s="839"/>
      <c r="Z434" s="841"/>
      <c r="AA434" s="844"/>
    </row>
    <row r="435" spans="1:30">
      <c r="A435" s="785">
        <v>40</v>
      </c>
      <c r="B435" s="216"/>
      <c r="C435" s="851">
        <f>INDEX(база!$E$2:$E$81, MATCH(B440,база!$B$2:$B$50,0))</f>
        <v>16944</v>
      </c>
      <c r="D435" s="852">
        <f>INDEX(база!$D$2:$D$89, MATCH(B440,база!$B$2:$B$50,0))</f>
        <v>3</v>
      </c>
      <c r="E435" s="73">
        <f>IF(D435&lt;=3,база!$I$4,
IF(D435=4,база!$I$5,
IF(D435=5,база!$I$6)))</f>
        <v>188.7912</v>
      </c>
      <c r="F435" s="270">
        <v>1</v>
      </c>
      <c r="G435" s="96">
        <f>SUMIFS(Таблица1[сумма],Таблица1[коэф],"1",Таблица1[р/р],"2/4",Таблица1[Ф. И. О.],B440)</f>
        <v>0</v>
      </c>
      <c r="H435" s="88">
        <f>ROUND(E435*F435*G435,2)</f>
        <v>0</v>
      </c>
      <c r="I435" s="344">
        <f>IF(D435&lt;=3,база!$J$4,
IF(D435=4,база!$J$5,
IF(D435=5,база!$J$6)))</f>
        <v>196.05240000000001</v>
      </c>
      <c r="J435" s="278">
        <v>1</v>
      </c>
      <c r="K435" s="309">
        <f>SUMIFS(Таблица1[сумма],Таблица1[коэф],"1",Таблица1[р/р],"2/8",Таблица1[Ф. И. О.],B440)</f>
        <v>0</v>
      </c>
      <c r="L435" s="309">
        <f>ROUND(I435*J435*K435,2)</f>
        <v>0</v>
      </c>
      <c r="M435" s="309"/>
      <c r="N435" s="309">
        <v>1</v>
      </c>
      <c r="O435" s="309">
        <f>SUMIFS(Data_Tech!$AM$3:$AM$67,Data_Tech!$E$3:$E$67,"1",Data_Tech!$G$3:$G$67,"3/12",Data_Tech!$F$3:$F$67,B440)</f>
        <v>0</v>
      </c>
      <c r="P435" s="282">
        <f>ROUND(M435*N435*O435,2)</f>
        <v>0</v>
      </c>
      <c r="Q435" s="73">
        <f>IF(D435&lt;=3,база!$L$4,
IF(D435=4,база!$L$5,
IF(D435=5,база!$L$6)))</f>
        <v>210.57480000000001</v>
      </c>
      <c r="R435" s="270">
        <v>1</v>
      </c>
      <c r="S435" s="96">
        <f>SUMIFS(Таблица1[сумма],Таблица1[коэф],"1",Таблица1[р/р],"3/16",Таблица1[Ф. И. О.],B440)</f>
        <v>0</v>
      </c>
      <c r="T435" s="88">
        <f t="shared" si="264"/>
        <v>0</v>
      </c>
      <c r="U435" s="349">
        <f>IF(D435&lt;=3,база!$M$4,
IF(D435=4,база!$M$5,
IF(D435=5,база!$M$6)))</f>
        <v>225.09719999999999</v>
      </c>
      <c r="V435" s="271">
        <v>1</v>
      </c>
      <c r="W435" s="337">
        <f>SUMIFS(Таблица1[сумма],Таблица1[коэф],"1",Таблица1[р/р],"3/24",Таблица1[Ф. И. О.],B440)</f>
        <v>0</v>
      </c>
      <c r="X435" s="342">
        <f>ROUND(U435*V435*W435,2)</f>
        <v>0</v>
      </c>
      <c r="Y435" s="849">
        <f t="shared" ref="Y435" si="266">SUM(G435:G445,K435:K445,O435:O445,S435:S445,W435:W445)</f>
        <v>0</v>
      </c>
      <c r="Z435" s="853">
        <f t="shared" ref="Z435" si="267">IFERROR(SUM(H435:H445,L435:L445,T435:T445,X435:X445),"")</f>
        <v>0</v>
      </c>
      <c r="AA435" s="843"/>
    </row>
    <row r="436" spans="1:30">
      <c r="A436" s="786"/>
      <c r="B436" s="216"/>
      <c r="C436" s="845"/>
      <c r="D436" s="847"/>
      <c r="E436" s="79">
        <f>IF(D435&lt;=3,база!$I$4,
IF(D435=4,база!$I$5,
IF(D435=5,база!$I$6)))</f>
        <v>188.7912</v>
      </c>
      <c r="F436" s="272">
        <v>1</v>
      </c>
      <c r="G436" s="99">
        <f>SUMIFS(Таблица1[сумма],Таблица1[коэф],"1",Таблица1[р/р],"3/4",Таблица1[Ф. И. О.],B440)</f>
        <v>0</v>
      </c>
      <c r="H436" s="95">
        <f>ROUND(E436*F436*G436,2)</f>
        <v>0</v>
      </c>
      <c r="I436" s="334">
        <f>IF(D435&lt;=3,база!$J$4,
IF(D435=4,база!$J$5,
IF(D435=5,база!$J$6)))</f>
        <v>196.05240000000001</v>
      </c>
      <c r="J436" s="279">
        <v>1</v>
      </c>
      <c r="K436" s="217"/>
      <c r="L436" s="217">
        <f>ROUND(I436*J436*K436,2)</f>
        <v>0</v>
      </c>
      <c r="M436" s="217"/>
      <c r="N436" s="217">
        <v>1</v>
      </c>
      <c r="O436" s="217">
        <f>SUMIFS(Data_Tech!$AM$3:$AM$67,Data_Tech!$E$3:$E$67,"1",Data_Tech!$G$3:$G$67,"4/12",Data_Tech!$F$3:$F$67,B440)</f>
        <v>0</v>
      </c>
      <c r="P436" s="30">
        <f>ROUND(M436*O436,2)</f>
        <v>0</v>
      </c>
      <c r="Q436" s="79">
        <f>база!$L$5</f>
        <v>231.45480000000001</v>
      </c>
      <c r="R436" s="272">
        <v>1</v>
      </c>
      <c r="S436" s="99">
        <f>SUMIFS(Таблица1[сумма],Таблица1[коэф],"1",Таблица1[р/р],"4/16",Таблица1[Ф. И. О.],B440)</f>
        <v>0</v>
      </c>
      <c r="T436" s="95">
        <f t="shared" si="264"/>
        <v>0</v>
      </c>
      <c r="U436" s="314">
        <f>база!$M$5</f>
        <v>247.41720000000001</v>
      </c>
      <c r="V436" s="272">
        <v>1</v>
      </c>
      <c r="W436" s="307">
        <f>SUMIFS(Таблица1[сумма],Таблица1[коэф],"1",Таблица1[р/р],"4/24",Таблица1[Ф. И. О.],B440)</f>
        <v>0</v>
      </c>
      <c r="X436" s="313">
        <f t="shared" ref="X436" si="268">ROUND(U436*V436*W436,2)</f>
        <v>0</v>
      </c>
      <c r="Y436" s="849"/>
      <c r="Z436" s="840"/>
      <c r="AA436" s="843"/>
    </row>
    <row r="437" spans="1:30">
      <c r="A437" s="786"/>
      <c r="B437" s="216"/>
      <c r="C437" s="845"/>
      <c r="D437" s="847"/>
      <c r="E437" s="79"/>
      <c r="F437" s="272"/>
      <c r="G437" s="99"/>
      <c r="H437" s="95"/>
      <c r="I437" s="334"/>
      <c r="J437" s="279"/>
      <c r="K437" s="217"/>
      <c r="L437" s="217"/>
      <c r="M437" s="217"/>
      <c r="N437" s="217"/>
      <c r="O437" s="217"/>
      <c r="P437" s="30"/>
      <c r="Q437" s="79">
        <f>база!$L$6</f>
        <v>261.04640000000001</v>
      </c>
      <c r="R437" s="272">
        <v>1</v>
      </c>
      <c r="S437" s="99">
        <f>SUMIFS(Таблица1[сумма],Таблица1[коэф],"1",Таблица1[р/р],"5/16",Таблица1[Ф. И. О.],B440)</f>
        <v>0</v>
      </c>
      <c r="T437" s="95">
        <f t="shared" si="264"/>
        <v>0</v>
      </c>
      <c r="U437" s="314">
        <f>база!$M$6</f>
        <v>279.0496</v>
      </c>
      <c r="V437" s="272">
        <v>1</v>
      </c>
      <c r="W437" s="307">
        <f>SUMIFS(Таблица1[сумма],Таблица1[коэф],"1",Таблица1[р/р],"5/24",Таблица1[Ф. И. О.],B440)</f>
        <v>0</v>
      </c>
      <c r="X437" s="313">
        <f>ROUND(U437*V437*W437,2)</f>
        <v>0</v>
      </c>
      <c r="Y437" s="849"/>
      <c r="Z437" s="840"/>
      <c r="AA437" s="843"/>
    </row>
    <row r="438" spans="1:30">
      <c r="A438" s="786"/>
      <c r="B438" s="216"/>
      <c r="C438" s="845"/>
      <c r="D438" s="847"/>
      <c r="E438" s="79"/>
      <c r="F438" s="272"/>
      <c r="G438" s="99"/>
      <c r="H438" s="95"/>
      <c r="I438" s="334">
        <f>база!$J$5</f>
        <v>215.4924</v>
      </c>
      <c r="J438" s="279">
        <v>1.5</v>
      </c>
      <c r="K438" s="217">
        <f>SUMIFS(Таблица1[сумма],Таблица1[коэф],"1,5",Таблица1[р/р],"4/8",Таблица1[Ф. И. О.],B440)</f>
        <v>0</v>
      </c>
      <c r="L438" s="217">
        <f>ROUND(I438*J438*K438,2)</f>
        <v>0</v>
      </c>
      <c r="M438" s="217"/>
      <c r="N438" s="217"/>
      <c r="O438" s="217"/>
      <c r="P438" s="30"/>
      <c r="Q438" s="79">
        <f>IF(D435&lt;=3,база!$L$4,
IF(D435=4,база!$L$5,
IF(D435=5,база!$L$6)))</f>
        <v>210.57480000000001</v>
      </c>
      <c r="R438" s="272">
        <v>1.2</v>
      </c>
      <c r="S438" s="99">
        <f>SUMIFS(Таблица1[сумма],Таблица1[коэф],"1,2",Таблица1[р/р],"3/16",Таблица1[Ф. И. О.],B440)</f>
        <v>0</v>
      </c>
      <c r="T438" s="95">
        <f t="shared" si="264"/>
        <v>0</v>
      </c>
      <c r="U438" s="314">
        <f>IF(D435&lt;=3,база!$M$4,
IF(D435=4,база!$M$5,
IF(D435=5,база!$M$6)))</f>
        <v>225.09719999999999</v>
      </c>
      <c r="V438" s="272">
        <v>1.2</v>
      </c>
      <c r="W438" s="307">
        <f>SUMIFS(Таблица1[сумма],Таблица1[коэф],"1,2",Таблица1[р/р],"3/24",Таблица1[Ф. И. О.],B440)</f>
        <v>0</v>
      </c>
      <c r="X438" s="313">
        <f t="shared" ref="X438:X439" si="269">ROUND(U438*V438*W438,2)</f>
        <v>0</v>
      </c>
      <c r="Y438" s="849"/>
      <c r="Z438" s="840"/>
      <c r="AA438" s="843"/>
    </row>
    <row r="439" spans="1:30">
      <c r="A439" s="786"/>
      <c r="B439" s="216"/>
      <c r="C439" s="845"/>
      <c r="D439" s="847"/>
      <c r="E439" s="79"/>
      <c r="F439" s="272"/>
      <c r="G439" s="99"/>
      <c r="H439" s="95"/>
      <c r="I439" s="334">
        <f>база!$J$6</f>
        <v>243.04319999999998</v>
      </c>
      <c r="J439" s="279">
        <v>1.5</v>
      </c>
      <c r="K439" s="217">
        <f>SUMIFS(Таблица1[сумма],Таблица1[коэф],"1,5",Таблица1[р/р],"5/8",Таблица1[Ф. И. О.],B440)</f>
        <v>0</v>
      </c>
      <c r="L439" s="217">
        <f>ROUND(I439*J439*K439,2)</f>
        <v>0</v>
      </c>
      <c r="M439" s="217"/>
      <c r="N439" s="217"/>
      <c r="O439" s="217"/>
      <c r="P439" s="30"/>
      <c r="Q439" s="79">
        <f>база!$L$5</f>
        <v>231.45480000000001</v>
      </c>
      <c r="R439" s="272">
        <v>1.2</v>
      </c>
      <c r="S439" s="99">
        <f>SUMIFS(Таблица1[сумма],Таблица1[коэф],"1,2",Таблица1[р/р],"4/16",Таблица1[Ф. И. О.],B440)</f>
        <v>0</v>
      </c>
      <c r="T439" s="95">
        <f t="shared" si="264"/>
        <v>0</v>
      </c>
      <c r="U439" s="314">
        <f>база!$M$5</f>
        <v>247.41720000000001</v>
      </c>
      <c r="V439" s="272">
        <v>1.2</v>
      </c>
      <c r="W439" s="307">
        <f>SUMIFS(Таблица1[сумма],Таблица1[коэф],"1,2",Таблица1[р/р],"4/24",Таблица1[Ф. И. О.],B440)</f>
        <v>0</v>
      </c>
      <c r="X439" s="313">
        <f t="shared" si="269"/>
        <v>0</v>
      </c>
      <c r="Y439" s="849"/>
      <c r="Z439" s="840"/>
      <c r="AA439" s="843"/>
      <c r="AC439" s="722" t="str">
        <f>IF(SUMIFS(Таблица1[Столбец2],Таблица1[Ф. И. О.],B440)-Z435=0,"",SUMIFS(Таблица1[Столбец2],Таблица1[Ф. И. О.],B440)-Z435)</f>
        <v/>
      </c>
    </row>
    <row r="440" spans="1:30">
      <c r="A440" s="786"/>
      <c r="B440" s="216" t="str">
        <f>база!B41</f>
        <v>Кравченко Светлана Александровна</v>
      </c>
      <c r="C440" s="845"/>
      <c r="D440" s="847"/>
      <c r="E440" s="79"/>
      <c r="F440" s="272"/>
      <c r="G440" s="99"/>
      <c r="H440" s="95"/>
      <c r="I440" s="334"/>
      <c r="J440" s="279"/>
      <c r="K440" s="217"/>
      <c r="L440" s="217"/>
      <c r="M440" s="217"/>
      <c r="N440" s="217"/>
      <c r="O440" s="217"/>
      <c r="P440" s="30"/>
      <c r="Q440" s="79">
        <f>база!$L$6</f>
        <v>261.04640000000001</v>
      </c>
      <c r="R440" s="272">
        <v>1.2</v>
      </c>
      <c r="S440" s="99">
        <f>SUMIFS(Таблица1[сумма],Таблица1[коэф],"1,2",Таблица1[р/р],"5/16",Таблица1[Ф. И. О.],B440)</f>
        <v>0</v>
      </c>
      <c r="T440" s="95">
        <f>ROUND(Q440*R440*S440,2)</f>
        <v>0</v>
      </c>
      <c r="U440" s="314">
        <f>база!$M$6</f>
        <v>279.0496</v>
      </c>
      <c r="V440" s="272">
        <v>1.2</v>
      </c>
      <c r="W440" s="307">
        <f>SUMIFS(Таблица1[сумма],Таблица1[коэф],"1,2",Таблица1[р/р],"5/24",Таблица1[Ф. И. О.],B440)</f>
        <v>0</v>
      </c>
      <c r="X440" s="313">
        <f>ROUND(U440*V440*W440,2)</f>
        <v>0</v>
      </c>
      <c r="Y440" s="849"/>
      <c r="Z440" s="840"/>
      <c r="AA440" s="843"/>
      <c r="AC440" s="722" t="str">
        <f>IF(SUMIFS(Таблица1[сумма],Таблица1[Ф. И. О.],B440)=Y435,"",B435&amp;"  часы не верны")</f>
        <v/>
      </c>
      <c r="AD440" s="759">
        <f>INDEX('[2]декабрь 23'!$AI$4:$AI$100,MATCH(C435,'[2]декабрь 23'!$AK$4:$AK$100,0))</f>
        <v>144</v>
      </c>
    </row>
    <row r="441" spans="1:30">
      <c r="A441" s="786"/>
      <c r="B441" s="216"/>
      <c r="C441" s="845"/>
      <c r="D441" s="847"/>
      <c r="E441" s="79"/>
      <c r="F441" s="272"/>
      <c r="G441" s="99"/>
      <c r="H441" s="95"/>
      <c r="I441" s="334"/>
      <c r="J441" s="279"/>
      <c r="K441" s="217"/>
      <c r="L441" s="217"/>
      <c r="M441" s="217"/>
      <c r="N441" s="217"/>
      <c r="O441" s="217"/>
      <c r="P441" s="30"/>
      <c r="Q441" s="79">
        <f>IF($D$6&lt;=3,база!$L$4,
IF($D$6=4,база!$L$5,
IF($D$6=5,база!$L$6)))</f>
        <v>231.45480000000001</v>
      </c>
      <c r="R441" s="272">
        <v>1.3</v>
      </c>
      <c r="S441" s="99">
        <f>SUMIFS(Таблица1[сумма],Таблица1[коэф],"1,3",Таблица1[р/р],"3/16",Таблица1[Ф. И. О.],B440)</f>
        <v>0</v>
      </c>
      <c r="T441" s="95">
        <f t="shared" ref="T441:T442" si="270">ROUND(Q441*R441*S441,2)</f>
        <v>0</v>
      </c>
      <c r="U441" s="314">
        <f>IF(D435&lt;=3,база!$M$4,
IF(D435=4,база!$M$5,
IF(D435=5,база!$M$6)))</f>
        <v>225.09719999999999</v>
      </c>
      <c r="V441" s="272">
        <v>1.3</v>
      </c>
      <c r="W441" s="307">
        <f>SUMIFS(Таблица1[сумма],Таблица1[коэф],"1,3",Таблица1[р/р],"3/24",Таблица1[Ф. И. О.],B440)</f>
        <v>0</v>
      </c>
      <c r="X441" s="313">
        <f t="shared" ref="X441:X442" si="271">ROUND(U441*V441*W441,2)</f>
        <v>0</v>
      </c>
      <c r="Y441" s="849"/>
      <c r="Z441" s="840"/>
      <c r="AA441" s="843"/>
    </row>
    <row r="442" spans="1:30">
      <c r="A442" s="786"/>
      <c r="B442" s="216"/>
      <c r="C442" s="845"/>
      <c r="D442" s="847"/>
      <c r="E442" s="79"/>
      <c r="F442" s="272"/>
      <c r="G442" s="99"/>
      <c r="H442" s="95"/>
      <c r="I442" s="334"/>
      <c r="J442" s="279"/>
      <c r="K442" s="217"/>
      <c r="L442" s="217"/>
      <c r="M442" s="217"/>
      <c r="N442" s="217"/>
      <c r="O442" s="217"/>
      <c r="P442" s="30"/>
      <c r="Q442" s="79">
        <f>база!$L$5</f>
        <v>231.45480000000001</v>
      </c>
      <c r="R442" s="272">
        <v>1.3</v>
      </c>
      <c r="S442" s="99">
        <f>SUMIFS(Таблица1[сумма],Таблица1[коэф],"1,3",Таблица1[р/р],"4/16",Таблица1[Ф. И. О.],B440)</f>
        <v>0</v>
      </c>
      <c r="T442" s="95">
        <f t="shared" si="270"/>
        <v>0</v>
      </c>
      <c r="U442" s="314">
        <f>база!$M$5</f>
        <v>247.41720000000001</v>
      </c>
      <c r="V442" s="272">
        <v>1.3</v>
      </c>
      <c r="W442" s="307">
        <f>SUMIFS(Таблица1[сумма],Таблица1[коэф],"1,3",Таблица1[р/р],"4/24",Таблица1[Ф. И. О.],B440)</f>
        <v>0</v>
      </c>
      <c r="X442" s="313">
        <f t="shared" si="271"/>
        <v>0</v>
      </c>
      <c r="Y442" s="849"/>
      <c r="Z442" s="840"/>
      <c r="AA442" s="843"/>
    </row>
    <row r="443" spans="1:30">
      <c r="A443" s="786"/>
      <c r="B443" s="216"/>
      <c r="C443" s="845"/>
      <c r="D443" s="847"/>
      <c r="E443" s="79"/>
      <c r="F443" s="272"/>
      <c r="G443" s="99"/>
      <c r="H443" s="95"/>
      <c r="I443" s="334"/>
      <c r="J443" s="279"/>
      <c r="K443" s="217"/>
      <c r="L443" s="217"/>
      <c r="M443" s="217"/>
      <c r="N443" s="217"/>
      <c r="O443" s="217"/>
      <c r="P443" s="30"/>
      <c r="Q443" s="79">
        <f>IF(D435&lt;=3,база!$L$4,
IF(D435=4,база!$L$5,
IF(D435=5,база!$L$6)))</f>
        <v>210.57480000000001</v>
      </c>
      <c r="R443" s="272">
        <v>1.4</v>
      </c>
      <c r="S443" s="99">
        <f>SUMIFS(Таблица1[сумма],Таблица1[коэф],"1,4",Таблица1[р/р],"3/16",Таблица1[Ф. И. О.],B440)</f>
        <v>0</v>
      </c>
      <c r="T443" s="95">
        <f>ROUND(Q443*R443*S443,2)</f>
        <v>0</v>
      </c>
      <c r="U443" s="314">
        <f>IF(D435&lt;=3,база!$M$4,
IF(D435=4,база!$M$5,
IF(D435=5,база!$M$6)))</f>
        <v>225.09719999999999</v>
      </c>
      <c r="V443" s="272">
        <v>1.4</v>
      </c>
      <c r="W443" s="307">
        <f>SUMIFS(Таблица1[сумма],Таблица1[коэф],"1,4",Таблица1[р/р],"3/24",Таблица1[Ф. И. О.],B440)</f>
        <v>0</v>
      </c>
      <c r="X443" s="313">
        <f>ROUND(U443*V443*W443,2)</f>
        <v>0</v>
      </c>
      <c r="Y443" s="849"/>
      <c r="Z443" s="840"/>
      <c r="AA443" s="843"/>
    </row>
    <row r="444" spans="1:30">
      <c r="A444" s="786"/>
      <c r="B444" s="216"/>
      <c r="C444" s="845"/>
      <c r="D444" s="847"/>
      <c r="E444" s="79"/>
      <c r="F444" s="272"/>
      <c r="G444" s="99"/>
      <c r="H444" s="95"/>
      <c r="I444" s="334"/>
      <c r="J444" s="279"/>
      <c r="K444" s="217"/>
      <c r="L444" s="217"/>
      <c r="M444" s="217"/>
      <c r="N444" s="217"/>
      <c r="O444" s="217"/>
      <c r="P444" s="30"/>
      <c r="Q444" s="79">
        <f>база!$L$5</f>
        <v>231.45480000000001</v>
      </c>
      <c r="R444" s="272">
        <v>1.4</v>
      </c>
      <c r="S444" s="99">
        <f>SUMIFS(Таблица1[сумма],Таблица1[коэф],"1,4",Таблица1[р/р],"4/16",Таблица1[Ф. И. О.],B440)</f>
        <v>0</v>
      </c>
      <c r="T444" s="95">
        <f>ROUND(Q444*R444*S444,2)</f>
        <v>0</v>
      </c>
      <c r="U444" s="314">
        <f>база!$M$5</f>
        <v>247.41720000000001</v>
      </c>
      <c r="V444" s="272">
        <v>1.4</v>
      </c>
      <c r="W444" s="307">
        <f>SUMIFS(Таблица1[сумма],Таблица1[коэф],"1,4",Таблица1[р/р],"4/24",Таблица1[Ф. И. О.],B440)</f>
        <v>0</v>
      </c>
      <c r="X444" s="313">
        <f>ROUND(U444*V444*W444,2)</f>
        <v>0</v>
      </c>
      <c r="Y444" s="849"/>
      <c r="Z444" s="840"/>
      <c r="AA444" s="843"/>
    </row>
    <row r="445" spans="1:30" ht="24" thickBot="1">
      <c r="A445" s="787"/>
      <c r="B445" s="352"/>
      <c r="C445" s="846"/>
      <c r="D445" s="848"/>
      <c r="E445" s="75"/>
      <c r="F445" s="271"/>
      <c r="G445" s="89"/>
      <c r="H445" s="103"/>
      <c r="I445" s="24"/>
      <c r="J445" s="278"/>
      <c r="K445" s="22"/>
      <c r="L445" s="309"/>
      <c r="M445" s="24"/>
      <c r="N445" s="22"/>
      <c r="O445" s="22"/>
      <c r="P445" s="282"/>
      <c r="Q445" s="72">
        <f>база!$L$6</f>
        <v>261.04640000000001</v>
      </c>
      <c r="R445" s="271">
        <v>1.4</v>
      </c>
      <c r="S445" s="97">
        <f>SUMIFS(Таблица1[сумма],Таблица1[коэф],"1,4",Таблица1[р/р],"5/16",Таблица1[Ф. И. О.],B440)</f>
        <v>0</v>
      </c>
      <c r="T445" s="103">
        <f>ROUND(Q445*R445*S445,2)</f>
        <v>0</v>
      </c>
      <c r="U445" s="82">
        <f>база!$M$6</f>
        <v>279.0496</v>
      </c>
      <c r="V445" s="272">
        <v>1.4</v>
      </c>
      <c r="W445" s="97">
        <f>SUMIFS(Таблица1[сумма],Таблица1[коэф],"1,4",Таблица1[р/р],"5/24",Таблица1[Ф. И. О.],B440)</f>
        <v>0</v>
      </c>
      <c r="X445" s="103">
        <f>ROUND(U445*V445*W445,2)</f>
        <v>0</v>
      </c>
      <c r="Y445" s="850"/>
      <c r="Z445" s="841"/>
      <c r="AA445" s="844"/>
    </row>
    <row r="446" spans="1:30">
      <c r="A446" s="785">
        <v>41</v>
      </c>
      <c r="B446" s="216"/>
      <c r="C446" s="851">
        <f>INDEX(база!$E$2:$E$81, MATCH(B451,база!$B$2:$B$50,0))</f>
        <v>17281</v>
      </c>
      <c r="D446" s="852">
        <f>INDEX(база!$D$2:$D$89, MATCH(B451,база!$B$2:$B$50,0))</f>
        <v>3</v>
      </c>
      <c r="E446" s="73">
        <f>IF(D446&lt;=3,база!$I$4,
IF(D446=4,база!$I$5,
IF(D446=5,база!$I$6)))</f>
        <v>188.7912</v>
      </c>
      <c r="F446" s="270">
        <v>1</v>
      </c>
      <c r="G446" s="96">
        <f>SUMIFS(Таблица1[сумма],Таблица1[коэф],"1",Таблица1[р/р],"2/4",Таблица1[Ф. И. О.],B451)</f>
        <v>0</v>
      </c>
      <c r="H446" s="88">
        <f>ROUND(E446*F446*G446,2)</f>
        <v>0</v>
      </c>
      <c r="I446" s="344">
        <f>IF(D446&lt;=3,база!$J$4,
IF(D446=4,база!$J$5,
IF(D446=5,база!$J$6)))</f>
        <v>196.05240000000001</v>
      </c>
      <c r="J446" s="278">
        <v>1</v>
      </c>
      <c r="K446" s="309">
        <f>SUMIFS(Таблица1[сумма],Таблица1[коэф],"1",Таблица1[р/р],"2/8",Таблица1[Ф. И. О.],B451)</f>
        <v>0</v>
      </c>
      <c r="L446" s="309">
        <f>ROUND(I446*J446*K446,2)</f>
        <v>0</v>
      </c>
      <c r="M446" s="309"/>
      <c r="N446" s="309">
        <v>1</v>
      </c>
      <c r="O446" s="309">
        <f>SUMIFS(Data_Tech!$AM$3:$AM$67,Data_Tech!$E$3:$E$67,"1",Data_Tech!$G$3:$G$67,"3/12",Data_Tech!$F$3:$F$67,B451)</f>
        <v>0</v>
      </c>
      <c r="P446" s="282">
        <f>ROUND(M446*N446*O446,2)</f>
        <v>0</v>
      </c>
      <c r="Q446" s="73">
        <f>IF(D446&lt;=3,база!$L$4,
IF(D446=4,база!$L$5,
IF(D446=5,база!$L$6)))</f>
        <v>210.57480000000001</v>
      </c>
      <c r="R446" s="270">
        <v>1</v>
      </c>
      <c r="S446" s="96">
        <f>SUMIFS(Таблица1[сумма],Таблица1[коэф],"1",Таблица1[р/р],"3/16",Таблица1[Ф. И. О.],B451)</f>
        <v>0</v>
      </c>
      <c r="T446" s="88">
        <f t="shared" ref="T446:T450" si="272">ROUND(Q446*R446*S446,2)</f>
        <v>0</v>
      </c>
      <c r="U446" s="349">
        <f>IF(D446&lt;=3,база!$M$4,
IF(D446=4,база!$M$5,
IF(D446=5,база!$M$6)))</f>
        <v>225.09719999999999</v>
      </c>
      <c r="V446" s="271">
        <v>1</v>
      </c>
      <c r="W446" s="337">
        <f>SUMIFS(Таблица1[сумма],Таблица1[коэф],"1",Таблица1[р/р],"3/24",Таблица1[Ф. И. О.],B451)</f>
        <v>0</v>
      </c>
      <c r="X446" s="342">
        <f>ROUND(U446*V446*W446,2)</f>
        <v>0</v>
      </c>
      <c r="Y446" s="849">
        <f t="shared" ref="Y446" si="273">SUM(G446:G456,K446:K456,O446:O456,S446:S456,W446:W456)</f>
        <v>0</v>
      </c>
      <c r="Z446" s="853">
        <f t="shared" ref="Z446" si="274">IFERROR(SUM(H446:H456,L446:L456,T446:T456,X446:X456),"")</f>
        <v>0</v>
      </c>
      <c r="AA446" s="843"/>
    </row>
    <row r="447" spans="1:30">
      <c r="A447" s="786"/>
      <c r="B447" s="216"/>
      <c r="C447" s="845"/>
      <c r="D447" s="847"/>
      <c r="E447" s="79">
        <f>IF(D446&lt;=3,база!$I$4,
IF(D446=4,база!$I$5,
IF(D446=5,база!$I$6)))</f>
        <v>188.7912</v>
      </c>
      <c r="F447" s="272">
        <v>1</v>
      </c>
      <c r="G447" s="99">
        <f>SUMIFS(Таблица1[сумма],Таблица1[коэф],"1",Таблица1[р/р],"3/4",Таблица1[Ф. И. О.],B451)</f>
        <v>0</v>
      </c>
      <c r="H447" s="95">
        <f>ROUND(E447*F447*G447,2)</f>
        <v>0</v>
      </c>
      <c r="I447" s="334">
        <f>IF(D446&lt;=3,база!$J$4,
IF(D446=4,база!$J$5,
IF(D446=5,база!$J$6)))</f>
        <v>196.05240000000001</v>
      </c>
      <c r="J447" s="279">
        <v>1</v>
      </c>
      <c r="K447" s="217"/>
      <c r="L447" s="217">
        <f>ROUND(I447*J447*K447,2)</f>
        <v>0</v>
      </c>
      <c r="M447" s="217"/>
      <c r="N447" s="217">
        <v>1</v>
      </c>
      <c r="O447" s="217">
        <f>SUMIFS(Data_Tech!$AM$3:$AM$67,Data_Tech!$E$3:$E$67,"1",Data_Tech!$G$3:$G$67,"4/12",Data_Tech!$F$3:$F$67,B451)</f>
        <v>0</v>
      </c>
      <c r="P447" s="30">
        <f>ROUND(M447*O447,2)</f>
        <v>0</v>
      </c>
      <c r="Q447" s="79">
        <f>база!$L$5</f>
        <v>231.45480000000001</v>
      </c>
      <c r="R447" s="272">
        <v>1</v>
      </c>
      <c r="S447" s="99">
        <f>SUMIFS(Таблица1[сумма],Таблица1[коэф],"1",Таблица1[р/р],"4/16",Таблица1[Ф. И. О.],B451)</f>
        <v>0</v>
      </c>
      <c r="T447" s="95">
        <f t="shared" si="272"/>
        <v>0</v>
      </c>
      <c r="U447" s="314">
        <f>база!$M$5</f>
        <v>247.41720000000001</v>
      </c>
      <c r="V447" s="272">
        <v>1</v>
      </c>
      <c r="W447" s="307">
        <f>SUMIFS(Таблица1[сумма],Таблица1[коэф],"1",Таблица1[р/р],"4/24",Таблица1[Ф. И. О.],B451)</f>
        <v>0</v>
      </c>
      <c r="X447" s="313">
        <f t="shared" ref="X447" si="275">ROUND(U447*V447*W447,2)</f>
        <v>0</v>
      </c>
      <c r="Y447" s="849"/>
      <c r="Z447" s="840"/>
      <c r="AA447" s="843"/>
    </row>
    <row r="448" spans="1:30">
      <c r="A448" s="786"/>
      <c r="B448" s="216"/>
      <c r="C448" s="845"/>
      <c r="D448" s="847"/>
      <c r="E448" s="79"/>
      <c r="F448" s="272"/>
      <c r="G448" s="99"/>
      <c r="H448" s="95"/>
      <c r="I448" s="334"/>
      <c r="J448" s="279"/>
      <c r="K448" s="217"/>
      <c r="L448" s="217"/>
      <c r="M448" s="217"/>
      <c r="N448" s="217"/>
      <c r="O448" s="217"/>
      <c r="P448" s="30"/>
      <c r="Q448" s="79">
        <f>база!$L$6</f>
        <v>261.04640000000001</v>
      </c>
      <c r="R448" s="272">
        <v>1</v>
      </c>
      <c r="S448" s="99">
        <f>SUMIFS(Таблица1[сумма],Таблица1[коэф],"1",Таблица1[р/р],"5/16",Таблица1[Ф. И. О.],B451)</f>
        <v>0</v>
      </c>
      <c r="T448" s="95">
        <f t="shared" si="272"/>
        <v>0</v>
      </c>
      <c r="U448" s="314">
        <f>база!$M$6</f>
        <v>279.0496</v>
      </c>
      <c r="V448" s="272">
        <v>1</v>
      </c>
      <c r="W448" s="307">
        <f>SUMIFS(Таблица1[сумма],Таблица1[коэф],"1",Таблица1[р/р],"5/24",Таблица1[Ф. И. О.],B451)</f>
        <v>0</v>
      </c>
      <c r="X448" s="313">
        <f>ROUND(U448*V448*W448,2)</f>
        <v>0</v>
      </c>
      <c r="Y448" s="849"/>
      <c r="Z448" s="840"/>
      <c r="AA448" s="843"/>
    </row>
    <row r="449" spans="1:30">
      <c r="A449" s="786"/>
      <c r="B449" s="216"/>
      <c r="C449" s="845"/>
      <c r="D449" s="847"/>
      <c r="E449" s="79"/>
      <c r="F449" s="272"/>
      <c r="G449" s="99"/>
      <c r="H449" s="95"/>
      <c r="I449" s="334">
        <f>база!$J$5</f>
        <v>215.4924</v>
      </c>
      <c r="J449" s="279">
        <v>1.5</v>
      </c>
      <c r="K449" s="217">
        <f>SUMIFS(Таблица1[сумма],Таблица1[коэф],"1,5",Таблица1[р/р],"4/8",Таблица1[Ф. И. О.],B451)</f>
        <v>0</v>
      </c>
      <c r="L449" s="217">
        <f>ROUND(I449*J449*K449,2)</f>
        <v>0</v>
      </c>
      <c r="M449" s="217"/>
      <c r="N449" s="217"/>
      <c r="O449" s="217"/>
      <c r="P449" s="30"/>
      <c r="Q449" s="79">
        <f>IF(D446&lt;=3,база!$L$4,
IF(D446=4,база!$L$5,
IF(D446=5,база!$L$6)))</f>
        <v>210.57480000000001</v>
      </c>
      <c r="R449" s="272">
        <v>1.2</v>
      </c>
      <c r="S449" s="99">
        <f>SUMIFS(Таблица1[сумма],Таблица1[коэф],"1,2",Таблица1[р/р],"3/16",Таблица1[Ф. И. О.],B451)</f>
        <v>0</v>
      </c>
      <c r="T449" s="95">
        <f t="shared" si="272"/>
        <v>0</v>
      </c>
      <c r="U449" s="314">
        <f>IF(D446&lt;=3,база!$M$4,
IF(D446=4,база!$M$5,
IF(D446=5,база!$M$6)))</f>
        <v>225.09719999999999</v>
      </c>
      <c r="V449" s="272">
        <v>1.2</v>
      </c>
      <c r="W449" s="307">
        <f>SUMIFS(Таблица1[сумма],Таблица1[коэф],"1,2",Таблица1[р/р],"3/24",Таблица1[Ф. И. О.],B451)</f>
        <v>0</v>
      </c>
      <c r="X449" s="313">
        <f t="shared" ref="X449:X450" si="276">ROUND(U449*V449*W449,2)</f>
        <v>0</v>
      </c>
      <c r="Y449" s="849"/>
      <c r="Z449" s="840"/>
      <c r="AA449" s="843"/>
    </row>
    <row r="450" spans="1:30">
      <c r="A450" s="786"/>
      <c r="B450" s="216"/>
      <c r="C450" s="845"/>
      <c r="D450" s="847"/>
      <c r="E450" s="79"/>
      <c r="F450" s="272"/>
      <c r="G450" s="99"/>
      <c r="H450" s="95"/>
      <c r="I450" s="334">
        <f>база!$J$6</f>
        <v>243.04319999999998</v>
      </c>
      <c r="J450" s="279">
        <v>1.5</v>
      </c>
      <c r="K450" s="217">
        <f>SUMIFS(Таблица1[сумма],Таблица1[коэф],"1,5",Таблица1[р/р],"5/8",Таблица1[Ф. И. О.],B451)</f>
        <v>0</v>
      </c>
      <c r="L450" s="217">
        <f>ROUND(I450*J450*K450,2)</f>
        <v>0</v>
      </c>
      <c r="M450" s="217"/>
      <c r="N450" s="217"/>
      <c r="O450" s="217"/>
      <c r="P450" s="30"/>
      <c r="Q450" s="79">
        <f>база!$L$5</f>
        <v>231.45480000000001</v>
      </c>
      <c r="R450" s="272">
        <v>1.2</v>
      </c>
      <c r="S450" s="99">
        <f>SUMIFS(Таблица1[сумма],Таблица1[коэф],"1,2",Таблица1[р/р],"4/16",Таблица1[Ф. И. О.],B451)</f>
        <v>0</v>
      </c>
      <c r="T450" s="95">
        <f t="shared" si="272"/>
        <v>0</v>
      </c>
      <c r="U450" s="314">
        <f>база!$M$5</f>
        <v>247.41720000000001</v>
      </c>
      <c r="V450" s="272">
        <v>1.2</v>
      </c>
      <c r="W450" s="307">
        <f>SUMIFS(Таблица1[сумма],Таблица1[коэф],"1,2",Таблица1[р/р],"4/24",Таблица1[Ф. И. О.],B451)</f>
        <v>0</v>
      </c>
      <c r="X450" s="313">
        <f t="shared" si="276"/>
        <v>0</v>
      </c>
      <c r="Y450" s="849"/>
      <c r="Z450" s="840"/>
      <c r="AA450" s="843"/>
      <c r="AC450" s="722" t="str">
        <f>IF(SUMIFS(Таблица1[Столбец2],Таблица1[Ф. И. О.],B451)-Z446=0,"",SUMIFS(Таблица1[Столбец2],Таблица1[Ф. И. О.],B451)-Z446)</f>
        <v/>
      </c>
    </row>
    <row r="451" spans="1:30">
      <c r="A451" s="786"/>
      <c r="B451" s="216" t="str">
        <f>база!B42</f>
        <v>Лапина Елена Сергеевна</v>
      </c>
      <c r="C451" s="845"/>
      <c r="D451" s="847"/>
      <c r="E451" s="79"/>
      <c r="F451" s="272"/>
      <c r="G451" s="99"/>
      <c r="H451" s="95"/>
      <c r="I451" s="334"/>
      <c r="J451" s="279"/>
      <c r="K451" s="217"/>
      <c r="L451" s="217"/>
      <c r="M451" s="217"/>
      <c r="N451" s="217"/>
      <c r="O451" s="217"/>
      <c r="P451" s="30"/>
      <c r="Q451" s="79">
        <f>база!$L$6</f>
        <v>261.04640000000001</v>
      </c>
      <c r="R451" s="272">
        <v>1.2</v>
      </c>
      <c r="S451" s="99">
        <f>SUMIFS(Таблица1[сумма],Таблица1[коэф],"1,2",Таблица1[р/р],"5/16",Таблица1[Ф. И. О.],B451)</f>
        <v>0</v>
      </c>
      <c r="T451" s="95">
        <f>ROUND(Q451*R451*S451,2)</f>
        <v>0</v>
      </c>
      <c r="U451" s="314">
        <f>база!$M$6</f>
        <v>279.0496</v>
      </c>
      <c r="V451" s="272">
        <v>1.2</v>
      </c>
      <c r="W451" s="307">
        <f>SUMIFS(Таблица1[сумма],Таблица1[коэф],"1,2",Таблица1[р/р],"5/24",Таблица1[Ф. И. О.],B451)</f>
        <v>0</v>
      </c>
      <c r="X451" s="313">
        <f>ROUND(U451*V451*W451,2)</f>
        <v>0</v>
      </c>
      <c r="Y451" s="849"/>
      <c r="Z451" s="840"/>
      <c r="AA451" s="843"/>
      <c r="AC451" s="722" t="str">
        <f>IF(SUMIFS(Таблица1[сумма],Таблица1[Ф. И. О.],B451)=Y446,"",B446&amp;"  часы не верны")</f>
        <v/>
      </c>
      <c r="AD451" s="759">
        <f>INDEX('[2]декабрь 23'!$AI$4:$AI$100,MATCH(C446,'[2]декабрь 23'!$AK$4:$AK$100,0))</f>
        <v>112.20000000000003</v>
      </c>
    </row>
    <row r="452" spans="1:30">
      <c r="A452" s="786"/>
      <c r="B452" s="216"/>
      <c r="C452" s="845"/>
      <c r="D452" s="847"/>
      <c r="E452" s="79"/>
      <c r="F452" s="272"/>
      <c r="G452" s="99"/>
      <c r="H452" s="95"/>
      <c r="I452" s="334"/>
      <c r="J452" s="279"/>
      <c r="K452" s="217"/>
      <c r="L452" s="217"/>
      <c r="M452" s="217"/>
      <c r="N452" s="217"/>
      <c r="O452" s="217"/>
      <c r="P452" s="30"/>
      <c r="Q452" s="79">
        <f>IF($D$6&lt;=3,база!$L$4,
IF($D$6=4,база!$L$5,
IF($D$6=5,база!$L$6)))</f>
        <v>231.45480000000001</v>
      </c>
      <c r="R452" s="272">
        <v>1.3</v>
      </c>
      <c r="S452" s="99">
        <f>SUMIFS(Таблица1[сумма],Таблица1[коэф],"1,3",Таблица1[р/р],"3/16",Таблица1[Ф. И. О.],B451)</f>
        <v>0</v>
      </c>
      <c r="T452" s="95">
        <f t="shared" ref="T452:T453" si="277">ROUND(Q452*R452*S452,2)</f>
        <v>0</v>
      </c>
      <c r="U452" s="314">
        <f>IF(D446&lt;=3,база!$M$4,
IF(D446=4,база!$M$5,
IF(D446=5,база!$M$6)))</f>
        <v>225.09719999999999</v>
      </c>
      <c r="V452" s="272">
        <v>1.3</v>
      </c>
      <c r="W452" s="307">
        <f>SUMIFS(Таблица1[сумма],Таблица1[коэф],"1,3",Таблица1[р/р],"3/24",Таблица1[Ф. И. О.],B451)</f>
        <v>0</v>
      </c>
      <c r="X452" s="313">
        <f t="shared" ref="X452:X453" si="278">ROUND(U452*V452*W452,2)</f>
        <v>0</v>
      </c>
      <c r="Y452" s="849"/>
      <c r="Z452" s="840"/>
      <c r="AA452" s="843"/>
    </row>
    <row r="453" spans="1:30">
      <c r="A453" s="786"/>
      <c r="B453" s="216"/>
      <c r="C453" s="845"/>
      <c r="D453" s="847"/>
      <c r="E453" s="79"/>
      <c r="F453" s="272"/>
      <c r="G453" s="99"/>
      <c r="H453" s="95"/>
      <c r="I453" s="334"/>
      <c r="J453" s="279"/>
      <c r="K453" s="217"/>
      <c r="L453" s="217"/>
      <c r="M453" s="217"/>
      <c r="N453" s="217"/>
      <c r="O453" s="217"/>
      <c r="P453" s="30"/>
      <c r="Q453" s="79">
        <f>база!$L$5</f>
        <v>231.45480000000001</v>
      </c>
      <c r="R453" s="272">
        <v>1.3</v>
      </c>
      <c r="S453" s="99">
        <f>SUMIFS(Таблица1[сумма],Таблица1[коэф],"1,3",Таблица1[р/р],"4/16",Таблица1[Ф. И. О.],B451)</f>
        <v>0</v>
      </c>
      <c r="T453" s="95">
        <f t="shared" si="277"/>
        <v>0</v>
      </c>
      <c r="U453" s="314">
        <f>база!$M$5</f>
        <v>247.41720000000001</v>
      </c>
      <c r="V453" s="272">
        <v>1.3</v>
      </c>
      <c r="W453" s="307">
        <f>SUMIFS(Таблица1[сумма],Таблица1[коэф],"1,3",Таблица1[р/р],"4/24",Таблица1[Ф. И. О.],B451)</f>
        <v>0</v>
      </c>
      <c r="X453" s="313">
        <f t="shared" si="278"/>
        <v>0</v>
      </c>
      <c r="Y453" s="849"/>
      <c r="Z453" s="840"/>
      <c r="AA453" s="843"/>
    </row>
    <row r="454" spans="1:30">
      <c r="A454" s="786"/>
      <c r="B454" s="216"/>
      <c r="C454" s="845"/>
      <c r="D454" s="847"/>
      <c r="E454" s="79"/>
      <c r="F454" s="272"/>
      <c r="G454" s="99"/>
      <c r="H454" s="95"/>
      <c r="I454" s="334"/>
      <c r="J454" s="279"/>
      <c r="K454" s="217"/>
      <c r="L454" s="217"/>
      <c r="M454" s="217"/>
      <c r="N454" s="217"/>
      <c r="O454" s="217"/>
      <c r="P454" s="30"/>
      <c r="Q454" s="79">
        <f>IF(D446&lt;=3,база!$L$4,
IF(D446=4,база!$L$5,
IF(D446=5,база!$L$6)))</f>
        <v>210.57480000000001</v>
      </c>
      <c r="R454" s="272">
        <v>1.4</v>
      </c>
      <c r="S454" s="99">
        <f>SUMIFS(Таблица1[сумма],Таблица1[коэф],"1,4",Таблица1[р/р],"3/16",Таблица1[Ф. И. О.],B451)</f>
        <v>0</v>
      </c>
      <c r="T454" s="95">
        <f>ROUND(Q454*R454*S454,2)</f>
        <v>0</v>
      </c>
      <c r="U454" s="314">
        <f>IF(D446&lt;=3,база!$M$4,
IF(D446=4,база!$M$5,
IF(D446=5,база!$M$6)))</f>
        <v>225.09719999999999</v>
      </c>
      <c r="V454" s="272">
        <v>1.4</v>
      </c>
      <c r="W454" s="307">
        <f>SUMIFS(Таблица1[сумма],Таблица1[коэф],"1,4",Таблица1[р/р],"3/24",Таблица1[Ф. И. О.],B451)</f>
        <v>0</v>
      </c>
      <c r="X454" s="313">
        <f>ROUND(U454*V454*W454,2)</f>
        <v>0</v>
      </c>
      <c r="Y454" s="849"/>
      <c r="Z454" s="840"/>
      <c r="AA454" s="843"/>
    </row>
    <row r="455" spans="1:30">
      <c r="A455" s="786"/>
      <c r="B455" s="216"/>
      <c r="C455" s="845"/>
      <c r="D455" s="847"/>
      <c r="E455" s="79"/>
      <c r="F455" s="272"/>
      <c r="G455" s="99"/>
      <c r="H455" s="95"/>
      <c r="I455" s="334"/>
      <c r="J455" s="279"/>
      <c r="K455" s="217"/>
      <c r="L455" s="217"/>
      <c r="M455" s="217"/>
      <c r="N455" s="217"/>
      <c r="O455" s="217"/>
      <c r="P455" s="30"/>
      <c r="Q455" s="79">
        <f>база!$L$5</f>
        <v>231.45480000000001</v>
      </c>
      <c r="R455" s="272">
        <v>1.4</v>
      </c>
      <c r="S455" s="99">
        <f>SUMIFS(Таблица1[сумма],Таблица1[коэф],"1,4",Таблица1[р/р],"4/16",Таблица1[Ф. И. О.],B451)</f>
        <v>0</v>
      </c>
      <c r="T455" s="95">
        <f>ROUND(Q455*R455*S455,2)</f>
        <v>0</v>
      </c>
      <c r="U455" s="314">
        <f>база!$M$5</f>
        <v>247.41720000000001</v>
      </c>
      <c r="V455" s="272">
        <v>1.4</v>
      </c>
      <c r="W455" s="307">
        <f>SUMIFS(Таблица1[сумма],Таблица1[коэф],"1,4",Таблица1[р/р],"4/24",Таблица1[Ф. И. О.],B451)</f>
        <v>0</v>
      </c>
      <c r="X455" s="313">
        <f>ROUND(U455*V455*W455,2)</f>
        <v>0</v>
      </c>
      <c r="Y455" s="849"/>
      <c r="Z455" s="840"/>
      <c r="AA455" s="843"/>
    </row>
    <row r="456" spans="1:30" ht="24" thickBot="1">
      <c r="A456" s="787"/>
      <c r="B456" s="352"/>
      <c r="C456" s="846"/>
      <c r="D456" s="848"/>
      <c r="E456" s="75"/>
      <c r="F456" s="271"/>
      <c r="G456" s="89"/>
      <c r="H456" s="103"/>
      <c r="I456" s="24"/>
      <c r="J456" s="278"/>
      <c r="K456" s="22"/>
      <c r="L456" s="309"/>
      <c r="M456" s="24"/>
      <c r="N456" s="22"/>
      <c r="O456" s="22"/>
      <c r="P456" s="282"/>
      <c r="Q456" s="72">
        <f>база!$L$6</f>
        <v>261.04640000000001</v>
      </c>
      <c r="R456" s="271">
        <v>1.4</v>
      </c>
      <c r="S456" s="97">
        <f>SUMIFS(Таблица1[сумма],Таблица1[коэф],"1,4",Таблица1[р/р],"5/16",Таблица1[Ф. И. О.],B451)</f>
        <v>0</v>
      </c>
      <c r="T456" s="103">
        <f>ROUND(Q456*R456*S456,2)</f>
        <v>0</v>
      </c>
      <c r="U456" s="82">
        <f>база!$M$6</f>
        <v>279.0496</v>
      </c>
      <c r="V456" s="272">
        <v>1.4</v>
      </c>
      <c r="W456" s="97">
        <f>SUMIFS(Таблица1[сумма],Таблица1[коэф],"1,4",Таблица1[р/р],"5/24",Таблица1[Ф. И. О.],B451)</f>
        <v>0</v>
      </c>
      <c r="X456" s="103">
        <f>ROUND(U456*V456*W456,2)</f>
        <v>0</v>
      </c>
      <c r="Y456" s="850"/>
      <c r="Z456" s="841"/>
      <c r="AA456" s="844"/>
    </row>
    <row r="457" spans="1:30">
      <c r="A457" s="785">
        <v>42</v>
      </c>
      <c r="B457" s="216"/>
      <c r="C457" s="851">
        <f>INDEX(база!$E$2:$E$81, MATCH(B462,база!$B$2:$B$50,0))</f>
        <v>17303</v>
      </c>
      <c r="D457" s="852">
        <f>INDEX(база!$D$2:$D$89, MATCH(B462,база!$B$2:$B$50,0))</f>
        <v>3</v>
      </c>
      <c r="E457" s="73">
        <f>IF(D457&lt;=3,база!$I$4,
IF(D457=4,база!$I$5,
IF(D457=5,база!$I$6)))</f>
        <v>188.7912</v>
      </c>
      <c r="F457" s="270">
        <v>1</v>
      </c>
      <c r="G457" s="96">
        <f>SUMIFS(Таблица1[сумма],Таблица1[коэф],"1",Таблица1[р/р],"2/4",Таблица1[Ф. И. О.],B462)</f>
        <v>0</v>
      </c>
      <c r="H457" s="88">
        <f>ROUND(E457*F457*G457,2)</f>
        <v>0</v>
      </c>
      <c r="I457" s="344">
        <f>IF(D457&lt;=3,база!$J$4,
IF(D457=4,база!$J$5,
IF(D457=5,база!$J$6)))</f>
        <v>196.05240000000001</v>
      </c>
      <c r="J457" s="278">
        <v>1</v>
      </c>
      <c r="K457" s="309">
        <f>SUMIFS(Таблица1[сумма],Таблица1[коэф],"1",Таблица1[р/р],"2/8",Таблица1[Ф. И. О.],B462)</f>
        <v>0</v>
      </c>
      <c r="L457" s="309">
        <f>ROUND(I457*J457*K457,2)</f>
        <v>0</v>
      </c>
      <c r="M457" s="309"/>
      <c r="N457" s="309">
        <v>1</v>
      </c>
      <c r="O457" s="309">
        <f>SUMIFS(Data_Tech!$AM$3:$AM$67,Data_Tech!$E$3:$E$67,"1",Data_Tech!$G$3:$G$67,"3/12",Data_Tech!$F$3:$F$67,B462)</f>
        <v>0</v>
      </c>
      <c r="P457" s="282">
        <f>ROUND(M457*N457*O457,2)</f>
        <v>0</v>
      </c>
      <c r="Q457" s="73">
        <f>IF(D457&lt;=3,база!$L$4,
IF(D457=4,база!$L$5,
IF(D457=5,база!$L$6)))</f>
        <v>210.57480000000001</v>
      </c>
      <c r="R457" s="270">
        <v>1</v>
      </c>
      <c r="S457" s="96">
        <f>SUMIFS(Таблица1[сумма],Таблица1[коэф],"1",Таблица1[р/р],"3/16",Таблица1[Ф. И. О.],B462)</f>
        <v>0</v>
      </c>
      <c r="T457" s="88">
        <f t="shared" ref="T457:T461" si="279">ROUND(Q457*R457*S457,2)</f>
        <v>0</v>
      </c>
      <c r="U457" s="349">
        <f>IF(D457&lt;=3,база!$M$4,
IF(D457=4,база!$M$5,
IF(D457=5,база!$M$6)))</f>
        <v>225.09719999999999</v>
      </c>
      <c r="V457" s="271">
        <v>1</v>
      </c>
      <c r="W457" s="337">
        <f>SUMIFS(Таблица1[сумма],Таблица1[коэф],"1",Таблица1[р/р],"3/24",Таблица1[Ф. И. О.],B462)</f>
        <v>0</v>
      </c>
      <c r="X457" s="342">
        <f>ROUND(U457*V457*W457,2)</f>
        <v>0</v>
      </c>
      <c r="Y457" s="849">
        <f t="shared" ref="Y457" si="280">SUM(G457:G467,K457:K467,O457:O467,S457:S467,W457:W467)</f>
        <v>0</v>
      </c>
      <c r="Z457" s="853">
        <f t="shared" ref="Z457" si="281">IFERROR(SUM(H457:H467,L457:L467,T457:T467,X457:X467),"")</f>
        <v>0</v>
      </c>
      <c r="AA457" s="843"/>
    </row>
    <row r="458" spans="1:30">
      <c r="A458" s="786"/>
      <c r="B458" s="216"/>
      <c r="C458" s="845"/>
      <c r="D458" s="847"/>
      <c r="E458" s="79">
        <f>IF(D457&lt;=3,база!$I$4,
IF(D457=4,база!$I$5,
IF(D457=5,база!$I$6)))</f>
        <v>188.7912</v>
      </c>
      <c r="F458" s="272">
        <v>1</v>
      </c>
      <c r="G458" s="99">
        <f>SUMIFS(Таблица1[сумма],Таблица1[коэф],"1",Таблица1[р/р],"3/4",Таблица1[Ф. И. О.],B462)</f>
        <v>0</v>
      </c>
      <c r="H458" s="95">
        <f>ROUND(E458*F458*G458,2)</f>
        <v>0</v>
      </c>
      <c r="I458" s="334">
        <f>IF(D457&lt;=3,база!$J$4,
IF(D457=4,база!$J$5,
IF(D457=5,база!$J$6)))</f>
        <v>196.05240000000001</v>
      </c>
      <c r="J458" s="279">
        <v>1</v>
      </c>
      <c r="K458" s="217"/>
      <c r="L458" s="217">
        <f>ROUND(I458*J458*K458,2)</f>
        <v>0</v>
      </c>
      <c r="M458" s="217"/>
      <c r="N458" s="217">
        <v>1</v>
      </c>
      <c r="O458" s="217">
        <f>SUMIFS(Data_Tech!$AM$3:$AM$67,Data_Tech!$E$3:$E$67,"1",Data_Tech!$G$3:$G$67,"4/12",Data_Tech!$F$3:$F$67,B462)</f>
        <v>0</v>
      </c>
      <c r="P458" s="30">
        <f>ROUND(M458*O458,2)</f>
        <v>0</v>
      </c>
      <c r="Q458" s="79">
        <f>база!$L$5</f>
        <v>231.45480000000001</v>
      </c>
      <c r="R458" s="272">
        <v>1</v>
      </c>
      <c r="S458" s="99">
        <f>SUMIFS(Таблица1[сумма],Таблица1[коэф],"1",Таблица1[р/р],"4/16",Таблица1[Ф. И. О.],B462)</f>
        <v>0</v>
      </c>
      <c r="T458" s="95">
        <f t="shared" si="279"/>
        <v>0</v>
      </c>
      <c r="U458" s="314">
        <f>база!$M$5</f>
        <v>247.41720000000001</v>
      </c>
      <c r="V458" s="272">
        <v>1</v>
      </c>
      <c r="W458" s="307">
        <f>SUMIFS(Таблица1[сумма],Таблица1[коэф],"1",Таблица1[р/р],"4/24",Таблица1[Ф. И. О.],B462)</f>
        <v>0</v>
      </c>
      <c r="X458" s="313">
        <f t="shared" ref="X458" si="282">ROUND(U458*V458*W458,2)</f>
        <v>0</v>
      </c>
      <c r="Y458" s="849"/>
      <c r="Z458" s="840"/>
      <c r="AA458" s="843"/>
    </row>
    <row r="459" spans="1:30">
      <c r="A459" s="786"/>
      <c r="B459" s="216"/>
      <c r="C459" s="845"/>
      <c r="D459" s="847"/>
      <c r="E459" s="79"/>
      <c r="F459" s="272"/>
      <c r="G459" s="99"/>
      <c r="H459" s="95"/>
      <c r="I459" s="334"/>
      <c r="J459" s="279"/>
      <c r="K459" s="217"/>
      <c r="L459" s="217"/>
      <c r="M459" s="217"/>
      <c r="N459" s="217"/>
      <c r="O459" s="217"/>
      <c r="P459" s="30"/>
      <c r="Q459" s="79">
        <f>база!$L$6</f>
        <v>261.04640000000001</v>
      </c>
      <c r="R459" s="272">
        <v>1</v>
      </c>
      <c r="S459" s="99">
        <f>SUMIFS(Таблица1[сумма],Таблица1[коэф],"1",Таблица1[р/р],"5/16",Таблица1[Ф. И. О.],B462)</f>
        <v>0</v>
      </c>
      <c r="T459" s="95">
        <f t="shared" si="279"/>
        <v>0</v>
      </c>
      <c r="U459" s="314">
        <f>база!$M$6</f>
        <v>279.0496</v>
      </c>
      <c r="V459" s="272">
        <v>1</v>
      </c>
      <c r="W459" s="307">
        <f>SUMIFS(Таблица1[сумма],Таблица1[коэф],"1",Таблица1[р/р],"5/24",Таблица1[Ф. И. О.],B462)</f>
        <v>0</v>
      </c>
      <c r="X459" s="313">
        <f>ROUND(U459*V459*W459,2)</f>
        <v>0</v>
      </c>
      <c r="Y459" s="849"/>
      <c r="Z459" s="840"/>
      <c r="AA459" s="843"/>
    </row>
    <row r="460" spans="1:30">
      <c r="A460" s="786"/>
      <c r="B460" s="216"/>
      <c r="C460" s="845"/>
      <c r="D460" s="847"/>
      <c r="E460" s="79"/>
      <c r="F460" s="272"/>
      <c r="G460" s="99"/>
      <c r="H460" s="95"/>
      <c r="I460" s="334">
        <f>база!$J$5</f>
        <v>215.4924</v>
      </c>
      <c r="J460" s="279">
        <v>1.5</v>
      </c>
      <c r="K460" s="217">
        <f>SUMIFS(Таблица1[сумма],Таблица1[коэф],"1,5",Таблица1[р/р],"4/8",Таблица1[Ф. И. О.],B462)</f>
        <v>0</v>
      </c>
      <c r="L460" s="217">
        <f>ROUND(I460*J460*K460,2)</f>
        <v>0</v>
      </c>
      <c r="M460" s="217"/>
      <c r="N460" s="217"/>
      <c r="O460" s="217"/>
      <c r="P460" s="30"/>
      <c r="Q460" s="79">
        <f>IF(D457&lt;=3,база!$L$4,
IF(D457=4,база!$L$5,
IF(D457=5,база!$L$6)))</f>
        <v>210.57480000000001</v>
      </c>
      <c r="R460" s="272">
        <v>1.2</v>
      </c>
      <c r="S460" s="99">
        <f>SUMIFS(Таблица1[сумма],Таблица1[коэф],"1,2",Таблица1[р/р],"3/16",Таблица1[Ф. И. О.],B462)</f>
        <v>0</v>
      </c>
      <c r="T460" s="95">
        <f t="shared" si="279"/>
        <v>0</v>
      </c>
      <c r="U460" s="314">
        <f>IF(D457&lt;=3,база!$M$4,
IF(D457=4,база!$M$5,
IF(D457=5,база!$M$6)))</f>
        <v>225.09719999999999</v>
      </c>
      <c r="V460" s="272">
        <v>1.2</v>
      </c>
      <c r="W460" s="307">
        <f>SUMIFS(Таблица1[сумма],Таблица1[коэф],"1,2",Таблица1[р/р],"3/24",Таблица1[Ф. И. О.],B462)</f>
        <v>0</v>
      </c>
      <c r="X460" s="313">
        <f t="shared" ref="X460:X461" si="283">ROUND(U460*V460*W460,2)</f>
        <v>0</v>
      </c>
      <c r="Y460" s="849"/>
      <c r="Z460" s="840"/>
      <c r="AA460" s="843"/>
    </row>
    <row r="461" spans="1:30">
      <c r="A461" s="786"/>
      <c r="B461" s="216"/>
      <c r="C461" s="845"/>
      <c r="D461" s="847"/>
      <c r="E461" s="79"/>
      <c r="F461" s="272"/>
      <c r="G461" s="99"/>
      <c r="H461" s="95"/>
      <c r="I461" s="334">
        <f>база!$J$6</f>
        <v>243.04319999999998</v>
      </c>
      <c r="J461" s="279">
        <v>1.5</v>
      </c>
      <c r="K461" s="217">
        <f>SUMIFS(Таблица1[сумма],Таблица1[коэф],"1,5",Таблица1[р/р],"5/8",Таблица1[Ф. И. О.],B462)</f>
        <v>0</v>
      </c>
      <c r="L461" s="217">
        <f>ROUND(I461*J461*K461,2)</f>
        <v>0</v>
      </c>
      <c r="M461" s="217"/>
      <c r="N461" s="217"/>
      <c r="O461" s="217"/>
      <c r="P461" s="30"/>
      <c r="Q461" s="79">
        <f>база!$L$5</f>
        <v>231.45480000000001</v>
      </c>
      <c r="R461" s="272">
        <v>1.2</v>
      </c>
      <c r="S461" s="99">
        <f>SUMIFS(Таблица1[сумма],Таблица1[коэф],"1,2",Таблица1[р/р],"4/16",Таблица1[Ф. И. О.],B462)</f>
        <v>0</v>
      </c>
      <c r="T461" s="95">
        <f t="shared" si="279"/>
        <v>0</v>
      </c>
      <c r="U461" s="314">
        <f>база!$M$5</f>
        <v>247.41720000000001</v>
      </c>
      <c r="V461" s="272">
        <v>1.2</v>
      </c>
      <c r="W461" s="307">
        <f>SUMIFS(Таблица1[сумма],Таблица1[коэф],"1,2",Таблица1[р/р],"4/24",Таблица1[Ф. И. О.],B462)</f>
        <v>0</v>
      </c>
      <c r="X461" s="313">
        <f t="shared" si="283"/>
        <v>0</v>
      </c>
      <c r="Y461" s="849"/>
      <c r="Z461" s="840"/>
      <c r="AA461" s="843"/>
      <c r="AC461" s="722" t="str">
        <f>IF(SUMIFS(Таблица1[Столбец2],Таблица1[Ф. И. О.],B462)-Z457=0,"",SUMIFS(Таблица1[Столбец2],Таблица1[Ф. И. О.],B462)-Z457)</f>
        <v/>
      </c>
    </row>
    <row r="462" spans="1:30">
      <c r="A462" s="786"/>
      <c r="B462" s="216" t="str">
        <f>база!B43</f>
        <v>Лезина Анастасия Юрьевна</v>
      </c>
      <c r="C462" s="845"/>
      <c r="D462" s="847"/>
      <c r="E462" s="79"/>
      <c r="F462" s="272"/>
      <c r="G462" s="99"/>
      <c r="H462" s="95"/>
      <c r="I462" s="334"/>
      <c r="J462" s="279"/>
      <c r="K462" s="217"/>
      <c r="L462" s="217"/>
      <c r="M462" s="217"/>
      <c r="N462" s="217"/>
      <c r="O462" s="217"/>
      <c r="P462" s="30"/>
      <c r="Q462" s="79">
        <f>база!$L$6</f>
        <v>261.04640000000001</v>
      </c>
      <c r="R462" s="272">
        <v>1.2</v>
      </c>
      <c r="S462" s="99">
        <f>SUMIFS(Таблица1[сумма],Таблица1[коэф],"1,2",Таблица1[р/р],"5/16",Таблица1[Ф. И. О.],B462)</f>
        <v>0</v>
      </c>
      <c r="T462" s="95">
        <f>ROUND(Q462*R462*S462,2)</f>
        <v>0</v>
      </c>
      <c r="U462" s="314">
        <f>база!$M$6</f>
        <v>279.0496</v>
      </c>
      <c r="V462" s="272">
        <v>1.2</v>
      </c>
      <c r="W462" s="307">
        <f>SUMIFS(Таблица1[сумма],Таблица1[коэф],"1,2",Таблица1[р/р],"5/24",Таблица1[Ф. И. О.],B462)</f>
        <v>0</v>
      </c>
      <c r="X462" s="313">
        <f>ROUND(U462*V462*W462,2)</f>
        <v>0</v>
      </c>
      <c r="Y462" s="849"/>
      <c r="Z462" s="840"/>
      <c r="AA462" s="843"/>
      <c r="AC462" s="722" t="str">
        <f>IF(SUMIFS(Таблица1[сумма],Таблица1[Ф. И. О.],B462)=Y457,"",B457&amp;"  часы не верны")</f>
        <v/>
      </c>
      <c r="AD462" s="759">
        <f>INDEX('[2]декабрь 23'!$AI$4:$AI$100,MATCH(C457,'[2]декабрь 23'!$AK$4:$AK$100,0))</f>
        <v>144</v>
      </c>
    </row>
    <row r="463" spans="1:30">
      <c r="A463" s="786"/>
      <c r="B463" s="216"/>
      <c r="C463" s="845"/>
      <c r="D463" s="847"/>
      <c r="E463" s="79"/>
      <c r="F463" s="272"/>
      <c r="G463" s="99"/>
      <c r="H463" s="95"/>
      <c r="I463" s="334"/>
      <c r="J463" s="279"/>
      <c r="K463" s="217"/>
      <c r="L463" s="217"/>
      <c r="M463" s="217"/>
      <c r="N463" s="217"/>
      <c r="O463" s="217"/>
      <c r="P463" s="30"/>
      <c r="Q463" s="79">
        <f>IF($D$6&lt;=3,база!$L$4,
IF($D$6=4,база!$L$5,
IF($D$6=5,база!$L$6)))</f>
        <v>231.45480000000001</v>
      </c>
      <c r="R463" s="272">
        <v>1.3</v>
      </c>
      <c r="S463" s="99">
        <f>SUMIFS(Таблица1[сумма],Таблица1[коэф],"1,3",Таблица1[р/р],"3/16",Таблица1[Ф. И. О.],B462)</f>
        <v>0</v>
      </c>
      <c r="T463" s="95">
        <f t="shared" ref="T463:T464" si="284">ROUND(Q463*R463*S463,2)</f>
        <v>0</v>
      </c>
      <c r="U463" s="314">
        <f>IF(D457&lt;=3,база!$M$4,
IF(D457=4,база!$M$5,
IF(D457=5,база!$M$6)))</f>
        <v>225.09719999999999</v>
      </c>
      <c r="V463" s="272">
        <v>1.3</v>
      </c>
      <c r="W463" s="307">
        <f>SUMIFS(Таблица1[сумма],Таблица1[коэф],"1,3",Таблица1[р/р],"3/24",Таблица1[Ф. И. О.],B462)</f>
        <v>0</v>
      </c>
      <c r="X463" s="313">
        <f t="shared" ref="X463:X464" si="285">ROUND(U463*V463*W463,2)</f>
        <v>0</v>
      </c>
      <c r="Y463" s="849"/>
      <c r="Z463" s="840"/>
      <c r="AA463" s="843"/>
    </row>
    <row r="464" spans="1:30">
      <c r="A464" s="786"/>
      <c r="B464" s="216"/>
      <c r="C464" s="845"/>
      <c r="D464" s="847"/>
      <c r="E464" s="79"/>
      <c r="F464" s="272"/>
      <c r="G464" s="99"/>
      <c r="H464" s="95"/>
      <c r="I464" s="334"/>
      <c r="J464" s="279"/>
      <c r="K464" s="217"/>
      <c r="L464" s="217"/>
      <c r="M464" s="217"/>
      <c r="N464" s="217"/>
      <c r="O464" s="217"/>
      <c r="P464" s="30"/>
      <c r="Q464" s="79">
        <f>база!$L$5</f>
        <v>231.45480000000001</v>
      </c>
      <c r="R464" s="272">
        <v>1.3</v>
      </c>
      <c r="S464" s="99">
        <f>SUMIFS(Таблица1[сумма],Таблица1[коэф],"1,3",Таблица1[р/р],"4/16",Таблица1[Ф. И. О.],B462)</f>
        <v>0</v>
      </c>
      <c r="T464" s="95">
        <f t="shared" si="284"/>
        <v>0</v>
      </c>
      <c r="U464" s="314">
        <f>база!$M$5</f>
        <v>247.41720000000001</v>
      </c>
      <c r="V464" s="272">
        <v>1.3</v>
      </c>
      <c r="W464" s="307">
        <f>SUMIFS(Таблица1[сумма],Таблица1[коэф],"1,3",Таблица1[р/р],"4/24",Таблица1[Ф. И. О.],B462)</f>
        <v>0</v>
      </c>
      <c r="X464" s="313">
        <f t="shared" si="285"/>
        <v>0</v>
      </c>
      <c r="Y464" s="849"/>
      <c r="Z464" s="840"/>
      <c r="AA464" s="843"/>
    </row>
    <row r="465" spans="1:30">
      <c r="A465" s="786"/>
      <c r="B465" s="216"/>
      <c r="C465" s="845"/>
      <c r="D465" s="847"/>
      <c r="E465" s="79"/>
      <c r="F465" s="272"/>
      <c r="G465" s="99"/>
      <c r="H465" s="95"/>
      <c r="I465" s="334"/>
      <c r="J465" s="279"/>
      <c r="K465" s="217"/>
      <c r="L465" s="217"/>
      <c r="M465" s="217"/>
      <c r="N465" s="217"/>
      <c r="O465" s="217"/>
      <c r="P465" s="30"/>
      <c r="Q465" s="79">
        <f>IF(D457&lt;=3,база!$L$4,
IF(D457=4,база!$L$5,
IF(D457=5,база!$L$6)))</f>
        <v>210.57480000000001</v>
      </c>
      <c r="R465" s="272">
        <v>1.4</v>
      </c>
      <c r="S465" s="99">
        <f>SUMIFS(Таблица1[сумма],Таблица1[коэф],"1,4",Таблица1[р/р],"3/16",Таблица1[Ф. И. О.],B462)</f>
        <v>0</v>
      </c>
      <c r="T465" s="95">
        <f>ROUND(Q465*R465*S465,2)</f>
        <v>0</v>
      </c>
      <c r="U465" s="314">
        <f>IF(D457&lt;=3,база!$M$4,
IF(D457=4,база!$M$5,
IF(D457=5,база!$M$6)))</f>
        <v>225.09719999999999</v>
      </c>
      <c r="V465" s="272">
        <v>1.4</v>
      </c>
      <c r="W465" s="307">
        <f>SUMIFS(Таблица1[сумма],Таблица1[коэф],"1,4",Таблица1[р/р],"3/24",Таблица1[Ф. И. О.],B462)</f>
        <v>0</v>
      </c>
      <c r="X465" s="313">
        <f>ROUND(U465*V465*W465,2)</f>
        <v>0</v>
      </c>
      <c r="Y465" s="849"/>
      <c r="Z465" s="840"/>
      <c r="AA465" s="843"/>
    </row>
    <row r="466" spans="1:30">
      <c r="A466" s="786"/>
      <c r="B466" s="216"/>
      <c r="C466" s="845"/>
      <c r="D466" s="847"/>
      <c r="E466" s="79"/>
      <c r="F466" s="272"/>
      <c r="G466" s="99"/>
      <c r="H466" s="95"/>
      <c r="I466" s="334"/>
      <c r="J466" s="279"/>
      <c r="K466" s="217"/>
      <c r="L466" s="217"/>
      <c r="M466" s="217"/>
      <c r="N466" s="217"/>
      <c r="O466" s="217"/>
      <c r="P466" s="30"/>
      <c r="Q466" s="79">
        <f>база!$L$5</f>
        <v>231.45480000000001</v>
      </c>
      <c r="R466" s="272">
        <v>1.4</v>
      </c>
      <c r="S466" s="99">
        <f>SUMIFS(Таблица1[сумма],Таблица1[коэф],"1,4",Таблица1[р/р],"4/16",Таблица1[Ф. И. О.],B462)</f>
        <v>0</v>
      </c>
      <c r="T466" s="95">
        <f>ROUND(Q466*R466*S466,2)</f>
        <v>0</v>
      </c>
      <c r="U466" s="314">
        <f>база!$M$5</f>
        <v>247.41720000000001</v>
      </c>
      <c r="V466" s="272">
        <v>1.4</v>
      </c>
      <c r="W466" s="307">
        <f>SUMIFS(Таблица1[сумма],Таблица1[коэф],"1,4",Таблица1[р/р],"4/24",Таблица1[Ф. И. О.],B462)</f>
        <v>0</v>
      </c>
      <c r="X466" s="313">
        <f>ROUND(U466*V466*W466,2)</f>
        <v>0</v>
      </c>
      <c r="Y466" s="849"/>
      <c r="Z466" s="840"/>
      <c r="AA466" s="843"/>
    </row>
    <row r="467" spans="1:30" ht="24" thickBot="1">
      <c r="A467" s="787"/>
      <c r="B467" s="352"/>
      <c r="C467" s="846"/>
      <c r="D467" s="848"/>
      <c r="E467" s="75"/>
      <c r="F467" s="271"/>
      <c r="G467" s="89"/>
      <c r="H467" s="103"/>
      <c r="I467" s="24"/>
      <c r="J467" s="278"/>
      <c r="K467" s="22"/>
      <c r="L467" s="309"/>
      <c r="M467" s="24"/>
      <c r="N467" s="22"/>
      <c r="O467" s="22"/>
      <c r="P467" s="282"/>
      <c r="Q467" s="72">
        <f>база!$L$6</f>
        <v>261.04640000000001</v>
      </c>
      <c r="R467" s="271">
        <v>1.4</v>
      </c>
      <c r="S467" s="97">
        <f>SUMIFS(Таблица1[сумма],Таблица1[коэф],"1,4",Таблица1[р/р],"5/16",Таблица1[Ф. И. О.],B462)</f>
        <v>0</v>
      </c>
      <c r="T467" s="103">
        <f>ROUND(Q467*R467*S467,2)</f>
        <v>0</v>
      </c>
      <c r="U467" s="82">
        <f>база!$M$6</f>
        <v>279.0496</v>
      </c>
      <c r="V467" s="272">
        <v>1.4</v>
      </c>
      <c r="W467" s="97">
        <f>SUMIFS(Таблица1[сумма],Таблица1[коэф],"1,4",Таблица1[р/р],"5/24",Таблица1[Ф. И. О.],B462)</f>
        <v>0</v>
      </c>
      <c r="X467" s="103">
        <f>ROUND(U467*V467*W467,2)</f>
        <v>0</v>
      </c>
      <c r="Y467" s="850"/>
      <c r="Z467" s="841"/>
      <c r="AA467" s="844"/>
    </row>
    <row r="468" spans="1:30">
      <c r="A468" s="785">
        <v>43</v>
      </c>
      <c r="B468" s="216"/>
      <c r="C468" s="851">
        <f>INDEX(база!$E$2:$E$81, MATCH(B473,база!$B$2:$B$50,0))</f>
        <v>17321</v>
      </c>
      <c r="D468" s="852">
        <f>INDEX(база!$D$2:$D$89, MATCH(B473,база!$B$2:$B$50,0))</f>
        <v>3</v>
      </c>
      <c r="E468" s="73">
        <f>IF(D468&lt;=3,база!$I$4,
IF(D468=4,база!$I$5,
IF(D468=5,база!$I$6)))</f>
        <v>188.7912</v>
      </c>
      <c r="F468" s="270">
        <v>1</v>
      </c>
      <c r="G468" s="96">
        <f>SUMIFS(Таблица1[сумма],Таблица1[коэф],"1",Таблица1[р/р],"2/4",Таблица1[Ф. И. О.],B473)</f>
        <v>0</v>
      </c>
      <c r="H468" s="88">
        <f>ROUND(E468*F468*G468,2)</f>
        <v>0</v>
      </c>
      <c r="I468" s="344">
        <f>IF(D468&lt;=3,база!$J$4,
IF(D468=4,база!$J$5,
IF(D468=5,база!$J$6)))</f>
        <v>196.05240000000001</v>
      </c>
      <c r="J468" s="278">
        <v>1</v>
      </c>
      <c r="K468" s="309">
        <f>SUMIFS(Таблица1[сумма],Таблица1[коэф],"1",Таблица1[р/р],"2/8",Таблица1[Ф. И. О.],B473)</f>
        <v>0</v>
      </c>
      <c r="L468" s="309">
        <f>ROUND(I468*J468*K468,2)</f>
        <v>0</v>
      </c>
      <c r="M468" s="309"/>
      <c r="N468" s="309">
        <v>1</v>
      </c>
      <c r="O468" s="309">
        <f>SUMIFS(Data_Tech!$AM$3:$AM$67,Data_Tech!$E$3:$E$67,"1",Data_Tech!$G$3:$G$67,"3/12",Data_Tech!$F$3:$F$67,B473)</f>
        <v>0</v>
      </c>
      <c r="P468" s="282">
        <f>ROUND(M468*N468*O468,2)</f>
        <v>0</v>
      </c>
      <c r="Q468" s="73">
        <f>IF(D468&lt;=3,база!$L$4,
IF(D468=4,база!$L$5,
IF(D468=5,база!$L$6)))</f>
        <v>210.57480000000001</v>
      </c>
      <c r="R468" s="270">
        <v>1</v>
      </c>
      <c r="S468" s="96">
        <f>SUMIFS(Таблица1[сумма],Таблица1[коэф],"1",Таблица1[р/р],"3/16",Таблица1[Ф. И. О.],B473)</f>
        <v>0</v>
      </c>
      <c r="T468" s="88">
        <f t="shared" ref="T468:T472" si="286">ROUND(Q468*R468*S468,2)</f>
        <v>0</v>
      </c>
      <c r="U468" s="349">
        <f>IF(D468&lt;=3,база!$M$4,
IF(D468=4,база!$M$5,
IF(D468=5,база!$M$6)))</f>
        <v>225.09719999999999</v>
      </c>
      <c r="V468" s="271">
        <v>1</v>
      </c>
      <c r="W468" s="337">
        <f>SUMIFS(Таблица1[сумма],Таблица1[коэф],"1",Таблица1[р/р],"3/24",Таблица1[Ф. И. О.],B473)</f>
        <v>0</v>
      </c>
      <c r="X468" s="342">
        <f>ROUND(U468*V468*W468,2)</f>
        <v>0</v>
      </c>
      <c r="Y468" s="849">
        <f t="shared" ref="Y468" si="287">SUM(G468:G478,K468:K478,O468:O478,S468:S478,W468:W478)</f>
        <v>0</v>
      </c>
      <c r="Z468" s="853">
        <f t="shared" ref="Z468" si="288">IFERROR(SUM(H468:H478,L468:L478,T468:T478,X468:X478),"")</f>
        <v>0</v>
      </c>
      <c r="AA468" s="843"/>
    </row>
    <row r="469" spans="1:30">
      <c r="A469" s="786"/>
      <c r="B469" s="216"/>
      <c r="C469" s="845"/>
      <c r="D469" s="847"/>
      <c r="E469" s="79">
        <f>IF(D468&lt;=3,база!$I$4,
IF(D468=4,база!$I$5,
IF(D468=5,база!$I$6)))</f>
        <v>188.7912</v>
      </c>
      <c r="F469" s="272">
        <v>1</v>
      </c>
      <c r="G469" s="99">
        <f>SUMIFS(Таблица1[сумма],Таблица1[коэф],"1",Таблица1[р/р],"3/4",Таблица1[Ф. И. О.],B473)</f>
        <v>0</v>
      </c>
      <c r="H469" s="95">
        <f>ROUND(E469*F469*G469,2)</f>
        <v>0</v>
      </c>
      <c r="I469" s="334">
        <f>IF(D468&lt;=3,база!$J$4,
IF(D468=4,база!$J$5,
IF(D468=5,база!$J$6)))</f>
        <v>196.05240000000001</v>
      </c>
      <c r="J469" s="279">
        <v>1</v>
      </c>
      <c r="K469" s="217"/>
      <c r="L469" s="217">
        <f>ROUND(I469*J469*K469,2)</f>
        <v>0</v>
      </c>
      <c r="M469" s="217"/>
      <c r="N469" s="217">
        <v>1</v>
      </c>
      <c r="O469" s="217">
        <f>SUMIFS(Data_Tech!$AM$3:$AM$67,Data_Tech!$E$3:$E$67,"1",Data_Tech!$G$3:$G$67,"4/12",Data_Tech!$F$3:$F$67,B473)</f>
        <v>0</v>
      </c>
      <c r="P469" s="30">
        <f>ROUND(M469*O469,2)</f>
        <v>0</v>
      </c>
      <c r="Q469" s="79">
        <f>база!$L$5</f>
        <v>231.45480000000001</v>
      </c>
      <c r="R469" s="272">
        <v>1</v>
      </c>
      <c r="S469" s="99">
        <f>SUMIFS(Таблица1[сумма],Таблица1[коэф],"1",Таблица1[р/р],"4/16",Таблица1[Ф. И. О.],B473)</f>
        <v>0</v>
      </c>
      <c r="T469" s="95">
        <f t="shared" si="286"/>
        <v>0</v>
      </c>
      <c r="U469" s="314">
        <f>база!$M$5</f>
        <v>247.41720000000001</v>
      </c>
      <c r="V469" s="272">
        <v>1</v>
      </c>
      <c r="W469" s="307">
        <f>SUMIFS(Таблица1[сумма],Таблица1[коэф],"1",Таблица1[р/р],"4/24",Таблица1[Ф. И. О.],B473)</f>
        <v>0</v>
      </c>
      <c r="X469" s="313">
        <f t="shared" ref="X469" si="289">ROUND(U469*V469*W469,2)</f>
        <v>0</v>
      </c>
      <c r="Y469" s="849"/>
      <c r="Z469" s="840"/>
      <c r="AA469" s="843"/>
    </row>
    <row r="470" spans="1:30">
      <c r="A470" s="786"/>
      <c r="B470" s="216"/>
      <c r="C470" s="845"/>
      <c r="D470" s="847"/>
      <c r="E470" s="79"/>
      <c r="F470" s="272"/>
      <c r="G470" s="99"/>
      <c r="H470" s="95"/>
      <c r="I470" s="334"/>
      <c r="J470" s="279"/>
      <c r="K470" s="217"/>
      <c r="L470" s="217"/>
      <c r="M470" s="217"/>
      <c r="N470" s="217"/>
      <c r="O470" s="217"/>
      <c r="P470" s="30"/>
      <c r="Q470" s="79">
        <f>база!$L$6</f>
        <v>261.04640000000001</v>
      </c>
      <c r="R470" s="272">
        <v>1</v>
      </c>
      <c r="S470" s="99">
        <f>SUMIFS(Таблица1[сумма],Таблица1[коэф],"1",Таблица1[р/р],"5/16",Таблица1[Ф. И. О.],B473)</f>
        <v>0</v>
      </c>
      <c r="T470" s="95">
        <f t="shared" si="286"/>
        <v>0</v>
      </c>
      <c r="U470" s="314">
        <f>база!$M$6</f>
        <v>279.0496</v>
      </c>
      <c r="V470" s="272">
        <v>1</v>
      </c>
      <c r="W470" s="307">
        <f>SUMIFS(Таблица1[сумма],Таблица1[коэф],"1",Таблица1[р/р],"5/24",Таблица1[Ф. И. О.],B473)</f>
        <v>0</v>
      </c>
      <c r="X470" s="313">
        <f>ROUND(U470*V470*W470,2)</f>
        <v>0</v>
      </c>
      <c r="Y470" s="849"/>
      <c r="Z470" s="840"/>
      <c r="AA470" s="843"/>
    </row>
    <row r="471" spans="1:30">
      <c r="A471" s="786"/>
      <c r="B471" s="216"/>
      <c r="C471" s="845"/>
      <c r="D471" s="847"/>
      <c r="E471" s="79"/>
      <c r="F471" s="272"/>
      <c r="G471" s="99"/>
      <c r="H471" s="95"/>
      <c r="I471" s="334">
        <f>база!$J$5</f>
        <v>215.4924</v>
      </c>
      <c r="J471" s="279">
        <v>1.5</v>
      </c>
      <c r="K471" s="217">
        <f>SUMIFS(Таблица1[сумма],Таблица1[коэф],"1,5",Таблица1[р/р],"4/8",Таблица1[Ф. И. О.],B473)</f>
        <v>0</v>
      </c>
      <c r="L471" s="217">
        <f>ROUND(I471*J471*K471,2)</f>
        <v>0</v>
      </c>
      <c r="M471" s="217"/>
      <c r="N471" s="217"/>
      <c r="O471" s="217"/>
      <c r="P471" s="30"/>
      <c r="Q471" s="79">
        <f>IF(D468&lt;=3,база!$L$4,
IF(D468=4,база!$L$5,
IF(D468=5,база!$L$6)))</f>
        <v>210.57480000000001</v>
      </c>
      <c r="R471" s="272">
        <v>1.2</v>
      </c>
      <c r="S471" s="99">
        <f>SUMIFS(Таблица1[сумма],Таблица1[коэф],"1,2",Таблица1[р/р],"3/16",Таблица1[Ф. И. О.],B473)</f>
        <v>0</v>
      </c>
      <c r="T471" s="95">
        <f t="shared" si="286"/>
        <v>0</v>
      </c>
      <c r="U471" s="314">
        <f>IF(D468&lt;=3,база!$M$4,
IF(D468=4,база!$M$5,
IF(D468=5,база!$M$6)))</f>
        <v>225.09719999999999</v>
      </c>
      <c r="V471" s="272">
        <v>1.2</v>
      </c>
      <c r="W471" s="307">
        <f>SUMIFS(Таблица1[сумма],Таблица1[коэф],"1,2",Таблица1[р/р],"3/24",Таблица1[Ф. И. О.],B473)</f>
        <v>0</v>
      </c>
      <c r="X471" s="313">
        <f t="shared" ref="X471:X472" si="290">ROUND(U471*V471*W471,2)</f>
        <v>0</v>
      </c>
      <c r="Y471" s="849"/>
      <c r="Z471" s="840"/>
      <c r="AA471" s="843"/>
    </row>
    <row r="472" spans="1:30">
      <c r="A472" s="786"/>
      <c r="B472" s="216"/>
      <c r="C472" s="845"/>
      <c r="D472" s="847"/>
      <c r="E472" s="79"/>
      <c r="F472" s="272"/>
      <c r="G472" s="99"/>
      <c r="H472" s="95"/>
      <c r="I472" s="334">
        <f>база!$J$6</f>
        <v>243.04319999999998</v>
      </c>
      <c r="J472" s="279">
        <v>1.5</v>
      </c>
      <c r="K472" s="217">
        <f>SUMIFS(Таблица1[сумма],Таблица1[коэф],"1,5",Таблица1[р/р],"5/8",Таблица1[Ф. И. О.],B473)</f>
        <v>0</v>
      </c>
      <c r="L472" s="217">
        <f>ROUND(I472*J472*K472,2)</f>
        <v>0</v>
      </c>
      <c r="M472" s="217"/>
      <c r="N472" s="217"/>
      <c r="O472" s="217"/>
      <c r="P472" s="30"/>
      <c r="Q472" s="79">
        <f>база!$L$5</f>
        <v>231.45480000000001</v>
      </c>
      <c r="R472" s="272">
        <v>1.2</v>
      </c>
      <c r="S472" s="99">
        <f>SUMIFS(Таблица1[сумма],Таблица1[коэф],"1,2",Таблица1[р/р],"4/16",Таблица1[Ф. И. О.],B473)</f>
        <v>0</v>
      </c>
      <c r="T472" s="95">
        <f t="shared" si="286"/>
        <v>0</v>
      </c>
      <c r="U472" s="314">
        <f>база!$M$5</f>
        <v>247.41720000000001</v>
      </c>
      <c r="V472" s="272">
        <v>1.2</v>
      </c>
      <c r="W472" s="307">
        <f>SUMIFS(Таблица1[сумма],Таблица1[коэф],"1,2",Таблица1[р/р],"4/24",Таблица1[Ф. И. О.],B473)</f>
        <v>0</v>
      </c>
      <c r="X472" s="313">
        <f t="shared" si="290"/>
        <v>0</v>
      </c>
      <c r="Y472" s="849"/>
      <c r="Z472" s="840"/>
      <c r="AA472" s="843"/>
      <c r="AC472" s="722" t="str">
        <f>IF(SUMIFS(Таблица1[Столбец2],Таблица1[Ф. И. О.],B473)-Z468=0,"",SUMIFS(Таблица1[Столбец2],Таблица1[Ф. И. О.],B473)-Z468)</f>
        <v/>
      </c>
    </row>
    <row r="473" spans="1:30">
      <c r="A473" s="786"/>
      <c r="B473" s="216" t="str">
        <f>база!B44</f>
        <v>Малышева Анна Евгеньевна</v>
      </c>
      <c r="C473" s="845"/>
      <c r="D473" s="847"/>
      <c r="E473" s="79"/>
      <c r="F473" s="272"/>
      <c r="G473" s="99"/>
      <c r="H473" s="95"/>
      <c r="I473" s="334"/>
      <c r="J473" s="279"/>
      <c r="K473" s="217"/>
      <c r="L473" s="217"/>
      <c r="M473" s="217"/>
      <c r="N473" s="217"/>
      <c r="O473" s="217"/>
      <c r="P473" s="30"/>
      <c r="Q473" s="79">
        <f>база!$L$6</f>
        <v>261.04640000000001</v>
      </c>
      <c r="R473" s="272">
        <v>1.2</v>
      </c>
      <c r="S473" s="99">
        <f>SUMIFS(Таблица1[сумма],Таблица1[коэф],"1,2",Таблица1[р/р],"5/16",Таблица1[Ф. И. О.],B473)</f>
        <v>0</v>
      </c>
      <c r="T473" s="95">
        <f>ROUND(Q473*R473*S473,2)</f>
        <v>0</v>
      </c>
      <c r="U473" s="314">
        <f>база!$M$6</f>
        <v>279.0496</v>
      </c>
      <c r="V473" s="272">
        <v>1.2</v>
      </c>
      <c r="W473" s="307">
        <f>SUMIFS(Таблица1[сумма],Таблица1[коэф],"1,2",Таблица1[р/р],"5/24",Таблица1[Ф. И. О.],B473)</f>
        <v>0</v>
      </c>
      <c r="X473" s="313">
        <f>ROUND(U473*V473*W473,2)</f>
        <v>0</v>
      </c>
      <c r="Y473" s="849"/>
      <c r="Z473" s="840"/>
      <c r="AA473" s="843"/>
      <c r="AC473" s="722" t="str">
        <f>IF(SUMIFS(Таблица1[сумма],Таблица1[Ф. И. О.],B473)=Y468,"",B468&amp;"  часы не верны")</f>
        <v/>
      </c>
      <c r="AD473" s="759">
        <f>INDEX('[2]декабрь 23'!$AI$4:$AI$100,MATCH(C468,'[2]декабрь 23'!$AK$4:$AK$100,0))</f>
        <v>122.40000000000003</v>
      </c>
    </row>
    <row r="474" spans="1:30">
      <c r="A474" s="786"/>
      <c r="B474" s="216"/>
      <c r="C474" s="845"/>
      <c r="D474" s="847"/>
      <c r="E474" s="79"/>
      <c r="F474" s="272"/>
      <c r="G474" s="99"/>
      <c r="H474" s="95"/>
      <c r="I474" s="334"/>
      <c r="J474" s="279"/>
      <c r="K474" s="217"/>
      <c r="L474" s="217"/>
      <c r="M474" s="217"/>
      <c r="N474" s="217"/>
      <c r="O474" s="217"/>
      <c r="P474" s="30"/>
      <c r="Q474" s="79">
        <f>IF($D$6&lt;=3,база!$L$4,
IF($D$6=4,база!$L$5,
IF($D$6=5,база!$L$6)))</f>
        <v>231.45480000000001</v>
      </c>
      <c r="R474" s="272">
        <v>1.3</v>
      </c>
      <c r="S474" s="99">
        <f>SUMIFS(Таблица1[сумма],Таблица1[коэф],"1,3",Таблица1[р/р],"3/16",Таблица1[Ф. И. О.],B473)</f>
        <v>0</v>
      </c>
      <c r="T474" s="95">
        <f t="shared" ref="T474:T475" si="291">ROUND(Q474*R474*S474,2)</f>
        <v>0</v>
      </c>
      <c r="U474" s="314">
        <f>IF(D468&lt;=3,база!$M$4,
IF(D468=4,база!$M$5,
IF(D468=5,база!$M$6)))</f>
        <v>225.09719999999999</v>
      </c>
      <c r="V474" s="272">
        <v>1.3</v>
      </c>
      <c r="W474" s="307">
        <f>SUMIFS(Таблица1[сумма],Таблица1[коэф],"1,3",Таблица1[р/р],"3/24",Таблица1[Ф. И. О.],B473)</f>
        <v>0</v>
      </c>
      <c r="X474" s="313">
        <f t="shared" ref="X474:X475" si="292">ROUND(U474*V474*W474,2)</f>
        <v>0</v>
      </c>
      <c r="Y474" s="849"/>
      <c r="Z474" s="840"/>
      <c r="AA474" s="843"/>
    </row>
    <row r="475" spans="1:30">
      <c r="A475" s="786"/>
      <c r="B475" s="216"/>
      <c r="C475" s="845"/>
      <c r="D475" s="847"/>
      <c r="E475" s="79"/>
      <c r="F475" s="272"/>
      <c r="G475" s="99"/>
      <c r="H475" s="95"/>
      <c r="I475" s="334"/>
      <c r="J475" s="279"/>
      <c r="K475" s="217"/>
      <c r="L475" s="217"/>
      <c r="M475" s="217"/>
      <c r="N475" s="217"/>
      <c r="O475" s="217"/>
      <c r="P475" s="30"/>
      <c r="Q475" s="79">
        <f>база!$L$5</f>
        <v>231.45480000000001</v>
      </c>
      <c r="R475" s="272">
        <v>1.3</v>
      </c>
      <c r="S475" s="99">
        <f>SUMIFS(Таблица1[сумма],Таблица1[коэф],"1,3",Таблица1[р/р],"4/16",Таблица1[Ф. И. О.],B473)</f>
        <v>0</v>
      </c>
      <c r="T475" s="95">
        <f t="shared" si="291"/>
        <v>0</v>
      </c>
      <c r="U475" s="314">
        <f>база!$M$5</f>
        <v>247.41720000000001</v>
      </c>
      <c r="V475" s="272">
        <v>1.3</v>
      </c>
      <c r="W475" s="307">
        <f>SUMIFS(Таблица1[сумма],Таблица1[коэф],"1,3",Таблица1[р/р],"4/24",Таблица1[Ф. И. О.],B473)</f>
        <v>0</v>
      </c>
      <c r="X475" s="313">
        <f t="shared" si="292"/>
        <v>0</v>
      </c>
      <c r="Y475" s="849"/>
      <c r="Z475" s="840"/>
      <c r="AA475" s="843"/>
    </row>
    <row r="476" spans="1:30">
      <c r="A476" s="786"/>
      <c r="B476" s="216"/>
      <c r="C476" s="845"/>
      <c r="D476" s="847"/>
      <c r="E476" s="79"/>
      <c r="F476" s="272"/>
      <c r="G476" s="99"/>
      <c r="H476" s="95"/>
      <c r="I476" s="334"/>
      <c r="J476" s="279"/>
      <c r="K476" s="217"/>
      <c r="L476" s="217"/>
      <c r="M476" s="217"/>
      <c r="N476" s="217"/>
      <c r="O476" s="217"/>
      <c r="P476" s="30"/>
      <c r="Q476" s="79">
        <f>IF(D468&lt;=3,база!$L$4,
IF(D468=4,база!$L$5,
IF(D468=5,база!$L$6)))</f>
        <v>210.57480000000001</v>
      </c>
      <c r="R476" s="272">
        <v>1.4</v>
      </c>
      <c r="S476" s="99">
        <f>SUMIFS(Таблица1[сумма],Таблица1[коэф],"1,4",Таблица1[р/р],"3/16",Таблица1[Ф. И. О.],B473)</f>
        <v>0</v>
      </c>
      <c r="T476" s="95">
        <f>ROUND(Q476*R476*S476,2)</f>
        <v>0</v>
      </c>
      <c r="U476" s="314">
        <f>IF(D468&lt;=3,база!$M$4,
IF(D468=4,база!$M$5,
IF(D468=5,база!$M$6)))</f>
        <v>225.09719999999999</v>
      </c>
      <c r="V476" s="272">
        <v>1.4</v>
      </c>
      <c r="W476" s="307">
        <f>SUMIFS(Таблица1[сумма],Таблица1[коэф],"1,4",Таблица1[р/р],"3/24",Таблица1[Ф. И. О.],B473)</f>
        <v>0</v>
      </c>
      <c r="X476" s="313">
        <f>ROUND(U476*V476*W476,2)</f>
        <v>0</v>
      </c>
      <c r="Y476" s="849"/>
      <c r="Z476" s="840"/>
      <c r="AA476" s="843"/>
    </row>
    <row r="477" spans="1:30">
      <c r="A477" s="786"/>
      <c r="B477" s="216"/>
      <c r="C477" s="845"/>
      <c r="D477" s="847"/>
      <c r="E477" s="79"/>
      <c r="F477" s="272"/>
      <c r="G477" s="99"/>
      <c r="H477" s="95"/>
      <c r="I477" s="334"/>
      <c r="J477" s="279"/>
      <c r="K477" s="217"/>
      <c r="L477" s="217"/>
      <c r="M477" s="217"/>
      <c r="N477" s="217"/>
      <c r="O477" s="217"/>
      <c r="P477" s="30"/>
      <c r="Q477" s="79">
        <f>база!$L$5</f>
        <v>231.45480000000001</v>
      </c>
      <c r="R477" s="272">
        <v>1.4</v>
      </c>
      <c r="S477" s="99">
        <f>SUMIFS(Таблица1[сумма],Таблица1[коэф],"1,4",Таблица1[р/р],"4/16",Таблица1[Ф. И. О.],B473)</f>
        <v>0</v>
      </c>
      <c r="T477" s="95">
        <f>ROUND(Q477*R477*S477,2)</f>
        <v>0</v>
      </c>
      <c r="U477" s="314">
        <f>база!$M$5</f>
        <v>247.41720000000001</v>
      </c>
      <c r="V477" s="272">
        <v>1.4</v>
      </c>
      <c r="W477" s="307">
        <f>SUMIFS(Таблица1[сумма],Таблица1[коэф],"1,4",Таблица1[р/р],"4/24",Таблица1[Ф. И. О.],B473)</f>
        <v>0</v>
      </c>
      <c r="X477" s="313">
        <f>ROUND(U477*V477*W477,2)</f>
        <v>0</v>
      </c>
      <c r="Y477" s="849"/>
      <c r="Z477" s="840"/>
      <c r="AA477" s="843"/>
    </row>
    <row r="478" spans="1:30" ht="24" thickBot="1">
      <c r="A478" s="787"/>
      <c r="B478" s="352"/>
      <c r="C478" s="846"/>
      <c r="D478" s="848"/>
      <c r="E478" s="75"/>
      <c r="F478" s="271"/>
      <c r="G478" s="89"/>
      <c r="H478" s="103"/>
      <c r="I478" s="24"/>
      <c r="J478" s="278"/>
      <c r="K478" s="22"/>
      <c r="L478" s="309"/>
      <c r="M478" s="24"/>
      <c r="N478" s="22"/>
      <c r="O478" s="22"/>
      <c r="P478" s="282"/>
      <c r="Q478" s="72">
        <f>база!$L$6</f>
        <v>261.04640000000001</v>
      </c>
      <c r="R478" s="271">
        <v>1.4</v>
      </c>
      <c r="S478" s="97">
        <f>SUMIFS(Таблица1[сумма],Таблица1[коэф],"1,4",Таблица1[р/р],"5/16",Таблица1[Ф. И. О.],B473)</f>
        <v>0</v>
      </c>
      <c r="T478" s="103">
        <f>ROUND(Q478*R478*S478,2)</f>
        <v>0</v>
      </c>
      <c r="U478" s="82">
        <f>база!$M$6</f>
        <v>279.0496</v>
      </c>
      <c r="V478" s="272">
        <v>1.4</v>
      </c>
      <c r="W478" s="97">
        <f>SUMIFS(Таблица1[сумма],Таблица1[коэф],"1,4",Таблица1[р/р],"5/24",Таблица1[Ф. И. О.],B473)</f>
        <v>0</v>
      </c>
      <c r="X478" s="103">
        <f>ROUND(U478*V478*W478,2)</f>
        <v>0</v>
      </c>
      <c r="Y478" s="850"/>
      <c r="Z478" s="841"/>
      <c r="AA478" s="844"/>
    </row>
    <row r="479" spans="1:30">
      <c r="A479" s="785">
        <v>44</v>
      </c>
      <c r="B479" s="216"/>
      <c r="C479" s="851">
        <f>INDEX(база!$E$2:$E$81, MATCH(B484,база!$B$2:$B$50,0))</f>
        <v>17136</v>
      </c>
      <c r="D479" s="852">
        <f>INDEX(база!$D$2:$D$89, MATCH(B484,база!$B$2:$B$50,0))</f>
        <v>3</v>
      </c>
      <c r="E479" s="73">
        <f>IF(D479&lt;=3,база!$I$4,
IF(D479=4,база!$I$5,
IF(D479=5,база!$I$6)))</f>
        <v>188.7912</v>
      </c>
      <c r="F479" s="270">
        <v>1</v>
      </c>
      <c r="G479" s="96">
        <f>SUMIFS(Таблица1[сумма],Таблица1[коэф],"1",Таблица1[р/р],"2/4",Таблица1[Ф. И. О.],B484)</f>
        <v>0</v>
      </c>
      <c r="H479" s="88">
        <f>ROUND(E479*F479*G479,2)</f>
        <v>0</v>
      </c>
      <c r="I479" s="344">
        <f>IF(D479&lt;=3,база!$J$4,
IF(D479=4,база!$J$5,
IF(D479=5,база!$J$6)))</f>
        <v>196.05240000000001</v>
      </c>
      <c r="J479" s="278">
        <v>1</v>
      </c>
      <c r="K479" s="309">
        <f>SUMIFS(Таблица1[сумма],Таблица1[коэф],"1",Таблица1[р/р],"2/8",Таблица1[Ф. И. О.],B484)</f>
        <v>0</v>
      </c>
      <c r="L479" s="309">
        <f>ROUND(I479*J479*K479,2)</f>
        <v>0</v>
      </c>
      <c r="M479" s="309"/>
      <c r="N479" s="309">
        <v>1</v>
      </c>
      <c r="O479" s="309">
        <f>SUMIFS(Data_Tech!$AM$3:$AM$67,Data_Tech!$E$3:$E$67,"1",Data_Tech!$G$3:$G$67,"3/12",Data_Tech!$F$3:$F$67,B484)</f>
        <v>0</v>
      </c>
      <c r="P479" s="282">
        <f>ROUND(M479*N479*O479,2)</f>
        <v>0</v>
      </c>
      <c r="Q479" s="73">
        <f>IF(D479&lt;=3,база!$L$4,
IF(D479=4,база!$L$5,
IF(D479=5,база!$L$6)))</f>
        <v>210.57480000000001</v>
      </c>
      <c r="R479" s="270">
        <v>1</v>
      </c>
      <c r="S479" s="96">
        <f>SUMIFS(Таблица1[сумма],Таблица1[коэф],"1",Таблица1[р/р],"3/16",Таблица1[Ф. И. О.],B484)</f>
        <v>0</v>
      </c>
      <c r="T479" s="88">
        <f t="shared" ref="T479:T483" si="293">ROUND(Q479*R479*S479,2)</f>
        <v>0</v>
      </c>
      <c r="U479" s="349">
        <f>IF(D479&lt;=3,база!$M$4,
IF(D479=4,база!$M$5,
IF(D479=5,база!$M$6)))</f>
        <v>225.09719999999999</v>
      </c>
      <c r="V479" s="271">
        <v>1</v>
      </c>
      <c r="W479" s="337">
        <f>SUMIFS(Таблица1[сумма],Таблица1[коэф],"1",Таблица1[р/р],"3/24",Таблица1[Ф. И. О.],B484)</f>
        <v>0</v>
      </c>
      <c r="X479" s="342">
        <f>ROUND(U479*V479*W479,2)</f>
        <v>0</v>
      </c>
      <c r="Y479" s="849">
        <f t="shared" ref="Y479" si="294">SUM(G479:G489,K479:K489,O479:O489,S479:S489,W479:W489)</f>
        <v>0</v>
      </c>
      <c r="Z479" s="853">
        <f t="shared" ref="Z479" si="295">IFERROR(SUM(H479:H489,L479:L489,T479:T489,X479:X489),"")</f>
        <v>0</v>
      </c>
      <c r="AA479" s="843"/>
    </row>
    <row r="480" spans="1:30">
      <c r="A480" s="786"/>
      <c r="B480" s="216"/>
      <c r="C480" s="845"/>
      <c r="D480" s="847"/>
      <c r="E480" s="79">
        <f>IF(D479&lt;=3,база!$I$4,
IF(D479=4,база!$I$5,
IF(D479=5,база!$I$6)))</f>
        <v>188.7912</v>
      </c>
      <c r="F480" s="272">
        <v>1</v>
      </c>
      <c r="G480" s="99">
        <f>SUMIFS(Таблица1[сумма],Таблица1[коэф],"1",Таблица1[р/р],"3/4",Таблица1[Ф. И. О.],B484)</f>
        <v>0</v>
      </c>
      <c r="H480" s="95">
        <f>ROUND(E480*F480*G480,2)</f>
        <v>0</v>
      </c>
      <c r="I480" s="334">
        <f>IF(D479&lt;=3,база!$J$4,
IF(D479=4,база!$J$5,
IF(D479=5,база!$J$6)))</f>
        <v>196.05240000000001</v>
      </c>
      <c r="J480" s="279">
        <v>1</v>
      </c>
      <c r="K480" s="217"/>
      <c r="L480" s="217">
        <f>ROUND(I480*J480*K480,2)</f>
        <v>0</v>
      </c>
      <c r="M480" s="217"/>
      <c r="N480" s="217">
        <v>1</v>
      </c>
      <c r="O480" s="217">
        <f>SUMIFS(Data_Tech!$AM$3:$AM$67,Data_Tech!$E$3:$E$67,"1",Data_Tech!$G$3:$G$67,"4/12",Data_Tech!$F$3:$F$67,B484)</f>
        <v>0</v>
      </c>
      <c r="P480" s="30">
        <f>ROUND(M480*O480,2)</f>
        <v>0</v>
      </c>
      <c r="Q480" s="79">
        <f>база!$L$5</f>
        <v>231.45480000000001</v>
      </c>
      <c r="R480" s="272">
        <v>1</v>
      </c>
      <c r="S480" s="99">
        <f>SUMIFS(Таблица1[сумма],Таблица1[коэф],"1",Таблица1[р/р],"4/16",Таблица1[Ф. И. О.],B484)</f>
        <v>0</v>
      </c>
      <c r="T480" s="95">
        <f t="shared" si="293"/>
        <v>0</v>
      </c>
      <c r="U480" s="314">
        <f>база!$M$5</f>
        <v>247.41720000000001</v>
      </c>
      <c r="V480" s="272">
        <v>1</v>
      </c>
      <c r="W480" s="307">
        <f>SUMIFS(Таблица1[сумма],Таблица1[коэф],"1",Таблица1[р/р],"4/24",Таблица1[Ф. И. О.],B484)</f>
        <v>0</v>
      </c>
      <c r="X480" s="313">
        <f t="shared" ref="X480" si="296">ROUND(U480*V480*W480,2)</f>
        <v>0</v>
      </c>
      <c r="Y480" s="849"/>
      <c r="Z480" s="840"/>
      <c r="AA480" s="843"/>
    </row>
    <row r="481" spans="1:30">
      <c r="A481" s="786"/>
      <c r="B481" s="216"/>
      <c r="C481" s="845"/>
      <c r="D481" s="847"/>
      <c r="E481" s="79"/>
      <c r="F481" s="272"/>
      <c r="G481" s="99"/>
      <c r="H481" s="95"/>
      <c r="I481" s="334"/>
      <c r="J481" s="279"/>
      <c r="K481" s="217"/>
      <c r="L481" s="217"/>
      <c r="M481" s="217"/>
      <c r="N481" s="217"/>
      <c r="O481" s="217"/>
      <c r="P481" s="30"/>
      <c r="Q481" s="79">
        <f>база!$L$6</f>
        <v>261.04640000000001</v>
      </c>
      <c r="R481" s="272">
        <v>1</v>
      </c>
      <c r="S481" s="99">
        <f>SUMIFS(Таблица1[сумма],Таблица1[коэф],"1",Таблица1[р/р],"5/16",Таблица1[Ф. И. О.],B484)</f>
        <v>0</v>
      </c>
      <c r="T481" s="95">
        <f t="shared" si="293"/>
        <v>0</v>
      </c>
      <c r="U481" s="314">
        <f>база!$M$6</f>
        <v>279.0496</v>
      </c>
      <c r="V481" s="272">
        <v>1</v>
      </c>
      <c r="W481" s="307">
        <f>SUMIFS(Таблица1[сумма],Таблица1[коэф],"1",Таблица1[р/р],"5/24",Таблица1[Ф. И. О.],B484)</f>
        <v>0</v>
      </c>
      <c r="X481" s="313">
        <f>ROUND(U481*V481*W481,2)</f>
        <v>0</v>
      </c>
      <c r="Y481" s="849"/>
      <c r="Z481" s="840"/>
      <c r="AA481" s="843"/>
    </row>
    <row r="482" spans="1:30">
      <c r="A482" s="786"/>
      <c r="B482" s="216"/>
      <c r="C482" s="845"/>
      <c r="D482" s="847"/>
      <c r="E482" s="79"/>
      <c r="F482" s="272"/>
      <c r="G482" s="99"/>
      <c r="H482" s="95"/>
      <c r="I482" s="334">
        <f>база!$J$5</f>
        <v>215.4924</v>
      </c>
      <c r="J482" s="279">
        <v>1.5</v>
      </c>
      <c r="K482" s="217">
        <f>SUMIFS(Таблица1[сумма],Таблица1[коэф],"1,5",Таблица1[р/р],"4/8",Таблица1[Ф. И. О.],B484)</f>
        <v>0</v>
      </c>
      <c r="L482" s="217">
        <f>ROUND(I482*J482*K482,2)</f>
        <v>0</v>
      </c>
      <c r="M482" s="217"/>
      <c r="N482" s="217"/>
      <c r="O482" s="217"/>
      <c r="P482" s="30"/>
      <c r="Q482" s="79">
        <f>IF(D479&lt;=3,база!$L$4,
IF(D479=4,база!$L$5,
IF(D479=5,база!$L$6)))</f>
        <v>210.57480000000001</v>
      </c>
      <c r="R482" s="272">
        <v>1.2</v>
      </c>
      <c r="S482" s="99">
        <f>SUMIFS(Таблица1[сумма],Таблица1[коэф],"1,2",Таблица1[р/р],"3/16",Таблица1[Ф. И. О.],B484)</f>
        <v>0</v>
      </c>
      <c r="T482" s="95">
        <f t="shared" si="293"/>
        <v>0</v>
      </c>
      <c r="U482" s="314">
        <f>IF(D479&lt;=3,база!$M$4,
IF(D479=4,база!$M$5,
IF(D479=5,база!$M$6)))</f>
        <v>225.09719999999999</v>
      </c>
      <c r="V482" s="272">
        <v>1.2</v>
      </c>
      <c r="W482" s="307">
        <f>SUMIFS(Таблица1[сумма],Таблица1[коэф],"1,2",Таблица1[р/р],"3/24",Таблица1[Ф. И. О.],B484)</f>
        <v>0</v>
      </c>
      <c r="X482" s="313">
        <f t="shared" ref="X482:X483" si="297">ROUND(U482*V482*W482,2)</f>
        <v>0</v>
      </c>
      <c r="Y482" s="849"/>
      <c r="Z482" s="840"/>
      <c r="AA482" s="843"/>
    </row>
    <row r="483" spans="1:30">
      <c r="A483" s="786"/>
      <c r="B483" s="216"/>
      <c r="C483" s="845"/>
      <c r="D483" s="847"/>
      <c r="E483" s="79"/>
      <c r="F483" s="272"/>
      <c r="G483" s="99"/>
      <c r="H483" s="95"/>
      <c r="I483" s="334">
        <f>база!$J$6</f>
        <v>243.04319999999998</v>
      </c>
      <c r="J483" s="279">
        <v>1.5</v>
      </c>
      <c r="K483" s="217">
        <f>SUMIFS(Таблица1[сумма],Таблица1[коэф],"1,5",Таблица1[р/р],"5/8",Таблица1[Ф. И. О.],B484)</f>
        <v>0</v>
      </c>
      <c r="L483" s="217">
        <f>ROUND(I483*J483*K483,2)</f>
        <v>0</v>
      </c>
      <c r="M483" s="217"/>
      <c r="N483" s="217"/>
      <c r="O483" s="217"/>
      <c r="P483" s="30"/>
      <c r="Q483" s="79">
        <f>база!$L$5</f>
        <v>231.45480000000001</v>
      </c>
      <c r="R483" s="272">
        <v>1.2</v>
      </c>
      <c r="S483" s="99">
        <f>SUMIFS(Таблица1[сумма],Таблица1[коэф],"1,2",Таблица1[р/р],"4/16",Таблица1[Ф. И. О.],B484)</f>
        <v>0</v>
      </c>
      <c r="T483" s="95">
        <f t="shared" si="293"/>
        <v>0</v>
      </c>
      <c r="U483" s="314">
        <f>база!$M$5</f>
        <v>247.41720000000001</v>
      </c>
      <c r="V483" s="272">
        <v>1.2</v>
      </c>
      <c r="W483" s="307">
        <f>SUMIFS(Таблица1[сумма],Таблица1[коэф],"1,2",Таблица1[р/р],"4/24",Таблица1[Ф. И. О.],B484)</f>
        <v>0</v>
      </c>
      <c r="X483" s="313">
        <f t="shared" si="297"/>
        <v>0</v>
      </c>
      <c r="Y483" s="849"/>
      <c r="Z483" s="840"/>
      <c r="AA483" s="843"/>
      <c r="AC483" s="722" t="str">
        <f>IF(SUMIFS(Таблица1[Столбец2],Таблица1[Ф. И. О.],B484)-Z479=0,"",SUMIFS(Таблица1[Столбец2],Таблица1[Ф. И. О.],B484)-Z479)</f>
        <v/>
      </c>
    </row>
    <row r="484" spans="1:30">
      <c r="A484" s="786"/>
      <c r="B484" s="216" t="str">
        <f>база!B45</f>
        <v>Маргиева Фатима Александровна</v>
      </c>
      <c r="C484" s="845"/>
      <c r="D484" s="847"/>
      <c r="E484" s="79"/>
      <c r="F484" s="272"/>
      <c r="G484" s="99"/>
      <c r="H484" s="95"/>
      <c r="I484" s="334"/>
      <c r="J484" s="279"/>
      <c r="K484" s="217"/>
      <c r="L484" s="217"/>
      <c r="M484" s="217"/>
      <c r="N484" s="217"/>
      <c r="O484" s="217"/>
      <c r="P484" s="30"/>
      <c r="Q484" s="79">
        <f>база!$L$6</f>
        <v>261.04640000000001</v>
      </c>
      <c r="R484" s="272">
        <v>1.2</v>
      </c>
      <c r="S484" s="99">
        <f>SUMIFS(Таблица1[сумма],Таблица1[коэф],"1,2",Таблица1[р/р],"5/16",Таблица1[Ф. И. О.],B484)</f>
        <v>0</v>
      </c>
      <c r="T484" s="95">
        <f>ROUND(Q484*R484*S484,2)</f>
        <v>0</v>
      </c>
      <c r="U484" s="314">
        <f>база!$M$6</f>
        <v>279.0496</v>
      </c>
      <c r="V484" s="272">
        <v>1.2</v>
      </c>
      <c r="W484" s="307">
        <f>SUMIFS(Таблица1[сумма],Таблица1[коэф],"1,2",Таблица1[р/р],"5/24",Таблица1[Ф. И. О.],B484)</f>
        <v>0</v>
      </c>
      <c r="X484" s="313">
        <f>ROUND(U484*V484*W484,2)</f>
        <v>0</v>
      </c>
      <c r="Y484" s="849"/>
      <c r="Z484" s="840"/>
      <c r="AA484" s="843"/>
      <c r="AC484" s="722" t="str">
        <f>IF(SUMIFS(Таблица1[сумма],Таблица1[Ф. И. О.],B484)=Y479,"",B479&amp;"  часы не верны")</f>
        <v/>
      </c>
      <c r="AD484" s="759">
        <f>INDEX('[2]декабрь 23'!$AI$4:$AI$100,MATCH(C479,'[2]декабрь 23'!$AK$4:$AK$100,0))</f>
        <v>28.8</v>
      </c>
    </row>
    <row r="485" spans="1:30">
      <c r="A485" s="786"/>
      <c r="B485" s="216"/>
      <c r="C485" s="845"/>
      <c r="D485" s="847"/>
      <c r="E485" s="79"/>
      <c r="F485" s="272"/>
      <c r="G485" s="99"/>
      <c r="H485" s="95"/>
      <c r="I485" s="334"/>
      <c r="J485" s="279"/>
      <c r="K485" s="217"/>
      <c r="L485" s="217"/>
      <c r="M485" s="217"/>
      <c r="N485" s="217"/>
      <c r="O485" s="217"/>
      <c r="P485" s="30"/>
      <c r="Q485" s="79">
        <f>IF($D$6&lt;=3,база!$L$4,
IF($D$6=4,база!$L$5,
IF($D$6=5,база!$L$6)))</f>
        <v>231.45480000000001</v>
      </c>
      <c r="R485" s="272">
        <v>1.3</v>
      </c>
      <c r="S485" s="99">
        <f>SUMIFS(Таблица1[сумма],Таблица1[коэф],"1,3",Таблица1[р/р],"3/16",Таблица1[Ф. И. О.],B484)</f>
        <v>0</v>
      </c>
      <c r="T485" s="95">
        <f t="shared" ref="T485:T486" si="298">ROUND(Q485*R485*S485,2)</f>
        <v>0</v>
      </c>
      <c r="U485" s="314">
        <f>IF(D479&lt;=3,база!$M$4,
IF(D479=4,база!$M$5,
IF(D479=5,база!$M$6)))</f>
        <v>225.09719999999999</v>
      </c>
      <c r="V485" s="272">
        <v>1.3</v>
      </c>
      <c r="W485" s="307">
        <f>SUMIFS(Таблица1[сумма],Таблица1[коэф],"1,3",Таблица1[р/р],"3/24",Таблица1[Ф. И. О.],B484)</f>
        <v>0</v>
      </c>
      <c r="X485" s="313">
        <f t="shared" ref="X485:X486" si="299">ROUND(U485*V485*W485,2)</f>
        <v>0</v>
      </c>
      <c r="Y485" s="849"/>
      <c r="Z485" s="840"/>
      <c r="AA485" s="843"/>
    </row>
    <row r="486" spans="1:30">
      <c r="A486" s="786"/>
      <c r="B486" s="216"/>
      <c r="C486" s="845"/>
      <c r="D486" s="847"/>
      <c r="E486" s="79"/>
      <c r="F486" s="272"/>
      <c r="G486" s="99"/>
      <c r="H486" s="95"/>
      <c r="I486" s="334"/>
      <c r="J486" s="279"/>
      <c r="K486" s="217"/>
      <c r="L486" s="217"/>
      <c r="M486" s="217"/>
      <c r="N486" s="217"/>
      <c r="O486" s="217"/>
      <c r="P486" s="30"/>
      <c r="Q486" s="79">
        <f>база!$L$5</f>
        <v>231.45480000000001</v>
      </c>
      <c r="R486" s="272">
        <v>1.3</v>
      </c>
      <c r="S486" s="99">
        <f>SUMIFS(Таблица1[сумма],Таблица1[коэф],"1,3",Таблица1[р/р],"4/16",Таблица1[Ф. И. О.],B484)</f>
        <v>0</v>
      </c>
      <c r="T486" s="95">
        <f t="shared" si="298"/>
        <v>0</v>
      </c>
      <c r="U486" s="314">
        <f>база!$M$5</f>
        <v>247.41720000000001</v>
      </c>
      <c r="V486" s="272">
        <v>1.3</v>
      </c>
      <c r="W486" s="307">
        <f>SUMIFS(Таблица1[сумма],Таблица1[коэф],"1,3",Таблица1[р/р],"4/24",Таблица1[Ф. И. О.],B484)</f>
        <v>0</v>
      </c>
      <c r="X486" s="313">
        <f t="shared" si="299"/>
        <v>0</v>
      </c>
      <c r="Y486" s="849"/>
      <c r="Z486" s="840"/>
      <c r="AA486" s="843"/>
    </row>
    <row r="487" spans="1:30">
      <c r="A487" s="786"/>
      <c r="B487" s="216"/>
      <c r="C487" s="845"/>
      <c r="D487" s="847"/>
      <c r="E487" s="79"/>
      <c r="F487" s="272"/>
      <c r="G487" s="99"/>
      <c r="H487" s="95"/>
      <c r="I487" s="334"/>
      <c r="J487" s="279"/>
      <c r="K487" s="217"/>
      <c r="L487" s="217"/>
      <c r="M487" s="217"/>
      <c r="N487" s="217"/>
      <c r="O487" s="217"/>
      <c r="P487" s="30"/>
      <c r="Q487" s="79">
        <f>IF(D479&lt;=3,база!$L$4,
IF(D479=4,база!$L$5,
IF(D479=5,база!$L$6)))</f>
        <v>210.57480000000001</v>
      </c>
      <c r="R487" s="272">
        <v>1.4</v>
      </c>
      <c r="S487" s="99">
        <f>SUMIFS(Таблица1[сумма],Таблица1[коэф],"1,4",Таблица1[р/р],"3/16",Таблица1[Ф. И. О.],B484)</f>
        <v>0</v>
      </c>
      <c r="T487" s="95">
        <f>ROUND(Q487*R487*S487,2)</f>
        <v>0</v>
      </c>
      <c r="U487" s="314">
        <f>IF(D479&lt;=3,база!$M$4,
IF(D479=4,база!$M$5,
IF(D479=5,база!$M$6)))</f>
        <v>225.09719999999999</v>
      </c>
      <c r="V487" s="272">
        <v>1.4</v>
      </c>
      <c r="W487" s="307">
        <f>SUMIFS(Таблица1[сумма],Таблица1[коэф],"1,4",Таблица1[р/р],"3/24",Таблица1[Ф. И. О.],B484)</f>
        <v>0</v>
      </c>
      <c r="X487" s="313">
        <f>ROUND(U487*V487*W487,2)</f>
        <v>0</v>
      </c>
      <c r="Y487" s="849"/>
      <c r="Z487" s="840"/>
      <c r="AA487" s="843"/>
    </row>
    <row r="488" spans="1:30">
      <c r="A488" s="786"/>
      <c r="B488" s="216"/>
      <c r="C488" s="845"/>
      <c r="D488" s="847"/>
      <c r="E488" s="79"/>
      <c r="F488" s="272"/>
      <c r="G488" s="99"/>
      <c r="H488" s="95"/>
      <c r="I488" s="334"/>
      <c r="J488" s="279"/>
      <c r="K488" s="217"/>
      <c r="L488" s="217"/>
      <c r="M488" s="217"/>
      <c r="N488" s="217"/>
      <c r="O488" s="217"/>
      <c r="P488" s="30"/>
      <c r="Q488" s="79">
        <f>база!$L$5</f>
        <v>231.45480000000001</v>
      </c>
      <c r="R488" s="272">
        <v>1.4</v>
      </c>
      <c r="S488" s="99">
        <f>SUMIFS(Таблица1[сумма],Таблица1[коэф],"1,4",Таблица1[р/р],"4/16",Таблица1[Ф. И. О.],B484)</f>
        <v>0</v>
      </c>
      <c r="T488" s="95">
        <f>ROUND(Q488*R488*S488,2)</f>
        <v>0</v>
      </c>
      <c r="U488" s="314">
        <f>база!$M$5</f>
        <v>247.41720000000001</v>
      </c>
      <c r="V488" s="272">
        <v>1.4</v>
      </c>
      <c r="W488" s="307">
        <f>SUMIFS(Таблица1[сумма],Таблица1[коэф],"1,4",Таблица1[р/р],"4/24",Таблица1[Ф. И. О.],B484)</f>
        <v>0</v>
      </c>
      <c r="X488" s="313">
        <f>ROUND(U488*V488*W488,2)</f>
        <v>0</v>
      </c>
      <c r="Y488" s="849"/>
      <c r="Z488" s="840"/>
      <c r="AA488" s="843"/>
    </row>
    <row r="489" spans="1:30" ht="24" thickBot="1">
      <c r="A489" s="787"/>
      <c r="B489" s="352"/>
      <c r="C489" s="846"/>
      <c r="D489" s="848"/>
      <c r="E489" s="75"/>
      <c r="F489" s="271"/>
      <c r="G489" s="89"/>
      <c r="H489" s="103"/>
      <c r="I489" s="24"/>
      <c r="J489" s="278"/>
      <c r="K489" s="22"/>
      <c r="L489" s="309"/>
      <c r="M489" s="24"/>
      <c r="N489" s="22"/>
      <c r="O489" s="22"/>
      <c r="P489" s="282"/>
      <c r="Q489" s="72">
        <f>база!$L$6</f>
        <v>261.04640000000001</v>
      </c>
      <c r="R489" s="271">
        <v>1.4</v>
      </c>
      <c r="S489" s="97">
        <f>SUMIFS(Таблица1[сумма],Таблица1[коэф],"1,4",Таблица1[р/р],"5/16",Таблица1[Ф. И. О.],B484)</f>
        <v>0</v>
      </c>
      <c r="T489" s="103">
        <f>ROUND(Q489*R489*S489,2)</f>
        <v>0</v>
      </c>
      <c r="U489" s="82">
        <f>база!$M$6</f>
        <v>279.0496</v>
      </c>
      <c r="V489" s="272">
        <v>1.4</v>
      </c>
      <c r="W489" s="97">
        <f>SUMIFS(Таблица1[сумма],Таблица1[коэф],"1,4",Таблица1[р/р],"5/24",Таблица1[Ф. И. О.],B484)</f>
        <v>0</v>
      </c>
      <c r="X489" s="103">
        <f>ROUND(U489*V489*W489,2)</f>
        <v>0</v>
      </c>
      <c r="Y489" s="850"/>
      <c r="Z489" s="841"/>
      <c r="AA489" s="844"/>
    </row>
    <row r="490" spans="1:30">
      <c r="A490" s="785">
        <v>45</v>
      </c>
      <c r="B490" s="216"/>
      <c r="C490" s="851">
        <f>INDEX(база!$E$2:$E$81, MATCH(B495,база!$B$2:$B$50,0))</f>
        <v>16779</v>
      </c>
      <c r="D490" s="852">
        <f>INDEX(база!$D$2:$D$89, MATCH(B495,база!$B$2:$B$50,0))</f>
        <v>3</v>
      </c>
      <c r="E490" s="73">
        <f>IF(D490&lt;=3,база!$I$4,
IF(D490=4,база!$I$5,
IF(D490=5,база!$I$6)))</f>
        <v>188.7912</v>
      </c>
      <c r="F490" s="270">
        <v>1</v>
      </c>
      <c r="G490" s="96">
        <f>SUMIFS(Таблица1[сумма],Таблица1[коэф],"1",Таблица1[р/р],"2/4",Таблица1[Ф. И. О.],B495)</f>
        <v>0</v>
      </c>
      <c r="H490" s="88">
        <f>ROUND(E490*F490*G490,2)</f>
        <v>0</v>
      </c>
      <c r="I490" s="344">
        <f>IF(D490&lt;=3,база!$J$4,
IF(D490=4,база!$J$5,
IF(D490=5,база!$J$6)))</f>
        <v>196.05240000000001</v>
      </c>
      <c r="J490" s="278">
        <v>1</v>
      </c>
      <c r="K490" s="309">
        <f>SUMIFS(Таблица1[сумма],Таблица1[коэф],"1",Таблица1[р/р],"2/8",Таблица1[Ф. И. О.],B495)</f>
        <v>0</v>
      </c>
      <c r="L490" s="309">
        <f>ROUND(I490*J490*K490,2)</f>
        <v>0</v>
      </c>
      <c r="M490" s="309"/>
      <c r="N490" s="309">
        <v>1</v>
      </c>
      <c r="O490" s="309">
        <f>SUMIFS(Data_Tech!$AM$3:$AM$67,Data_Tech!$E$3:$E$67,"1",Data_Tech!$G$3:$G$67,"3/12",Data_Tech!$F$3:$F$67,B495)</f>
        <v>0</v>
      </c>
      <c r="P490" s="282">
        <f>ROUND(M490*N490*O490,2)</f>
        <v>0</v>
      </c>
      <c r="Q490" s="73">
        <f>IF(D490&lt;=3,база!$L$4,
IF(D490=4,база!$L$5,
IF(D490=5,база!$L$6)))</f>
        <v>210.57480000000001</v>
      </c>
      <c r="R490" s="270">
        <v>1</v>
      </c>
      <c r="S490" s="96">
        <f>SUMIFS(Таблица1[сумма],Таблица1[коэф],"1",Таблица1[р/р],"3/16",Таблица1[Ф. И. О.],B495)</f>
        <v>0</v>
      </c>
      <c r="T490" s="88">
        <f t="shared" ref="T490:T494" si="300">ROUND(Q490*R490*S490,2)</f>
        <v>0</v>
      </c>
      <c r="U490" s="349">
        <f>IF(D490&lt;=3,база!$M$4,
IF(D490=4,база!$M$5,
IF(D490=5,база!$M$6)))</f>
        <v>225.09719999999999</v>
      </c>
      <c r="V490" s="271">
        <v>1</v>
      </c>
      <c r="W490" s="337">
        <f>SUMIFS(Таблица1[сумма],Таблица1[коэф],"1",Таблица1[р/р],"3/24",Таблица1[Ф. И. О.],B495)</f>
        <v>0</v>
      </c>
      <c r="X490" s="342">
        <f>ROUND(U490*V490*W490,2)</f>
        <v>0</v>
      </c>
      <c r="Y490" s="849">
        <f t="shared" ref="Y490" si="301">SUM(G490:G500,K490:K500,O490:O500,S490:S500,W490:W500)</f>
        <v>0</v>
      </c>
      <c r="Z490" s="853">
        <f t="shared" ref="Z490" si="302">IFERROR(SUM(H490:H500,L490:L500,T490:T500,X490:X500),"")</f>
        <v>0</v>
      </c>
      <c r="AA490" s="843"/>
    </row>
    <row r="491" spans="1:30">
      <c r="A491" s="786"/>
      <c r="B491" s="216"/>
      <c r="C491" s="845"/>
      <c r="D491" s="847"/>
      <c r="E491" s="79">
        <f>IF(D490&lt;=3,база!$I$4,
IF(D490=4,база!$I$5,
IF(D490=5,база!$I$6)))</f>
        <v>188.7912</v>
      </c>
      <c r="F491" s="272">
        <v>1</v>
      </c>
      <c r="G491" s="99">
        <f>SUMIFS(Таблица1[сумма],Таблица1[коэф],"1",Таблица1[р/р],"3/4",Таблица1[Ф. И. О.],B495)</f>
        <v>0</v>
      </c>
      <c r="H491" s="95">
        <f>ROUND(E491*F491*G491,2)</f>
        <v>0</v>
      </c>
      <c r="I491" s="334">
        <f>IF(D490&lt;=3,база!$J$4,
IF(D490=4,база!$J$5,
IF(D490=5,база!$J$6)))</f>
        <v>196.05240000000001</v>
      </c>
      <c r="J491" s="279">
        <v>1</v>
      </c>
      <c r="K491" s="217"/>
      <c r="L491" s="217">
        <f>ROUND(I491*J491*K491,2)</f>
        <v>0</v>
      </c>
      <c r="M491" s="217"/>
      <c r="N491" s="217">
        <v>1</v>
      </c>
      <c r="O491" s="217">
        <f>SUMIFS(Data_Tech!$AM$3:$AM$67,Data_Tech!$E$3:$E$67,"1",Data_Tech!$G$3:$G$67,"4/12",Data_Tech!$F$3:$F$67,B495)</f>
        <v>0</v>
      </c>
      <c r="P491" s="30">
        <f>ROUND(M491*O491,2)</f>
        <v>0</v>
      </c>
      <c r="Q491" s="79">
        <f>база!$L$5</f>
        <v>231.45480000000001</v>
      </c>
      <c r="R491" s="272">
        <v>1</v>
      </c>
      <c r="S491" s="99">
        <f>SUMIFS(Таблица1[сумма],Таблица1[коэф],"1",Таблица1[р/р],"4/16",Таблица1[Ф. И. О.],B495)</f>
        <v>0</v>
      </c>
      <c r="T491" s="95">
        <f t="shared" si="300"/>
        <v>0</v>
      </c>
      <c r="U491" s="314">
        <f>база!$M$5</f>
        <v>247.41720000000001</v>
      </c>
      <c r="V491" s="272">
        <v>1</v>
      </c>
      <c r="W491" s="307">
        <f>SUMIFS(Таблица1[сумма],Таблица1[коэф],"1",Таблица1[р/р],"4/24",Таблица1[Ф. И. О.],B495)</f>
        <v>0</v>
      </c>
      <c r="X491" s="313">
        <f t="shared" ref="X491" si="303">ROUND(U491*V491*W491,2)</f>
        <v>0</v>
      </c>
      <c r="Y491" s="849"/>
      <c r="Z491" s="840"/>
      <c r="AA491" s="843"/>
    </row>
    <row r="492" spans="1:30">
      <c r="A492" s="786"/>
      <c r="B492" s="216"/>
      <c r="C492" s="845"/>
      <c r="D492" s="847"/>
      <c r="E492" s="79"/>
      <c r="F492" s="272"/>
      <c r="G492" s="99"/>
      <c r="H492" s="95"/>
      <c r="I492" s="334"/>
      <c r="J492" s="279"/>
      <c r="K492" s="217"/>
      <c r="L492" s="217"/>
      <c r="M492" s="217"/>
      <c r="N492" s="217"/>
      <c r="O492" s="217"/>
      <c r="P492" s="30"/>
      <c r="Q492" s="79">
        <f>база!$L$6</f>
        <v>261.04640000000001</v>
      </c>
      <c r="R492" s="272">
        <v>1</v>
      </c>
      <c r="S492" s="99">
        <f>SUMIFS(Таблица1[сумма],Таблица1[коэф],"1",Таблица1[р/р],"5/16",Таблица1[Ф. И. О.],B495)</f>
        <v>0</v>
      </c>
      <c r="T492" s="95">
        <f t="shared" si="300"/>
        <v>0</v>
      </c>
      <c r="U492" s="314">
        <f>база!$M$6</f>
        <v>279.0496</v>
      </c>
      <c r="V492" s="272">
        <v>1</v>
      </c>
      <c r="W492" s="307">
        <f>SUMIFS(Таблица1[сумма],Таблица1[коэф],"1",Таблица1[р/р],"5/24",Таблица1[Ф. И. О.],B495)</f>
        <v>0</v>
      </c>
      <c r="X492" s="313">
        <f>ROUND(U492*V492*W492,2)</f>
        <v>0</v>
      </c>
      <c r="Y492" s="849"/>
      <c r="Z492" s="840"/>
      <c r="AA492" s="843"/>
    </row>
    <row r="493" spans="1:30">
      <c r="A493" s="786"/>
      <c r="B493" s="216"/>
      <c r="C493" s="845"/>
      <c r="D493" s="847"/>
      <c r="E493" s="79"/>
      <c r="F493" s="272"/>
      <c r="G493" s="99"/>
      <c r="H493" s="95"/>
      <c r="I493" s="334">
        <f>база!$J$5</f>
        <v>215.4924</v>
      </c>
      <c r="J493" s="279">
        <v>1.5</v>
      </c>
      <c r="K493" s="217">
        <f>SUMIFS(Таблица1[сумма],Таблица1[коэф],"1,5",Таблица1[р/р],"4/8",Таблица1[Ф. И. О.],B495)</f>
        <v>0</v>
      </c>
      <c r="L493" s="217">
        <f>ROUND(I493*J493*K493,2)</f>
        <v>0</v>
      </c>
      <c r="M493" s="217"/>
      <c r="N493" s="217"/>
      <c r="O493" s="217"/>
      <c r="P493" s="30"/>
      <c r="Q493" s="79">
        <f>IF(D490&lt;=3,база!$L$4,
IF(D490=4,база!$L$5,
IF(D490=5,база!$L$6)))</f>
        <v>210.57480000000001</v>
      </c>
      <c r="R493" s="272">
        <v>1.2</v>
      </c>
      <c r="S493" s="99">
        <f>SUMIFS(Таблица1[сумма],Таблица1[коэф],"1,2",Таблица1[р/р],"3/16",Таблица1[Ф. И. О.],B495)</f>
        <v>0</v>
      </c>
      <c r="T493" s="95">
        <f t="shared" si="300"/>
        <v>0</v>
      </c>
      <c r="U493" s="314">
        <f>IF(D490&lt;=3,база!$M$4,
IF(D490=4,база!$M$5,
IF(D490=5,база!$M$6)))</f>
        <v>225.09719999999999</v>
      </c>
      <c r="V493" s="272">
        <v>1.2</v>
      </c>
      <c r="W493" s="307">
        <f>SUMIFS(Таблица1[сумма],Таблица1[коэф],"1,2",Таблица1[р/р],"3/24",Таблица1[Ф. И. О.],B495)</f>
        <v>0</v>
      </c>
      <c r="X493" s="313">
        <f t="shared" ref="X493:X494" si="304">ROUND(U493*V493*W493,2)</f>
        <v>0</v>
      </c>
      <c r="Y493" s="849"/>
      <c r="Z493" s="840"/>
      <c r="AA493" s="843"/>
    </row>
    <row r="494" spans="1:30">
      <c r="A494" s="786"/>
      <c r="B494" s="216"/>
      <c r="C494" s="845"/>
      <c r="D494" s="847"/>
      <c r="E494" s="79"/>
      <c r="F494" s="272"/>
      <c r="G494" s="99"/>
      <c r="H494" s="95"/>
      <c r="I494" s="334">
        <f>база!$J$6</f>
        <v>243.04319999999998</v>
      </c>
      <c r="J494" s="279">
        <v>1.5</v>
      </c>
      <c r="K494" s="217">
        <f>SUMIFS(Таблица1[сумма],Таблица1[коэф],"1,5",Таблица1[р/р],"5/8",Таблица1[Ф. И. О.],B495)</f>
        <v>0</v>
      </c>
      <c r="L494" s="217">
        <f>ROUND(I494*J494*K494,2)</f>
        <v>0</v>
      </c>
      <c r="M494" s="217"/>
      <c r="N494" s="217"/>
      <c r="O494" s="217"/>
      <c r="P494" s="30"/>
      <c r="Q494" s="79">
        <f>база!$L$5</f>
        <v>231.45480000000001</v>
      </c>
      <c r="R494" s="272">
        <v>1.2</v>
      </c>
      <c r="S494" s="99">
        <f>SUMIFS(Таблица1[сумма],Таблица1[коэф],"1,2",Таблица1[р/р],"4/16",Таблица1[Ф. И. О.],B495)</f>
        <v>0</v>
      </c>
      <c r="T494" s="95">
        <f t="shared" si="300"/>
        <v>0</v>
      </c>
      <c r="U494" s="314">
        <f>база!$M$5</f>
        <v>247.41720000000001</v>
      </c>
      <c r="V494" s="272">
        <v>1.2</v>
      </c>
      <c r="W494" s="307">
        <f>SUMIFS(Таблица1[сумма],Таблица1[коэф],"1,2",Таблица1[р/р],"4/24",Таблица1[Ф. И. О.],B495)</f>
        <v>0</v>
      </c>
      <c r="X494" s="313">
        <f t="shared" si="304"/>
        <v>0</v>
      </c>
      <c r="Y494" s="849"/>
      <c r="Z494" s="840"/>
      <c r="AA494" s="843"/>
      <c r="AC494" s="722" t="str">
        <f>IF(SUMIFS(Таблица1[Столбец2],Таблица1[Ф. И. О.],B495)-Z490=0,"",SUMIFS(Таблица1[Столбец2],Таблица1[Ф. И. О.],B495)-Z490)</f>
        <v/>
      </c>
    </row>
    <row r="495" spans="1:30">
      <c r="A495" s="786"/>
      <c r="B495" s="216" t="str">
        <f>база!B46</f>
        <v>Маркова Ольга Евгеньевна</v>
      </c>
      <c r="C495" s="845"/>
      <c r="D495" s="847"/>
      <c r="E495" s="79"/>
      <c r="F495" s="272"/>
      <c r="G495" s="99"/>
      <c r="H495" s="95"/>
      <c r="I495" s="334"/>
      <c r="J495" s="279"/>
      <c r="K495" s="217"/>
      <c r="L495" s="217"/>
      <c r="M495" s="217"/>
      <c r="N495" s="217"/>
      <c r="O495" s="217"/>
      <c r="P495" s="30"/>
      <c r="Q495" s="79">
        <f>база!$L$6</f>
        <v>261.04640000000001</v>
      </c>
      <c r="R495" s="272">
        <v>1.2</v>
      </c>
      <c r="S495" s="99">
        <f>SUMIFS(Таблица1[сумма],Таблица1[коэф],"1,2",Таблица1[р/р],"5/16",Таблица1[Ф. И. О.],B495)</f>
        <v>0</v>
      </c>
      <c r="T495" s="95">
        <f>ROUND(Q495*R495*S495,2)</f>
        <v>0</v>
      </c>
      <c r="U495" s="314">
        <f>база!$M$6</f>
        <v>279.0496</v>
      </c>
      <c r="V495" s="272">
        <v>1.2</v>
      </c>
      <c r="W495" s="307">
        <f>SUMIFS(Таблица1[сумма],Таблица1[коэф],"1,2",Таблица1[р/р],"5/24",Таблица1[Ф. И. О.],B495)</f>
        <v>0</v>
      </c>
      <c r="X495" s="313">
        <f>ROUND(U495*V495*W495,2)</f>
        <v>0</v>
      </c>
      <c r="Y495" s="849"/>
      <c r="Z495" s="840"/>
      <c r="AA495" s="843"/>
      <c r="AC495" s="722" t="str">
        <f>IF(SUMIFS(Таблица1[сумма],Таблица1[Ф. И. О.],B495)=Y490,"",B490&amp;"  часы не верны")</f>
        <v/>
      </c>
      <c r="AD495" s="759">
        <f>INDEX('[2]декабрь 23'!$AI$4:$AI$100,MATCH(C490,'[2]декабрь 23'!$AK$4:$AK$100,0))</f>
        <v>57.600000000000009</v>
      </c>
    </row>
    <row r="496" spans="1:30">
      <c r="A496" s="786"/>
      <c r="B496" s="216"/>
      <c r="C496" s="845"/>
      <c r="D496" s="847"/>
      <c r="E496" s="79"/>
      <c r="F496" s="272"/>
      <c r="G496" s="99"/>
      <c r="H496" s="95"/>
      <c r="I496" s="334"/>
      <c r="J496" s="279"/>
      <c r="K496" s="217"/>
      <c r="L496" s="217"/>
      <c r="M496" s="217"/>
      <c r="N496" s="217"/>
      <c r="O496" s="217"/>
      <c r="P496" s="30"/>
      <c r="Q496" s="79">
        <f>IF($D$6&lt;=3,база!$L$4,
IF($D$6=4,база!$L$5,
IF($D$6=5,база!$L$6)))</f>
        <v>231.45480000000001</v>
      </c>
      <c r="R496" s="272">
        <v>1.3</v>
      </c>
      <c r="S496" s="99">
        <f>SUMIFS(Таблица1[сумма],Таблица1[коэф],"1,3",Таблица1[р/р],"3/16",Таблица1[Ф. И. О.],B495)</f>
        <v>0</v>
      </c>
      <c r="T496" s="95">
        <f t="shared" ref="T496:T497" si="305">ROUND(Q496*R496*S496,2)</f>
        <v>0</v>
      </c>
      <c r="U496" s="314">
        <f>IF(D490&lt;=3,база!$M$4,
IF(D490=4,база!$M$5,
IF(D490=5,база!$M$6)))</f>
        <v>225.09719999999999</v>
      </c>
      <c r="V496" s="272">
        <v>1.3</v>
      </c>
      <c r="W496" s="307">
        <f>SUMIFS(Таблица1[сумма],Таблица1[коэф],"1,3",Таблица1[р/р],"3/24",Таблица1[Ф. И. О.],B495)</f>
        <v>0</v>
      </c>
      <c r="X496" s="313">
        <f t="shared" ref="X496:X497" si="306">ROUND(U496*V496*W496,2)</f>
        <v>0</v>
      </c>
      <c r="Y496" s="849"/>
      <c r="Z496" s="840"/>
      <c r="AA496" s="843"/>
    </row>
    <row r="497" spans="1:30">
      <c r="A497" s="786"/>
      <c r="B497" s="216"/>
      <c r="C497" s="845"/>
      <c r="D497" s="847"/>
      <c r="E497" s="79"/>
      <c r="F497" s="272"/>
      <c r="G497" s="99"/>
      <c r="H497" s="95"/>
      <c r="I497" s="334"/>
      <c r="J497" s="279"/>
      <c r="K497" s="217"/>
      <c r="L497" s="217"/>
      <c r="M497" s="217"/>
      <c r="N497" s="217"/>
      <c r="O497" s="217"/>
      <c r="P497" s="30"/>
      <c r="Q497" s="79">
        <f>база!$L$5</f>
        <v>231.45480000000001</v>
      </c>
      <c r="R497" s="272">
        <v>1.3</v>
      </c>
      <c r="S497" s="99">
        <f>SUMIFS(Таблица1[сумма],Таблица1[коэф],"1,3",Таблица1[р/р],"4/16",Таблица1[Ф. И. О.],B495)</f>
        <v>0</v>
      </c>
      <c r="T497" s="95">
        <f t="shared" si="305"/>
        <v>0</v>
      </c>
      <c r="U497" s="314">
        <f>база!$M$5</f>
        <v>247.41720000000001</v>
      </c>
      <c r="V497" s="272">
        <v>1.3</v>
      </c>
      <c r="W497" s="307">
        <f>SUMIFS(Таблица1[сумма],Таблица1[коэф],"1,3",Таблица1[р/р],"4/24",Таблица1[Ф. И. О.],B495)</f>
        <v>0</v>
      </c>
      <c r="X497" s="313">
        <f t="shared" si="306"/>
        <v>0</v>
      </c>
      <c r="Y497" s="849"/>
      <c r="Z497" s="840"/>
      <c r="AA497" s="843"/>
    </row>
    <row r="498" spans="1:30">
      <c r="A498" s="786"/>
      <c r="B498" s="216"/>
      <c r="C498" s="845"/>
      <c r="D498" s="847"/>
      <c r="E498" s="79"/>
      <c r="F498" s="272"/>
      <c r="G498" s="99"/>
      <c r="H498" s="95"/>
      <c r="I498" s="334"/>
      <c r="J498" s="279"/>
      <c r="K498" s="217"/>
      <c r="L498" s="217"/>
      <c r="M498" s="217"/>
      <c r="N498" s="217"/>
      <c r="O498" s="217"/>
      <c r="P498" s="30"/>
      <c r="Q498" s="79">
        <f>IF(D490&lt;=3,база!$L$4,
IF(D490=4,база!$L$5,
IF(D490=5,база!$L$6)))</f>
        <v>210.57480000000001</v>
      </c>
      <c r="R498" s="272">
        <v>1.4</v>
      </c>
      <c r="S498" s="99">
        <f>SUMIFS(Таблица1[сумма],Таблица1[коэф],"1,4",Таблица1[р/р],"3/16",Таблица1[Ф. И. О.],B495)</f>
        <v>0</v>
      </c>
      <c r="T498" s="95">
        <f>ROUND(Q498*R498*S498,2)</f>
        <v>0</v>
      </c>
      <c r="U498" s="314">
        <f>IF(D490&lt;=3,база!$M$4,
IF(D490=4,база!$M$5,
IF(D490=5,база!$M$6)))</f>
        <v>225.09719999999999</v>
      </c>
      <c r="V498" s="272">
        <v>1.4</v>
      </c>
      <c r="W498" s="307">
        <f>SUMIFS(Таблица1[сумма],Таблица1[коэф],"1,4",Таблица1[р/р],"3/24",Таблица1[Ф. И. О.],B495)</f>
        <v>0</v>
      </c>
      <c r="X498" s="313">
        <f>ROUND(U498*V498*W498,2)</f>
        <v>0</v>
      </c>
      <c r="Y498" s="849"/>
      <c r="Z498" s="840"/>
      <c r="AA498" s="843"/>
    </row>
    <row r="499" spans="1:30">
      <c r="A499" s="786"/>
      <c r="B499" s="216"/>
      <c r="C499" s="845"/>
      <c r="D499" s="847"/>
      <c r="E499" s="79"/>
      <c r="F499" s="272"/>
      <c r="G499" s="99"/>
      <c r="H499" s="95"/>
      <c r="I499" s="334"/>
      <c r="J499" s="279"/>
      <c r="K499" s="217"/>
      <c r="L499" s="217"/>
      <c r="M499" s="217"/>
      <c r="N499" s="217"/>
      <c r="O499" s="217"/>
      <c r="P499" s="30"/>
      <c r="Q499" s="79">
        <f>база!$L$5</f>
        <v>231.45480000000001</v>
      </c>
      <c r="R499" s="272">
        <v>1.4</v>
      </c>
      <c r="S499" s="99">
        <f>SUMIFS(Таблица1[сумма],Таблица1[коэф],"1,4",Таблица1[р/р],"4/16",Таблица1[Ф. И. О.],B495)</f>
        <v>0</v>
      </c>
      <c r="T499" s="95">
        <f>ROUND(Q499*R499*S499,2)</f>
        <v>0</v>
      </c>
      <c r="U499" s="314">
        <f>база!$M$5</f>
        <v>247.41720000000001</v>
      </c>
      <c r="V499" s="272">
        <v>1.4</v>
      </c>
      <c r="W499" s="307">
        <f>SUMIFS(Таблица1[сумма],Таблица1[коэф],"1,4",Таблица1[р/р],"4/24",Таблица1[Ф. И. О.],B495)</f>
        <v>0</v>
      </c>
      <c r="X499" s="313">
        <f>ROUND(U499*V499*W499,2)</f>
        <v>0</v>
      </c>
      <c r="Y499" s="849"/>
      <c r="Z499" s="840"/>
      <c r="AA499" s="843"/>
    </row>
    <row r="500" spans="1:30" ht="24" thickBot="1">
      <c r="A500" s="787"/>
      <c r="B500" s="352"/>
      <c r="C500" s="846"/>
      <c r="D500" s="848"/>
      <c r="E500" s="75"/>
      <c r="F500" s="271"/>
      <c r="G500" s="89"/>
      <c r="H500" s="103"/>
      <c r="I500" s="633"/>
      <c r="J500" s="280"/>
      <c r="K500" s="628"/>
      <c r="L500" s="289"/>
      <c r="M500" s="627"/>
      <c r="N500" s="628"/>
      <c r="O500" s="628"/>
      <c r="P500" s="315"/>
      <c r="Q500" s="629">
        <f>база!$L$6</f>
        <v>261.04640000000001</v>
      </c>
      <c r="R500" s="274">
        <v>1.4</v>
      </c>
      <c r="S500" s="98">
        <f>SUMIFS(Таблица1[сумма],Таблица1[коэф],"1,4",Таблица1[р/р],"5/16",Таблица1[Ф. И. О.],B495)</f>
        <v>0</v>
      </c>
      <c r="T500" s="91">
        <f>ROUND(Q500*R500*S500,2)</f>
        <v>0</v>
      </c>
      <c r="U500" s="221">
        <f>база!$M$6</f>
        <v>279.0496</v>
      </c>
      <c r="V500" s="274">
        <v>1.4</v>
      </c>
      <c r="W500" s="98">
        <f>SUMIFS(Таблица1[сумма],Таблица1[коэф],"1,4",Таблица1[р/р],"5/24",Таблица1[Ф. И. О.],B495)</f>
        <v>0</v>
      </c>
      <c r="X500" s="91">
        <f>ROUND(U500*V500*W500,2)</f>
        <v>0</v>
      </c>
      <c r="Y500" s="850"/>
      <c r="Z500" s="841"/>
      <c r="AA500" s="844"/>
    </row>
    <row r="501" spans="1:30">
      <c r="A501" s="785">
        <v>46</v>
      </c>
      <c r="B501" s="216"/>
      <c r="C501" s="851">
        <f>INDEX(база!$E$2:$E$81, MATCH(B506,база!$B$2:$B$50,0))</f>
        <v>16872</v>
      </c>
      <c r="D501" s="852">
        <f>INDEX(база!$D$2:$D$89, MATCH(B506,база!$B$2:$B$50,0))</f>
        <v>3</v>
      </c>
      <c r="E501" s="73">
        <f>IF(D501&lt;=3,база!$I$4,
IF(D501=4,база!$I$5,
IF(D501=5,база!$I$6)))</f>
        <v>188.7912</v>
      </c>
      <c r="F501" s="270">
        <v>1</v>
      </c>
      <c r="G501" s="96">
        <f>SUMIFS(Таблица1[сумма],Таблица1[коэф],"1",Таблица1[р/р],"2/4",Таблица1[Ф. И. О.],B506)</f>
        <v>0</v>
      </c>
      <c r="H501" s="88">
        <f>ROUND(E501*F501*G501,2)</f>
        <v>0</v>
      </c>
      <c r="I501" s="344">
        <f>IF(D501&lt;=3,база!$J$4,
IF(D501=4,база!$J$5,
IF(D501=5,база!$J$6)))</f>
        <v>196.05240000000001</v>
      </c>
      <c r="J501" s="278">
        <v>1</v>
      </c>
      <c r="K501" s="309">
        <f>SUMIFS(Таблица1[сумма],Таблица1[коэф],"1",Таблица1[р/р],"2/8",Таблица1[Ф. И. О.],B506)</f>
        <v>0</v>
      </c>
      <c r="L501" s="309">
        <f>ROUND(I501*J501*K501,2)</f>
        <v>0</v>
      </c>
      <c r="M501" s="309"/>
      <c r="N501" s="309">
        <v>1</v>
      </c>
      <c r="O501" s="309">
        <f>SUMIFS(Data_Tech!$AM$3:$AM$67,Data_Tech!$E$3:$E$67,"1",Data_Tech!$G$3:$G$67,"3/12",Data_Tech!$F$3:$F$67,B506)</f>
        <v>0</v>
      </c>
      <c r="P501" s="282">
        <f>ROUND(M501*N501*O501,2)</f>
        <v>0</v>
      </c>
      <c r="Q501" s="75">
        <f>IF(D501&lt;=3,база!$L$4,
IF(D501=4,база!$L$5,
IF(D501=5,база!$L$6)))</f>
        <v>210.57480000000001</v>
      </c>
      <c r="R501" s="271">
        <v>1</v>
      </c>
      <c r="S501" s="97">
        <f>SUMIFS(Таблица1[сумма],Таблица1[коэф],"1",Таблица1[р/р],"3/16",Таблица1[Ф. И. О.],B506)</f>
        <v>0</v>
      </c>
      <c r="T501" s="103">
        <f t="shared" ref="T501:T505" si="307">ROUND(Q501*R501*S501,2)</f>
        <v>0</v>
      </c>
      <c r="U501" s="349">
        <f>IF(D501&lt;=3,база!$M$4,
IF(D501=4,база!$M$5,
IF(D501=5,база!$M$6)))</f>
        <v>225.09719999999999</v>
      </c>
      <c r="V501" s="271">
        <v>1</v>
      </c>
      <c r="W501" s="337">
        <f>SUMIFS(Таблица1[сумма],Таблица1[коэф],"1",Таблица1[р/р],"3/24",Таблица1[Ф. И. О.],B506)</f>
        <v>0</v>
      </c>
      <c r="X501" s="351">
        <f>ROUND(U501*V501*W501,2)</f>
        <v>0</v>
      </c>
      <c r="Y501" s="849">
        <f t="shared" ref="Y501" si="308">SUM(G501:G511,K501:K511,O501:O511,S501:S511,W501:W511)</f>
        <v>0</v>
      </c>
      <c r="Z501" s="853">
        <f t="shared" ref="Z501" si="309">IFERROR(SUM(H501:H511,L501:L511,T501:T511,X501:X511),"")</f>
        <v>0</v>
      </c>
      <c r="AA501" s="843"/>
    </row>
    <row r="502" spans="1:30">
      <c r="A502" s="786"/>
      <c r="B502" s="216"/>
      <c r="C502" s="845"/>
      <c r="D502" s="847"/>
      <c r="E502" s="79">
        <f>IF(D501&lt;=3,база!$I$4,
IF(D501=4,база!$I$5,
IF(D501=5,база!$I$6)))</f>
        <v>188.7912</v>
      </c>
      <c r="F502" s="272">
        <v>1</v>
      </c>
      <c r="G502" s="99">
        <f>SUMIFS(Таблица1[сумма],Таблица1[коэф],"1",Таблица1[р/р],"3/4",Таблица1[Ф. И. О.],B506)</f>
        <v>0</v>
      </c>
      <c r="H502" s="95">
        <f>ROUND(E502*F502*G502,2)</f>
        <v>0</v>
      </c>
      <c r="I502" s="334">
        <f>IF(D501&lt;=3,база!$J$4,
IF(D501=4,база!$J$5,
IF(D501=5,база!$J$6)))</f>
        <v>196.05240000000001</v>
      </c>
      <c r="J502" s="279">
        <v>1</v>
      </c>
      <c r="K502" s="217"/>
      <c r="L502" s="217">
        <f>ROUND(I502*J502*K502,2)</f>
        <v>0</v>
      </c>
      <c r="M502" s="217"/>
      <c r="N502" s="217">
        <v>1</v>
      </c>
      <c r="O502" s="217">
        <f>SUMIFS(Data_Tech!$AM$3:$AM$67,Data_Tech!$E$3:$E$67,"1",Data_Tech!$G$3:$G$67,"4/12",Data_Tech!$F$3:$F$67,B506)</f>
        <v>0</v>
      </c>
      <c r="P502" s="30">
        <f>ROUND(M502*O502,2)</f>
        <v>0</v>
      </c>
      <c r="Q502" s="79">
        <f>база!$L$5</f>
        <v>231.45480000000001</v>
      </c>
      <c r="R502" s="272">
        <v>1</v>
      </c>
      <c r="S502" s="99">
        <f>SUMIFS(Таблица1[сумма],Таблица1[коэф],"1",Таблица1[р/р],"4/16",Таблица1[Ф. И. О.],B506)</f>
        <v>0</v>
      </c>
      <c r="T502" s="95">
        <f t="shared" si="307"/>
        <v>0</v>
      </c>
      <c r="U502" s="314">
        <f>база!$M$5</f>
        <v>247.41720000000001</v>
      </c>
      <c r="V502" s="272">
        <v>1</v>
      </c>
      <c r="W502" s="307">
        <f>SUMIFS(Таблица1[сумма],Таблица1[коэф],"1",Таблица1[р/р],"4/24",Таблица1[Ф. И. О.],B506)</f>
        <v>0</v>
      </c>
      <c r="X502" s="313">
        <f t="shared" ref="X502" si="310">ROUND(U502*V502*W502,2)</f>
        <v>0</v>
      </c>
      <c r="Y502" s="849"/>
      <c r="Z502" s="840"/>
      <c r="AA502" s="843"/>
    </row>
    <row r="503" spans="1:30">
      <c r="A503" s="786"/>
      <c r="B503" s="216"/>
      <c r="C503" s="845"/>
      <c r="D503" s="847"/>
      <c r="E503" s="79"/>
      <c r="F503" s="272"/>
      <c r="G503" s="99"/>
      <c r="H503" s="95"/>
      <c r="I503" s="334"/>
      <c r="J503" s="279"/>
      <c r="K503" s="217"/>
      <c r="L503" s="217"/>
      <c r="M503" s="217"/>
      <c r="N503" s="217"/>
      <c r="O503" s="217"/>
      <c r="P503" s="30"/>
      <c r="Q503" s="79">
        <f>база!$L$6</f>
        <v>261.04640000000001</v>
      </c>
      <c r="R503" s="272">
        <v>1</v>
      </c>
      <c r="S503" s="99">
        <f>SUMIFS(Таблица1[сумма],Таблица1[коэф],"1",Таблица1[р/р],"5/16",Таблица1[Ф. И. О.],B506)</f>
        <v>0</v>
      </c>
      <c r="T503" s="95">
        <f t="shared" si="307"/>
        <v>0</v>
      </c>
      <c r="U503" s="314">
        <f>база!$M$6</f>
        <v>279.0496</v>
      </c>
      <c r="V503" s="272">
        <v>1</v>
      </c>
      <c r="W503" s="307">
        <f>SUMIFS(Таблица1[сумма],Таблица1[коэф],"1",Таблица1[р/р],"5/24",Таблица1[Ф. И. О.],B506)</f>
        <v>0</v>
      </c>
      <c r="X503" s="313">
        <f>ROUND(U503*V503*W503,2)</f>
        <v>0</v>
      </c>
      <c r="Y503" s="849"/>
      <c r="Z503" s="840"/>
      <c r="AA503" s="843"/>
    </row>
    <row r="504" spans="1:30">
      <c r="A504" s="786"/>
      <c r="B504" s="216"/>
      <c r="C504" s="845"/>
      <c r="D504" s="847"/>
      <c r="E504" s="79"/>
      <c r="F504" s="272"/>
      <c r="G504" s="99"/>
      <c r="H504" s="95"/>
      <c r="I504" s="334">
        <f>база!$J$5</f>
        <v>215.4924</v>
      </c>
      <c r="J504" s="279">
        <v>1.5</v>
      </c>
      <c r="K504" s="217">
        <f>SUMIFS(Таблица1[сумма],Таблица1[коэф],"1,5",Таблица1[р/р],"4/8",Таблица1[Ф. И. О.],B506)</f>
        <v>0</v>
      </c>
      <c r="L504" s="217">
        <f>ROUND(I504*J504*K504,2)</f>
        <v>0</v>
      </c>
      <c r="M504" s="217"/>
      <c r="N504" s="217"/>
      <c r="O504" s="217"/>
      <c r="P504" s="30"/>
      <c r="Q504" s="79">
        <f>IF(D501&lt;=3,база!$L$4,
IF(D501=4,база!$L$5,
IF(D501=5,база!$L$6)))</f>
        <v>210.57480000000001</v>
      </c>
      <c r="R504" s="272">
        <v>1.2</v>
      </c>
      <c r="S504" s="99">
        <f>SUMIFS(Таблица1[сумма],Таблица1[коэф],"1,2",Таблица1[р/р],"3/16",Таблица1[Ф. И. О.],B506)</f>
        <v>0</v>
      </c>
      <c r="T504" s="95">
        <f t="shared" si="307"/>
        <v>0</v>
      </c>
      <c r="U504" s="314">
        <f>IF(D501&lt;=3,база!$M$4,
IF(D501=4,база!$M$5,
IF(D501=5,база!$M$6)))</f>
        <v>225.09719999999999</v>
      </c>
      <c r="V504" s="272">
        <v>1.2</v>
      </c>
      <c r="W504" s="307">
        <f>SUMIFS(Таблица1[сумма],Таблица1[коэф],"1,2",Таблица1[р/р],"3/24",Таблица1[Ф. И. О.],B506)</f>
        <v>0</v>
      </c>
      <c r="X504" s="313">
        <f t="shared" ref="X504:X505" si="311">ROUND(U504*V504*W504,2)</f>
        <v>0</v>
      </c>
      <c r="Y504" s="849"/>
      <c r="Z504" s="840"/>
      <c r="AA504" s="843"/>
    </row>
    <row r="505" spans="1:30">
      <c r="A505" s="786"/>
      <c r="B505" s="216"/>
      <c r="C505" s="845"/>
      <c r="D505" s="847"/>
      <c r="E505" s="79"/>
      <c r="F505" s="272"/>
      <c r="G505" s="99"/>
      <c r="H505" s="95"/>
      <c r="I505" s="334">
        <f>база!$J$6</f>
        <v>243.04319999999998</v>
      </c>
      <c r="J505" s="279">
        <v>1.5</v>
      </c>
      <c r="K505" s="217">
        <f>SUMIFS(Таблица1[сумма],Таблица1[коэф],"1,5",Таблица1[р/р],"5/8",Таблица1[Ф. И. О.],B506)</f>
        <v>0</v>
      </c>
      <c r="L505" s="217">
        <f>ROUND(I505*J505*K505,2)</f>
        <v>0</v>
      </c>
      <c r="M505" s="217"/>
      <c r="N505" s="217"/>
      <c r="O505" s="217"/>
      <c r="P505" s="30"/>
      <c r="Q505" s="79">
        <f>база!$L$5</f>
        <v>231.45480000000001</v>
      </c>
      <c r="R505" s="272">
        <v>1.2</v>
      </c>
      <c r="S505" s="99">
        <f>SUMIFS(Таблица1[сумма],Таблица1[коэф],"1,2",Таблица1[р/р],"4/16",Таблица1[Ф. И. О.],B506)</f>
        <v>0</v>
      </c>
      <c r="T505" s="95">
        <f t="shared" si="307"/>
        <v>0</v>
      </c>
      <c r="U505" s="314">
        <f>база!$M$5</f>
        <v>247.41720000000001</v>
      </c>
      <c r="V505" s="272">
        <v>1.2</v>
      </c>
      <c r="W505" s="307">
        <f>SUMIFS(Таблица1[сумма],Таблица1[коэф],"1,2",Таблица1[р/р],"4/24",Таблица1[Ф. И. О.],B506)</f>
        <v>0</v>
      </c>
      <c r="X505" s="313">
        <f t="shared" si="311"/>
        <v>0</v>
      </c>
      <c r="Y505" s="849"/>
      <c r="Z505" s="840"/>
      <c r="AA505" s="843"/>
      <c r="AC505" s="722" t="str">
        <f>IF(SUMIFS(Таблица1[Столбец2],Таблица1[Ф. И. О.],B506)-Z501=0,"",SUMIFS(Таблица1[Столбец2],Таблица1[Ф. И. О.],B506)-Z501)</f>
        <v/>
      </c>
    </row>
    <row r="506" spans="1:30">
      <c r="A506" s="786"/>
      <c r="B506" s="216" t="str">
        <f>база!B47</f>
        <v>Марченко Ирина Вячеславовна</v>
      </c>
      <c r="C506" s="845"/>
      <c r="D506" s="847"/>
      <c r="E506" s="79"/>
      <c r="F506" s="272"/>
      <c r="G506" s="99"/>
      <c r="H506" s="95"/>
      <c r="I506" s="334"/>
      <c r="J506" s="279"/>
      <c r="K506" s="217"/>
      <c r="L506" s="217"/>
      <c r="M506" s="217"/>
      <c r="N506" s="217"/>
      <c r="O506" s="217"/>
      <c r="P506" s="30"/>
      <c r="Q506" s="79">
        <f>база!$L$6</f>
        <v>261.04640000000001</v>
      </c>
      <c r="R506" s="272">
        <v>1.2</v>
      </c>
      <c r="S506" s="99">
        <f>SUMIFS(Таблица1[сумма],Таблица1[коэф],"1,2",Таблица1[р/р],"5/16",Таблица1[Ф. И. О.],B506)</f>
        <v>0</v>
      </c>
      <c r="T506" s="95">
        <f>ROUND(Q506*R506*S506,2)</f>
        <v>0</v>
      </c>
      <c r="U506" s="314">
        <f>база!$M$6</f>
        <v>279.0496</v>
      </c>
      <c r="V506" s="272">
        <v>1.2</v>
      </c>
      <c r="W506" s="307">
        <f>SUMIFS(Таблица1[сумма],Таблица1[коэф],"1,2",Таблица1[р/р],"5/24",Таблица1[Ф. И. О.],B506)</f>
        <v>0</v>
      </c>
      <c r="X506" s="313">
        <f>ROUND(U506*V506*W506,2)</f>
        <v>0</v>
      </c>
      <c r="Y506" s="849"/>
      <c r="Z506" s="840"/>
      <c r="AA506" s="843"/>
      <c r="AC506" s="722" t="str">
        <f>IF(SUMIFS(Таблица1[сумма],Таблица1[Ф. И. О.],B506)=Y501,"",B501&amp;"  часы не верны")</f>
        <v/>
      </c>
      <c r="AD506" s="759">
        <f>INDEX('[2]декабрь 23'!$AI$4:$AI$100,MATCH(C501,'[2]декабрь 23'!$AK$4:$AK$100,0))</f>
        <v>115.20000000000003</v>
      </c>
    </row>
    <row r="507" spans="1:30">
      <c r="A507" s="786"/>
      <c r="B507" s="216"/>
      <c r="C507" s="845"/>
      <c r="D507" s="847"/>
      <c r="E507" s="79"/>
      <c r="F507" s="272"/>
      <c r="G507" s="99"/>
      <c r="H507" s="95"/>
      <c r="I507" s="334"/>
      <c r="J507" s="279"/>
      <c r="K507" s="217"/>
      <c r="L507" s="217"/>
      <c r="M507" s="217"/>
      <c r="N507" s="217"/>
      <c r="O507" s="217"/>
      <c r="P507" s="30"/>
      <c r="Q507" s="79">
        <f>IF($D$6&lt;=3,база!$L$4,
IF($D$6=4,база!$L$5,
IF($D$6=5,база!$L$6)))</f>
        <v>231.45480000000001</v>
      </c>
      <c r="R507" s="272">
        <v>1.3</v>
      </c>
      <c r="S507" s="99">
        <f>SUMIFS(Таблица1[сумма],Таблица1[коэф],"1,3",Таблица1[р/р],"3/16",Таблица1[Ф. И. О.],B506)</f>
        <v>0</v>
      </c>
      <c r="T507" s="95">
        <f t="shared" ref="T507:T508" si="312">ROUND(Q507*R507*S507,2)</f>
        <v>0</v>
      </c>
      <c r="U507" s="314">
        <f>IF(D501&lt;=3,база!$M$4,
IF(D501=4,база!$M$5,
IF(D501=5,база!$M$6)))</f>
        <v>225.09719999999999</v>
      </c>
      <c r="V507" s="272">
        <v>1.3</v>
      </c>
      <c r="W507" s="307">
        <f>SUMIFS(Таблица1[сумма],Таблица1[коэф],"1,3",Таблица1[р/р],"3/24",Таблица1[Ф. И. О.],B506)</f>
        <v>0</v>
      </c>
      <c r="X507" s="313">
        <f t="shared" ref="X507:X508" si="313">ROUND(U507*V507*W507,2)</f>
        <v>0</v>
      </c>
      <c r="Y507" s="849"/>
      <c r="Z507" s="840"/>
      <c r="AA507" s="843"/>
    </row>
    <row r="508" spans="1:30">
      <c r="A508" s="786"/>
      <c r="B508" s="216"/>
      <c r="C508" s="845"/>
      <c r="D508" s="847"/>
      <c r="E508" s="79"/>
      <c r="F508" s="272"/>
      <c r="G508" s="99"/>
      <c r="H508" s="95"/>
      <c r="I508" s="334"/>
      <c r="J508" s="279"/>
      <c r="K508" s="217"/>
      <c r="L508" s="217"/>
      <c r="M508" s="217"/>
      <c r="N508" s="217"/>
      <c r="O508" s="217"/>
      <c r="P508" s="30"/>
      <c r="Q508" s="79">
        <f>база!$L$5</f>
        <v>231.45480000000001</v>
      </c>
      <c r="R508" s="272">
        <v>1.3</v>
      </c>
      <c r="S508" s="99">
        <f>SUMIFS(Таблица1[сумма],Таблица1[коэф],"1,3",Таблица1[р/р],"4/16",Таблица1[Ф. И. О.],B506)</f>
        <v>0</v>
      </c>
      <c r="T508" s="95">
        <f t="shared" si="312"/>
        <v>0</v>
      </c>
      <c r="U508" s="314">
        <f>база!$M$5</f>
        <v>247.41720000000001</v>
      </c>
      <c r="V508" s="272">
        <v>1.3</v>
      </c>
      <c r="W508" s="307">
        <f>SUMIFS(Таблица1[сумма],Таблица1[коэф],"1,3",Таблица1[р/р],"4/24",Таблица1[Ф. И. О.],B506)</f>
        <v>0</v>
      </c>
      <c r="X508" s="313">
        <f t="shared" si="313"/>
        <v>0</v>
      </c>
      <c r="Y508" s="849"/>
      <c r="Z508" s="840"/>
      <c r="AA508" s="843"/>
    </row>
    <row r="509" spans="1:30">
      <c r="A509" s="786"/>
      <c r="B509" s="216"/>
      <c r="C509" s="845"/>
      <c r="D509" s="847"/>
      <c r="E509" s="79"/>
      <c r="F509" s="272"/>
      <c r="G509" s="99"/>
      <c r="H509" s="95"/>
      <c r="I509" s="334"/>
      <c r="J509" s="279"/>
      <c r="K509" s="217"/>
      <c r="L509" s="217"/>
      <c r="M509" s="217"/>
      <c r="N509" s="217"/>
      <c r="O509" s="217"/>
      <c r="P509" s="30"/>
      <c r="Q509" s="79">
        <f>IF(D501&lt;=3,база!$L$4,
IF(D501=4,база!$L$5,
IF(D501=5,база!$L$6)))</f>
        <v>210.57480000000001</v>
      </c>
      <c r="R509" s="272">
        <v>1.4</v>
      </c>
      <c r="S509" s="99">
        <f>SUMIFS(Таблица1[сумма],Таблица1[коэф],"1,4",Таблица1[р/р],"3/16",Таблица1[Ф. И. О.],B506)</f>
        <v>0</v>
      </c>
      <c r="T509" s="95">
        <f>ROUND(Q509*R509*S509,2)</f>
        <v>0</v>
      </c>
      <c r="U509" s="314">
        <f>IF(D501&lt;=3,база!$M$4,
IF(D501=4,база!$M$5,
IF(D501=5,база!$M$6)))</f>
        <v>225.09719999999999</v>
      </c>
      <c r="V509" s="272">
        <v>1.4</v>
      </c>
      <c r="W509" s="307">
        <f>SUMIFS(Таблица1[сумма],Таблица1[коэф],"1,4",Таблица1[р/р],"3/24",Таблица1[Ф. И. О.],B506)</f>
        <v>0</v>
      </c>
      <c r="X509" s="313">
        <f>ROUND(U509*V509*W509,2)</f>
        <v>0</v>
      </c>
      <c r="Y509" s="849"/>
      <c r="Z509" s="840"/>
      <c r="AA509" s="843"/>
    </row>
    <row r="510" spans="1:30">
      <c r="A510" s="786"/>
      <c r="B510" s="216"/>
      <c r="C510" s="845"/>
      <c r="D510" s="847"/>
      <c r="E510" s="79"/>
      <c r="F510" s="272"/>
      <c r="G510" s="99"/>
      <c r="H510" s="95"/>
      <c r="I510" s="334"/>
      <c r="J510" s="279"/>
      <c r="K510" s="217"/>
      <c r="L510" s="217"/>
      <c r="M510" s="217"/>
      <c r="N510" s="217"/>
      <c r="O510" s="217"/>
      <c r="P510" s="30"/>
      <c r="Q510" s="79">
        <f>база!$L$5</f>
        <v>231.45480000000001</v>
      </c>
      <c r="R510" s="272">
        <v>1.4</v>
      </c>
      <c r="S510" s="99">
        <f>SUMIFS(Таблица1[сумма],Таблица1[коэф],"1,4",Таблица1[р/р],"4/16",Таблица1[Ф. И. О.],B506)</f>
        <v>0</v>
      </c>
      <c r="T510" s="95">
        <f>ROUND(Q510*R510*S510,2)</f>
        <v>0</v>
      </c>
      <c r="U510" s="314">
        <f>база!$M$5</f>
        <v>247.41720000000001</v>
      </c>
      <c r="V510" s="272">
        <v>1.4</v>
      </c>
      <c r="W510" s="307">
        <f>SUMIFS(Таблица1[сумма],Таблица1[коэф],"1,4",Таблица1[р/р],"4/24",Таблица1[Ф. И. О.],B506)</f>
        <v>0</v>
      </c>
      <c r="X510" s="313">
        <f>ROUND(U510*V510*W510,2)</f>
        <v>0</v>
      </c>
      <c r="Y510" s="849"/>
      <c r="Z510" s="840"/>
      <c r="AA510" s="843"/>
    </row>
    <row r="511" spans="1:30" ht="24" thickBot="1">
      <c r="A511" s="787"/>
      <c r="B511" s="352"/>
      <c r="C511" s="846"/>
      <c r="D511" s="848"/>
      <c r="E511" s="75"/>
      <c r="F511" s="271"/>
      <c r="G511" s="89"/>
      <c r="H511" s="103"/>
      <c r="I511" s="633"/>
      <c r="J511" s="280"/>
      <c r="K511" s="628"/>
      <c r="L511" s="289"/>
      <c r="M511" s="627"/>
      <c r="N511" s="628"/>
      <c r="O511" s="628"/>
      <c r="P511" s="315"/>
      <c r="Q511" s="629">
        <f>база!$L$6</f>
        <v>261.04640000000001</v>
      </c>
      <c r="R511" s="274">
        <v>1.4</v>
      </c>
      <c r="S511" s="98">
        <f>SUMIFS(Таблица1[сумма],Таблица1[коэф],"1,4",Таблица1[р/р],"5/16",Таблица1[Ф. И. О.],B506)</f>
        <v>0</v>
      </c>
      <c r="T511" s="91">
        <f>ROUND(Q511*R511*S511,2)</f>
        <v>0</v>
      </c>
      <c r="U511" s="221">
        <f>база!$M$6</f>
        <v>279.0496</v>
      </c>
      <c r="V511" s="274">
        <v>1.4</v>
      </c>
      <c r="W511" s="98">
        <f>SUMIFS(Таблица1[сумма],Таблица1[коэф],"1,4",Таблица1[р/р],"5/24",Таблица1[Ф. И. О.],B506)</f>
        <v>0</v>
      </c>
      <c r="X511" s="103">
        <f>ROUND(U511*V511*W511,2)</f>
        <v>0</v>
      </c>
      <c r="Y511" s="850"/>
      <c r="Z511" s="841"/>
      <c r="AA511" s="844"/>
    </row>
    <row r="512" spans="1:30">
      <c r="A512" s="785">
        <v>47</v>
      </c>
      <c r="B512" s="216"/>
      <c r="C512" s="851">
        <f>INDEX(база!$E$2:$E$81, MATCH(B517,база!$B$2:$B$50,0))</f>
        <v>15082</v>
      </c>
      <c r="D512" s="852">
        <f>INDEX(база!$D$2:$D$89, MATCH(B517,база!$B$2:$B$50,0))</f>
        <v>3</v>
      </c>
      <c r="E512" s="73">
        <f>IF(D512&lt;=3,база!$I$4,
IF(D512=4,база!$I$5,
IF(D512=5,база!$I$6)))</f>
        <v>188.7912</v>
      </c>
      <c r="F512" s="270">
        <v>1</v>
      </c>
      <c r="G512" s="96">
        <f>SUMIFS(Таблица1[сумма],Таблица1[коэф],"1",Таблица1[р/р],"2/4",Таблица1[Ф. И. О.],B517)</f>
        <v>0</v>
      </c>
      <c r="H512" s="88">
        <f>ROUND(E512*F512*G512,2)</f>
        <v>0</v>
      </c>
      <c r="I512" s="344">
        <f>IF(D512&lt;=3,база!$J$4,
IF(D512=4,база!$J$5,
IF(D512=5,база!$J$6)))</f>
        <v>196.05240000000001</v>
      </c>
      <c r="J512" s="278">
        <v>1</v>
      </c>
      <c r="K512" s="309">
        <f>SUMIFS(Таблица1[сумма],Таблица1[коэф],"1",Таблица1[р/р],"2/8",Таблица1[Ф. И. О.],B517)</f>
        <v>0</v>
      </c>
      <c r="L512" s="309">
        <f>ROUND(I512*J512*K512,2)</f>
        <v>0</v>
      </c>
      <c r="M512" s="309"/>
      <c r="N512" s="309">
        <v>1</v>
      </c>
      <c r="O512" s="309">
        <f>SUMIFS(Data_Tech!$AM$3:$AM$67,Data_Tech!$E$3:$E$67,"1",Data_Tech!$G$3:$G$67,"3/12",Data_Tech!$F$3:$F$67,B517)</f>
        <v>0</v>
      </c>
      <c r="P512" s="282">
        <f>ROUND(M512*N512*O512,2)</f>
        <v>0</v>
      </c>
      <c r="Q512" s="75">
        <f>IF(D512&lt;=3,база!$L$4,
IF(D512=4,база!$L$5,
IF(D512=5,база!$L$6)))</f>
        <v>210.57480000000001</v>
      </c>
      <c r="R512" s="271">
        <v>1</v>
      </c>
      <c r="S512" s="97">
        <f>SUMIFS(Таблица1[сумма],Таблица1[коэф],"1",Таблица1[р/р],"3/16",Таблица1[Ф. И. О.],B517)</f>
        <v>0</v>
      </c>
      <c r="T512" s="103">
        <f t="shared" ref="T512:T516" si="314">ROUND(Q512*R512*S512,2)</f>
        <v>0</v>
      </c>
      <c r="U512" s="349">
        <f>IF(D512&lt;=3,база!$M$4,
IF(D512=4,база!$M$5,
IF(D512=5,база!$M$6)))</f>
        <v>225.09719999999999</v>
      </c>
      <c r="V512" s="271">
        <v>1</v>
      </c>
      <c r="W512" s="337">
        <f>SUMIFS(Таблица1[сумма],Таблица1[коэф],"1",Таблица1[р/р],"3/24",Таблица1[Ф. И. О.],B517)</f>
        <v>0</v>
      </c>
      <c r="X512" s="342">
        <f>ROUND(U512*V512*W512,2)</f>
        <v>0</v>
      </c>
      <c r="Y512" s="849">
        <f t="shared" ref="Y512" si="315">SUM(G512:G522,K512:K522,O512:O522,S512:S522,W512:W522)</f>
        <v>0</v>
      </c>
      <c r="Z512" s="853">
        <f t="shared" ref="Z512" si="316">IFERROR(SUM(H512:H522,L512:L522,T512:T522,X512:X522),"")</f>
        <v>0</v>
      </c>
      <c r="AA512" s="843"/>
    </row>
    <row r="513" spans="1:30">
      <c r="A513" s="786"/>
      <c r="B513" s="216"/>
      <c r="C513" s="845"/>
      <c r="D513" s="847"/>
      <c r="E513" s="79">
        <f>IF(D512&lt;=3,база!$I$4,
IF(D512=4,база!$I$5,
IF(D512=5,база!$I$6)))</f>
        <v>188.7912</v>
      </c>
      <c r="F513" s="272">
        <v>1</v>
      </c>
      <c r="G513" s="99">
        <f>SUMIFS(Таблица1[сумма],Таблица1[коэф],"1",Таблица1[р/р],"3/4",Таблица1[Ф. И. О.],B517)</f>
        <v>0</v>
      </c>
      <c r="H513" s="95">
        <f>ROUND(E513*F513*G513,2)</f>
        <v>0</v>
      </c>
      <c r="I513" s="334">
        <f>IF(D512&lt;=3,база!$J$4,
IF(D512=4,база!$J$5,
IF(D512=5,база!$J$6)))</f>
        <v>196.05240000000001</v>
      </c>
      <c r="J513" s="279">
        <v>1</v>
      </c>
      <c r="K513" s="217"/>
      <c r="L513" s="217">
        <f>ROUND(I513*J513*K513,2)</f>
        <v>0</v>
      </c>
      <c r="M513" s="217"/>
      <c r="N513" s="217">
        <v>1</v>
      </c>
      <c r="O513" s="217">
        <f>SUMIFS(Data_Tech!$AM$3:$AM$67,Data_Tech!$E$3:$E$67,"1",Data_Tech!$G$3:$G$67,"4/12",Data_Tech!$F$3:$F$67,B517)</f>
        <v>0</v>
      </c>
      <c r="P513" s="30">
        <f>ROUND(M513*O513,2)</f>
        <v>0</v>
      </c>
      <c r="Q513" s="79">
        <f>база!$L$5</f>
        <v>231.45480000000001</v>
      </c>
      <c r="R513" s="272">
        <v>1</v>
      </c>
      <c r="S513" s="99">
        <f>SUMIFS(Таблица1[сумма],Таблица1[коэф],"1",Таблица1[р/р],"4/16",Таблица1[Ф. И. О.],B517)</f>
        <v>0</v>
      </c>
      <c r="T513" s="95">
        <f t="shared" si="314"/>
        <v>0</v>
      </c>
      <c r="U513" s="314">
        <f>база!$M$5</f>
        <v>247.41720000000001</v>
      </c>
      <c r="V513" s="272">
        <v>1</v>
      </c>
      <c r="W513" s="307">
        <f>SUMIFS(Таблица1[сумма],Таблица1[коэф],"1",Таблица1[р/р],"4/24",Таблица1[Ф. И. О.],B517)</f>
        <v>0</v>
      </c>
      <c r="X513" s="313">
        <f t="shared" ref="X513" si="317">ROUND(U513*V513*W513,2)</f>
        <v>0</v>
      </c>
      <c r="Y513" s="849"/>
      <c r="Z513" s="840"/>
      <c r="AA513" s="843"/>
    </row>
    <row r="514" spans="1:30">
      <c r="A514" s="786"/>
      <c r="B514" s="216"/>
      <c r="C514" s="845"/>
      <c r="D514" s="847"/>
      <c r="E514" s="79"/>
      <c r="F514" s="272"/>
      <c r="G514" s="99"/>
      <c r="H514" s="95"/>
      <c r="I514" s="334"/>
      <c r="J514" s="279"/>
      <c r="K514" s="217"/>
      <c r="L514" s="217"/>
      <c r="M514" s="217"/>
      <c r="N514" s="217"/>
      <c r="O514" s="217"/>
      <c r="P514" s="30"/>
      <c r="Q514" s="79">
        <f>база!$L$6</f>
        <v>261.04640000000001</v>
      </c>
      <c r="R514" s="272">
        <v>1</v>
      </c>
      <c r="S514" s="99">
        <f>SUMIFS(Таблица1[сумма],Таблица1[коэф],"1",Таблица1[р/р],"5/16",Таблица1[Ф. И. О.],B517)</f>
        <v>0</v>
      </c>
      <c r="T514" s="95">
        <f t="shared" si="314"/>
        <v>0</v>
      </c>
      <c r="U514" s="314">
        <f>база!$M$6</f>
        <v>279.0496</v>
      </c>
      <c r="V514" s="272">
        <v>1</v>
      </c>
      <c r="W514" s="307">
        <f>SUMIFS(Таблица1[сумма],Таблица1[коэф],"1",Таблица1[р/р],"5/24",Таблица1[Ф. И. О.],B517)</f>
        <v>0</v>
      </c>
      <c r="X514" s="313">
        <f>ROUND(U514*V514*W514,2)</f>
        <v>0</v>
      </c>
      <c r="Y514" s="849"/>
      <c r="Z514" s="840"/>
      <c r="AA514" s="843"/>
    </row>
    <row r="515" spans="1:30">
      <c r="A515" s="786"/>
      <c r="B515" s="216"/>
      <c r="C515" s="845"/>
      <c r="D515" s="847"/>
      <c r="E515" s="79"/>
      <c r="F515" s="272"/>
      <c r="G515" s="99"/>
      <c r="H515" s="95"/>
      <c r="I515" s="334">
        <f>база!$J$5</f>
        <v>215.4924</v>
      </c>
      <c r="J515" s="279">
        <v>1.5</v>
      </c>
      <c r="K515" s="217">
        <f>SUMIFS(Таблица1[сумма],Таблица1[коэф],"1,5",Таблица1[р/р],"4/8",Таблица1[Ф. И. О.],B517)</f>
        <v>0</v>
      </c>
      <c r="L515" s="217">
        <f>ROUND(I515*J515*K515,2)</f>
        <v>0</v>
      </c>
      <c r="M515" s="217"/>
      <c r="N515" s="217"/>
      <c r="O515" s="217"/>
      <c r="P515" s="30"/>
      <c r="Q515" s="79">
        <f>IF(D512&lt;=3,база!$L$4,
IF(D512=4,база!$L$5,
IF(D512=5,база!$L$6)))</f>
        <v>210.57480000000001</v>
      </c>
      <c r="R515" s="272">
        <v>1.2</v>
      </c>
      <c r="S515" s="99">
        <f>SUMIFS(Таблица1[сумма],Таблица1[коэф],"1,2",Таблица1[р/р],"3/16",Таблица1[Ф. И. О.],B517)</f>
        <v>0</v>
      </c>
      <c r="T515" s="95">
        <f t="shared" si="314"/>
        <v>0</v>
      </c>
      <c r="U515" s="314">
        <f>IF(D512&lt;=3,база!$M$4,
IF(D512=4,база!$M$5,
IF(D512=5,база!$M$6)))</f>
        <v>225.09719999999999</v>
      </c>
      <c r="V515" s="272">
        <v>1.2</v>
      </c>
      <c r="W515" s="307">
        <f>SUMIFS(Таблица1[сумма],Таблица1[коэф],"1,2",Таблица1[р/р],"3/24",Таблица1[Ф. И. О.],B517)</f>
        <v>0</v>
      </c>
      <c r="X515" s="313">
        <f t="shared" ref="X515:X516" si="318">ROUND(U515*V515*W515,2)</f>
        <v>0</v>
      </c>
      <c r="Y515" s="849"/>
      <c r="Z515" s="840"/>
      <c r="AA515" s="843"/>
    </row>
    <row r="516" spans="1:30">
      <c r="A516" s="786"/>
      <c r="B516" s="216"/>
      <c r="C516" s="845"/>
      <c r="D516" s="847"/>
      <c r="E516" s="79"/>
      <c r="F516" s="272"/>
      <c r="G516" s="99"/>
      <c r="H516" s="95"/>
      <c r="I516" s="334">
        <f>база!$J$6</f>
        <v>243.04319999999998</v>
      </c>
      <c r="J516" s="279">
        <v>1.5</v>
      </c>
      <c r="K516" s="217">
        <f>SUMIFS(Таблица1[сумма],Таблица1[коэф],"1,5",Таблица1[р/р],"5/8",Таблица1[Ф. И. О.],B517)</f>
        <v>0</v>
      </c>
      <c r="L516" s="217">
        <f>ROUND(I516*J516*K516,2)</f>
        <v>0</v>
      </c>
      <c r="M516" s="217"/>
      <c r="N516" s="217"/>
      <c r="O516" s="217"/>
      <c r="P516" s="30"/>
      <c r="Q516" s="79">
        <f>база!$L$5</f>
        <v>231.45480000000001</v>
      </c>
      <c r="R516" s="272">
        <v>1.2</v>
      </c>
      <c r="S516" s="99">
        <f>SUMIFS(Таблица1[сумма],Таблица1[коэф],"1,2",Таблица1[р/р],"4/16",Таблица1[Ф. И. О.],B517)</f>
        <v>0</v>
      </c>
      <c r="T516" s="95">
        <f t="shared" si="314"/>
        <v>0</v>
      </c>
      <c r="U516" s="314">
        <f>база!$M$5</f>
        <v>247.41720000000001</v>
      </c>
      <c r="V516" s="272">
        <v>1.2</v>
      </c>
      <c r="W516" s="307">
        <f>SUMIFS(Таблица1[сумма],Таблица1[коэф],"1,2",Таблица1[р/р],"4/24",Таблица1[Ф. И. О.],B517)</f>
        <v>0</v>
      </c>
      <c r="X516" s="313">
        <f t="shared" si="318"/>
        <v>0</v>
      </c>
      <c r="Y516" s="849"/>
      <c r="Z516" s="840"/>
      <c r="AA516" s="843"/>
      <c r="AC516" s="722" t="str">
        <f>IF(SUMIFS(Таблица1[Столбец2],Таблица1[Ф. И. О.],B517)-Z512=0,"",SUMIFS(Таблица1[Столбец2],Таблица1[Ф. И. О.],B517)-Z512)</f>
        <v/>
      </c>
    </row>
    <row r="517" spans="1:30">
      <c r="A517" s="786"/>
      <c r="B517" s="216" t="str">
        <f>база!B48</f>
        <v>Матыгулина Наталья Энвировна</v>
      </c>
      <c r="C517" s="845"/>
      <c r="D517" s="847"/>
      <c r="E517" s="79"/>
      <c r="F517" s="272"/>
      <c r="G517" s="99"/>
      <c r="H517" s="95"/>
      <c r="I517" s="334"/>
      <c r="J517" s="279"/>
      <c r="K517" s="217"/>
      <c r="L517" s="217"/>
      <c r="M517" s="217"/>
      <c r="N517" s="217"/>
      <c r="O517" s="217"/>
      <c r="P517" s="30"/>
      <c r="Q517" s="79">
        <f>база!$L$6</f>
        <v>261.04640000000001</v>
      </c>
      <c r="R517" s="272">
        <v>1.2</v>
      </c>
      <c r="S517" s="99">
        <f>SUMIFS(Таблица1[сумма],Таблица1[коэф],"1,2",Таблица1[р/р],"5/16",Таблица1[Ф. И. О.],B517)</f>
        <v>0</v>
      </c>
      <c r="T517" s="95">
        <f>ROUND(Q517*R517*S517,2)</f>
        <v>0</v>
      </c>
      <c r="U517" s="314">
        <f>база!$M$6</f>
        <v>279.0496</v>
      </c>
      <c r="V517" s="272">
        <v>1.2</v>
      </c>
      <c r="W517" s="307">
        <f>SUMIFS(Таблица1[сумма],Таблица1[коэф],"1,2",Таблица1[р/р],"5/24",Таблица1[Ф. И. О.],B517)</f>
        <v>0</v>
      </c>
      <c r="X517" s="313">
        <f>ROUND(U517*V517*W517,2)</f>
        <v>0</v>
      </c>
      <c r="Y517" s="849"/>
      <c r="Z517" s="840"/>
      <c r="AA517" s="843"/>
      <c r="AC517" s="722" t="str">
        <f>IF(SUMIFS(Таблица1[сумма],Таблица1[Ф. И. О.],B517)=Y512,"",B512&amp;"  часы не верны")</f>
        <v/>
      </c>
      <c r="AD517" s="759">
        <f>INDEX('[2]декабрь 23'!$AI$4:$AI$100,MATCH(C512,'[2]декабрь 23'!$AK$4:$AK$100,0))</f>
        <v>115.20000000000003</v>
      </c>
    </row>
    <row r="518" spans="1:30">
      <c r="A518" s="786"/>
      <c r="B518" s="216"/>
      <c r="C518" s="845"/>
      <c r="D518" s="847"/>
      <c r="E518" s="79"/>
      <c r="F518" s="272"/>
      <c r="G518" s="99"/>
      <c r="H518" s="95"/>
      <c r="I518" s="334"/>
      <c r="J518" s="279"/>
      <c r="K518" s="217"/>
      <c r="L518" s="217"/>
      <c r="M518" s="217"/>
      <c r="N518" s="217"/>
      <c r="O518" s="217"/>
      <c r="P518" s="30"/>
      <c r="Q518" s="79">
        <f>IF($D$6&lt;=3,база!$L$4,
IF($D$6=4,база!$L$5,
IF($D$6=5,база!$L$6)))</f>
        <v>231.45480000000001</v>
      </c>
      <c r="R518" s="272">
        <v>1.3</v>
      </c>
      <c r="S518" s="99">
        <f>SUMIFS(Таблица1[сумма],Таблица1[коэф],"1,3",Таблица1[р/р],"3/16",Таблица1[Ф. И. О.],B517)</f>
        <v>0</v>
      </c>
      <c r="T518" s="95">
        <f t="shared" ref="T518:T519" si="319">ROUND(Q518*R518*S518,2)</f>
        <v>0</v>
      </c>
      <c r="U518" s="314">
        <f>IF(D512&lt;=3,база!$M$4,
IF(D512=4,база!$M$5,
IF(D512=5,база!$M$6)))</f>
        <v>225.09719999999999</v>
      </c>
      <c r="V518" s="272">
        <v>1.3</v>
      </c>
      <c r="W518" s="307">
        <f>SUMIFS(Таблица1[сумма],Таблица1[коэф],"1,3",Таблица1[р/р],"3/24",Таблица1[Ф. И. О.],B517)</f>
        <v>0</v>
      </c>
      <c r="X518" s="313">
        <f t="shared" ref="X518:X519" si="320">ROUND(U518*V518*W518,2)</f>
        <v>0</v>
      </c>
      <c r="Y518" s="849"/>
      <c r="Z518" s="840"/>
      <c r="AA518" s="843"/>
    </row>
    <row r="519" spans="1:30">
      <c r="A519" s="786"/>
      <c r="B519" s="216"/>
      <c r="C519" s="845"/>
      <c r="D519" s="847"/>
      <c r="E519" s="79"/>
      <c r="F519" s="272"/>
      <c r="G519" s="99"/>
      <c r="H519" s="95"/>
      <c r="I519" s="334"/>
      <c r="J519" s="279"/>
      <c r="K519" s="217"/>
      <c r="L519" s="217"/>
      <c r="M519" s="217"/>
      <c r="N519" s="217"/>
      <c r="O519" s="217"/>
      <c r="P519" s="30"/>
      <c r="Q519" s="79">
        <f>база!$L$5</f>
        <v>231.45480000000001</v>
      </c>
      <c r="R519" s="272">
        <v>1.3</v>
      </c>
      <c r="S519" s="99">
        <f>SUMIFS(Таблица1[сумма],Таблица1[коэф],"1,3",Таблица1[р/р],"4/16",Таблица1[Ф. И. О.],B517)</f>
        <v>0</v>
      </c>
      <c r="T519" s="95">
        <f t="shared" si="319"/>
        <v>0</v>
      </c>
      <c r="U519" s="314">
        <f>база!$M$5</f>
        <v>247.41720000000001</v>
      </c>
      <c r="V519" s="272">
        <v>1.3</v>
      </c>
      <c r="W519" s="307">
        <f>SUMIFS(Таблица1[сумма],Таблица1[коэф],"1,3",Таблица1[р/р],"4/24",Таблица1[Ф. И. О.],B517)</f>
        <v>0</v>
      </c>
      <c r="X519" s="313">
        <f t="shared" si="320"/>
        <v>0</v>
      </c>
      <c r="Y519" s="849"/>
      <c r="Z519" s="840"/>
      <c r="AA519" s="843"/>
    </row>
    <row r="520" spans="1:30">
      <c r="A520" s="786"/>
      <c r="B520" s="216"/>
      <c r="C520" s="845"/>
      <c r="D520" s="847"/>
      <c r="E520" s="79"/>
      <c r="F520" s="272"/>
      <c r="G520" s="99"/>
      <c r="H520" s="95"/>
      <c r="I520" s="334"/>
      <c r="J520" s="279"/>
      <c r="K520" s="217"/>
      <c r="L520" s="217"/>
      <c r="M520" s="217"/>
      <c r="N520" s="217"/>
      <c r="O520" s="217"/>
      <c r="P520" s="30"/>
      <c r="Q520" s="79">
        <f>IF(D512&lt;=3,база!$L$4,
IF(D512=4,база!$L$5,
IF(D512=5,база!$L$6)))</f>
        <v>210.57480000000001</v>
      </c>
      <c r="R520" s="272">
        <v>1.4</v>
      </c>
      <c r="S520" s="99">
        <f>SUMIFS(Таблица1[сумма],Таблица1[коэф],"1,4",Таблица1[р/р],"3/16",Таблица1[Ф. И. О.],B517)</f>
        <v>0</v>
      </c>
      <c r="T520" s="95">
        <f>ROUND(Q520*R520*S520,2)</f>
        <v>0</v>
      </c>
      <c r="U520" s="314">
        <f>IF(D512&lt;=3,база!$M$4,
IF(D512=4,база!$M$5,
IF(D512=5,база!$M$6)))</f>
        <v>225.09719999999999</v>
      </c>
      <c r="V520" s="272">
        <v>1.4</v>
      </c>
      <c r="W520" s="307">
        <f>SUMIFS(Таблица1[сумма],Таблица1[коэф],"1,4",Таблица1[р/р],"3/24",Таблица1[Ф. И. О.],B517)</f>
        <v>0</v>
      </c>
      <c r="X520" s="313">
        <f>ROUND(U520*V520*W520,2)</f>
        <v>0</v>
      </c>
      <c r="Y520" s="849"/>
      <c r="Z520" s="840"/>
      <c r="AA520" s="843"/>
    </row>
    <row r="521" spans="1:30">
      <c r="A521" s="786"/>
      <c r="B521" s="216"/>
      <c r="C521" s="845"/>
      <c r="D521" s="847"/>
      <c r="E521" s="79"/>
      <c r="F521" s="272"/>
      <c r="G521" s="99"/>
      <c r="H521" s="95"/>
      <c r="I521" s="334"/>
      <c r="J521" s="279"/>
      <c r="K521" s="217"/>
      <c r="L521" s="217"/>
      <c r="M521" s="217"/>
      <c r="N521" s="217"/>
      <c r="O521" s="217"/>
      <c r="P521" s="30"/>
      <c r="Q521" s="79">
        <f>база!$L$5</f>
        <v>231.45480000000001</v>
      </c>
      <c r="R521" s="272">
        <v>1.4</v>
      </c>
      <c r="S521" s="99">
        <f>SUMIFS(Таблица1[сумма],Таблица1[коэф],"1,4",Таблица1[р/р],"4/16",Таблица1[Ф. И. О.],B517)</f>
        <v>0</v>
      </c>
      <c r="T521" s="95">
        <f>ROUND(Q521*R521*S521,2)</f>
        <v>0</v>
      </c>
      <c r="U521" s="314">
        <f>база!$M$5</f>
        <v>247.41720000000001</v>
      </c>
      <c r="V521" s="272">
        <v>1.4</v>
      </c>
      <c r="W521" s="307">
        <f>SUMIFS(Таблица1[сумма],Таблица1[коэф],"1,4",Таблица1[р/р],"4/24",Таблица1[Ф. И. О.],B517)</f>
        <v>0</v>
      </c>
      <c r="X521" s="313">
        <f>ROUND(U521*V521*W521,2)</f>
        <v>0</v>
      </c>
      <c r="Y521" s="849"/>
      <c r="Z521" s="840"/>
      <c r="AA521" s="843"/>
    </row>
    <row r="522" spans="1:30" ht="24" thickBot="1">
      <c r="A522" s="787"/>
      <c r="B522" s="352"/>
      <c r="C522" s="846"/>
      <c r="D522" s="848"/>
      <c r="E522" s="102"/>
      <c r="F522" s="274"/>
      <c r="G522" s="626"/>
      <c r="H522" s="91"/>
      <c r="I522" s="627"/>
      <c r="J522" s="280"/>
      <c r="K522" s="628"/>
      <c r="L522" s="289"/>
      <c r="M522" s="627"/>
      <c r="N522" s="628"/>
      <c r="O522" s="628"/>
      <c r="P522" s="315"/>
      <c r="Q522" s="629">
        <f>база!$L$6</f>
        <v>261.04640000000001</v>
      </c>
      <c r="R522" s="274">
        <v>1.4</v>
      </c>
      <c r="S522" s="98">
        <f>SUMIFS(Таблица1[сумма],Таблица1[коэф],"1,4",Таблица1[р/р],"5/16",Таблица1[Ф. И. О.],B517)</f>
        <v>0</v>
      </c>
      <c r="T522" s="91">
        <f>ROUND(Q522*R522*S522,2)</f>
        <v>0</v>
      </c>
      <c r="U522" s="221">
        <f>база!$M$6</f>
        <v>279.0496</v>
      </c>
      <c r="V522" s="274">
        <v>1.4</v>
      </c>
      <c r="W522" s="98">
        <f>SUMIFS(Таблица1[сумма],Таблица1[коэф],"1,4",Таблица1[р/р],"5/24",Таблица1[Ф. И. О.],B517)</f>
        <v>0</v>
      </c>
      <c r="X522" s="91">
        <f>ROUND(U522*V522*W522,2)</f>
        <v>0</v>
      </c>
      <c r="Y522" s="850"/>
      <c r="Z522" s="841"/>
      <c r="AA522" s="844"/>
    </row>
    <row r="523" spans="1:30" ht="20.25" customHeight="1">
      <c r="A523" s="785">
        <v>48</v>
      </c>
      <c r="B523" s="238"/>
      <c r="C523" s="598">
        <f>INDEX(база!$E$2:$E$81, MATCH(B528,база!$B$2:$B$50,0))</f>
        <v>17341</v>
      </c>
      <c r="D523" s="601">
        <f>INDEX(база!$D$2:$D$89, MATCH(B528,база!$B$2:$B$50,0))</f>
        <v>3</v>
      </c>
      <c r="E523" s="634">
        <f>IF(D523&lt;=3,база!$I$4,
IF(D523=4,база!$I$5,
IF(D523=5,база!$I$6)))</f>
        <v>188.7912</v>
      </c>
      <c r="F523" s="635">
        <v>1</v>
      </c>
      <c r="G523" s="636">
        <f>SUMIFS(Таблица1[сумма],Таблица1[коэф],"1",Таблица1[р/р],"2/4",Таблица1[Ф. И. О.],B528)</f>
        <v>0</v>
      </c>
      <c r="H523" s="637">
        <f>ROUND(E523*F523*G523,2)</f>
        <v>0</v>
      </c>
      <c r="I523" s="638">
        <f>IF(D523&lt;=3,база!$J$4,
IF(D523=4,база!$J$5,
IF(D523=5,база!$J$6)))</f>
        <v>196.05240000000001</v>
      </c>
      <c r="J523" s="639">
        <v>1</v>
      </c>
      <c r="K523" s="640">
        <f>SUMIFS(Таблица1[сумма],Таблица1[коэф],"1",Таблица1[р/р],"2/8",Таблица1[Ф. И. О.],B528)</f>
        <v>0</v>
      </c>
      <c r="L523" s="641">
        <f>ROUND(I523*J523*K523,2)</f>
        <v>0</v>
      </c>
      <c r="M523" s="638"/>
      <c r="N523" s="640">
        <v>1</v>
      </c>
      <c r="O523" s="640">
        <f>SUMIFS(Data_Tech!$AM$3:$AM$67,Data_Tech!$E$3:$E$67,"1",Data_Tech!$G$3:$G$67,"3/12",Data_Tech!$F$3:$F$67,B528)</f>
        <v>0</v>
      </c>
      <c r="P523" s="642">
        <f>ROUND(M523*N523*O523,2)</f>
        <v>0</v>
      </c>
      <c r="Q523" s="643">
        <f>IF(D523&lt;=3,база!$L$4,
IF(D523=4,база!$L$5,
IF(D523=5,база!$L$6)))</f>
        <v>210.57480000000001</v>
      </c>
      <c r="R523" s="635">
        <v>1</v>
      </c>
      <c r="S523" s="644">
        <f>SUMIFS(Таблица1[сумма],Таблица1[коэф],"1",Таблица1[р/р],"3/16",Таблица1[Ф. И. О.],B528)</f>
        <v>0</v>
      </c>
      <c r="T523" s="637">
        <f t="shared" ref="T523:T527" si="321">ROUND(Q523*R523*S523,2)</f>
        <v>0</v>
      </c>
      <c r="U523" s="645">
        <f>IF(D523&lt;=3,база!$M$4,
IF(D523=4,база!$M$5,
IF(D523=5,база!$M$6)))</f>
        <v>225.09719999999999</v>
      </c>
      <c r="V523" s="635">
        <v>1</v>
      </c>
      <c r="W523" s="644">
        <f>SUMIFS(Таблица1[сумма],Таблица1[коэф],"1",Таблица1[р/р],"3/24",Таблица1[Ф. И. О.],B528)</f>
        <v>0</v>
      </c>
      <c r="X523" s="637">
        <f>ROUND(U523*V523*W523,2)</f>
        <v>0</v>
      </c>
      <c r="Y523" s="837">
        <f t="shared" ref="Y523" si="322">SUM(G523:G533,K523:K533,O523:O533,S523:S533,W523:W533)</f>
        <v>0</v>
      </c>
      <c r="Z523" s="853">
        <f t="shared" ref="Z523" si="323">IFERROR(SUM(H523:H533,L523:L533,T523:T533,X523:X533),"")</f>
        <v>0</v>
      </c>
      <c r="AA523" s="842"/>
    </row>
    <row r="524" spans="1:30" ht="20.25" customHeight="1">
      <c r="A524" s="786"/>
      <c r="B524" s="620"/>
      <c r="C524" s="599"/>
      <c r="D524" s="602"/>
      <c r="E524" s="85">
        <f>IF(D523&lt;=3,база!$I$4,
IF(D523=4,база!$I$5,
IF(D523=5,база!$I$6)))</f>
        <v>188.7912</v>
      </c>
      <c r="F524" s="273">
        <v>1</v>
      </c>
      <c r="G524" s="630">
        <f>SUMIFS(Таблица1[сумма],Таблица1[коэф],"1",Таблица1[р/р],"3/4",Таблица1[Ф. И. О.],B528)</f>
        <v>0</v>
      </c>
      <c r="H524" s="90">
        <f>ROUND(E524*F524*G524,2)</f>
        <v>0</v>
      </c>
      <c r="I524" s="67">
        <f>IF(D523&lt;=3,база!$J$4,
IF(D523=4,база!$J$5,
IF(D523=5,база!$J$6)))</f>
        <v>196.05240000000001</v>
      </c>
      <c r="J524" s="631">
        <v>1</v>
      </c>
      <c r="K524" s="59"/>
      <c r="L524" s="325">
        <f>ROUND(I524*J524*K524,2)</f>
        <v>0</v>
      </c>
      <c r="M524" s="67"/>
      <c r="N524" s="59">
        <v>1</v>
      </c>
      <c r="O524" s="59">
        <f>SUMIFS(Data_Tech!$AM$3:$AM$67,Data_Tech!$E$3:$E$67,"1",Data_Tech!$G$3:$G$67,"4/12",Data_Tech!$F$3:$F$67,B528)</f>
        <v>0</v>
      </c>
      <c r="P524" s="283">
        <f>ROUND(M524*O524,2)</f>
        <v>0</v>
      </c>
      <c r="Q524" s="632">
        <f>база!$L$5</f>
        <v>231.45480000000001</v>
      </c>
      <c r="R524" s="273">
        <v>1</v>
      </c>
      <c r="S524" s="101">
        <f>SUMIFS(Таблица1[сумма],Таблица1[коэф],"1",Таблица1[р/р],"4/16",Таблица1[Ф. И. О.],B528)</f>
        <v>0</v>
      </c>
      <c r="T524" s="90">
        <f t="shared" si="321"/>
        <v>0</v>
      </c>
      <c r="U524" s="106">
        <f>база!$M$5</f>
        <v>247.41720000000001</v>
      </c>
      <c r="V524" s="273">
        <v>1</v>
      </c>
      <c r="W524" s="101">
        <f>SUMIFS(Таблица1[сумма],Таблица1[коэф],"1",Таблица1[р/р],"4/24",Таблица1[Ф. И. О.],B528)</f>
        <v>0</v>
      </c>
      <c r="X524" s="90">
        <f t="shared" ref="X524" si="324">ROUND(U524*V524*W524,2)</f>
        <v>0</v>
      </c>
      <c r="Y524" s="838"/>
      <c r="Z524" s="840"/>
      <c r="AA524" s="843"/>
    </row>
    <row r="525" spans="1:30" ht="20.25" customHeight="1">
      <c r="A525" s="786"/>
      <c r="B525" s="620"/>
      <c r="C525" s="599"/>
      <c r="D525" s="602"/>
      <c r="E525" s="85"/>
      <c r="F525" s="273"/>
      <c r="G525" s="630"/>
      <c r="H525" s="90"/>
      <c r="I525" s="67"/>
      <c r="J525" s="631"/>
      <c r="K525" s="59"/>
      <c r="L525" s="325"/>
      <c r="M525" s="67"/>
      <c r="N525" s="59"/>
      <c r="O525" s="59"/>
      <c r="P525" s="283"/>
      <c r="Q525" s="632">
        <f>база!$L$6</f>
        <v>261.04640000000001</v>
      </c>
      <c r="R525" s="273">
        <v>1</v>
      </c>
      <c r="S525" s="101">
        <f>SUMIFS(Таблица1[сумма],Таблица1[коэф],"1",Таблица1[р/р],"5/16",Таблица1[Ф. И. О.],B528)</f>
        <v>0</v>
      </c>
      <c r="T525" s="90">
        <f t="shared" si="321"/>
        <v>0</v>
      </c>
      <c r="U525" s="106">
        <f>база!$M$6</f>
        <v>279.0496</v>
      </c>
      <c r="V525" s="273">
        <v>1</v>
      </c>
      <c r="W525" s="101">
        <f>SUMIFS(Таблица1[сумма],Таблица1[коэф],"1",Таблица1[р/р],"5/24",Таблица1[Ф. И. О.],B528)</f>
        <v>0</v>
      </c>
      <c r="X525" s="90">
        <f>ROUND(U525*V525*W525,2)</f>
        <v>0</v>
      </c>
      <c r="Y525" s="838"/>
      <c r="Z525" s="840"/>
      <c r="AA525" s="843"/>
    </row>
    <row r="526" spans="1:30" ht="20.25" customHeight="1">
      <c r="A526" s="786"/>
      <c r="B526" s="620"/>
      <c r="C526" s="599"/>
      <c r="D526" s="602"/>
      <c r="E526" s="85"/>
      <c r="F526" s="273"/>
      <c r="G526" s="630"/>
      <c r="H526" s="90"/>
      <c r="I526" s="67">
        <f>база!$J$5</f>
        <v>215.4924</v>
      </c>
      <c r="J526" s="631">
        <v>1.5</v>
      </c>
      <c r="K526" s="59">
        <f>SUMIFS(Таблица1[сумма],Таблица1[коэф],"1,5",Таблица1[р/р],"4/8",Таблица1[Ф. И. О.],B528)</f>
        <v>0</v>
      </c>
      <c r="L526" s="325">
        <f>ROUND(I526*J526*K526,2)</f>
        <v>0</v>
      </c>
      <c r="M526" s="67"/>
      <c r="N526" s="59"/>
      <c r="O526" s="59"/>
      <c r="P526" s="283"/>
      <c r="Q526" s="632">
        <f>IF(D523&lt;=3,база!$L$4,
IF(D523=4,база!$L$5,
IF(D523=5,база!$L$6)))</f>
        <v>210.57480000000001</v>
      </c>
      <c r="R526" s="273">
        <v>1.2</v>
      </c>
      <c r="S526" s="101">
        <f>SUMIFS(Таблица1[сумма],Таблица1[коэф],"1,2",Таблица1[р/р],"3/16",Таблица1[Ф. И. О.],B528)</f>
        <v>0</v>
      </c>
      <c r="T526" s="90">
        <f t="shared" si="321"/>
        <v>0</v>
      </c>
      <c r="U526" s="106">
        <f>IF(D523&lt;=3,база!$M$4,
IF(D523=4,база!$M$5,
IF(D523=5,база!$M$6)))</f>
        <v>225.09719999999999</v>
      </c>
      <c r="V526" s="273">
        <v>1.2</v>
      </c>
      <c r="W526" s="101">
        <f>SUMIFS(Таблица1[сумма],Таблица1[коэф],"1,2",Таблица1[р/р],"3/24",Таблица1[Ф. И. О.],B528)</f>
        <v>0</v>
      </c>
      <c r="X526" s="90">
        <f t="shared" ref="X526:X527" si="325">ROUND(U526*V526*W526,2)</f>
        <v>0</v>
      </c>
      <c r="Y526" s="838"/>
      <c r="Z526" s="840"/>
      <c r="AA526" s="843"/>
    </row>
    <row r="527" spans="1:30" ht="20.25" customHeight="1">
      <c r="A527" s="786"/>
      <c r="B527" s="620"/>
      <c r="C527" s="599"/>
      <c r="D527" s="602"/>
      <c r="E527" s="85"/>
      <c r="F527" s="273"/>
      <c r="G527" s="630"/>
      <c r="H527" s="90"/>
      <c r="I527" s="67">
        <f>база!$J$6</f>
        <v>243.04319999999998</v>
      </c>
      <c r="J527" s="631">
        <v>1.5</v>
      </c>
      <c r="K527" s="59">
        <f>SUMIFS(Таблица1[сумма],Таблица1[коэф],"1,5",Таблица1[р/р],"5/8",Таблица1[Ф. И. О.],B528)</f>
        <v>0</v>
      </c>
      <c r="L527" s="325">
        <f>ROUND(I527*J527*K527,2)</f>
        <v>0</v>
      </c>
      <c r="M527" s="67"/>
      <c r="N527" s="59"/>
      <c r="O527" s="59"/>
      <c r="P527" s="283"/>
      <c r="Q527" s="632">
        <f>база!$L$5</f>
        <v>231.45480000000001</v>
      </c>
      <c r="R527" s="273">
        <v>1.2</v>
      </c>
      <c r="S527" s="101">
        <f>SUMIFS(Таблица1[сумма],Таблица1[коэф],"1,2",Таблица1[р/р],"4/16",Таблица1[Ф. И. О.],B528)</f>
        <v>0</v>
      </c>
      <c r="T527" s="90">
        <f t="shared" si="321"/>
        <v>0</v>
      </c>
      <c r="U527" s="106">
        <f>база!$M$5</f>
        <v>247.41720000000001</v>
      </c>
      <c r="V527" s="273">
        <v>1.2</v>
      </c>
      <c r="W527" s="101">
        <f>SUMIFS(Таблица1[сумма],Таблица1[коэф],"1,2",Таблица1[р/р],"4/24",Таблица1[Ф. И. О.],B528)</f>
        <v>0</v>
      </c>
      <c r="X527" s="90">
        <f t="shared" si="325"/>
        <v>0</v>
      </c>
      <c r="Y527" s="838"/>
      <c r="Z527" s="840"/>
      <c r="AA527" s="843"/>
      <c r="AC527" s="722" t="str">
        <f>IF(SUMIFS(Таблица1[Столбец2],Таблица1[Ф. И. О.],B528)-Z523=0,"",SUMIFS(Таблица1[Столбец2],Таблица1[Ф. И. О.],B528)-Z523)</f>
        <v/>
      </c>
    </row>
    <row r="528" spans="1:30" ht="20.25" customHeight="1">
      <c r="A528" s="786"/>
      <c r="B528" s="620" t="str">
        <f>база!B49</f>
        <v>Машталяр Анна Сергеевна</v>
      </c>
      <c r="C528" s="599"/>
      <c r="D528" s="602"/>
      <c r="E528" s="85"/>
      <c r="F528" s="273"/>
      <c r="G528" s="630"/>
      <c r="H528" s="90"/>
      <c r="I528" s="67"/>
      <c r="J528" s="631"/>
      <c r="K528" s="59"/>
      <c r="L528" s="325"/>
      <c r="M528" s="67"/>
      <c r="N528" s="59"/>
      <c r="O528" s="59"/>
      <c r="P528" s="283"/>
      <c r="Q528" s="632">
        <f>база!$L$6</f>
        <v>261.04640000000001</v>
      </c>
      <c r="R528" s="273">
        <v>1.2</v>
      </c>
      <c r="S528" s="101">
        <f>SUMIFS(Таблица1[сумма],Таблица1[коэф],"1,2",Таблица1[р/р],"5/16",Таблица1[Ф. И. О.],B528)</f>
        <v>0</v>
      </c>
      <c r="T528" s="90">
        <f>ROUND(Q528*R528*S528,2)</f>
        <v>0</v>
      </c>
      <c r="U528" s="106">
        <f>база!$M$6</f>
        <v>279.0496</v>
      </c>
      <c r="V528" s="273">
        <v>1.2</v>
      </c>
      <c r="W528" s="101">
        <f>SUMIFS(Таблица1[сумма],Таблица1[коэф],"1,2",Таблица1[р/р],"5/24",Таблица1[Ф. И. О.],B528)</f>
        <v>0</v>
      </c>
      <c r="X528" s="90">
        <f>ROUND(U528*V528*W528,2)</f>
        <v>0</v>
      </c>
      <c r="Y528" s="838"/>
      <c r="Z528" s="840"/>
      <c r="AA528" s="843"/>
      <c r="AC528" s="722" t="str">
        <f>IF(SUMIFS(Таблица1[сумма],Таблица1[Ф. И. О.],B528)=Y523,"",B523&amp;"  часы не верны")</f>
        <v/>
      </c>
      <c r="AD528" s="759">
        <f>INDEX('[2]декабрь 23'!$AI$4:$AI$100,MATCH(C523,'[2]декабрь 23'!$AK$4:$AK$100,0))</f>
        <v>57.600000000000009</v>
      </c>
    </row>
    <row r="529" spans="1:30" ht="20.25" customHeight="1">
      <c r="A529" s="786"/>
      <c r="B529" s="620"/>
      <c r="C529" s="599"/>
      <c r="D529" s="602"/>
      <c r="E529" s="85"/>
      <c r="F529" s="273"/>
      <c r="G529" s="630"/>
      <c r="H529" s="90"/>
      <c r="I529" s="67"/>
      <c r="J529" s="631"/>
      <c r="K529" s="59"/>
      <c r="L529" s="325"/>
      <c r="M529" s="67"/>
      <c r="N529" s="59"/>
      <c r="O529" s="59"/>
      <c r="P529" s="283"/>
      <c r="Q529" s="632">
        <f>IF($D$6&lt;=3,база!$L$4,
IF($D$6=4,база!$L$5,
IF($D$6=5,база!$L$6)))</f>
        <v>231.45480000000001</v>
      </c>
      <c r="R529" s="273">
        <v>1.3</v>
      </c>
      <c r="S529" s="101">
        <f>SUMIFS(Таблица1[сумма],Таблица1[коэф],"1,3",Таблица1[р/р],"3/16",Таблица1[Ф. И. О.],B528)</f>
        <v>0</v>
      </c>
      <c r="T529" s="90">
        <f t="shared" ref="T529:T530" si="326">ROUND(Q529*R529*S529,2)</f>
        <v>0</v>
      </c>
      <c r="U529" s="106">
        <f>IF(D523&lt;=3,база!$M$4,
IF(D523=4,база!$M$5,
IF(D523=5,база!$M$6)))</f>
        <v>225.09719999999999</v>
      </c>
      <c r="V529" s="273">
        <v>1.3</v>
      </c>
      <c r="W529" s="101">
        <f>SUMIFS(Таблица1[сумма],Таблица1[коэф],"1,3",Таблица1[р/р],"3/24",Таблица1[Ф. И. О.],B528)</f>
        <v>0</v>
      </c>
      <c r="X529" s="90">
        <f t="shared" ref="X529:X530" si="327">ROUND(U529*V529*W529,2)</f>
        <v>0</v>
      </c>
      <c r="Y529" s="838"/>
      <c r="Z529" s="840"/>
      <c r="AA529" s="843"/>
    </row>
    <row r="530" spans="1:30" ht="20.25" customHeight="1">
      <c r="A530" s="786"/>
      <c r="B530" s="620"/>
      <c r="C530" s="599"/>
      <c r="D530" s="602"/>
      <c r="E530" s="85"/>
      <c r="F530" s="273"/>
      <c r="G530" s="630"/>
      <c r="H530" s="90"/>
      <c r="I530" s="67"/>
      <c r="J530" s="631"/>
      <c r="K530" s="59"/>
      <c r="L530" s="325"/>
      <c r="M530" s="67"/>
      <c r="N530" s="59"/>
      <c r="O530" s="59"/>
      <c r="P530" s="283"/>
      <c r="Q530" s="632">
        <f>база!$L$5</f>
        <v>231.45480000000001</v>
      </c>
      <c r="R530" s="273">
        <v>1.3</v>
      </c>
      <c r="S530" s="101">
        <f>SUMIFS(Таблица1[сумма],Таблица1[коэф],"1,3",Таблица1[р/р],"4/16",Таблица1[Ф. И. О.],B528)</f>
        <v>0</v>
      </c>
      <c r="T530" s="90">
        <f t="shared" si="326"/>
        <v>0</v>
      </c>
      <c r="U530" s="106">
        <f>база!$M$5</f>
        <v>247.41720000000001</v>
      </c>
      <c r="V530" s="273">
        <v>1.3</v>
      </c>
      <c r="W530" s="101">
        <f>SUMIFS(Таблица1[сумма],Таблица1[коэф],"1,3",Таблица1[р/р],"4/24",Таблица1[Ф. И. О.],B528)</f>
        <v>0</v>
      </c>
      <c r="X530" s="90">
        <f t="shared" si="327"/>
        <v>0</v>
      </c>
      <c r="Y530" s="838"/>
      <c r="Z530" s="840"/>
      <c r="AA530" s="843"/>
    </row>
    <row r="531" spans="1:30" ht="20.25" customHeight="1">
      <c r="A531" s="786"/>
      <c r="B531" s="620"/>
      <c r="C531" s="599"/>
      <c r="D531" s="602"/>
      <c r="E531" s="85"/>
      <c r="F531" s="273"/>
      <c r="G531" s="630"/>
      <c r="H531" s="90"/>
      <c r="I531" s="67"/>
      <c r="J531" s="631"/>
      <c r="K531" s="59"/>
      <c r="L531" s="325"/>
      <c r="M531" s="67"/>
      <c r="N531" s="59"/>
      <c r="O531" s="59"/>
      <c r="P531" s="283"/>
      <c r="Q531" s="632">
        <f>IF(D523&lt;=3,база!$L$4,
IF(D523=4,база!$L$5,
IF(D523=5,база!$L$6)))</f>
        <v>210.57480000000001</v>
      </c>
      <c r="R531" s="273">
        <v>1.4</v>
      </c>
      <c r="S531" s="101">
        <f>SUMIFS(Таблица1[сумма],Таблица1[коэф],"1,4",Таблица1[р/р],"3/16",Таблица1[Ф. И. О.],B528)</f>
        <v>0</v>
      </c>
      <c r="T531" s="90">
        <f>ROUND(Q531*R531*S531,2)</f>
        <v>0</v>
      </c>
      <c r="U531" s="106">
        <f>IF(D523&lt;=3,база!$M$4,
IF(D523=4,база!$M$5,
IF(D523=5,база!$M$6)))</f>
        <v>225.09719999999999</v>
      </c>
      <c r="V531" s="273">
        <v>1.4</v>
      </c>
      <c r="W531" s="101">
        <f>SUMIFS(Таблица1[сумма],Таблица1[коэф],"1,4",Таблица1[р/р],"3/24",Таблица1[Ф. И. О.],B528)</f>
        <v>0</v>
      </c>
      <c r="X531" s="90">
        <f>ROUND(U531*V531*W531,2)</f>
        <v>0</v>
      </c>
      <c r="Y531" s="838"/>
      <c r="Z531" s="840"/>
      <c r="AA531" s="843"/>
    </row>
    <row r="532" spans="1:30" ht="20.25" customHeight="1">
      <c r="A532" s="786"/>
      <c r="B532" s="620"/>
      <c r="C532" s="599"/>
      <c r="D532" s="602"/>
      <c r="E532" s="85"/>
      <c r="F532" s="273"/>
      <c r="G532" s="630"/>
      <c r="H532" s="90"/>
      <c r="I532" s="67"/>
      <c r="J532" s="631"/>
      <c r="K532" s="59"/>
      <c r="L532" s="325"/>
      <c r="M532" s="67"/>
      <c r="N532" s="59"/>
      <c r="O532" s="59"/>
      <c r="P532" s="283"/>
      <c r="Q532" s="632">
        <f>база!$L$5</f>
        <v>231.45480000000001</v>
      </c>
      <c r="R532" s="273">
        <v>1.4</v>
      </c>
      <c r="S532" s="101">
        <f>SUMIFS(Таблица1[сумма],Таблица1[коэф],"1,4",Таблица1[р/р],"4/16",Таблица1[Ф. И. О.],B528)</f>
        <v>0</v>
      </c>
      <c r="T532" s="90">
        <f>ROUND(Q532*R532*S532,2)</f>
        <v>0</v>
      </c>
      <c r="U532" s="106">
        <f>база!$M$5</f>
        <v>247.41720000000001</v>
      </c>
      <c r="V532" s="273">
        <v>1.4</v>
      </c>
      <c r="W532" s="101">
        <f>SUMIFS(Таблица1[сумма],Таблица1[коэф],"1,4",Таблица1[р/р],"4/24",Таблица1[Ф. И. О.],B528)</f>
        <v>0</v>
      </c>
      <c r="X532" s="90">
        <f>ROUND(U532*V532*W532,2)</f>
        <v>0</v>
      </c>
      <c r="Y532" s="838"/>
      <c r="Z532" s="840"/>
      <c r="AA532" s="843"/>
    </row>
    <row r="533" spans="1:30" ht="21" customHeight="1" thickBot="1">
      <c r="A533" s="787"/>
      <c r="B533" s="352"/>
      <c r="C533" s="600"/>
      <c r="D533" s="603"/>
      <c r="E533" s="77"/>
      <c r="F533" s="276"/>
      <c r="G533" s="622"/>
      <c r="H533" s="94"/>
      <c r="I533" s="623"/>
      <c r="J533" s="596"/>
      <c r="K533" s="624"/>
      <c r="L533" s="328"/>
      <c r="M533" s="623"/>
      <c r="N533" s="624"/>
      <c r="O533" s="624"/>
      <c r="P533" s="290"/>
      <c r="Q533" s="625">
        <f>база!$L$6</f>
        <v>261.04640000000001</v>
      </c>
      <c r="R533" s="276">
        <v>1.4</v>
      </c>
      <c r="S533" s="100">
        <f>SUMIFS(Таблица1[сумма],Таблица1[коэф],"1,4",Таблица1[р/р],"5/16",Таблица1[Ф. И. О.],B528)</f>
        <v>0</v>
      </c>
      <c r="T533" s="94">
        <f>ROUND(Q533*R533*S533,2)</f>
        <v>0</v>
      </c>
      <c r="U533" s="84">
        <f>база!$M$6</f>
        <v>279.0496</v>
      </c>
      <c r="V533" s="276">
        <v>1.4</v>
      </c>
      <c r="W533" s="100">
        <f>SUMIFS(Таблица1[сумма],Таблица1[коэф],"1,4",Таблица1[р/р],"5/24",Таблица1[Ф. И. О.],B528)</f>
        <v>0</v>
      </c>
      <c r="X533" s="94">
        <f>ROUND(U533*V533*W533,2)</f>
        <v>0</v>
      </c>
      <c r="Y533" s="839"/>
      <c r="Z533" s="841"/>
      <c r="AA533" s="844"/>
    </row>
    <row r="534" spans="1:30" ht="20.25" customHeight="1">
      <c r="A534" s="785">
        <v>49</v>
      </c>
      <c r="B534" s="238"/>
      <c r="C534" s="851">
        <f>INDEX(база!$E$2:$E$81, MATCH(B539,база!$B$2:$B$50,0))</f>
        <v>17121</v>
      </c>
      <c r="D534" s="852">
        <f>INDEX(база!$D$2:$D$89, MATCH(B539,база!$B$2:$B$50,0))</f>
        <v>3</v>
      </c>
      <c r="E534" s="634">
        <f>IF(D534&lt;=3,база!$I$4,
IF(D534=4,база!$I$5,
IF(D534=5,база!$I$6)))</f>
        <v>188.7912</v>
      </c>
      <c r="F534" s="635">
        <v>1</v>
      </c>
      <c r="G534" s="636">
        <f>SUMIFS(Таблица1[сумма],Таблица1[коэф],"1",Таблица1[р/р],"2/4",Таблица1[Ф. И. О.],B539)</f>
        <v>0</v>
      </c>
      <c r="H534" s="637">
        <f>ROUND(E534*F534*G534,2)</f>
        <v>0</v>
      </c>
      <c r="I534" s="638">
        <f>IF(D534&lt;=3,база!$J$4,
IF(D534=4,база!$J$5,
IF(D534=5,база!$J$6)))</f>
        <v>196.05240000000001</v>
      </c>
      <c r="J534" s="639">
        <v>1</v>
      </c>
      <c r="K534" s="640">
        <f>SUMIFS(Таблица1[сумма],Таблица1[коэф],"1",Таблица1[р/р],"2/8",Таблица1[Ф. И. О.],B539)</f>
        <v>0</v>
      </c>
      <c r="L534" s="641">
        <f>ROUND(I534*J534*K534,2)</f>
        <v>0</v>
      </c>
      <c r="M534" s="638"/>
      <c r="N534" s="640">
        <v>1</v>
      </c>
      <c r="O534" s="640">
        <f>SUMIFS(Data_Tech!$AM$3:$AM$67,Data_Tech!$E$3:$E$67,"1",Data_Tech!$G$3:$G$67,"3/12",Data_Tech!$F$3:$F$67,B539)</f>
        <v>0</v>
      </c>
      <c r="P534" s="642">
        <f>ROUND(M534*N534*O534,2)</f>
        <v>0</v>
      </c>
      <c r="Q534" s="643">
        <f>IF(D534&lt;=3,база!$L$4,
IF(D534=4,база!$L$5,
IF(D534=5,база!$L$6)))</f>
        <v>210.57480000000001</v>
      </c>
      <c r="R534" s="635">
        <v>1</v>
      </c>
      <c r="S534" s="644">
        <f>SUMIFS(Таблица1[сумма],Таблица1[коэф],"1",Таблица1[р/р],"3/16",Таблица1[Ф. И. О.],B539)</f>
        <v>0</v>
      </c>
      <c r="T534" s="637">
        <f t="shared" ref="T534:T538" si="328">ROUND(Q534*R534*S534,2)</f>
        <v>0</v>
      </c>
      <c r="U534" s="645">
        <f>IF(D534&lt;=3,база!$M$4,
IF(D534=4,база!$M$5,
IF(D534=5,база!$M$6)))</f>
        <v>225.09719999999999</v>
      </c>
      <c r="V534" s="635">
        <v>1</v>
      </c>
      <c r="W534" s="644">
        <f>SUMIFS(Таблица1[сумма],Таблица1[коэф],"1",Таблица1[р/р],"3/24",Таблица1[Ф. И. О.],B539)</f>
        <v>0</v>
      </c>
      <c r="X534" s="637">
        <f>ROUND(U534*V534*W534,2)</f>
        <v>0</v>
      </c>
      <c r="Y534" s="838">
        <f t="shared" ref="Y534" si="329">SUM(G534:G544,K534:K544,O534:O544,S534:S544,W534:W544)</f>
        <v>0</v>
      </c>
      <c r="Z534" s="853">
        <f t="shared" ref="Z534" si="330">IFERROR(SUM(H534:H544,L534:L544,T534:T544,X534:X544),"")</f>
        <v>0</v>
      </c>
      <c r="AA534" s="842"/>
    </row>
    <row r="535" spans="1:30">
      <c r="A535" s="786"/>
      <c r="B535" s="620"/>
      <c r="C535" s="845"/>
      <c r="D535" s="847"/>
      <c r="E535" s="85">
        <f>IF(D534&lt;=3,база!$I$4,
IF(D534=4,база!$I$5,
IF(D534=5,база!$I$6)))</f>
        <v>188.7912</v>
      </c>
      <c r="F535" s="273">
        <v>1</v>
      </c>
      <c r="G535" s="630">
        <f>SUMIFS(Таблица1[сумма],Таблица1[коэф],"1",Таблица1[р/р],"3/4",Таблица1[Ф. И. О.],B539)</f>
        <v>0</v>
      </c>
      <c r="H535" s="90">
        <f>ROUND(E535*F535*G535,2)</f>
        <v>0</v>
      </c>
      <c r="I535" s="67">
        <f>IF(D534&lt;=3,база!$J$4,
IF(D534=4,база!$J$5,
IF(D534=5,база!$J$6)))</f>
        <v>196.05240000000001</v>
      </c>
      <c r="J535" s="631">
        <v>1</v>
      </c>
      <c r="K535" s="59"/>
      <c r="L535" s="325">
        <f>ROUND(I535*J535*K535,2)</f>
        <v>0</v>
      </c>
      <c r="M535" s="67"/>
      <c r="N535" s="59">
        <v>1</v>
      </c>
      <c r="O535" s="59">
        <f>SUMIFS(Data_Tech!$AM$3:$AM$67,Data_Tech!$E$3:$E$67,"1",Data_Tech!$G$3:$G$67,"4/12",Data_Tech!$F$3:$F$67,B539)</f>
        <v>0</v>
      </c>
      <c r="P535" s="283">
        <f>ROUND(M535*O535,2)</f>
        <v>0</v>
      </c>
      <c r="Q535" s="632">
        <f>база!$L$5</f>
        <v>231.45480000000001</v>
      </c>
      <c r="R535" s="273">
        <v>1</v>
      </c>
      <c r="S535" s="101">
        <f>SUMIFS(Таблица1[сумма],Таблица1[коэф],"1",Таблица1[р/р],"4/16",Таблица1[Ф. И. О.],B539)</f>
        <v>0</v>
      </c>
      <c r="T535" s="90">
        <f t="shared" si="328"/>
        <v>0</v>
      </c>
      <c r="U535" s="106">
        <f>база!$M$5</f>
        <v>247.41720000000001</v>
      </c>
      <c r="V535" s="273">
        <v>1</v>
      </c>
      <c r="W535" s="101">
        <f>SUMIFS(Таблица1[сумма],Таблица1[коэф],"1",Таблица1[р/р],"4/24",Таблица1[Ф. И. О.],B539)</f>
        <v>0</v>
      </c>
      <c r="X535" s="90">
        <f t="shared" ref="X535" si="331">ROUND(U535*V535*W535,2)</f>
        <v>0</v>
      </c>
      <c r="Y535" s="838"/>
      <c r="Z535" s="840"/>
      <c r="AA535" s="843"/>
    </row>
    <row r="536" spans="1:30">
      <c r="A536" s="786"/>
      <c r="B536" s="620"/>
      <c r="C536" s="845"/>
      <c r="D536" s="847"/>
      <c r="E536" s="85"/>
      <c r="F536" s="273"/>
      <c r="G536" s="630"/>
      <c r="H536" s="90"/>
      <c r="I536" s="67"/>
      <c r="J536" s="631"/>
      <c r="K536" s="59"/>
      <c r="L536" s="325"/>
      <c r="M536" s="67"/>
      <c r="N536" s="59"/>
      <c r="O536" s="59"/>
      <c r="P536" s="283"/>
      <c r="Q536" s="632">
        <f>база!$L$6</f>
        <v>261.04640000000001</v>
      </c>
      <c r="R536" s="273">
        <v>1</v>
      </c>
      <c r="S536" s="101">
        <f>SUMIFS(Таблица1[сумма],Таблица1[коэф],"1",Таблица1[р/р],"5/16",Таблица1[Ф. И. О.],B539)</f>
        <v>0</v>
      </c>
      <c r="T536" s="90">
        <f t="shared" si="328"/>
        <v>0</v>
      </c>
      <c r="U536" s="106">
        <f>база!$M$6</f>
        <v>279.0496</v>
      </c>
      <c r="V536" s="273">
        <v>1</v>
      </c>
      <c r="W536" s="101">
        <f>SUMIFS(Таблица1[сумма],Таблица1[коэф],"1",Таблица1[р/р],"5/24",Таблица1[Ф. И. О.],B539)</f>
        <v>0</v>
      </c>
      <c r="X536" s="90">
        <f>ROUND(U536*V536*W536,2)</f>
        <v>0</v>
      </c>
      <c r="Y536" s="838"/>
      <c r="Z536" s="840"/>
      <c r="AA536" s="843"/>
    </row>
    <row r="537" spans="1:30">
      <c r="A537" s="786"/>
      <c r="B537" s="620"/>
      <c r="C537" s="845"/>
      <c r="D537" s="847"/>
      <c r="E537" s="85"/>
      <c r="F537" s="273"/>
      <c r="G537" s="630"/>
      <c r="H537" s="90"/>
      <c r="I537" s="67">
        <f>база!$J$5</f>
        <v>215.4924</v>
      </c>
      <c r="J537" s="631">
        <v>1.5</v>
      </c>
      <c r="K537" s="59">
        <f>SUMIFS(Таблица1[сумма],Таблица1[коэф],"1,5",Таблица1[р/р],"4/8",Таблица1[Ф. И. О.],B539)</f>
        <v>0</v>
      </c>
      <c r="L537" s="325">
        <f>ROUND(I537*J537*K537,2)</f>
        <v>0</v>
      </c>
      <c r="M537" s="67"/>
      <c r="N537" s="59"/>
      <c r="O537" s="59"/>
      <c r="P537" s="283"/>
      <c r="Q537" s="632">
        <f>IF(D534&lt;=3,база!$L$4,
IF(D534=4,база!$L$5,
IF(D534=5,база!$L$6)))</f>
        <v>210.57480000000001</v>
      </c>
      <c r="R537" s="273">
        <v>1.2</v>
      </c>
      <c r="S537" s="101">
        <f>SUMIFS(Таблица1[сумма],Таблица1[коэф],"1,2",Таблица1[р/р],"3/16",Таблица1[Ф. И. О.],B539)</f>
        <v>0</v>
      </c>
      <c r="T537" s="90">
        <f t="shared" si="328"/>
        <v>0</v>
      </c>
      <c r="U537" s="106">
        <f>IF(D534&lt;=3,база!$M$4,
IF(D534=4,база!$M$5,
IF(D534=5,база!$M$6)))</f>
        <v>225.09719999999999</v>
      </c>
      <c r="V537" s="273">
        <v>1.2</v>
      </c>
      <c r="W537" s="101">
        <f>SUMIFS(Таблица1[сумма],Таблица1[коэф],"1,2",Таблица1[р/р],"3/24",Таблица1[Ф. И. О.],B539)</f>
        <v>0</v>
      </c>
      <c r="X537" s="90">
        <f t="shared" ref="X537:X538" si="332">ROUND(U537*V537*W537,2)</f>
        <v>0</v>
      </c>
      <c r="Y537" s="838"/>
      <c r="Z537" s="840"/>
      <c r="AA537" s="843"/>
    </row>
    <row r="538" spans="1:30">
      <c r="A538" s="786"/>
      <c r="B538" s="620"/>
      <c r="C538" s="845"/>
      <c r="D538" s="847"/>
      <c r="E538" s="85"/>
      <c r="F538" s="273"/>
      <c r="G538" s="630"/>
      <c r="H538" s="90"/>
      <c r="I538" s="67">
        <f>база!$J$6</f>
        <v>243.04319999999998</v>
      </c>
      <c r="J538" s="631">
        <v>1.5</v>
      </c>
      <c r="K538" s="59">
        <f>SUMIFS(Таблица1[сумма],Таблица1[коэф],"1,5",Таблица1[р/р],"5/8",Таблица1[Ф. И. О.],B539)</f>
        <v>0</v>
      </c>
      <c r="L538" s="325">
        <f>ROUND(I538*J538*K538,2)</f>
        <v>0</v>
      </c>
      <c r="M538" s="67"/>
      <c r="N538" s="59"/>
      <c r="O538" s="59"/>
      <c r="P538" s="283"/>
      <c r="Q538" s="632">
        <f>база!$L$5</f>
        <v>231.45480000000001</v>
      </c>
      <c r="R538" s="273">
        <v>1.2</v>
      </c>
      <c r="S538" s="101">
        <f>SUMIFS(Таблица1[сумма],Таблица1[коэф],"1,2",Таблица1[р/р],"4/16",Таблица1[Ф. И. О.],B539)</f>
        <v>0</v>
      </c>
      <c r="T538" s="90">
        <f t="shared" si="328"/>
        <v>0</v>
      </c>
      <c r="U538" s="106">
        <f>база!$M$5</f>
        <v>247.41720000000001</v>
      </c>
      <c r="V538" s="273">
        <v>1.2</v>
      </c>
      <c r="W538" s="101">
        <f>SUMIFS(Таблица1[сумма],Таблица1[коэф],"1,2",Таблица1[р/р],"4/24",Таблица1[Ф. И. О.],B539)</f>
        <v>0</v>
      </c>
      <c r="X538" s="90">
        <f t="shared" si="332"/>
        <v>0</v>
      </c>
      <c r="Y538" s="838"/>
      <c r="Z538" s="840"/>
      <c r="AA538" s="843"/>
      <c r="AC538" s="722" t="str">
        <f>IF(SUMIFS(Таблица1[Столбец2],Таблица1[Ф. И. О.],B539)-Z534=0,"",SUMIFS(Таблица1[Столбец2],Таблица1[Ф. И. О.],B539)-Z534)</f>
        <v/>
      </c>
    </row>
    <row r="539" spans="1:30">
      <c r="A539" s="786"/>
      <c r="B539" s="620" t="str">
        <f>база!B50</f>
        <v>Мельникова Анна Юрьевна</v>
      </c>
      <c r="C539" s="845"/>
      <c r="D539" s="847"/>
      <c r="E539" s="85"/>
      <c r="F539" s="273"/>
      <c r="G539" s="630"/>
      <c r="H539" s="90"/>
      <c r="I539" s="67"/>
      <c r="J539" s="631"/>
      <c r="K539" s="59"/>
      <c r="L539" s="325"/>
      <c r="M539" s="67"/>
      <c r="N539" s="59"/>
      <c r="O539" s="59"/>
      <c r="P539" s="283"/>
      <c r="Q539" s="632">
        <f>база!$L$6</f>
        <v>261.04640000000001</v>
      </c>
      <c r="R539" s="273">
        <v>1.2</v>
      </c>
      <c r="S539" s="101">
        <f>SUMIFS(Таблица1[сумма],Таблица1[коэф],"1,2",Таблица1[р/р],"5/16",Таблица1[Ф. И. О.],B539)</f>
        <v>0</v>
      </c>
      <c r="T539" s="90">
        <f>ROUND(Q539*R539*S539,2)</f>
        <v>0</v>
      </c>
      <c r="U539" s="106">
        <f>база!$M$6</f>
        <v>279.0496</v>
      </c>
      <c r="V539" s="273">
        <v>1.2</v>
      </c>
      <c r="W539" s="101">
        <f>SUMIFS(Таблица1[сумма],Таблица1[коэф],"1,2",Таблица1[р/р],"5/24",Таблица1[Ф. И. О.],B539)</f>
        <v>0</v>
      </c>
      <c r="X539" s="90">
        <f>ROUND(U539*V539*W539,2)</f>
        <v>0</v>
      </c>
      <c r="Y539" s="838"/>
      <c r="Z539" s="840"/>
      <c r="AA539" s="843"/>
      <c r="AC539" s="722" t="str">
        <f>IF(SUMIFS(Таблица1[сумма],Таблица1[Ф. И. О.],B539)=Y534,"",B534&amp;"  часы не верны")</f>
        <v/>
      </c>
      <c r="AD539" s="759">
        <f>INDEX('[2]декабрь 23'!$AI$4:$AI$100,MATCH(C534,'[2]декабрь 23'!$AK$4:$AK$100,0))</f>
        <v>115.20000000000003</v>
      </c>
    </row>
    <row r="540" spans="1:30">
      <c r="A540" s="786"/>
      <c r="B540" s="620"/>
      <c r="C540" s="845"/>
      <c r="D540" s="847"/>
      <c r="E540" s="85"/>
      <c r="F540" s="273"/>
      <c r="G540" s="630"/>
      <c r="H540" s="90"/>
      <c r="I540" s="67"/>
      <c r="J540" s="631"/>
      <c r="K540" s="59"/>
      <c r="L540" s="325"/>
      <c r="M540" s="67"/>
      <c r="N540" s="59"/>
      <c r="O540" s="59"/>
      <c r="P540" s="283"/>
      <c r="Q540" s="632">
        <f>IF($D$6&lt;=3,база!$L$4,
IF($D$6=4,база!$L$5,
IF($D$6=5,база!$L$6)))</f>
        <v>231.45480000000001</v>
      </c>
      <c r="R540" s="273">
        <v>1.3</v>
      </c>
      <c r="S540" s="101">
        <f>SUMIFS(Таблица1[сумма],Таблица1[коэф],"1,3",Таблица1[р/р],"3/16",Таблица1[Ф. И. О.],B539)</f>
        <v>0</v>
      </c>
      <c r="T540" s="90">
        <f t="shared" ref="T540:T541" si="333">ROUND(Q540*R540*S540,2)</f>
        <v>0</v>
      </c>
      <c r="U540" s="106">
        <f>IF(D534&lt;=3,база!$M$4,
IF(D534=4,база!$M$5,
IF(D534=5,база!$M$6)))</f>
        <v>225.09719999999999</v>
      </c>
      <c r="V540" s="273">
        <v>1.3</v>
      </c>
      <c r="W540" s="101">
        <f>SUMIFS(Таблица1[сумма],Таблица1[коэф],"1,3",Таблица1[р/р],"3/24",Таблица1[Ф. И. О.],B539)</f>
        <v>0</v>
      </c>
      <c r="X540" s="90">
        <f t="shared" ref="X540:X541" si="334">ROUND(U540*V540*W540,2)</f>
        <v>0</v>
      </c>
      <c r="Y540" s="838"/>
      <c r="Z540" s="840"/>
      <c r="AA540" s="843"/>
    </row>
    <row r="541" spans="1:30">
      <c r="A541" s="786"/>
      <c r="B541" s="620"/>
      <c r="C541" s="845"/>
      <c r="D541" s="847"/>
      <c r="E541" s="85"/>
      <c r="F541" s="273"/>
      <c r="G541" s="630"/>
      <c r="H541" s="90"/>
      <c r="I541" s="67"/>
      <c r="J541" s="631"/>
      <c r="K541" s="59"/>
      <c r="L541" s="325"/>
      <c r="M541" s="67"/>
      <c r="N541" s="59"/>
      <c r="O541" s="59"/>
      <c r="P541" s="283"/>
      <c r="Q541" s="632">
        <f>база!$L$5</f>
        <v>231.45480000000001</v>
      </c>
      <c r="R541" s="273">
        <v>1.3</v>
      </c>
      <c r="S541" s="101">
        <f>SUMIFS(Таблица1[сумма],Таблица1[коэф],"1,3",Таблица1[р/р],"4/16",Таблица1[Ф. И. О.],B539)</f>
        <v>0</v>
      </c>
      <c r="T541" s="90">
        <f t="shared" si="333"/>
        <v>0</v>
      </c>
      <c r="U541" s="106">
        <f>база!$M$5</f>
        <v>247.41720000000001</v>
      </c>
      <c r="V541" s="273">
        <v>1.3</v>
      </c>
      <c r="W541" s="101">
        <f>SUMIFS(Таблица1[сумма],Таблица1[коэф],"1,3",Таблица1[р/р],"4/24",Таблица1[Ф. И. О.],B539)</f>
        <v>0</v>
      </c>
      <c r="X541" s="90">
        <f t="shared" si="334"/>
        <v>0</v>
      </c>
      <c r="Y541" s="838"/>
      <c r="Z541" s="840"/>
      <c r="AA541" s="843"/>
    </row>
    <row r="542" spans="1:30">
      <c r="A542" s="786"/>
      <c r="B542" s="620"/>
      <c r="C542" s="845"/>
      <c r="D542" s="847"/>
      <c r="E542" s="85"/>
      <c r="F542" s="273"/>
      <c r="G542" s="630"/>
      <c r="H542" s="90"/>
      <c r="I542" s="67"/>
      <c r="J542" s="631"/>
      <c r="K542" s="59"/>
      <c r="L542" s="325"/>
      <c r="M542" s="67"/>
      <c r="N542" s="59"/>
      <c r="O542" s="59"/>
      <c r="P542" s="283"/>
      <c r="Q542" s="632">
        <f>IF(D534&lt;=3,база!$L$4,
IF(D534=4,база!$L$5,
IF(D534=5,база!$L$6)))</f>
        <v>210.57480000000001</v>
      </c>
      <c r="R542" s="273">
        <v>1.4</v>
      </c>
      <c r="S542" s="101">
        <f>SUMIFS(Таблица1[сумма],Таблица1[коэф],"1,4",Таблица1[р/р],"3/16",Таблица1[Ф. И. О.],B539)</f>
        <v>0</v>
      </c>
      <c r="T542" s="90">
        <f>ROUND(Q542*R542*S542,2)</f>
        <v>0</v>
      </c>
      <c r="U542" s="106">
        <f>IF(D534&lt;=3,база!$M$4,
IF(D534=4,база!$M$5,
IF(D534=5,база!$M$6)))</f>
        <v>225.09719999999999</v>
      </c>
      <c r="V542" s="273">
        <v>1.4</v>
      </c>
      <c r="W542" s="101">
        <f>SUMIFS(Таблица1[сумма],Таблица1[коэф],"1,4",Таблица1[р/р],"3/24",Таблица1[Ф. И. О.],B539)</f>
        <v>0</v>
      </c>
      <c r="X542" s="90">
        <f>ROUND(U542*V542*W542,2)</f>
        <v>0</v>
      </c>
      <c r="Y542" s="838"/>
      <c r="Z542" s="840"/>
      <c r="AA542" s="843"/>
    </row>
    <row r="543" spans="1:30">
      <c r="A543" s="786"/>
      <c r="B543" s="620"/>
      <c r="C543" s="845"/>
      <c r="D543" s="847"/>
      <c r="E543" s="85"/>
      <c r="F543" s="273"/>
      <c r="G543" s="630"/>
      <c r="H543" s="90"/>
      <c r="I543" s="67"/>
      <c r="J543" s="631"/>
      <c r="K543" s="59"/>
      <c r="L543" s="325"/>
      <c r="M543" s="67"/>
      <c r="N543" s="59"/>
      <c r="O543" s="59"/>
      <c r="P543" s="283"/>
      <c r="Q543" s="632">
        <f>база!$L$5</f>
        <v>231.45480000000001</v>
      </c>
      <c r="R543" s="273">
        <v>1.4</v>
      </c>
      <c r="S543" s="101">
        <f>SUMIFS(Таблица1[сумма],Таблица1[коэф],"1,4",Таблица1[р/р],"4/16",Таблица1[Ф. И. О.],B539)</f>
        <v>0</v>
      </c>
      <c r="T543" s="90">
        <f>ROUND(Q543*R543*S543,2)</f>
        <v>0</v>
      </c>
      <c r="U543" s="106">
        <f>база!$M$5</f>
        <v>247.41720000000001</v>
      </c>
      <c r="V543" s="273">
        <v>1.4</v>
      </c>
      <c r="W543" s="101">
        <f>SUMIFS(Таблица1[сумма],Таблица1[коэф],"1,4",Таблица1[р/р],"4/24",Таблица1[Ф. И. О.],B539)</f>
        <v>0</v>
      </c>
      <c r="X543" s="90">
        <f>ROUND(U543*V543*W543,2)</f>
        <v>0</v>
      </c>
      <c r="Y543" s="838"/>
      <c r="Z543" s="840"/>
      <c r="AA543" s="843"/>
    </row>
    <row r="544" spans="1:30" ht="24" thickBot="1">
      <c r="A544" s="787"/>
      <c r="B544" s="352"/>
      <c r="C544" s="846"/>
      <c r="D544" s="848"/>
      <c r="E544" s="77"/>
      <c r="F544" s="276"/>
      <c r="G544" s="622"/>
      <c r="H544" s="94"/>
      <c r="I544" s="623"/>
      <c r="J544" s="596"/>
      <c r="K544" s="624"/>
      <c r="L544" s="328"/>
      <c r="M544" s="623"/>
      <c r="N544" s="624"/>
      <c r="O544" s="624"/>
      <c r="P544" s="290"/>
      <c r="Q544" s="625">
        <f>база!$L$6</f>
        <v>261.04640000000001</v>
      </c>
      <c r="R544" s="276">
        <v>1.4</v>
      </c>
      <c r="S544" s="100">
        <f>SUMIFS(Таблица1[сумма],Таблица1[коэф],"1,4",Таблица1[р/р],"5/16",Таблица1[Ф. И. О.],B539)</f>
        <v>0</v>
      </c>
      <c r="T544" s="94">
        <f>ROUND(Q544*R544*S544,2)</f>
        <v>0</v>
      </c>
      <c r="U544" s="84">
        <f>база!$M$6</f>
        <v>279.0496</v>
      </c>
      <c r="V544" s="276">
        <v>1.4</v>
      </c>
      <c r="W544" s="100">
        <f>SUMIFS(Таблица1[сумма],Таблица1[коэф],"1,4",Таблица1[р/р],"5/24",Таблица1[Ф. И. О.],B539)</f>
        <v>0</v>
      </c>
      <c r="X544" s="94">
        <f>ROUND(U544*V544*W544,2)</f>
        <v>0</v>
      </c>
      <c r="Y544" s="838"/>
      <c r="Z544" s="840"/>
      <c r="AA544" s="843"/>
    </row>
    <row r="545" spans="1:30" ht="20.25" customHeight="1">
      <c r="A545" s="785">
        <v>50</v>
      </c>
      <c r="B545" s="620"/>
      <c r="C545" s="851">
        <f>INDEX(база!$E$2:$E$81, MATCH(B550,база!$B$2:$B$60,0))</f>
        <v>14883</v>
      </c>
      <c r="D545" s="852">
        <f>INDEX(база!$D$2:$D$89, MATCH(B550,база!$B$2:$B$60,0))</f>
        <v>4</v>
      </c>
      <c r="E545" s="75">
        <f>IF(D545&lt;=3,база!$I$4,
IF(D545=4,база!$I$5,
IF(D545=5,база!$I$6)))</f>
        <v>207.5112</v>
      </c>
      <c r="F545" s="271">
        <v>1</v>
      </c>
      <c r="G545" s="89">
        <f>SUMIFS(Таблица1[сумма],Таблица1[коэф],"1",Таблица1[р/р],"2/4",Таблица1[Ф. И. О.],B550)</f>
        <v>0</v>
      </c>
      <c r="H545" s="103">
        <f>ROUND(E545*F545*G545,2)</f>
        <v>0</v>
      </c>
      <c r="I545" s="24">
        <f>IF(D545&lt;=3,база!$J$4,
IF(D545=4,база!$J$5,
IF(D545=5,база!$J$6)))</f>
        <v>215.4924</v>
      </c>
      <c r="J545" s="278">
        <v>1</v>
      </c>
      <c r="K545" s="22">
        <f>SUMIFS(Таблица1[сумма],Таблица1[коэф],"1",Таблица1[р/р],"2/8",Таблица1[Ф. И. О.],B550)</f>
        <v>0</v>
      </c>
      <c r="L545" s="309">
        <f>ROUND(I545*J545*K545,2)</f>
        <v>0</v>
      </c>
      <c r="M545" s="24"/>
      <c r="N545" s="22">
        <v>1</v>
      </c>
      <c r="O545" s="22">
        <f>SUMIFS(Data_Tech!$AM$3:$AM$67,Data_Tech!$E$3:$E$67,"1",Data_Tech!$G$3:$G$67,"3/12",Data_Tech!$F$3:$F$67,B550)</f>
        <v>0</v>
      </c>
      <c r="P545" s="282">
        <f>ROUND(M545*N545*O545,2)</f>
        <v>0</v>
      </c>
      <c r="Q545" s="621">
        <f>IF(D545&lt;=3,база!$L$4,
IF(D545=4,база!$L$5,
IF(D545=5,база!$L$6)))</f>
        <v>231.45480000000001</v>
      </c>
      <c r="R545" s="271">
        <v>1</v>
      </c>
      <c r="S545" s="97">
        <f>SUMIFS(Таблица1[сумма],Таблица1[коэф],"1",Таблица1[р/р],"3/16",Таблица1[Ф. И. О.],B550)</f>
        <v>0</v>
      </c>
      <c r="T545" s="103">
        <f t="shared" ref="T545:T549" si="335">ROUND(Q545*R545*S545,2)</f>
        <v>0</v>
      </c>
      <c r="U545" s="82">
        <f>IF(D545&lt;=3,база!$M$4,
IF(D545=4,база!$M$5,
IF(D545=5,база!$M$6)))</f>
        <v>247.41720000000001</v>
      </c>
      <c r="V545" s="271">
        <v>1</v>
      </c>
      <c r="W545" s="97">
        <f>SUMIFS(Таблица1[сумма],Таблица1[коэф],"1",Таблица1[р/р],"3/24",Таблица1[Ф. И. О.],B550)</f>
        <v>0</v>
      </c>
      <c r="X545" s="103">
        <f>ROUND(U545*V545*W545,2)</f>
        <v>0</v>
      </c>
      <c r="Y545" s="837">
        <f t="shared" ref="Y545" si="336">SUM(G545:G555,K545:K555,O545:O555,S545:S555,W545:W555)</f>
        <v>0</v>
      </c>
      <c r="Z545" s="853">
        <f t="shared" ref="Z545" si="337">IFERROR(SUM(H545:H555,L545:L555,T545:T555,X545:X555),"")</f>
        <v>0</v>
      </c>
      <c r="AA545" s="842"/>
    </row>
    <row r="546" spans="1:30">
      <c r="A546" s="786"/>
      <c r="B546" s="620"/>
      <c r="C546" s="845"/>
      <c r="D546" s="847"/>
      <c r="E546" s="75">
        <f>IF(D545&lt;=3,база!$I$4,
IF(D545=4,база!$I$5,
IF(D545=5,база!$I$6)))</f>
        <v>207.5112</v>
      </c>
      <c r="F546" s="271">
        <v>1</v>
      </c>
      <c r="G546" s="89">
        <f>SUMIFS(Таблица1[сумма],Таблица1[коэф],"1",Таблица1[р/р],"3/4",Таблица1[Ф. И. О.],B550)</f>
        <v>0</v>
      </c>
      <c r="H546" s="103">
        <f>ROUND(E546*F546*G546,2)</f>
        <v>0</v>
      </c>
      <c r="I546" s="24">
        <f>IF(D545&lt;=3,база!$J$4,
IF(D545=4,база!$J$5,
IF(D545=5,база!$J$6)))</f>
        <v>215.4924</v>
      </c>
      <c r="J546" s="278">
        <v>1</v>
      </c>
      <c r="K546" s="22"/>
      <c r="L546" s="309">
        <f>ROUND(I546*J546*K546,2)</f>
        <v>0</v>
      </c>
      <c r="M546" s="24"/>
      <c r="N546" s="22">
        <v>1</v>
      </c>
      <c r="O546" s="22">
        <f>SUMIFS(Data_Tech!$AM$3:$AM$67,Data_Tech!$E$3:$E$67,"1",Data_Tech!$G$3:$G$67,"4/12",Data_Tech!$F$3:$F$67,B550)</f>
        <v>0</v>
      </c>
      <c r="P546" s="282">
        <f>ROUND(M546*O546,2)</f>
        <v>0</v>
      </c>
      <c r="Q546" s="621">
        <f>база!$L$5</f>
        <v>231.45480000000001</v>
      </c>
      <c r="R546" s="271">
        <v>1</v>
      </c>
      <c r="S546" s="97">
        <f>SUMIFS(Таблица1[сумма],Таблица1[коэф],"1",Таблица1[р/р],"4/16",Таблица1[Ф. И. О.],B550)</f>
        <v>0</v>
      </c>
      <c r="T546" s="103">
        <f t="shared" si="335"/>
        <v>0</v>
      </c>
      <c r="U546" s="82">
        <f>база!$M$5</f>
        <v>247.41720000000001</v>
      </c>
      <c r="V546" s="271">
        <v>1</v>
      </c>
      <c r="W546" s="97">
        <f>SUMIFS(Таблица1[сумма],Таблица1[коэф],"1",Таблица1[р/р],"4/24",Таблица1[Ф. И. О.],B550)</f>
        <v>0</v>
      </c>
      <c r="X546" s="103">
        <f t="shared" ref="X546" si="338">ROUND(U546*V546*W546,2)</f>
        <v>0</v>
      </c>
      <c r="Y546" s="838"/>
      <c r="Z546" s="840"/>
      <c r="AA546" s="843"/>
    </row>
    <row r="547" spans="1:30">
      <c r="A547" s="786"/>
      <c r="B547" s="620"/>
      <c r="C547" s="845"/>
      <c r="D547" s="847"/>
      <c r="E547" s="75"/>
      <c r="F547" s="271"/>
      <c r="G547" s="89"/>
      <c r="H547" s="103"/>
      <c r="I547" s="24"/>
      <c r="J547" s="278"/>
      <c r="K547" s="22"/>
      <c r="L547" s="309"/>
      <c r="M547" s="24"/>
      <c r="N547" s="22"/>
      <c r="O547" s="22"/>
      <c r="P547" s="282"/>
      <c r="Q547" s="621">
        <f>база!$L$6</f>
        <v>261.04640000000001</v>
      </c>
      <c r="R547" s="271">
        <v>1</v>
      </c>
      <c r="S547" s="97">
        <f>SUMIFS(Таблица1[сумма],Таблица1[коэф],"1",Таблица1[р/р],"5/16",Таблица1[Ф. И. О.],B550)</f>
        <v>0</v>
      </c>
      <c r="T547" s="103">
        <f t="shared" si="335"/>
        <v>0</v>
      </c>
      <c r="U547" s="82">
        <f>база!$M$6</f>
        <v>279.0496</v>
      </c>
      <c r="V547" s="271">
        <v>1</v>
      </c>
      <c r="W547" s="97">
        <f>SUMIFS(Таблица1[сумма],Таблица1[коэф],"1",Таблица1[р/р],"5/24",Таблица1[Ф. И. О.],B550)</f>
        <v>0</v>
      </c>
      <c r="X547" s="103">
        <f>ROUND(U547*V547*W547,2)</f>
        <v>0</v>
      </c>
      <c r="Y547" s="838"/>
      <c r="Z547" s="840"/>
      <c r="AA547" s="843"/>
    </row>
    <row r="548" spans="1:30">
      <c r="A548" s="786"/>
      <c r="B548" s="620"/>
      <c r="C548" s="845"/>
      <c r="D548" s="847"/>
      <c r="E548" s="75"/>
      <c r="F548" s="271"/>
      <c r="G548" s="89"/>
      <c r="H548" s="103"/>
      <c r="I548" s="24">
        <f>база!$J$5</f>
        <v>215.4924</v>
      </c>
      <c r="J548" s="278">
        <v>1.5</v>
      </c>
      <c r="K548" s="22">
        <f>SUMIFS(Таблица1[сумма],Таблица1[коэф],"1,5",Таблица1[р/р],"4/8",Таблица1[Ф. И. О.],B550)</f>
        <v>0</v>
      </c>
      <c r="L548" s="309">
        <f>ROUND(I548*J548*K548,2)</f>
        <v>0</v>
      </c>
      <c r="M548" s="24"/>
      <c r="N548" s="22"/>
      <c r="O548" s="22"/>
      <c r="P548" s="282"/>
      <c r="Q548" s="621">
        <f>IF(D545&lt;=3,база!$L$4,
IF(D545=4,база!$L$5,
IF(D545=5,база!$L$6)))</f>
        <v>231.45480000000001</v>
      </c>
      <c r="R548" s="271">
        <v>1.2</v>
      </c>
      <c r="S548" s="97">
        <f>SUMIFS(Таблица1[сумма],Таблица1[коэф],"1,2",Таблица1[р/р],"3/16",Таблица1[Ф. И. О.],B550)</f>
        <v>0</v>
      </c>
      <c r="T548" s="103">
        <f t="shared" si="335"/>
        <v>0</v>
      </c>
      <c r="U548" s="82">
        <f>IF(D545&lt;=3,база!$M$4,
IF(D545=4,база!$M$5,
IF(D545=5,база!$M$6)))</f>
        <v>247.41720000000001</v>
      </c>
      <c r="V548" s="271">
        <v>1.2</v>
      </c>
      <c r="W548" s="97">
        <f>SUMIFS(Таблица1[сумма],Таблица1[коэф],"1,2",Таблица1[р/р],"3/24",Таблица1[Ф. И. О.],B550)</f>
        <v>0</v>
      </c>
      <c r="X548" s="103">
        <f t="shared" ref="X548:X549" si="339">ROUND(U548*V548*W548,2)</f>
        <v>0</v>
      </c>
      <c r="Y548" s="838"/>
      <c r="Z548" s="840"/>
      <c r="AA548" s="843"/>
    </row>
    <row r="549" spans="1:30">
      <c r="A549" s="786"/>
      <c r="B549" s="620"/>
      <c r="C549" s="845"/>
      <c r="D549" s="847"/>
      <c r="E549" s="75"/>
      <c r="F549" s="271"/>
      <c r="G549" s="89"/>
      <c r="H549" s="103"/>
      <c r="I549" s="24">
        <f>база!$J$6</f>
        <v>243.04319999999998</v>
      </c>
      <c r="J549" s="278">
        <v>1.5</v>
      </c>
      <c r="K549" s="22">
        <f>SUMIFS(Таблица1[сумма],Таблица1[коэф],"1,5",Таблица1[р/р],"5/8",Таблица1[Ф. И. О.],B550)</f>
        <v>0</v>
      </c>
      <c r="L549" s="309">
        <f>ROUND(I549*J549*K549,2)</f>
        <v>0</v>
      </c>
      <c r="M549" s="24"/>
      <c r="N549" s="22"/>
      <c r="O549" s="22"/>
      <c r="P549" s="282"/>
      <c r="Q549" s="621">
        <f>база!$L$5</f>
        <v>231.45480000000001</v>
      </c>
      <c r="R549" s="271">
        <v>1.2</v>
      </c>
      <c r="S549" s="97">
        <f>SUMIFS(Таблица1[сумма],Таблица1[коэф],"1,2",Таблица1[р/р],"4/16",Таблица1[Ф. И. О.],B550)</f>
        <v>0</v>
      </c>
      <c r="T549" s="103">
        <f t="shared" si="335"/>
        <v>0</v>
      </c>
      <c r="U549" s="82">
        <f>база!$M$5</f>
        <v>247.41720000000001</v>
      </c>
      <c r="V549" s="271">
        <v>1.2</v>
      </c>
      <c r="W549" s="97">
        <f>SUMIFS(Таблица1[сумма],Таблица1[коэф],"1,2",Таблица1[р/р],"4/24",Таблица1[Ф. И. О.],B550)</f>
        <v>0</v>
      </c>
      <c r="X549" s="103">
        <f t="shared" si="339"/>
        <v>0</v>
      </c>
      <c r="Y549" s="838"/>
      <c r="Z549" s="840"/>
      <c r="AA549" s="843"/>
      <c r="AC549" s="722" t="str">
        <f>IF(SUMIFS(Таблица1[Столбец2],Таблица1[Ф. И. О.],B550)-Z545=0,"",SUMIFS(Таблица1[Столбец2],Таблица1[Ф. И. О.],B550)-Z545)</f>
        <v/>
      </c>
    </row>
    <row r="550" spans="1:30">
      <c r="A550" s="786"/>
      <c r="B550" s="620" t="str">
        <f>база!B51</f>
        <v>Минко Елена Анатольевна</v>
      </c>
      <c r="C550" s="845"/>
      <c r="D550" s="847"/>
      <c r="E550" s="75"/>
      <c r="F550" s="271"/>
      <c r="G550" s="89"/>
      <c r="H550" s="103"/>
      <c r="I550" s="24"/>
      <c r="J550" s="278"/>
      <c r="K550" s="22"/>
      <c r="L550" s="309"/>
      <c r="M550" s="24"/>
      <c r="N550" s="22"/>
      <c r="O550" s="22"/>
      <c r="P550" s="282"/>
      <c r="Q550" s="621">
        <f>база!$L$6</f>
        <v>261.04640000000001</v>
      </c>
      <c r="R550" s="271">
        <v>1.2</v>
      </c>
      <c r="S550" s="97">
        <f>SUMIFS(Таблица1[сумма],Таблица1[коэф],"1,2",Таблица1[р/р],"5/16",Таблица1[Ф. И. О.],B550)</f>
        <v>0</v>
      </c>
      <c r="T550" s="103">
        <f>ROUND(Q550*R550*S550,2)</f>
        <v>0</v>
      </c>
      <c r="U550" s="82">
        <f>база!$M$6</f>
        <v>279.0496</v>
      </c>
      <c r="V550" s="271">
        <v>1.2</v>
      </c>
      <c r="W550" s="97">
        <f>SUMIFS(Таблица1[сумма],Таблица1[коэф],"1,2",Таблица1[р/р],"5/24",Таблица1[Ф. И. О.],B550)</f>
        <v>0</v>
      </c>
      <c r="X550" s="103">
        <f>ROUND(U550*V550*W550,2)</f>
        <v>0</v>
      </c>
      <c r="Y550" s="838"/>
      <c r="Z550" s="840"/>
      <c r="AA550" s="843"/>
      <c r="AC550" s="722" t="str">
        <f>IF(SUMIFS(Таблица1[сумма],Таблица1[Ф. И. О.],B550)=Y545,"",B545&amp;"  часы не верны")</f>
        <v/>
      </c>
      <c r="AD550" s="759">
        <f>INDEX('[2]декабрь 23'!$AI$4:$AI$100,MATCH(C545,'[2]декабрь 23'!$AK$4:$AK$100,0))</f>
        <v>115.20000000000003</v>
      </c>
    </row>
    <row r="551" spans="1:30">
      <c r="A551" s="786"/>
      <c r="B551" s="620"/>
      <c r="C551" s="845"/>
      <c r="D551" s="847"/>
      <c r="E551" s="75"/>
      <c r="F551" s="271"/>
      <c r="G551" s="89"/>
      <c r="H551" s="103"/>
      <c r="I551" s="24"/>
      <c r="J551" s="278"/>
      <c r="K551" s="22"/>
      <c r="L551" s="309"/>
      <c r="M551" s="24"/>
      <c r="N551" s="22"/>
      <c r="O551" s="22"/>
      <c r="P551" s="282"/>
      <c r="Q551" s="621">
        <f>IF($D$6&lt;=3,база!$L$4,
IF($D$6=4,база!$L$5,
IF($D$6=5,база!$L$6)))</f>
        <v>231.45480000000001</v>
      </c>
      <c r="R551" s="271">
        <v>1.3</v>
      </c>
      <c r="S551" s="97">
        <f>SUMIFS(Таблица1[сумма],Таблица1[коэф],"1,3",Таблица1[р/р],"3/16",Таблица1[Ф. И. О.],B550)</f>
        <v>0</v>
      </c>
      <c r="T551" s="103">
        <f t="shared" ref="T551:T552" si="340">ROUND(Q551*R551*S551,2)</f>
        <v>0</v>
      </c>
      <c r="U551" s="82">
        <f>IF(D545&lt;=3,база!$M$4,
IF(D545=4,база!$M$5,
IF(D545=5,база!$M$6)))</f>
        <v>247.41720000000001</v>
      </c>
      <c r="V551" s="271">
        <v>1.3</v>
      </c>
      <c r="W551" s="97">
        <f>SUMIFS(Таблица1[сумма],Таблица1[коэф],"1,3",Таблица1[р/р],"3/24",Таблица1[Ф. И. О.],B550)</f>
        <v>0</v>
      </c>
      <c r="X551" s="103">
        <f t="shared" ref="X551:X552" si="341">ROUND(U551*V551*W551,2)</f>
        <v>0</v>
      </c>
      <c r="Y551" s="838"/>
      <c r="Z551" s="840"/>
      <c r="AA551" s="843"/>
    </row>
    <row r="552" spans="1:30">
      <c r="A552" s="786"/>
      <c r="B552" s="620"/>
      <c r="C552" s="845"/>
      <c r="D552" s="847"/>
      <c r="E552" s="75"/>
      <c r="F552" s="271"/>
      <c r="G552" s="89"/>
      <c r="H552" s="103"/>
      <c r="I552" s="24"/>
      <c r="J552" s="278"/>
      <c r="K552" s="22"/>
      <c r="L552" s="309"/>
      <c r="M552" s="24"/>
      <c r="N552" s="22"/>
      <c r="O552" s="22"/>
      <c r="P552" s="282"/>
      <c r="Q552" s="621">
        <f>база!$L$5</f>
        <v>231.45480000000001</v>
      </c>
      <c r="R552" s="271">
        <v>1.3</v>
      </c>
      <c r="S552" s="97">
        <f>SUMIFS(Таблица1[сумма],Таблица1[коэф],"1,3",Таблица1[р/р],"4/16",Таблица1[Ф. И. О.],B550)</f>
        <v>0</v>
      </c>
      <c r="T552" s="103">
        <f t="shared" si="340"/>
        <v>0</v>
      </c>
      <c r="U552" s="82">
        <f>база!$M$5</f>
        <v>247.41720000000001</v>
      </c>
      <c r="V552" s="271">
        <v>1.3</v>
      </c>
      <c r="W552" s="97">
        <f>SUMIFS(Таблица1[сумма],Таблица1[коэф],"1,3",Таблица1[р/р],"4/24",Таблица1[Ф. И. О.],B550)</f>
        <v>0</v>
      </c>
      <c r="X552" s="103">
        <f t="shared" si="341"/>
        <v>0</v>
      </c>
      <c r="Y552" s="838"/>
      <c r="Z552" s="840"/>
      <c r="AA552" s="843"/>
    </row>
    <row r="553" spans="1:30">
      <c r="A553" s="786"/>
      <c r="B553" s="620"/>
      <c r="C553" s="845"/>
      <c r="D553" s="847"/>
      <c r="E553" s="75"/>
      <c r="F553" s="271"/>
      <c r="G553" s="89"/>
      <c r="H553" s="103"/>
      <c r="I553" s="24"/>
      <c r="J553" s="278"/>
      <c r="K553" s="22"/>
      <c r="L553" s="309"/>
      <c r="M553" s="24"/>
      <c r="N553" s="22"/>
      <c r="O553" s="22"/>
      <c r="P553" s="282"/>
      <c r="Q553" s="621">
        <f>IF(D545&lt;=3,база!$L$4,
IF(D545=4,база!$L$5,
IF(D545=5,база!$L$6)))</f>
        <v>231.45480000000001</v>
      </c>
      <c r="R553" s="271">
        <v>1.4</v>
      </c>
      <c r="S553" s="97">
        <f>SUMIFS(Таблица1[сумма],Таблица1[коэф],"1,4",Таблица1[р/р],"3/16",Таблица1[Ф. И. О.],B550)</f>
        <v>0</v>
      </c>
      <c r="T553" s="103">
        <f>ROUND(Q553*R553*S553,2)</f>
        <v>0</v>
      </c>
      <c r="U553" s="82">
        <f>IF(D545&lt;=3,база!$M$4,
IF(D545=4,база!$M$5,
IF(D545=5,база!$M$6)))</f>
        <v>247.41720000000001</v>
      </c>
      <c r="V553" s="271">
        <v>1.4</v>
      </c>
      <c r="W553" s="97">
        <f>SUMIFS(Таблица1[сумма],Таблица1[коэф],"1,4",Таблица1[р/р],"3/24",Таблица1[Ф. И. О.],B550)</f>
        <v>0</v>
      </c>
      <c r="X553" s="103">
        <f>ROUND(U553*V553*W553,2)</f>
        <v>0</v>
      </c>
      <c r="Y553" s="838"/>
      <c r="Z553" s="840"/>
      <c r="AA553" s="843"/>
    </row>
    <row r="554" spans="1:30">
      <c r="A554" s="786"/>
      <c r="B554" s="620"/>
      <c r="C554" s="845"/>
      <c r="D554" s="847"/>
      <c r="E554" s="85"/>
      <c r="F554" s="273"/>
      <c r="G554" s="630"/>
      <c r="H554" s="90"/>
      <c r="I554" s="67"/>
      <c r="J554" s="631"/>
      <c r="K554" s="59"/>
      <c r="L554" s="325"/>
      <c r="M554" s="67"/>
      <c r="N554" s="59"/>
      <c r="O554" s="59"/>
      <c r="P554" s="283"/>
      <c r="Q554" s="632">
        <f>база!$L$5</f>
        <v>231.45480000000001</v>
      </c>
      <c r="R554" s="273">
        <v>1.4</v>
      </c>
      <c r="S554" s="101">
        <f>SUMIFS(Таблица1[сумма],Таблица1[коэф],"1,4",Таблица1[р/р],"4/16",Таблица1[Ф. И. О.],B550)</f>
        <v>0</v>
      </c>
      <c r="T554" s="90">
        <f>ROUND(Q554*R554*S554,2)</f>
        <v>0</v>
      </c>
      <c r="U554" s="106">
        <f>база!$M$5</f>
        <v>247.41720000000001</v>
      </c>
      <c r="V554" s="273">
        <v>1.4</v>
      </c>
      <c r="W554" s="101">
        <f>SUMIFS(Таблица1[сумма],Таблица1[коэф],"1,4",Таблица1[р/р],"4/24",Таблица1[Ф. И. О.],B550)</f>
        <v>0</v>
      </c>
      <c r="X554" s="90">
        <f>ROUND(U554*V554*W554,2)</f>
        <v>0</v>
      </c>
      <c r="Y554" s="838"/>
      <c r="Z554" s="840"/>
      <c r="AA554" s="843"/>
    </row>
    <row r="555" spans="1:30" ht="24" thickBot="1">
      <c r="A555" s="787"/>
      <c r="B555" s="352"/>
      <c r="C555" s="846"/>
      <c r="D555" s="848"/>
      <c r="E555" s="77"/>
      <c r="F555" s="276"/>
      <c r="G555" s="622"/>
      <c r="H555" s="94"/>
      <c r="I555" s="623"/>
      <c r="J555" s="596"/>
      <c r="K555" s="624"/>
      <c r="L555" s="328"/>
      <c r="M555" s="623"/>
      <c r="N555" s="624"/>
      <c r="O555" s="624"/>
      <c r="P555" s="290"/>
      <c r="Q555" s="625">
        <f>база!$L$6</f>
        <v>261.04640000000001</v>
      </c>
      <c r="R555" s="276">
        <v>1.4</v>
      </c>
      <c r="S555" s="100">
        <f>SUMIFS(Таблица1[сумма],Таблица1[коэф],"1,4",Таблица1[р/р],"5/16",Таблица1[Ф. И. О.],B550)</f>
        <v>0</v>
      </c>
      <c r="T555" s="94">
        <f>ROUND(Q555*R555*S555,2)</f>
        <v>0</v>
      </c>
      <c r="U555" s="84">
        <f>база!$M$6</f>
        <v>279.0496</v>
      </c>
      <c r="V555" s="276">
        <v>1.4</v>
      </c>
      <c r="W555" s="100">
        <f>SUMIFS(Таблица1[сумма],Таблица1[коэф],"1,4",Таблица1[р/р],"5/24",Таблица1[Ф. И. О.],B550)</f>
        <v>0</v>
      </c>
      <c r="X555" s="94">
        <f>ROUND(U555*V555*W555,2)</f>
        <v>0</v>
      </c>
      <c r="Y555" s="839"/>
      <c r="Z555" s="841"/>
      <c r="AA555" s="844"/>
    </row>
    <row r="556" spans="1:30" ht="20.25" customHeight="1">
      <c r="A556" s="785">
        <v>51</v>
      </c>
      <c r="B556" s="620"/>
      <c r="C556" s="851">
        <f>INDEX(база!$E$2:$E$81, MATCH(B561,база!$B$2:$B$60,0))</f>
        <v>17312</v>
      </c>
      <c r="D556" s="852">
        <f>INDEX(база!$D$2:$D$89, MATCH(B561,база!$B$2:$B$60,0))</f>
        <v>3</v>
      </c>
      <c r="E556" s="75">
        <f>IF(D556&lt;=3,база!$I$4,
IF(D556=4,база!$I$5,
IF(D556=5,база!$I$6)))</f>
        <v>188.7912</v>
      </c>
      <c r="F556" s="271">
        <v>1</v>
      </c>
      <c r="G556" s="89">
        <f>SUMIFS(Таблица1[сумма],Таблица1[коэф],"1",Таблица1[р/р],"2/4",Таблица1[Ф. И. О.],B561)</f>
        <v>0</v>
      </c>
      <c r="H556" s="103">
        <f>ROUND(E556*F556*G556,2)</f>
        <v>0</v>
      </c>
      <c r="I556" s="24">
        <f>IF(D556&lt;=3,база!$J$4,
IF(D556=4,база!$J$5,
IF(D556=5,база!$J$6)))</f>
        <v>196.05240000000001</v>
      </c>
      <c r="J556" s="278">
        <v>1</v>
      </c>
      <c r="K556" s="22">
        <f>SUMIFS(Таблица1[сумма],Таблица1[коэф],"1",Таблица1[р/р],"2/8",Таблица1[Ф. И. О.],B561)</f>
        <v>0</v>
      </c>
      <c r="L556" s="309">
        <f>ROUND(I556*J556*K556,2)</f>
        <v>0</v>
      </c>
      <c r="M556" s="24"/>
      <c r="N556" s="22">
        <v>1</v>
      </c>
      <c r="O556" s="22">
        <f>SUMIFS(Data_Tech!$AM$3:$AM$67,Data_Tech!$E$3:$E$67,"1",Data_Tech!$G$3:$G$67,"3/12",Data_Tech!$F$3:$F$67,B561)</f>
        <v>0</v>
      </c>
      <c r="P556" s="282">
        <f>ROUND(M556*N556*O556,2)</f>
        <v>0</v>
      </c>
      <c r="Q556" s="621">
        <f>IF(D556&lt;=3,база!$L$4,
IF(D556=4,база!$L$5,
IF(D556=5,база!$L$6)))</f>
        <v>210.57480000000001</v>
      </c>
      <c r="R556" s="271">
        <v>1</v>
      </c>
      <c r="S556" s="97">
        <f>SUMIFS(Таблица1[сумма],Таблица1[коэф],"1",Таблица1[р/р],"3/16",Таблица1[Ф. И. О.],B561)</f>
        <v>0</v>
      </c>
      <c r="T556" s="103">
        <f t="shared" ref="T556:T560" si="342">ROUND(Q556*R556*S556,2)</f>
        <v>0</v>
      </c>
      <c r="U556" s="82">
        <f>IF(D556&lt;=3,база!$M$4,
IF(D556=4,база!$M$5,
IF(D556=5,база!$M$6)))</f>
        <v>225.09719999999999</v>
      </c>
      <c r="V556" s="271">
        <v>1</v>
      </c>
      <c r="W556" s="97">
        <f>SUMIFS(Таблица1[сумма],Таблица1[коэф],"1",Таблица1[р/р],"3/24",Таблица1[Ф. И. О.],B561)</f>
        <v>0</v>
      </c>
      <c r="X556" s="103">
        <f>ROUND(U556*V556*W556,2)</f>
        <v>0</v>
      </c>
      <c r="Y556" s="837">
        <f t="shared" ref="Y556" si="343">SUM(G556:G566,K556:K566,O556:O566,S556:S566,W556:W566)</f>
        <v>0</v>
      </c>
      <c r="Z556" s="853">
        <f t="shared" ref="Z556" si="344">IFERROR(SUM(H556:H566,L556:L566,T556:T566,X556:X566),"")</f>
        <v>0</v>
      </c>
      <c r="AA556" s="842"/>
    </row>
    <row r="557" spans="1:30">
      <c r="A557" s="786"/>
      <c r="B557" s="620"/>
      <c r="C557" s="845"/>
      <c r="D557" s="847"/>
      <c r="E557" s="75">
        <f>IF(D556&lt;=3,база!$I$4,
IF(D556=4,база!$I$5,
IF(D556=5,база!$I$6)))</f>
        <v>188.7912</v>
      </c>
      <c r="F557" s="271">
        <v>1</v>
      </c>
      <c r="G557" s="89">
        <f>SUMIFS(Таблица1[сумма],Таблица1[коэф],"1",Таблица1[р/р],"3/4",Таблица1[Ф. И. О.],B561)</f>
        <v>0</v>
      </c>
      <c r="H557" s="103">
        <f>ROUND(E557*F557*G557,2)</f>
        <v>0</v>
      </c>
      <c r="I557" s="24">
        <f>IF(D556&lt;=3,база!$J$4,
IF(D556=4,база!$J$5,
IF(D556=5,база!$J$6)))</f>
        <v>196.05240000000001</v>
      </c>
      <c r="J557" s="278">
        <v>1</v>
      </c>
      <c r="K557" s="22"/>
      <c r="L557" s="309">
        <f>ROUND(I557*J557*K557,2)</f>
        <v>0</v>
      </c>
      <c r="M557" s="24"/>
      <c r="N557" s="22">
        <v>1</v>
      </c>
      <c r="O557" s="22">
        <f>SUMIFS(Data_Tech!$AM$3:$AM$67,Data_Tech!$E$3:$E$67,"1",Data_Tech!$G$3:$G$67,"4/12",Data_Tech!$F$3:$F$67,B561)</f>
        <v>0</v>
      </c>
      <c r="P557" s="282">
        <f>ROUND(M557*O557,2)</f>
        <v>0</v>
      </c>
      <c r="Q557" s="621">
        <f>база!$L$5</f>
        <v>231.45480000000001</v>
      </c>
      <c r="R557" s="271">
        <v>1</v>
      </c>
      <c r="S557" s="97">
        <f>SUMIFS(Таблица1[сумма],Таблица1[коэф],"1",Таблица1[р/р],"4/16",Таблица1[Ф. И. О.],B561)</f>
        <v>0</v>
      </c>
      <c r="T557" s="103">
        <f t="shared" si="342"/>
        <v>0</v>
      </c>
      <c r="U557" s="82">
        <f>база!$M$5</f>
        <v>247.41720000000001</v>
      </c>
      <c r="V557" s="271">
        <v>1</v>
      </c>
      <c r="W557" s="97">
        <f>SUMIFS(Таблица1[сумма],Таблица1[коэф],"1",Таблица1[р/р],"4/24",Таблица1[Ф. И. О.],B561)</f>
        <v>0</v>
      </c>
      <c r="X557" s="103">
        <f t="shared" ref="X557" si="345">ROUND(U557*V557*W557,2)</f>
        <v>0</v>
      </c>
      <c r="Y557" s="838"/>
      <c r="Z557" s="840"/>
      <c r="AA557" s="843"/>
    </row>
    <row r="558" spans="1:30">
      <c r="A558" s="786"/>
      <c r="B558" s="620"/>
      <c r="C558" s="845"/>
      <c r="D558" s="847"/>
      <c r="E558" s="75"/>
      <c r="F558" s="271"/>
      <c r="G558" s="89"/>
      <c r="H558" s="103"/>
      <c r="I558" s="24"/>
      <c r="J558" s="278"/>
      <c r="K558" s="22"/>
      <c r="L558" s="309"/>
      <c r="M558" s="24"/>
      <c r="N558" s="22"/>
      <c r="O558" s="22"/>
      <c r="P558" s="282"/>
      <c r="Q558" s="621">
        <f>база!$L$6</f>
        <v>261.04640000000001</v>
      </c>
      <c r="R558" s="271">
        <v>1</v>
      </c>
      <c r="S558" s="97">
        <f>SUMIFS(Таблица1[сумма],Таблица1[коэф],"1",Таблица1[р/р],"5/16",Таблица1[Ф. И. О.],B561)</f>
        <v>0</v>
      </c>
      <c r="T558" s="103">
        <f t="shared" si="342"/>
        <v>0</v>
      </c>
      <c r="U558" s="82">
        <f>база!$M$6</f>
        <v>279.0496</v>
      </c>
      <c r="V558" s="271">
        <v>1</v>
      </c>
      <c r="W558" s="97">
        <f>SUMIFS(Таблица1[сумма],Таблица1[коэф],"1",Таблица1[р/р],"5/24",Таблица1[Ф. И. О.],B561)</f>
        <v>0</v>
      </c>
      <c r="X558" s="103">
        <f>ROUND(U558*V558*W558,2)</f>
        <v>0</v>
      </c>
      <c r="Y558" s="838"/>
      <c r="Z558" s="840"/>
      <c r="AA558" s="843"/>
    </row>
    <row r="559" spans="1:30">
      <c r="A559" s="786"/>
      <c r="B559" s="620"/>
      <c r="C559" s="845"/>
      <c r="D559" s="847"/>
      <c r="E559" s="75"/>
      <c r="F559" s="271"/>
      <c r="G559" s="89"/>
      <c r="H559" s="103"/>
      <c r="I559" s="24">
        <f>база!$J$5</f>
        <v>215.4924</v>
      </c>
      <c r="J559" s="278">
        <v>1.5</v>
      </c>
      <c r="K559" s="22">
        <f>SUMIFS(Таблица1[сумма],Таблица1[коэф],"1,5",Таблица1[р/р],"4/8",Таблица1[Ф. И. О.],B561)</f>
        <v>0</v>
      </c>
      <c r="L559" s="309">
        <f>ROUND(I559*J559*K559,2)</f>
        <v>0</v>
      </c>
      <c r="M559" s="24"/>
      <c r="N559" s="22"/>
      <c r="O559" s="22"/>
      <c r="P559" s="282"/>
      <c r="Q559" s="621">
        <f>IF(D556&lt;=3,база!$L$4,
IF(D556=4,база!$L$5,
IF(D556=5,база!$L$6)))</f>
        <v>210.57480000000001</v>
      </c>
      <c r="R559" s="271">
        <v>1.2</v>
      </c>
      <c r="S559" s="97">
        <f>SUMIFS(Таблица1[сумма],Таблица1[коэф],"1,2",Таблица1[р/р],"3/16",Таблица1[Ф. И. О.],B561)</f>
        <v>0</v>
      </c>
      <c r="T559" s="103">
        <f t="shared" si="342"/>
        <v>0</v>
      </c>
      <c r="U559" s="82">
        <f>IF(D556&lt;=3,база!$M$4,
IF(D556=4,база!$M$5,
IF(D556=5,база!$M$6)))</f>
        <v>225.09719999999999</v>
      </c>
      <c r="V559" s="271">
        <v>1.2</v>
      </c>
      <c r="W559" s="97">
        <f>SUMIFS(Таблица1[сумма],Таблица1[коэф],"1,2",Таблица1[р/р],"3/24",Таблица1[Ф. И. О.],B561)</f>
        <v>0</v>
      </c>
      <c r="X559" s="103">
        <f t="shared" ref="X559:X560" si="346">ROUND(U559*V559*W559,2)</f>
        <v>0</v>
      </c>
      <c r="Y559" s="838"/>
      <c r="Z559" s="840"/>
      <c r="AA559" s="843"/>
    </row>
    <row r="560" spans="1:30">
      <c r="A560" s="786"/>
      <c r="B560" s="620"/>
      <c r="C560" s="845"/>
      <c r="D560" s="847"/>
      <c r="E560" s="75"/>
      <c r="F560" s="271"/>
      <c r="G560" s="89"/>
      <c r="H560" s="103"/>
      <c r="I560" s="24">
        <f>база!$J$6</f>
        <v>243.04319999999998</v>
      </c>
      <c r="J560" s="278">
        <v>1.5</v>
      </c>
      <c r="K560" s="22">
        <f>SUMIFS(Таблица1[сумма],Таблица1[коэф],"1,5",Таблица1[р/р],"5/8",Таблица1[Ф. И. О.],B561)</f>
        <v>0</v>
      </c>
      <c r="L560" s="309">
        <f>ROUND(I560*J560*K560,2)</f>
        <v>0</v>
      </c>
      <c r="M560" s="24"/>
      <c r="N560" s="22"/>
      <c r="O560" s="22"/>
      <c r="P560" s="282"/>
      <c r="Q560" s="621">
        <f>база!$L$5</f>
        <v>231.45480000000001</v>
      </c>
      <c r="R560" s="271">
        <v>1.2</v>
      </c>
      <c r="S560" s="97">
        <f>SUMIFS(Таблица1[сумма],Таблица1[коэф],"1,2",Таблица1[р/р],"4/16",Таблица1[Ф. И. О.],B561)</f>
        <v>0</v>
      </c>
      <c r="T560" s="103">
        <f t="shared" si="342"/>
        <v>0</v>
      </c>
      <c r="U560" s="82">
        <f>база!$M$5</f>
        <v>247.41720000000001</v>
      </c>
      <c r="V560" s="271">
        <v>1.2</v>
      </c>
      <c r="W560" s="97">
        <f>SUMIFS(Таблица1[сумма],Таблица1[коэф],"1,2",Таблица1[р/р],"4/24",Таблица1[Ф. И. О.],B561)</f>
        <v>0</v>
      </c>
      <c r="X560" s="103">
        <f t="shared" si="346"/>
        <v>0</v>
      </c>
      <c r="Y560" s="838"/>
      <c r="Z560" s="840"/>
      <c r="AA560" s="843"/>
      <c r="AC560" s="722" t="str">
        <f>IF(SUMIFS(Таблица1[Столбец2],Таблица1[Ф. И. О.],B561)-Z556=0,"",SUMIFS(Таблица1[Столбец2],Таблица1[Ф. И. О.],B561)-Z556)</f>
        <v/>
      </c>
    </row>
    <row r="561" spans="1:30">
      <c r="A561" s="786"/>
      <c r="B561" s="620" t="str">
        <f>база!B52</f>
        <v>Михалочкина Наталья Ивановна</v>
      </c>
      <c r="C561" s="845"/>
      <c r="D561" s="847"/>
      <c r="E561" s="75"/>
      <c r="F561" s="271"/>
      <c r="G561" s="89"/>
      <c r="H561" s="103"/>
      <c r="I561" s="24"/>
      <c r="J561" s="278"/>
      <c r="K561" s="22"/>
      <c r="L561" s="309"/>
      <c r="M561" s="24"/>
      <c r="N561" s="22"/>
      <c r="O561" s="22"/>
      <c r="P561" s="282"/>
      <c r="Q561" s="621">
        <f>база!$L$6</f>
        <v>261.04640000000001</v>
      </c>
      <c r="R561" s="271">
        <v>1.2</v>
      </c>
      <c r="S561" s="97">
        <f>SUMIFS(Таблица1[сумма],Таблица1[коэф],"1,2",Таблица1[р/р],"5/16",Таблица1[Ф. И. О.],B561)</f>
        <v>0</v>
      </c>
      <c r="T561" s="103">
        <f>ROUND(Q561*R561*S561,2)</f>
        <v>0</v>
      </c>
      <c r="U561" s="82">
        <f>база!$M$6</f>
        <v>279.0496</v>
      </c>
      <c r="V561" s="271">
        <v>1.2</v>
      </c>
      <c r="W561" s="97">
        <f>SUMIFS(Таблица1[сумма],Таблица1[коэф],"1,2",Таблица1[р/р],"5/24",Таблица1[Ф. И. О.],B561)</f>
        <v>0</v>
      </c>
      <c r="X561" s="103">
        <f>ROUND(U561*V561*W561,2)</f>
        <v>0</v>
      </c>
      <c r="Y561" s="838"/>
      <c r="Z561" s="840"/>
      <c r="AA561" s="843"/>
      <c r="AC561" s="722" t="str">
        <f>IF(SUMIFS(Таблица1[сумма],Таблица1[Ф. И. О.],B561)=Y556,"",B556&amp;"  часы не верны")</f>
        <v/>
      </c>
      <c r="AD561" s="759">
        <f>INDEX('[2]декабрь 23'!$AI$4:$AI$100,MATCH(C556,'[2]декабрь 23'!$AK$4:$AK$100,0))</f>
        <v>144</v>
      </c>
    </row>
    <row r="562" spans="1:30">
      <c r="A562" s="786"/>
      <c r="B562" s="620"/>
      <c r="C562" s="845"/>
      <c r="D562" s="847"/>
      <c r="E562" s="75"/>
      <c r="F562" s="271"/>
      <c r="G562" s="89"/>
      <c r="H562" s="103"/>
      <c r="I562" s="24"/>
      <c r="J562" s="278"/>
      <c r="K562" s="22"/>
      <c r="L562" s="309"/>
      <c r="M562" s="24"/>
      <c r="N562" s="22"/>
      <c r="O562" s="22"/>
      <c r="P562" s="282"/>
      <c r="Q562" s="621">
        <f>IF($D$6&lt;=3,база!$L$4,
IF($D$6=4,база!$L$5,
IF($D$6=5,база!$L$6)))</f>
        <v>231.45480000000001</v>
      </c>
      <c r="R562" s="271">
        <v>1.3</v>
      </c>
      <c r="S562" s="97">
        <f>SUMIFS(Таблица1[сумма],Таблица1[коэф],"1,3",Таблица1[р/р],"3/16",Таблица1[Ф. И. О.],B561)</f>
        <v>0</v>
      </c>
      <c r="T562" s="103">
        <f t="shared" ref="T562:T563" si="347">ROUND(Q562*R562*S562,2)</f>
        <v>0</v>
      </c>
      <c r="U562" s="82">
        <f>IF(D556&lt;=3,база!$M$4,
IF(D556=4,база!$M$5,
IF(D556=5,база!$M$6)))</f>
        <v>225.09719999999999</v>
      </c>
      <c r="V562" s="271">
        <v>1.3</v>
      </c>
      <c r="W562" s="97">
        <f>SUMIFS(Таблица1[сумма],Таблица1[коэф],"1,3",Таблица1[р/р],"3/24",Таблица1[Ф. И. О.],B561)</f>
        <v>0</v>
      </c>
      <c r="X562" s="103">
        <f t="shared" ref="X562:X563" si="348">ROUND(U562*V562*W562,2)</f>
        <v>0</v>
      </c>
      <c r="Y562" s="838"/>
      <c r="Z562" s="840"/>
      <c r="AA562" s="843"/>
    </row>
    <row r="563" spans="1:30">
      <c r="A563" s="786"/>
      <c r="B563" s="620"/>
      <c r="C563" s="845"/>
      <c r="D563" s="847"/>
      <c r="E563" s="75"/>
      <c r="F563" s="271"/>
      <c r="G563" s="89"/>
      <c r="H563" s="103"/>
      <c r="I563" s="24"/>
      <c r="J563" s="278"/>
      <c r="K563" s="22"/>
      <c r="L563" s="309"/>
      <c r="M563" s="24"/>
      <c r="N563" s="22"/>
      <c r="O563" s="22"/>
      <c r="P563" s="282"/>
      <c r="Q563" s="621">
        <f>база!$L$5</f>
        <v>231.45480000000001</v>
      </c>
      <c r="R563" s="271">
        <v>1.3</v>
      </c>
      <c r="S563" s="97">
        <f>SUMIFS(Таблица1[сумма],Таблица1[коэф],"1,3",Таблица1[р/р],"4/16",Таблица1[Ф. И. О.],B561)</f>
        <v>0</v>
      </c>
      <c r="T563" s="103">
        <f t="shared" si="347"/>
        <v>0</v>
      </c>
      <c r="U563" s="82">
        <f>база!$M$5</f>
        <v>247.41720000000001</v>
      </c>
      <c r="V563" s="271">
        <v>1.3</v>
      </c>
      <c r="W563" s="97">
        <f>SUMIFS(Таблица1[сумма],Таблица1[коэф],"1,3",Таблица1[р/р],"4/24",Таблица1[Ф. И. О.],B561)</f>
        <v>0</v>
      </c>
      <c r="X563" s="103">
        <f t="shared" si="348"/>
        <v>0</v>
      </c>
      <c r="Y563" s="838"/>
      <c r="Z563" s="840"/>
      <c r="AA563" s="843"/>
    </row>
    <row r="564" spans="1:30">
      <c r="A564" s="786"/>
      <c r="B564" s="620"/>
      <c r="C564" s="845"/>
      <c r="D564" s="847"/>
      <c r="E564" s="75"/>
      <c r="F564" s="271"/>
      <c r="G564" s="89"/>
      <c r="H564" s="103"/>
      <c r="I564" s="24"/>
      <c r="J564" s="278"/>
      <c r="K564" s="22"/>
      <c r="L564" s="309"/>
      <c r="M564" s="24"/>
      <c r="N564" s="22"/>
      <c r="O564" s="22"/>
      <c r="P564" s="282"/>
      <c r="Q564" s="621">
        <f>IF(D556&lt;=3,база!$L$4,
IF(D556=4,база!$L$5,
IF(D556=5,база!$L$6)))</f>
        <v>210.57480000000001</v>
      </c>
      <c r="R564" s="271">
        <v>1.4</v>
      </c>
      <c r="S564" s="97">
        <f>SUMIFS(Таблица1[сумма],Таблица1[коэф],"1,4",Таблица1[р/р],"3/16",Таблица1[Ф. И. О.],B561)</f>
        <v>0</v>
      </c>
      <c r="T564" s="103">
        <f>ROUND(Q564*R564*S564,2)</f>
        <v>0</v>
      </c>
      <c r="U564" s="82">
        <f>IF(D556&lt;=3,база!$M$4,
IF(D556=4,база!$M$5,
IF(D556=5,база!$M$6)))</f>
        <v>225.09719999999999</v>
      </c>
      <c r="V564" s="271">
        <v>1.4</v>
      </c>
      <c r="W564" s="97">
        <f>SUMIFS(Таблица1[сумма],Таблица1[коэф],"1,4",Таблица1[р/р],"3/24",Таблица1[Ф. И. О.],B561)</f>
        <v>0</v>
      </c>
      <c r="X564" s="103">
        <f>ROUND(U564*V564*W564,2)</f>
        <v>0</v>
      </c>
      <c r="Y564" s="838"/>
      <c r="Z564" s="840"/>
      <c r="AA564" s="843"/>
    </row>
    <row r="565" spans="1:30">
      <c r="A565" s="786"/>
      <c r="B565" s="620"/>
      <c r="C565" s="845"/>
      <c r="D565" s="847"/>
      <c r="E565" s="85"/>
      <c r="F565" s="273"/>
      <c r="G565" s="630"/>
      <c r="H565" s="90"/>
      <c r="I565" s="67"/>
      <c r="J565" s="631"/>
      <c r="K565" s="59"/>
      <c r="L565" s="325"/>
      <c r="M565" s="67"/>
      <c r="N565" s="59"/>
      <c r="O565" s="59"/>
      <c r="P565" s="283"/>
      <c r="Q565" s="632">
        <f>база!$L$5</f>
        <v>231.45480000000001</v>
      </c>
      <c r="R565" s="273">
        <v>1.4</v>
      </c>
      <c r="S565" s="101">
        <f>SUMIFS(Таблица1[сумма],Таблица1[коэф],"1,4",Таблица1[р/р],"4/16",Таблица1[Ф. И. О.],B561)</f>
        <v>0</v>
      </c>
      <c r="T565" s="90">
        <f>ROUND(Q565*R565*S565,2)</f>
        <v>0</v>
      </c>
      <c r="U565" s="106">
        <f>база!$M$5</f>
        <v>247.41720000000001</v>
      </c>
      <c r="V565" s="273">
        <v>1.4</v>
      </c>
      <c r="W565" s="101">
        <f>SUMIFS(Таблица1[сумма],Таблица1[коэф],"1,4",Таблица1[р/р],"4/24",Таблица1[Ф. И. О.],B561)</f>
        <v>0</v>
      </c>
      <c r="X565" s="90">
        <f>ROUND(U565*V565*W565,2)</f>
        <v>0</v>
      </c>
      <c r="Y565" s="838"/>
      <c r="Z565" s="840"/>
      <c r="AA565" s="843"/>
    </row>
    <row r="566" spans="1:30" ht="24" thickBot="1">
      <c r="A566" s="787"/>
      <c r="B566" s="352"/>
      <c r="C566" s="846"/>
      <c r="D566" s="848"/>
      <c r="E566" s="77"/>
      <c r="F566" s="276"/>
      <c r="G566" s="622"/>
      <c r="H566" s="94"/>
      <c r="I566" s="623"/>
      <c r="J566" s="596"/>
      <c r="K566" s="624"/>
      <c r="L566" s="328"/>
      <c r="M566" s="623"/>
      <c r="N566" s="624"/>
      <c r="O566" s="624"/>
      <c r="P566" s="290"/>
      <c r="Q566" s="625">
        <f>база!$L$6</f>
        <v>261.04640000000001</v>
      </c>
      <c r="R566" s="276">
        <v>1.4</v>
      </c>
      <c r="S566" s="100">
        <f>SUMIFS(Таблица1[сумма],Таблица1[коэф],"1,4",Таблица1[р/р],"5/16",Таблица1[Ф. И. О.],B561)</f>
        <v>0</v>
      </c>
      <c r="T566" s="94">
        <f>ROUND(Q566*R566*S566,2)</f>
        <v>0</v>
      </c>
      <c r="U566" s="84">
        <f>база!$M$6</f>
        <v>279.0496</v>
      </c>
      <c r="V566" s="276">
        <v>1.4</v>
      </c>
      <c r="W566" s="100">
        <f>SUMIFS(Таблица1[сумма],Таблица1[коэф],"1,4",Таблица1[р/р],"5/24",Таблица1[Ф. И. О.],B561)</f>
        <v>0</v>
      </c>
      <c r="X566" s="94">
        <f>ROUND(U566*V566*W566,2)</f>
        <v>0</v>
      </c>
      <c r="Y566" s="839"/>
      <c r="Z566" s="841"/>
      <c r="AA566" s="844"/>
    </row>
    <row r="567" spans="1:30" ht="20.25" customHeight="1">
      <c r="A567" s="785">
        <v>52</v>
      </c>
      <c r="B567" s="620"/>
      <c r="C567" s="851">
        <f>INDEX(база!$E$2:$E$181, MATCH(B572,база!$B$2:$B$160,0))</f>
        <v>15239</v>
      </c>
      <c r="D567" s="852">
        <f>INDEX(база!$D$2:$D$189, MATCH(B572,база!$B$2:$B$160,0))</f>
        <v>3</v>
      </c>
      <c r="E567" s="75">
        <f>IF(D567&lt;=3,база!$I$4,
IF(D567=4,база!$I$5,
IF(D567=5,база!$I$6)))</f>
        <v>188.7912</v>
      </c>
      <c r="F567" s="271">
        <v>1</v>
      </c>
      <c r="G567" s="89">
        <f>SUMIFS(Таблица1[сумма],Таблица1[коэф],"1",Таблица1[р/р],"2/4",Таблица1[Ф. И. О.],B572)</f>
        <v>0</v>
      </c>
      <c r="H567" s="103">
        <f>ROUND(E567*F567*G567,2)</f>
        <v>0</v>
      </c>
      <c r="I567" s="24">
        <f>IF(D567&lt;=3,база!$J$4,
IF(D567=4,база!$J$5,
IF(D567=5,база!$J$6)))</f>
        <v>196.05240000000001</v>
      </c>
      <c r="J567" s="278">
        <v>1</v>
      </c>
      <c r="K567" s="22">
        <f>SUMIFS(Таблица1[сумма],Таблица1[коэф],"1",Таблица1[р/р],"2/8",Таблица1[Ф. И. О.],B572)</f>
        <v>0</v>
      </c>
      <c r="L567" s="309">
        <f>ROUND(I567*J567*K567,2)</f>
        <v>0</v>
      </c>
      <c r="M567" s="24"/>
      <c r="N567" s="22">
        <v>1</v>
      </c>
      <c r="O567" s="22">
        <f>SUMIFS(Data_Tech!$AM$3:$AM$67,Data_Tech!$E$3:$E$67,"1",Data_Tech!$G$3:$G$67,"3/12",Data_Tech!$F$3:$F$67,B572)</f>
        <v>0</v>
      </c>
      <c r="P567" s="282">
        <f>ROUND(M567*N567*O567,2)</f>
        <v>0</v>
      </c>
      <c r="Q567" s="621">
        <f>IF(D567&lt;=3,база!$L$4,
IF(D567=4,база!$L$5,
IF(D567=5,база!$L$6)))</f>
        <v>210.57480000000001</v>
      </c>
      <c r="R567" s="271">
        <v>1</v>
      </c>
      <c r="S567" s="97">
        <f>SUMIFS(Таблица1[сумма],Таблица1[коэф],"1",Таблица1[р/р],"3/16",Таблица1[Ф. И. О.],B572)</f>
        <v>0</v>
      </c>
      <c r="T567" s="103">
        <f t="shared" ref="T567:T571" si="349">ROUND(Q567*R567*S567,2)</f>
        <v>0</v>
      </c>
      <c r="U567" s="82">
        <f>IF(D567&lt;=3,база!$M$4,
IF(D567=4,база!$M$5,
IF(D567=5,база!$M$6)))</f>
        <v>225.09719999999999</v>
      </c>
      <c r="V567" s="271">
        <v>1</v>
      </c>
      <c r="W567" s="97">
        <f>SUMIFS(Таблица1[сумма],Таблица1[коэф],"1",Таблица1[р/р],"3/24",Таблица1[Ф. И. О.],B572)</f>
        <v>0</v>
      </c>
      <c r="X567" s="103">
        <f>ROUND(U567*V567*W567,2)</f>
        <v>0</v>
      </c>
      <c r="Y567" s="837">
        <f t="shared" ref="Y567" si="350">SUM(G567:G577,K567:K577,O567:O577,S567:S577,W567:W577)</f>
        <v>0</v>
      </c>
      <c r="Z567" s="853">
        <f t="shared" ref="Z567" si="351">IFERROR(SUM(H567:H577,L567:L577,T567:T577,X567:X577),"")</f>
        <v>0</v>
      </c>
      <c r="AA567" s="842"/>
    </row>
    <row r="568" spans="1:30">
      <c r="A568" s="786"/>
      <c r="B568" s="620"/>
      <c r="C568" s="845"/>
      <c r="D568" s="847"/>
      <c r="E568" s="75">
        <f>IF(D567&lt;=3,база!$I$4,
IF(D567=4,база!$I$5,
IF(D567=5,база!$I$6)))</f>
        <v>188.7912</v>
      </c>
      <c r="F568" s="271">
        <v>1</v>
      </c>
      <c r="G568" s="89">
        <f>SUMIFS(Таблица1[сумма],Таблица1[коэф],"1",Таблица1[р/р],"3/4",Таблица1[Ф. И. О.],B572)</f>
        <v>0</v>
      </c>
      <c r="H568" s="103">
        <f>ROUND(E568*F568*G568,2)</f>
        <v>0</v>
      </c>
      <c r="I568" s="24">
        <f>IF(D567&lt;=3,база!$J$4,
IF(D567=4,база!$J$5,
IF(D567=5,база!$J$6)))</f>
        <v>196.05240000000001</v>
      </c>
      <c r="J568" s="278">
        <v>1</v>
      </c>
      <c r="K568" s="22"/>
      <c r="L568" s="309">
        <f>ROUND(I568*J568*K568,2)</f>
        <v>0</v>
      </c>
      <c r="M568" s="24"/>
      <c r="N568" s="22">
        <v>1</v>
      </c>
      <c r="O568" s="22">
        <f>SUMIFS(Data_Tech!$AM$3:$AM$67,Data_Tech!$E$3:$E$67,"1",Data_Tech!$G$3:$G$67,"4/12",Data_Tech!$F$3:$F$67,B572)</f>
        <v>0</v>
      </c>
      <c r="P568" s="282">
        <f>ROUND(M568*O568,2)</f>
        <v>0</v>
      </c>
      <c r="Q568" s="621">
        <f>база!$L$5</f>
        <v>231.45480000000001</v>
      </c>
      <c r="R568" s="271">
        <v>1</v>
      </c>
      <c r="S568" s="97">
        <f>SUMIFS(Таблица1[сумма],Таблица1[коэф],"1",Таблица1[р/р],"4/16",Таблица1[Ф. И. О.],B572)</f>
        <v>0</v>
      </c>
      <c r="T568" s="103">
        <f t="shared" si="349"/>
        <v>0</v>
      </c>
      <c r="U568" s="82">
        <f>база!$M$5</f>
        <v>247.41720000000001</v>
      </c>
      <c r="V568" s="271">
        <v>1</v>
      </c>
      <c r="W568" s="97">
        <f>SUMIFS(Таблица1[сумма],Таблица1[коэф],"1",Таблица1[р/р],"4/24",Таблица1[Ф. И. О.],B572)</f>
        <v>0</v>
      </c>
      <c r="X568" s="103">
        <f t="shared" ref="X568" si="352">ROUND(U568*V568*W568,2)</f>
        <v>0</v>
      </c>
      <c r="Y568" s="838"/>
      <c r="Z568" s="840"/>
      <c r="AA568" s="843"/>
    </row>
    <row r="569" spans="1:30">
      <c r="A569" s="786"/>
      <c r="B569" s="620"/>
      <c r="C569" s="845"/>
      <c r="D569" s="847"/>
      <c r="E569" s="75"/>
      <c r="F569" s="271"/>
      <c r="G569" s="89"/>
      <c r="H569" s="103"/>
      <c r="I569" s="24"/>
      <c r="J569" s="278"/>
      <c r="K569" s="22"/>
      <c r="L569" s="309"/>
      <c r="M569" s="24"/>
      <c r="N569" s="22"/>
      <c r="O569" s="22"/>
      <c r="P569" s="282"/>
      <c r="Q569" s="621">
        <f>база!$L$6</f>
        <v>261.04640000000001</v>
      </c>
      <c r="R569" s="271">
        <v>1</v>
      </c>
      <c r="S569" s="97">
        <f>SUMIFS(Таблица1[сумма],Таблица1[коэф],"1",Таблица1[р/р],"5/16",Таблица1[Ф. И. О.],B572)</f>
        <v>0</v>
      </c>
      <c r="T569" s="103">
        <f t="shared" si="349"/>
        <v>0</v>
      </c>
      <c r="U569" s="82">
        <f>база!$M$6</f>
        <v>279.0496</v>
      </c>
      <c r="V569" s="271">
        <v>1</v>
      </c>
      <c r="W569" s="97">
        <f>SUMIFS(Таблица1[сумма],Таблица1[коэф],"1",Таблица1[р/р],"5/24",Таблица1[Ф. И. О.],B572)</f>
        <v>0</v>
      </c>
      <c r="X569" s="103">
        <f>ROUND(U569*V569*W569,2)</f>
        <v>0</v>
      </c>
      <c r="Y569" s="838"/>
      <c r="Z569" s="840"/>
      <c r="AA569" s="843"/>
    </row>
    <row r="570" spans="1:30">
      <c r="A570" s="786"/>
      <c r="B570" s="620"/>
      <c r="C570" s="845"/>
      <c r="D570" s="847"/>
      <c r="E570" s="75"/>
      <c r="F570" s="271"/>
      <c r="G570" s="89"/>
      <c r="H570" s="103"/>
      <c r="I570" s="24">
        <f>база!$J$5</f>
        <v>215.4924</v>
      </c>
      <c r="J570" s="278">
        <v>1.5</v>
      </c>
      <c r="K570" s="22">
        <f>SUMIFS(Таблица1[сумма],Таблица1[коэф],"1,5",Таблица1[р/р],"4/8",Таблица1[Ф. И. О.],B572)</f>
        <v>0</v>
      </c>
      <c r="L570" s="309">
        <f>ROUND(I570*J570*K570,2)</f>
        <v>0</v>
      </c>
      <c r="M570" s="24"/>
      <c r="N570" s="22"/>
      <c r="O570" s="22"/>
      <c r="P570" s="282"/>
      <c r="Q570" s="621">
        <f>IF(D567&lt;=3,база!$L$4,
IF(D567=4,база!$L$5,
IF(D567=5,база!$L$6)))</f>
        <v>210.57480000000001</v>
      </c>
      <c r="R570" s="271">
        <v>1.2</v>
      </c>
      <c r="S570" s="97">
        <f>SUMIFS(Таблица1[сумма],Таблица1[коэф],"1,2",Таблица1[р/р],"3/16",Таблица1[Ф. И. О.],B572)</f>
        <v>0</v>
      </c>
      <c r="T570" s="103">
        <f t="shared" si="349"/>
        <v>0</v>
      </c>
      <c r="U570" s="82">
        <f>IF(D567&lt;=3,база!$M$4,
IF(D567=4,база!$M$5,
IF(D567=5,база!$M$6)))</f>
        <v>225.09719999999999</v>
      </c>
      <c r="V570" s="271">
        <v>1.2</v>
      </c>
      <c r="W570" s="97">
        <f>SUMIFS(Таблица1[сумма],Таблица1[коэф],"1,2",Таблица1[р/р],"3/24",Таблица1[Ф. И. О.],B572)</f>
        <v>0</v>
      </c>
      <c r="X570" s="103">
        <f t="shared" ref="X570:X571" si="353">ROUND(U570*V570*W570,2)</f>
        <v>0</v>
      </c>
      <c r="Y570" s="838"/>
      <c r="Z570" s="840"/>
      <c r="AA570" s="843"/>
    </row>
    <row r="571" spans="1:30">
      <c r="A571" s="786"/>
      <c r="B571" s="620"/>
      <c r="C571" s="845"/>
      <c r="D571" s="847"/>
      <c r="E571" s="75"/>
      <c r="F571" s="271"/>
      <c r="G571" s="89"/>
      <c r="H571" s="103"/>
      <c r="I571" s="24">
        <f>база!$J$6</f>
        <v>243.04319999999998</v>
      </c>
      <c r="J571" s="278">
        <v>1.5</v>
      </c>
      <c r="K571" s="22">
        <f>SUMIFS(Таблица1[сумма],Таблица1[коэф],"1,5",Таблица1[р/р],"5/8",Таблица1[Ф. И. О.],B572)</f>
        <v>0</v>
      </c>
      <c r="L571" s="309">
        <f>ROUND(I571*J571*K571,2)</f>
        <v>0</v>
      </c>
      <c r="M571" s="24"/>
      <c r="N571" s="22"/>
      <c r="O571" s="22"/>
      <c r="P571" s="282"/>
      <c r="Q571" s="621">
        <f>база!$L$5</f>
        <v>231.45480000000001</v>
      </c>
      <c r="R571" s="271">
        <v>1.2</v>
      </c>
      <c r="S571" s="97">
        <f>SUMIFS(Таблица1[сумма],Таблица1[коэф],"1,2",Таблица1[р/р],"4/16",Таблица1[Ф. И. О.],B572)</f>
        <v>0</v>
      </c>
      <c r="T571" s="103">
        <f t="shared" si="349"/>
        <v>0</v>
      </c>
      <c r="U571" s="82">
        <f>база!$M$5</f>
        <v>247.41720000000001</v>
      </c>
      <c r="V571" s="271">
        <v>1.2</v>
      </c>
      <c r="W571" s="97">
        <f>SUMIFS(Таблица1[сумма],Таблица1[коэф],"1,2",Таблица1[р/р],"4/24",Таблица1[Ф. И. О.],B572)</f>
        <v>0</v>
      </c>
      <c r="X571" s="103">
        <f t="shared" si="353"/>
        <v>0</v>
      </c>
      <c r="Y571" s="838"/>
      <c r="Z571" s="840"/>
      <c r="AA571" s="843"/>
      <c r="AC571" s="722" t="str">
        <f>IF(SUMIFS(Таблица1[Столбец2],Таблица1[Ф. И. О.],B572)-Z567=0,"",SUMIFS(Таблица1[Столбец2],Таблица1[Ф. И. О.],B572)-Z567)</f>
        <v/>
      </c>
    </row>
    <row r="572" spans="1:30">
      <c r="A572" s="786"/>
      <c r="B572" s="620" t="str">
        <f>база!B53</f>
        <v>Михно Татьяна Николаевна</v>
      </c>
      <c r="C572" s="845"/>
      <c r="D572" s="847"/>
      <c r="E572" s="75"/>
      <c r="F572" s="271"/>
      <c r="G572" s="89"/>
      <c r="H572" s="103"/>
      <c r="I572" s="24"/>
      <c r="J572" s="278"/>
      <c r="K572" s="22"/>
      <c r="L572" s="309"/>
      <c r="M572" s="24"/>
      <c r="N572" s="22"/>
      <c r="O572" s="22"/>
      <c r="P572" s="282"/>
      <c r="Q572" s="621">
        <f>база!$L$6</f>
        <v>261.04640000000001</v>
      </c>
      <c r="R572" s="271">
        <v>1.2</v>
      </c>
      <c r="S572" s="97">
        <f>SUMIFS(Таблица1[сумма],Таблица1[коэф],"1,2",Таблица1[р/р],"5/16",Таблица1[Ф. И. О.],B572)</f>
        <v>0</v>
      </c>
      <c r="T572" s="103">
        <f>ROUND(Q572*R572*S572,2)</f>
        <v>0</v>
      </c>
      <c r="U572" s="82">
        <f>база!$M$6</f>
        <v>279.0496</v>
      </c>
      <c r="V572" s="271">
        <v>1.2</v>
      </c>
      <c r="W572" s="97">
        <f>SUMIFS(Таблица1[сумма],Таблица1[коэф],"1,2",Таблица1[р/р],"5/24",Таблица1[Ф. И. О.],B572)</f>
        <v>0</v>
      </c>
      <c r="X572" s="103">
        <f>ROUND(U572*V572*W572,2)</f>
        <v>0</v>
      </c>
      <c r="Y572" s="838"/>
      <c r="Z572" s="840"/>
      <c r="AA572" s="843"/>
      <c r="AC572" s="722" t="str">
        <f>IF(SUMIFS(Таблица1[сумма],Таблица1[Ф. И. О.],B572)=Y567,"",B567&amp;"  часы не верны")</f>
        <v/>
      </c>
      <c r="AD572" s="759">
        <f>INDEX('[2]декабрь 23'!$AI$4:$AI$100,MATCH(C567,'[2]декабрь 23'!$AK$4:$AK$100,0))</f>
        <v>140.70000000000002</v>
      </c>
    </row>
    <row r="573" spans="1:30">
      <c r="A573" s="786"/>
      <c r="B573" s="620"/>
      <c r="C573" s="845"/>
      <c r="D573" s="847"/>
      <c r="E573" s="75"/>
      <c r="F573" s="271"/>
      <c r="G573" s="89"/>
      <c r="H573" s="103"/>
      <c r="I573" s="24"/>
      <c r="J573" s="278"/>
      <c r="K573" s="22"/>
      <c r="L573" s="309"/>
      <c r="M573" s="24"/>
      <c r="N573" s="22"/>
      <c r="O573" s="22"/>
      <c r="P573" s="282"/>
      <c r="Q573" s="621">
        <f>IF($D$6&lt;=3,база!$L$4,
IF($D$6=4,база!$L$5,
IF($D$6=5,база!$L$6)))</f>
        <v>231.45480000000001</v>
      </c>
      <c r="R573" s="271">
        <v>1.3</v>
      </c>
      <c r="S573" s="97">
        <f>SUMIFS(Таблица1[сумма],Таблица1[коэф],"1,3",Таблица1[р/р],"3/16",Таблица1[Ф. И. О.],B572)</f>
        <v>0</v>
      </c>
      <c r="T573" s="103">
        <f t="shared" ref="T573:T574" si="354">ROUND(Q573*R573*S573,2)</f>
        <v>0</v>
      </c>
      <c r="U573" s="82">
        <f>IF(D567&lt;=3,база!$M$4,
IF(D567=4,база!$M$5,
IF(D567=5,база!$M$6)))</f>
        <v>225.09719999999999</v>
      </c>
      <c r="V573" s="271">
        <v>1.3</v>
      </c>
      <c r="W573" s="97">
        <f>SUMIFS(Таблица1[сумма],Таблица1[коэф],"1,3",Таблица1[р/р],"3/24",Таблица1[Ф. И. О.],B572)</f>
        <v>0</v>
      </c>
      <c r="X573" s="103">
        <f t="shared" ref="X573:X574" si="355">ROUND(U573*V573*W573,2)</f>
        <v>0</v>
      </c>
      <c r="Y573" s="838"/>
      <c r="Z573" s="840"/>
      <c r="AA573" s="843"/>
    </row>
    <row r="574" spans="1:30">
      <c r="A574" s="786"/>
      <c r="B574" s="620"/>
      <c r="C574" s="845"/>
      <c r="D574" s="847"/>
      <c r="E574" s="75"/>
      <c r="F574" s="271"/>
      <c r="G574" s="89"/>
      <c r="H574" s="103"/>
      <c r="I574" s="24"/>
      <c r="J574" s="278"/>
      <c r="K574" s="22"/>
      <c r="L574" s="309"/>
      <c r="M574" s="24"/>
      <c r="N574" s="22"/>
      <c r="O574" s="22"/>
      <c r="P574" s="282"/>
      <c r="Q574" s="621">
        <f>база!$L$5</f>
        <v>231.45480000000001</v>
      </c>
      <c r="R574" s="271">
        <v>1.3</v>
      </c>
      <c r="S574" s="97">
        <f>SUMIFS(Таблица1[сумма],Таблица1[коэф],"1,3",Таблица1[р/р],"4/16",Таблица1[Ф. И. О.],B572)</f>
        <v>0</v>
      </c>
      <c r="T574" s="103">
        <f t="shared" si="354"/>
        <v>0</v>
      </c>
      <c r="U574" s="82">
        <f>база!$M$5</f>
        <v>247.41720000000001</v>
      </c>
      <c r="V574" s="271">
        <v>1.3</v>
      </c>
      <c r="W574" s="97">
        <f>SUMIFS(Таблица1[сумма],Таблица1[коэф],"1,3",Таблица1[р/р],"4/24",Таблица1[Ф. И. О.],B572)</f>
        <v>0</v>
      </c>
      <c r="X574" s="103">
        <f t="shared" si="355"/>
        <v>0</v>
      </c>
      <c r="Y574" s="838"/>
      <c r="Z574" s="840"/>
      <c r="AA574" s="843"/>
    </row>
    <row r="575" spans="1:30">
      <c r="A575" s="786"/>
      <c r="B575" s="620"/>
      <c r="C575" s="845"/>
      <c r="D575" s="847"/>
      <c r="E575" s="75"/>
      <c r="F575" s="271"/>
      <c r="G575" s="89"/>
      <c r="H575" s="103"/>
      <c r="I575" s="24"/>
      <c r="J575" s="278"/>
      <c r="K575" s="22"/>
      <c r="L575" s="309"/>
      <c r="M575" s="24"/>
      <c r="N575" s="22"/>
      <c r="O575" s="22"/>
      <c r="P575" s="282"/>
      <c r="Q575" s="621">
        <f>IF(D567&lt;=3,база!$L$4,
IF(D567=4,база!$L$5,
IF(D567=5,база!$L$6)))</f>
        <v>210.57480000000001</v>
      </c>
      <c r="R575" s="271">
        <v>1.4</v>
      </c>
      <c r="S575" s="97">
        <f>SUMIFS(Таблица1[сумма],Таблица1[коэф],"1,4",Таблица1[р/р],"3/16",Таблица1[Ф. И. О.],B572)</f>
        <v>0</v>
      </c>
      <c r="T575" s="103">
        <f>ROUND(Q575*R575*S575,2)</f>
        <v>0</v>
      </c>
      <c r="U575" s="82">
        <f>IF(D567&lt;=3,база!$M$4,
IF(D567=4,база!$M$5,
IF(D567=5,база!$M$6)))</f>
        <v>225.09719999999999</v>
      </c>
      <c r="V575" s="271">
        <v>1.4</v>
      </c>
      <c r="W575" s="97">
        <f>SUMIFS(Таблица1[сумма],Таблица1[коэф],"1,4",Таблица1[р/р],"3/24",Таблица1[Ф. И. О.],B572)</f>
        <v>0</v>
      </c>
      <c r="X575" s="103">
        <f>ROUND(U575*V575*W575,2)</f>
        <v>0</v>
      </c>
      <c r="Y575" s="838"/>
      <c r="Z575" s="840"/>
      <c r="AA575" s="843"/>
    </row>
    <row r="576" spans="1:30">
      <c r="A576" s="786"/>
      <c r="B576" s="620"/>
      <c r="C576" s="845"/>
      <c r="D576" s="847"/>
      <c r="E576" s="85"/>
      <c r="F576" s="273"/>
      <c r="G576" s="630"/>
      <c r="H576" s="90"/>
      <c r="I576" s="67"/>
      <c r="J576" s="631"/>
      <c r="K576" s="59"/>
      <c r="L576" s="325"/>
      <c r="M576" s="67"/>
      <c r="N576" s="59"/>
      <c r="O576" s="59"/>
      <c r="P576" s="283"/>
      <c r="Q576" s="632">
        <f>база!$L$5</f>
        <v>231.45480000000001</v>
      </c>
      <c r="R576" s="273">
        <v>1.4</v>
      </c>
      <c r="S576" s="101">
        <f>SUMIFS(Таблица1[сумма],Таблица1[коэф],"1,4",Таблица1[р/р],"4/16",Таблица1[Ф. И. О.],B572)</f>
        <v>0</v>
      </c>
      <c r="T576" s="90">
        <f>ROUND(Q576*R576*S576,2)</f>
        <v>0</v>
      </c>
      <c r="U576" s="106">
        <f>база!$M$5</f>
        <v>247.41720000000001</v>
      </c>
      <c r="V576" s="273">
        <v>1.4</v>
      </c>
      <c r="W576" s="101">
        <f>SUMIFS(Таблица1[сумма],Таблица1[коэф],"1,4",Таблица1[р/р],"4/24",Таблица1[Ф. И. О.],B572)</f>
        <v>0</v>
      </c>
      <c r="X576" s="90">
        <f>ROUND(U576*V576*W576,2)</f>
        <v>0</v>
      </c>
      <c r="Y576" s="838"/>
      <c r="Z576" s="840"/>
      <c r="AA576" s="843"/>
    </row>
    <row r="577" spans="1:30" ht="24" thickBot="1">
      <c r="A577" s="787"/>
      <c r="B577" s="352"/>
      <c r="C577" s="846"/>
      <c r="D577" s="848"/>
      <c r="E577" s="77"/>
      <c r="F577" s="276"/>
      <c r="G577" s="622"/>
      <c r="H577" s="94"/>
      <c r="I577" s="623"/>
      <c r="J577" s="596"/>
      <c r="K577" s="624"/>
      <c r="L577" s="328"/>
      <c r="M577" s="623"/>
      <c r="N577" s="624"/>
      <c r="O577" s="624"/>
      <c r="P577" s="290"/>
      <c r="Q577" s="625">
        <f>база!$L$6</f>
        <v>261.04640000000001</v>
      </c>
      <c r="R577" s="276">
        <v>1.4</v>
      </c>
      <c r="S577" s="100">
        <f>SUMIFS(Таблица1[сумма],Таблица1[коэф],"1,4",Таблица1[р/р],"5/16",Таблица1[Ф. И. О.],B572)</f>
        <v>0</v>
      </c>
      <c r="T577" s="94">
        <f>ROUND(Q577*R577*S577,2)</f>
        <v>0</v>
      </c>
      <c r="U577" s="84">
        <f>база!$M$6</f>
        <v>279.0496</v>
      </c>
      <c r="V577" s="276">
        <v>1.4</v>
      </c>
      <c r="W577" s="100">
        <f>SUMIFS(Таблица1[сумма],Таблица1[коэф],"1,4",Таблица1[р/р],"5/24",Таблица1[Ф. И. О.],B572)</f>
        <v>0</v>
      </c>
      <c r="X577" s="94">
        <f>ROUND(U577*V577*W577,2)</f>
        <v>0</v>
      </c>
      <c r="Y577" s="839"/>
      <c r="Z577" s="841"/>
      <c r="AA577" s="844"/>
    </row>
    <row r="578" spans="1:30" ht="20.25" customHeight="1">
      <c r="A578" s="785">
        <v>53</v>
      </c>
      <c r="B578" s="620"/>
      <c r="C578" s="851">
        <f>INDEX(база!$E$2:$E$181, MATCH(B583,база!$B$2:$B$160,0))</f>
        <v>17354</v>
      </c>
      <c r="D578" s="852">
        <f>INDEX(база!$D$2:$D$189, MATCH(B583,база!$B$2:$B$160,0))</f>
        <v>3</v>
      </c>
      <c r="E578" s="75">
        <f>IF(D578&lt;=3,база!$I$4,
IF(D578=4,база!$I$5,
IF(D578=5,база!$I$6)))</f>
        <v>188.7912</v>
      </c>
      <c r="F578" s="271">
        <v>1</v>
      </c>
      <c r="G578" s="89">
        <f>SUMIFS(Таблица1[сумма],Таблица1[коэф],"1",Таблица1[р/р],"2/4",Таблица1[Ф. И. О.],B583)</f>
        <v>0</v>
      </c>
      <c r="H578" s="103">
        <f>ROUND(E578*F578*G578,2)</f>
        <v>0</v>
      </c>
      <c r="I578" s="24">
        <f>IF(D578&lt;=3,база!$J$4,
IF(D578=4,база!$J$5,
IF(D578=5,база!$J$6)))</f>
        <v>196.05240000000001</v>
      </c>
      <c r="J578" s="278">
        <v>1</v>
      </c>
      <c r="K578" s="22">
        <f>SUMIFS(Таблица1[сумма],Таблица1[коэф],"1",Таблица1[р/р],"2/8",Таблица1[Ф. И. О.],B583)</f>
        <v>0</v>
      </c>
      <c r="L578" s="309">
        <f>ROUND(I578*J578*K578,2)</f>
        <v>0</v>
      </c>
      <c r="M578" s="24"/>
      <c r="N578" s="22">
        <v>1</v>
      </c>
      <c r="O578" s="22">
        <f>SUMIFS(Data_Tech!$AM$3:$AM$67,Data_Tech!$E$3:$E$67,"1",Data_Tech!$G$3:$G$67,"3/12",Data_Tech!$F$3:$F$67,B583)</f>
        <v>0</v>
      </c>
      <c r="P578" s="282">
        <f>ROUND(M578*N578*O578,2)</f>
        <v>0</v>
      </c>
      <c r="Q578" s="621">
        <f>IF(D578&lt;=3,база!$L$4,
IF(D578=4,база!$L$5,
IF(D578=5,база!$L$6)))</f>
        <v>210.57480000000001</v>
      </c>
      <c r="R578" s="271">
        <v>1</v>
      </c>
      <c r="S578" s="97">
        <f>SUMIFS(Таблица1[сумма],Таблица1[коэф],"1",Таблица1[р/р],"3/16",Таблица1[Ф. И. О.],B583)</f>
        <v>0</v>
      </c>
      <c r="T578" s="103">
        <f t="shared" ref="T578:T582" si="356">ROUND(Q578*R578*S578,2)</f>
        <v>0</v>
      </c>
      <c r="U578" s="82">
        <f>IF(D578&lt;=3,база!$M$4,
IF(D578=4,база!$M$5,
IF(D578=5,база!$M$6)))</f>
        <v>225.09719999999999</v>
      </c>
      <c r="V578" s="271">
        <v>1</v>
      </c>
      <c r="W578" s="97">
        <f>SUMIFS(Таблица1[сумма],Таблица1[коэф],"1",Таблица1[р/р],"3/24",Таблица1[Ф. И. О.],B583)</f>
        <v>0</v>
      </c>
      <c r="X578" s="103">
        <f>ROUND(U578*V578*W578,2)</f>
        <v>0</v>
      </c>
      <c r="Y578" s="837">
        <f t="shared" ref="Y578" si="357">SUM(G578:G588,K578:K588,O578:O588,S578:S588,W578:W588)</f>
        <v>0</v>
      </c>
      <c r="Z578" s="853">
        <f t="shared" ref="Z578" si="358">IFERROR(SUM(H578:H588,L578:L588,T578:T588,X578:X588),"")</f>
        <v>0</v>
      </c>
      <c r="AA578" s="842"/>
    </row>
    <row r="579" spans="1:30">
      <c r="A579" s="786"/>
      <c r="B579" s="620"/>
      <c r="C579" s="845"/>
      <c r="D579" s="847"/>
      <c r="E579" s="75">
        <f>IF(D578&lt;=3,база!$I$4,
IF(D578=4,база!$I$5,
IF(D578=5,база!$I$6)))</f>
        <v>188.7912</v>
      </c>
      <c r="F579" s="271">
        <v>1</v>
      </c>
      <c r="G579" s="89">
        <f>SUMIFS(Таблица1[сумма],Таблица1[коэф],"1",Таблица1[р/р],"3/4",Таблица1[Ф. И. О.],B583)</f>
        <v>0</v>
      </c>
      <c r="H579" s="103">
        <f>ROUND(E579*F579*G579,2)</f>
        <v>0</v>
      </c>
      <c r="I579" s="24">
        <f>IF(D578&lt;=3,база!$J$4,
IF(D578=4,база!$J$5,
IF(D578=5,база!$J$6)))</f>
        <v>196.05240000000001</v>
      </c>
      <c r="J579" s="278">
        <v>1</v>
      </c>
      <c r="K579" s="22"/>
      <c r="L579" s="309">
        <f>ROUND(I579*J579*K579,2)</f>
        <v>0</v>
      </c>
      <c r="M579" s="24"/>
      <c r="N579" s="22">
        <v>1</v>
      </c>
      <c r="O579" s="22">
        <f>SUMIFS(Data_Tech!$AM$3:$AM$67,Data_Tech!$E$3:$E$67,"1",Data_Tech!$G$3:$G$67,"4/12",Data_Tech!$F$3:$F$67,B583)</f>
        <v>0</v>
      </c>
      <c r="P579" s="282">
        <f>ROUND(M579*O579,2)</f>
        <v>0</v>
      </c>
      <c r="Q579" s="621">
        <f>база!$L$5</f>
        <v>231.45480000000001</v>
      </c>
      <c r="R579" s="271">
        <v>1</v>
      </c>
      <c r="S579" s="97">
        <f>SUMIFS(Таблица1[сумма],Таблица1[коэф],"1",Таблица1[р/р],"4/16",Таблица1[Ф. И. О.],B583)</f>
        <v>0</v>
      </c>
      <c r="T579" s="103">
        <f t="shared" si="356"/>
        <v>0</v>
      </c>
      <c r="U579" s="82">
        <f>база!$M$5</f>
        <v>247.41720000000001</v>
      </c>
      <c r="V579" s="271">
        <v>1</v>
      </c>
      <c r="W579" s="97">
        <f>SUMIFS(Таблица1[сумма],Таблица1[коэф],"1",Таблица1[р/р],"4/24",Таблица1[Ф. И. О.],B583)</f>
        <v>0</v>
      </c>
      <c r="X579" s="103">
        <f t="shared" ref="X579" si="359">ROUND(U579*V579*W579,2)</f>
        <v>0</v>
      </c>
      <c r="Y579" s="838"/>
      <c r="Z579" s="840"/>
      <c r="AA579" s="843"/>
    </row>
    <row r="580" spans="1:30">
      <c r="A580" s="786"/>
      <c r="B580" s="620"/>
      <c r="C580" s="845"/>
      <c r="D580" s="847"/>
      <c r="E580" s="75"/>
      <c r="F580" s="271"/>
      <c r="G580" s="89"/>
      <c r="H580" s="103"/>
      <c r="I580" s="24"/>
      <c r="J580" s="278"/>
      <c r="K580" s="22"/>
      <c r="L580" s="309"/>
      <c r="M580" s="24"/>
      <c r="N580" s="22"/>
      <c r="O580" s="22"/>
      <c r="P580" s="282"/>
      <c r="Q580" s="621">
        <f>база!$L$6</f>
        <v>261.04640000000001</v>
      </c>
      <c r="R580" s="271">
        <v>1</v>
      </c>
      <c r="S580" s="97">
        <f>SUMIFS(Таблица1[сумма],Таблица1[коэф],"1",Таблица1[р/р],"5/16",Таблица1[Ф. И. О.],B583)</f>
        <v>0</v>
      </c>
      <c r="T580" s="103">
        <f t="shared" si="356"/>
        <v>0</v>
      </c>
      <c r="U580" s="82">
        <f>база!$M$6</f>
        <v>279.0496</v>
      </c>
      <c r="V580" s="271">
        <v>1</v>
      </c>
      <c r="W580" s="97">
        <f>SUMIFS(Таблица1[сумма],Таблица1[коэф],"1",Таблица1[р/р],"5/24",Таблица1[Ф. И. О.],B583)</f>
        <v>0</v>
      </c>
      <c r="X580" s="103">
        <f>ROUND(U580*V580*W580,2)</f>
        <v>0</v>
      </c>
      <c r="Y580" s="838"/>
      <c r="Z580" s="840"/>
      <c r="AA580" s="843"/>
    </row>
    <row r="581" spans="1:30">
      <c r="A581" s="786"/>
      <c r="B581" s="620"/>
      <c r="C581" s="845"/>
      <c r="D581" s="847"/>
      <c r="E581" s="75"/>
      <c r="F581" s="271"/>
      <c r="G581" s="89"/>
      <c r="H581" s="103"/>
      <c r="I581" s="24">
        <f>база!$J$5</f>
        <v>215.4924</v>
      </c>
      <c r="J581" s="278">
        <v>1.5</v>
      </c>
      <c r="K581" s="22">
        <f>SUMIFS(Таблица1[сумма],Таблица1[коэф],"1,5",Таблица1[р/р],"4/8",Таблица1[Ф. И. О.],B583)</f>
        <v>0</v>
      </c>
      <c r="L581" s="309">
        <f>ROUND(I581*J581*K581,2)</f>
        <v>0</v>
      </c>
      <c r="M581" s="24"/>
      <c r="N581" s="22"/>
      <c r="O581" s="22"/>
      <c r="P581" s="282"/>
      <c r="Q581" s="621">
        <f>IF(D578&lt;=3,база!$L$4,
IF(D578=4,база!$L$5,
IF(D578=5,база!$L$6)))</f>
        <v>210.57480000000001</v>
      </c>
      <c r="R581" s="271">
        <v>1.2</v>
      </c>
      <c r="S581" s="97">
        <f>SUMIFS(Таблица1[сумма],Таблица1[коэф],"1,2",Таблица1[р/р],"3/16",Таблица1[Ф. И. О.],B583)</f>
        <v>0</v>
      </c>
      <c r="T581" s="103">
        <f t="shared" si="356"/>
        <v>0</v>
      </c>
      <c r="U581" s="82">
        <f>IF(D578&lt;=3,база!$M$4,
IF(D578=4,база!$M$5,
IF(D578=5,база!$M$6)))</f>
        <v>225.09719999999999</v>
      </c>
      <c r="V581" s="271">
        <v>1.2</v>
      </c>
      <c r="W581" s="97">
        <f>SUMIFS(Таблица1[сумма],Таблица1[коэф],"1,2",Таблица1[р/р],"3/24",Таблица1[Ф. И. О.],B583)</f>
        <v>0</v>
      </c>
      <c r="X581" s="103">
        <f t="shared" ref="X581:X582" si="360">ROUND(U581*V581*W581,2)</f>
        <v>0</v>
      </c>
      <c r="Y581" s="838"/>
      <c r="Z581" s="840"/>
      <c r="AA581" s="843"/>
    </row>
    <row r="582" spans="1:30">
      <c r="A582" s="786"/>
      <c r="B582" s="620"/>
      <c r="C582" s="845"/>
      <c r="D582" s="847"/>
      <c r="E582" s="75"/>
      <c r="F582" s="271"/>
      <c r="G582" s="89"/>
      <c r="H582" s="103"/>
      <c r="I582" s="24">
        <f>база!$J$6</f>
        <v>243.04319999999998</v>
      </c>
      <c r="J582" s="278">
        <v>1.5</v>
      </c>
      <c r="K582" s="22">
        <f>SUMIFS(Таблица1[сумма],Таблица1[коэф],"1,5",Таблица1[р/р],"5/8",Таблица1[Ф. И. О.],B583)</f>
        <v>0</v>
      </c>
      <c r="L582" s="309">
        <f>ROUND(I582*J582*K582,2)</f>
        <v>0</v>
      </c>
      <c r="M582" s="24"/>
      <c r="N582" s="22"/>
      <c r="O582" s="22"/>
      <c r="P582" s="282"/>
      <c r="Q582" s="621">
        <f>база!$L$5</f>
        <v>231.45480000000001</v>
      </c>
      <c r="R582" s="271">
        <v>1.2</v>
      </c>
      <c r="S582" s="97">
        <f>SUMIFS(Таблица1[сумма],Таблица1[коэф],"1,2",Таблица1[р/р],"4/16",Таблица1[Ф. И. О.],B583)</f>
        <v>0</v>
      </c>
      <c r="T582" s="103">
        <f t="shared" si="356"/>
        <v>0</v>
      </c>
      <c r="U582" s="82">
        <f>база!$M$5</f>
        <v>247.41720000000001</v>
      </c>
      <c r="V582" s="271">
        <v>1.2</v>
      </c>
      <c r="W582" s="97">
        <f>SUMIFS(Таблица1[сумма],Таблица1[коэф],"1,2",Таблица1[р/р],"4/24",Таблица1[Ф. И. О.],B583)</f>
        <v>0</v>
      </c>
      <c r="X582" s="103">
        <f t="shared" si="360"/>
        <v>0</v>
      </c>
      <c r="Y582" s="838"/>
      <c r="Z582" s="840"/>
      <c r="AA582" s="843"/>
      <c r="AC582" s="722" t="str">
        <f>IF(SUMIFS(Таблица1[Столбец2],Таблица1[Ф. И. О.],B583)-Z578=0,"",SUMIFS(Таблица1[Столбец2],Таблица1[Ф. И. О.],B583)-Z578)</f>
        <v/>
      </c>
    </row>
    <row r="583" spans="1:30">
      <c r="A583" s="786"/>
      <c r="B583" s="620" t="str">
        <f>база!B54</f>
        <v>Мунтян Жанна Алексеевна</v>
      </c>
      <c r="C583" s="845"/>
      <c r="D583" s="847"/>
      <c r="E583" s="75"/>
      <c r="F583" s="271"/>
      <c r="G583" s="89"/>
      <c r="H583" s="103"/>
      <c r="I583" s="24"/>
      <c r="J583" s="278"/>
      <c r="K583" s="22"/>
      <c r="L583" s="309"/>
      <c r="M583" s="24"/>
      <c r="N583" s="22"/>
      <c r="O583" s="22"/>
      <c r="P583" s="282"/>
      <c r="Q583" s="621">
        <f>база!$L$6</f>
        <v>261.04640000000001</v>
      </c>
      <c r="R583" s="271">
        <v>1.2</v>
      </c>
      <c r="S583" s="97">
        <f>SUMIFS(Таблица1[сумма],Таблица1[коэф],"1,2",Таблица1[р/р],"5/16",Таблица1[Ф. И. О.],B583)</f>
        <v>0</v>
      </c>
      <c r="T583" s="103">
        <f>ROUND(Q583*R583*S583,2)</f>
        <v>0</v>
      </c>
      <c r="U583" s="82">
        <f>база!$M$6</f>
        <v>279.0496</v>
      </c>
      <c r="V583" s="271">
        <v>1.2</v>
      </c>
      <c r="W583" s="97">
        <f>SUMIFS(Таблица1[сумма],Таблица1[коэф],"1,2",Таблица1[р/р],"5/24",Таблица1[Ф. И. О.],B583)</f>
        <v>0</v>
      </c>
      <c r="X583" s="103">
        <f>ROUND(U583*V583*W583,2)</f>
        <v>0</v>
      </c>
      <c r="Y583" s="838"/>
      <c r="Z583" s="840"/>
      <c r="AA583" s="843"/>
      <c r="AC583" s="722" t="str">
        <f>IF(SUMIFS(Таблица1[сумма],Таблица1[Ф. И. О.],B583)=Y578,"",B578&amp;"  часы не верны")</f>
        <v/>
      </c>
      <c r="AD583" s="759" t="e">
        <f>INDEX('[2]декабрь 23'!$AI$4:$AI$100,MATCH(C578,'[2]декабрь 23'!$AK$4:$AK$100,0))</f>
        <v>#N/A</v>
      </c>
    </row>
    <row r="584" spans="1:30">
      <c r="A584" s="786"/>
      <c r="B584" s="620"/>
      <c r="C584" s="845"/>
      <c r="D584" s="847"/>
      <c r="E584" s="75"/>
      <c r="F584" s="271"/>
      <c r="G584" s="89"/>
      <c r="H584" s="103"/>
      <c r="I584" s="24"/>
      <c r="J584" s="278"/>
      <c r="K584" s="22"/>
      <c r="L584" s="309"/>
      <c r="M584" s="24"/>
      <c r="N584" s="22"/>
      <c r="O584" s="22"/>
      <c r="P584" s="282"/>
      <c r="Q584" s="621">
        <f>IF($D$6&lt;=3,база!$L$4,
IF($D$6=4,база!$L$5,
IF($D$6=5,база!$L$6)))</f>
        <v>231.45480000000001</v>
      </c>
      <c r="R584" s="271">
        <v>1.3</v>
      </c>
      <c r="S584" s="97">
        <f>SUMIFS(Таблица1[сумма],Таблица1[коэф],"1,3",Таблица1[р/р],"3/16",Таблица1[Ф. И. О.],B583)</f>
        <v>0</v>
      </c>
      <c r="T584" s="103">
        <f t="shared" ref="T584:T585" si="361">ROUND(Q584*R584*S584,2)</f>
        <v>0</v>
      </c>
      <c r="U584" s="82">
        <f>IF(D578&lt;=3,база!$M$4,
IF(D578=4,база!$M$5,
IF(D578=5,база!$M$6)))</f>
        <v>225.09719999999999</v>
      </c>
      <c r="V584" s="271">
        <v>1.3</v>
      </c>
      <c r="W584" s="97">
        <f>SUMIFS(Таблица1[сумма],Таблица1[коэф],"1,3",Таблица1[р/р],"3/24",Таблица1[Ф. И. О.],B583)</f>
        <v>0</v>
      </c>
      <c r="X584" s="103">
        <f t="shared" ref="X584:X585" si="362">ROUND(U584*V584*W584,2)</f>
        <v>0</v>
      </c>
      <c r="Y584" s="838"/>
      <c r="Z584" s="840"/>
      <c r="AA584" s="843"/>
    </row>
    <row r="585" spans="1:30">
      <c r="A585" s="786"/>
      <c r="B585" s="620"/>
      <c r="C585" s="845"/>
      <c r="D585" s="847"/>
      <c r="E585" s="75"/>
      <c r="F585" s="271"/>
      <c r="G585" s="89"/>
      <c r="H585" s="103"/>
      <c r="I585" s="24"/>
      <c r="J585" s="278"/>
      <c r="K585" s="22"/>
      <c r="L585" s="309"/>
      <c r="M585" s="24"/>
      <c r="N585" s="22"/>
      <c r="O585" s="22"/>
      <c r="P585" s="282"/>
      <c r="Q585" s="621">
        <f>база!$L$5</f>
        <v>231.45480000000001</v>
      </c>
      <c r="R585" s="271">
        <v>1.3</v>
      </c>
      <c r="S585" s="97">
        <f>SUMIFS(Таблица1[сумма],Таблица1[коэф],"1,3",Таблица1[р/р],"4/16",Таблица1[Ф. И. О.],B583)</f>
        <v>0</v>
      </c>
      <c r="T585" s="103">
        <f t="shared" si="361"/>
        <v>0</v>
      </c>
      <c r="U585" s="82">
        <f>база!$M$5</f>
        <v>247.41720000000001</v>
      </c>
      <c r="V585" s="271">
        <v>1.3</v>
      </c>
      <c r="W585" s="97">
        <f>SUMIFS(Таблица1[сумма],Таблица1[коэф],"1,3",Таблица1[р/р],"4/24",Таблица1[Ф. И. О.],B583)</f>
        <v>0</v>
      </c>
      <c r="X585" s="103">
        <f t="shared" si="362"/>
        <v>0</v>
      </c>
      <c r="Y585" s="838"/>
      <c r="Z585" s="840"/>
      <c r="AA585" s="843"/>
    </row>
    <row r="586" spans="1:30">
      <c r="A586" s="786"/>
      <c r="B586" s="620"/>
      <c r="C586" s="845"/>
      <c r="D586" s="847"/>
      <c r="E586" s="75"/>
      <c r="F586" s="271"/>
      <c r="G586" s="89"/>
      <c r="H586" s="103"/>
      <c r="I586" s="24"/>
      <c r="J586" s="278"/>
      <c r="K586" s="22"/>
      <c r="L586" s="309"/>
      <c r="M586" s="24"/>
      <c r="N586" s="22"/>
      <c r="O586" s="22"/>
      <c r="P586" s="282"/>
      <c r="Q586" s="621">
        <f>IF(D578&lt;=3,база!$L$4,
IF(D578=4,база!$L$5,
IF(D578=5,база!$L$6)))</f>
        <v>210.57480000000001</v>
      </c>
      <c r="R586" s="271">
        <v>1.4</v>
      </c>
      <c r="S586" s="97">
        <f>SUMIFS(Таблица1[сумма],Таблица1[коэф],"1,4",Таблица1[р/р],"3/16",Таблица1[Ф. И. О.],B583)</f>
        <v>0</v>
      </c>
      <c r="T586" s="103">
        <f>ROUND(Q586*R586*S586,2)</f>
        <v>0</v>
      </c>
      <c r="U586" s="82">
        <f>IF(D578&lt;=3,база!$M$4,
IF(D578=4,база!$M$5,
IF(D578=5,база!$M$6)))</f>
        <v>225.09719999999999</v>
      </c>
      <c r="V586" s="271">
        <v>1.4</v>
      </c>
      <c r="W586" s="97">
        <f>SUMIFS(Таблица1[сумма],Таблица1[коэф],"1,4",Таблица1[р/р],"3/24",Таблица1[Ф. И. О.],B583)</f>
        <v>0</v>
      </c>
      <c r="X586" s="103">
        <f>ROUND(U586*V586*W586,2)</f>
        <v>0</v>
      </c>
      <c r="Y586" s="838"/>
      <c r="Z586" s="840"/>
      <c r="AA586" s="843"/>
    </row>
    <row r="587" spans="1:30">
      <c r="A587" s="786"/>
      <c r="B587" s="620"/>
      <c r="C587" s="845"/>
      <c r="D587" s="847"/>
      <c r="E587" s="85"/>
      <c r="F587" s="273"/>
      <c r="G587" s="630"/>
      <c r="H587" s="90"/>
      <c r="I587" s="67"/>
      <c r="J587" s="631"/>
      <c r="K587" s="59"/>
      <c r="L587" s="325"/>
      <c r="M587" s="67"/>
      <c r="N587" s="59"/>
      <c r="O587" s="59"/>
      <c r="P587" s="283"/>
      <c r="Q587" s="632">
        <f>база!$L$5</f>
        <v>231.45480000000001</v>
      </c>
      <c r="R587" s="273">
        <v>1.4</v>
      </c>
      <c r="S587" s="101">
        <f>SUMIFS(Таблица1[сумма],Таблица1[коэф],"1,4",Таблица1[р/р],"4/16",Таблица1[Ф. И. О.],B583)</f>
        <v>0</v>
      </c>
      <c r="T587" s="90">
        <f>ROUND(Q587*R587*S587,2)</f>
        <v>0</v>
      </c>
      <c r="U587" s="106">
        <f>база!$M$5</f>
        <v>247.41720000000001</v>
      </c>
      <c r="V587" s="273">
        <v>1.4</v>
      </c>
      <c r="W587" s="101">
        <f>SUMIFS(Таблица1[сумма],Таблица1[коэф],"1,4",Таблица1[р/р],"4/24",Таблица1[Ф. И. О.],B583)</f>
        <v>0</v>
      </c>
      <c r="X587" s="90">
        <f>ROUND(U587*V587*W587,2)</f>
        <v>0</v>
      </c>
      <c r="Y587" s="838"/>
      <c r="Z587" s="840"/>
      <c r="AA587" s="843"/>
    </row>
    <row r="588" spans="1:30" ht="24" thickBot="1">
      <c r="A588" s="787"/>
      <c r="B588" s="352"/>
      <c r="C588" s="846"/>
      <c r="D588" s="848"/>
      <c r="E588" s="77"/>
      <c r="F588" s="276"/>
      <c r="G588" s="622"/>
      <c r="H588" s="94"/>
      <c r="I588" s="623"/>
      <c r="J588" s="596"/>
      <c r="K588" s="624"/>
      <c r="L588" s="328"/>
      <c r="M588" s="623"/>
      <c r="N588" s="624"/>
      <c r="O588" s="624"/>
      <c r="P588" s="290"/>
      <c r="Q588" s="625">
        <f>база!$L$6</f>
        <v>261.04640000000001</v>
      </c>
      <c r="R588" s="276">
        <v>1.4</v>
      </c>
      <c r="S588" s="100">
        <f>SUMIFS(Таблица1[сумма],Таблица1[коэф],"1,4",Таблица1[р/р],"5/16",Таблица1[Ф. И. О.],B583)</f>
        <v>0</v>
      </c>
      <c r="T588" s="94">
        <f>ROUND(Q588*R588*S588,2)</f>
        <v>0</v>
      </c>
      <c r="U588" s="84">
        <f>база!$M$6</f>
        <v>279.0496</v>
      </c>
      <c r="V588" s="276">
        <v>1.4</v>
      </c>
      <c r="W588" s="100">
        <f>SUMIFS(Таблица1[сумма],Таблица1[коэф],"1,4",Таблица1[р/р],"5/24",Таблица1[Ф. И. О.],B583)</f>
        <v>0</v>
      </c>
      <c r="X588" s="94">
        <f>ROUND(U588*V588*W588,2)</f>
        <v>0</v>
      </c>
      <c r="Y588" s="839"/>
      <c r="Z588" s="841"/>
      <c r="AA588" s="844"/>
    </row>
    <row r="589" spans="1:30" ht="20.25" customHeight="1">
      <c r="A589" s="785">
        <v>54</v>
      </c>
      <c r="B589" s="620"/>
      <c r="C589" s="851">
        <f>INDEX(база!$E$2:$E$181, MATCH(B594,база!$B$2:$B$160,0))</f>
        <v>15041</v>
      </c>
      <c r="D589" s="852">
        <f>INDEX(база!$D$2:$D$189, MATCH(B594,база!$B$2:$B$160,0))</f>
        <v>3</v>
      </c>
      <c r="E589" s="75">
        <f>IF(D589&lt;=3,база!$I$4,
IF(D589=4,база!$I$5,
IF(D589=5,база!$I$6)))</f>
        <v>188.7912</v>
      </c>
      <c r="F589" s="271">
        <v>1</v>
      </c>
      <c r="G589" s="89">
        <f>SUMIFS(Таблица1[сумма],Таблица1[коэф],"1",Таблица1[р/р],"2/4",Таблица1[Ф. И. О.],B594)</f>
        <v>0</v>
      </c>
      <c r="H589" s="103">
        <f>ROUND(E589*F589*G589,2)</f>
        <v>0</v>
      </c>
      <c r="I589" s="24">
        <f>IF(D589&lt;=3,база!$J$4,
IF(D589=4,база!$J$5,
IF(D589=5,база!$J$6)))</f>
        <v>196.05240000000001</v>
      </c>
      <c r="J589" s="278">
        <v>1</v>
      </c>
      <c r="K589" s="22">
        <f>SUMIFS(Таблица1[сумма],Таблица1[коэф],"1",Таблица1[р/р],"2/8",Таблица1[Ф. И. О.],B594)</f>
        <v>0</v>
      </c>
      <c r="L589" s="309">
        <f>ROUND(I589*J589*K589,2)</f>
        <v>0</v>
      </c>
      <c r="M589" s="24"/>
      <c r="N589" s="22">
        <v>1</v>
      </c>
      <c r="O589" s="22">
        <f>SUMIFS(Data_Tech!$AM$3:$AM$67,Data_Tech!$E$3:$E$67,"1",Data_Tech!$G$3:$G$67,"3/12",Data_Tech!$F$3:$F$67,B594)</f>
        <v>0</v>
      </c>
      <c r="P589" s="282">
        <f>ROUND(M589*N589*O589,2)</f>
        <v>0</v>
      </c>
      <c r="Q589" s="621">
        <f>IF(D589&lt;=3,база!$L$4,
IF(D589=4,база!$L$5,
IF(D589=5,база!$L$6)))</f>
        <v>210.57480000000001</v>
      </c>
      <c r="R589" s="271">
        <v>1</v>
      </c>
      <c r="S589" s="97">
        <f>SUMIFS(Таблица1[сумма],Таблица1[коэф],"1",Таблица1[р/р],"3/16",Таблица1[Ф. И. О.],B594)</f>
        <v>0</v>
      </c>
      <c r="T589" s="103">
        <f t="shared" ref="T589:T593" si="363">ROUND(Q589*R589*S589,2)</f>
        <v>0</v>
      </c>
      <c r="U589" s="82">
        <f>IF(D589&lt;=3,база!$M$4,
IF(D589=4,база!$M$5,
IF(D589=5,база!$M$6)))</f>
        <v>225.09719999999999</v>
      </c>
      <c r="V589" s="271">
        <v>1</v>
      </c>
      <c r="W589" s="97">
        <f>SUMIFS(Таблица1[сумма],Таблица1[коэф],"1",Таблица1[р/р],"3/24",Таблица1[Ф. И. О.],B594)</f>
        <v>0</v>
      </c>
      <c r="X589" s="103">
        <f>ROUND(U589*V589*W589,2)</f>
        <v>0</v>
      </c>
      <c r="Y589" s="837">
        <f t="shared" ref="Y589" si="364">SUM(G589:G599,K589:K599,O589:O599,S589:S599,W589:W599)</f>
        <v>0</v>
      </c>
      <c r="Z589" s="853">
        <f t="shared" ref="Z589" si="365">IFERROR(SUM(H589:H599,L589:L599,T589:T599,X589:X599),"")</f>
        <v>0</v>
      </c>
      <c r="AA589" s="842"/>
    </row>
    <row r="590" spans="1:30">
      <c r="A590" s="786"/>
      <c r="B590" s="620"/>
      <c r="C590" s="845"/>
      <c r="D590" s="847"/>
      <c r="E590" s="75">
        <f>IF(D589&lt;=3,база!$I$4,
IF(D589=4,база!$I$5,
IF(D589=5,база!$I$6)))</f>
        <v>188.7912</v>
      </c>
      <c r="F590" s="271">
        <v>1</v>
      </c>
      <c r="G590" s="89">
        <f>SUMIFS(Таблица1[сумма],Таблица1[коэф],"1",Таблица1[р/р],"3/4",Таблица1[Ф. И. О.],B594)</f>
        <v>0</v>
      </c>
      <c r="H590" s="103">
        <f>ROUND(E590*F590*G590,2)</f>
        <v>0</v>
      </c>
      <c r="I590" s="24">
        <f>IF(D589&lt;=3,база!$J$4,
IF(D589=4,база!$J$5,
IF(D589=5,база!$J$6)))</f>
        <v>196.05240000000001</v>
      </c>
      <c r="J590" s="278">
        <v>1</v>
      </c>
      <c r="K590" s="22"/>
      <c r="L590" s="309">
        <f>ROUND(I590*J590*K590,2)</f>
        <v>0</v>
      </c>
      <c r="M590" s="24"/>
      <c r="N590" s="22">
        <v>1</v>
      </c>
      <c r="O590" s="22">
        <f>SUMIFS(Data_Tech!$AM$3:$AM$67,Data_Tech!$E$3:$E$67,"1",Data_Tech!$G$3:$G$67,"4/12",Data_Tech!$F$3:$F$67,B594)</f>
        <v>0</v>
      </c>
      <c r="P590" s="282">
        <f>ROUND(M590*O590,2)</f>
        <v>0</v>
      </c>
      <c r="Q590" s="621">
        <f>база!$L$5</f>
        <v>231.45480000000001</v>
      </c>
      <c r="R590" s="271">
        <v>1</v>
      </c>
      <c r="S590" s="97">
        <f>SUMIFS(Таблица1[сумма],Таблица1[коэф],"1",Таблица1[р/р],"4/16",Таблица1[Ф. И. О.],B594)</f>
        <v>0</v>
      </c>
      <c r="T590" s="103">
        <f t="shared" si="363"/>
        <v>0</v>
      </c>
      <c r="U590" s="82">
        <f>база!$M$5</f>
        <v>247.41720000000001</v>
      </c>
      <c r="V590" s="271">
        <v>1</v>
      </c>
      <c r="W590" s="97">
        <f>SUMIFS(Таблица1[сумма],Таблица1[коэф],"1",Таблица1[р/р],"4/24",Таблица1[Ф. И. О.],B594)</f>
        <v>0</v>
      </c>
      <c r="X590" s="103">
        <f t="shared" ref="X590" si="366">ROUND(U590*V590*W590,2)</f>
        <v>0</v>
      </c>
      <c r="Y590" s="838"/>
      <c r="Z590" s="840"/>
      <c r="AA590" s="843"/>
    </row>
    <row r="591" spans="1:30">
      <c r="A591" s="786"/>
      <c r="B591" s="620"/>
      <c r="C591" s="845"/>
      <c r="D591" s="847"/>
      <c r="E591" s="75"/>
      <c r="F591" s="271"/>
      <c r="G591" s="89"/>
      <c r="H591" s="103"/>
      <c r="I591" s="24"/>
      <c r="J591" s="278"/>
      <c r="K591" s="22"/>
      <c r="L591" s="309"/>
      <c r="M591" s="24"/>
      <c r="N591" s="22"/>
      <c r="O591" s="22"/>
      <c r="P591" s="282"/>
      <c r="Q591" s="621">
        <f>база!$L$6</f>
        <v>261.04640000000001</v>
      </c>
      <c r="R591" s="271">
        <v>1</v>
      </c>
      <c r="S591" s="97">
        <f>SUMIFS(Таблица1[сумма],Таблица1[коэф],"1",Таблица1[р/р],"5/16",Таблица1[Ф. И. О.],B594)</f>
        <v>0</v>
      </c>
      <c r="T591" s="103">
        <f t="shared" si="363"/>
        <v>0</v>
      </c>
      <c r="U591" s="82">
        <f>база!$M$6</f>
        <v>279.0496</v>
      </c>
      <c r="V591" s="271">
        <v>1</v>
      </c>
      <c r="W591" s="97">
        <f>SUMIFS(Таблица1[сумма],Таблица1[коэф],"1",Таблица1[р/р],"5/24",Таблица1[Ф. И. О.],B594)</f>
        <v>0</v>
      </c>
      <c r="X591" s="103">
        <f>ROUND(U591*V591*W591,2)</f>
        <v>0</v>
      </c>
      <c r="Y591" s="838"/>
      <c r="Z591" s="840"/>
      <c r="AA591" s="843"/>
    </row>
    <row r="592" spans="1:30">
      <c r="A592" s="786"/>
      <c r="B592" s="620"/>
      <c r="C592" s="845"/>
      <c r="D592" s="847"/>
      <c r="E592" s="75"/>
      <c r="F592" s="271"/>
      <c r="G592" s="89"/>
      <c r="H592" s="103"/>
      <c r="I592" s="24">
        <f>база!$J$5</f>
        <v>215.4924</v>
      </c>
      <c r="J592" s="278">
        <v>1.5</v>
      </c>
      <c r="K592" s="22">
        <f>SUMIFS(Таблица1[сумма],Таблица1[коэф],"1,5",Таблица1[р/р],"4/8",Таблица1[Ф. И. О.],B594)</f>
        <v>0</v>
      </c>
      <c r="L592" s="309">
        <f>ROUND(I592*J592*K592,2)</f>
        <v>0</v>
      </c>
      <c r="M592" s="24"/>
      <c r="N592" s="22"/>
      <c r="O592" s="22"/>
      <c r="P592" s="282"/>
      <c r="Q592" s="621">
        <f>IF(D589&lt;=3,база!$L$4,
IF(D589=4,база!$L$5,
IF(D589=5,база!$L$6)))</f>
        <v>210.57480000000001</v>
      </c>
      <c r="R592" s="271">
        <v>1.2</v>
      </c>
      <c r="S592" s="97">
        <f>SUMIFS(Таблица1[сумма],Таблица1[коэф],"1,2",Таблица1[р/р],"3/16",Таблица1[Ф. И. О.],B594)</f>
        <v>0</v>
      </c>
      <c r="T592" s="103">
        <f t="shared" si="363"/>
        <v>0</v>
      </c>
      <c r="U592" s="82">
        <f>IF(D589&lt;=3,база!$M$4,
IF(D589=4,база!$M$5,
IF(D589=5,база!$M$6)))</f>
        <v>225.09719999999999</v>
      </c>
      <c r="V592" s="271">
        <v>1.2</v>
      </c>
      <c r="W592" s="97">
        <f>SUMIFS(Таблица1[сумма],Таблица1[коэф],"1,2",Таблица1[р/р],"3/24",Таблица1[Ф. И. О.],B594)</f>
        <v>0</v>
      </c>
      <c r="X592" s="103">
        <f t="shared" ref="X592:X593" si="367">ROUND(U592*V592*W592,2)</f>
        <v>0</v>
      </c>
      <c r="Y592" s="838"/>
      <c r="Z592" s="840"/>
      <c r="AA592" s="843"/>
    </row>
    <row r="593" spans="1:30">
      <c r="A593" s="786"/>
      <c r="B593" s="620"/>
      <c r="C593" s="845"/>
      <c r="D593" s="847"/>
      <c r="E593" s="75"/>
      <c r="F593" s="271"/>
      <c r="G593" s="89"/>
      <c r="H593" s="103"/>
      <c r="I593" s="24">
        <f>база!$J$6</f>
        <v>243.04319999999998</v>
      </c>
      <c r="J593" s="278">
        <v>1.5</v>
      </c>
      <c r="K593" s="22">
        <f>SUMIFS(Таблица1[сумма],Таблица1[коэф],"1,5",Таблица1[р/р],"5/8",Таблица1[Ф. И. О.],B594)</f>
        <v>0</v>
      </c>
      <c r="L593" s="309">
        <f>ROUND(I593*J593*K593,2)</f>
        <v>0</v>
      </c>
      <c r="M593" s="24"/>
      <c r="N593" s="22"/>
      <c r="O593" s="22"/>
      <c r="P593" s="282"/>
      <c r="Q593" s="621">
        <f>база!$L$5</f>
        <v>231.45480000000001</v>
      </c>
      <c r="R593" s="271">
        <v>1.2</v>
      </c>
      <c r="S593" s="97">
        <f>SUMIFS(Таблица1[сумма],Таблица1[коэф],"1,2",Таблица1[р/р],"4/16",Таблица1[Ф. И. О.],B594)</f>
        <v>0</v>
      </c>
      <c r="T593" s="103">
        <f t="shared" si="363"/>
        <v>0</v>
      </c>
      <c r="U593" s="82">
        <f>база!$M$5</f>
        <v>247.41720000000001</v>
      </c>
      <c r="V593" s="271">
        <v>1.2</v>
      </c>
      <c r="W593" s="97">
        <f>SUMIFS(Таблица1[сумма],Таблица1[коэф],"1,2",Таблица1[р/р],"4/24",Таблица1[Ф. И. О.],B594)</f>
        <v>0</v>
      </c>
      <c r="X593" s="103">
        <f t="shared" si="367"/>
        <v>0</v>
      </c>
      <c r="Y593" s="838"/>
      <c r="Z593" s="840"/>
      <c r="AA593" s="843"/>
      <c r="AC593" s="722" t="str">
        <f>IF(SUMIFS(Таблица1[Столбец2],Таблица1[Ф. И. О.],B594)-Z589=0,"",SUMIFS(Таблица1[Столбец2],Таблица1[Ф. И. О.],B594)-Z589)</f>
        <v/>
      </c>
    </row>
    <row r="594" spans="1:30">
      <c r="A594" s="786"/>
      <c r="B594" s="620" t="str">
        <f>база!B55</f>
        <v>Набойченко Седа Хамидовна</v>
      </c>
      <c r="C594" s="845"/>
      <c r="D594" s="847"/>
      <c r="E594" s="75"/>
      <c r="F594" s="271"/>
      <c r="G594" s="89"/>
      <c r="H594" s="103"/>
      <c r="I594" s="24"/>
      <c r="J594" s="278"/>
      <c r="K594" s="22"/>
      <c r="L594" s="309"/>
      <c r="M594" s="24"/>
      <c r="N594" s="22"/>
      <c r="O594" s="22"/>
      <c r="P594" s="282"/>
      <c r="Q594" s="621">
        <f>база!$L$6</f>
        <v>261.04640000000001</v>
      </c>
      <c r="R594" s="271">
        <v>1.2</v>
      </c>
      <c r="S594" s="97">
        <f>SUMIFS(Таблица1[сумма],Таблица1[коэф],"1,2",Таблица1[р/р],"5/16",Таблица1[Ф. И. О.],B594)</f>
        <v>0</v>
      </c>
      <c r="T594" s="103">
        <f>ROUND(Q594*R594*S594,2)</f>
        <v>0</v>
      </c>
      <c r="U594" s="82">
        <f>база!$M$6</f>
        <v>279.0496</v>
      </c>
      <c r="V594" s="271">
        <v>1.2</v>
      </c>
      <c r="W594" s="97">
        <f>SUMIFS(Таблица1[сумма],Таблица1[коэф],"1,2",Таблица1[р/р],"5/24",Таблица1[Ф. И. О.],B594)</f>
        <v>0</v>
      </c>
      <c r="X594" s="103">
        <f>ROUND(U594*V594*W594,2)</f>
        <v>0</v>
      </c>
      <c r="Y594" s="838"/>
      <c r="Z594" s="840"/>
      <c r="AA594" s="843"/>
      <c r="AC594" s="722" t="str">
        <f>IF(SUMIFS(Таблица1[сумма],Таблица1[Ф. И. О.],B594)=Y589,"",B589&amp;"  часы не верны")</f>
        <v/>
      </c>
      <c r="AD594" s="759">
        <f>INDEX('[2]декабрь 23'!$AI$4:$AI$100,MATCH(C589,'[2]декабрь 23'!$AK$4:$AK$100,0))</f>
        <v>115.20000000000003</v>
      </c>
    </row>
    <row r="595" spans="1:30">
      <c r="A595" s="786"/>
      <c r="B595" s="620"/>
      <c r="C595" s="845"/>
      <c r="D595" s="847"/>
      <c r="E595" s="75"/>
      <c r="F595" s="271"/>
      <c r="G595" s="89"/>
      <c r="H595" s="103"/>
      <c r="I595" s="24"/>
      <c r="J595" s="278"/>
      <c r="K595" s="22"/>
      <c r="L595" s="309"/>
      <c r="M595" s="24"/>
      <c r="N595" s="22"/>
      <c r="O595" s="22"/>
      <c r="P595" s="282"/>
      <c r="Q595" s="621">
        <f>IF($D$6&lt;=3,база!$L$4,
IF($D$6=4,база!$L$5,
IF($D$6=5,база!$L$6)))</f>
        <v>231.45480000000001</v>
      </c>
      <c r="R595" s="271">
        <v>1.3</v>
      </c>
      <c r="S595" s="97">
        <f>SUMIFS(Таблица1[сумма],Таблица1[коэф],"1,3",Таблица1[р/р],"3/16",Таблица1[Ф. И. О.],B594)</f>
        <v>0</v>
      </c>
      <c r="T595" s="103">
        <f t="shared" ref="T595:T596" si="368">ROUND(Q595*R595*S595,2)</f>
        <v>0</v>
      </c>
      <c r="U595" s="82">
        <f>IF(D589&lt;=3,база!$M$4,
IF(D589=4,база!$M$5,
IF(D589=5,база!$M$6)))</f>
        <v>225.09719999999999</v>
      </c>
      <c r="V595" s="271">
        <v>1.3</v>
      </c>
      <c r="W595" s="97">
        <f>SUMIFS(Таблица1[сумма],Таблица1[коэф],"1,3",Таблица1[р/р],"3/24",Таблица1[Ф. И. О.],B594)</f>
        <v>0</v>
      </c>
      <c r="X595" s="103">
        <f t="shared" ref="X595:X596" si="369">ROUND(U595*V595*W595,2)</f>
        <v>0</v>
      </c>
      <c r="Y595" s="838"/>
      <c r="Z595" s="840"/>
      <c r="AA595" s="843"/>
    </row>
    <row r="596" spans="1:30">
      <c r="A596" s="786"/>
      <c r="B596" s="620"/>
      <c r="C596" s="845"/>
      <c r="D596" s="847"/>
      <c r="E596" s="75"/>
      <c r="F596" s="271"/>
      <c r="G596" s="89"/>
      <c r="H596" s="103"/>
      <c r="I596" s="24"/>
      <c r="J596" s="278"/>
      <c r="K596" s="22"/>
      <c r="L596" s="309"/>
      <c r="M596" s="24"/>
      <c r="N596" s="22"/>
      <c r="O596" s="22"/>
      <c r="P596" s="282"/>
      <c r="Q596" s="621">
        <f>база!$L$5</f>
        <v>231.45480000000001</v>
      </c>
      <c r="R596" s="271">
        <v>1.3</v>
      </c>
      <c r="S596" s="97">
        <f>SUMIFS(Таблица1[сумма],Таблица1[коэф],"1,3",Таблица1[р/р],"4/16",Таблица1[Ф. И. О.],B594)</f>
        <v>0</v>
      </c>
      <c r="T596" s="103">
        <f t="shared" si="368"/>
        <v>0</v>
      </c>
      <c r="U596" s="82">
        <f>база!$M$5</f>
        <v>247.41720000000001</v>
      </c>
      <c r="V596" s="271">
        <v>1.3</v>
      </c>
      <c r="W596" s="97">
        <f>SUMIFS(Таблица1[сумма],Таблица1[коэф],"1,3",Таблица1[р/р],"4/24",Таблица1[Ф. И. О.],B594)</f>
        <v>0</v>
      </c>
      <c r="X596" s="103">
        <f t="shared" si="369"/>
        <v>0</v>
      </c>
      <c r="Y596" s="838"/>
      <c r="Z596" s="840"/>
      <c r="AA596" s="843"/>
    </row>
    <row r="597" spans="1:30">
      <c r="A597" s="786"/>
      <c r="B597" s="620"/>
      <c r="C597" s="845"/>
      <c r="D597" s="847"/>
      <c r="E597" s="75"/>
      <c r="F597" s="271"/>
      <c r="G597" s="89"/>
      <c r="H597" s="103"/>
      <c r="I597" s="24"/>
      <c r="J597" s="278"/>
      <c r="K597" s="22"/>
      <c r="L597" s="309"/>
      <c r="M597" s="24"/>
      <c r="N597" s="22"/>
      <c r="O597" s="22"/>
      <c r="P597" s="282"/>
      <c r="Q597" s="621">
        <f>IF(D589&lt;=3,база!$L$4,
IF(D589=4,база!$L$5,
IF(D589=5,база!$L$6)))</f>
        <v>210.57480000000001</v>
      </c>
      <c r="R597" s="271">
        <v>1.4</v>
      </c>
      <c r="S597" s="97">
        <f>SUMIFS(Таблица1[сумма],Таблица1[коэф],"1,4",Таблица1[р/р],"3/16",Таблица1[Ф. И. О.],B594)</f>
        <v>0</v>
      </c>
      <c r="T597" s="103">
        <f>ROUND(Q597*R597*S597,2)</f>
        <v>0</v>
      </c>
      <c r="U597" s="82">
        <f>IF(D589&lt;=3,база!$M$4,
IF(D589=4,база!$M$5,
IF(D589=5,база!$M$6)))</f>
        <v>225.09719999999999</v>
      </c>
      <c r="V597" s="271">
        <v>1.4</v>
      </c>
      <c r="W597" s="97">
        <f>SUMIFS(Таблица1[сумма],Таблица1[коэф],"1,4",Таблица1[р/р],"3/24",Таблица1[Ф. И. О.],B594)</f>
        <v>0</v>
      </c>
      <c r="X597" s="103">
        <f>ROUND(U597*V597*W597,2)</f>
        <v>0</v>
      </c>
      <c r="Y597" s="838"/>
      <c r="Z597" s="840"/>
      <c r="AA597" s="843"/>
    </row>
    <row r="598" spans="1:30">
      <c r="A598" s="786"/>
      <c r="B598" s="620"/>
      <c r="C598" s="845"/>
      <c r="D598" s="847"/>
      <c r="E598" s="85"/>
      <c r="F598" s="273"/>
      <c r="G598" s="630"/>
      <c r="H598" s="90"/>
      <c r="I598" s="67"/>
      <c r="J598" s="631"/>
      <c r="K598" s="59"/>
      <c r="L598" s="325"/>
      <c r="M598" s="67"/>
      <c r="N598" s="59"/>
      <c r="O598" s="59"/>
      <c r="P598" s="283"/>
      <c r="Q598" s="632">
        <f>база!$L$5</f>
        <v>231.45480000000001</v>
      </c>
      <c r="R598" s="273">
        <v>1.4</v>
      </c>
      <c r="S598" s="101">
        <f>SUMIFS(Таблица1[сумма],Таблица1[коэф],"1,4",Таблица1[р/р],"4/16",Таблица1[Ф. И. О.],B594)</f>
        <v>0</v>
      </c>
      <c r="T598" s="90">
        <f>ROUND(Q598*R598*S598,2)</f>
        <v>0</v>
      </c>
      <c r="U598" s="106">
        <f>база!$M$5</f>
        <v>247.41720000000001</v>
      </c>
      <c r="V598" s="273">
        <v>1.4</v>
      </c>
      <c r="W598" s="101">
        <f>SUMIFS(Таблица1[сумма],Таблица1[коэф],"1,4",Таблица1[р/р],"4/24",Таблица1[Ф. И. О.],B594)</f>
        <v>0</v>
      </c>
      <c r="X598" s="90">
        <f>ROUND(U598*V598*W598,2)</f>
        <v>0</v>
      </c>
      <c r="Y598" s="838"/>
      <c r="Z598" s="840"/>
      <c r="AA598" s="843"/>
    </row>
    <row r="599" spans="1:30" ht="24" thickBot="1">
      <c r="A599" s="787"/>
      <c r="B599" s="352"/>
      <c r="C599" s="846"/>
      <c r="D599" s="848"/>
      <c r="E599" s="77"/>
      <c r="F599" s="276"/>
      <c r="G599" s="622"/>
      <c r="H599" s="94"/>
      <c r="I599" s="623"/>
      <c r="J599" s="596"/>
      <c r="K599" s="624"/>
      <c r="L599" s="328"/>
      <c r="M599" s="623"/>
      <c r="N599" s="624"/>
      <c r="O599" s="624"/>
      <c r="P599" s="290"/>
      <c r="Q599" s="625">
        <f>база!$L$6</f>
        <v>261.04640000000001</v>
      </c>
      <c r="R599" s="276">
        <v>1.4</v>
      </c>
      <c r="S599" s="100">
        <f>SUMIFS(Таблица1[сумма],Таблица1[коэф],"1,4",Таблица1[р/р],"5/16",Таблица1[Ф. И. О.],B594)</f>
        <v>0</v>
      </c>
      <c r="T599" s="94">
        <f>ROUND(Q599*R599*S599,2)</f>
        <v>0</v>
      </c>
      <c r="U599" s="84">
        <f>база!$M$6</f>
        <v>279.0496</v>
      </c>
      <c r="V599" s="276">
        <v>1.4</v>
      </c>
      <c r="W599" s="100">
        <f>SUMIFS(Таблица1[сумма],Таблица1[коэф],"1,4",Таблица1[р/р],"5/24",Таблица1[Ф. И. О.],B594)</f>
        <v>0</v>
      </c>
      <c r="X599" s="94">
        <f>ROUND(U599*V599*W599,2)</f>
        <v>0</v>
      </c>
      <c r="Y599" s="839"/>
      <c r="Z599" s="841"/>
      <c r="AA599" s="844"/>
    </row>
    <row r="600" spans="1:30" ht="20.25" customHeight="1">
      <c r="A600" s="785">
        <v>55</v>
      </c>
      <c r="B600" s="620"/>
      <c r="C600" s="851">
        <f>INDEX(база!$E$2:$E$181, MATCH(B605,база!$B$2:$B$160,0))</f>
        <v>16303</v>
      </c>
      <c r="D600" s="852">
        <f>INDEX(база!$D$2:$D$189, MATCH(B605,база!$B$2:$B$160,0))</f>
        <v>3</v>
      </c>
      <c r="E600" s="75">
        <f>IF(D600&lt;=3,база!$I$4,
IF(D600=4,база!$I$5,
IF(D600=5,база!$I$6)))</f>
        <v>188.7912</v>
      </c>
      <c r="F600" s="271">
        <v>1</v>
      </c>
      <c r="G600" s="89">
        <f>SUMIFS(Таблица1[сумма],Таблица1[коэф],"1",Таблица1[р/р],"2/4",Таблица1[Ф. И. О.],B605)</f>
        <v>0</v>
      </c>
      <c r="H600" s="103">
        <f>ROUND(E600*F600*G600,2)</f>
        <v>0</v>
      </c>
      <c r="I600" s="24">
        <f>IF(D600&lt;=3,база!$J$4,
IF(D600=4,база!$J$5,
IF(D600=5,база!$J$6)))</f>
        <v>196.05240000000001</v>
      </c>
      <c r="J600" s="278">
        <v>1</v>
      </c>
      <c r="K600" s="22">
        <f>SUMIFS(Таблица1[сумма],Таблица1[коэф],"1",Таблица1[р/р],"2/8",Таблица1[Ф. И. О.],B605)</f>
        <v>0</v>
      </c>
      <c r="L600" s="309">
        <f>ROUND(I600*J600*K600,2)</f>
        <v>0</v>
      </c>
      <c r="M600" s="24"/>
      <c r="N600" s="22">
        <v>1</v>
      </c>
      <c r="O600" s="22">
        <f>SUMIFS(Data_Tech!$AM$3:$AM$67,Data_Tech!$E$3:$E$67,"1",Data_Tech!$G$3:$G$67,"3/12",Data_Tech!$F$3:$F$67,B605)</f>
        <v>0</v>
      </c>
      <c r="P600" s="282">
        <f>ROUND(M600*N600*O600,2)</f>
        <v>0</v>
      </c>
      <c r="Q600" s="621">
        <f>IF(D600&lt;=3,база!$L$4,
IF(D600=4,база!$L$5,
IF(D600=5,база!$L$6)))</f>
        <v>210.57480000000001</v>
      </c>
      <c r="R600" s="271">
        <v>1</v>
      </c>
      <c r="S600" s="97">
        <f>SUMIFS(Таблица1[сумма],Таблица1[коэф],"1",Таблица1[р/р],"3/16",Таблица1[Ф. И. О.],B605)</f>
        <v>0</v>
      </c>
      <c r="T600" s="103">
        <f t="shared" ref="T600:T604" si="370">ROUND(Q600*R600*S600,2)</f>
        <v>0</v>
      </c>
      <c r="U600" s="82">
        <f>IF(D600&lt;=3,база!$M$4,
IF(D600=4,база!$M$5,
IF(D600=5,база!$M$6)))</f>
        <v>225.09719999999999</v>
      </c>
      <c r="V600" s="271">
        <v>1</v>
      </c>
      <c r="W600" s="97">
        <f>SUMIFS(Таблица1[сумма],Таблица1[коэф],"1",Таблица1[р/р],"3/24",Таблица1[Ф. И. О.],B605)</f>
        <v>0</v>
      </c>
      <c r="X600" s="103">
        <f>ROUND(U600*V600*W600,2)</f>
        <v>0</v>
      </c>
      <c r="Y600" s="837">
        <f t="shared" ref="Y600" si="371">SUM(G600:G610,K600:K610,O600:O610,S600:S610,W600:W610)</f>
        <v>0</v>
      </c>
      <c r="Z600" s="853">
        <f t="shared" ref="Z600" si="372">IFERROR(SUM(H600:H610,L600:L610,T600:T610,X600:X610),"")</f>
        <v>0</v>
      </c>
      <c r="AA600" s="842"/>
    </row>
    <row r="601" spans="1:30">
      <c r="A601" s="786"/>
      <c r="B601" s="620"/>
      <c r="C601" s="845"/>
      <c r="D601" s="847"/>
      <c r="E601" s="75">
        <f>IF(D600&lt;=3,база!$I$4,
IF(D600=4,база!$I$5,
IF(D600=5,база!$I$6)))</f>
        <v>188.7912</v>
      </c>
      <c r="F601" s="271">
        <v>1</v>
      </c>
      <c r="G601" s="89">
        <f>SUMIFS(Таблица1[сумма],Таблица1[коэф],"1",Таблица1[р/р],"3/4",Таблица1[Ф. И. О.],B605)</f>
        <v>0</v>
      </c>
      <c r="H601" s="103">
        <f>ROUND(E601*F601*G601,2)</f>
        <v>0</v>
      </c>
      <c r="I601" s="24">
        <f>IF(D600&lt;=3,база!$J$4,
IF(D600=4,база!$J$5,
IF(D600=5,база!$J$6)))</f>
        <v>196.05240000000001</v>
      </c>
      <c r="J601" s="278">
        <v>1</v>
      </c>
      <c r="K601" s="22"/>
      <c r="L601" s="309">
        <f>ROUND(I601*J601*K601,2)</f>
        <v>0</v>
      </c>
      <c r="M601" s="24"/>
      <c r="N601" s="22">
        <v>1</v>
      </c>
      <c r="O601" s="22">
        <f>SUMIFS(Data_Tech!$AM$3:$AM$67,Data_Tech!$E$3:$E$67,"1",Data_Tech!$G$3:$G$67,"4/12",Data_Tech!$F$3:$F$67,B605)</f>
        <v>0</v>
      </c>
      <c r="P601" s="282">
        <f>ROUND(M601*O601,2)</f>
        <v>0</v>
      </c>
      <c r="Q601" s="621">
        <f>база!$L$5</f>
        <v>231.45480000000001</v>
      </c>
      <c r="R601" s="271">
        <v>1</v>
      </c>
      <c r="S601" s="97">
        <f>SUMIFS(Таблица1[сумма],Таблица1[коэф],"1",Таблица1[р/р],"4/16",Таблица1[Ф. И. О.],B605)</f>
        <v>0</v>
      </c>
      <c r="T601" s="103">
        <f t="shared" si="370"/>
        <v>0</v>
      </c>
      <c r="U601" s="82">
        <f>база!$M$5</f>
        <v>247.41720000000001</v>
      </c>
      <c r="V601" s="271">
        <v>1</v>
      </c>
      <c r="W601" s="97">
        <f>SUMIFS(Таблица1[сумма],Таблица1[коэф],"1",Таблица1[р/р],"4/24",Таблица1[Ф. И. О.],B605)</f>
        <v>0</v>
      </c>
      <c r="X601" s="103">
        <f t="shared" ref="X601" si="373">ROUND(U601*V601*W601,2)</f>
        <v>0</v>
      </c>
      <c r="Y601" s="838"/>
      <c r="Z601" s="840"/>
      <c r="AA601" s="843"/>
    </row>
    <row r="602" spans="1:30">
      <c r="A602" s="786"/>
      <c r="B602" s="620"/>
      <c r="C602" s="845"/>
      <c r="D602" s="847"/>
      <c r="E602" s="75"/>
      <c r="F602" s="271"/>
      <c r="G602" s="89"/>
      <c r="H602" s="103"/>
      <c r="I602" s="24"/>
      <c r="J602" s="278"/>
      <c r="K602" s="22"/>
      <c r="L602" s="309"/>
      <c r="M602" s="24"/>
      <c r="N602" s="22"/>
      <c r="O602" s="22"/>
      <c r="P602" s="282"/>
      <c r="Q602" s="621">
        <f>база!$L$6</f>
        <v>261.04640000000001</v>
      </c>
      <c r="R602" s="271">
        <v>1</v>
      </c>
      <c r="S602" s="97">
        <f>SUMIFS(Таблица1[сумма],Таблица1[коэф],"1",Таблица1[р/р],"5/16",Таблица1[Ф. И. О.],B605)</f>
        <v>0</v>
      </c>
      <c r="T602" s="103">
        <f t="shared" si="370"/>
        <v>0</v>
      </c>
      <c r="U602" s="82">
        <f>база!$M$6</f>
        <v>279.0496</v>
      </c>
      <c r="V602" s="271">
        <v>1</v>
      </c>
      <c r="W602" s="97">
        <f>SUMIFS(Таблица1[сумма],Таблица1[коэф],"1",Таблица1[р/р],"5/24",Таблица1[Ф. И. О.],B605)</f>
        <v>0</v>
      </c>
      <c r="X602" s="103">
        <f>ROUND(U602*V602*W602,2)</f>
        <v>0</v>
      </c>
      <c r="Y602" s="838"/>
      <c r="Z602" s="840"/>
      <c r="AA602" s="843"/>
    </row>
    <row r="603" spans="1:30">
      <c r="A603" s="786"/>
      <c r="B603" s="620"/>
      <c r="C603" s="845"/>
      <c r="D603" s="847"/>
      <c r="E603" s="75"/>
      <c r="F603" s="271"/>
      <c r="G603" s="89"/>
      <c r="H603" s="103"/>
      <c r="I603" s="24">
        <f>база!$J$5</f>
        <v>215.4924</v>
      </c>
      <c r="J603" s="278">
        <v>1.5</v>
      </c>
      <c r="K603" s="22">
        <f>SUMIFS(Таблица1[сумма],Таблица1[коэф],"1,5",Таблица1[р/р],"4/8",Таблица1[Ф. И. О.],B605)</f>
        <v>0</v>
      </c>
      <c r="L603" s="309">
        <f>ROUND(I603*J603*K603,2)</f>
        <v>0</v>
      </c>
      <c r="M603" s="24"/>
      <c r="N603" s="22"/>
      <c r="O603" s="22"/>
      <c r="P603" s="282"/>
      <c r="Q603" s="621">
        <f>IF(D600&lt;=3,база!$L$4,
IF(D600=4,база!$L$5,
IF(D600=5,база!$L$6)))</f>
        <v>210.57480000000001</v>
      </c>
      <c r="R603" s="271">
        <v>1.2</v>
      </c>
      <c r="S603" s="97">
        <f>SUMIFS(Таблица1[сумма],Таблица1[коэф],"1,2",Таблица1[р/р],"3/16",Таблица1[Ф. И. О.],B605)</f>
        <v>0</v>
      </c>
      <c r="T603" s="103">
        <f t="shared" si="370"/>
        <v>0</v>
      </c>
      <c r="U603" s="82">
        <f>IF(D600&lt;=3,база!$M$4,
IF(D600=4,база!$M$5,
IF(D600=5,база!$M$6)))</f>
        <v>225.09719999999999</v>
      </c>
      <c r="V603" s="271">
        <v>1.2</v>
      </c>
      <c r="W603" s="97">
        <f>SUMIFS(Таблица1[сумма],Таблица1[коэф],"1,2",Таблица1[р/р],"3/24",Таблица1[Ф. И. О.],B605)</f>
        <v>0</v>
      </c>
      <c r="X603" s="103">
        <f t="shared" ref="X603:X604" si="374">ROUND(U603*V603*W603,2)</f>
        <v>0</v>
      </c>
      <c r="Y603" s="838"/>
      <c r="Z603" s="840"/>
      <c r="AA603" s="843"/>
    </row>
    <row r="604" spans="1:30">
      <c r="A604" s="786"/>
      <c r="B604" s="620"/>
      <c r="C604" s="845"/>
      <c r="D604" s="847"/>
      <c r="E604" s="75"/>
      <c r="F604" s="271"/>
      <c r="G604" s="89"/>
      <c r="H604" s="103"/>
      <c r="I604" s="24">
        <f>база!$J$6</f>
        <v>243.04319999999998</v>
      </c>
      <c r="J604" s="278">
        <v>1.5</v>
      </c>
      <c r="K604" s="22">
        <f>SUMIFS(Таблица1[сумма],Таблица1[коэф],"1,5",Таблица1[р/р],"5/8",Таблица1[Ф. И. О.],B605)</f>
        <v>0</v>
      </c>
      <c r="L604" s="309">
        <f>ROUND(I604*J604*K604,2)</f>
        <v>0</v>
      </c>
      <c r="M604" s="24"/>
      <c r="N604" s="22"/>
      <c r="O604" s="22"/>
      <c r="P604" s="282"/>
      <c r="Q604" s="621">
        <f>база!$L$5</f>
        <v>231.45480000000001</v>
      </c>
      <c r="R604" s="271">
        <v>1.2</v>
      </c>
      <c r="S604" s="97">
        <f>SUMIFS(Таблица1[сумма],Таблица1[коэф],"1,2",Таблица1[р/р],"4/16",Таблица1[Ф. И. О.],B605)</f>
        <v>0</v>
      </c>
      <c r="T604" s="103">
        <f t="shared" si="370"/>
        <v>0</v>
      </c>
      <c r="U604" s="82">
        <f>база!$M$5</f>
        <v>247.41720000000001</v>
      </c>
      <c r="V604" s="271">
        <v>1.2</v>
      </c>
      <c r="W604" s="97">
        <f>SUMIFS(Таблица1[сумма],Таблица1[коэф],"1,2",Таблица1[р/р],"4/24",Таблица1[Ф. И. О.],B605)</f>
        <v>0</v>
      </c>
      <c r="X604" s="103">
        <f t="shared" si="374"/>
        <v>0</v>
      </c>
      <c r="Y604" s="838"/>
      <c r="Z604" s="840"/>
      <c r="AA604" s="843"/>
      <c r="AC604" s="722" t="str">
        <f>IF(SUMIFS(Таблица1[Столбец2],Таблица1[Ф. И. О.],B605)-Z600=0,"",SUMIFS(Таблица1[Столбец2],Таблица1[Ф. И. О.],B605)-Z600)</f>
        <v/>
      </c>
    </row>
    <row r="605" spans="1:30">
      <c r="A605" s="786"/>
      <c r="B605" s="620" t="str">
        <f>база!B56</f>
        <v>Нагловская Наталья Анатольевна</v>
      </c>
      <c r="C605" s="845"/>
      <c r="D605" s="847"/>
      <c r="E605" s="75"/>
      <c r="F605" s="271"/>
      <c r="G605" s="89"/>
      <c r="H605" s="103"/>
      <c r="I605" s="24"/>
      <c r="J605" s="278"/>
      <c r="K605" s="22"/>
      <c r="L605" s="309"/>
      <c r="M605" s="24"/>
      <c r="N605" s="22"/>
      <c r="O605" s="22"/>
      <c r="P605" s="282"/>
      <c r="Q605" s="621">
        <f>база!$L$6</f>
        <v>261.04640000000001</v>
      </c>
      <c r="R605" s="271">
        <v>1.2</v>
      </c>
      <c r="S605" s="97">
        <f>SUMIFS(Таблица1[сумма],Таблица1[коэф],"1,2",Таблица1[р/р],"5/16",Таблица1[Ф. И. О.],B605)</f>
        <v>0</v>
      </c>
      <c r="T605" s="103">
        <f>ROUND(Q605*R605*S605,2)</f>
        <v>0</v>
      </c>
      <c r="U605" s="82">
        <f>база!$M$6</f>
        <v>279.0496</v>
      </c>
      <c r="V605" s="271">
        <v>1.2</v>
      </c>
      <c r="W605" s="97">
        <f>SUMIFS(Таблица1[сумма],Таблица1[коэф],"1,2",Таблица1[р/р],"5/24",Таблица1[Ф. И. О.],B605)</f>
        <v>0</v>
      </c>
      <c r="X605" s="103">
        <f>ROUND(U605*V605*W605,2)</f>
        <v>0</v>
      </c>
      <c r="Y605" s="838"/>
      <c r="Z605" s="840"/>
      <c r="AA605" s="843"/>
      <c r="AC605" s="722" t="str">
        <f>IF(SUMIFS(Таблица1[сумма],Таблица1[Ф. И. О.],B605)=Y600,"",B600&amp;"  часы не верны")</f>
        <v/>
      </c>
      <c r="AD605" s="759" t="e">
        <f>INDEX('[2]декабрь 23'!$AI$4:$AI$100,MATCH(C600,'[2]декабрь 23'!$AK$4:$AK$100,0))</f>
        <v>#N/A</v>
      </c>
    </row>
    <row r="606" spans="1:30">
      <c r="A606" s="786"/>
      <c r="B606" s="620"/>
      <c r="C606" s="845"/>
      <c r="D606" s="847"/>
      <c r="E606" s="75"/>
      <c r="F606" s="271"/>
      <c r="G606" s="89"/>
      <c r="H606" s="103"/>
      <c r="I606" s="24"/>
      <c r="J606" s="278"/>
      <c r="K606" s="22"/>
      <c r="L606" s="309"/>
      <c r="M606" s="24"/>
      <c r="N606" s="22"/>
      <c r="O606" s="22"/>
      <c r="P606" s="282"/>
      <c r="Q606" s="621">
        <f>IF($D$6&lt;=3,база!$L$4,
IF($D$6=4,база!$L$5,
IF($D$6=5,база!$L$6)))</f>
        <v>231.45480000000001</v>
      </c>
      <c r="R606" s="271">
        <v>1.3</v>
      </c>
      <c r="S606" s="97">
        <f>SUMIFS(Таблица1[сумма],Таблица1[коэф],"1,3",Таблица1[р/р],"3/16",Таблица1[Ф. И. О.],B605)</f>
        <v>0</v>
      </c>
      <c r="T606" s="103">
        <f t="shared" ref="T606:T607" si="375">ROUND(Q606*R606*S606,2)</f>
        <v>0</v>
      </c>
      <c r="U606" s="82">
        <f>IF(D600&lt;=3,база!$M$4,
IF(D600=4,база!$M$5,
IF(D600=5,база!$M$6)))</f>
        <v>225.09719999999999</v>
      </c>
      <c r="V606" s="271">
        <v>1.3</v>
      </c>
      <c r="W606" s="97">
        <f>SUMIFS(Таблица1[сумма],Таблица1[коэф],"1,3",Таблица1[р/р],"3/24",Таблица1[Ф. И. О.],B605)</f>
        <v>0</v>
      </c>
      <c r="X606" s="103">
        <f t="shared" ref="X606:X607" si="376">ROUND(U606*V606*W606,2)</f>
        <v>0</v>
      </c>
      <c r="Y606" s="838"/>
      <c r="Z606" s="840"/>
      <c r="AA606" s="843"/>
    </row>
    <row r="607" spans="1:30">
      <c r="A607" s="786"/>
      <c r="B607" s="620"/>
      <c r="C607" s="845"/>
      <c r="D607" s="847"/>
      <c r="E607" s="75"/>
      <c r="F607" s="271"/>
      <c r="G607" s="89"/>
      <c r="H607" s="103"/>
      <c r="I607" s="24"/>
      <c r="J607" s="278"/>
      <c r="K607" s="22"/>
      <c r="L607" s="309"/>
      <c r="M607" s="24"/>
      <c r="N607" s="22"/>
      <c r="O607" s="22"/>
      <c r="P607" s="282"/>
      <c r="Q607" s="621">
        <f>база!$L$5</f>
        <v>231.45480000000001</v>
      </c>
      <c r="R607" s="271">
        <v>1.3</v>
      </c>
      <c r="S607" s="97">
        <f>SUMIFS(Таблица1[сумма],Таблица1[коэф],"1,3",Таблица1[р/р],"4/16",Таблица1[Ф. И. О.],B605)</f>
        <v>0</v>
      </c>
      <c r="T607" s="103">
        <f t="shared" si="375"/>
        <v>0</v>
      </c>
      <c r="U607" s="82">
        <f>база!$M$5</f>
        <v>247.41720000000001</v>
      </c>
      <c r="V607" s="271">
        <v>1.3</v>
      </c>
      <c r="W607" s="97">
        <f>SUMIFS(Таблица1[сумма],Таблица1[коэф],"1,3",Таблица1[р/р],"4/24",Таблица1[Ф. И. О.],B605)</f>
        <v>0</v>
      </c>
      <c r="X607" s="103">
        <f t="shared" si="376"/>
        <v>0</v>
      </c>
      <c r="Y607" s="838"/>
      <c r="Z607" s="840"/>
      <c r="AA607" s="843"/>
    </row>
    <row r="608" spans="1:30">
      <c r="A608" s="786"/>
      <c r="B608" s="620"/>
      <c r="C608" s="845"/>
      <c r="D608" s="847"/>
      <c r="E608" s="75"/>
      <c r="F608" s="271"/>
      <c r="G608" s="89"/>
      <c r="H608" s="103"/>
      <c r="I608" s="24"/>
      <c r="J608" s="278"/>
      <c r="K608" s="22"/>
      <c r="L608" s="309"/>
      <c r="M608" s="24"/>
      <c r="N608" s="22"/>
      <c r="O608" s="22"/>
      <c r="P608" s="282"/>
      <c r="Q608" s="621">
        <f>IF(D600&lt;=3,база!$L$4,
IF(D600=4,база!$L$5,
IF(D600=5,база!$L$6)))</f>
        <v>210.57480000000001</v>
      </c>
      <c r="R608" s="271">
        <v>1.4</v>
      </c>
      <c r="S608" s="97">
        <f>SUMIFS(Таблица1[сумма],Таблица1[коэф],"1,4",Таблица1[р/р],"3/16",Таблица1[Ф. И. О.],B605)</f>
        <v>0</v>
      </c>
      <c r="T608" s="103">
        <f>ROUND(Q608*R608*S608,2)</f>
        <v>0</v>
      </c>
      <c r="U608" s="82">
        <f>IF(D600&lt;=3,база!$M$4,
IF(D600=4,база!$M$5,
IF(D600=5,база!$M$6)))</f>
        <v>225.09719999999999</v>
      </c>
      <c r="V608" s="271">
        <v>1.4</v>
      </c>
      <c r="W608" s="97">
        <f>SUMIFS(Таблица1[сумма],Таблица1[коэф],"1,4",Таблица1[р/р],"3/24",Таблица1[Ф. И. О.],B605)</f>
        <v>0</v>
      </c>
      <c r="X608" s="103">
        <f>ROUND(U608*V608*W608,2)</f>
        <v>0</v>
      </c>
      <c r="Y608" s="838"/>
      <c r="Z608" s="840"/>
      <c r="AA608" s="843"/>
    </row>
    <row r="609" spans="1:30">
      <c r="A609" s="786"/>
      <c r="B609" s="620"/>
      <c r="C609" s="845"/>
      <c r="D609" s="847"/>
      <c r="E609" s="85"/>
      <c r="F609" s="273"/>
      <c r="G609" s="630"/>
      <c r="H609" s="90"/>
      <c r="I609" s="67"/>
      <c r="J609" s="631"/>
      <c r="K609" s="59"/>
      <c r="L609" s="325"/>
      <c r="M609" s="67"/>
      <c r="N609" s="59"/>
      <c r="O609" s="59"/>
      <c r="P609" s="283"/>
      <c r="Q609" s="632">
        <f>база!$L$5</f>
        <v>231.45480000000001</v>
      </c>
      <c r="R609" s="273">
        <v>1.4</v>
      </c>
      <c r="S609" s="101">
        <f>SUMIFS(Таблица1[сумма],Таблица1[коэф],"1,4",Таблица1[р/р],"4/16",Таблица1[Ф. И. О.],B605)</f>
        <v>0</v>
      </c>
      <c r="T609" s="90">
        <f>ROUND(Q609*R609*S609,2)</f>
        <v>0</v>
      </c>
      <c r="U609" s="106">
        <f>база!$M$5</f>
        <v>247.41720000000001</v>
      </c>
      <c r="V609" s="273">
        <v>1.4</v>
      </c>
      <c r="W609" s="101">
        <f>SUMIFS(Таблица1[сумма],Таблица1[коэф],"1,4",Таблица1[р/р],"4/24",Таблица1[Ф. И. О.],B605)</f>
        <v>0</v>
      </c>
      <c r="X609" s="90">
        <f>ROUND(U609*V609*W609,2)</f>
        <v>0</v>
      </c>
      <c r="Y609" s="838"/>
      <c r="Z609" s="840"/>
      <c r="AA609" s="843"/>
    </row>
    <row r="610" spans="1:30" ht="24" thickBot="1">
      <c r="A610" s="787"/>
      <c r="B610" s="352"/>
      <c r="C610" s="846"/>
      <c r="D610" s="848"/>
      <c r="E610" s="77"/>
      <c r="F610" s="276"/>
      <c r="G610" s="622"/>
      <c r="H610" s="94"/>
      <c r="I610" s="623"/>
      <c r="J610" s="596"/>
      <c r="K610" s="624"/>
      <c r="L610" s="328"/>
      <c r="M610" s="623"/>
      <c r="N610" s="624"/>
      <c r="O610" s="624"/>
      <c r="P610" s="290"/>
      <c r="Q610" s="625">
        <f>база!$L$6</f>
        <v>261.04640000000001</v>
      </c>
      <c r="R610" s="276">
        <v>1.4</v>
      </c>
      <c r="S610" s="100">
        <f>SUMIFS(Таблица1[сумма],Таблица1[коэф],"1,4",Таблица1[р/р],"5/16",Таблица1[Ф. И. О.],B605)</f>
        <v>0</v>
      </c>
      <c r="T610" s="94">
        <f>ROUND(Q610*R610*S610,2)</f>
        <v>0</v>
      </c>
      <c r="U610" s="84">
        <f>база!$M$6</f>
        <v>279.0496</v>
      </c>
      <c r="V610" s="276">
        <v>1.4</v>
      </c>
      <c r="W610" s="100">
        <f>SUMIFS(Таблица1[сумма],Таблица1[коэф],"1,4",Таблица1[р/р],"5/24",Таблица1[Ф. И. О.],B605)</f>
        <v>0</v>
      </c>
      <c r="X610" s="94">
        <f>ROUND(U610*V610*W610,2)</f>
        <v>0</v>
      </c>
      <c r="Y610" s="839"/>
      <c r="Z610" s="841"/>
      <c r="AA610" s="844"/>
    </row>
    <row r="611" spans="1:30" ht="20.25" customHeight="1">
      <c r="A611" s="785">
        <v>56</v>
      </c>
      <c r="B611" s="620"/>
      <c r="C611" s="851">
        <f>INDEX(база!$E$2:$E$181, MATCH(B616,база!$B$2:$B$160,0))</f>
        <v>17164</v>
      </c>
      <c r="D611" s="852">
        <f>INDEX(база!$D$2:$D$189, MATCH(B616,база!$B$2:$B$160,0))</f>
        <v>3</v>
      </c>
      <c r="E611" s="75">
        <f>IF(D611&lt;=3,база!$I$4,
IF(D611=4,база!$I$5,
IF(D611=5,база!$I$6)))</f>
        <v>188.7912</v>
      </c>
      <c r="F611" s="271">
        <v>1</v>
      </c>
      <c r="G611" s="89">
        <f>SUMIFS(Таблица1[сумма],Таблица1[коэф],"1",Таблица1[р/р],"2/4",Таблица1[Ф. И. О.],B616)</f>
        <v>0</v>
      </c>
      <c r="H611" s="103">
        <f>ROUND(E611*F611*G611,2)</f>
        <v>0</v>
      </c>
      <c r="I611" s="24">
        <f>IF(D611&lt;=3,база!$J$4,
IF(D611=4,база!$J$5,
IF(D611=5,база!$J$6)))</f>
        <v>196.05240000000001</v>
      </c>
      <c r="J611" s="278">
        <v>1</v>
      </c>
      <c r="K611" s="22">
        <f>SUMIFS(Таблица1[сумма],Таблица1[коэф],"1",Таблица1[р/р],"2/8",Таблица1[Ф. И. О.],B616)</f>
        <v>0</v>
      </c>
      <c r="L611" s="309">
        <f>ROUND(I611*J611*K611,2)</f>
        <v>0</v>
      </c>
      <c r="M611" s="24"/>
      <c r="N611" s="22">
        <v>1</v>
      </c>
      <c r="O611" s="22">
        <f>SUMIFS(Data_Tech!$AM$3:$AM$67,Data_Tech!$E$3:$E$67,"1",Data_Tech!$G$3:$G$67,"3/12",Data_Tech!$F$3:$F$67,B616)</f>
        <v>0</v>
      </c>
      <c r="P611" s="282">
        <f>ROUND(M611*N611*O611,2)</f>
        <v>0</v>
      </c>
      <c r="Q611" s="621">
        <f>IF(D611&lt;=3,база!$L$4,
IF(D611=4,база!$L$5,
IF(D611=5,база!$L$6)))</f>
        <v>210.57480000000001</v>
      </c>
      <c r="R611" s="271">
        <v>1</v>
      </c>
      <c r="S611" s="97">
        <f>SUMIFS(Таблица1[сумма],Таблица1[коэф],"1",Таблица1[р/р],"3/16",Таблица1[Ф. И. О.],B616)</f>
        <v>0</v>
      </c>
      <c r="T611" s="103">
        <f t="shared" ref="T611:T615" si="377">ROUND(Q611*R611*S611,2)</f>
        <v>0</v>
      </c>
      <c r="U611" s="82">
        <f>IF(D611&lt;=3,база!$M$4,
IF(D611=4,база!$M$5,
IF(D611=5,база!$M$6)))</f>
        <v>225.09719999999999</v>
      </c>
      <c r="V611" s="271">
        <v>1</v>
      </c>
      <c r="W611" s="97">
        <f>SUMIFS(Таблица1[сумма],Таблица1[коэф],"1",Таблица1[р/р],"3/24",Таблица1[Ф. И. О.],B616)</f>
        <v>0</v>
      </c>
      <c r="X611" s="103">
        <f>ROUND(U611*V611*W611,2)</f>
        <v>0</v>
      </c>
      <c r="Y611" s="837">
        <f t="shared" ref="Y611" si="378">SUM(G611:G621,K611:K621,O611:O621,S611:S621,W611:W621)</f>
        <v>0</v>
      </c>
      <c r="Z611" s="853">
        <f t="shared" ref="Z611" si="379">IFERROR(SUM(H611:H621,L611:L621,T611:T621,X611:X621),"")</f>
        <v>0</v>
      </c>
      <c r="AA611" s="842"/>
    </row>
    <row r="612" spans="1:30">
      <c r="A612" s="786"/>
      <c r="B612" s="620"/>
      <c r="C612" s="845"/>
      <c r="D612" s="847"/>
      <c r="E612" s="75">
        <f>IF(D611&lt;=3,база!$I$4,
IF(D611=4,база!$I$5,
IF(D611=5,база!$I$6)))</f>
        <v>188.7912</v>
      </c>
      <c r="F612" s="271">
        <v>1</v>
      </c>
      <c r="G612" s="89">
        <f>SUMIFS(Таблица1[сумма],Таблица1[коэф],"1",Таблица1[р/р],"3/4",Таблица1[Ф. И. О.],B616)</f>
        <v>0</v>
      </c>
      <c r="H612" s="103">
        <f>ROUND(E612*F612*G612,2)</f>
        <v>0</v>
      </c>
      <c r="I612" s="24">
        <f>IF(D611&lt;=3,база!$J$4,
IF(D611=4,база!$J$5,
IF(D611=5,база!$J$6)))</f>
        <v>196.05240000000001</v>
      </c>
      <c r="J612" s="278">
        <v>1</v>
      </c>
      <c r="K612" s="22"/>
      <c r="L612" s="309">
        <f>ROUND(I612*J612*K612,2)</f>
        <v>0</v>
      </c>
      <c r="M612" s="24"/>
      <c r="N612" s="22">
        <v>1</v>
      </c>
      <c r="O612" s="22">
        <f>SUMIFS(Data_Tech!$AM$3:$AM$67,Data_Tech!$E$3:$E$67,"1",Data_Tech!$G$3:$G$67,"4/12",Data_Tech!$F$3:$F$67,B616)</f>
        <v>0</v>
      </c>
      <c r="P612" s="282">
        <f>ROUND(M612*O612,2)</f>
        <v>0</v>
      </c>
      <c r="Q612" s="621">
        <f>база!$L$5</f>
        <v>231.45480000000001</v>
      </c>
      <c r="R612" s="271">
        <v>1</v>
      </c>
      <c r="S612" s="97">
        <f>SUMIFS(Таблица1[сумма],Таблица1[коэф],"1",Таблица1[р/р],"4/16",Таблица1[Ф. И. О.],B616)</f>
        <v>0</v>
      </c>
      <c r="T612" s="103">
        <f t="shared" si="377"/>
        <v>0</v>
      </c>
      <c r="U612" s="82">
        <f>база!$M$5</f>
        <v>247.41720000000001</v>
      </c>
      <c r="V612" s="271">
        <v>1</v>
      </c>
      <c r="W612" s="97">
        <f>SUMIFS(Таблица1[сумма],Таблица1[коэф],"1",Таблица1[р/р],"4/24",Таблица1[Ф. И. О.],B616)</f>
        <v>0</v>
      </c>
      <c r="X612" s="103">
        <f t="shared" ref="X612" si="380">ROUND(U612*V612*W612,2)</f>
        <v>0</v>
      </c>
      <c r="Y612" s="838"/>
      <c r="Z612" s="840"/>
      <c r="AA612" s="843"/>
    </row>
    <row r="613" spans="1:30">
      <c r="A613" s="786"/>
      <c r="B613" s="620"/>
      <c r="C613" s="845"/>
      <c r="D613" s="847"/>
      <c r="E613" s="75"/>
      <c r="F613" s="271"/>
      <c r="G613" s="89"/>
      <c r="H613" s="103"/>
      <c r="I613" s="24"/>
      <c r="J613" s="278"/>
      <c r="K613" s="22"/>
      <c r="L613" s="309"/>
      <c r="M613" s="24"/>
      <c r="N613" s="22"/>
      <c r="O613" s="22"/>
      <c r="P613" s="282"/>
      <c r="Q613" s="621">
        <f>база!$L$6</f>
        <v>261.04640000000001</v>
      </c>
      <c r="R613" s="271">
        <v>1</v>
      </c>
      <c r="S613" s="97">
        <f>SUMIFS(Таблица1[сумма],Таблица1[коэф],"1",Таблица1[р/р],"5/16",Таблица1[Ф. И. О.],B616)</f>
        <v>0</v>
      </c>
      <c r="T613" s="103">
        <f t="shared" si="377"/>
        <v>0</v>
      </c>
      <c r="U613" s="82">
        <f>база!$M$6</f>
        <v>279.0496</v>
      </c>
      <c r="V613" s="271">
        <v>1</v>
      </c>
      <c r="W613" s="97">
        <f>SUMIFS(Таблица1[сумма],Таблица1[коэф],"1",Таблица1[р/р],"5/24",Таблица1[Ф. И. О.],B616)</f>
        <v>0</v>
      </c>
      <c r="X613" s="103">
        <f>ROUND(U613*V613*W613,2)</f>
        <v>0</v>
      </c>
      <c r="Y613" s="838"/>
      <c r="Z613" s="840"/>
      <c r="AA613" s="843"/>
    </row>
    <row r="614" spans="1:30">
      <c r="A614" s="786"/>
      <c r="B614" s="620"/>
      <c r="C614" s="845"/>
      <c r="D614" s="847"/>
      <c r="E614" s="75"/>
      <c r="F614" s="271"/>
      <c r="G614" s="89"/>
      <c r="H614" s="103"/>
      <c r="I614" s="24">
        <f>база!$J$5</f>
        <v>215.4924</v>
      </c>
      <c r="J614" s="278">
        <v>1.5</v>
      </c>
      <c r="K614" s="22">
        <f>SUMIFS(Таблица1[сумма],Таблица1[коэф],"1,5",Таблица1[р/р],"4/8",Таблица1[Ф. И. О.],B616)</f>
        <v>0</v>
      </c>
      <c r="L614" s="309">
        <f>ROUND(I614*J614*K614,2)</f>
        <v>0</v>
      </c>
      <c r="M614" s="24"/>
      <c r="N614" s="22"/>
      <c r="O614" s="22"/>
      <c r="P614" s="282"/>
      <c r="Q614" s="621">
        <f>IF(D611&lt;=3,база!$L$4,
IF(D611=4,база!$L$5,
IF(D611=5,база!$L$6)))</f>
        <v>210.57480000000001</v>
      </c>
      <c r="R614" s="271">
        <v>1.2</v>
      </c>
      <c r="S614" s="97">
        <f>SUMIFS(Таблица1[сумма],Таблица1[коэф],"1,2",Таблица1[р/р],"3/16",Таблица1[Ф. И. О.],B616)</f>
        <v>0</v>
      </c>
      <c r="T614" s="103">
        <f t="shared" si="377"/>
        <v>0</v>
      </c>
      <c r="U614" s="82">
        <f>IF(D611&lt;=3,база!$M$4,
IF(D611=4,база!$M$5,
IF(D611=5,база!$M$6)))</f>
        <v>225.09719999999999</v>
      </c>
      <c r="V614" s="271">
        <v>1.2</v>
      </c>
      <c r="W614" s="97">
        <f>SUMIFS(Таблица1[сумма],Таблица1[коэф],"1,2",Таблица1[р/р],"3/24",Таблица1[Ф. И. О.],B616)</f>
        <v>0</v>
      </c>
      <c r="X614" s="103">
        <f t="shared" ref="X614:X615" si="381">ROUND(U614*V614*W614,2)</f>
        <v>0</v>
      </c>
      <c r="Y614" s="838"/>
      <c r="Z614" s="840"/>
      <c r="AA614" s="843"/>
    </row>
    <row r="615" spans="1:30">
      <c r="A615" s="786"/>
      <c r="B615" s="620"/>
      <c r="C615" s="845"/>
      <c r="D615" s="847"/>
      <c r="E615" s="75"/>
      <c r="F615" s="271"/>
      <c r="G615" s="89"/>
      <c r="H615" s="103"/>
      <c r="I615" s="24">
        <f>база!$J$6</f>
        <v>243.04319999999998</v>
      </c>
      <c r="J615" s="278">
        <v>1.5</v>
      </c>
      <c r="K615" s="22">
        <f>SUMIFS(Таблица1[сумма],Таблица1[коэф],"1,5",Таблица1[р/р],"5/8",Таблица1[Ф. И. О.],B616)</f>
        <v>0</v>
      </c>
      <c r="L615" s="309">
        <f>ROUND(I615*J615*K615,2)</f>
        <v>0</v>
      </c>
      <c r="M615" s="24"/>
      <c r="N615" s="22"/>
      <c r="O615" s="22"/>
      <c r="P615" s="282"/>
      <c r="Q615" s="621">
        <f>база!$L$5</f>
        <v>231.45480000000001</v>
      </c>
      <c r="R615" s="271">
        <v>1.2</v>
      </c>
      <c r="S615" s="97">
        <f>SUMIFS(Таблица1[сумма],Таблица1[коэф],"1,2",Таблица1[р/р],"4/16",Таблица1[Ф. И. О.],B616)</f>
        <v>0</v>
      </c>
      <c r="T615" s="103">
        <f t="shared" si="377"/>
        <v>0</v>
      </c>
      <c r="U615" s="82">
        <f>база!$M$5</f>
        <v>247.41720000000001</v>
      </c>
      <c r="V615" s="271">
        <v>1.2</v>
      </c>
      <c r="W615" s="97">
        <f>SUMIFS(Таблица1[сумма],Таблица1[коэф],"1,2",Таблица1[р/р],"4/24",Таблица1[Ф. И. О.],B616)</f>
        <v>0</v>
      </c>
      <c r="X615" s="103">
        <f t="shared" si="381"/>
        <v>0</v>
      </c>
      <c r="Y615" s="838"/>
      <c r="Z615" s="840"/>
      <c r="AA615" s="843"/>
      <c r="AC615" s="722" t="str">
        <f>IF(SUMIFS(Таблица1[Столбец2],Таблица1[Ф. И. О.],B616)-Z611=0,"",SUMIFS(Таблица1[Столбец2],Таблица1[Ф. И. О.],B616)-Z611)</f>
        <v/>
      </c>
    </row>
    <row r="616" spans="1:30">
      <c r="A616" s="786"/>
      <c r="B616" s="620" t="str">
        <f>база!B57</f>
        <v>Никифорова Юлия Анатольевна</v>
      </c>
      <c r="C616" s="845"/>
      <c r="D616" s="847"/>
      <c r="E616" s="75"/>
      <c r="F616" s="271"/>
      <c r="G616" s="89"/>
      <c r="H616" s="103"/>
      <c r="I616" s="24"/>
      <c r="J616" s="278"/>
      <c r="K616" s="22"/>
      <c r="L616" s="309"/>
      <c r="M616" s="24"/>
      <c r="N616" s="22"/>
      <c r="O616" s="22"/>
      <c r="P616" s="282"/>
      <c r="Q616" s="621">
        <f>база!$L$6</f>
        <v>261.04640000000001</v>
      </c>
      <c r="R616" s="271">
        <v>1.2</v>
      </c>
      <c r="S616" s="97">
        <f>SUMIFS(Таблица1[сумма],Таблица1[коэф],"1,2",Таблица1[р/р],"5/16",Таблица1[Ф. И. О.],B616)</f>
        <v>0</v>
      </c>
      <c r="T616" s="103">
        <f>ROUND(Q616*R616*S616,2)</f>
        <v>0</v>
      </c>
      <c r="U616" s="82">
        <f>база!$M$6</f>
        <v>279.0496</v>
      </c>
      <c r="V616" s="271">
        <v>1.2</v>
      </c>
      <c r="W616" s="97">
        <f>SUMIFS(Таблица1[сумма],Таблица1[коэф],"1,2",Таблица1[р/р],"5/24",Таблица1[Ф. И. О.],B616)</f>
        <v>0</v>
      </c>
      <c r="X616" s="103">
        <f>ROUND(U616*V616*W616,2)</f>
        <v>0</v>
      </c>
      <c r="Y616" s="838"/>
      <c r="Z616" s="840"/>
      <c r="AA616" s="843"/>
      <c r="AC616" s="722" t="str">
        <f>IF(SUMIFS(Таблица1[сумма],Таблица1[Ф. И. О.],B616)=Y611,"",B611&amp;"  часы не верны")</f>
        <v/>
      </c>
      <c r="AD616" s="759">
        <f>INDEX('[2]декабрь 23'!$AI$4:$AI$100,MATCH(C611,'[2]декабрь 23'!$AK$4:$AK$100,0))</f>
        <v>144</v>
      </c>
    </row>
    <row r="617" spans="1:30">
      <c r="A617" s="786"/>
      <c r="B617" s="620"/>
      <c r="C617" s="845"/>
      <c r="D617" s="847"/>
      <c r="E617" s="75"/>
      <c r="F617" s="271"/>
      <c r="G617" s="89"/>
      <c r="H617" s="103"/>
      <c r="I617" s="24"/>
      <c r="J617" s="278"/>
      <c r="K617" s="22"/>
      <c r="L617" s="309"/>
      <c r="M617" s="24"/>
      <c r="N617" s="22"/>
      <c r="O617" s="22"/>
      <c r="P617" s="282"/>
      <c r="Q617" s="621">
        <f>IF($D$6&lt;=3,база!$L$4,
IF($D$6=4,база!$L$5,
IF($D$6=5,база!$L$6)))</f>
        <v>231.45480000000001</v>
      </c>
      <c r="R617" s="271">
        <v>1.3</v>
      </c>
      <c r="S617" s="97">
        <f>SUMIFS(Таблица1[сумма],Таблица1[коэф],"1,3",Таблица1[р/р],"3/16",Таблица1[Ф. И. О.],B616)</f>
        <v>0</v>
      </c>
      <c r="T617" s="103">
        <f t="shared" ref="T617:T618" si="382">ROUND(Q617*R617*S617,2)</f>
        <v>0</v>
      </c>
      <c r="U617" s="82">
        <f>IF(D611&lt;=3,база!$M$4,
IF(D611=4,база!$M$5,
IF(D611=5,база!$M$6)))</f>
        <v>225.09719999999999</v>
      </c>
      <c r="V617" s="271">
        <v>1.3</v>
      </c>
      <c r="W617" s="97">
        <f>SUMIFS(Таблица1[сумма],Таблица1[коэф],"1,3",Таблица1[р/р],"3/24",Таблица1[Ф. И. О.],B616)</f>
        <v>0</v>
      </c>
      <c r="X617" s="103">
        <f t="shared" ref="X617:X618" si="383">ROUND(U617*V617*W617,2)</f>
        <v>0</v>
      </c>
      <c r="Y617" s="838"/>
      <c r="Z617" s="840"/>
      <c r="AA617" s="843"/>
    </row>
    <row r="618" spans="1:30">
      <c r="A618" s="786"/>
      <c r="B618" s="620"/>
      <c r="C618" s="845"/>
      <c r="D618" s="847"/>
      <c r="E618" s="75"/>
      <c r="F618" s="271"/>
      <c r="G618" s="89"/>
      <c r="H618" s="103"/>
      <c r="I618" s="24"/>
      <c r="J618" s="278"/>
      <c r="K618" s="22"/>
      <c r="L618" s="309"/>
      <c r="M618" s="24"/>
      <c r="N618" s="22"/>
      <c r="O618" s="22"/>
      <c r="P618" s="282"/>
      <c r="Q618" s="621">
        <f>база!$L$5</f>
        <v>231.45480000000001</v>
      </c>
      <c r="R618" s="271">
        <v>1.3</v>
      </c>
      <c r="S618" s="97">
        <f>SUMIFS(Таблица1[сумма],Таблица1[коэф],"1,3",Таблица1[р/р],"4/16",Таблица1[Ф. И. О.],B616)</f>
        <v>0</v>
      </c>
      <c r="T618" s="103">
        <f t="shared" si="382"/>
        <v>0</v>
      </c>
      <c r="U618" s="82">
        <f>база!$M$5</f>
        <v>247.41720000000001</v>
      </c>
      <c r="V618" s="271">
        <v>1.3</v>
      </c>
      <c r="W618" s="97">
        <f>SUMIFS(Таблица1[сумма],Таблица1[коэф],"1,3",Таблица1[р/р],"4/24",Таблица1[Ф. И. О.],B616)</f>
        <v>0</v>
      </c>
      <c r="X618" s="103">
        <f t="shared" si="383"/>
        <v>0</v>
      </c>
      <c r="Y618" s="838"/>
      <c r="Z618" s="840"/>
      <c r="AA618" s="843"/>
    </row>
    <row r="619" spans="1:30">
      <c r="A619" s="786"/>
      <c r="B619" s="620"/>
      <c r="C619" s="845"/>
      <c r="D619" s="847"/>
      <c r="E619" s="75"/>
      <c r="F619" s="271"/>
      <c r="G619" s="89"/>
      <c r="H619" s="103"/>
      <c r="I619" s="24"/>
      <c r="J619" s="278"/>
      <c r="K619" s="22"/>
      <c r="L619" s="309"/>
      <c r="M619" s="24"/>
      <c r="N619" s="22"/>
      <c r="O619" s="22"/>
      <c r="P619" s="282"/>
      <c r="Q619" s="621">
        <f>IF(D611&lt;=3,база!$L$4,
IF(D611=4,база!$L$5,
IF(D611=5,база!$L$6)))</f>
        <v>210.57480000000001</v>
      </c>
      <c r="R619" s="271">
        <v>1.4</v>
      </c>
      <c r="S619" s="97">
        <f>SUMIFS(Таблица1[сумма],Таблица1[коэф],"1,4",Таблица1[р/р],"3/16",Таблица1[Ф. И. О.],B616)</f>
        <v>0</v>
      </c>
      <c r="T619" s="103">
        <f>ROUND(Q619*R619*S619,2)</f>
        <v>0</v>
      </c>
      <c r="U619" s="82">
        <f>IF(D611&lt;=3,база!$M$4,
IF(D611=4,база!$M$5,
IF(D611=5,база!$M$6)))</f>
        <v>225.09719999999999</v>
      </c>
      <c r="V619" s="271">
        <v>1.4</v>
      </c>
      <c r="W619" s="97">
        <f>SUMIFS(Таблица1[сумма],Таблица1[коэф],"1,4",Таблица1[р/р],"3/24",Таблица1[Ф. И. О.],B616)</f>
        <v>0</v>
      </c>
      <c r="X619" s="103">
        <f>ROUND(U619*V619*W619,2)</f>
        <v>0</v>
      </c>
      <c r="Y619" s="838"/>
      <c r="Z619" s="840"/>
      <c r="AA619" s="843"/>
    </row>
    <row r="620" spans="1:30">
      <c r="A620" s="786"/>
      <c r="B620" s="620"/>
      <c r="C620" s="845"/>
      <c r="D620" s="847"/>
      <c r="E620" s="85"/>
      <c r="F620" s="273"/>
      <c r="G620" s="630"/>
      <c r="H620" s="90"/>
      <c r="I620" s="67"/>
      <c r="J620" s="631"/>
      <c r="K620" s="59"/>
      <c r="L620" s="325"/>
      <c r="M620" s="67"/>
      <c r="N620" s="59"/>
      <c r="O620" s="59"/>
      <c r="P620" s="283"/>
      <c r="Q620" s="632">
        <f>база!$L$5</f>
        <v>231.45480000000001</v>
      </c>
      <c r="R620" s="273">
        <v>1.4</v>
      </c>
      <c r="S620" s="101">
        <f>SUMIFS(Таблица1[сумма],Таблица1[коэф],"1,4",Таблица1[р/р],"4/16",Таблица1[Ф. И. О.],B616)</f>
        <v>0</v>
      </c>
      <c r="T620" s="90">
        <f>ROUND(Q620*R620*S620,2)</f>
        <v>0</v>
      </c>
      <c r="U620" s="106">
        <f>база!$M$5</f>
        <v>247.41720000000001</v>
      </c>
      <c r="V620" s="273">
        <v>1.4</v>
      </c>
      <c r="W620" s="101">
        <f>SUMIFS(Таблица1[сумма],Таблица1[коэф],"1,4",Таблица1[р/р],"4/24",Таблица1[Ф. И. О.],B616)</f>
        <v>0</v>
      </c>
      <c r="X620" s="90">
        <f>ROUND(U620*V620*W620,2)</f>
        <v>0</v>
      </c>
      <c r="Y620" s="838"/>
      <c r="Z620" s="840"/>
      <c r="AA620" s="843"/>
    </row>
    <row r="621" spans="1:30" ht="24" thickBot="1">
      <c r="A621" s="787"/>
      <c r="B621" s="352"/>
      <c r="C621" s="846"/>
      <c r="D621" s="848"/>
      <c r="E621" s="77"/>
      <c r="F621" s="276"/>
      <c r="G621" s="622"/>
      <c r="H621" s="94"/>
      <c r="I621" s="623"/>
      <c r="J621" s="596"/>
      <c r="K621" s="624"/>
      <c r="L621" s="328"/>
      <c r="M621" s="623"/>
      <c r="N621" s="624"/>
      <c r="O621" s="624"/>
      <c r="P621" s="290"/>
      <c r="Q621" s="625">
        <f>база!$L$6</f>
        <v>261.04640000000001</v>
      </c>
      <c r="R621" s="276">
        <v>1.4</v>
      </c>
      <c r="S621" s="100">
        <f>SUMIFS(Таблица1[сумма],Таблица1[коэф],"1,4",Таблица1[р/р],"5/16",Таблица1[Ф. И. О.],B616)</f>
        <v>0</v>
      </c>
      <c r="T621" s="94">
        <f>ROUND(Q621*R621*S621,2)</f>
        <v>0</v>
      </c>
      <c r="U621" s="84">
        <f>база!$M$6</f>
        <v>279.0496</v>
      </c>
      <c r="V621" s="276">
        <v>1.4</v>
      </c>
      <c r="W621" s="100">
        <f>SUMIFS(Таблица1[сумма],Таблица1[коэф],"1,4",Таблица1[р/р],"5/24",Таблица1[Ф. И. О.],B616)</f>
        <v>0</v>
      </c>
      <c r="X621" s="94">
        <f>ROUND(U621*V621*W621,2)</f>
        <v>0</v>
      </c>
      <c r="Y621" s="839"/>
      <c r="Z621" s="841"/>
      <c r="AA621" s="844"/>
    </row>
    <row r="622" spans="1:30" ht="20.25" customHeight="1">
      <c r="A622" s="785">
        <v>57</v>
      </c>
      <c r="B622" s="620"/>
      <c r="C622" s="851">
        <f>INDEX(база!$E$2:$E$181, MATCH(B627,база!$B$2:$B$160,0))</f>
        <v>17307</v>
      </c>
      <c r="D622" s="852">
        <f>INDEX(база!$D$2:$D$189, MATCH(B627,база!$B$2:$B$160,0))</f>
        <v>3</v>
      </c>
      <c r="E622" s="75">
        <f>IF(D622&lt;=3,база!$I$4,
IF(D622=4,база!$I$5,
IF(D622=5,база!$I$6)))</f>
        <v>188.7912</v>
      </c>
      <c r="F622" s="271">
        <v>1</v>
      </c>
      <c r="G622" s="89">
        <f>SUMIFS(Таблица1[сумма],Таблица1[коэф],"1",Таблица1[р/р],"2/4",Таблица1[Ф. И. О.],B627)</f>
        <v>0</v>
      </c>
      <c r="H622" s="103">
        <f>ROUND(E622*F622*G622,2)</f>
        <v>0</v>
      </c>
      <c r="I622" s="24">
        <f>IF(D622&lt;=3,база!$J$4,
IF(D622=4,база!$J$5,
IF(D622=5,база!$J$6)))</f>
        <v>196.05240000000001</v>
      </c>
      <c r="J622" s="278">
        <v>1</v>
      </c>
      <c r="K622" s="22">
        <f>SUMIFS(Таблица1[сумма],Таблица1[коэф],"1",Таблица1[р/р],"2/8",Таблица1[Ф. И. О.],B627)</f>
        <v>0</v>
      </c>
      <c r="L622" s="309">
        <f>ROUND(I622*J622*K622,2)</f>
        <v>0</v>
      </c>
      <c r="M622" s="24"/>
      <c r="N622" s="22">
        <v>1</v>
      </c>
      <c r="O622" s="22">
        <f>SUMIFS(Data_Tech!$AM$3:$AM$67,Data_Tech!$E$3:$E$67,"1",Data_Tech!$G$3:$G$67,"3/12",Data_Tech!$F$3:$F$67,B627)</f>
        <v>0</v>
      </c>
      <c r="P622" s="282">
        <f>ROUND(M622*N622*O622,2)</f>
        <v>0</v>
      </c>
      <c r="Q622" s="621">
        <f>IF(D622&lt;=3,база!$L$4,
IF(D622=4,база!$L$5,
IF(D622=5,база!$L$6)))</f>
        <v>210.57480000000001</v>
      </c>
      <c r="R622" s="271">
        <v>1</v>
      </c>
      <c r="S622" s="97">
        <f>SUMIFS(Таблица1[сумма],Таблица1[коэф],"1",Таблица1[р/р],"3/16",Таблица1[Ф. И. О.],B627)</f>
        <v>0</v>
      </c>
      <c r="T622" s="103">
        <f t="shared" ref="T622:T626" si="384">ROUND(Q622*R622*S622,2)</f>
        <v>0</v>
      </c>
      <c r="U622" s="82">
        <f>IF(D622&lt;=3,база!$M$4,
IF(D622=4,база!$M$5,
IF(D622=5,база!$M$6)))</f>
        <v>225.09719999999999</v>
      </c>
      <c r="V622" s="271">
        <v>1</v>
      </c>
      <c r="W622" s="97">
        <f>SUMIFS(Таблица1[сумма],Таблица1[коэф],"1",Таблица1[р/р],"3/24",Таблица1[Ф. И. О.],B627)</f>
        <v>0</v>
      </c>
      <c r="X622" s="103">
        <f>ROUND(U622*V622*W622,2)</f>
        <v>0</v>
      </c>
      <c r="Y622" s="837">
        <f t="shared" ref="Y622" si="385">SUM(G622:G632,K622:K632,O622:O632,S622:S632,W622:W632)</f>
        <v>0</v>
      </c>
      <c r="Z622" s="853">
        <f t="shared" ref="Z622" si="386">IFERROR(SUM(H622:H632,L622:L632,T622:T632,X622:X632),"")</f>
        <v>0</v>
      </c>
      <c r="AA622" s="842"/>
    </row>
    <row r="623" spans="1:30">
      <c r="A623" s="786"/>
      <c r="B623" s="620"/>
      <c r="C623" s="845"/>
      <c r="D623" s="847"/>
      <c r="E623" s="75">
        <f>IF(D622&lt;=3,база!$I$4,
IF(D622=4,база!$I$5,
IF(D622=5,база!$I$6)))</f>
        <v>188.7912</v>
      </c>
      <c r="F623" s="271">
        <v>1</v>
      </c>
      <c r="G623" s="89">
        <f>SUMIFS(Таблица1[сумма],Таблица1[коэф],"1",Таблица1[р/р],"3/4",Таблица1[Ф. И. О.],B627)</f>
        <v>0</v>
      </c>
      <c r="H623" s="103">
        <f>ROUND(E623*F623*G623,2)</f>
        <v>0</v>
      </c>
      <c r="I623" s="24">
        <f>IF(D622&lt;=3,база!$J$4,
IF(D622=4,база!$J$5,
IF(D622=5,база!$J$6)))</f>
        <v>196.05240000000001</v>
      </c>
      <c r="J623" s="278">
        <v>1</v>
      </c>
      <c r="K623" s="22"/>
      <c r="L623" s="309">
        <f>ROUND(I623*J623*K623,2)</f>
        <v>0</v>
      </c>
      <c r="M623" s="24"/>
      <c r="N623" s="22">
        <v>1</v>
      </c>
      <c r="O623" s="22">
        <f>SUMIFS(Data_Tech!$AM$3:$AM$67,Data_Tech!$E$3:$E$67,"1",Data_Tech!$G$3:$G$67,"4/12",Data_Tech!$F$3:$F$67,B627)</f>
        <v>0</v>
      </c>
      <c r="P623" s="282">
        <f>ROUND(M623*O623,2)</f>
        <v>0</v>
      </c>
      <c r="Q623" s="621">
        <f>база!$L$5</f>
        <v>231.45480000000001</v>
      </c>
      <c r="R623" s="271">
        <v>1</v>
      </c>
      <c r="S623" s="97">
        <f>SUMIFS(Таблица1[сумма],Таблица1[коэф],"1",Таблица1[р/р],"4/16",Таблица1[Ф. И. О.],B627)</f>
        <v>0</v>
      </c>
      <c r="T623" s="103">
        <f t="shared" si="384"/>
        <v>0</v>
      </c>
      <c r="U623" s="82">
        <f>база!$M$5</f>
        <v>247.41720000000001</v>
      </c>
      <c r="V623" s="271">
        <v>1</v>
      </c>
      <c r="W623" s="97">
        <f>SUMIFS(Таблица1[сумма],Таблица1[коэф],"1",Таблица1[р/р],"4/24",Таблица1[Ф. И. О.],B627)</f>
        <v>0</v>
      </c>
      <c r="X623" s="103">
        <f t="shared" ref="X623" si="387">ROUND(U623*V623*W623,2)</f>
        <v>0</v>
      </c>
      <c r="Y623" s="838"/>
      <c r="Z623" s="840"/>
      <c r="AA623" s="843"/>
    </row>
    <row r="624" spans="1:30">
      <c r="A624" s="786"/>
      <c r="B624" s="620"/>
      <c r="C624" s="845"/>
      <c r="D624" s="847"/>
      <c r="E624" s="75"/>
      <c r="F624" s="271"/>
      <c r="G624" s="89"/>
      <c r="H624" s="103"/>
      <c r="I624" s="24"/>
      <c r="J624" s="278"/>
      <c r="K624" s="22"/>
      <c r="L624" s="309"/>
      <c r="M624" s="24"/>
      <c r="N624" s="22"/>
      <c r="O624" s="22"/>
      <c r="P624" s="282"/>
      <c r="Q624" s="621">
        <f>база!$L$6</f>
        <v>261.04640000000001</v>
      </c>
      <c r="R624" s="271">
        <v>1</v>
      </c>
      <c r="S624" s="97">
        <f>SUMIFS(Таблица1[сумма],Таблица1[коэф],"1",Таблица1[р/р],"5/16",Таблица1[Ф. И. О.],B627)</f>
        <v>0</v>
      </c>
      <c r="T624" s="103">
        <f t="shared" si="384"/>
        <v>0</v>
      </c>
      <c r="U624" s="82">
        <f>база!$M$6</f>
        <v>279.0496</v>
      </c>
      <c r="V624" s="271">
        <v>1</v>
      </c>
      <c r="W624" s="97">
        <f>SUMIFS(Таблица1[сумма],Таблица1[коэф],"1",Таблица1[р/р],"5/24",Таблица1[Ф. И. О.],B627)</f>
        <v>0</v>
      </c>
      <c r="X624" s="103">
        <f>ROUND(U624*V624*W624,2)</f>
        <v>0</v>
      </c>
      <c r="Y624" s="838"/>
      <c r="Z624" s="840"/>
      <c r="AA624" s="843"/>
    </row>
    <row r="625" spans="1:30">
      <c r="A625" s="786"/>
      <c r="B625" s="620"/>
      <c r="C625" s="845"/>
      <c r="D625" s="847"/>
      <c r="E625" s="75"/>
      <c r="F625" s="271"/>
      <c r="G625" s="89"/>
      <c r="H625" s="103"/>
      <c r="I625" s="24">
        <f>база!$J$5</f>
        <v>215.4924</v>
      </c>
      <c r="J625" s="278">
        <v>1.5</v>
      </c>
      <c r="K625" s="22">
        <f>SUMIFS(Таблица1[сумма],Таблица1[коэф],"1,5",Таблица1[р/р],"4/8",Таблица1[Ф. И. О.],B627)</f>
        <v>0</v>
      </c>
      <c r="L625" s="309">
        <f>ROUND(I625*J625*K625,2)</f>
        <v>0</v>
      </c>
      <c r="M625" s="24"/>
      <c r="N625" s="22"/>
      <c r="O625" s="22"/>
      <c r="P625" s="282"/>
      <c r="Q625" s="621">
        <f>IF(D622&lt;=3,база!$L$4,
IF(D622=4,база!$L$5,
IF(D622=5,база!$L$6)))</f>
        <v>210.57480000000001</v>
      </c>
      <c r="R625" s="271">
        <v>1.2</v>
      </c>
      <c r="S625" s="97">
        <f>SUMIFS(Таблица1[сумма],Таблица1[коэф],"1,2",Таблица1[р/р],"3/16",Таблица1[Ф. И. О.],B627)</f>
        <v>0</v>
      </c>
      <c r="T625" s="103">
        <f t="shared" si="384"/>
        <v>0</v>
      </c>
      <c r="U625" s="82">
        <f>IF(D622&lt;=3,база!$M$4,
IF(D622=4,база!$M$5,
IF(D622=5,база!$M$6)))</f>
        <v>225.09719999999999</v>
      </c>
      <c r="V625" s="271">
        <v>1.2</v>
      </c>
      <c r="W625" s="97">
        <f>SUMIFS(Таблица1[сумма],Таблица1[коэф],"1,2",Таблица1[р/р],"3/24",Таблица1[Ф. И. О.],B627)</f>
        <v>0</v>
      </c>
      <c r="X625" s="103">
        <f t="shared" ref="X625:X626" si="388">ROUND(U625*V625*W625,2)</f>
        <v>0</v>
      </c>
      <c r="Y625" s="838"/>
      <c r="Z625" s="840"/>
      <c r="AA625" s="843"/>
    </row>
    <row r="626" spans="1:30">
      <c r="A626" s="786"/>
      <c r="B626" s="620"/>
      <c r="C626" s="845"/>
      <c r="D626" s="847"/>
      <c r="E626" s="75"/>
      <c r="F626" s="271"/>
      <c r="G626" s="89"/>
      <c r="H626" s="103"/>
      <c r="I626" s="24">
        <f>база!$J$6</f>
        <v>243.04319999999998</v>
      </c>
      <c r="J626" s="278">
        <v>1.5</v>
      </c>
      <c r="K626" s="22">
        <f>SUMIFS(Таблица1[сумма],Таблица1[коэф],"1,5",Таблица1[р/р],"5/8",Таблица1[Ф. И. О.],B627)</f>
        <v>0</v>
      </c>
      <c r="L626" s="309">
        <f>ROUND(I626*J626*K626,2)</f>
        <v>0</v>
      </c>
      <c r="M626" s="24"/>
      <c r="N626" s="22"/>
      <c r="O626" s="22"/>
      <c r="P626" s="282"/>
      <c r="Q626" s="621">
        <f>база!$L$5</f>
        <v>231.45480000000001</v>
      </c>
      <c r="R626" s="271">
        <v>1.2</v>
      </c>
      <c r="S626" s="97">
        <f>SUMIFS(Таблица1[сумма],Таблица1[коэф],"1,2",Таблица1[р/р],"4/16",Таблица1[Ф. И. О.],B627)</f>
        <v>0</v>
      </c>
      <c r="T626" s="103">
        <f t="shared" si="384"/>
        <v>0</v>
      </c>
      <c r="U626" s="82">
        <f>база!$M$5</f>
        <v>247.41720000000001</v>
      </c>
      <c r="V626" s="271">
        <v>1.2</v>
      </c>
      <c r="W626" s="97">
        <f>SUMIFS(Таблица1[сумма],Таблица1[коэф],"1,2",Таблица1[р/р],"4/24",Таблица1[Ф. И. О.],B627)</f>
        <v>0</v>
      </c>
      <c r="X626" s="103">
        <f t="shared" si="388"/>
        <v>0</v>
      </c>
      <c r="Y626" s="838"/>
      <c r="Z626" s="840"/>
      <c r="AA626" s="843"/>
      <c r="AC626" s="722" t="str">
        <f>IF(SUMIFS(Таблица1[Столбец2],Таблица1[Ф. И. О.],B627)-Z622=0,"",SUMIFS(Таблица1[Столбец2],Таблица1[Ф. И. О.],B627)-Z622)</f>
        <v/>
      </c>
    </row>
    <row r="627" spans="1:30">
      <c r="A627" s="786"/>
      <c r="B627" s="620" t="str">
        <f>база!B58</f>
        <v>Новикова Александра Владимировна</v>
      </c>
      <c r="C627" s="845"/>
      <c r="D627" s="847"/>
      <c r="E627" s="75"/>
      <c r="F627" s="271"/>
      <c r="G627" s="89"/>
      <c r="H627" s="103"/>
      <c r="I627" s="24"/>
      <c r="J627" s="278"/>
      <c r="K627" s="22"/>
      <c r="L627" s="309"/>
      <c r="M627" s="24"/>
      <c r="N627" s="22"/>
      <c r="O627" s="22"/>
      <c r="P627" s="282"/>
      <c r="Q627" s="621">
        <f>база!$L$6</f>
        <v>261.04640000000001</v>
      </c>
      <c r="R627" s="271">
        <v>1.2</v>
      </c>
      <c r="S627" s="97">
        <f>SUMIFS(Таблица1[сумма],Таблица1[коэф],"1,2",Таблица1[р/р],"5/16",Таблица1[Ф. И. О.],B627)</f>
        <v>0</v>
      </c>
      <c r="T627" s="103">
        <f>ROUND(Q627*R627*S627,2)</f>
        <v>0</v>
      </c>
      <c r="U627" s="82">
        <f>база!$M$6</f>
        <v>279.0496</v>
      </c>
      <c r="V627" s="271">
        <v>1.2</v>
      </c>
      <c r="W627" s="97">
        <f>SUMIFS(Таблица1[сумма],Таблица1[коэф],"1,2",Таблица1[р/р],"5/24",Таблица1[Ф. И. О.],B627)</f>
        <v>0</v>
      </c>
      <c r="X627" s="103">
        <f>ROUND(U627*V627*W627,2)</f>
        <v>0</v>
      </c>
      <c r="Y627" s="838"/>
      <c r="Z627" s="840"/>
      <c r="AA627" s="843"/>
      <c r="AC627" s="722" t="str">
        <f>IF(SUMIFS(Таблица1[сумма],Таблица1[Ф. И. О.],B627)=Y622,"",B622&amp;"  часы не верны")</f>
        <v/>
      </c>
      <c r="AD627" s="759">
        <f>INDEX('[2]декабрь 23'!$AI$4:$AI$100,MATCH(C622,'[2]декабрь 23'!$AK$4:$AK$100,0))</f>
        <v>144</v>
      </c>
    </row>
    <row r="628" spans="1:30">
      <c r="A628" s="786"/>
      <c r="B628" s="620"/>
      <c r="C628" s="845"/>
      <c r="D628" s="847"/>
      <c r="E628" s="75"/>
      <c r="F628" s="271"/>
      <c r="G628" s="89"/>
      <c r="H628" s="103"/>
      <c r="I628" s="24"/>
      <c r="J628" s="278"/>
      <c r="K628" s="22"/>
      <c r="L628" s="309"/>
      <c r="M628" s="24"/>
      <c r="N628" s="22"/>
      <c r="O628" s="22"/>
      <c r="P628" s="282"/>
      <c r="Q628" s="621">
        <f>IF($D$6&lt;=3,база!$L$4,
IF($D$6=4,база!$L$5,
IF($D$6=5,база!$L$6)))</f>
        <v>231.45480000000001</v>
      </c>
      <c r="R628" s="271">
        <v>1.3</v>
      </c>
      <c r="S628" s="97">
        <f>SUMIFS(Таблица1[сумма],Таблица1[коэф],"1,3",Таблица1[р/р],"3/16",Таблица1[Ф. И. О.],B627)</f>
        <v>0</v>
      </c>
      <c r="T628" s="103">
        <f t="shared" ref="T628:T629" si="389">ROUND(Q628*R628*S628,2)</f>
        <v>0</v>
      </c>
      <c r="U628" s="82">
        <f>IF(D622&lt;=3,база!$M$4,
IF(D622=4,база!$M$5,
IF(D622=5,база!$M$6)))</f>
        <v>225.09719999999999</v>
      </c>
      <c r="V628" s="271">
        <v>1.3</v>
      </c>
      <c r="W628" s="97">
        <f>SUMIFS(Таблица1[сумма],Таблица1[коэф],"1,3",Таблица1[р/р],"3/24",Таблица1[Ф. И. О.],B627)</f>
        <v>0</v>
      </c>
      <c r="X628" s="103">
        <f t="shared" ref="X628:X629" si="390">ROUND(U628*V628*W628,2)</f>
        <v>0</v>
      </c>
      <c r="Y628" s="838"/>
      <c r="Z628" s="840"/>
      <c r="AA628" s="843"/>
    </row>
    <row r="629" spans="1:30">
      <c r="A629" s="786"/>
      <c r="B629" s="620"/>
      <c r="C629" s="845"/>
      <c r="D629" s="847"/>
      <c r="E629" s="75"/>
      <c r="F629" s="271"/>
      <c r="G629" s="89"/>
      <c r="H629" s="103"/>
      <c r="I629" s="24"/>
      <c r="J629" s="278"/>
      <c r="K629" s="22"/>
      <c r="L629" s="309"/>
      <c r="M629" s="24"/>
      <c r="N629" s="22"/>
      <c r="O629" s="22"/>
      <c r="P629" s="282"/>
      <c r="Q629" s="621">
        <f>база!$L$5</f>
        <v>231.45480000000001</v>
      </c>
      <c r="R629" s="271">
        <v>1.3</v>
      </c>
      <c r="S629" s="97">
        <f>SUMIFS(Таблица1[сумма],Таблица1[коэф],"1,3",Таблица1[р/р],"4/16",Таблица1[Ф. И. О.],B627)</f>
        <v>0</v>
      </c>
      <c r="T629" s="103">
        <f t="shared" si="389"/>
        <v>0</v>
      </c>
      <c r="U629" s="82">
        <f>база!$M$5</f>
        <v>247.41720000000001</v>
      </c>
      <c r="V629" s="271">
        <v>1.3</v>
      </c>
      <c r="W629" s="97">
        <f>SUMIFS(Таблица1[сумма],Таблица1[коэф],"1,3",Таблица1[р/р],"4/24",Таблица1[Ф. И. О.],B627)</f>
        <v>0</v>
      </c>
      <c r="X629" s="103">
        <f t="shared" si="390"/>
        <v>0</v>
      </c>
      <c r="Y629" s="838"/>
      <c r="Z629" s="840"/>
      <c r="AA629" s="843"/>
    </row>
    <row r="630" spans="1:30">
      <c r="A630" s="786"/>
      <c r="B630" s="620"/>
      <c r="C630" s="845"/>
      <c r="D630" s="847"/>
      <c r="E630" s="75"/>
      <c r="F630" s="271"/>
      <c r="G630" s="89"/>
      <c r="H630" s="103"/>
      <c r="I630" s="24"/>
      <c r="J630" s="278"/>
      <c r="K630" s="22"/>
      <c r="L630" s="309"/>
      <c r="M630" s="24"/>
      <c r="N630" s="22"/>
      <c r="O630" s="22"/>
      <c r="P630" s="282"/>
      <c r="Q630" s="621">
        <f>IF(D622&lt;=3,база!$L$4,
IF(D622=4,база!$L$5,
IF(D622=5,база!$L$6)))</f>
        <v>210.57480000000001</v>
      </c>
      <c r="R630" s="271">
        <v>1.4</v>
      </c>
      <c r="S630" s="97">
        <f>SUMIFS(Таблица1[сумма],Таблица1[коэф],"1,4",Таблица1[р/р],"3/16",Таблица1[Ф. И. О.],B627)</f>
        <v>0</v>
      </c>
      <c r="T630" s="103">
        <f>ROUND(Q630*R630*S630,2)</f>
        <v>0</v>
      </c>
      <c r="U630" s="82">
        <f>IF(D622&lt;=3,база!$M$4,
IF(D622=4,база!$M$5,
IF(D622=5,база!$M$6)))</f>
        <v>225.09719999999999</v>
      </c>
      <c r="V630" s="271">
        <v>1.4</v>
      </c>
      <c r="W630" s="97">
        <f>SUMIFS(Таблица1[сумма],Таблица1[коэф],"1,4",Таблица1[р/р],"3/24",Таблица1[Ф. И. О.],B627)</f>
        <v>0</v>
      </c>
      <c r="X630" s="103">
        <f>ROUND(U630*V630*W630,2)</f>
        <v>0</v>
      </c>
      <c r="Y630" s="838"/>
      <c r="Z630" s="840"/>
      <c r="AA630" s="843"/>
    </row>
    <row r="631" spans="1:30">
      <c r="A631" s="786"/>
      <c r="B631" s="620"/>
      <c r="C631" s="845"/>
      <c r="D631" s="847"/>
      <c r="E631" s="85"/>
      <c r="F631" s="273"/>
      <c r="G631" s="630"/>
      <c r="H631" s="90"/>
      <c r="I631" s="67"/>
      <c r="J631" s="631"/>
      <c r="K631" s="59"/>
      <c r="L631" s="325"/>
      <c r="M631" s="67"/>
      <c r="N631" s="59"/>
      <c r="O631" s="59"/>
      <c r="P631" s="283"/>
      <c r="Q631" s="632">
        <f>база!$L$5</f>
        <v>231.45480000000001</v>
      </c>
      <c r="R631" s="273">
        <v>1.4</v>
      </c>
      <c r="S631" s="101">
        <f>SUMIFS(Таблица1[сумма],Таблица1[коэф],"1,4",Таблица1[р/р],"4/16",Таблица1[Ф. И. О.],B627)</f>
        <v>0</v>
      </c>
      <c r="T631" s="90">
        <f>ROUND(Q631*R631*S631,2)</f>
        <v>0</v>
      </c>
      <c r="U631" s="106">
        <f>база!$M$5</f>
        <v>247.41720000000001</v>
      </c>
      <c r="V631" s="273">
        <v>1.4</v>
      </c>
      <c r="W631" s="101">
        <f>SUMIFS(Таблица1[сумма],Таблица1[коэф],"1,4",Таблица1[р/р],"4/24",Таблица1[Ф. И. О.],B627)</f>
        <v>0</v>
      </c>
      <c r="X631" s="90">
        <f>ROUND(U631*V631*W631,2)</f>
        <v>0</v>
      </c>
      <c r="Y631" s="838"/>
      <c r="Z631" s="840"/>
      <c r="AA631" s="843"/>
    </row>
    <row r="632" spans="1:30" ht="24" thickBot="1">
      <c r="A632" s="787"/>
      <c r="B632" s="352"/>
      <c r="C632" s="846"/>
      <c r="D632" s="848"/>
      <c r="E632" s="77"/>
      <c r="F632" s="276"/>
      <c r="G632" s="622"/>
      <c r="H632" s="94"/>
      <c r="I632" s="623"/>
      <c r="J632" s="596"/>
      <c r="K632" s="624"/>
      <c r="L632" s="328"/>
      <c r="M632" s="623"/>
      <c r="N632" s="624"/>
      <c r="O632" s="624"/>
      <c r="P632" s="290"/>
      <c r="Q632" s="625">
        <f>база!$L$6</f>
        <v>261.04640000000001</v>
      </c>
      <c r="R632" s="276">
        <v>1.4</v>
      </c>
      <c r="S632" s="100">
        <f>SUMIFS(Таблица1[сумма],Таблица1[коэф],"1,4",Таблица1[р/р],"5/16",Таблица1[Ф. И. О.],B627)</f>
        <v>0</v>
      </c>
      <c r="T632" s="94">
        <f>ROUND(Q632*R632*S632,2)</f>
        <v>0</v>
      </c>
      <c r="U632" s="84">
        <f>база!$M$6</f>
        <v>279.0496</v>
      </c>
      <c r="V632" s="276">
        <v>1.4</v>
      </c>
      <c r="W632" s="100">
        <f>SUMIFS(Таблица1[сумма],Таблица1[коэф],"1,4",Таблица1[р/р],"5/24",Таблица1[Ф. И. О.],B627)</f>
        <v>0</v>
      </c>
      <c r="X632" s="94">
        <f>ROUND(U632*V632*W632,2)</f>
        <v>0</v>
      </c>
      <c r="Y632" s="839"/>
      <c r="Z632" s="841"/>
      <c r="AA632" s="844"/>
    </row>
    <row r="633" spans="1:30" ht="20.25" customHeight="1">
      <c r="A633" s="785">
        <v>58</v>
      </c>
      <c r="B633" s="620"/>
      <c r="C633" s="851">
        <f>INDEX(база!$E$2:$E$181, MATCH(B638,база!$B$2:$B$160,0))</f>
        <v>16950</v>
      </c>
      <c r="D633" s="852">
        <f>INDEX(база!$D$2:$D$189, MATCH(B638,база!$B$2:$B$160,0))</f>
        <v>3</v>
      </c>
      <c r="E633" s="75">
        <f>IF(D633&lt;=3,база!$I$4,
IF(D633=4,база!$I$5,
IF(D633=5,база!$I$6)))</f>
        <v>188.7912</v>
      </c>
      <c r="F633" s="271">
        <v>1</v>
      </c>
      <c r="G633" s="89">
        <f>SUMIFS(Таблица1[сумма],Таблица1[коэф],"1",Таблица1[р/р],"2/4",Таблица1[Ф. И. О.],B638)</f>
        <v>0</v>
      </c>
      <c r="H633" s="103">
        <f>ROUND(E633*F633*G633,2)</f>
        <v>0</v>
      </c>
      <c r="I633" s="24">
        <f>IF(D633&lt;=3,база!$J$4,
IF(D633=4,база!$J$5,
IF(D633=5,база!$J$6)))</f>
        <v>196.05240000000001</v>
      </c>
      <c r="J633" s="278">
        <v>1</v>
      </c>
      <c r="K633" s="22">
        <f>SUMIFS(Таблица1[сумма],Таблица1[коэф],"1",Таблица1[р/р],"2/8",Таблица1[Ф. И. О.],B638)</f>
        <v>0</v>
      </c>
      <c r="L633" s="309">
        <f>ROUND(I633*J633*K633,2)</f>
        <v>0</v>
      </c>
      <c r="M633" s="24"/>
      <c r="N633" s="22">
        <v>1</v>
      </c>
      <c r="O633" s="22">
        <f>SUMIFS(Data_Tech!$AM$3:$AM$67,Data_Tech!$E$3:$E$67,"1",Data_Tech!$G$3:$G$67,"3/12",Data_Tech!$F$3:$F$67,B638)</f>
        <v>0</v>
      </c>
      <c r="P633" s="282">
        <f>ROUND(M633*N633*O633,2)</f>
        <v>0</v>
      </c>
      <c r="Q633" s="621">
        <f>IF(D633&lt;=3,база!$L$4,
IF(D633=4,база!$L$5,
IF(D633=5,база!$L$6)))</f>
        <v>210.57480000000001</v>
      </c>
      <c r="R633" s="271">
        <v>1</v>
      </c>
      <c r="S633" s="97">
        <f>SUMIFS(Таблица1[сумма],Таблица1[коэф],"1",Таблица1[р/р],"3/16",Таблица1[Ф. И. О.],B638)</f>
        <v>0</v>
      </c>
      <c r="T633" s="103">
        <f t="shared" ref="T633:T637" si="391">ROUND(Q633*R633*S633,2)</f>
        <v>0</v>
      </c>
      <c r="U633" s="82">
        <f>IF(D633&lt;=3,база!$M$4,
IF(D633=4,база!$M$5,
IF(D633=5,база!$M$6)))</f>
        <v>225.09719999999999</v>
      </c>
      <c r="V633" s="271">
        <v>1</v>
      </c>
      <c r="W633" s="97">
        <f>SUMIFS(Таблица1[сумма],Таблица1[коэф],"1",Таблица1[р/р],"3/24",Таблица1[Ф. И. О.],B638)</f>
        <v>0</v>
      </c>
      <c r="X633" s="103">
        <f>ROUND(U633*V633*W633,2)</f>
        <v>0</v>
      </c>
      <c r="Y633" s="837">
        <f t="shared" ref="Y633" si="392">SUM(G633:G643,K633:K643,O633:O643,S633:S643,W633:W643)</f>
        <v>0</v>
      </c>
      <c r="Z633" s="853">
        <f t="shared" ref="Z633" si="393">IFERROR(SUM(H633:H643,L633:L643,T633:T643,X633:X643),"")</f>
        <v>0</v>
      </c>
      <c r="AA633" s="842"/>
    </row>
    <row r="634" spans="1:30">
      <c r="A634" s="786"/>
      <c r="B634" s="620"/>
      <c r="C634" s="845"/>
      <c r="D634" s="847"/>
      <c r="E634" s="75">
        <f>IF(D633&lt;=3,база!$I$4,
IF(D633=4,база!$I$5,
IF(D633=5,база!$I$6)))</f>
        <v>188.7912</v>
      </c>
      <c r="F634" s="271">
        <v>1</v>
      </c>
      <c r="G634" s="89">
        <f>SUMIFS(Таблица1[сумма],Таблица1[коэф],"1",Таблица1[р/р],"3/4",Таблица1[Ф. И. О.],B638)</f>
        <v>0</v>
      </c>
      <c r="H634" s="103">
        <f>ROUND(E634*F634*G634,2)</f>
        <v>0</v>
      </c>
      <c r="I634" s="24">
        <f>IF(D633&lt;=3,база!$J$4,
IF(D633=4,база!$J$5,
IF(D633=5,база!$J$6)))</f>
        <v>196.05240000000001</v>
      </c>
      <c r="J634" s="278">
        <v>1</v>
      </c>
      <c r="K634" s="22"/>
      <c r="L634" s="309">
        <f>ROUND(I634*J634*K634,2)</f>
        <v>0</v>
      </c>
      <c r="M634" s="24"/>
      <c r="N634" s="22">
        <v>1</v>
      </c>
      <c r="O634" s="22">
        <f>SUMIFS(Data_Tech!$AM$3:$AM$67,Data_Tech!$E$3:$E$67,"1",Data_Tech!$G$3:$G$67,"4/12",Data_Tech!$F$3:$F$67,B638)</f>
        <v>0</v>
      </c>
      <c r="P634" s="282">
        <f>ROUND(M634*O634,2)</f>
        <v>0</v>
      </c>
      <c r="Q634" s="621">
        <f>база!$L$5</f>
        <v>231.45480000000001</v>
      </c>
      <c r="R634" s="271">
        <v>1</v>
      </c>
      <c r="S634" s="97">
        <f>SUMIFS(Таблица1[сумма],Таблица1[коэф],"1",Таблица1[р/р],"4/16",Таблица1[Ф. И. О.],B638)</f>
        <v>0</v>
      </c>
      <c r="T634" s="103">
        <f t="shared" si="391"/>
        <v>0</v>
      </c>
      <c r="U634" s="82">
        <f>база!$M$5</f>
        <v>247.41720000000001</v>
      </c>
      <c r="V634" s="271">
        <v>1</v>
      </c>
      <c r="W634" s="97">
        <f>SUMIFS(Таблица1[сумма],Таблица1[коэф],"1",Таблица1[р/р],"4/24",Таблица1[Ф. И. О.],B638)</f>
        <v>0</v>
      </c>
      <c r="X634" s="103">
        <f t="shared" ref="X634" si="394">ROUND(U634*V634*W634,2)</f>
        <v>0</v>
      </c>
      <c r="Y634" s="838"/>
      <c r="Z634" s="840"/>
      <c r="AA634" s="843"/>
    </row>
    <row r="635" spans="1:30">
      <c r="A635" s="786"/>
      <c r="B635" s="620"/>
      <c r="C635" s="845"/>
      <c r="D635" s="847"/>
      <c r="E635" s="75"/>
      <c r="F635" s="271"/>
      <c r="G635" s="89"/>
      <c r="H635" s="103"/>
      <c r="I635" s="24"/>
      <c r="J635" s="278"/>
      <c r="K635" s="22"/>
      <c r="L635" s="309"/>
      <c r="M635" s="24"/>
      <c r="N635" s="22"/>
      <c r="O635" s="22"/>
      <c r="P635" s="282"/>
      <c r="Q635" s="621">
        <f>база!$L$6</f>
        <v>261.04640000000001</v>
      </c>
      <c r="R635" s="271">
        <v>1</v>
      </c>
      <c r="S635" s="97">
        <f>SUMIFS(Таблица1[сумма],Таблица1[коэф],"1",Таблица1[р/р],"5/16",Таблица1[Ф. И. О.],B638)</f>
        <v>0</v>
      </c>
      <c r="T635" s="103">
        <f t="shared" si="391"/>
        <v>0</v>
      </c>
      <c r="U635" s="82">
        <f>база!$M$6</f>
        <v>279.0496</v>
      </c>
      <c r="V635" s="271">
        <v>1</v>
      </c>
      <c r="W635" s="97">
        <f>SUMIFS(Таблица1[сумма],Таблица1[коэф],"1",Таблица1[р/р],"5/24",Таблица1[Ф. И. О.],B638)</f>
        <v>0</v>
      </c>
      <c r="X635" s="103">
        <f>ROUND(U635*V635*W635,2)</f>
        <v>0</v>
      </c>
      <c r="Y635" s="838"/>
      <c r="Z635" s="840"/>
      <c r="AA635" s="843"/>
    </row>
    <row r="636" spans="1:30">
      <c r="A636" s="786"/>
      <c r="B636" s="620"/>
      <c r="C636" s="845"/>
      <c r="D636" s="847"/>
      <c r="E636" s="75"/>
      <c r="F636" s="271"/>
      <c r="G636" s="89"/>
      <c r="H636" s="103"/>
      <c r="I636" s="24">
        <f>база!$J$5</f>
        <v>215.4924</v>
      </c>
      <c r="J636" s="278">
        <v>1.5</v>
      </c>
      <c r="K636" s="22">
        <f>SUMIFS(Таблица1[сумма],Таблица1[коэф],"1,5",Таблица1[р/р],"4/8",Таблица1[Ф. И. О.],B638)</f>
        <v>0</v>
      </c>
      <c r="L636" s="309">
        <f>ROUND(I636*J636*K636,2)</f>
        <v>0</v>
      </c>
      <c r="M636" s="24"/>
      <c r="N636" s="22"/>
      <c r="O636" s="22"/>
      <c r="P636" s="282"/>
      <c r="Q636" s="621">
        <f>IF(D633&lt;=3,база!$L$4,
IF(D633=4,база!$L$5,
IF(D633=5,база!$L$6)))</f>
        <v>210.57480000000001</v>
      </c>
      <c r="R636" s="271">
        <v>1.2</v>
      </c>
      <c r="S636" s="97">
        <f>SUMIFS(Таблица1[сумма],Таблица1[коэф],"1,2",Таблица1[р/р],"3/16",Таблица1[Ф. И. О.],B638)</f>
        <v>0</v>
      </c>
      <c r="T636" s="103">
        <f t="shared" si="391"/>
        <v>0</v>
      </c>
      <c r="U636" s="82">
        <f>IF(D633&lt;=3,база!$M$4,
IF(D633=4,база!$M$5,
IF(D633=5,база!$M$6)))</f>
        <v>225.09719999999999</v>
      </c>
      <c r="V636" s="271">
        <v>1.2</v>
      </c>
      <c r="W636" s="97">
        <f>SUMIFS(Таблица1[сумма],Таблица1[коэф],"1,2",Таблица1[р/р],"3/24",Таблица1[Ф. И. О.],B638)</f>
        <v>0</v>
      </c>
      <c r="X636" s="103">
        <f t="shared" ref="X636:X637" si="395">ROUND(U636*V636*W636,2)</f>
        <v>0</v>
      </c>
      <c r="Y636" s="838"/>
      <c r="Z636" s="840"/>
      <c r="AA636" s="843"/>
    </row>
    <row r="637" spans="1:30">
      <c r="A637" s="786"/>
      <c r="B637" s="620"/>
      <c r="C637" s="845"/>
      <c r="D637" s="847"/>
      <c r="E637" s="75"/>
      <c r="F637" s="271"/>
      <c r="G637" s="89"/>
      <c r="H637" s="103"/>
      <c r="I637" s="24">
        <f>база!$J$6</f>
        <v>243.04319999999998</v>
      </c>
      <c r="J637" s="278">
        <v>1.5</v>
      </c>
      <c r="K637" s="22">
        <f>SUMIFS(Таблица1[сумма],Таблица1[коэф],"1,5",Таблица1[р/р],"5/8",Таблица1[Ф. И. О.],B638)</f>
        <v>0</v>
      </c>
      <c r="L637" s="309">
        <f>ROUND(I637*J637*K637,2)</f>
        <v>0</v>
      </c>
      <c r="M637" s="24"/>
      <c r="N637" s="22"/>
      <c r="O637" s="22"/>
      <c r="P637" s="282"/>
      <c r="Q637" s="621">
        <f>база!$L$5</f>
        <v>231.45480000000001</v>
      </c>
      <c r="R637" s="271">
        <v>1.2</v>
      </c>
      <c r="S637" s="97">
        <f>SUMIFS(Таблица1[сумма],Таблица1[коэф],"1,2",Таблица1[р/р],"4/16",Таблица1[Ф. И. О.],B638)</f>
        <v>0</v>
      </c>
      <c r="T637" s="103">
        <f t="shared" si="391"/>
        <v>0</v>
      </c>
      <c r="U637" s="82">
        <f>база!$M$5</f>
        <v>247.41720000000001</v>
      </c>
      <c r="V637" s="271">
        <v>1.2</v>
      </c>
      <c r="W637" s="97">
        <f>SUMIFS(Таблица1[сумма],Таблица1[коэф],"1,2",Таблица1[р/р],"4/24",Таблица1[Ф. И. О.],B638)</f>
        <v>0</v>
      </c>
      <c r="X637" s="103">
        <f t="shared" si="395"/>
        <v>0</v>
      </c>
      <c r="Y637" s="838"/>
      <c r="Z637" s="840"/>
      <c r="AA637" s="843"/>
      <c r="AC637" s="722" t="str">
        <f>IF(SUMIFS(Таблица1[Столбец2],Таблица1[Ф. И. О.],B638)-Z633=0,"",SUMIFS(Таблица1[Столбец2],Таблица1[Ф. И. О.],B638)-Z633)</f>
        <v/>
      </c>
    </row>
    <row r="638" spans="1:30">
      <c r="A638" s="786"/>
      <c r="B638" s="620" t="str">
        <f>база!B59</f>
        <v>Овчинников Глеб Эдуардович</v>
      </c>
      <c r="C638" s="845"/>
      <c r="D638" s="847"/>
      <c r="E638" s="75"/>
      <c r="F638" s="271"/>
      <c r="G638" s="89"/>
      <c r="H638" s="103"/>
      <c r="I638" s="24"/>
      <c r="J638" s="278"/>
      <c r="K638" s="22"/>
      <c r="L638" s="309"/>
      <c r="M638" s="24"/>
      <c r="N638" s="22"/>
      <c r="O638" s="22"/>
      <c r="P638" s="282"/>
      <c r="Q638" s="621">
        <f>база!$L$6</f>
        <v>261.04640000000001</v>
      </c>
      <c r="R638" s="271">
        <v>1.2</v>
      </c>
      <c r="S638" s="97">
        <f>SUMIFS(Таблица1[сумма],Таблица1[коэф],"1,2",Таблица1[р/р],"5/16",Таблица1[Ф. И. О.],B638)</f>
        <v>0</v>
      </c>
      <c r="T638" s="103">
        <f>ROUND(Q638*R638*S638,2)</f>
        <v>0</v>
      </c>
      <c r="U638" s="82">
        <f>база!$M$6</f>
        <v>279.0496</v>
      </c>
      <c r="V638" s="271">
        <v>1.2</v>
      </c>
      <c r="W638" s="97">
        <f>SUMIFS(Таблица1[сумма],Таблица1[коэф],"1,2",Таблица1[р/р],"5/24",Таблица1[Ф. И. О.],B638)</f>
        <v>0</v>
      </c>
      <c r="X638" s="103">
        <f>ROUND(U638*V638*W638,2)</f>
        <v>0</v>
      </c>
      <c r="Y638" s="838"/>
      <c r="Z638" s="840"/>
      <c r="AA638" s="843"/>
      <c r="AC638" s="722" t="str">
        <f>IF(SUMIFS(Таблица1[сумма],Таблица1[Ф. И. О.],B638)=Y633,"",B633&amp;"  часы не верны")</f>
        <v/>
      </c>
      <c r="AD638" s="759">
        <f>INDEX('[2]декабрь 23'!$AI$4:$AI$100,MATCH(C633,'[2]декабрь 23'!$AK$4:$AK$100,0))</f>
        <v>142.00000000000003</v>
      </c>
    </row>
    <row r="639" spans="1:30">
      <c r="A639" s="786"/>
      <c r="B639" s="620"/>
      <c r="C639" s="845"/>
      <c r="D639" s="847"/>
      <c r="E639" s="75"/>
      <c r="F639" s="271"/>
      <c r="G639" s="89"/>
      <c r="H639" s="103"/>
      <c r="I639" s="24"/>
      <c r="J639" s="278"/>
      <c r="K639" s="22"/>
      <c r="L639" s="309"/>
      <c r="M639" s="24"/>
      <c r="N639" s="22"/>
      <c r="O639" s="22"/>
      <c r="P639" s="282"/>
      <c r="Q639" s="621">
        <f>IF($D$6&lt;=3,база!$L$4,
IF($D$6=4,база!$L$5,
IF($D$6=5,база!$L$6)))</f>
        <v>231.45480000000001</v>
      </c>
      <c r="R639" s="271">
        <v>1.3</v>
      </c>
      <c r="S639" s="97">
        <f>SUMIFS(Таблица1[сумма],Таблица1[коэф],"1,3",Таблица1[р/р],"3/16",Таблица1[Ф. И. О.],B638)</f>
        <v>0</v>
      </c>
      <c r="T639" s="103">
        <f t="shared" ref="T639:T640" si="396">ROUND(Q639*R639*S639,2)</f>
        <v>0</v>
      </c>
      <c r="U639" s="82">
        <f>IF(D633&lt;=3,база!$M$4,
IF(D633=4,база!$M$5,
IF(D633=5,база!$M$6)))</f>
        <v>225.09719999999999</v>
      </c>
      <c r="V639" s="271">
        <v>1.3</v>
      </c>
      <c r="W639" s="97">
        <f>SUMIFS(Таблица1[сумма],Таблица1[коэф],"1,3",Таблица1[р/р],"3/24",Таблица1[Ф. И. О.],B638)</f>
        <v>0</v>
      </c>
      <c r="X639" s="103">
        <f t="shared" ref="X639:X640" si="397">ROUND(U639*V639*W639,2)</f>
        <v>0</v>
      </c>
      <c r="Y639" s="838"/>
      <c r="Z639" s="840"/>
      <c r="AA639" s="843"/>
    </row>
    <row r="640" spans="1:30">
      <c r="A640" s="786"/>
      <c r="B640" s="620"/>
      <c r="C640" s="845"/>
      <c r="D640" s="847"/>
      <c r="E640" s="75"/>
      <c r="F640" s="271"/>
      <c r="G640" s="89"/>
      <c r="H640" s="103"/>
      <c r="I640" s="24"/>
      <c r="J640" s="278"/>
      <c r="K640" s="22"/>
      <c r="L640" s="309"/>
      <c r="M640" s="24"/>
      <c r="N640" s="22"/>
      <c r="O640" s="22"/>
      <c r="P640" s="282"/>
      <c r="Q640" s="621">
        <f>база!$L$5</f>
        <v>231.45480000000001</v>
      </c>
      <c r="R640" s="271">
        <v>1.3</v>
      </c>
      <c r="S640" s="97">
        <f>SUMIFS(Таблица1[сумма],Таблица1[коэф],"1,3",Таблица1[р/р],"4/16",Таблица1[Ф. И. О.],B638)</f>
        <v>0</v>
      </c>
      <c r="T640" s="103">
        <f t="shared" si="396"/>
        <v>0</v>
      </c>
      <c r="U640" s="82">
        <f>база!$M$5</f>
        <v>247.41720000000001</v>
      </c>
      <c r="V640" s="271">
        <v>1.3</v>
      </c>
      <c r="W640" s="97">
        <f>SUMIFS(Таблица1[сумма],Таблица1[коэф],"1,3",Таблица1[р/р],"4/24",Таблица1[Ф. И. О.],B638)</f>
        <v>0</v>
      </c>
      <c r="X640" s="103">
        <f t="shared" si="397"/>
        <v>0</v>
      </c>
      <c r="Y640" s="838"/>
      <c r="Z640" s="840"/>
      <c r="AA640" s="843"/>
    </row>
    <row r="641" spans="1:30">
      <c r="A641" s="786"/>
      <c r="B641" s="620"/>
      <c r="C641" s="845"/>
      <c r="D641" s="847"/>
      <c r="E641" s="75"/>
      <c r="F641" s="271"/>
      <c r="G641" s="89"/>
      <c r="H641" s="103"/>
      <c r="I641" s="24"/>
      <c r="J641" s="278"/>
      <c r="K641" s="22"/>
      <c r="L641" s="309"/>
      <c r="M641" s="24"/>
      <c r="N641" s="22"/>
      <c r="O641" s="22"/>
      <c r="P641" s="282"/>
      <c r="Q641" s="621">
        <f>IF(D633&lt;=3,база!$L$4,
IF(D633=4,база!$L$5,
IF(D633=5,база!$L$6)))</f>
        <v>210.57480000000001</v>
      </c>
      <c r="R641" s="271">
        <v>1.4</v>
      </c>
      <c r="S641" s="97">
        <f>SUMIFS(Таблица1[сумма],Таблица1[коэф],"1,4",Таблица1[р/р],"3/16",Таблица1[Ф. И. О.],B638)</f>
        <v>0</v>
      </c>
      <c r="T641" s="103">
        <f>ROUND(Q641*R641*S641,2)</f>
        <v>0</v>
      </c>
      <c r="U641" s="82">
        <f>IF(D633&lt;=3,база!$M$4,
IF(D633=4,база!$M$5,
IF(D633=5,база!$M$6)))</f>
        <v>225.09719999999999</v>
      </c>
      <c r="V641" s="271">
        <v>1.4</v>
      </c>
      <c r="W641" s="97">
        <f>SUMIFS(Таблица1[сумма],Таблица1[коэф],"1,4",Таблица1[р/р],"3/24",Таблица1[Ф. И. О.],B638)</f>
        <v>0</v>
      </c>
      <c r="X641" s="103">
        <f>ROUND(U641*V641*W641,2)</f>
        <v>0</v>
      </c>
      <c r="Y641" s="838"/>
      <c r="Z641" s="840"/>
      <c r="AA641" s="843"/>
    </row>
    <row r="642" spans="1:30">
      <c r="A642" s="786"/>
      <c r="B642" s="620"/>
      <c r="C642" s="845"/>
      <c r="D642" s="847"/>
      <c r="E642" s="85"/>
      <c r="F642" s="273"/>
      <c r="G642" s="630"/>
      <c r="H642" s="90"/>
      <c r="I642" s="67"/>
      <c r="J642" s="631"/>
      <c r="K642" s="59"/>
      <c r="L642" s="325"/>
      <c r="M642" s="67"/>
      <c r="N642" s="59"/>
      <c r="O642" s="59"/>
      <c r="P642" s="283"/>
      <c r="Q642" s="632">
        <f>база!$L$5</f>
        <v>231.45480000000001</v>
      </c>
      <c r="R642" s="273">
        <v>1.4</v>
      </c>
      <c r="S642" s="101">
        <f>SUMIFS(Таблица1[сумма],Таблица1[коэф],"1,4",Таблица1[р/р],"4/16",Таблица1[Ф. И. О.],B638)</f>
        <v>0</v>
      </c>
      <c r="T642" s="90">
        <f>ROUND(Q642*R642*S642,2)</f>
        <v>0</v>
      </c>
      <c r="U642" s="106">
        <f>база!$M$5</f>
        <v>247.41720000000001</v>
      </c>
      <c r="V642" s="273">
        <v>1.4</v>
      </c>
      <c r="W642" s="101">
        <f>SUMIFS(Таблица1[сумма],Таблица1[коэф],"1,4",Таблица1[р/р],"4/24",Таблица1[Ф. И. О.],B638)</f>
        <v>0</v>
      </c>
      <c r="X642" s="90">
        <f>ROUND(U642*V642*W642,2)</f>
        <v>0</v>
      </c>
      <c r="Y642" s="838"/>
      <c r="Z642" s="840"/>
      <c r="AA642" s="843"/>
    </row>
    <row r="643" spans="1:30" ht="24" thickBot="1">
      <c r="A643" s="787"/>
      <c r="B643" s="352"/>
      <c r="C643" s="846"/>
      <c r="D643" s="848"/>
      <c r="E643" s="77"/>
      <c r="F643" s="276"/>
      <c r="G643" s="622"/>
      <c r="H643" s="94"/>
      <c r="I643" s="623"/>
      <c r="J643" s="596"/>
      <c r="K643" s="624"/>
      <c r="L643" s="328"/>
      <c r="M643" s="623"/>
      <c r="N643" s="624"/>
      <c r="O643" s="624"/>
      <c r="P643" s="290"/>
      <c r="Q643" s="625">
        <f>база!$L$6</f>
        <v>261.04640000000001</v>
      </c>
      <c r="R643" s="276">
        <v>1.4</v>
      </c>
      <c r="S643" s="100">
        <f>SUMIFS(Таблица1[сумма],Таблица1[коэф],"1,4",Таблица1[р/р],"5/16",Таблица1[Ф. И. О.],B638)</f>
        <v>0</v>
      </c>
      <c r="T643" s="94">
        <f>ROUND(Q643*R643*S643,2)</f>
        <v>0</v>
      </c>
      <c r="U643" s="84">
        <f>база!$M$6</f>
        <v>279.0496</v>
      </c>
      <c r="V643" s="276">
        <v>1.4</v>
      </c>
      <c r="W643" s="100">
        <f>SUMIFS(Таблица1[сумма],Таблица1[коэф],"1,4",Таблица1[р/р],"5/24",Таблица1[Ф. И. О.],B638)</f>
        <v>0</v>
      </c>
      <c r="X643" s="94">
        <f>ROUND(U643*V643*W643,2)</f>
        <v>0</v>
      </c>
      <c r="Y643" s="839"/>
      <c r="Z643" s="841"/>
      <c r="AA643" s="844"/>
    </row>
    <row r="644" spans="1:30" ht="20.25" customHeight="1">
      <c r="A644" s="785">
        <v>59</v>
      </c>
      <c r="B644" s="620"/>
      <c r="C644" s="851">
        <f>INDEX(база!$E$2:$E$181, MATCH(B649,база!$B$2:$B$160,0))</f>
        <v>16311</v>
      </c>
      <c r="D644" s="852">
        <f>INDEX(база!$D$2:$D$189, MATCH(B649,база!$B$2:$B$160,0))</f>
        <v>3</v>
      </c>
      <c r="E644" s="75">
        <f>IF(D644&lt;=3,база!$I$4,
IF(D644=4,база!$I$5,
IF(D644=5,база!$I$6)))</f>
        <v>188.7912</v>
      </c>
      <c r="F644" s="271">
        <v>1</v>
      </c>
      <c r="G644" s="89">
        <f>SUMIFS(Таблица1[сумма],Таблица1[коэф],"1",Таблица1[р/р],"2/4",Таблица1[Ф. И. О.],B649)</f>
        <v>0</v>
      </c>
      <c r="H644" s="103">
        <f>ROUND(E644*F644*G644,2)</f>
        <v>0</v>
      </c>
      <c r="I644" s="24">
        <f>IF(D644&lt;=3,база!$J$4,
IF(D644=4,база!$J$5,
IF(D644=5,база!$J$6)))</f>
        <v>196.05240000000001</v>
      </c>
      <c r="J644" s="278">
        <v>1</v>
      </c>
      <c r="K644" s="22">
        <f>SUMIFS(Таблица1[сумма],Таблица1[коэф],"1",Таблица1[р/р],"2/8",Таблица1[Ф. И. О.],B649)</f>
        <v>0</v>
      </c>
      <c r="L644" s="309">
        <f>ROUND(I644*J644*K644,2)</f>
        <v>0</v>
      </c>
      <c r="M644" s="24"/>
      <c r="N644" s="22">
        <v>1</v>
      </c>
      <c r="O644" s="22">
        <f>SUMIFS(Data_Tech!$AM$3:$AM$67,Data_Tech!$E$3:$E$67,"1",Data_Tech!$G$3:$G$67,"3/12",Data_Tech!$F$3:$F$67,B649)</f>
        <v>0</v>
      </c>
      <c r="P644" s="282">
        <f>ROUND(M644*N644*O644,2)</f>
        <v>0</v>
      </c>
      <c r="Q644" s="621">
        <f>IF(D644&lt;=3,база!$L$4,
IF(D644=4,база!$L$5,
IF(D644=5,база!$L$6)))</f>
        <v>210.57480000000001</v>
      </c>
      <c r="R644" s="271">
        <v>1</v>
      </c>
      <c r="S644" s="97">
        <f>SUMIFS(Таблица1[сумма],Таблица1[коэф],"1",Таблица1[р/р],"3/16",Таблица1[Ф. И. О.],B649)</f>
        <v>0</v>
      </c>
      <c r="T644" s="103">
        <f t="shared" ref="T644:T648" si="398">ROUND(Q644*R644*S644,2)</f>
        <v>0</v>
      </c>
      <c r="U644" s="82">
        <f>IF(D644&lt;=3,база!$M$4,
IF(D644=4,база!$M$5,
IF(D644=5,база!$M$6)))</f>
        <v>225.09719999999999</v>
      </c>
      <c r="V644" s="271">
        <v>1</v>
      </c>
      <c r="W644" s="97">
        <f>SUMIFS(Таблица1[сумма],Таблица1[коэф],"1",Таблица1[р/р],"3/24",Таблица1[Ф. И. О.],B649)</f>
        <v>0</v>
      </c>
      <c r="X644" s="103">
        <f>ROUND(U644*V644*W644,2)</f>
        <v>0</v>
      </c>
      <c r="Y644" s="837">
        <f t="shared" ref="Y644" si="399">SUM(G644:G654,K644:K654,O644:O654,S644:S654,W644:W654)</f>
        <v>0</v>
      </c>
      <c r="Z644" s="853">
        <f t="shared" ref="Z644" si="400">IFERROR(SUM(H644:H654,L644:L654,T644:T654,X644:X654),"")</f>
        <v>0</v>
      </c>
      <c r="AA644" s="842"/>
    </row>
    <row r="645" spans="1:30">
      <c r="A645" s="786"/>
      <c r="B645" s="620"/>
      <c r="C645" s="845"/>
      <c r="D645" s="847"/>
      <c r="E645" s="75">
        <f>IF(D644&lt;=3,база!$I$4,
IF(D644=4,база!$I$5,
IF(D644=5,база!$I$6)))</f>
        <v>188.7912</v>
      </c>
      <c r="F645" s="271">
        <v>1</v>
      </c>
      <c r="G645" s="89">
        <f>SUMIFS(Таблица1[сумма],Таблица1[коэф],"1",Таблица1[р/р],"3/4",Таблица1[Ф. И. О.],B649)</f>
        <v>0</v>
      </c>
      <c r="H645" s="103">
        <f>ROUND(E645*F645*G645,2)</f>
        <v>0</v>
      </c>
      <c r="I645" s="24">
        <f>IF(D644&lt;=3,база!$J$4,
IF(D644=4,база!$J$5,
IF(D644=5,база!$J$6)))</f>
        <v>196.05240000000001</v>
      </c>
      <c r="J645" s="278">
        <v>1</v>
      </c>
      <c r="K645" s="22"/>
      <c r="L645" s="309">
        <f>ROUND(I645*J645*K645,2)</f>
        <v>0</v>
      </c>
      <c r="M645" s="24"/>
      <c r="N645" s="22">
        <v>1</v>
      </c>
      <c r="O645" s="22">
        <f>SUMIFS(Data_Tech!$AM$3:$AM$67,Data_Tech!$E$3:$E$67,"1",Data_Tech!$G$3:$G$67,"4/12",Data_Tech!$F$3:$F$67,B649)</f>
        <v>0</v>
      </c>
      <c r="P645" s="282">
        <f>ROUND(M645*O645,2)</f>
        <v>0</v>
      </c>
      <c r="Q645" s="621">
        <f>база!$L$5</f>
        <v>231.45480000000001</v>
      </c>
      <c r="R645" s="271">
        <v>1</v>
      </c>
      <c r="S645" s="97">
        <f>SUMIFS(Таблица1[сумма],Таблица1[коэф],"1",Таблица1[р/р],"4/16",Таблица1[Ф. И. О.],B649)</f>
        <v>0</v>
      </c>
      <c r="T645" s="103">
        <f t="shared" si="398"/>
        <v>0</v>
      </c>
      <c r="U645" s="82">
        <f>база!$M$5</f>
        <v>247.41720000000001</v>
      </c>
      <c r="V645" s="271">
        <v>1</v>
      </c>
      <c r="W645" s="97">
        <f>SUMIFS(Таблица1[сумма],Таблица1[коэф],"1",Таблица1[р/р],"4/24",Таблица1[Ф. И. О.],B649)</f>
        <v>0</v>
      </c>
      <c r="X645" s="103">
        <f t="shared" ref="X645" si="401">ROUND(U645*V645*W645,2)</f>
        <v>0</v>
      </c>
      <c r="Y645" s="838"/>
      <c r="Z645" s="840"/>
      <c r="AA645" s="843"/>
    </row>
    <row r="646" spans="1:30">
      <c r="A646" s="786"/>
      <c r="B646" s="620"/>
      <c r="C646" s="845"/>
      <c r="D646" s="847"/>
      <c r="E646" s="75"/>
      <c r="F646" s="271"/>
      <c r="G646" s="89"/>
      <c r="H646" s="103"/>
      <c r="I646" s="24"/>
      <c r="J646" s="278"/>
      <c r="K646" s="22"/>
      <c r="L646" s="309"/>
      <c r="M646" s="24"/>
      <c r="N646" s="22"/>
      <c r="O646" s="22"/>
      <c r="P646" s="282"/>
      <c r="Q646" s="621">
        <f>база!$L$6</f>
        <v>261.04640000000001</v>
      </c>
      <c r="R646" s="271">
        <v>1</v>
      </c>
      <c r="S646" s="97">
        <f>SUMIFS(Таблица1[сумма],Таблица1[коэф],"1",Таблица1[р/р],"5/16",Таблица1[Ф. И. О.],B649)</f>
        <v>0</v>
      </c>
      <c r="T646" s="103">
        <f t="shared" si="398"/>
        <v>0</v>
      </c>
      <c r="U646" s="82">
        <f>база!$M$6</f>
        <v>279.0496</v>
      </c>
      <c r="V646" s="271">
        <v>1</v>
      </c>
      <c r="W646" s="97">
        <f>SUMIFS(Таблица1[сумма],Таблица1[коэф],"1",Таблица1[р/р],"5/24",Таблица1[Ф. И. О.],B649)</f>
        <v>0</v>
      </c>
      <c r="X646" s="103">
        <f>ROUND(U646*V646*W646,2)</f>
        <v>0</v>
      </c>
      <c r="Y646" s="838"/>
      <c r="Z646" s="840"/>
      <c r="AA646" s="843"/>
    </row>
    <row r="647" spans="1:30">
      <c r="A647" s="786"/>
      <c r="B647" s="620"/>
      <c r="C647" s="845"/>
      <c r="D647" s="847"/>
      <c r="E647" s="75"/>
      <c r="F647" s="271"/>
      <c r="G647" s="89"/>
      <c r="H647" s="103"/>
      <c r="I647" s="24">
        <f>база!$J$5</f>
        <v>215.4924</v>
      </c>
      <c r="J647" s="278">
        <v>1.5</v>
      </c>
      <c r="K647" s="22">
        <f>SUMIFS(Таблица1[сумма],Таблица1[коэф],"1,5",Таблица1[р/р],"4/8",Таблица1[Ф. И. О.],B649)</f>
        <v>0</v>
      </c>
      <c r="L647" s="309">
        <f>ROUND(I647*J647*K647,2)</f>
        <v>0</v>
      </c>
      <c r="M647" s="24"/>
      <c r="N647" s="22"/>
      <c r="O647" s="22"/>
      <c r="P647" s="282"/>
      <c r="Q647" s="621">
        <f>IF(D644&lt;=3,база!$L$4,
IF(D644=4,база!$L$5,
IF(D644=5,база!$L$6)))</f>
        <v>210.57480000000001</v>
      </c>
      <c r="R647" s="271">
        <v>1.2</v>
      </c>
      <c r="S647" s="97">
        <f>SUMIFS(Таблица1[сумма],Таблица1[коэф],"1,2",Таблица1[р/р],"3/16",Таблица1[Ф. И. О.],B649)</f>
        <v>0</v>
      </c>
      <c r="T647" s="103">
        <f t="shared" si="398"/>
        <v>0</v>
      </c>
      <c r="U647" s="82">
        <f>IF(D644&lt;=3,база!$M$4,
IF(D644=4,база!$M$5,
IF(D644=5,база!$M$6)))</f>
        <v>225.09719999999999</v>
      </c>
      <c r="V647" s="271">
        <v>1.2</v>
      </c>
      <c r="W647" s="97">
        <f>SUMIFS(Таблица1[сумма],Таблица1[коэф],"1,2",Таблица1[р/р],"3/24",Таблица1[Ф. И. О.],B649)</f>
        <v>0</v>
      </c>
      <c r="X647" s="103">
        <f t="shared" ref="X647:X648" si="402">ROUND(U647*V647*W647,2)</f>
        <v>0</v>
      </c>
      <c r="Y647" s="838"/>
      <c r="Z647" s="840"/>
      <c r="AA647" s="843"/>
    </row>
    <row r="648" spans="1:30">
      <c r="A648" s="786"/>
      <c r="B648" s="620"/>
      <c r="C648" s="845"/>
      <c r="D648" s="847"/>
      <c r="E648" s="75"/>
      <c r="F648" s="271"/>
      <c r="G648" s="89"/>
      <c r="H648" s="103"/>
      <c r="I648" s="24">
        <f>база!$J$6</f>
        <v>243.04319999999998</v>
      </c>
      <c r="J648" s="278">
        <v>1.5</v>
      </c>
      <c r="K648" s="22">
        <f>SUMIFS(Таблица1[сумма],Таблица1[коэф],"1,5",Таблица1[р/р],"5/8",Таблица1[Ф. И. О.],B649)</f>
        <v>0</v>
      </c>
      <c r="L648" s="309">
        <f>ROUND(I648*J648*K648,2)</f>
        <v>0</v>
      </c>
      <c r="M648" s="24"/>
      <c r="N648" s="22"/>
      <c r="O648" s="22"/>
      <c r="P648" s="282"/>
      <c r="Q648" s="621">
        <f>база!$L$5</f>
        <v>231.45480000000001</v>
      </c>
      <c r="R648" s="271">
        <v>1.2</v>
      </c>
      <c r="S648" s="97">
        <f>SUMIFS(Таблица1[сумма],Таблица1[коэф],"1,2",Таблица1[р/р],"4/16",Таблица1[Ф. И. О.],B649)</f>
        <v>0</v>
      </c>
      <c r="T648" s="103">
        <f t="shared" si="398"/>
        <v>0</v>
      </c>
      <c r="U648" s="82">
        <f>база!$M$5</f>
        <v>247.41720000000001</v>
      </c>
      <c r="V648" s="271">
        <v>1.2</v>
      </c>
      <c r="W648" s="97">
        <f>SUMIFS(Таблица1[сумма],Таблица1[коэф],"1,2",Таблица1[р/р],"4/24",Таблица1[Ф. И. О.],B649)</f>
        <v>0</v>
      </c>
      <c r="X648" s="103">
        <f t="shared" si="402"/>
        <v>0</v>
      </c>
      <c r="Y648" s="838"/>
      <c r="Z648" s="840"/>
      <c r="AA648" s="843"/>
      <c r="AC648" s="722" t="str">
        <f>IF(SUMIFS(Таблица1[Столбец2],Таблица1[Ф. И. О.],B649)-Z644=0,"",SUMIFS(Таблица1[Столбец2],Таблица1[Ф. И. О.],B649)-Z644)</f>
        <v/>
      </c>
    </row>
    <row r="649" spans="1:30">
      <c r="A649" s="786"/>
      <c r="B649" s="620" t="str">
        <f>база!B60</f>
        <v>Оленева Анна Викторовна</v>
      </c>
      <c r="C649" s="845"/>
      <c r="D649" s="847"/>
      <c r="E649" s="75"/>
      <c r="F649" s="271"/>
      <c r="G649" s="89"/>
      <c r="H649" s="103"/>
      <c r="I649" s="24"/>
      <c r="J649" s="278"/>
      <c r="K649" s="22"/>
      <c r="L649" s="309"/>
      <c r="M649" s="24"/>
      <c r="N649" s="22"/>
      <c r="O649" s="22"/>
      <c r="P649" s="282"/>
      <c r="Q649" s="621">
        <f>база!$L$6</f>
        <v>261.04640000000001</v>
      </c>
      <c r="R649" s="271">
        <v>1.2</v>
      </c>
      <c r="S649" s="97">
        <f>SUMIFS(Таблица1[сумма],Таблица1[коэф],"1,2",Таблица1[р/р],"5/16",Таблица1[Ф. И. О.],B649)</f>
        <v>0</v>
      </c>
      <c r="T649" s="103">
        <f>ROUND(Q649*R649*S649,2)</f>
        <v>0</v>
      </c>
      <c r="U649" s="82">
        <f>база!$M$6</f>
        <v>279.0496</v>
      </c>
      <c r="V649" s="271">
        <v>1.2</v>
      </c>
      <c r="W649" s="97">
        <f>SUMIFS(Таблица1[сумма],Таблица1[коэф],"1,2",Таблица1[р/р],"5/24",Таблица1[Ф. И. О.],B649)</f>
        <v>0</v>
      </c>
      <c r="X649" s="103">
        <f>ROUND(U649*V649*W649,2)</f>
        <v>0</v>
      </c>
      <c r="Y649" s="838"/>
      <c r="Z649" s="840"/>
      <c r="AA649" s="843"/>
      <c r="AC649" s="722" t="str">
        <f>IF(SUMIFS(Таблица1[сумма],Таблица1[Ф. И. О.],B649)=Y644,"",B644&amp;"  часы не верны")</f>
        <v/>
      </c>
      <c r="AD649" s="759">
        <f>INDEX('[2]декабрь 23'!$AI$4:$AI$100,MATCH(C644,'[2]декабрь 23'!$AK$4:$AK$100,0))</f>
        <v>144</v>
      </c>
    </row>
    <row r="650" spans="1:30">
      <c r="A650" s="786"/>
      <c r="B650" s="620"/>
      <c r="C650" s="845"/>
      <c r="D650" s="847"/>
      <c r="E650" s="75"/>
      <c r="F650" s="271"/>
      <c r="G650" s="89"/>
      <c r="H650" s="103"/>
      <c r="I650" s="24"/>
      <c r="J650" s="278"/>
      <c r="K650" s="22"/>
      <c r="L650" s="309"/>
      <c r="M650" s="24"/>
      <c r="N650" s="22"/>
      <c r="O650" s="22"/>
      <c r="P650" s="282"/>
      <c r="Q650" s="621">
        <f>IF($D$6&lt;=3,база!$L$4,
IF($D$6=4,база!$L$5,
IF($D$6=5,база!$L$6)))</f>
        <v>231.45480000000001</v>
      </c>
      <c r="R650" s="271">
        <v>1.3</v>
      </c>
      <c r="S650" s="97">
        <f>SUMIFS(Таблица1[сумма],Таблица1[коэф],"1,3",Таблица1[р/р],"3/16",Таблица1[Ф. И. О.],B649)</f>
        <v>0</v>
      </c>
      <c r="T650" s="103">
        <f t="shared" ref="T650:T651" si="403">ROUND(Q650*R650*S650,2)</f>
        <v>0</v>
      </c>
      <c r="U650" s="82">
        <f>IF(D644&lt;=3,база!$M$4,
IF(D644=4,база!$M$5,
IF(D644=5,база!$M$6)))</f>
        <v>225.09719999999999</v>
      </c>
      <c r="V650" s="271">
        <v>1.3</v>
      </c>
      <c r="W650" s="97">
        <f>SUMIFS(Таблица1[сумма],Таблица1[коэф],"1,3",Таблица1[р/р],"3/24",Таблица1[Ф. И. О.],B649)</f>
        <v>0</v>
      </c>
      <c r="X650" s="103">
        <f t="shared" ref="X650:X651" si="404">ROUND(U650*V650*W650,2)</f>
        <v>0</v>
      </c>
      <c r="Y650" s="838"/>
      <c r="Z650" s="840"/>
      <c r="AA650" s="843"/>
    </row>
    <row r="651" spans="1:30">
      <c r="A651" s="786"/>
      <c r="B651" s="620"/>
      <c r="C651" s="845"/>
      <c r="D651" s="847"/>
      <c r="E651" s="75"/>
      <c r="F651" s="271"/>
      <c r="G651" s="89"/>
      <c r="H651" s="103"/>
      <c r="I651" s="24"/>
      <c r="J651" s="278"/>
      <c r="K651" s="22"/>
      <c r="L651" s="309"/>
      <c r="M651" s="24"/>
      <c r="N651" s="22"/>
      <c r="O651" s="22"/>
      <c r="P651" s="282"/>
      <c r="Q651" s="621">
        <f>база!$L$5</f>
        <v>231.45480000000001</v>
      </c>
      <c r="R651" s="271">
        <v>1.3</v>
      </c>
      <c r="S651" s="97">
        <f>SUMIFS(Таблица1[сумма],Таблица1[коэф],"1,3",Таблица1[р/р],"4/16",Таблица1[Ф. И. О.],B649)</f>
        <v>0</v>
      </c>
      <c r="T651" s="103">
        <f t="shared" si="403"/>
        <v>0</v>
      </c>
      <c r="U651" s="82">
        <f>база!$M$5</f>
        <v>247.41720000000001</v>
      </c>
      <c r="V651" s="271">
        <v>1.3</v>
      </c>
      <c r="W651" s="97">
        <f>SUMIFS(Таблица1[сумма],Таблица1[коэф],"1,3",Таблица1[р/р],"4/24",Таблица1[Ф. И. О.],B649)</f>
        <v>0</v>
      </c>
      <c r="X651" s="103">
        <f t="shared" si="404"/>
        <v>0</v>
      </c>
      <c r="Y651" s="838"/>
      <c r="Z651" s="840"/>
      <c r="AA651" s="843"/>
    </row>
    <row r="652" spans="1:30">
      <c r="A652" s="786"/>
      <c r="B652" s="620"/>
      <c r="C652" s="845"/>
      <c r="D652" s="847"/>
      <c r="E652" s="75"/>
      <c r="F652" s="271"/>
      <c r="G652" s="89"/>
      <c r="H652" s="103"/>
      <c r="I652" s="24"/>
      <c r="J652" s="278"/>
      <c r="K652" s="22"/>
      <c r="L652" s="309"/>
      <c r="M652" s="24"/>
      <c r="N652" s="22"/>
      <c r="O652" s="22"/>
      <c r="P652" s="282"/>
      <c r="Q652" s="621">
        <f>IF(D644&lt;=3,база!$L$4,
IF(D644=4,база!$L$5,
IF(D644=5,база!$L$6)))</f>
        <v>210.57480000000001</v>
      </c>
      <c r="R652" s="271">
        <v>1.4</v>
      </c>
      <c r="S652" s="97">
        <f>SUMIFS(Таблица1[сумма],Таблица1[коэф],"1,4",Таблица1[р/р],"3/16",Таблица1[Ф. И. О.],B649)</f>
        <v>0</v>
      </c>
      <c r="T652" s="103">
        <f>ROUND(Q652*R652*S652,2)</f>
        <v>0</v>
      </c>
      <c r="U652" s="82">
        <f>IF(D644&lt;=3,база!$M$4,
IF(D644=4,база!$M$5,
IF(D644=5,база!$M$6)))</f>
        <v>225.09719999999999</v>
      </c>
      <c r="V652" s="271">
        <v>1.4</v>
      </c>
      <c r="W652" s="97">
        <f>SUMIFS(Таблица1[сумма],Таблица1[коэф],"1,4",Таблица1[р/р],"3/24",Таблица1[Ф. И. О.],B649)</f>
        <v>0</v>
      </c>
      <c r="X652" s="103">
        <f>ROUND(U652*V652*W652,2)</f>
        <v>0</v>
      </c>
      <c r="Y652" s="838"/>
      <c r="Z652" s="840"/>
      <c r="AA652" s="843"/>
    </row>
    <row r="653" spans="1:30">
      <c r="A653" s="786"/>
      <c r="B653" s="620"/>
      <c r="C653" s="845"/>
      <c r="D653" s="847"/>
      <c r="E653" s="85"/>
      <c r="F653" s="273"/>
      <c r="G653" s="630"/>
      <c r="H653" s="90"/>
      <c r="I653" s="67"/>
      <c r="J653" s="631"/>
      <c r="K653" s="59"/>
      <c r="L653" s="325"/>
      <c r="M653" s="67"/>
      <c r="N653" s="59"/>
      <c r="O653" s="59"/>
      <c r="P653" s="283"/>
      <c r="Q653" s="632">
        <f>база!$L$5</f>
        <v>231.45480000000001</v>
      </c>
      <c r="R653" s="273">
        <v>1.4</v>
      </c>
      <c r="S653" s="101">
        <f>SUMIFS(Таблица1[сумма],Таблица1[коэф],"1,4",Таблица1[р/р],"4/16",Таблица1[Ф. И. О.],B649)</f>
        <v>0</v>
      </c>
      <c r="T653" s="90">
        <f>ROUND(Q653*R653*S653,2)</f>
        <v>0</v>
      </c>
      <c r="U653" s="106">
        <f>база!$M$5</f>
        <v>247.41720000000001</v>
      </c>
      <c r="V653" s="273">
        <v>1.4</v>
      </c>
      <c r="W653" s="101">
        <f>SUMIFS(Таблица1[сумма],Таблица1[коэф],"1,4",Таблица1[р/р],"4/24",Таблица1[Ф. И. О.],B649)</f>
        <v>0</v>
      </c>
      <c r="X653" s="90">
        <f>ROUND(U653*V653*W653,2)</f>
        <v>0</v>
      </c>
      <c r="Y653" s="838"/>
      <c r="Z653" s="840"/>
      <c r="AA653" s="843"/>
    </row>
    <row r="654" spans="1:30" ht="24" thickBot="1">
      <c r="A654" s="787"/>
      <c r="B654" s="352"/>
      <c r="C654" s="846"/>
      <c r="D654" s="848"/>
      <c r="E654" s="77"/>
      <c r="F654" s="276"/>
      <c r="G654" s="622"/>
      <c r="H654" s="94"/>
      <c r="I654" s="623"/>
      <c r="J654" s="596"/>
      <c r="K654" s="624"/>
      <c r="L654" s="328"/>
      <c r="M654" s="623"/>
      <c r="N654" s="624"/>
      <c r="O654" s="624"/>
      <c r="P654" s="290"/>
      <c r="Q654" s="625">
        <f>база!$L$6</f>
        <v>261.04640000000001</v>
      </c>
      <c r="R654" s="276">
        <v>1.4</v>
      </c>
      <c r="S654" s="100">
        <f>SUMIFS(Таблица1[сумма],Таблица1[коэф],"1,4",Таблица1[р/р],"5/16",Таблица1[Ф. И. О.],B649)</f>
        <v>0</v>
      </c>
      <c r="T654" s="94">
        <f>ROUND(Q654*R654*S654,2)</f>
        <v>0</v>
      </c>
      <c r="U654" s="84">
        <f>база!$M$6</f>
        <v>279.0496</v>
      </c>
      <c r="V654" s="276">
        <v>1.4</v>
      </c>
      <c r="W654" s="100">
        <f>SUMIFS(Таблица1[сумма],Таблица1[коэф],"1,4",Таблица1[р/р],"5/24",Таблица1[Ф. И. О.],B649)</f>
        <v>0</v>
      </c>
      <c r="X654" s="94">
        <f>ROUND(U654*V654*W654,2)</f>
        <v>0</v>
      </c>
      <c r="Y654" s="839"/>
      <c r="Z654" s="841"/>
      <c r="AA654" s="844"/>
    </row>
    <row r="655" spans="1:30" ht="20.25" customHeight="1">
      <c r="A655" s="785">
        <v>60</v>
      </c>
      <c r="B655" s="620"/>
      <c r="C655" s="851">
        <f>INDEX(база!$E$2:$E$181, MATCH(B660,база!$B$2:$B$160,0))</f>
        <v>17343</v>
      </c>
      <c r="D655" s="852">
        <f>INDEX(база!$D$2:$D$189, MATCH(B660,база!$B$2:$B$160,0))</f>
        <v>3</v>
      </c>
      <c r="E655" s="75">
        <f>IF(D655&lt;=3,база!$I$4,
IF(D655=4,база!$I$5,
IF(D655=5,база!$I$6)))</f>
        <v>188.7912</v>
      </c>
      <c r="F655" s="271">
        <v>1</v>
      </c>
      <c r="G655" s="89">
        <f>SUMIFS(Таблица1[сумма],Таблица1[коэф],"1",Таблица1[р/р],"2/4",Таблица1[Ф. И. О.],B660)</f>
        <v>0</v>
      </c>
      <c r="H655" s="103">
        <f>ROUND(E655*F655*G655,2)</f>
        <v>0</v>
      </c>
      <c r="I655" s="24">
        <f>IF(D655&lt;=3,база!$J$4,
IF(D655=4,база!$J$5,
IF(D655=5,база!$J$6)))</f>
        <v>196.05240000000001</v>
      </c>
      <c r="J655" s="278">
        <v>1</v>
      </c>
      <c r="K655" s="22">
        <f>SUMIFS(Таблица1[сумма],Таблица1[коэф],"1",Таблица1[р/р],"2/8",Таблица1[Ф. И. О.],B660)</f>
        <v>0</v>
      </c>
      <c r="L655" s="309">
        <f>ROUND(I655*J655*K655,2)</f>
        <v>0</v>
      </c>
      <c r="M655" s="24"/>
      <c r="N655" s="22">
        <v>1</v>
      </c>
      <c r="O655" s="22">
        <f>SUMIFS(Data_Tech!$AM$3:$AM$67,Data_Tech!$E$3:$E$67,"1",Data_Tech!$G$3:$G$67,"3/12",Data_Tech!$F$3:$F$67,B660)</f>
        <v>0</v>
      </c>
      <c r="P655" s="282">
        <f>ROUND(M655*N655*O655,2)</f>
        <v>0</v>
      </c>
      <c r="Q655" s="621">
        <f>IF(D655&lt;=3,база!$L$4,
IF(D655=4,база!$L$5,
IF(D655=5,база!$L$6)))</f>
        <v>210.57480000000001</v>
      </c>
      <c r="R655" s="271">
        <v>1</v>
      </c>
      <c r="S655" s="97">
        <f>SUMIFS(Таблица1[сумма],Таблица1[коэф],"1",Таблица1[р/р],"3/16",Таблица1[Ф. И. О.],B660)</f>
        <v>0</v>
      </c>
      <c r="T655" s="103">
        <f t="shared" ref="T655:T659" si="405">ROUND(Q655*R655*S655,2)</f>
        <v>0</v>
      </c>
      <c r="U655" s="82">
        <f>IF(D655&lt;=3,база!$M$4,
IF(D655=4,база!$M$5,
IF(D655=5,база!$M$6)))</f>
        <v>225.09719999999999</v>
      </c>
      <c r="V655" s="271">
        <v>1</v>
      </c>
      <c r="W655" s="97">
        <f>SUMIFS(Таблица1[сумма],Таблица1[коэф],"1",Таблица1[р/р],"3/24",Таблица1[Ф. И. О.],B660)</f>
        <v>0</v>
      </c>
      <c r="X655" s="103">
        <f>ROUND(U655*V655*W655,2)</f>
        <v>0</v>
      </c>
      <c r="Y655" s="837">
        <f t="shared" ref="Y655" si="406">SUM(G655:G665,K655:K665,O655:O665,S655:S665,W655:W665)</f>
        <v>0</v>
      </c>
      <c r="Z655" s="853">
        <f t="shared" ref="Z655" si="407">IFERROR(SUM(H655:H665,L655:L665,T655:T665,X655:X665),"")</f>
        <v>0</v>
      </c>
      <c r="AA655" s="842"/>
    </row>
    <row r="656" spans="1:30">
      <c r="A656" s="786"/>
      <c r="B656" s="620"/>
      <c r="C656" s="845"/>
      <c r="D656" s="847"/>
      <c r="E656" s="75">
        <f>IF(D655&lt;=3,база!$I$4,
IF(D655=4,база!$I$5,
IF(D655=5,база!$I$6)))</f>
        <v>188.7912</v>
      </c>
      <c r="F656" s="271">
        <v>1</v>
      </c>
      <c r="G656" s="89">
        <f>SUMIFS(Таблица1[сумма],Таблица1[коэф],"1",Таблица1[р/р],"3/4",Таблица1[Ф. И. О.],B660)</f>
        <v>0</v>
      </c>
      <c r="H656" s="103">
        <f>ROUND(E656*F656*G656,2)</f>
        <v>0</v>
      </c>
      <c r="I656" s="24">
        <f>IF(D655&lt;=3,база!$J$4,
IF(D655=4,база!$J$5,
IF(D655=5,база!$J$6)))</f>
        <v>196.05240000000001</v>
      </c>
      <c r="J656" s="278">
        <v>1</v>
      </c>
      <c r="K656" s="22"/>
      <c r="L656" s="309">
        <f>ROUND(I656*J656*K656,2)</f>
        <v>0</v>
      </c>
      <c r="M656" s="24"/>
      <c r="N656" s="22">
        <v>1</v>
      </c>
      <c r="O656" s="22">
        <f>SUMIFS(Data_Tech!$AM$3:$AM$67,Data_Tech!$E$3:$E$67,"1",Data_Tech!$G$3:$G$67,"4/12",Data_Tech!$F$3:$F$67,B660)</f>
        <v>0</v>
      </c>
      <c r="P656" s="282">
        <f>ROUND(M656*O656,2)</f>
        <v>0</v>
      </c>
      <c r="Q656" s="621">
        <f>база!$L$5</f>
        <v>231.45480000000001</v>
      </c>
      <c r="R656" s="271">
        <v>1</v>
      </c>
      <c r="S656" s="97">
        <f>SUMIFS(Таблица1[сумма],Таблица1[коэф],"1",Таблица1[р/р],"4/16",Таблица1[Ф. И. О.],B660)</f>
        <v>0</v>
      </c>
      <c r="T656" s="103">
        <f t="shared" si="405"/>
        <v>0</v>
      </c>
      <c r="U656" s="82">
        <f>база!$M$5</f>
        <v>247.41720000000001</v>
      </c>
      <c r="V656" s="271">
        <v>1</v>
      </c>
      <c r="W656" s="97">
        <f>SUMIFS(Таблица1[сумма],Таблица1[коэф],"1",Таблица1[р/р],"4/24",Таблица1[Ф. И. О.],B660)</f>
        <v>0</v>
      </c>
      <c r="X656" s="103">
        <f t="shared" ref="X656" si="408">ROUND(U656*V656*W656,2)</f>
        <v>0</v>
      </c>
      <c r="Y656" s="838"/>
      <c r="Z656" s="840"/>
      <c r="AA656" s="843"/>
    </row>
    <row r="657" spans="1:30">
      <c r="A657" s="786"/>
      <c r="B657" s="620"/>
      <c r="C657" s="845"/>
      <c r="D657" s="847"/>
      <c r="E657" s="75"/>
      <c r="F657" s="271"/>
      <c r="G657" s="89"/>
      <c r="H657" s="103"/>
      <c r="I657" s="24"/>
      <c r="J657" s="278"/>
      <c r="K657" s="22"/>
      <c r="L657" s="309"/>
      <c r="M657" s="24"/>
      <c r="N657" s="22"/>
      <c r="O657" s="22"/>
      <c r="P657" s="282"/>
      <c r="Q657" s="621">
        <f>база!$L$6</f>
        <v>261.04640000000001</v>
      </c>
      <c r="R657" s="271">
        <v>1</v>
      </c>
      <c r="S657" s="97">
        <f>SUMIFS(Таблица1[сумма],Таблица1[коэф],"1",Таблица1[р/р],"5/16",Таблица1[Ф. И. О.],B660)</f>
        <v>0</v>
      </c>
      <c r="T657" s="103">
        <f t="shared" si="405"/>
        <v>0</v>
      </c>
      <c r="U657" s="82">
        <f>база!$M$6</f>
        <v>279.0496</v>
      </c>
      <c r="V657" s="271">
        <v>1</v>
      </c>
      <c r="W657" s="97">
        <f>SUMIFS(Таблица1[сумма],Таблица1[коэф],"1",Таблица1[р/р],"5/24",Таблица1[Ф. И. О.],B660)</f>
        <v>0</v>
      </c>
      <c r="X657" s="103">
        <f>ROUND(U657*V657*W657,2)</f>
        <v>0</v>
      </c>
      <c r="Y657" s="838"/>
      <c r="Z657" s="840"/>
      <c r="AA657" s="843"/>
    </row>
    <row r="658" spans="1:30">
      <c r="A658" s="786"/>
      <c r="B658" s="620"/>
      <c r="C658" s="845"/>
      <c r="D658" s="847"/>
      <c r="E658" s="75"/>
      <c r="F658" s="271"/>
      <c r="G658" s="89"/>
      <c r="H658" s="103"/>
      <c r="I658" s="24">
        <f>база!$J$5</f>
        <v>215.4924</v>
      </c>
      <c r="J658" s="278">
        <v>1.5</v>
      </c>
      <c r="K658" s="22">
        <f>SUMIFS(Таблица1[сумма],Таблица1[коэф],"1,5",Таблица1[р/р],"4/8",Таблица1[Ф. И. О.],B660)</f>
        <v>0</v>
      </c>
      <c r="L658" s="309">
        <f>ROUND(I658*J658*K658,2)</f>
        <v>0</v>
      </c>
      <c r="M658" s="24"/>
      <c r="N658" s="22"/>
      <c r="O658" s="22"/>
      <c r="P658" s="282"/>
      <c r="Q658" s="621">
        <f>IF(D655&lt;=3,база!$L$4,
IF(D655=4,база!$L$5,
IF(D655=5,база!$L$6)))</f>
        <v>210.57480000000001</v>
      </c>
      <c r="R658" s="271">
        <v>1.2</v>
      </c>
      <c r="S658" s="97">
        <f>SUMIFS(Таблица1[сумма],Таблица1[коэф],"1,2",Таблица1[р/р],"3/16",Таблица1[Ф. И. О.],B660)</f>
        <v>0</v>
      </c>
      <c r="T658" s="103">
        <f t="shared" si="405"/>
        <v>0</v>
      </c>
      <c r="U658" s="82">
        <f>IF(D655&lt;=3,база!$M$4,
IF(D655=4,база!$M$5,
IF(D655=5,база!$M$6)))</f>
        <v>225.09719999999999</v>
      </c>
      <c r="V658" s="271">
        <v>1.2</v>
      </c>
      <c r="W658" s="97">
        <f>SUMIFS(Таблица1[сумма],Таблица1[коэф],"1,2",Таблица1[р/р],"3/24",Таблица1[Ф. И. О.],B660)</f>
        <v>0</v>
      </c>
      <c r="X658" s="103">
        <f t="shared" ref="X658:X659" si="409">ROUND(U658*V658*W658,2)</f>
        <v>0</v>
      </c>
      <c r="Y658" s="838"/>
      <c r="Z658" s="840"/>
      <c r="AA658" s="843"/>
    </row>
    <row r="659" spans="1:30">
      <c r="A659" s="786"/>
      <c r="B659" s="620"/>
      <c r="C659" s="845"/>
      <c r="D659" s="847"/>
      <c r="E659" s="75"/>
      <c r="F659" s="271"/>
      <c r="G659" s="89"/>
      <c r="H659" s="103"/>
      <c r="I659" s="24">
        <f>база!$J$6</f>
        <v>243.04319999999998</v>
      </c>
      <c r="J659" s="278">
        <v>1.5</v>
      </c>
      <c r="K659" s="22">
        <f>SUMIFS(Таблица1[сумма],Таблица1[коэф],"1,5",Таблица1[р/р],"5/8",Таблица1[Ф. И. О.],B660)</f>
        <v>0</v>
      </c>
      <c r="L659" s="309">
        <f>ROUND(I659*J659*K659,2)</f>
        <v>0</v>
      </c>
      <c r="M659" s="24"/>
      <c r="N659" s="22"/>
      <c r="O659" s="22"/>
      <c r="P659" s="282"/>
      <c r="Q659" s="621">
        <f>база!$L$5</f>
        <v>231.45480000000001</v>
      </c>
      <c r="R659" s="271">
        <v>1.2</v>
      </c>
      <c r="S659" s="97">
        <f>SUMIFS(Таблица1[сумма],Таблица1[коэф],"1,2",Таблица1[р/р],"4/16",Таблица1[Ф. И. О.],B660)</f>
        <v>0</v>
      </c>
      <c r="T659" s="103">
        <f t="shared" si="405"/>
        <v>0</v>
      </c>
      <c r="U659" s="82">
        <f>база!$M$5</f>
        <v>247.41720000000001</v>
      </c>
      <c r="V659" s="271">
        <v>1.2</v>
      </c>
      <c r="W659" s="97">
        <f>SUMIFS(Таблица1[сумма],Таблица1[коэф],"1,2",Таблица1[р/р],"4/24",Таблица1[Ф. И. О.],B660)</f>
        <v>0</v>
      </c>
      <c r="X659" s="103">
        <f t="shared" si="409"/>
        <v>0</v>
      </c>
      <c r="Y659" s="838"/>
      <c r="Z659" s="840"/>
      <c r="AA659" s="843"/>
      <c r="AC659" s="722" t="str">
        <f>IF(SUMIFS(Таблица1[Столбец2],Таблица1[Ф. И. О.],B660)-Z655=0,"",SUMIFS(Таблица1[Столбец2],Таблица1[Ф. И. О.],B660)-Z655)</f>
        <v/>
      </c>
    </row>
    <row r="660" spans="1:30">
      <c r="A660" s="786"/>
      <c r="B660" s="620" t="str">
        <f>база!B61</f>
        <v>Ополченова Ольга Валерьевна</v>
      </c>
      <c r="C660" s="845"/>
      <c r="D660" s="847"/>
      <c r="E660" s="75"/>
      <c r="F660" s="271"/>
      <c r="G660" s="89"/>
      <c r="H660" s="103"/>
      <c r="I660" s="24"/>
      <c r="J660" s="278"/>
      <c r="K660" s="22"/>
      <c r="L660" s="309"/>
      <c r="M660" s="24"/>
      <c r="N660" s="22"/>
      <c r="O660" s="22"/>
      <c r="P660" s="282"/>
      <c r="Q660" s="621">
        <f>база!$L$6</f>
        <v>261.04640000000001</v>
      </c>
      <c r="R660" s="271">
        <v>1.2</v>
      </c>
      <c r="S660" s="97">
        <f>SUMIFS(Таблица1[сумма],Таблица1[коэф],"1,2",Таблица1[р/р],"5/16",Таблица1[Ф. И. О.],B660)</f>
        <v>0</v>
      </c>
      <c r="T660" s="103">
        <f>ROUND(Q660*R660*S660,2)</f>
        <v>0</v>
      </c>
      <c r="U660" s="82">
        <f>база!$M$6</f>
        <v>279.0496</v>
      </c>
      <c r="V660" s="271">
        <v>1.2</v>
      </c>
      <c r="W660" s="97">
        <f>SUMIFS(Таблица1[сумма],Таблица1[коэф],"1,2",Таблица1[р/р],"5/24",Таблица1[Ф. И. О.],B660)</f>
        <v>0</v>
      </c>
      <c r="X660" s="103">
        <f>ROUND(U660*V660*W660,2)</f>
        <v>0</v>
      </c>
      <c r="Y660" s="838"/>
      <c r="Z660" s="840"/>
      <c r="AA660" s="843"/>
      <c r="AC660" s="722" t="str">
        <f>IF(SUMIFS(Таблица1[сумма],Таблица1[Ф. И. О.],B660)=Y655,"",B655&amp;"  часы не верны")</f>
        <v/>
      </c>
      <c r="AD660" s="759" t="e">
        <f>INDEX('[2]декабрь 23'!$AI$4:$AI$100,MATCH(C655,'[2]декабрь 23'!$AK$4:$AK$100,0))</f>
        <v>#N/A</v>
      </c>
    </row>
    <row r="661" spans="1:30">
      <c r="A661" s="786"/>
      <c r="B661" s="620"/>
      <c r="C661" s="845"/>
      <c r="D661" s="847"/>
      <c r="E661" s="75"/>
      <c r="F661" s="271"/>
      <c r="G661" s="89"/>
      <c r="H661" s="103"/>
      <c r="I661" s="24"/>
      <c r="J661" s="278"/>
      <c r="K661" s="22"/>
      <c r="L661" s="309"/>
      <c r="M661" s="24"/>
      <c r="N661" s="22"/>
      <c r="O661" s="22"/>
      <c r="P661" s="282"/>
      <c r="Q661" s="621">
        <f>IF($D$6&lt;=3,база!$L$4,
IF($D$6=4,база!$L$5,
IF($D$6=5,база!$L$6)))</f>
        <v>231.45480000000001</v>
      </c>
      <c r="R661" s="271">
        <v>1.3</v>
      </c>
      <c r="S661" s="97">
        <f>SUMIFS(Таблица1[сумма],Таблица1[коэф],"1,3",Таблица1[р/р],"3/16",Таблица1[Ф. И. О.],B660)</f>
        <v>0</v>
      </c>
      <c r="T661" s="103">
        <f t="shared" ref="T661:T662" si="410">ROUND(Q661*R661*S661,2)</f>
        <v>0</v>
      </c>
      <c r="U661" s="82">
        <f>IF(D655&lt;=3,база!$M$4,
IF(D655=4,база!$M$5,
IF(D655=5,база!$M$6)))</f>
        <v>225.09719999999999</v>
      </c>
      <c r="V661" s="271">
        <v>1.3</v>
      </c>
      <c r="W661" s="97">
        <f>SUMIFS(Таблица1[сумма],Таблица1[коэф],"1,3",Таблица1[р/р],"3/24",Таблица1[Ф. И. О.],B660)</f>
        <v>0</v>
      </c>
      <c r="X661" s="103">
        <f t="shared" ref="X661:X662" si="411">ROUND(U661*V661*W661,2)</f>
        <v>0</v>
      </c>
      <c r="Y661" s="838"/>
      <c r="Z661" s="840"/>
      <c r="AA661" s="843"/>
    </row>
    <row r="662" spans="1:30">
      <c r="A662" s="786"/>
      <c r="B662" s="620"/>
      <c r="C662" s="845"/>
      <c r="D662" s="847"/>
      <c r="E662" s="75"/>
      <c r="F662" s="271"/>
      <c r="G662" s="89"/>
      <c r="H662" s="103"/>
      <c r="I662" s="24"/>
      <c r="J662" s="278"/>
      <c r="K662" s="22"/>
      <c r="L662" s="309"/>
      <c r="M662" s="24"/>
      <c r="N662" s="22"/>
      <c r="O662" s="22"/>
      <c r="P662" s="282"/>
      <c r="Q662" s="621">
        <f>база!$L$5</f>
        <v>231.45480000000001</v>
      </c>
      <c r="R662" s="271">
        <v>1.3</v>
      </c>
      <c r="S662" s="97">
        <f>SUMIFS(Таблица1[сумма],Таблица1[коэф],"1,3",Таблица1[р/р],"4/16",Таблица1[Ф. И. О.],B660)</f>
        <v>0</v>
      </c>
      <c r="T662" s="103">
        <f t="shared" si="410"/>
        <v>0</v>
      </c>
      <c r="U662" s="82">
        <f>база!$M$5</f>
        <v>247.41720000000001</v>
      </c>
      <c r="V662" s="271">
        <v>1.3</v>
      </c>
      <c r="W662" s="97">
        <f>SUMIFS(Таблица1[сумма],Таблица1[коэф],"1,3",Таблица1[р/р],"4/24",Таблица1[Ф. И. О.],B660)</f>
        <v>0</v>
      </c>
      <c r="X662" s="103">
        <f t="shared" si="411"/>
        <v>0</v>
      </c>
      <c r="Y662" s="838"/>
      <c r="Z662" s="840"/>
      <c r="AA662" s="843"/>
    </row>
    <row r="663" spans="1:30">
      <c r="A663" s="786"/>
      <c r="B663" s="620"/>
      <c r="C663" s="845"/>
      <c r="D663" s="847"/>
      <c r="E663" s="75"/>
      <c r="F663" s="271"/>
      <c r="G663" s="89"/>
      <c r="H663" s="103"/>
      <c r="I663" s="24"/>
      <c r="J663" s="278"/>
      <c r="K663" s="22"/>
      <c r="L663" s="309"/>
      <c r="M663" s="24"/>
      <c r="N663" s="22"/>
      <c r="O663" s="22"/>
      <c r="P663" s="282"/>
      <c r="Q663" s="621">
        <f>IF(D655&lt;=3,база!$L$4,
IF(D655=4,база!$L$5,
IF(D655=5,база!$L$6)))</f>
        <v>210.57480000000001</v>
      </c>
      <c r="R663" s="271">
        <v>1.4</v>
      </c>
      <c r="S663" s="97">
        <f>SUMIFS(Таблица1[сумма],Таблица1[коэф],"1,4",Таблица1[р/р],"3/16",Таблица1[Ф. И. О.],B660)</f>
        <v>0</v>
      </c>
      <c r="T663" s="103">
        <f>ROUND(Q663*R663*S663,2)</f>
        <v>0</v>
      </c>
      <c r="U663" s="82">
        <f>IF(D655&lt;=3,база!$M$4,
IF(D655=4,база!$M$5,
IF(D655=5,база!$M$6)))</f>
        <v>225.09719999999999</v>
      </c>
      <c r="V663" s="271">
        <v>1.4</v>
      </c>
      <c r="W663" s="97">
        <f>SUMIFS(Таблица1[сумма],Таблица1[коэф],"1,4",Таблица1[р/р],"3/24",Таблица1[Ф. И. О.],B660)</f>
        <v>0</v>
      </c>
      <c r="X663" s="103">
        <f>ROUND(U663*V663*W663,2)</f>
        <v>0</v>
      </c>
      <c r="Y663" s="838"/>
      <c r="Z663" s="840"/>
      <c r="AA663" s="843"/>
    </row>
    <row r="664" spans="1:30">
      <c r="A664" s="786"/>
      <c r="B664" s="620"/>
      <c r="C664" s="845"/>
      <c r="D664" s="847"/>
      <c r="E664" s="85"/>
      <c r="F664" s="273"/>
      <c r="G664" s="630"/>
      <c r="H664" s="90"/>
      <c r="I664" s="67"/>
      <c r="J664" s="631"/>
      <c r="K664" s="59"/>
      <c r="L664" s="325"/>
      <c r="M664" s="67"/>
      <c r="N664" s="59"/>
      <c r="O664" s="59"/>
      <c r="P664" s="283"/>
      <c r="Q664" s="632">
        <f>база!$L$5</f>
        <v>231.45480000000001</v>
      </c>
      <c r="R664" s="273">
        <v>1.4</v>
      </c>
      <c r="S664" s="101">
        <f>SUMIFS(Таблица1[сумма],Таблица1[коэф],"1,4",Таблица1[р/р],"4/16",Таблица1[Ф. И. О.],B660)</f>
        <v>0</v>
      </c>
      <c r="T664" s="90">
        <f>ROUND(Q664*R664*S664,2)</f>
        <v>0</v>
      </c>
      <c r="U664" s="106">
        <f>база!$M$5</f>
        <v>247.41720000000001</v>
      </c>
      <c r="V664" s="273">
        <v>1.4</v>
      </c>
      <c r="W664" s="101">
        <f>SUMIFS(Таблица1[сумма],Таблица1[коэф],"1,4",Таблица1[р/р],"4/24",Таблица1[Ф. И. О.],B660)</f>
        <v>0</v>
      </c>
      <c r="X664" s="90">
        <f>ROUND(U664*V664*W664,2)</f>
        <v>0</v>
      </c>
      <c r="Y664" s="838"/>
      <c r="Z664" s="840"/>
      <c r="AA664" s="843"/>
    </row>
    <row r="665" spans="1:30" ht="24" thickBot="1">
      <c r="A665" s="787"/>
      <c r="B665" s="352"/>
      <c r="C665" s="846"/>
      <c r="D665" s="848"/>
      <c r="E665" s="77"/>
      <c r="F665" s="276"/>
      <c r="G665" s="622"/>
      <c r="H665" s="94"/>
      <c r="I665" s="623"/>
      <c r="J665" s="596"/>
      <c r="K665" s="624"/>
      <c r="L665" s="328"/>
      <c r="M665" s="623"/>
      <c r="N665" s="624"/>
      <c r="O665" s="624"/>
      <c r="P665" s="290"/>
      <c r="Q665" s="625">
        <f>база!$L$6</f>
        <v>261.04640000000001</v>
      </c>
      <c r="R665" s="276">
        <v>1.4</v>
      </c>
      <c r="S665" s="100">
        <f>SUMIFS(Таблица1[сумма],Таблица1[коэф],"1,4",Таблица1[р/р],"5/16",Таблица1[Ф. И. О.],B660)</f>
        <v>0</v>
      </c>
      <c r="T665" s="94">
        <f>ROUND(Q665*R665*S665,2)</f>
        <v>0</v>
      </c>
      <c r="U665" s="84">
        <f>база!$M$6</f>
        <v>279.0496</v>
      </c>
      <c r="V665" s="276">
        <v>1.4</v>
      </c>
      <c r="W665" s="100">
        <f>SUMIFS(Таблица1[сумма],Таблица1[коэф],"1,4",Таблица1[р/р],"5/24",Таблица1[Ф. И. О.],B660)</f>
        <v>0</v>
      </c>
      <c r="X665" s="94">
        <f>ROUND(U665*V665*W665,2)</f>
        <v>0</v>
      </c>
      <c r="Y665" s="839"/>
      <c r="Z665" s="841"/>
      <c r="AA665" s="844"/>
    </row>
    <row r="666" spans="1:30" ht="20.25" customHeight="1">
      <c r="A666" s="785">
        <v>61</v>
      </c>
      <c r="B666" s="620"/>
      <c r="C666" s="851">
        <f>INDEX(база!$E$2:$E$181, MATCH(B671,база!$B$2:$B$160,0))</f>
        <v>15556</v>
      </c>
      <c r="D666" s="852">
        <f>INDEX(база!$D$2:$D$189, MATCH(B671,база!$B$2:$B$160,0))</f>
        <v>3</v>
      </c>
      <c r="E666" s="75">
        <f>IF(D666&lt;=3,база!$I$4,
IF(D666=4,база!$I$5,
IF(D666=5,база!$I$6)))</f>
        <v>188.7912</v>
      </c>
      <c r="F666" s="271">
        <v>1</v>
      </c>
      <c r="G666" s="89">
        <f>SUMIFS(Таблица1[сумма],Таблица1[коэф],"1",Таблица1[р/р],"2/4",Таблица1[Ф. И. О.],B671)</f>
        <v>0</v>
      </c>
      <c r="H666" s="103">
        <f>ROUND(E666*F666*G666,2)</f>
        <v>0</v>
      </c>
      <c r="I666" s="24">
        <f>IF(D666&lt;=3,база!$J$4,
IF(D666=4,база!$J$5,
IF(D666=5,база!$J$6)))</f>
        <v>196.05240000000001</v>
      </c>
      <c r="J666" s="278">
        <v>1</v>
      </c>
      <c r="K666" s="22">
        <f>SUMIFS(Таблица1[сумма],Таблица1[коэф],"1",Таблица1[р/р],"2/8",Таблица1[Ф. И. О.],B671)</f>
        <v>0</v>
      </c>
      <c r="L666" s="309">
        <f>ROUND(I666*J666*K666,2)</f>
        <v>0</v>
      </c>
      <c r="M666" s="24"/>
      <c r="N666" s="22">
        <v>1</v>
      </c>
      <c r="O666" s="22">
        <f>SUMIFS(Data_Tech!$AM$3:$AM$67,Data_Tech!$E$3:$E$67,"1",Data_Tech!$G$3:$G$67,"3/12",Data_Tech!$F$3:$F$67,B671)</f>
        <v>0</v>
      </c>
      <c r="P666" s="282">
        <f>ROUND(M666*N666*O666,2)</f>
        <v>0</v>
      </c>
      <c r="Q666" s="621">
        <f>IF(D666&lt;=3,база!$L$4,
IF(D666=4,база!$L$5,
IF(D666=5,база!$L$6)))</f>
        <v>210.57480000000001</v>
      </c>
      <c r="R666" s="271">
        <v>1</v>
      </c>
      <c r="S666" s="97">
        <f>SUMIFS(Таблица1[сумма],Таблица1[коэф],"1",Таблица1[р/р],"3/16",Таблица1[Ф. И. О.],B671)</f>
        <v>0</v>
      </c>
      <c r="T666" s="103">
        <f t="shared" ref="T666:T670" si="412">ROUND(Q666*R666*S666,2)</f>
        <v>0</v>
      </c>
      <c r="U666" s="82">
        <f>IF(D666&lt;=3,база!$M$4,
IF(D666=4,база!$M$5,
IF(D666=5,база!$M$6)))</f>
        <v>225.09719999999999</v>
      </c>
      <c r="V666" s="271">
        <v>1</v>
      </c>
      <c r="W666" s="97">
        <f>SUMIFS(Таблица1[сумма],Таблица1[коэф],"1",Таблица1[р/р],"3/24",Таблица1[Ф. И. О.],B671)</f>
        <v>0</v>
      </c>
      <c r="X666" s="103">
        <f>ROUND(U666*V666*W666,2)</f>
        <v>0</v>
      </c>
      <c r="Y666" s="837">
        <f t="shared" ref="Y666" si="413">SUM(G666:G676,K666:K676,O666:O676,S666:S676,W666:W676)</f>
        <v>0</v>
      </c>
      <c r="Z666" s="853">
        <f t="shared" ref="Z666" si="414">IFERROR(SUM(H666:H676,L666:L676,T666:T676,X666:X676),"")</f>
        <v>0</v>
      </c>
      <c r="AA666" s="842"/>
    </row>
    <row r="667" spans="1:30">
      <c r="A667" s="786"/>
      <c r="B667" s="620"/>
      <c r="C667" s="845"/>
      <c r="D667" s="847"/>
      <c r="E667" s="75">
        <f>IF(D666&lt;=3,база!$I$4,
IF(D666=4,база!$I$5,
IF(D666=5,база!$I$6)))</f>
        <v>188.7912</v>
      </c>
      <c r="F667" s="271">
        <v>1</v>
      </c>
      <c r="G667" s="89">
        <f>SUMIFS(Таблица1[сумма],Таблица1[коэф],"1",Таблица1[р/р],"3/4",Таблица1[Ф. И. О.],B671)</f>
        <v>0</v>
      </c>
      <c r="H667" s="103">
        <f>ROUND(E667*F667*G667,2)</f>
        <v>0</v>
      </c>
      <c r="I667" s="24">
        <f>IF(D666&lt;=3,база!$J$4,
IF(D666=4,база!$J$5,
IF(D666=5,база!$J$6)))</f>
        <v>196.05240000000001</v>
      </c>
      <c r="J667" s="278">
        <v>1</v>
      </c>
      <c r="K667" s="22"/>
      <c r="L667" s="309">
        <f>ROUND(I667*J667*K667,2)</f>
        <v>0</v>
      </c>
      <c r="M667" s="24"/>
      <c r="N667" s="22">
        <v>1</v>
      </c>
      <c r="O667" s="22">
        <f>SUMIFS(Data_Tech!$AM$3:$AM$67,Data_Tech!$E$3:$E$67,"1",Data_Tech!$G$3:$G$67,"4/12",Data_Tech!$F$3:$F$67,B671)</f>
        <v>0</v>
      </c>
      <c r="P667" s="282">
        <f>ROUND(M667*O667,2)</f>
        <v>0</v>
      </c>
      <c r="Q667" s="621">
        <f>база!$L$5</f>
        <v>231.45480000000001</v>
      </c>
      <c r="R667" s="271">
        <v>1</v>
      </c>
      <c r="S667" s="97">
        <f>SUMIFS(Таблица1[сумма],Таблица1[коэф],"1",Таблица1[р/р],"4/16",Таблица1[Ф. И. О.],B671)</f>
        <v>0</v>
      </c>
      <c r="T667" s="103">
        <f t="shared" si="412"/>
        <v>0</v>
      </c>
      <c r="U667" s="82">
        <f>база!$M$5</f>
        <v>247.41720000000001</v>
      </c>
      <c r="V667" s="271">
        <v>1</v>
      </c>
      <c r="W667" s="97">
        <f>SUMIFS(Таблица1[сумма],Таблица1[коэф],"1",Таблица1[р/р],"4/24",Таблица1[Ф. И. О.],B671)</f>
        <v>0</v>
      </c>
      <c r="X667" s="103">
        <f t="shared" ref="X667" si="415">ROUND(U667*V667*W667,2)</f>
        <v>0</v>
      </c>
      <c r="Y667" s="838"/>
      <c r="Z667" s="840"/>
      <c r="AA667" s="843"/>
    </row>
    <row r="668" spans="1:30">
      <c r="A668" s="786"/>
      <c r="B668" s="620"/>
      <c r="C668" s="845"/>
      <c r="D668" s="847"/>
      <c r="E668" s="75"/>
      <c r="F668" s="271"/>
      <c r="G668" s="89"/>
      <c r="H668" s="103"/>
      <c r="I668" s="24"/>
      <c r="J668" s="278"/>
      <c r="K668" s="22"/>
      <c r="L668" s="309"/>
      <c r="M668" s="24"/>
      <c r="N668" s="22"/>
      <c r="O668" s="22"/>
      <c r="P668" s="282"/>
      <c r="Q668" s="621">
        <f>база!$L$6</f>
        <v>261.04640000000001</v>
      </c>
      <c r="R668" s="271">
        <v>1</v>
      </c>
      <c r="S668" s="97">
        <f>SUMIFS(Таблица1[сумма],Таблица1[коэф],"1",Таблица1[р/р],"5/16",Таблица1[Ф. И. О.],B671)</f>
        <v>0</v>
      </c>
      <c r="T668" s="103">
        <f t="shared" si="412"/>
        <v>0</v>
      </c>
      <c r="U668" s="82">
        <f>база!$M$6</f>
        <v>279.0496</v>
      </c>
      <c r="V668" s="271">
        <v>1</v>
      </c>
      <c r="W668" s="97">
        <f>SUMIFS(Таблица1[сумма],Таблица1[коэф],"1",Таблица1[р/р],"5/24",Таблица1[Ф. И. О.],B671)</f>
        <v>0</v>
      </c>
      <c r="X668" s="103">
        <f>ROUND(U668*V668*W668,2)</f>
        <v>0</v>
      </c>
      <c r="Y668" s="838"/>
      <c r="Z668" s="840"/>
      <c r="AA668" s="843"/>
    </row>
    <row r="669" spans="1:30">
      <c r="A669" s="786"/>
      <c r="B669" s="620"/>
      <c r="C669" s="845"/>
      <c r="D669" s="847"/>
      <c r="E669" s="75"/>
      <c r="F669" s="271"/>
      <c r="G669" s="89"/>
      <c r="H669" s="103"/>
      <c r="I669" s="24">
        <f>база!$J$5</f>
        <v>215.4924</v>
      </c>
      <c r="J669" s="278">
        <v>1.5</v>
      </c>
      <c r="K669" s="22">
        <f>SUMIFS(Таблица1[сумма],Таблица1[коэф],"1,5",Таблица1[р/р],"4/8",Таблица1[Ф. И. О.],B671)</f>
        <v>0</v>
      </c>
      <c r="L669" s="309">
        <f>ROUND(I669*J669*K669,2)</f>
        <v>0</v>
      </c>
      <c r="M669" s="24"/>
      <c r="N669" s="22"/>
      <c r="O669" s="22"/>
      <c r="P669" s="282"/>
      <c r="Q669" s="621">
        <f>IF(D666&lt;=3,база!$L$4,
IF(D666=4,база!$L$5,
IF(D666=5,база!$L$6)))</f>
        <v>210.57480000000001</v>
      </c>
      <c r="R669" s="271">
        <v>1.2</v>
      </c>
      <c r="S669" s="97">
        <f>SUMIFS(Таблица1[сумма],Таблица1[коэф],"1,2",Таблица1[р/р],"3/16",Таблица1[Ф. И. О.],B671)</f>
        <v>0</v>
      </c>
      <c r="T669" s="103">
        <f t="shared" si="412"/>
        <v>0</v>
      </c>
      <c r="U669" s="82">
        <f>IF(D666&lt;=3,база!$M$4,
IF(D666=4,база!$M$5,
IF(D666=5,база!$M$6)))</f>
        <v>225.09719999999999</v>
      </c>
      <c r="V669" s="271">
        <v>1.2</v>
      </c>
      <c r="W669" s="97">
        <f>SUMIFS(Таблица1[сумма],Таблица1[коэф],"1,2",Таблица1[р/р],"3/24",Таблица1[Ф. И. О.],B671)</f>
        <v>0</v>
      </c>
      <c r="X669" s="103">
        <f t="shared" ref="X669:X670" si="416">ROUND(U669*V669*W669,2)</f>
        <v>0</v>
      </c>
      <c r="Y669" s="838"/>
      <c r="Z669" s="840"/>
      <c r="AA669" s="843"/>
    </row>
    <row r="670" spans="1:30">
      <c r="A670" s="786"/>
      <c r="B670" s="620"/>
      <c r="C670" s="845"/>
      <c r="D670" s="847"/>
      <c r="E670" s="75"/>
      <c r="F670" s="271"/>
      <c r="G670" s="89"/>
      <c r="H670" s="103"/>
      <c r="I670" s="24">
        <f>база!$J$6</f>
        <v>243.04319999999998</v>
      </c>
      <c r="J670" s="278">
        <v>1.5</v>
      </c>
      <c r="K670" s="22">
        <f>SUMIFS(Таблица1[сумма],Таблица1[коэф],"1,5",Таблица1[р/р],"5/8",Таблица1[Ф. И. О.],B671)</f>
        <v>0</v>
      </c>
      <c r="L670" s="309">
        <f>ROUND(I670*J670*K670,2)</f>
        <v>0</v>
      </c>
      <c r="M670" s="24"/>
      <c r="N670" s="22"/>
      <c r="O670" s="22"/>
      <c r="P670" s="282"/>
      <c r="Q670" s="621">
        <f>база!$L$5</f>
        <v>231.45480000000001</v>
      </c>
      <c r="R670" s="271">
        <v>1.2</v>
      </c>
      <c r="S670" s="97">
        <f>SUMIFS(Таблица1[сумма],Таблица1[коэф],"1,2",Таблица1[р/р],"4/16",Таблица1[Ф. И. О.],B671)</f>
        <v>0</v>
      </c>
      <c r="T670" s="103">
        <f t="shared" si="412"/>
        <v>0</v>
      </c>
      <c r="U670" s="82">
        <f>база!$M$5</f>
        <v>247.41720000000001</v>
      </c>
      <c r="V670" s="271">
        <v>1.2</v>
      </c>
      <c r="W670" s="97">
        <f>SUMIFS(Таблица1[сумма],Таблица1[коэф],"1,2",Таблица1[р/р],"4/24",Таблица1[Ф. И. О.],B671)</f>
        <v>0</v>
      </c>
      <c r="X670" s="103">
        <f t="shared" si="416"/>
        <v>0</v>
      </c>
      <c r="Y670" s="838"/>
      <c r="Z670" s="840"/>
      <c r="AA670" s="843"/>
      <c r="AC670" s="722" t="str">
        <f>IF(SUMIFS(Таблица1[Столбец2],Таблица1[Ф. И. О.],B671)-Z666=0,"",SUMIFS(Таблица1[Столбец2],Таблица1[Ф. И. О.],B671)-Z666)</f>
        <v/>
      </c>
    </row>
    <row r="671" spans="1:30">
      <c r="A671" s="786"/>
      <c r="B671" s="620" t="str">
        <f>база!B62</f>
        <v>Петрова Анна Сергеевна</v>
      </c>
      <c r="C671" s="845"/>
      <c r="D671" s="847"/>
      <c r="E671" s="75"/>
      <c r="F671" s="271"/>
      <c r="G671" s="89"/>
      <c r="H671" s="103"/>
      <c r="I671" s="24"/>
      <c r="J671" s="278"/>
      <c r="K671" s="22"/>
      <c r="L671" s="309"/>
      <c r="M671" s="24"/>
      <c r="N671" s="22"/>
      <c r="O671" s="22"/>
      <c r="P671" s="282"/>
      <c r="Q671" s="621">
        <f>база!$L$6</f>
        <v>261.04640000000001</v>
      </c>
      <c r="R671" s="271">
        <v>1.2</v>
      </c>
      <c r="S671" s="97">
        <f>SUMIFS(Таблица1[сумма],Таблица1[коэф],"1,2",Таблица1[р/р],"5/16",Таблица1[Ф. И. О.],B671)</f>
        <v>0</v>
      </c>
      <c r="T671" s="103">
        <f>ROUND(Q671*R671*S671,2)</f>
        <v>0</v>
      </c>
      <c r="U671" s="82">
        <f>база!$M$6</f>
        <v>279.0496</v>
      </c>
      <c r="V671" s="271">
        <v>1.2</v>
      </c>
      <c r="W671" s="97">
        <f>SUMIFS(Таблица1[сумма],Таблица1[коэф],"1,2",Таблица1[р/р],"5/24",Таблица1[Ф. И. О.],B671)</f>
        <v>0</v>
      </c>
      <c r="X671" s="103">
        <f>ROUND(U671*V671*W671,2)</f>
        <v>0</v>
      </c>
      <c r="Y671" s="838"/>
      <c r="Z671" s="840"/>
      <c r="AA671" s="843"/>
      <c r="AC671" s="722" t="str">
        <f>IF(SUMIFS(Таблица1[сумма],Таблица1[Ф. И. О.],B671)=Y666,"",B666&amp;"  часы не верны")</f>
        <v/>
      </c>
      <c r="AD671" s="759">
        <f>INDEX('[2]декабрь 23'!$AI$4:$AI$100,MATCH(C666,'[2]декабрь 23'!$AK$4:$AK$100,0))</f>
        <v>115.20000000000003</v>
      </c>
    </row>
    <row r="672" spans="1:30">
      <c r="A672" s="786"/>
      <c r="B672" s="620"/>
      <c r="C672" s="845"/>
      <c r="D672" s="847"/>
      <c r="E672" s="75"/>
      <c r="F672" s="271"/>
      <c r="G672" s="89"/>
      <c r="H672" s="103"/>
      <c r="I672" s="24"/>
      <c r="J672" s="278"/>
      <c r="K672" s="22"/>
      <c r="L672" s="309"/>
      <c r="M672" s="24"/>
      <c r="N672" s="22"/>
      <c r="O672" s="22"/>
      <c r="P672" s="282"/>
      <c r="Q672" s="621">
        <f>IF($D$6&lt;=3,база!$L$4,
IF($D$6=4,база!$L$5,
IF($D$6=5,база!$L$6)))</f>
        <v>231.45480000000001</v>
      </c>
      <c r="R672" s="271">
        <v>1.3</v>
      </c>
      <c r="S672" s="97">
        <f>SUMIFS(Таблица1[сумма],Таблица1[коэф],"1,3",Таблица1[р/р],"3/16",Таблица1[Ф. И. О.],B671)</f>
        <v>0</v>
      </c>
      <c r="T672" s="103">
        <f t="shared" ref="T672:T673" si="417">ROUND(Q672*R672*S672,2)</f>
        <v>0</v>
      </c>
      <c r="U672" s="82">
        <f>IF(D666&lt;=3,база!$M$4,
IF(D666=4,база!$M$5,
IF(D666=5,база!$M$6)))</f>
        <v>225.09719999999999</v>
      </c>
      <c r="V672" s="271">
        <v>1.3</v>
      </c>
      <c r="W672" s="97">
        <f>SUMIFS(Таблица1[сумма],Таблица1[коэф],"1,3",Таблица1[р/р],"3/24",Таблица1[Ф. И. О.],B671)</f>
        <v>0</v>
      </c>
      <c r="X672" s="103">
        <f t="shared" ref="X672:X673" si="418">ROUND(U672*V672*W672,2)</f>
        <v>0</v>
      </c>
      <c r="Y672" s="838"/>
      <c r="Z672" s="840"/>
      <c r="AA672" s="843"/>
    </row>
    <row r="673" spans="1:30">
      <c r="A673" s="786"/>
      <c r="B673" s="620"/>
      <c r="C673" s="845"/>
      <c r="D673" s="847"/>
      <c r="E673" s="75"/>
      <c r="F673" s="271"/>
      <c r="G673" s="89"/>
      <c r="H673" s="103"/>
      <c r="I673" s="24"/>
      <c r="J673" s="278"/>
      <c r="K673" s="22"/>
      <c r="L673" s="309"/>
      <c r="M673" s="24"/>
      <c r="N673" s="22"/>
      <c r="O673" s="22"/>
      <c r="P673" s="282"/>
      <c r="Q673" s="621">
        <f>база!$L$5</f>
        <v>231.45480000000001</v>
      </c>
      <c r="R673" s="271">
        <v>1.3</v>
      </c>
      <c r="S673" s="97">
        <f>SUMIFS(Таблица1[сумма],Таблица1[коэф],"1,3",Таблица1[р/р],"4/16",Таблица1[Ф. И. О.],B671)</f>
        <v>0</v>
      </c>
      <c r="T673" s="103">
        <f t="shared" si="417"/>
        <v>0</v>
      </c>
      <c r="U673" s="82">
        <f>база!$M$5</f>
        <v>247.41720000000001</v>
      </c>
      <c r="V673" s="271">
        <v>1.3</v>
      </c>
      <c r="W673" s="97">
        <f>SUMIFS(Таблица1[сумма],Таблица1[коэф],"1,3",Таблица1[р/р],"4/24",Таблица1[Ф. И. О.],B671)</f>
        <v>0</v>
      </c>
      <c r="X673" s="103">
        <f t="shared" si="418"/>
        <v>0</v>
      </c>
      <c r="Y673" s="838"/>
      <c r="Z673" s="840"/>
      <c r="AA673" s="843"/>
    </row>
    <row r="674" spans="1:30">
      <c r="A674" s="786"/>
      <c r="B674" s="620"/>
      <c r="C674" s="845"/>
      <c r="D674" s="847"/>
      <c r="E674" s="75"/>
      <c r="F674" s="271"/>
      <c r="G674" s="89"/>
      <c r="H674" s="103"/>
      <c r="I674" s="24"/>
      <c r="J674" s="278"/>
      <c r="K674" s="22"/>
      <c r="L674" s="309"/>
      <c r="M674" s="24"/>
      <c r="N674" s="22"/>
      <c r="O674" s="22"/>
      <c r="P674" s="282"/>
      <c r="Q674" s="621">
        <f>IF(D666&lt;=3,база!$L$4,
IF(D666=4,база!$L$5,
IF(D666=5,база!$L$6)))</f>
        <v>210.57480000000001</v>
      </c>
      <c r="R674" s="271">
        <v>1.4</v>
      </c>
      <c r="S674" s="97">
        <f>SUMIFS(Таблица1[сумма],Таблица1[коэф],"1,4",Таблица1[р/р],"3/16",Таблица1[Ф. И. О.],B671)</f>
        <v>0</v>
      </c>
      <c r="T674" s="103">
        <f>ROUND(Q674*R674*S674,2)</f>
        <v>0</v>
      </c>
      <c r="U674" s="82">
        <f>IF(D666&lt;=3,база!$M$4,
IF(D666=4,база!$M$5,
IF(D666=5,база!$M$6)))</f>
        <v>225.09719999999999</v>
      </c>
      <c r="V674" s="271">
        <v>1.4</v>
      </c>
      <c r="W674" s="97">
        <f>SUMIFS(Таблица1[сумма],Таблица1[коэф],"1,4",Таблица1[р/р],"3/24",Таблица1[Ф. И. О.],B671)</f>
        <v>0</v>
      </c>
      <c r="X674" s="103">
        <f>ROUND(U674*V674*W674,2)</f>
        <v>0</v>
      </c>
      <c r="Y674" s="838"/>
      <c r="Z674" s="840"/>
      <c r="AA674" s="843"/>
    </row>
    <row r="675" spans="1:30">
      <c r="A675" s="786"/>
      <c r="B675" s="620"/>
      <c r="C675" s="845"/>
      <c r="D675" s="847"/>
      <c r="E675" s="85"/>
      <c r="F675" s="273"/>
      <c r="G675" s="630"/>
      <c r="H675" s="90"/>
      <c r="I675" s="67"/>
      <c r="J675" s="631"/>
      <c r="K675" s="59"/>
      <c r="L675" s="325"/>
      <c r="M675" s="67"/>
      <c r="N675" s="59"/>
      <c r="O675" s="59"/>
      <c r="P675" s="283"/>
      <c r="Q675" s="632">
        <f>база!$L$5</f>
        <v>231.45480000000001</v>
      </c>
      <c r="R675" s="273">
        <v>1.4</v>
      </c>
      <c r="S675" s="101">
        <f>SUMIFS(Таблица1[сумма],Таблица1[коэф],"1,4",Таблица1[р/р],"4/16",Таблица1[Ф. И. О.],B671)</f>
        <v>0</v>
      </c>
      <c r="T675" s="90">
        <f>ROUND(Q675*R675*S675,2)</f>
        <v>0</v>
      </c>
      <c r="U675" s="106">
        <f>база!$M$5</f>
        <v>247.41720000000001</v>
      </c>
      <c r="V675" s="273">
        <v>1.4</v>
      </c>
      <c r="W675" s="101">
        <f>SUMIFS(Таблица1[сумма],Таблица1[коэф],"1,4",Таблица1[р/р],"4/24",Таблица1[Ф. И. О.],B671)</f>
        <v>0</v>
      </c>
      <c r="X675" s="90">
        <f>ROUND(U675*V675*W675,2)</f>
        <v>0</v>
      </c>
      <c r="Y675" s="838"/>
      <c r="Z675" s="840"/>
      <c r="AA675" s="843"/>
    </row>
    <row r="676" spans="1:30" ht="24" thickBot="1">
      <c r="A676" s="787"/>
      <c r="B676" s="352"/>
      <c r="C676" s="846"/>
      <c r="D676" s="848"/>
      <c r="E676" s="77"/>
      <c r="F676" s="276"/>
      <c r="G676" s="622"/>
      <c r="H676" s="94"/>
      <c r="I676" s="623"/>
      <c r="J676" s="596"/>
      <c r="K676" s="624"/>
      <c r="L676" s="328"/>
      <c r="M676" s="623"/>
      <c r="N676" s="624"/>
      <c r="O676" s="624"/>
      <c r="P676" s="290"/>
      <c r="Q676" s="625">
        <f>база!$L$6</f>
        <v>261.04640000000001</v>
      </c>
      <c r="R676" s="276">
        <v>1.4</v>
      </c>
      <c r="S676" s="100">
        <f>SUMIFS(Таблица1[сумма],Таблица1[коэф],"1,4",Таблица1[р/р],"5/16",Таблица1[Ф. И. О.],B671)</f>
        <v>0</v>
      </c>
      <c r="T676" s="94">
        <f>ROUND(Q676*R676*S676,2)</f>
        <v>0</v>
      </c>
      <c r="U676" s="84">
        <f>база!$M$6</f>
        <v>279.0496</v>
      </c>
      <c r="V676" s="276">
        <v>1.4</v>
      </c>
      <c r="W676" s="100">
        <f>SUMIFS(Таблица1[сумма],Таблица1[коэф],"1,4",Таблица1[р/р],"5/24",Таблица1[Ф. И. О.],B671)</f>
        <v>0</v>
      </c>
      <c r="X676" s="94">
        <f>ROUND(U676*V676*W676,2)</f>
        <v>0</v>
      </c>
      <c r="Y676" s="839"/>
      <c r="Z676" s="841"/>
      <c r="AA676" s="844"/>
    </row>
    <row r="677" spans="1:30" ht="20.25" customHeight="1">
      <c r="A677" s="785">
        <v>62</v>
      </c>
      <c r="B677" s="620"/>
      <c r="C677" s="851">
        <f>INDEX(база!$E$2:$E$181, MATCH(B682,база!$B$2:$B$160,0))</f>
        <v>15589</v>
      </c>
      <c r="D677" s="852">
        <f>INDEX(база!$D$2:$D$189, MATCH(B682,база!$B$2:$B$160,0))</f>
        <v>3</v>
      </c>
      <c r="E677" s="75">
        <f>IF(D677&lt;=3,база!$I$4,
IF(D677=4,база!$I$5,
IF(D677=5,база!$I$6)))</f>
        <v>188.7912</v>
      </c>
      <c r="F677" s="271">
        <v>1</v>
      </c>
      <c r="G677" s="89">
        <f>SUMIFS(Таблица1[сумма],Таблица1[коэф],"1",Таблица1[р/р],"2/4",Таблица1[Ф. И. О.],B682)</f>
        <v>0</v>
      </c>
      <c r="H677" s="103">
        <f>ROUND(E677*F677*G677,2)</f>
        <v>0</v>
      </c>
      <c r="I677" s="24">
        <f>IF(D677&lt;=3,база!$J$4,
IF(D677=4,база!$J$5,
IF(D677=5,база!$J$6)))</f>
        <v>196.05240000000001</v>
      </c>
      <c r="J677" s="278">
        <v>1</v>
      </c>
      <c r="K677" s="22">
        <f>SUMIFS(Таблица1[сумма],Таблица1[коэф],"1",Таблица1[р/р],"2/8",Таблица1[Ф. И. О.],B682)</f>
        <v>0</v>
      </c>
      <c r="L677" s="309">
        <f>ROUND(I677*J677*K677,2)</f>
        <v>0</v>
      </c>
      <c r="M677" s="24"/>
      <c r="N677" s="22">
        <v>1</v>
      </c>
      <c r="O677" s="22">
        <f>SUMIFS(Data_Tech!$AM$3:$AM$67,Data_Tech!$E$3:$E$67,"1",Data_Tech!$G$3:$G$67,"3/12",Data_Tech!$F$3:$F$67,B682)</f>
        <v>0</v>
      </c>
      <c r="P677" s="282">
        <f>ROUND(M677*N677*O677,2)</f>
        <v>0</v>
      </c>
      <c r="Q677" s="621">
        <f>IF(D677&lt;=3,база!$L$4,
IF(D677=4,база!$L$5,
IF(D677=5,база!$L$6)))</f>
        <v>210.57480000000001</v>
      </c>
      <c r="R677" s="271">
        <v>1</v>
      </c>
      <c r="S677" s="97">
        <f>SUMIFS(Таблица1[сумма],Таблица1[коэф],"1",Таблица1[р/р],"3/16",Таблица1[Ф. И. О.],B682)</f>
        <v>0</v>
      </c>
      <c r="T677" s="103">
        <f t="shared" ref="T677:T681" si="419">ROUND(Q677*R677*S677,2)</f>
        <v>0</v>
      </c>
      <c r="U677" s="82">
        <f>IF(D677&lt;=3,база!$M$4,
IF(D677=4,база!$M$5,
IF(D677=5,база!$M$6)))</f>
        <v>225.09719999999999</v>
      </c>
      <c r="V677" s="271">
        <v>1</v>
      </c>
      <c r="W677" s="97">
        <f>SUMIFS(Таблица1[сумма],Таблица1[коэф],"1",Таблица1[р/р],"3/24",Таблица1[Ф. И. О.],B682)</f>
        <v>0</v>
      </c>
      <c r="X677" s="103">
        <f>ROUND(U677*V677*W677,2)</f>
        <v>0</v>
      </c>
      <c r="Y677" s="837">
        <f t="shared" ref="Y677" si="420">SUM(G677:G687,K677:K687,O677:O687,S677:S687,W677:W687)</f>
        <v>0</v>
      </c>
      <c r="Z677" s="853">
        <f t="shared" ref="Z677" si="421">IFERROR(SUM(H677:H687,L677:L687,T677:T687,X677:X687),"")</f>
        <v>0</v>
      </c>
      <c r="AA677" s="842"/>
    </row>
    <row r="678" spans="1:30">
      <c r="A678" s="786"/>
      <c r="B678" s="620"/>
      <c r="C678" s="845"/>
      <c r="D678" s="847"/>
      <c r="E678" s="75">
        <f>IF(D677&lt;=3,база!$I$4,
IF(D677=4,база!$I$5,
IF(D677=5,база!$I$6)))</f>
        <v>188.7912</v>
      </c>
      <c r="F678" s="271">
        <v>1</v>
      </c>
      <c r="G678" s="89">
        <f>SUMIFS(Таблица1[сумма],Таблица1[коэф],"1",Таблица1[р/р],"3/4",Таблица1[Ф. И. О.],B682)</f>
        <v>0</v>
      </c>
      <c r="H678" s="103">
        <f>ROUND(E678*F678*G678,2)</f>
        <v>0</v>
      </c>
      <c r="I678" s="24">
        <f>IF(D677&lt;=3,база!$J$4,
IF(D677=4,база!$J$5,
IF(D677=5,база!$J$6)))</f>
        <v>196.05240000000001</v>
      </c>
      <c r="J678" s="278">
        <v>1</v>
      </c>
      <c r="K678" s="22"/>
      <c r="L678" s="309">
        <f>ROUND(I678*J678*K678,2)</f>
        <v>0</v>
      </c>
      <c r="M678" s="24"/>
      <c r="N678" s="22">
        <v>1</v>
      </c>
      <c r="O678" s="22">
        <f>SUMIFS(Data_Tech!$AM$3:$AM$67,Data_Tech!$E$3:$E$67,"1",Data_Tech!$G$3:$G$67,"4/12",Data_Tech!$F$3:$F$67,B682)</f>
        <v>0</v>
      </c>
      <c r="P678" s="282">
        <f>ROUND(M678*O678,2)</f>
        <v>0</v>
      </c>
      <c r="Q678" s="621">
        <f>база!$L$5</f>
        <v>231.45480000000001</v>
      </c>
      <c r="R678" s="271">
        <v>1</v>
      </c>
      <c r="S678" s="97">
        <f>SUMIFS(Таблица1[сумма],Таблица1[коэф],"1",Таблица1[р/р],"4/16",Таблица1[Ф. И. О.],B682)</f>
        <v>0</v>
      </c>
      <c r="T678" s="103">
        <f t="shared" si="419"/>
        <v>0</v>
      </c>
      <c r="U678" s="82">
        <f>база!$M$5</f>
        <v>247.41720000000001</v>
      </c>
      <c r="V678" s="271">
        <v>1</v>
      </c>
      <c r="W678" s="97">
        <f>SUMIFS(Таблица1[сумма],Таблица1[коэф],"1",Таблица1[р/р],"4/24",Таблица1[Ф. И. О.],B682)</f>
        <v>0</v>
      </c>
      <c r="X678" s="103">
        <f t="shared" ref="X678" si="422">ROUND(U678*V678*W678,2)</f>
        <v>0</v>
      </c>
      <c r="Y678" s="838"/>
      <c r="Z678" s="840"/>
      <c r="AA678" s="843"/>
    </row>
    <row r="679" spans="1:30">
      <c r="A679" s="786"/>
      <c r="B679" s="620"/>
      <c r="C679" s="845"/>
      <c r="D679" s="847"/>
      <c r="E679" s="75"/>
      <c r="F679" s="271"/>
      <c r="G679" s="89"/>
      <c r="H679" s="103"/>
      <c r="I679" s="24"/>
      <c r="J679" s="278"/>
      <c r="K679" s="22"/>
      <c r="L679" s="309"/>
      <c r="M679" s="24"/>
      <c r="N679" s="22"/>
      <c r="O679" s="22"/>
      <c r="P679" s="282"/>
      <c r="Q679" s="621">
        <f>база!$L$6</f>
        <v>261.04640000000001</v>
      </c>
      <c r="R679" s="271">
        <v>1</v>
      </c>
      <c r="S679" s="97">
        <f>SUMIFS(Таблица1[сумма],Таблица1[коэф],"1",Таблица1[р/р],"5/16",Таблица1[Ф. И. О.],B682)</f>
        <v>0</v>
      </c>
      <c r="T679" s="103">
        <f t="shared" si="419"/>
        <v>0</v>
      </c>
      <c r="U679" s="82">
        <f>база!$M$6</f>
        <v>279.0496</v>
      </c>
      <c r="V679" s="271">
        <v>1</v>
      </c>
      <c r="W679" s="97">
        <f>SUMIFS(Таблица1[сумма],Таблица1[коэф],"1",Таблица1[р/р],"5/24",Таблица1[Ф. И. О.],B682)</f>
        <v>0</v>
      </c>
      <c r="X679" s="103">
        <f>ROUND(U679*V679*W679,2)</f>
        <v>0</v>
      </c>
      <c r="Y679" s="838"/>
      <c r="Z679" s="840"/>
      <c r="AA679" s="843"/>
    </row>
    <row r="680" spans="1:30">
      <c r="A680" s="786"/>
      <c r="B680" s="620"/>
      <c r="C680" s="845"/>
      <c r="D680" s="847"/>
      <c r="E680" s="75"/>
      <c r="F680" s="271"/>
      <c r="G680" s="89"/>
      <c r="H680" s="103"/>
      <c r="I680" s="24">
        <f>база!$J$5</f>
        <v>215.4924</v>
      </c>
      <c r="J680" s="278">
        <v>1.5</v>
      </c>
      <c r="K680" s="22">
        <f>SUMIFS(Таблица1[сумма],Таблица1[коэф],"1,5",Таблица1[р/р],"4/8",Таблица1[Ф. И. О.],B682)</f>
        <v>0</v>
      </c>
      <c r="L680" s="309">
        <f>ROUND(I680*J680*K680,2)</f>
        <v>0</v>
      </c>
      <c r="M680" s="24"/>
      <c r="N680" s="22"/>
      <c r="O680" s="22"/>
      <c r="P680" s="282"/>
      <c r="Q680" s="621">
        <f>IF(D677&lt;=3,база!$L$4,
IF(D677=4,база!$L$5,
IF(D677=5,база!$L$6)))</f>
        <v>210.57480000000001</v>
      </c>
      <c r="R680" s="271">
        <v>1.2</v>
      </c>
      <c r="S680" s="97">
        <f>SUMIFS(Таблица1[сумма],Таблица1[коэф],"1,2",Таблица1[р/р],"3/16",Таблица1[Ф. И. О.],B682)</f>
        <v>0</v>
      </c>
      <c r="T680" s="103">
        <f t="shared" si="419"/>
        <v>0</v>
      </c>
      <c r="U680" s="82">
        <f>IF(D677&lt;=3,база!$M$4,
IF(D677=4,база!$M$5,
IF(D677=5,база!$M$6)))</f>
        <v>225.09719999999999</v>
      </c>
      <c r="V680" s="271">
        <v>1.2</v>
      </c>
      <c r="W680" s="97">
        <f>SUMIFS(Таблица1[сумма],Таблица1[коэф],"1,2",Таблица1[р/р],"3/24",Таблица1[Ф. И. О.],B682)</f>
        <v>0</v>
      </c>
      <c r="X680" s="103">
        <f t="shared" ref="X680:X681" si="423">ROUND(U680*V680*W680,2)</f>
        <v>0</v>
      </c>
      <c r="Y680" s="838"/>
      <c r="Z680" s="840"/>
      <c r="AA680" s="843"/>
    </row>
    <row r="681" spans="1:30">
      <c r="A681" s="786"/>
      <c r="B681" s="620"/>
      <c r="C681" s="845"/>
      <c r="D681" s="847"/>
      <c r="E681" s="75"/>
      <c r="F681" s="271"/>
      <c r="G681" s="89"/>
      <c r="H681" s="103"/>
      <c r="I681" s="24">
        <f>база!$J$6</f>
        <v>243.04319999999998</v>
      </c>
      <c r="J681" s="278">
        <v>1.5</v>
      </c>
      <c r="K681" s="22">
        <f>SUMIFS(Таблица1[сумма],Таблица1[коэф],"1,5",Таблица1[р/р],"5/8",Таблица1[Ф. И. О.],B682)</f>
        <v>0</v>
      </c>
      <c r="L681" s="309">
        <f>ROUND(I681*J681*K681,2)</f>
        <v>0</v>
      </c>
      <c r="M681" s="24"/>
      <c r="N681" s="22"/>
      <c r="O681" s="22"/>
      <c r="P681" s="282"/>
      <c r="Q681" s="621">
        <f>база!$L$5</f>
        <v>231.45480000000001</v>
      </c>
      <c r="R681" s="271">
        <v>1.2</v>
      </c>
      <c r="S681" s="97">
        <f>SUMIFS(Таблица1[сумма],Таблица1[коэф],"1,2",Таблица1[р/р],"4/16",Таблица1[Ф. И. О.],B682)</f>
        <v>0</v>
      </c>
      <c r="T681" s="103">
        <f t="shared" si="419"/>
        <v>0</v>
      </c>
      <c r="U681" s="82">
        <f>база!$M$5</f>
        <v>247.41720000000001</v>
      </c>
      <c r="V681" s="271">
        <v>1.2</v>
      </c>
      <c r="W681" s="97">
        <f>SUMIFS(Таблица1[сумма],Таблица1[коэф],"1,2",Таблица1[р/р],"4/24",Таблица1[Ф. И. О.],B682)</f>
        <v>0</v>
      </c>
      <c r="X681" s="103">
        <f t="shared" si="423"/>
        <v>0</v>
      </c>
      <c r="Y681" s="838"/>
      <c r="Z681" s="840"/>
      <c r="AA681" s="843"/>
      <c r="AC681" s="722" t="str">
        <f>IF(SUMIFS(Таблица1[Столбец2],Таблица1[Ф. И. О.],B682)-Z677=0,"",SUMIFS(Таблица1[Столбец2],Таблица1[Ф. И. О.],B682)-Z677)</f>
        <v/>
      </c>
    </row>
    <row r="682" spans="1:30">
      <c r="A682" s="786"/>
      <c r="B682" s="620" t="str">
        <f>база!B63</f>
        <v>Пириева Виктория Хозеиновна</v>
      </c>
      <c r="C682" s="845"/>
      <c r="D682" s="847"/>
      <c r="E682" s="75"/>
      <c r="F682" s="271"/>
      <c r="G682" s="89"/>
      <c r="H682" s="103"/>
      <c r="I682" s="24"/>
      <c r="J682" s="278"/>
      <c r="K682" s="22"/>
      <c r="L682" s="309"/>
      <c r="M682" s="24"/>
      <c r="N682" s="22"/>
      <c r="O682" s="22"/>
      <c r="P682" s="282"/>
      <c r="Q682" s="621">
        <f>база!$L$6</f>
        <v>261.04640000000001</v>
      </c>
      <c r="R682" s="271">
        <v>1.2</v>
      </c>
      <c r="S682" s="97">
        <f>SUMIFS(Таблица1[сумма],Таблица1[коэф],"1,2",Таблица1[р/р],"5/16",Таблица1[Ф. И. О.],B682)</f>
        <v>0</v>
      </c>
      <c r="T682" s="103">
        <f>ROUND(Q682*R682*S682,2)</f>
        <v>0</v>
      </c>
      <c r="U682" s="82">
        <f>база!$M$6</f>
        <v>279.0496</v>
      </c>
      <c r="V682" s="271">
        <v>1.2</v>
      </c>
      <c r="W682" s="97">
        <f>SUMIFS(Таблица1[сумма],Таблица1[коэф],"1,2",Таблица1[р/р],"5/24",Таблица1[Ф. И. О.],B682)</f>
        <v>0</v>
      </c>
      <c r="X682" s="103">
        <f>ROUND(U682*V682*W682,2)</f>
        <v>0</v>
      </c>
      <c r="Y682" s="838"/>
      <c r="Z682" s="840"/>
      <c r="AA682" s="843"/>
      <c r="AC682" s="722" t="str">
        <f>IF(SUMIFS(Таблица1[сумма],Таблица1[Ф. И. О.],B682)=Y677,"",B677&amp;"  часы не верны")</f>
        <v/>
      </c>
      <c r="AD682" s="759">
        <f>INDEX('[2]декабрь 23'!$AI$4:$AI$100,MATCH(C677,'[2]декабрь 23'!$AK$4:$AK$100,0))</f>
        <v>151.19999999999999</v>
      </c>
    </row>
    <row r="683" spans="1:30">
      <c r="A683" s="786"/>
      <c r="B683" s="620"/>
      <c r="C683" s="845"/>
      <c r="D683" s="847"/>
      <c r="E683" s="75"/>
      <c r="F683" s="271"/>
      <c r="G683" s="89"/>
      <c r="H683" s="103"/>
      <c r="I683" s="24"/>
      <c r="J683" s="278"/>
      <c r="K683" s="22"/>
      <c r="L683" s="309"/>
      <c r="M683" s="24"/>
      <c r="N683" s="22"/>
      <c r="O683" s="22"/>
      <c r="P683" s="282"/>
      <c r="Q683" s="621">
        <f>IF($D$6&lt;=3,база!$L$4,
IF($D$6=4,база!$L$5,
IF($D$6=5,база!$L$6)))</f>
        <v>231.45480000000001</v>
      </c>
      <c r="R683" s="271">
        <v>1.3</v>
      </c>
      <c r="S683" s="97">
        <f>SUMIFS(Таблица1[сумма],Таблица1[коэф],"1,3",Таблица1[р/р],"3/16",Таблица1[Ф. И. О.],B682)</f>
        <v>0</v>
      </c>
      <c r="T683" s="103">
        <f t="shared" ref="T683:T684" si="424">ROUND(Q683*R683*S683,2)</f>
        <v>0</v>
      </c>
      <c r="U683" s="82">
        <f>IF(D677&lt;=3,база!$M$4,
IF(D677=4,база!$M$5,
IF(D677=5,база!$M$6)))</f>
        <v>225.09719999999999</v>
      </c>
      <c r="V683" s="271">
        <v>1.3</v>
      </c>
      <c r="W683" s="97">
        <f>SUMIFS(Таблица1[сумма],Таблица1[коэф],"1,3",Таблица1[р/р],"3/24",Таблица1[Ф. И. О.],B682)</f>
        <v>0</v>
      </c>
      <c r="X683" s="103">
        <f t="shared" ref="X683:X684" si="425">ROUND(U683*V683*W683,2)</f>
        <v>0</v>
      </c>
      <c r="Y683" s="838"/>
      <c r="Z683" s="840"/>
      <c r="AA683" s="843"/>
    </row>
    <row r="684" spans="1:30">
      <c r="A684" s="786"/>
      <c r="B684" s="620"/>
      <c r="C684" s="845"/>
      <c r="D684" s="847"/>
      <c r="E684" s="75"/>
      <c r="F684" s="271"/>
      <c r="G684" s="89"/>
      <c r="H684" s="103"/>
      <c r="I684" s="24"/>
      <c r="J684" s="278"/>
      <c r="K684" s="22"/>
      <c r="L684" s="309"/>
      <c r="M684" s="24"/>
      <c r="N684" s="22"/>
      <c r="O684" s="22"/>
      <c r="P684" s="282"/>
      <c r="Q684" s="621">
        <f>база!$L$5</f>
        <v>231.45480000000001</v>
      </c>
      <c r="R684" s="271">
        <v>1.3</v>
      </c>
      <c r="S684" s="97">
        <f>SUMIFS(Таблица1[сумма],Таблица1[коэф],"1,3",Таблица1[р/р],"4/16",Таблица1[Ф. И. О.],B682)</f>
        <v>0</v>
      </c>
      <c r="T684" s="103">
        <f t="shared" si="424"/>
        <v>0</v>
      </c>
      <c r="U684" s="82">
        <f>база!$M$5</f>
        <v>247.41720000000001</v>
      </c>
      <c r="V684" s="271">
        <v>1.3</v>
      </c>
      <c r="W684" s="97">
        <f>SUMIFS(Таблица1[сумма],Таблица1[коэф],"1,3",Таблица1[р/р],"4/24",Таблица1[Ф. И. О.],B682)</f>
        <v>0</v>
      </c>
      <c r="X684" s="103">
        <f t="shared" si="425"/>
        <v>0</v>
      </c>
      <c r="Y684" s="838"/>
      <c r="Z684" s="840"/>
      <c r="AA684" s="843"/>
    </row>
    <row r="685" spans="1:30">
      <c r="A685" s="786"/>
      <c r="B685" s="620"/>
      <c r="C685" s="845"/>
      <c r="D685" s="847"/>
      <c r="E685" s="75"/>
      <c r="F685" s="271"/>
      <c r="G685" s="89"/>
      <c r="H685" s="103"/>
      <c r="I685" s="24"/>
      <c r="J685" s="278"/>
      <c r="K685" s="22"/>
      <c r="L685" s="309"/>
      <c r="M685" s="24"/>
      <c r="N685" s="22"/>
      <c r="O685" s="22"/>
      <c r="P685" s="282"/>
      <c r="Q685" s="621">
        <f>IF(D677&lt;=3,база!$L$4,
IF(D677=4,база!$L$5,
IF(D677=5,база!$L$6)))</f>
        <v>210.57480000000001</v>
      </c>
      <c r="R685" s="271">
        <v>1.4</v>
      </c>
      <c r="S685" s="97">
        <f>SUMIFS(Таблица1[сумма],Таблица1[коэф],"1,4",Таблица1[р/р],"3/16",Таблица1[Ф. И. О.],B682)</f>
        <v>0</v>
      </c>
      <c r="T685" s="103">
        <f>ROUND(Q685*R685*S685,2)</f>
        <v>0</v>
      </c>
      <c r="U685" s="82">
        <f>IF(D677&lt;=3,база!$M$4,
IF(D677=4,база!$M$5,
IF(D677=5,база!$M$6)))</f>
        <v>225.09719999999999</v>
      </c>
      <c r="V685" s="271">
        <v>1.4</v>
      </c>
      <c r="W685" s="97">
        <f>SUMIFS(Таблица1[сумма],Таблица1[коэф],"1,4",Таблица1[р/р],"3/24",Таблица1[Ф. И. О.],B682)</f>
        <v>0</v>
      </c>
      <c r="X685" s="103">
        <f>ROUND(U685*V685*W685,2)</f>
        <v>0</v>
      </c>
      <c r="Y685" s="838"/>
      <c r="Z685" s="840"/>
      <c r="AA685" s="843"/>
    </row>
    <row r="686" spans="1:30">
      <c r="A686" s="786"/>
      <c r="B686" s="620"/>
      <c r="C686" s="845"/>
      <c r="D686" s="847"/>
      <c r="E686" s="85"/>
      <c r="F686" s="273"/>
      <c r="G686" s="630"/>
      <c r="H686" s="90"/>
      <c r="I686" s="67"/>
      <c r="J686" s="631"/>
      <c r="K686" s="59"/>
      <c r="L686" s="325"/>
      <c r="M686" s="67"/>
      <c r="N686" s="59"/>
      <c r="O686" s="59"/>
      <c r="P686" s="283"/>
      <c r="Q686" s="632">
        <f>база!$L$5</f>
        <v>231.45480000000001</v>
      </c>
      <c r="R686" s="273">
        <v>1.4</v>
      </c>
      <c r="S686" s="101">
        <f>SUMIFS(Таблица1[сумма],Таблица1[коэф],"1,4",Таблица1[р/р],"4/16",Таблица1[Ф. И. О.],B682)</f>
        <v>0</v>
      </c>
      <c r="T686" s="90">
        <f>ROUND(Q686*R686*S686,2)</f>
        <v>0</v>
      </c>
      <c r="U686" s="106">
        <f>база!$M$5</f>
        <v>247.41720000000001</v>
      </c>
      <c r="V686" s="273">
        <v>1.4</v>
      </c>
      <c r="W686" s="101">
        <f>SUMIFS(Таблица1[сумма],Таблица1[коэф],"1,4",Таблица1[р/р],"4/24",Таблица1[Ф. И. О.],B682)</f>
        <v>0</v>
      </c>
      <c r="X686" s="90">
        <f>ROUND(U686*V686*W686,2)</f>
        <v>0</v>
      </c>
      <c r="Y686" s="838"/>
      <c r="Z686" s="840"/>
      <c r="AA686" s="843"/>
    </row>
    <row r="687" spans="1:30" ht="24" thickBot="1">
      <c r="A687" s="787"/>
      <c r="B687" s="352"/>
      <c r="C687" s="846"/>
      <c r="D687" s="848"/>
      <c r="E687" s="77"/>
      <c r="F687" s="276"/>
      <c r="G687" s="622"/>
      <c r="H687" s="94"/>
      <c r="I687" s="623"/>
      <c r="J687" s="596"/>
      <c r="K687" s="624"/>
      <c r="L687" s="328"/>
      <c r="M687" s="623"/>
      <c r="N687" s="624"/>
      <c r="O687" s="624"/>
      <c r="P687" s="290"/>
      <c r="Q687" s="625">
        <f>база!$L$6</f>
        <v>261.04640000000001</v>
      </c>
      <c r="R687" s="276">
        <v>1.4</v>
      </c>
      <c r="S687" s="100">
        <f>SUMIFS(Таблица1[сумма],Таблица1[коэф],"1,4",Таблица1[р/р],"5/16",Таблица1[Ф. И. О.],B682)</f>
        <v>0</v>
      </c>
      <c r="T687" s="94">
        <f>ROUND(Q687*R687*S687,2)</f>
        <v>0</v>
      </c>
      <c r="U687" s="84">
        <f>база!$M$6</f>
        <v>279.0496</v>
      </c>
      <c r="V687" s="276">
        <v>1.4</v>
      </c>
      <c r="W687" s="100">
        <f>SUMIFS(Таблица1[сумма],Таблица1[коэф],"1,4",Таблица1[р/р],"5/24",Таблица1[Ф. И. О.],B682)</f>
        <v>0</v>
      </c>
      <c r="X687" s="94">
        <f>ROUND(U687*V687*W687,2)</f>
        <v>0</v>
      </c>
      <c r="Y687" s="839"/>
      <c r="Z687" s="841"/>
      <c r="AA687" s="844"/>
    </row>
    <row r="688" spans="1:30" ht="20.25" customHeight="1">
      <c r="A688" s="785">
        <v>63</v>
      </c>
      <c r="B688" s="620"/>
      <c r="C688" s="851">
        <f>INDEX(база!$E$2:$E$181, MATCH(B693,база!$B$2:$B$160,0))</f>
        <v>16858</v>
      </c>
      <c r="D688" s="852">
        <f>INDEX(база!$D$2:$D$189, MATCH(B693,база!$B$2:$B$160,0))</f>
        <v>3</v>
      </c>
      <c r="E688" s="75">
        <f>IF(D688&lt;=3,база!$I$4,
IF(D688=4,база!$I$5,
IF(D688=5,база!$I$6)))</f>
        <v>188.7912</v>
      </c>
      <c r="F688" s="271">
        <v>1</v>
      </c>
      <c r="G688" s="89">
        <f>SUMIFS(Таблица1[сумма],Таблица1[коэф],"1",Таблица1[р/р],"2/4",Таблица1[Ф. И. О.],B693)</f>
        <v>0</v>
      </c>
      <c r="H688" s="103">
        <f>ROUND(E688*F688*G688,2)</f>
        <v>0</v>
      </c>
      <c r="I688" s="24">
        <f>IF(D688&lt;=3,база!$J$4,
IF(D688=4,база!$J$5,
IF(D688=5,база!$J$6)))</f>
        <v>196.05240000000001</v>
      </c>
      <c r="J688" s="278">
        <v>1</v>
      </c>
      <c r="K688" s="22">
        <f>SUMIFS(Таблица1[сумма],Таблица1[коэф],"1",Таблица1[р/р],"2/8",Таблица1[Ф. И. О.],B693)</f>
        <v>0</v>
      </c>
      <c r="L688" s="309">
        <f>ROUND(I688*J688*K688,2)</f>
        <v>0</v>
      </c>
      <c r="M688" s="24"/>
      <c r="N688" s="22">
        <v>1</v>
      </c>
      <c r="O688" s="22">
        <f>SUMIFS(Data_Tech!$AM$3:$AM$67,Data_Tech!$E$3:$E$67,"1",Data_Tech!$G$3:$G$67,"3/12",Data_Tech!$F$3:$F$67,B693)</f>
        <v>0</v>
      </c>
      <c r="P688" s="282">
        <f>ROUND(M688*N688*O688,2)</f>
        <v>0</v>
      </c>
      <c r="Q688" s="621">
        <f>IF(D688&lt;=3,база!$L$4,
IF(D688=4,база!$L$5,
IF(D688=5,база!$L$6)))</f>
        <v>210.57480000000001</v>
      </c>
      <c r="R688" s="271">
        <v>1</v>
      </c>
      <c r="S688" s="97">
        <f>SUMIFS(Таблица1[сумма],Таблица1[коэф],"1",Таблица1[р/р],"3/16",Таблица1[Ф. И. О.],B693)</f>
        <v>0</v>
      </c>
      <c r="T688" s="103">
        <f t="shared" ref="T688:T692" si="426">ROUND(Q688*R688*S688,2)</f>
        <v>0</v>
      </c>
      <c r="U688" s="82">
        <f>IF(D688&lt;=3,база!$M$4,
IF(D688=4,база!$M$5,
IF(D688=5,база!$M$6)))</f>
        <v>225.09719999999999</v>
      </c>
      <c r="V688" s="271">
        <v>1</v>
      </c>
      <c r="W688" s="97">
        <f>SUMIFS(Таблица1[сумма],Таблица1[коэф],"1",Таблица1[р/р],"3/24",Таблица1[Ф. И. О.],B693)</f>
        <v>0</v>
      </c>
      <c r="X688" s="103">
        <f>ROUND(U688*V688*W688,2)</f>
        <v>0</v>
      </c>
      <c r="Y688" s="837">
        <f t="shared" ref="Y688" si="427">SUM(G688:G698,K688:K698,O688:O698,S688:S698,W688:W698)</f>
        <v>0</v>
      </c>
      <c r="Z688" s="853">
        <f t="shared" ref="Z688" si="428">IFERROR(SUM(H688:H698,L688:L698,T688:T698,X688:X698),"")</f>
        <v>0</v>
      </c>
      <c r="AA688" s="842"/>
    </row>
    <row r="689" spans="1:30">
      <c r="A689" s="786"/>
      <c r="B689" s="620"/>
      <c r="C689" s="845"/>
      <c r="D689" s="847"/>
      <c r="E689" s="75">
        <f>IF(D688&lt;=3,база!$I$4,
IF(D688=4,база!$I$5,
IF(D688=5,база!$I$6)))</f>
        <v>188.7912</v>
      </c>
      <c r="F689" s="271">
        <v>1</v>
      </c>
      <c r="G689" s="89">
        <f>SUMIFS(Таблица1[сумма],Таблица1[коэф],"1",Таблица1[р/р],"3/4",Таблица1[Ф. И. О.],B693)</f>
        <v>0</v>
      </c>
      <c r="H689" s="103">
        <f>ROUND(E689*F689*G689,2)</f>
        <v>0</v>
      </c>
      <c r="I689" s="24">
        <f>IF(D688&lt;=3,база!$J$4,
IF(D688=4,база!$J$5,
IF(D688=5,база!$J$6)))</f>
        <v>196.05240000000001</v>
      </c>
      <c r="J689" s="278">
        <v>1</v>
      </c>
      <c r="K689" s="22"/>
      <c r="L689" s="309">
        <f>ROUND(I689*J689*K689,2)</f>
        <v>0</v>
      </c>
      <c r="M689" s="24"/>
      <c r="N689" s="22">
        <v>1</v>
      </c>
      <c r="O689" s="22">
        <f>SUMIFS(Data_Tech!$AM$3:$AM$67,Data_Tech!$E$3:$E$67,"1",Data_Tech!$G$3:$G$67,"4/12",Data_Tech!$F$3:$F$67,B693)</f>
        <v>0</v>
      </c>
      <c r="P689" s="282">
        <f>ROUND(M689*O689,2)</f>
        <v>0</v>
      </c>
      <c r="Q689" s="621">
        <f>база!$L$5</f>
        <v>231.45480000000001</v>
      </c>
      <c r="R689" s="271">
        <v>1</v>
      </c>
      <c r="S689" s="97">
        <f>SUMIFS(Таблица1[сумма],Таблица1[коэф],"1",Таблица1[р/р],"4/16",Таблица1[Ф. И. О.],B693)</f>
        <v>0</v>
      </c>
      <c r="T689" s="103">
        <f t="shared" si="426"/>
        <v>0</v>
      </c>
      <c r="U689" s="82">
        <f>база!$M$5</f>
        <v>247.41720000000001</v>
      </c>
      <c r="V689" s="271">
        <v>1</v>
      </c>
      <c r="W689" s="97">
        <f>SUMIFS(Таблица1[сумма],Таблица1[коэф],"1",Таблица1[р/р],"4/24",Таблица1[Ф. И. О.],B693)</f>
        <v>0</v>
      </c>
      <c r="X689" s="103">
        <f t="shared" ref="X689" si="429">ROUND(U689*V689*W689,2)</f>
        <v>0</v>
      </c>
      <c r="Y689" s="838"/>
      <c r="Z689" s="840"/>
      <c r="AA689" s="843"/>
    </row>
    <row r="690" spans="1:30">
      <c r="A690" s="786"/>
      <c r="B690" s="620"/>
      <c r="C690" s="845"/>
      <c r="D690" s="847"/>
      <c r="E690" s="75"/>
      <c r="F690" s="271"/>
      <c r="G690" s="89"/>
      <c r="H690" s="103"/>
      <c r="I690" s="24"/>
      <c r="J690" s="278"/>
      <c r="K690" s="22"/>
      <c r="L690" s="309"/>
      <c r="M690" s="24"/>
      <c r="N690" s="22"/>
      <c r="O690" s="22"/>
      <c r="P690" s="282"/>
      <c r="Q690" s="621">
        <f>база!$L$6</f>
        <v>261.04640000000001</v>
      </c>
      <c r="R690" s="271">
        <v>1</v>
      </c>
      <c r="S690" s="97">
        <f>SUMIFS(Таблица1[сумма],Таблица1[коэф],"1",Таблица1[р/р],"5/16",Таблица1[Ф. И. О.],B693)</f>
        <v>0</v>
      </c>
      <c r="T690" s="103">
        <f t="shared" si="426"/>
        <v>0</v>
      </c>
      <c r="U690" s="82">
        <f>база!$M$6</f>
        <v>279.0496</v>
      </c>
      <c r="V690" s="271">
        <v>1</v>
      </c>
      <c r="W690" s="97">
        <f>SUMIFS(Таблица1[сумма],Таблица1[коэф],"1",Таблица1[р/р],"5/24",Таблица1[Ф. И. О.],B693)</f>
        <v>0</v>
      </c>
      <c r="X690" s="103">
        <f>ROUND(U690*V690*W690,2)</f>
        <v>0</v>
      </c>
      <c r="Y690" s="838"/>
      <c r="Z690" s="840"/>
      <c r="AA690" s="843"/>
    </row>
    <row r="691" spans="1:30">
      <c r="A691" s="786"/>
      <c r="B691" s="620"/>
      <c r="C691" s="845"/>
      <c r="D691" s="847"/>
      <c r="E691" s="75"/>
      <c r="F691" s="271"/>
      <c r="G691" s="89"/>
      <c r="H691" s="103"/>
      <c r="I691" s="24">
        <f>база!$J$5</f>
        <v>215.4924</v>
      </c>
      <c r="J691" s="278">
        <v>1.5</v>
      </c>
      <c r="K691" s="22">
        <f>SUMIFS(Таблица1[сумма],Таблица1[коэф],"1,5",Таблица1[р/р],"4/8",Таблица1[Ф. И. О.],B693)</f>
        <v>0</v>
      </c>
      <c r="L691" s="309">
        <f>ROUND(I691*J691*K691,2)</f>
        <v>0</v>
      </c>
      <c r="M691" s="24"/>
      <c r="N691" s="22"/>
      <c r="O691" s="22"/>
      <c r="P691" s="282"/>
      <c r="Q691" s="621">
        <f>IF(D688&lt;=3,база!$L$4,
IF(D688=4,база!$L$5,
IF(D688=5,база!$L$6)))</f>
        <v>210.57480000000001</v>
      </c>
      <c r="R691" s="271">
        <v>1.2</v>
      </c>
      <c r="S691" s="97">
        <f>SUMIFS(Таблица1[сумма],Таблица1[коэф],"1,2",Таблица1[р/р],"3/16",Таблица1[Ф. И. О.],B693)</f>
        <v>0</v>
      </c>
      <c r="T691" s="103">
        <f t="shared" si="426"/>
        <v>0</v>
      </c>
      <c r="U691" s="82">
        <f>IF(D688&lt;=3,база!$M$4,
IF(D688=4,база!$M$5,
IF(D688=5,база!$M$6)))</f>
        <v>225.09719999999999</v>
      </c>
      <c r="V691" s="271">
        <v>1.2</v>
      </c>
      <c r="W691" s="97">
        <f>SUMIFS(Таблица1[сумма],Таблица1[коэф],"1,2",Таблица1[р/р],"3/24",Таблица1[Ф. И. О.],B693)</f>
        <v>0</v>
      </c>
      <c r="X691" s="103">
        <f t="shared" ref="X691:X692" si="430">ROUND(U691*V691*W691,2)</f>
        <v>0</v>
      </c>
      <c r="Y691" s="838"/>
      <c r="Z691" s="840"/>
      <c r="AA691" s="843"/>
    </row>
    <row r="692" spans="1:30">
      <c r="A692" s="786"/>
      <c r="B692" s="620"/>
      <c r="C692" s="845"/>
      <c r="D692" s="847"/>
      <c r="E692" s="75"/>
      <c r="F692" s="271"/>
      <c r="G692" s="89"/>
      <c r="H692" s="103"/>
      <c r="I692" s="24">
        <f>база!$J$6</f>
        <v>243.04319999999998</v>
      </c>
      <c r="J692" s="278">
        <v>1.5</v>
      </c>
      <c r="K692" s="22">
        <f>SUMIFS(Таблица1[сумма],Таблица1[коэф],"1,5",Таблица1[р/р],"5/8",Таблица1[Ф. И. О.],B693)</f>
        <v>0</v>
      </c>
      <c r="L692" s="309">
        <f>ROUND(I692*J692*K692,2)</f>
        <v>0</v>
      </c>
      <c r="M692" s="24"/>
      <c r="N692" s="22"/>
      <c r="O692" s="22"/>
      <c r="P692" s="282"/>
      <c r="Q692" s="621">
        <f>база!$L$5</f>
        <v>231.45480000000001</v>
      </c>
      <c r="R692" s="271">
        <v>1.2</v>
      </c>
      <c r="S692" s="97">
        <f>SUMIFS(Таблица1[сумма],Таблица1[коэф],"1,2",Таблица1[р/р],"4/16",Таблица1[Ф. И. О.],B693)</f>
        <v>0</v>
      </c>
      <c r="T692" s="103">
        <f t="shared" si="426"/>
        <v>0</v>
      </c>
      <c r="U692" s="82">
        <f>база!$M$5</f>
        <v>247.41720000000001</v>
      </c>
      <c r="V692" s="271">
        <v>1.2</v>
      </c>
      <c r="W692" s="97">
        <f>SUMIFS(Таблица1[сумма],Таблица1[коэф],"1,2",Таблица1[р/р],"4/24",Таблица1[Ф. И. О.],B693)</f>
        <v>0</v>
      </c>
      <c r="X692" s="103">
        <f t="shared" si="430"/>
        <v>0</v>
      </c>
      <c r="Y692" s="838"/>
      <c r="Z692" s="840"/>
      <c r="AA692" s="843"/>
      <c r="AC692" s="722" t="str">
        <f>IF(SUMIFS(Таблица1[Столбец2],Таблица1[Ф. И. О.],B693)-Z688=0,"",SUMIFS(Таблица1[Столбец2],Таблица1[Ф. И. О.],B693)-Z688)</f>
        <v/>
      </c>
    </row>
    <row r="693" spans="1:30">
      <c r="A693" s="786"/>
      <c r="B693" s="620" t="str">
        <f>база!B64</f>
        <v>Полушкина Анастасия Юрьевна</v>
      </c>
      <c r="C693" s="845"/>
      <c r="D693" s="847"/>
      <c r="E693" s="75"/>
      <c r="F693" s="271"/>
      <c r="G693" s="89"/>
      <c r="H693" s="103"/>
      <c r="I693" s="24"/>
      <c r="J693" s="278"/>
      <c r="K693" s="22"/>
      <c r="L693" s="309"/>
      <c r="M693" s="24"/>
      <c r="N693" s="22"/>
      <c r="O693" s="22"/>
      <c r="P693" s="282"/>
      <c r="Q693" s="621">
        <f>база!$L$6</f>
        <v>261.04640000000001</v>
      </c>
      <c r="R693" s="271">
        <v>1.2</v>
      </c>
      <c r="S693" s="97">
        <f>SUMIFS(Таблица1[сумма],Таблица1[коэф],"1,2",Таблица1[р/р],"5/16",Таблица1[Ф. И. О.],B693)</f>
        <v>0</v>
      </c>
      <c r="T693" s="103">
        <f>ROUND(Q693*R693*S693,2)</f>
        <v>0</v>
      </c>
      <c r="U693" s="82">
        <f>база!$M$6</f>
        <v>279.0496</v>
      </c>
      <c r="V693" s="271">
        <v>1.2</v>
      </c>
      <c r="W693" s="97">
        <f>SUMIFS(Таблица1[сумма],Таблица1[коэф],"1,2",Таблица1[р/р],"5/24",Таблица1[Ф. И. О.],B693)</f>
        <v>0</v>
      </c>
      <c r="X693" s="103">
        <f>ROUND(U693*V693*W693,2)</f>
        <v>0</v>
      </c>
      <c r="Y693" s="838"/>
      <c r="Z693" s="840"/>
      <c r="AA693" s="843"/>
      <c r="AC693" s="722" t="str">
        <f>IF(SUMIFS(Таблица1[сумма],Таблица1[Ф. И. О.],B693)=Y688,"",B688&amp;"  часы не верны")</f>
        <v/>
      </c>
      <c r="AD693" s="759">
        <f>INDEX('[2]декабрь 23'!$AI$4:$AI$100,MATCH(C688,'[2]декабрь 23'!$AK$4:$AK$100,0))</f>
        <v>144</v>
      </c>
    </row>
    <row r="694" spans="1:30">
      <c r="A694" s="786"/>
      <c r="B694" s="620"/>
      <c r="C694" s="845"/>
      <c r="D694" s="847"/>
      <c r="E694" s="75"/>
      <c r="F694" s="271"/>
      <c r="G694" s="89"/>
      <c r="H694" s="103"/>
      <c r="I694" s="24"/>
      <c r="J694" s="278"/>
      <c r="K694" s="22"/>
      <c r="L694" s="309"/>
      <c r="M694" s="24"/>
      <c r="N694" s="22"/>
      <c r="O694" s="22"/>
      <c r="P694" s="282"/>
      <c r="Q694" s="621">
        <f>IF($D$6&lt;=3,база!$L$4,
IF($D$6=4,база!$L$5,
IF($D$6=5,база!$L$6)))</f>
        <v>231.45480000000001</v>
      </c>
      <c r="R694" s="271">
        <v>1.3</v>
      </c>
      <c r="S694" s="97">
        <f>SUMIFS(Таблица1[сумма],Таблица1[коэф],"1,3",Таблица1[р/р],"3/16",Таблица1[Ф. И. О.],B693)</f>
        <v>0</v>
      </c>
      <c r="T694" s="103">
        <f t="shared" ref="T694:T695" si="431">ROUND(Q694*R694*S694,2)</f>
        <v>0</v>
      </c>
      <c r="U694" s="82">
        <f>IF(D688&lt;=3,база!$M$4,
IF(D688=4,база!$M$5,
IF(D688=5,база!$M$6)))</f>
        <v>225.09719999999999</v>
      </c>
      <c r="V694" s="271">
        <v>1.3</v>
      </c>
      <c r="W694" s="97">
        <f>SUMIFS(Таблица1[сумма],Таблица1[коэф],"1,3",Таблица1[р/р],"3/24",Таблица1[Ф. И. О.],B693)</f>
        <v>0</v>
      </c>
      <c r="X694" s="103">
        <f t="shared" ref="X694:X695" si="432">ROUND(U694*V694*W694,2)</f>
        <v>0</v>
      </c>
      <c r="Y694" s="838"/>
      <c r="Z694" s="840"/>
      <c r="AA694" s="843"/>
    </row>
    <row r="695" spans="1:30">
      <c r="A695" s="786"/>
      <c r="B695" s="620"/>
      <c r="C695" s="845"/>
      <c r="D695" s="847"/>
      <c r="E695" s="75"/>
      <c r="F695" s="271"/>
      <c r="G695" s="89"/>
      <c r="H695" s="103"/>
      <c r="I695" s="24"/>
      <c r="J695" s="278"/>
      <c r="K695" s="22"/>
      <c r="L695" s="309"/>
      <c r="M695" s="24"/>
      <c r="N695" s="22"/>
      <c r="O695" s="22"/>
      <c r="P695" s="282"/>
      <c r="Q695" s="621">
        <f>база!$L$5</f>
        <v>231.45480000000001</v>
      </c>
      <c r="R695" s="271">
        <v>1.3</v>
      </c>
      <c r="S695" s="97">
        <f>SUMIFS(Таблица1[сумма],Таблица1[коэф],"1,3",Таблица1[р/р],"4/16",Таблица1[Ф. И. О.],B693)</f>
        <v>0</v>
      </c>
      <c r="T695" s="103">
        <f t="shared" si="431"/>
        <v>0</v>
      </c>
      <c r="U695" s="82">
        <f>база!$M$5</f>
        <v>247.41720000000001</v>
      </c>
      <c r="V695" s="271">
        <v>1.3</v>
      </c>
      <c r="W695" s="97">
        <f>SUMIFS(Таблица1[сумма],Таблица1[коэф],"1,3",Таблица1[р/р],"4/24",Таблица1[Ф. И. О.],B693)</f>
        <v>0</v>
      </c>
      <c r="X695" s="103">
        <f t="shared" si="432"/>
        <v>0</v>
      </c>
      <c r="Y695" s="838"/>
      <c r="Z695" s="840"/>
      <c r="AA695" s="843"/>
    </row>
    <row r="696" spans="1:30">
      <c r="A696" s="786"/>
      <c r="B696" s="620"/>
      <c r="C696" s="845"/>
      <c r="D696" s="847"/>
      <c r="E696" s="75"/>
      <c r="F696" s="271"/>
      <c r="G696" s="89"/>
      <c r="H696" s="103"/>
      <c r="I696" s="24"/>
      <c r="J696" s="278"/>
      <c r="K696" s="22"/>
      <c r="L696" s="309"/>
      <c r="M696" s="24"/>
      <c r="N696" s="22"/>
      <c r="O696" s="22"/>
      <c r="P696" s="282"/>
      <c r="Q696" s="621">
        <f>IF(D688&lt;=3,база!$L$4,
IF(D688=4,база!$L$5,
IF(D688=5,база!$L$6)))</f>
        <v>210.57480000000001</v>
      </c>
      <c r="R696" s="271">
        <v>1.4</v>
      </c>
      <c r="S696" s="97">
        <f>SUMIFS(Таблица1[сумма],Таблица1[коэф],"1,4",Таблица1[р/р],"3/16",Таблица1[Ф. И. О.],B693)</f>
        <v>0</v>
      </c>
      <c r="T696" s="103">
        <f>ROUND(Q696*R696*S696,2)</f>
        <v>0</v>
      </c>
      <c r="U696" s="82">
        <f>IF(D688&lt;=3,база!$M$4,
IF(D688=4,база!$M$5,
IF(D688=5,база!$M$6)))</f>
        <v>225.09719999999999</v>
      </c>
      <c r="V696" s="271">
        <v>1.4</v>
      </c>
      <c r="W696" s="97">
        <f>SUMIFS(Таблица1[сумма],Таблица1[коэф],"1,4",Таблица1[р/р],"3/24",Таблица1[Ф. И. О.],B693)</f>
        <v>0</v>
      </c>
      <c r="X696" s="103">
        <f>ROUND(U696*V696*W696,2)</f>
        <v>0</v>
      </c>
      <c r="Y696" s="838"/>
      <c r="Z696" s="840"/>
      <c r="AA696" s="843"/>
    </row>
    <row r="697" spans="1:30">
      <c r="A697" s="786"/>
      <c r="B697" s="620"/>
      <c r="C697" s="845"/>
      <c r="D697" s="847"/>
      <c r="E697" s="85"/>
      <c r="F697" s="273"/>
      <c r="G697" s="630"/>
      <c r="H697" s="90"/>
      <c r="I697" s="67"/>
      <c r="J697" s="631"/>
      <c r="K697" s="59"/>
      <c r="L697" s="325"/>
      <c r="M697" s="67"/>
      <c r="N697" s="59"/>
      <c r="O697" s="59"/>
      <c r="P697" s="283"/>
      <c r="Q697" s="632">
        <f>база!$L$5</f>
        <v>231.45480000000001</v>
      </c>
      <c r="R697" s="273">
        <v>1.4</v>
      </c>
      <c r="S697" s="101">
        <f>SUMIFS(Таблица1[сумма],Таблица1[коэф],"1,4",Таблица1[р/р],"4/16",Таблица1[Ф. И. О.],B693)</f>
        <v>0</v>
      </c>
      <c r="T697" s="90">
        <f>ROUND(Q697*R697*S697,2)</f>
        <v>0</v>
      </c>
      <c r="U697" s="106">
        <f>база!$M$5</f>
        <v>247.41720000000001</v>
      </c>
      <c r="V697" s="273">
        <v>1.4</v>
      </c>
      <c r="W697" s="101">
        <f>SUMIFS(Таблица1[сумма],Таблица1[коэф],"1,4",Таблица1[р/р],"4/24",Таблица1[Ф. И. О.],B693)</f>
        <v>0</v>
      </c>
      <c r="X697" s="90">
        <f>ROUND(U697*V697*W697,2)</f>
        <v>0</v>
      </c>
      <c r="Y697" s="838"/>
      <c r="Z697" s="840"/>
      <c r="AA697" s="843"/>
    </row>
    <row r="698" spans="1:30" ht="24" thickBot="1">
      <c r="A698" s="787"/>
      <c r="B698" s="352"/>
      <c r="C698" s="846"/>
      <c r="D698" s="848"/>
      <c r="E698" s="77"/>
      <c r="F698" s="276"/>
      <c r="G698" s="622"/>
      <c r="H698" s="94"/>
      <c r="I698" s="623"/>
      <c r="J698" s="596"/>
      <c r="K698" s="624"/>
      <c r="L698" s="328"/>
      <c r="M698" s="623"/>
      <c r="N698" s="624"/>
      <c r="O698" s="624"/>
      <c r="P698" s="290"/>
      <c r="Q698" s="625">
        <f>база!$L$6</f>
        <v>261.04640000000001</v>
      </c>
      <c r="R698" s="276">
        <v>1.4</v>
      </c>
      <c r="S698" s="100">
        <f>SUMIFS(Таблица1[сумма],Таблица1[коэф],"1,4",Таблица1[р/р],"5/16",Таблица1[Ф. И. О.],B693)</f>
        <v>0</v>
      </c>
      <c r="T698" s="94">
        <f>ROUND(Q698*R698*S698,2)</f>
        <v>0</v>
      </c>
      <c r="U698" s="84">
        <f>база!$M$6</f>
        <v>279.0496</v>
      </c>
      <c r="V698" s="276">
        <v>1.4</v>
      </c>
      <c r="W698" s="100">
        <f>SUMIFS(Таблица1[сумма],Таблица1[коэф],"1,4",Таблица1[р/р],"5/24",Таблица1[Ф. И. О.],B693)</f>
        <v>0</v>
      </c>
      <c r="X698" s="94">
        <f>ROUND(U698*V698*W698,2)</f>
        <v>0</v>
      </c>
      <c r="Y698" s="839"/>
      <c r="Z698" s="841"/>
      <c r="AA698" s="844"/>
    </row>
    <row r="699" spans="1:30" ht="20.25" customHeight="1">
      <c r="A699" s="785">
        <v>64</v>
      </c>
      <c r="B699" s="620"/>
      <c r="C699" s="851">
        <f>INDEX(база!$E$2:$E$181, MATCH(B704,база!$B$2:$B$160,0))</f>
        <v>15098</v>
      </c>
      <c r="D699" s="852">
        <f>INDEX(база!$D$2:$D$189, MATCH(B704,база!$B$2:$B$160,0))</f>
        <v>3</v>
      </c>
      <c r="E699" s="75">
        <f>IF(D699&lt;=3,база!$I$4,
IF(D699=4,база!$I$5,
IF(D699=5,база!$I$6)))</f>
        <v>188.7912</v>
      </c>
      <c r="F699" s="271">
        <v>1</v>
      </c>
      <c r="G699" s="89">
        <f>SUMIFS(Таблица1[сумма],Таблица1[коэф],"1",Таблица1[р/р],"2/4",Таблица1[Ф. И. О.],B704)</f>
        <v>0</v>
      </c>
      <c r="H699" s="103">
        <f>ROUND(E699*F699*G699,2)</f>
        <v>0</v>
      </c>
      <c r="I699" s="24">
        <f>IF(D699&lt;=3,база!$J$4,
IF(D699=4,база!$J$5,
IF(D699=5,база!$J$6)))</f>
        <v>196.05240000000001</v>
      </c>
      <c r="J699" s="278">
        <v>1</v>
      </c>
      <c r="K699" s="22">
        <f>SUMIFS(Таблица1[сумма],Таблица1[коэф],"1",Таблица1[р/р],"2/8",Таблица1[Ф. И. О.],B704)</f>
        <v>0</v>
      </c>
      <c r="L699" s="309">
        <f>ROUND(I699*J699*K699,2)</f>
        <v>0</v>
      </c>
      <c r="M699" s="24"/>
      <c r="N699" s="22">
        <v>1</v>
      </c>
      <c r="O699" s="22">
        <f>SUMIFS(Data_Tech!$AM$3:$AM$67,Data_Tech!$E$3:$E$67,"1",Data_Tech!$G$3:$G$67,"3/12",Data_Tech!$F$3:$F$67,B704)</f>
        <v>0</v>
      </c>
      <c r="P699" s="282">
        <f>ROUND(M699*N699*O699,2)</f>
        <v>0</v>
      </c>
      <c r="Q699" s="621">
        <f>IF(D699&lt;=3,база!$L$4,
IF(D699=4,база!$L$5,
IF(D699=5,база!$L$6)))</f>
        <v>210.57480000000001</v>
      </c>
      <c r="R699" s="271">
        <v>1</v>
      </c>
      <c r="S699" s="97">
        <f>SUMIFS(Таблица1[сумма],Таблица1[коэф],"1",Таблица1[р/р],"3/16",Таблица1[Ф. И. О.],B704)</f>
        <v>0</v>
      </c>
      <c r="T699" s="103">
        <f t="shared" ref="T699:T703" si="433">ROUND(Q699*R699*S699,2)</f>
        <v>0</v>
      </c>
      <c r="U699" s="82">
        <f>IF(D699&lt;=3,база!$M$4,
IF(D699=4,база!$M$5,
IF(D699=5,база!$M$6)))</f>
        <v>225.09719999999999</v>
      </c>
      <c r="V699" s="271">
        <v>1</v>
      </c>
      <c r="W699" s="97">
        <f>SUMIFS(Таблица1[сумма],Таблица1[коэф],"1",Таблица1[р/р],"3/24",Таблица1[Ф. И. О.],B704)</f>
        <v>0</v>
      </c>
      <c r="X699" s="103">
        <f>ROUND(U699*V699*W699,2)</f>
        <v>0</v>
      </c>
      <c r="Y699" s="837">
        <f t="shared" ref="Y699" si="434">SUM(G699:G709,K699:K709,O699:O709,S699:S709,W699:W709)</f>
        <v>0</v>
      </c>
      <c r="Z699" s="853">
        <f t="shared" ref="Z699" si="435">IFERROR(SUM(H699:H709,L699:L709,T699:T709,X699:X709),"")</f>
        <v>0</v>
      </c>
      <c r="AA699" s="842"/>
    </row>
    <row r="700" spans="1:30">
      <c r="A700" s="786"/>
      <c r="B700" s="620"/>
      <c r="C700" s="845"/>
      <c r="D700" s="847"/>
      <c r="E700" s="75">
        <f>IF(D699&lt;=3,база!$I$4,
IF(D699=4,база!$I$5,
IF(D699=5,база!$I$6)))</f>
        <v>188.7912</v>
      </c>
      <c r="F700" s="271">
        <v>1</v>
      </c>
      <c r="G700" s="89">
        <f>SUMIFS(Таблица1[сумма],Таблица1[коэф],"1",Таблица1[р/р],"3/4",Таблица1[Ф. И. О.],B704)</f>
        <v>0</v>
      </c>
      <c r="H700" s="103">
        <f>ROUND(E700*F700*G700,2)</f>
        <v>0</v>
      </c>
      <c r="I700" s="24">
        <f>IF(D699&lt;=3,база!$J$4,
IF(D699=4,база!$J$5,
IF(D699=5,база!$J$6)))</f>
        <v>196.05240000000001</v>
      </c>
      <c r="J700" s="278">
        <v>1</v>
      </c>
      <c r="K700" s="22"/>
      <c r="L700" s="309">
        <f>ROUND(I700*J700*K700,2)</f>
        <v>0</v>
      </c>
      <c r="M700" s="24"/>
      <c r="N700" s="22">
        <v>1</v>
      </c>
      <c r="O700" s="22">
        <f>SUMIFS(Data_Tech!$AM$3:$AM$67,Data_Tech!$E$3:$E$67,"1",Data_Tech!$G$3:$G$67,"4/12",Data_Tech!$F$3:$F$67,B704)</f>
        <v>0</v>
      </c>
      <c r="P700" s="282">
        <f>ROUND(M700*O700,2)</f>
        <v>0</v>
      </c>
      <c r="Q700" s="621">
        <f>база!$L$5</f>
        <v>231.45480000000001</v>
      </c>
      <c r="R700" s="271">
        <v>1</v>
      </c>
      <c r="S700" s="97">
        <f>SUMIFS(Таблица1[сумма],Таблица1[коэф],"1",Таблица1[р/р],"4/16",Таблица1[Ф. И. О.],B704)</f>
        <v>0</v>
      </c>
      <c r="T700" s="103">
        <f t="shared" si="433"/>
        <v>0</v>
      </c>
      <c r="U700" s="82">
        <f>база!$M$5</f>
        <v>247.41720000000001</v>
      </c>
      <c r="V700" s="271">
        <v>1</v>
      </c>
      <c r="W700" s="97">
        <f>SUMIFS(Таблица1[сумма],Таблица1[коэф],"1",Таблица1[р/р],"4/24",Таблица1[Ф. И. О.],B704)</f>
        <v>0</v>
      </c>
      <c r="X700" s="103">
        <f t="shared" ref="X700" si="436">ROUND(U700*V700*W700,2)</f>
        <v>0</v>
      </c>
      <c r="Y700" s="838"/>
      <c r="Z700" s="840"/>
      <c r="AA700" s="843"/>
    </row>
    <row r="701" spans="1:30">
      <c r="A701" s="786"/>
      <c r="B701" s="620"/>
      <c r="C701" s="845"/>
      <c r="D701" s="847"/>
      <c r="E701" s="75"/>
      <c r="F701" s="271"/>
      <c r="G701" s="89"/>
      <c r="H701" s="103"/>
      <c r="I701" s="24"/>
      <c r="J701" s="278"/>
      <c r="K701" s="22"/>
      <c r="L701" s="309"/>
      <c r="M701" s="24"/>
      <c r="N701" s="22"/>
      <c r="O701" s="22"/>
      <c r="P701" s="282"/>
      <c r="Q701" s="621">
        <f>база!$L$6</f>
        <v>261.04640000000001</v>
      </c>
      <c r="R701" s="271">
        <v>1</v>
      </c>
      <c r="S701" s="97">
        <f>SUMIFS(Таблица1[сумма],Таблица1[коэф],"1",Таблица1[р/р],"5/16",Таблица1[Ф. И. О.],B704)</f>
        <v>0</v>
      </c>
      <c r="T701" s="103">
        <f t="shared" si="433"/>
        <v>0</v>
      </c>
      <c r="U701" s="82">
        <f>база!$M$6</f>
        <v>279.0496</v>
      </c>
      <c r="V701" s="271">
        <v>1</v>
      </c>
      <c r="W701" s="97">
        <f>SUMIFS(Таблица1[сумма],Таблица1[коэф],"1",Таблица1[р/р],"5/24",Таблица1[Ф. И. О.],B704)</f>
        <v>0</v>
      </c>
      <c r="X701" s="103">
        <f>ROUND(U701*V701*W701,2)</f>
        <v>0</v>
      </c>
      <c r="Y701" s="838"/>
      <c r="Z701" s="840"/>
      <c r="AA701" s="843"/>
    </row>
    <row r="702" spans="1:30">
      <c r="A702" s="786"/>
      <c r="B702" s="620"/>
      <c r="C702" s="845"/>
      <c r="D702" s="847"/>
      <c r="E702" s="75"/>
      <c r="F702" s="271"/>
      <c r="G702" s="89"/>
      <c r="H702" s="103"/>
      <c r="I702" s="24">
        <f>база!$J$5</f>
        <v>215.4924</v>
      </c>
      <c r="J702" s="278">
        <v>1.5</v>
      </c>
      <c r="K702" s="22">
        <f>SUMIFS(Таблица1[сумма],Таблица1[коэф],"1,5",Таблица1[р/р],"4/8",Таблица1[Ф. И. О.],B704)</f>
        <v>0</v>
      </c>
      <c r="L702" s="309">
        <f>ROUND(I702*J702*K702,2)</f>
        <v>0</v>
      </c>
      <c r="M702" s="24"/>
      <c r="N702" s="22"/>
      <c r="O702" s="22"/>
      <c r="P702" s="282"/>
      <c r="Q702" s="621">
        <f>IF(D699&lt;=3,база!$L$4,
IF(D699=4,база!$L$5,
IF(D699=5,база!$L$6)))</f>
        <v>210.57480000000001</v>
      </c>
      <c r="R702" s="271">
        <v>1.2</v>
      </c>
      <c r="S702" s="97">
        <f>SUMIFS(Таблица1[сумма],Таблица1[коэф],"1,2",Таблица1[р/р],"3/16",Таблица1[Ф. И. О.],B704)</f>
        <v>0</v>
      </c>
      <c r="T702" s="103">
        <f t="shared" si="433"/>
        <v>0</v>
      </c>
      <c r="U702" s="82">
        <f>IF(D699&lt;=3,база!$M$4,
IF(D699=4,база!$M$5,
IF(D699=5,база!$M$6)))</f>
        <v>225.09719999999999</v>
      </c>
      <c r="V702" s="271">
        <v>1.2</v>
      </c>
      <c r="W702" s="97">
        <f>SUMIFS(Таблица1[сумма],Таблица1[коэф],"1,2",Таблица1[р/р],"3/24",Таблица1[Ф. И. О.],B704)</f>
        <v>0</v>
      </c>
      <c r="X702" s="103">
        <f t="shared" ref="X702:X703" si="437">ROUND(U702*V702*W702,2)</f>
        <v>0</v>
      </c>
      <c r="Y702" s="838"/>
      <c r="Z702" s="840"/>
      <c r="AA702" s="843"/>
    </row>
    <row r="703" spans="1:30">
      <c r="A703" s="786"/>
      <c r="B703" s="620"/>
      <c r="C703" s="845"/>
      <c r="D703" s="847"/>
      <c r="E703" s="75"/>
      <c r="F703" s="271"/>
      <c r="G703" s="89"/>
      <c r="H703" s="103"/>
      <c r="I703" s="24">
        <f>база!$J$6</f>
        <v>243.04319999999998</v>
      </c>
      <c r="J703" s="278">
        <v>1.5</v>
      </c>
      <c r="K703" s="22">
        <f>SUMIFS(Таблица1[сумма],Таблица1[коэф],"1,5",Таблица1[р/р],"5/8",Таблица1[Ф. И. О.],B704)</f>
        <v>0</v>
      </c>
      <c r="L703" s="309">
        <f>ROUND(I703*J703*K703,2)</f>
        <v>0</v>
      </c>
      <c r="M703" s="24"/>
      <c r="N703" s="22"/>
      <c r="O703" s="22"/>
      <c r="P703" s="282"/>
      <c r="Q703" s="621">
        <f>база!$L$5</f>
        <v>231.45480000000001</v>
      </c>
      <c r="R703" s="271">
        <v>1.2</v>
      </c>
      <c r="S703" s="97">
        <f>SUMIFS(Таблица1[сумма],Таблица1[коэф],"1,2",Таблица1[р/р],"4/16",Таблица1[Ф. И. О.],B704)</f>
        <v>0</v>
      </c>
      <c r="T703" s="103">
        <f t="shared" si="433"/>
        <v>0</v>
      </c>
      <c r="U703" s="82">
        <f>база!$M$5</f>
        <v>247.41720000000001</v>
      </c>
      <c r="V703" s="271">
        <v>1.2</v>
      </c>
      <c r="W703" s="97">
        <f>SUMIFS(Таблица1[сумма],Таблица1[коэф],"1,2",Таблица1[р/р],"4/24",Таблица1[Ф. И. О.],B704)</f>
        <v>0</v>
      </c>
      <c r="X703" s="103">
        <f t="shared" si="437"/>
        <v>0</v>
      </c>
      <c r="Y703" s="838"/>
      <c r="Z703" s="840"/>
      <c r="AA703" s="843"/>
      <c r="AC703" s="722" t="str">
        <f>IF(SUMIFS(Таблица1[Столбец2],Таблица1[Ф. И. О.],B704)-Z699=0,"",SUMIFS(Таблица1[Столбец2],Таблица1[Ф. И. О.],B704)-Z699)</f>
        <v/>
      </c>
    </row>
    <row r="704" spans="1:30">
      <c r="A704" s="786"/>
      <c r="B704" s="620" t="str">
        <f>база!B65</f>
        <v>Потемкина Елена Анатольевна</v>
      </c>
      <c r="C704" s="845"/>
      <c r="D704" s="847"/>
      <c r="E704" s="75"/>
      <c r="F704" s="271"/>
      <c r="G704" s="89"/>
      <c r="H704" s="103"/>
      <c r="I704" s="24"/>
      <c r="J704" s="278"/>
      <c r="K704" s="22"/>
      <c r="L704" s="309"/>
      <c r="M704" s="24"/>
      <c r="N704" s="22"/>
      <c r="O704" s="22"/>
      <c r="P704" s="282"/>
      <c r="Q704" s="621">
        <f>база!$L$6</f>
        <v>261.04640000000001</v>
      </c>
      <c r="R704" s="271">
        <v>1.2</v>
      </c>
      <c r="S704" s="97">
        <f>SUMIFS(Таблица1[сумма],Таблица1[коэф],"1,2",Таблица1[р/р],"5/16",Таблица1[Ф. И. О.],B704)</f>
        <v>0</v>
      </c>
      <c r="T704" s="103">
        <f>ROUND(Q704*R704*S704,2)</f>
        <v>0</v>
      </c>
      <c r="U704" s="82">
        <f>база!$M$6</f>
        <v>279.0496</v>
      </c>
      <c r="V704" s="271">
        <v>1.2</v>
      </c>
      <c r="W704" s="97">
        <f>SUMIFS(Таблица1[сумма],Таблица1[коэф],"1,2",Таблица1[р/р],"5/24",Таблица1[Ф. И. О.],B704)</f>
        <v>0</v>
      </c>
      <c r="X704" s="103">
        <f>ROUND(U704*V704*W704,2)</f>
        <v>0</v>
      </c>
      <c r="Y704" s="838"/>
      <c r="Z704" s="840"/>
      <c r="AA704" s="843"/>
      <c r="AC704" s="722" t="str">
        <f>IF(SUMIFS(Таблица1[сумма],Таблица1[Ф. И. О.],B704)=Y699,"",B699&amp;"  часы не верны")</f>
        <v/>
      </c>
      <c r="AD704" s="759">
        <f>INDEX('[2]декабрь 23'!$AI$4:$AI$100,MATCH(C699,'[2]декабрь 23'!$AK$4:$AK$100,0))</f>
        <v>43.2</v>
      </c>
    </row>
    <row r="705" spans="1:30">
      <c r="A705" s="786"/>
      <c r="B705" s="620"/>
      <c r="C705" s="845"/>
      <c r="D705" s="847"/>
      <c r="E705" s="75"/>
      <c r="F705" s="271"/>
      <c r="G705" s="89"/>
      <c r="H705" s="103"/>
      <c r="I705" s="24"/>
      <c r="J705" s="278"/>
      <c r="K705" s="22"/>
      <c r="L705" s="309"/>
      <c r="M705" s="24"/>
      <c r="N705" s="22"/>
      <c r="O705" s="22"/>
      <c r="P705" s="282"/>
      <c r="Q705" s="621">
        <f>IF($D$6&lt;=3,база!$L$4,
IF($D$6=4,база!$L$5,
IF($D$6=5,база!$L$6)))</f>
        <v>231.45480000000001</v>
      </c>
      <c r="R705" s="271">
        <v>1.3</v>
      </c>
      <c r="S705" s="97">
        <f>SUMIFS(Таблица1[сумма],Таблица1[коэф],"1,3",Таблица1[р/р],"3/16",Таблица1[Ф. И. О.],B704)</f>
        <v>0</v>
      </c>
      <c r="T705" s="103">
        <f t="shared" ref="T705:T706" si="438">ROUND(Q705*R705*S705,2)</f>
        <v>0</v>
      </c>
      <c r="U705" s="82">
        <f>IF(D699&lt;=3,база!$M$4,
IF(D699=4,база!$M$5,
IF(D699=5,база!$M$6)))</f>
        <v>225.09719999999999</v>
      </c>
      <c r="V705" s="271">
        <v>1.3</v>
      </c>
      <c r="W705" s="97">
        <f>SUMIFS(Таблица1[сумма],Таблица1[коэф],"1,3",Таблица1[р/р],"3/24",Таблица1[Ф. И. О.],B704)</f>
        <v>0</v>
      </c>
      <c r="X705" s="103">
        <f t="shared" ref="X705:X706" si="439">ROUND(U705*V705*W705,2)</f>
        <v>0</v>
      </c>
      <c r="Y705" s="838"/>
      <c r="Z705" s="840"/>
      <c r="AA705" s="843"/>
    </row>
    <row r="706" spans="1:30">
      <c r="A706" s="786"/>
      <c r="B706" s="620"/>
      <c r="C706" s="845"/>
      <c r="D706" s="847"/>
      <c r="E706" s="75"/>
      <c r="F706" s="271"/>
      <c r="G706" s="89"/>
      <c r="H706" s="103"/>
      <c r="I706" s="24"/>
      <c r="J706" s="278"/>
      <c r="K706" s="22"/>
      <c r="L706" s="309"/>
      <c r="M706" s="24"/>
      <c r="N706" s="22"/>
      <c r="O706" s="22"/>
      <c r="P706" s="282"/>
      <c r="Q706" s="621">
        <f>база!$L$5</f>
        <v>231.45480000000001</v>
      </c>
      <c r="R706" s="271">
        <v>1.3</v>
      </c>
      <c r="S706" s="97">
        <f>SUMIFS(Таблица1[сумма],Таблица1[коэф],"1,3",Таблица1[р/р],"4/16",Таблица1[Ф. И. О.],B704)</f>
        <v>0</v>
      </c>
      <c r="T706" s="103">
        <f t="shared" si="438"/>
        <v>0</v>
      </c>
      <c r="U706" s="82">
        <f>база!$M$5</f>
        <v>247.41720000000001</v>
      </c>
      <c r="V706" s="271">
        <v>1.3</v>
      </c>
      <c r="W706" s="97">
        <f>SUMIFS(Таблица1[сумма],Таблица1[коэф],"1,3",Таблица1[р/р],"4/24",Таблица1[Ф. И. О.],B704)</f>
        <v>0</v>
      </c>
      <c r="X706" s="103">
        <f t="shared" si="439"/>
        <v>0</v>
      </c>
      <c r="Y706" s="838"/>
      <c r="Z706" s="840"/>
      <c r="AA706" s="843"/>
    </row>
    <row r="707" spans="1:30">
      <c r="A707" s="786"/>
      <c r="B707" s="620"/>
      <c r="C707" s="845"/>
      <c r="D707" s="847"/>
      <c r="E707" s="75"/>
      <c r="F707" s="271"/>
      <c r="G707" s="89"/>
      <c r="H707" s="103"/>
      <c r="I707" s="24"/>
      <c r="J707" s="278"/>
      <c r="K707" s="22"/>
      <c r="L707" s="309"/>
      <c r="M707" s="24"/>
      <c r="N707" s="22"/>
      <c r="O707" s="22"/>
      <c r="P707" s="282"/>
      <c r="Q707" s="621">
        <f>IF(D699&lt;=3,база!$L$4,
IF(D699=4,база!$L$5,
IF(D699=5,база!$L$6)))</f>
        <v>210.57480000000001</v>
      </c>
      <c r="R707" s="271">
        <v>1.4</v>
      </c>
      <c r="S707" s="97">
        <f>SUMIFS(Таблица1[сумма],Таблица1[коэф],"1,4",Таблица1[р/р],"3/16",Таблица1[Ф. И. О.],B704)</f>
        <v>0</v>
      </c>
      <c r="T707" s="103">
        <f>ROUND(Q707*R707*S707,2)</f>
        <v>0</v>
      </c>
      <c r="U707" s="82">
        <f>IF(D699&lt;=3,база!$M$4,
IF(D699=4,база!$M$5,
IF(D699=5,база!$M$6)))</f>
        <v>225.09719999999999</v>
      </c>
      <c r="V707" s="271">
        <v>1.4</v>
      </c>
      <c r="W707" s="97">
        <f>SUMIFS(Таблица1[сумма],Таблица1[коэф],"1,4",Таблица1[р/р],"3/24",Таблица1[Ф. И. О.],B704)</f>
        <v>0</v>
      </c>
      <c r="X707" s="103">
        <f>ROUND(U707*V707*W707,2)</f>
        <v>0</v>
      </c>
      <c r="Y707" s="838"/>
      <c r="Z707" s="840"/>
      <c r="AA707" s="843"/>
    </row>
    <row r="708" spans="1:30">
      <c r="A708" s="786"/>
      <c r="B708" s="620"/>
      <c r="C708" s="845"/>
      <c r="D708" s="847"/>
      <c r="E708" s="85"/>
      <c r="F708" s="273"/>
      <c r="G708" s="630"/>
      <c r="H708" s="90"/>
      <c r="I708" s="67"/>
      <c r="J708" s="631"/>
      <c r="K708" s="59"/>
      <c r="L708" s="325"/>
      <c r="M708" s="67"/>
      <c r="N708" s="59"/>
      <c r="O708" s="59"/>
      <c r="P708" s="283"/>
      <c r="Q708" s="632">
        <f>база!$L$5</f>
        <v>231.45480000000001</v>
      </c>
      <c r="R708" s="273">
        <v>1.4</v>
      </c>
      <c r="S708" s="101">
        <f>SUMIFS(Таблица1[сумма],Таблица1[коэф],"1,4",Таблица1[р/р],"4/16",Таблица1[Ф. И. О.],B704)</f>
        <v>0</v>
      </c>
      <c r="T708" s="90">
        <f>ROUND(Q708*R708*S708,2)</f>
        <v>0</v>
      </c>
      <c r="U708" s="106">
        <f>база!$M$5</f>
        <v>247.41720000000001</v>
      </c>
      <c r="V708" s="273">
        <v>1.4</v>
      </c>
      <c r="W708" s="101">
        <f>SUMIFS(Таблица1[сумма],Таблица1[коэф],"1,4",Таблица1[р/р],"4/24",Таблица1[Ф. И. О.],B704)</f>
        <v>0</v>
      </c>
      <c r="X708" s="90">
        <f>ROUND(U708*V708*W708,2)</f>
        <v>0</v>
      </c>
      <c r="Y708" s="838"/>
      <c r="Z708" s="840"/>
      <c r="AA708" s="843"/>
    </row>
    <row r="709" spans="1:30" ht="24" thickBot="1">
      <c r="A709" s="787"/>
      <c r="B709" s="352"/>
      <c r="C709" s="846"/>
      <c r="D709" s="848"/>
      <c r="E709" s="77"/>
      <c r="F709" s="276"/>
      <c r="G709" s="622"/>
      <c r="H709" s="94"/>
      <c r="I709" s="623"/>
      <c r="J709" s="596"/>
      <c r="K709" s="624"/>
      <c r="L709" s="328"/>
      <c r="M709" s="623"/>
      <c r="N709" s="624"/>
      <c r="O709" s="624"/>
      <c r="P709" s="290"/>
      <c r="Q709" s="625">
        <f>база!$L$6</f>
        <v>261.04640000000001</v>
      </c>
      <c r="R709" s="276">
        <v>1.4</v>
      </c>
      <c r="S709" s="100">
        <f>SUMIFS(Таблица1[сумма],Таблица1[коэф],"1,4",Таблица1[р/р],"5/16",Таблица1[Ф. И. О.],B704)</f>
        <v>0</v>
      </c>
      <c r="T709" s="94">
        <f>ROUND(Q709*R709*S709,2)</f>
        <v>0</v>
      </c>
      <c r="U709" s="84">
        <f>база!$M$6</f>
        <v>279.0496</v>
      </c>
      <c r="V709" s="276">
        <v>1.4</v>
      </c>
      <c r="W709" s="100">
        <f>SUMIFS(Таблица1[сумма],Таблица1[коэф],"1,4",Таблица1[р/р],"5/24",Таблица1[Ф. И. О.],B704)</f>
        <v>0</v>
      </c>
      <c r="X709" s="94">
        <f>ROUND(U709*V709*W709,2)</f>
        <v>0</v>
      </c>
      <c r="Y709" s="839"/>
      <c r="Z709" s="841"/>
      <c r="AA709" s="844"/>
    </row>
    <row r="710" spans="1:30" ht="20.25" customHeight="1">
      <c r="A710" s="785">
        <v>65</v>
      </c>
      <c r="B710" s="620"/>
      <c r="C710" s="851">
        <f>INDEX(база!$E$2:$E$181, MATCH(B715,база!$B$2:$B$160,0))</f>
        <v>15237</v>
      </c>
      <c r="D710" s="852">
        <f>INDEX(база!$D$2:$D$189, MATCH(B715,база!$B$2:$B$160,0))</f>
        <v>3</v>
      </c>
      <c r="E710" s="75">
        <f>IF(D710&lt;=3,база!$I$4,
IF(D710=4,база!$I$5,
IF(D710=5,база!$I$6)))</f>
        <v>188.7912</v>
      </c>
      <c r="F710" s="271">
        <v>1</v>
      </c>
      <c r="G710" s="89">
        <f>SUMIFS(Таблица1[сумма],Таблица1[коэф],"1",Таблица1[р/р],"2/4",Таблица1[Ф. И. О.],B715)</f>
        <v>0</v>
      </c>
      <c r="H710" s="103">
        <f>ROUND(E710*F710*G710,2)</f>
        <v>0</v>
      </c>
      <c r="I710" s="24">
        <f>IF(D710&lt;=3,база!$J$4,
IF(D710=4,база!$J$5,
IF(D710=5,база!$J$6)))</f>
        <v>196.05240000000001</v>
      </c>
      <c r="J710" s="278">
        <v>1</v>
      </c>
      <c r="K710" s="22">
        <f>SUMIFS(Таблица1[сумма],Таблица1[коэф],"1",Таблица1[р/р],"2/8",Таблица1[Ф. И. О.],B715)</f>
        <v>0</v>
      </c>
      <c r="L710" s="309">
        <f>ROUND(I710*J710*K710,2)</f>
        <v>0</v>
      </c>
      <c r="M710" s="24"/>
      <c r="N710" s="22">
        <v>1</v>
      </c>
      <c r="O710" s="22">
        <f>SUMIFS(Data_Tech!$AM$3:$AM$67,Data_Tech!$E$3:$E$67,"1",Data_Tech!$G$3:$G$67,"3/12",Data_Tech!$F$3:$F$67,B715)</f>
        <v>0</v>
      </c>
      <c r="P710" s="282">
        <f>ROUND(M710*N710*O710,2)</f>
        <v>0</v>
      </c>
      <c r="Q710" s="621">
        <f>IF(D710&lt;=3,база!$L$4,
IF(D710=4,база!$L$5,
IF(D710=5,база!$L$6)))</f>
        <v>210.57480000000001</v>
      </c>
      <c r="R710" s="271">
        <v>1</v>
      </c>
      <c r="S710" s="97">
        <f>SUMIFS(Таблица1[сумма],Таблица1[коэф],"1",Таблица1[р/р],"3/16",Таблица1[Ф. И. О.],B715)</f>
        <v>0</v>
      </c>
      <c r="T710" s="103">
        <f t="shared" ref="T710:T714" si="440">ROUND(Q710*R710*S710,2)</f>
        <v>0</v>
      </c>
      <c r="U710" s="82">
        <f>IF(D710&lt;=3,база!$M$4,
IF(D710=4,база!$M$5,
IF(D710=5,база!$M$6)))</f>
        <v>225.09719999999999</v>
      </c>
      <c r="V710" s="271">
        <v>1</v>
      </c>
      <c r="W710" s="97">
        <f>SUMIFS(Таблица1[сумма],Таблица1[коэф],"1",Таблица1[р/р],"3/24",Таблица1[Ф. И. О.],B715)</f>
        <v>0</v>
      </c>
      <c r="X710" s="103">
        <f>ROUND(U710*V710*W710,2)</f>
        <v>0</v>
      </c>
      <c r="Y710" s="837">
        <f t="shared" ref="Y710" si="441">SUM(G710:G720,K710:K720,O710:O720,S710:S720,W710:W720)</f>
        <v>0</v>
      </c>
      <c r="Z710" s="853">
        <f t="shared" ref="Z710" si="442">IFERROR(SUM(H710:H720,L710:L720,T710:T720,X710:X720),"")</f>
        <v>0</v>
      </c>
      <c r="AA710" s="842"/>
    </row>
    <row r="711" spans="1:30">
      <c r="A711" s="786"/>
      <c r="B711" s="620"/>
      <c r="C711" s="845"/>
      <c r="D711" s="847"/>
      <c r="E711" s="75">
        <f>IF(D710&lt;=3,база!$I$4,
IF(D710=4,база!$I$5,
IF(D710=5,база!$I$6)))</f>
        <v>188.7912</v>
      </c>
      <c r="F711" s="271">
        <v>1</v>
      </c>
      <c r="G711" s="89">
        <f>SUMIFS(Таблица1[сумма],Таблица1[коэф],"1",Таблица1[р/р],"3/4",Таблица1[Ф. И. О.],B715)</f>
        <v>0</v>
      </c>
      <c r="H711" s="103">
        <f>ROUND(E711*F711*G711,2)</f>
        <v>0</v>
      </c>
      <c r="I711" s="24">
        <f>IF(D710&lt;=3,база!$J$4,
IF(D710=4,база!$J$5,
IF(D710=5,база!$J$6)))</f>
        <v>196.05240000000001</v>
      </c>
      <c r="J711" s="278">
        <v>1</v>
      </c>
      <c r="K711" s="22"/>
      <c r="L711" s="309">
        <f>ROUND(I711*J711*K711,2)</f>
        <v>0</v>
      </c>
      <c r="M711" s="24"/>
      <c r="N711" s="22">
        <v>1</v>
      </c>
      <c r="O711" s="22">
        <f>SUMIFS(Data_Tech!$AM$3:$AM$67,Data_Tech!$E$3:$E$67,"1",Data_Tech!$G$3:$G$67,"4/12",Data_Tech!$F$3:$F$67,B715)</f>
        <v>0</v>
      </c>
      <c r="P711" s="282">
        <f>ROUND(M711*O711,2)</f>
        <v>0</v>
      </c>
      <c r="Q711" s="621">
        <f>база!$L$5</f>
        <v>231.45480000000001</v>
      </c>
      <c r="R711" s="271">
        <v>1</v>
      </c>
      <c r="S711" s="97">
        <f>SUMIFS(Таблица1[сумма],Таблица1[коэф],"1",Таблица1[р/р],"4/16",Таблица1[Ф. И. О.],B715)</f>
        <v>0</v>
      </c>
      <c r="T711" s="103">
        <f t="shared" si="440"/>
        <v>0</v>
      </c>
      <c r="U711" s="82">
        <f>база!$M$5</f>
        <v>247.41720000000001</v>
      </c>
      <c r="V711" s="271">
        <v>1</v>
      </c>
      <c r="W711" s="97">
        <f>SUMIFS(Таблица1[сумма],Таблица1[коэф],"1",Таблица1[р/р],"4/24",Таблица1[Ф. И. О.],B715)</f>
        <v>0</v>
      </c>
      <c r="X711" s="103">
        <f t="shared" ref="X711" si="443">ROUND(U711*V711*W711,2)</f>
        <v>0</v>
      </c>
      <c r="Y711" s="838"/>
      <c r="Z711" s="840"/>
      <c r="AA711" s="843"/>
    </row>
    <row r="712" spans="1:30">
      <c r="A712" s="786"/>
      <c r="B712" s="620"/>
      <c r="C712" s="845"/>
      <c r="D712" s="847"/>
      <c r="E712" s="75"/>
      <c r="F712" s="271"/>
      <c r="G712" s="89"/>
      <c r="H712" s="103"/>
      <c r="I712" s="24"/>
      <c r="J712" s="278"/>
      <c r="K712" s="22"/>
      <c r="L712" s="309"/>
      <c r="M712" s="24"/>
      <c r="N712" s="22"/>
      <c r="O712" s="22"/>
      <c r="P712" s="282"/>
      <c r="Q712" s="621">
        <f>база!$L$6</f>
        <v>261.04640000000001</v>
      </c>
      <c r="R712" s="271">
        <v>1</v>
      </c>
      <c r="S712" s="97">
        <f>SUMIFS(Таблица1[сумма],Таблица1[коэф],"1",Таблица1[р/р],"5/16",Таблица1[Ф. И. О.],B715)</f>
        <v>0</v>
      </c>
      <c r="T712" s="103">
        <f t="shared" si="440"/>
        <v>0</v>
      </c>
      <c r="U712" s="82">
        <f>база!$M$6</f>
        <v>279.0496</v>
      </c>
      <c r="V712" s="271">
        <v>1</v>
      </c>
      <c r="W712" s="97">
        <f>SUMIFS(Таблица1[сумма],Таблица1[коэф],"1",Таблица1[р/р],"5/24",Таблица1[Ф. И. О.],B715)</f>
        <v>0</v>
      </c>
      <c r="X712" s="103">
        <f>ROUND(U712*V712*W712,2)</f>
        <v>0</v>
      </c>
      <c r="Y712" s="838"/>
      <c r="Z712" s="840"/>
      <c r="AA712" s="843"/>
    </row>
    <row r="713" spans="1:30">
      <c r="A713" s="786"/>
      <c r="B713" s="620"/>
      <c r="C713" s="845"/>
      <c r="D713" s="847"/>
      <c r="E713" s="75"/>
      <c r="F713" s="271"/>
      <c r="G713" s="89"/>
      <c r="H713" s="103"/>
      <c r="I713" s="24">
        <f>база!$J$5</f>
        <v>215.4924</v>
      </c>
      <c r="J713" s="278">
        <v>1.5</v>
      </c>
      <c r="K713" s="22">
        <f>SUMIFS(Таблица1[сумма],Таблица1[коэф],"1,5",Таблица1[р/р],"4/8",Таблица1[Ф. И. О.],B715)</f>
        <v>0</v>
      </c>
      <c r="L713" s="309">
        <f>ROUND(I713*J713*K713,2)</f>
        <v>0</v>
      </c>
      <c r="M713" s="24"/>
      <c r="N713" s="22"/>
      <c r="O713" s="22"/>
      <c r="P713" s="282"/>
      <c r="Q713" s="621">
        <f>IF(D710&lt;=3,база!$L$4,
IF(D710=4,база!$L$5,
IF(D710=5,база!$L$6)))</f>
        <v>210.57480000000001</v>
      </c>
      <c r="R713" s="271">
        <v>1.2</v>
      </c>
      <c r="S713" s="97">
        <f>SUMIFS(Таблица1[сумма],Таблица1[коэф],"1,2",Таблица1[р/р],"3/16",Таблица1[Ф. И. О.],B715)</f>
        <v>0</v>
      </c>
      <c r="T713" s="103">
        <f t="shared" si="440"/>
        <v>0</v>
      </c>
      <c r="U713" s="82">
        <f>IF(D710&lt;=3,база!$M$4,
IF(D710=4,база!$M$5,
IF(D710=5,база!$M$6)))</f>
        <v>225.09719999999999</v>
      </c>
      <c r="V713" s="271">
        <v>1.2</v>
      </c>
      <c r="W713" s="97">
        <f>SUMIFS(Таблица1[сумма],Таблица1[коэф],"1,2",Таблица1[р/р],"3/24",Таблица1[Ф. И. О.],B715)</f>
        <v>0</v>
      </c>
      <c r="X713" s="103">
        <f t="shared" ref="X713:X714" si="444">ROUND(U713*V713*W713,2)</f>
        <v>0</v>
      </c>
      <c r="Y713" s="838"/>
      <c r="Z713" s="840"/>
      <c r="AA713" s="843"/>
    </row>
    <row r="714" spans="1:30">
      <c r="A714" s="786"/>
      <c r="B714" s="620"/>
      <c r="C714" s="845"/>
      <c r="D714" s="847"/>
      <c r="E714" s="75"/>
      <c r="F714" s="271"/>
      <c r="G714" s="89"/>
      <c r="H714" s="103"/>
      <c r="I714" s="24">
        <f>база!$J$6</f>
        <v>243.04319999999998</v>
      </c>
      <c r="J714" s="278">
        <v>1.5</v>
      </c>
      <c r="K714" s="22">
        <f>SUMIFS(Таблица1[сумма],Таблица1[коэф],"1,5",Таблица1[р/р],"5/8",Таблица1[Ф. И. О.],B715)</f>
        <v>0</v>
      </c>
      <c r="L714" s="309">
        <f>ROUND(I714*J714*K714,2)</f>
        <v>0</v>
      </c>
      <c r="M714" s="24"/>
      <c r="N714" s="22"/>
      <c r="O714" s="22"/>
      <c r="P714" s="282"/>
      <c r="Q714" s="621">
        <f>база!$L$5</f>
        <v>231.45480000000001</v>
      </c>
      <c r="R714" s="271">
        <v>1.2</v>
      </c>
      <c r="S714" s="97">
        <f>SUMIFS(Таблица1[сумма],Таблица1[коэф],"1,2",Таблица1[р/р],"4/16",Таблица1[Ф. И. О.],B715)</f>
        <v>0</v>
      </c>
      <c r="T714" s="103">
        <f t="shared" si="440"/>
        <v>0</v>
      </c>
      <c r="U714" s="82">
        <f>база!$M$5</f>
        <v>247.41720000000001</v>
      </c>
      <c r="V714" s="271">
        <v>1.2</v>
      </c>
      <c r="W714" s="97">
        <f>SUMIFS(Таблица1[сумма],Таблица1[коэф],"1,2",Таблица1[р/р],"4/24",Таблица1[Ф. И. О.],B715)</f>
        <v>0</v>
      </c>
      <c r="X714" s="103">
        <f t="shared" si="444"/>
        <v>0</v>
      </c>
      <c r="Y714" s="838"/>
      <c r="Z714" s="840"/>
      <c r="AA714" s="843"/>
      <c r="AC714" s="722" t="str">
        <f>IF(SUMIFS(Таблица1[Столбец2],Таблица1[Ф. И. О.],B715)-Z710=0,"",SUMIFS(Таблица1[Столбец2],Таблица1[Ф. И. О.],B715)-Z710)</f>
        <v/>
      </c>
    </row>
    <row r="715" spans="1:30">
      <c r="A715" s="786"/>
      <c r="B715" s="620" t="str">
        <f>база!B66</f>
        <v>Пригоженкова Ольга Сергеевна</v>
      </c>
      <c r="C715" s="845"/>
      <c r="D715" s="847"/>
      <c r="E715" s="75"/>
      <c r="F715" s="271"/>
      <c r="G715" s="89"/>
      <c r="H715" s="103"/>
      <c r="I715" s="24"/>
      <c r="J715" s="278"/>
      <c r="K715" s="22"/>
      <c r="L715" s="309"/>
      <c r="M715" s="24"/>
      <c r="N715" s="22"/>
      <c r="O715" s="22"/>
      <c r="P715" s="282"/>
      <c r="Q715" s="621">
        <f>база!$L$6</f>
        <v>261.04640000000001</v>
      </c>
      <c r="R715" s="271">
        <v>1.2</v>
      </c>
      <c r="S715" s="97">
        <f>SUMIFS(Таблица1[сумма],Таблица1[коэф],"1,2",Таблица1[р/р],"5/16",Таблица1[Ф. И. О.],B715)</f>
        <v>0</v>
      </c>
      <c r="T715" s="103">
        <f>ROUND(Q715*R715*S715,2)</f>
        <v>0</v>
      </c>
      <c r="U715" s="82">
        <f>база!$M$6</f>
        <v>279.0496</v>
      </c>
      <c r="V715" s="271">
        <v>1.2</v>
      </c>
      <c r="W715" s="97">
        <f>SUMIFS(Таблица1[сумма],Таблица1[коэф],"1,2",Таблица1[р/р],"5/24",Таблица1[Ф. И. О.],B715)</f>
        <v>0</v>
      </c>
      <c r="X715" s="103">
        <f>ROUND(U715*V715*W715,2)</f>
        <v>0</v>
      </c>
      <c r="Y715" s="838"/>
      <c r="Z715" s="840"/>
      <c r="AA715" s="843"/>
      <c r="AC715" s="722" t="str">
        <f>IF(SUMIFS(Таблица1[сумма],Таблица1[Ф. И. О.],B715)=Y710,"",B710&amp;"  часы не верны")</f>
        <v/>
      </c>
      <c r="AD715" s="759">
        <f>INDEX('[2]декабрь 23'!$AI$4:$AI$100,MATCH(C710,'[2]декабрь 23'!$AK$4:$AK$100,0))</f>
        <v>144</v>
      </c>
    </row>
    <row r="716" spans="1:30">
      <c r="A716" s="786"/>
      <c r="B716" s="620"/>
      <c r="C716" s="845"/>
      <c r="D716" s="847"/>
      <c r="E716" s="75"/>
      <c r="F716" s="271"/>
      <c r="G716" s="89"/>
      <c r="H716" s="103"/>
      <c r="I716" s="24"/>
      <c r="J716" s="278"/>
      <c r="K716" s="22"/>
      <c r="L716" s="309"/>
      <c r="M716" s="24"/>
      <c r="N716" s="22"/>
      <c r="O716" s="22"/>
      <c r="P716" s="282"/>
      <c r="Q716" s="621">
        <f>IF($D$6&lt;=3,база!$L$4,
IF($D$6=4,база!$L$5,
IF($D$6=5,база!$L$6)))</f>
        <v>231.45480000000001</v>
      </c>
      <c r="R716" s="271">
        <v>1.3</v>
      </c>
      <c r="S716" s="97">
        <f>SUMIFS(Таблица1[сумма],Таблица1[коэф],"1,3",Таблица1[р/р],"3/16",Таблица1[Ф. И. О.],B715)</f>
        <v>0</v>
      </c>
      <c r="T716" s="103">
        <f t="shared" ref="T716:T717" si="445">ROUND(Q716*R716*S716,2)</f>
        <v>0</v>
      </c>
      <c r="U716" s="82">
        <f>IF(D710&lt;=3,база!$M$4,
IF(D710=4,база!$M$5,
IF(D710=5,база!$M$6)))</f>
        <v>225.09719999999999</v>
      </c>
      <c r="V716" s="271">
        <v>1.3</v>
      </c>
      <c r="W716" s="97">
        <f>SUMIFS(Таблица1[сумма],Таблица1[коэф],"1,3",Таблица1[р/р],"3/24",Таблица1[Ф. И. О.],B715)</f>
        <v>0</v>
      </c>
      <c r="X716" s="103">
        <f t="shared" ref="X716:X717" si="446">ROUND(U716*V716*W716,2)</f>
        <v>0</v>
      </c>
      <c r="Y716" s="838"/>
      <c r="Z716" s="840"/>
      <c r="AA716" s="843"/>
    </row>
    <row r="717" spans="1:30">
      <c r="A717" s="786"/>
      <c r="B717" s="620"/>
      <c r="C717" s="845"/>
      <c r="D717" s="847"/>
      <c r="E717" s="75"/>
      <c r="F717" s="271"/>
      <c r="G717" s="89"/>
      <c r="H717" s="103"/>
      <c r="I717" s="24"/>
      <c r="J717" s="278"/>
      <c r="K717" s="22"/>
      <c r="L717" s="309"/>
      <c r="M717" s="24"/>
      <c r="N717" s="22"/>
      <c r="O717" s="22"/>
      <c r="P717" s="282"/>
      <c r="Q717" s="621">
        <f>база!$L$5</f>
        <v>231.45480000000001</v>
      </c>
      <c r="R717" s="271">
        <v>1.3</v>
      </c>
      <c r="S717" s="97">
        <f>SUMIFS(Таблица1[сумма],Таблица1[коэф],"1,3",Таблица1[р/р],"4/16",Таблица1[Ф. И. О.],B715)</f>
        <v>0</v>
      </c>
      <c r="T717" s="103">
        <f t="shared" si="445"/>
        <v>0</v>
      </c>
      <c r="U717" s="82">
        <f>база!$M$5</f>
        <v>247.41720000000001</v>
      </c>
      <c r="V717" s="271">
        <v>1.3</v>
      </c>
      <c r="W717" s="97">
        <f>SUMIFS(Таблица1[сумма],Таблица1[коэф],"1,3",Таблица1[р/р],"4/24",Таблица1[Ф. И. О.],B715)</f>
        <v>0</v>
      </c>
      <c r="X717" s="103">
        <f t="shared" si="446"/>
        <v>0</v>
      </c>
      <c r="Y717" s="838"/>
      <c r="Z717" s="840"/>
      <c r="AA717" s="843"/>
    </row>
    <row r="718" spans="1:30">
      <c r="A718" s="786"/>
      <c r="B718" s="620"/>
      <c r="C718" s="845"/>
      <c r="D718" s="847"/>
      <c r="E718" s="75"/>
      <c r="F718" s="271"/>
      <c r="G718" s="89"/>
      <c r="H718" s="103"/>
      <c r="I718" s="24"/>
      <c r="J718" s="278"/>
      <c r="K718" s="22"/>
      <c r="L718" s="309"/>
      <c r="M718" s="24"/>
      <c r="N718" s="22"/>
      <c r="O718" s="22"/>
      <c r="P718" s="282"/>
      <c r="Q718" s="621">
        <f>IF(D710&lt;=3,база!$L$4,
IF(D710=4,база!$L$5,
IF(D710=5,база!$L$6)))</f>
        <v>210.57480000000001</v>
      </c>
      <c r="R718" s="271">
        <v>1.4</v>
      </c>
      <c r="S718" s="97">
        <f>SUMIFS(Таблица1[сумма],Таблица1[коэф],"1,4",Таблица1[р/р],"3/16",Таблица1[Ф. И. О.],B715)</f>
        <v>0</v>
      </c>
      <c r="T718" s="103">
        <f>ROUND(Q718*R718*S718,2)</f>
        <v>0</v>
      </c>
      <c r="U718" s="82">
        <f>IF(D710&lt;=3,база!$M$4,
IF(D710=4,база!$M$5,
IF(D710=5,база!$M$6)))</f>
        <v>225.09719999999999</v>
      </c>
      <c r="V718" s="271">
        <v>1.4</v>
      </c>
      <c r="W718" s="97">
        <f>SUMIFS(Таблица1[сумма],Таблица1[коэф],"1,4",Таблица1[р/р],"3/24",Таблица1[Ф. И. О.],B715)</f>
        <v>0</v>
      </c>
      <c r="X718" s="103">
        <f>ROUND(U718*V718*W718,2)</f>
        <v>0</v>
      </c>
      <c r="Y718" s="838"/>
      <c r="Z718" s="840"/>
      <c r="AA718" s="843"/>
    </row>
    <row r="719" spans="1:30">
      <c r="A719" s="786"/>
      <c r="B719" s="620"/>
      <c r="C719" s="845"/>
      <c r="D719" s="847"/>
      <c r="E719" s="85"/>
      <c r="F719" s="273"/>
      <c r="G719" s="630"/>
      <c r="H719" s="90"/>
      <c r="I719" s="67"/>
      <c r="J719" s="631"/>
      <c r="K719" s="59"/>
      <c r="L719" s="325"/>
      <c r="M719" s="67"/>
      <c r="N719" s="59"/>
      <c r="O719" s="59"/>
      <c r="P719" s="283"/>
      <c r="Q719" s="632">
        <f>база!$L$5</f>
        <v>231.45480000000001</v>
      </c>
      <c r="R719" s="273">
        <v>1.4</v>
      </c>
      <c r="S719" s="101">
        <f>SUMIFS(Таблица1[сумма],Таблица1[коэф],"1,4",Таблица1[р/р],"4/16",Таблица1[Ф. И. О.],B715)</f>
        <v>0</v>
      </c>
      <c r="T719" s="90">
        <f>ROUND(Q719*R719*S719,2)</f>
        <v>0</v>
      </c>
      <c r="U719" s="106">
        <f>база!$M$5</f>
        <v>247.41720000000001</v>
      </c>
      <c r="V719" s="273">
        <v>1.4</v>
      </c>
      <c r="W719" s="101">
        <f>SUMIFS(Таблица1[сумма],Таблица1[коэф],"1,4",Таблица1[р/р],"4/24",Таблица1[Ф. И. О.],B715)</f>
        <v>0</v>
      </c>
      <c r="X719" s="90">
        <f>ROUND(U719*V719*W719,2)</f>
        <v>0</v>
      </c>
      <c r="Y719" s="838"/>
      <c r="Z719" s="840"/>
      <c r="AA719" s="843"/>
    </row>
    <row r="720" spans="1:30" ht="24" thickBot="1">
      <c r="A720" s="787"/>
      <c r="B720" s="352"/>
      <c r="C720" s="846"/>
      <c r="D720" s="848"/>
      <c r="E720" s="77"/>
      <c r="F720" s="276"/>
      <c r="G720" s="622"/>
      <c r="H720" s="94"/>
      <c r="I720" s="623"/>
      <c r="J720" s="596"/>
      <c r="K720" s="624"/>
      <c r="L720" s="328"/>
      <c r="M720" s="623"/>
      <c r="N720" s="624"/>
      <c r="O720" s="624"/>
      <c r="P720" s="290"/>
      <c r="Q720" s="625">
        <f>база!$L$6</f>
        <v>261.04640000000001</v>
      </c>
      <c r="R720" s="276">
        <v>1.4</v>
      </c>
      <c r="S720" s="100">
        <f>SUMIFS(Таблица1[сумма],Таблица1[коэф],"1,4",Таблица1[р/р],"5/16",Таблица1[Ф. И. О.],B715)</f>
        <v>0</v>
      </c>
      <c r="T720" s="94">
        <f>ROUND(Q720*R720*S720,2)</f>
        <v>0</v>
      </c>
      <c r="U720" s="84">
        <f>база!$M$6</f>
        <v>279.0496</v>
      </c>
      <c r="V720" s="276">
        <v>1.4</v>
      </c>
      <c r="W720" s="100">
        <f>SUMIFS(Таблица1[сумма],Таблица1[коэф],"1,4",Таблица1[р/р],"5/24",Таблица1[Ф. И. О.],B715)</f>
        <v>0</v>
      </c>
      <c r="X720" s="94">
        <f>ROUND(U720*V720*W720,2)</f>
        <v>0</v>
      </c>
      <c r="Y720" s="839"/>
      <c r="Z720" s="841"/>
      <c r="AA720" s="844"/>
    </row>
    <row r="721" spans="1:30" ht="20.25" customHeight="1">
      <c r="A721" s="785">
        <v>66</v>
      </c>
      <c r="B721" s="620"/>
      <c r="C721" s="851">
        <f>INDEX(база!$E$2:$E$181, MATCH(B726,база!$B$2:$B$160,0))</f>
        <v>17208</v>
      </c>
      <c r="D721" s="852">
        <f>INDEX(база!$D$2:$D$189, MATCH(B726,база!$B$2:$B$160,0))</f>
        <v>3</v>
      </c>
      <c r="E721" s="75">
        <f>IF(D721&lt;=3,база!$I$4,
IF(D721=4,база!$I$5,
IF(D721=5,база!$I$6)))</f>
        <v>188.7912</v>
      </c>
      <c r="F721" s="271">
        <v>1</v>
      </c>
      <c r="G721" s="89">
        <f>SUMIFS(Таблица1[сумма],Таблица1[коэф],"1",Таблица1[р/р],"2/4",Таблица1[Ф. И. О.],B726)</f>
        <v>0</v>
      </c>
      <c r="H721" s="103">
        <f>ROUND(E721*F721*G721,2)</f>
        <v>0</v>
      </c>
      <c r="I721" s="24">
        <f>IF(D721&lt;=3,база!$J$4,
IF(D721=4,база!$J$5,
IF(D721=5,база!$J$6)))</f>
        <v>196.05240000000001</v>
      </c>
      <c r="J721" s="278">
        <v>1</v>
      </c>
      <c r="K721" s="22">
        <f>SUMIFS(Таблица1[сумма],Таблица1[коэф],"1",Таблица1[р/р],"2/8",Таблица1[Ф. И. О.],B726)</f>
        <v>0</v>
      </c>
      <c r="L721" s="309">
        <f>ROUND(I721*J721*K721,2)</f>
        <v>0</v>
      </c>
      <c r="M721" s="24"/>
      <c r="N721" s="22">
        <v>1</v>
      </c>
      <c r="O721" s="22">
        <f>SUMIFS(Data_Tech!$AM$3:$AM$67,Data_Tech!$E$3:$E$67,"1",Data_Tech!$G$3:$G$67,"3/12",Data_Tech!$F$3:$F$67,B726)</f>
        <v>0</v>
      </c>
      <c r="P721" s="282">
        <f>ROUND(M721*N721*O721,2)</f>
        <v>0</v>
      </c>
      <c r="Q721" s="621">
        <f>IF(D721&lt;=3,база!$L$4,
IF(D721=4,база!$L$5,
IF(D721=5,база!$L$6)))</f>
        <v>210.57480000000001</v>
      </c>
      <c r="R721" s="271">
        <v>1</v>
      </c>
      <c r="S721" s="97">
        <f>SUMIFS(Таблица1[сумма],Таблица1[коэф],"1",Таблица1[р/р],"3/16",Таблица1[Ф. И. О.],B726)</f>
        <v>0</v>
      </c>
      <c r="T721" s="103">
        <f t="shared" ref="T721:T725" si="447">ROUND(Q721*R721*S721,2)</f>
        <v>0</v>
      </c>
      <c r="U721" s="82">
        <f>IF(D721&lt;=3,база!$M$4,
IF(D721=4,база!$M$5,
IF(D721=5,база!$M$6)))</f>
        <v>225.09719999999999</v>
      </c>
      <c r="V721" s="271">
        <v>1</v>
      </c>
      <c r="W721" s="97">
        <f>SUMIFS(Таблица1[сумма],Таблица1[коэф],"1",Таблица1[р/р],"3/24",Таблица1[Ф. И. О.],B726)</f>
        <v>0</v>
      </c>
      <c r="X721" s="103">
        <f>ROUND(U721*V721*W721,2)</f>
        <v>0</v>
      </c>
      <c r="Y721" s="837">
        <f t="shared" ref="Y721" si="448">SUM(G721:G731,K721:K731,O721:O731,S721:S731,W721:W731)</f>
        <v>0</v>
      </c>
      <c r="Z721" s="853">
        <f t="shared" ref="Z721" si="449">IFERROR(SUM(H721:H731,L721:L731,T721:T731,X721:X731),"")</f>
        <v>0</v>
      </c>
      <c r="AA721" s="842"/>
    </row>
    <row r="722" spans="1:30">
      <c r="A722" s="786"/>
      <c r="B722" s="620"/>
      <c r="C722" s="845"/>
      <c r="D722" s="847"/>
      <c r="E722" s="75">
        <f>IF(D721&lt;=3,база!$I$4,
IF(D721=4,база!$I$5,
IF(D721=5,база!$I$6)))</f>
        <v>188.7912</v>
      </c>
      <c r="F722" s="271">
        <v>1</v>
      </c>
      <c r="G722" s="89">
        <f>SUMIFS(Таблица1[сумма],Таблица1[коэф],"1",Таблица1[р/р],"3/4",Таблица1[Ф. И. О.],B726)</f>
        <v>0</v>
      </c>
      <c r="H722" s="103">
        <f>ROUND(E722*F722*G722,2)</f>
        <v>0</v>
      </c>
      <c r="I722" s="24">
        <f>IF(D721&lt;=3,база!$J$4,
IF(D721=4,база!$J$5,
IF(D721=5,база!$J$6)))</f>
        <v>196.05240000000001</v>
      </c>
      <c r="J722" s="278">
        <v>1</v>
      </c>
      <c r="K722" s="22"/>
      <c r="L722" s="309">
        <f>ROUND(I722*J722*K722,2)</f>
        <v>0</v>
      </c>
      <c r="M722" s="24"/>
      <c r="N722" s="22">
        <v>1</v>
      </c>
      <c r="O722" s="22">
        <f>SUMIFS(Data_Tech!$AM$3:$AM$67,Data_Tech!$E$3:$E$67,"1",Data_Tech!$G$3:$G$67,"4/12",Data_Tech!$F$3:$F$67,B726)</f>
        <v>0</v>
      </c>
      <c r="P722" s="282">
        <f>ROUND(M722*O722,2)</f>
        <v>0</v>
      </c>
      <c r="Q722" s="621">
        <f>база!$L$5</f>
        <v>231.45480000000001</v>
      </c>
      <c r="R722" s="271">
        <v>1</v>
      </c>
      <c r="S722" s="97">
        <f>SUMIFS(Таблица1[сумма],Таблица1[коэф],"1",Таблица1[р/р],"4/16",Таблица1[Ф. И. О.],B726)</f>
        <v>0</v>
      </c>
      <c r="T722" s="103">
        <f t="shared" si="447"/>
        <v>0</v>
      </c>
      <c r="U722" s="82">
        <f>база!$M$5</f>
        <v>247.41720000000001</v>
      </c>
      <c r="V722" s="271">
        <v>1</v>
      </c>
      <c r="W722" s="97">
        <f>SUMIFS(Таблица1[сумма],Таблица1[коэф],"1",Таблица1[р/р],"4/24",Таблица1[Ф. И. О.],B726)</f>
        <v>0</v>
      </c>
      <c r="X722" s="103">
        <f t="shared" ref="X722" si="450">ROUND(U722*V722*W722,2)</f>
        <v>0</v>
      </c>
      <c r="Y722" s="838"/>
      <c r="Z722" s="840"/>
      <c r="AA722" s="843"/>
    </row>
    <row r="723" spans="1:30">
      <c r="A723" s="786"/>
      <c r="B723" s="620"/>
      <c r="C723" s="845"/>
      <c r="D723" s="847"/>
      <c r="E723" s="75"/>
      <c r="F723" s="271"/>
      <c r="G723" s="89"/>
      <c r="H723" s="103"/>
      <c r="I723" s="24"/>
      <c r="J723" s="278"/>
      <c r="K723" s="22"/>
      <c r="L723" s="309"/>
      <c r="M723" s="24"/>
      <c r="N723" s="22"/>
      <c r="O723" s="22"/>
      <c r="P723" s="282"/>
      <c r="Q723" s="621">
        <f>база!$L$6</f>
        <v>261.04640000000001</v>
      </c>
      <c r="R723" s="271">
        <v>1</v>
      </c>
      <c r="S723" s="97">
        <f>SUMIFS(Таблица1[сумма],Таблица1[коэф],"1",Таблица1[р/р],"5/16",Таблица1[Ф. И. О.],B726)</f>
        <v>0</v>
      </c>
      <c r="T723" s="103">
        <f t="shared" si="447"/>
        <v>0</v>
      </c>
      <c r="U723" s="82">
        <f>база!$M$6</f>
        <v>279.0496</v>
      </c>
      <c r="V723" s="271">
        <v>1</v>
      </c>
      <c r="W723" s="97">
        <f>SUMIFS(Таблица1[сумма],Таблица1[коэф],"1",Таблица1[р/р],"5/24",Таблица1[Ф. И. О.],B726)</f>
        <v>0</v>
      </c>
      <c r="X723" s="103">
        <f>ROUND(U723*V723*W723,2)</f>
        <v>0</v>
      </c>
      <c r="Y723" s="838"/>
      <c r="Z723" s="840"/>
      <c r="AA723" s="843"/>
    </row>
    <row r="724" spans="1:30">
      <c r="A724" s="786"/>
      <c r="B724" s="620"/>
      <c r="C724" s="845"/>
      <c r="D724" s="847"/>
      <c r="E724" s="75"/>
      <c r="F724" s="271"/>
      <c r="G724" s="89"/>
      <c r="H724" s="103"/>
      <c r="I724" s="24">
        <f>база!$J$5</f>
        <v>215.4924</v>
      </c>
      <c r="J724" s="278">
        <v>1.5</v>
      </c>
      <c r="K724" s="22">
        <f>SUMIFS(Таблица1[сумма],Таблица1[коэф],"1,5",Таблица1[р/р],"4/8",Таблица1[Ф. И. О.],B726)</f>
        <v>0</v>
      </c>
      <c r="L724" s="309">
        <f>ROUND(I724*J724*K724,2)</f>
        <v>0</v>
      </c>
      <c r="M724" s="24"/>
      <c r="N724" s="22"/>
      <c r="O724" s="22"/>
      <c r="P724" s="282"/>
      <c r="Q724" s="621">
        <f>IF(D721&lt;=3,база!$L$4,
IF(D721=4,база!$L$5,
IF(D721=5,база!$L$6)))</f>
        <v>210.57480000000001</v>
      </c>
      <c r="R724" s="271">
        <v>1.2</v>
      </c>
      <c r="S724" s="97">
        <f>SUMIFS(Таблица1[сумма],Таблица1[коэф],"1,2",Таблица1[р/р],"3/16",Таблица1[Ф. И. О.],B726)</f>
        <v>0</v>
      </c>
      <c r="T724" s="103">
        <f t="shared" si="447"/>
        <v>0</v>
      </c>
      <c r="U724" s="82">
        <f>IF(D721&lt;=3,база!$M$4,
IF(D721=4,база!$M$5,
IF(D721=5,база!$M$6)))</f>
        <v>225.09719999999999</v>
      </c>
      <c r="V724" s="271">
        <v>1.2</v>
      </c>
      <c r="W724" s="97">
        <f>SUMIFS(Таблица1[сумма],Таблица1[коэф],"1,2",Таблица1[р/р],"3/24",Таблица1[Ф. И. О.],B726)</f>
        <v>0</v>
      </c>
      <c r="X724" s="103">
        <f t="shared" ref="X724:X725" si="451">ROUND(U724*V724*W724,2)</f>
        <v>0</v>
      </c>
      <c r="Y724" s="838"/>
      <c r="Z724" s="840"/>
      <c r="AA724" s="843"/>
    </row>
    <row r="725" spans="1:30">
      <c r="A725" s="786"/>
      <c r="B725" s="620"/>
      <c r="C725" s="845"/>
      <c r="D725" s="847"/>
      <c r="E725" s="75"/>
      <c r="F725" s="271"/>
      <c r="G725" s="89"/>
      <c r="H725" s="103"/>
      <c r="I725" s="24">
        <f>база!$J$6</f>
        <v>243.04319999999998</v>
      </c>
      <c r="J725" s="278">
        <v>1.5</v>
      </c>
      <c r="K725" s="22">
        <f>SUMIFS(Таблица1[сумма],Таблица1[коэф],"1,5",Таблица1[р/р],"5/8",Таблица1[Ф. И. О.],B726)</f>
        <v>0</v>
      </c>
      <c r="L725" s="309">
        <f>ROUND(I725*J725*K725,2)</f>
        <v>0</v>
      </c>
      <c r="M725" s="24"/>
      <c r="N725" s="22"/>
      <c r="O725" s="22"/>
      <c r="P725" s="282"/>
      <c r="Q725" s="621">
        <f>база!$L$5</f>
        <v>231.45480000000001</v>
      </c>
      <c r="R725" s="271">
        <v>1.2</v>
      </c>
      <c r="S725" s="97">
        <f>SUMIFS(Таблица1[сумма],Таблица1[коэф],"1,2",Таблица1[р/р],"4/16",Таблица1[Ф. И. О.],B726)</f>
        <v>0</v>
      </c>
      <c r="T725" s="103">
        <f t="shared" si="447"/>
        <v>0</v>
      </c>
      <c r="U725" s="82">
        <f>база!$M$5</f>
        <v>247.41720000000001</v>
      </c>
      <c r="V725" s="271">
        <v>1.2</v>
      </c>
      <c r="W725" s="97">
        <f>SUMIFS(Таблица1[сумма],Таблица1[коэф],"1,2",Таблица1[р/р],"4/24",Таблица1[Ф. И. О.],B726)</f>
        <v>0</v>
      </c>
      <c r="X725" s="103">
        <f t="shared" si="451"/>
        <v>0</v>
      </c>
      <c r="Y725" s="838"/>
      <c r="Z725" s="840"/>
      <c r="AA725" s="843"/>
      <c r="AC725" s="722" t="str">
        <f>IF(SUMIFS(Таблица1[Столбец2],Таблица1[Ф. И. О.],B726)-Z721=0,"",SUMIFS(Таблица1[Столбец2],Таблица1[Ф. И. О.],B726)-Z721)</f>
        <v/>
      </c>
    </row>
    <row r="726" spans="1:30">
      <c r="A726" s="786"/>
      <c r="B726" s="620" t="str">
        <f>база!B67</f>
        <v>Рысев Иван Александрович</v>
      </c>
      <c r="C726" s="845"/>
      <c r="D726" s="847"/>
      <c r="E726" s="75"/>
      <c r="F726" s="271"/>
      <c r="G726" s="89"/>
      <c r="H726" s="103"/>
      <c r="I726" s="24"/>
      <c r="J726" s="278"/>
      <c r="K726" s="22"/>
      <c r="L726" s="309"/>
      <c r="M726" s="24"/>
      <c r="N726" s="22"/>
      <c r="O726" s="22"/>
      <c r="P726" s="282"/>
      <c r="Q726" s="621">
        <f>база!$L$6</f>
        <v>261.04640000000001</v>
      </c>
      <c r="R726" s="271">
        <v>1.2</v>
      </c>
      <c r="S726" s="97">
        <f>SUMIFS(Таблица1[сумма],Таблица1[коэф],"1,2",Таблица1[р/р],"5/16",Таблица1[Ф. И. О.],B726)</f>
        <v>0</v>
      </c>
      <c r="T726" s="103">
        <f>ROUND(Q726*R726*S726,2)</f>
        <v>0</v>
      </c>
      <c r="U726" s="82">
        <f>база!$M$6</f>
        <v>279.0496</v>
      </c>
      <c r="V726" s="271">
        <v>1.2</v>
      </c>
      <c r="W726" s="97">
        <f>SUMIFS(Таблица1[сумма],Таблица1[коэф],"1,2",Таблица1[р/р],"5/24",Таблица1[Ф. И. О.],B726)</f>
        <v>0</v>
      </c>
      <c r="X726" s="103">
        <f>ROUND(U726*V726*W726,2)</f>
        <v>0</v>
      </c>
      <c r="Y726" s="838"/>
      <c r="Z726" s="840"/>
      <c r="AA726" s="843"/>
      <c r="AC726" s="722" t="str">
        <f>IF(SUMIFS(Таблица1[сумма],Таблица1[Ф. И. О.],B726)=Y721,"",B721&amp;"  часы не верны")</f>
        <v/>
      </c>
      <c r="AD726" s="759">
        <f>INDEX('[2]декабрь 23'!$AI$4:$AI$100,MATCH(C721,'[2]декабрь 23'!$AK$4:$AK$100,0))</f>
        <v>142.80000000000001</v>
      </c>
    </row>
    <row r="727" spans="1:30">
      <c r="A727" s="786"/>
      <c r="B727" s="620"/>
      <c r="C727" s="845"/>
      <c r="D727" s="847"/>
      <c r="E727" s="75"/>
      <c r="F727" s="271"/>
      <c r="G727" s="89"/>
      <c r="H727" s="103"/>
      <c r="I727" s="24"/>
      <c r="J727" s="278"/>
      <c r="K727" s="22"/>
      <c r="L727" s="309"/>
      <c r="M727" s="24"/>
      <c r="N727" s="22"/>
      <c r="O727" s="22"/>
      <c r="P727" s="282"/>
      <c r="Q727" s="621">
        <f>IF($D$6&lt;=3,база!$L$4,
IF($D$6=4,база!$L$5,
IF($D$6=5,база!$L$6)))</f>
        <v>231.45480000000001</v>
      </c>
      <c r="R727" s="271">
        <v>1.3</v>
      </c>
      <c r="S727" s="97">
        <f>SUMIFS(Таблица1[сумма],Таблица1[коэф],"1,3",Таблица1[р/р],"3/16",Таблица1[Ф. И. О.],B726)</f>
        <v>0</v>
      </c>
      <c r="T727" s="103">
        <f t="shared" ref="T727:T728" si="452">ROUND(Q727*R727*S727,2)</f>
        <v>0</v>
      </c>
      <c r="U727" s="82">
        <f>IF(D721&lt;=3,база!$M$4,
IF(D721=4,база!$M$5,
IF(D721=5,база!$M$6)))</f>
        <v>225.09719999999999</v>
      </c>
      <c r="V727" s="271">
        <v>1.3</v>
      </c>
      <c r="W727" s="97">
        <f>SUMIFS(Таблица1[сумма],Таблица1[коэф],"1,3",Таблица1[р/р],"3/24",Таблица1[Ф. И. О.],B726)</f>
        <v>0</v>
      </c>
      <c r="X727" s="103">
        <f t="shared" ref="X727:X728" si="453">ROUND(U727*V727*W727,2)</f>
        <v>0</v>
      </c>
      <c r="Y727" s="838"/>
      <c r="Z727" s="840"/>
      <c r="AA727" s="843"/>
    </row>
    <row r="728" spans="1:30">
      <c r="A728" s="786"/>
      <c r="B728" s="620"/>
      <c r="C728" s="845"/>
      <c r="D728" s="847"/>
      <c r="E728" s="75"/>
      <c r="F728" s="271"/>
      <c r="G728" s="89"/>
      <c r="H728" s="103"/>
      <c r="I728" s="24"/>
      <c r="J728" s="278"/>
      <c r="K728" s="22"/>
      <c r="L728" s="309"/>
      <c r="M728" s="24"/>
      <c r="N728" s="22"/>
      <c r="O728" s="22"/>
      <c r="P728" s="282"/>
      <c r="Q728" s="621">
        <f>база!$L$5</f>
        <v>231.45480000000001</v>
      </c>
      <c r="R728" s="271">
        <v>1.3</v>
      </c>
      <c r="S728" s="97">
        <f>SUMIFS(Таблица1[сумма],Таблица1[коэф],"1,3",Таблица1[р/р],"4/16",Таблица1[Ф. И. О.],B726)</f>
        <v>0</v>
      </c>
      <c r="T728" s="103">
        <f t="shared" si="452"/>
        <v>0</v>
      </c>
      <c r="U728" s="82">
        <f>база!$M$5</f>
        <v>247.41720000000001</v>
      </c>
      <c r="V728" s="271">
        <v>1.3</v>
      </c>
      <c r="W728" s="97">
        <f>SUMIFS(Таблица1[сумма],Таблица1[коэф],"1,3",Таблица1[р/р],"4/24",Таблица1[Ф. И. О.],B726)</f>
        <v>0</v>
      </c>
      <c r="X728" s="103">
        <f t="shared" si="453"/>
        <v>0</v>
      </c>
      <c r="Y728" s="838"/>
      <c r="Z728" s="840"/>
      <c r="AA728" s="843"/>
    </row>
    <row r="729" spans="1:30">
      <c r="A729" s="786"/>
      <c r="B729" s="620"/>
      <c r="C729" s="845"/>
      <c r="D729" s="847"/>
      <c r="E729" s="75"/>
      <c r="F729" s="271"/>
      <c r="G729" s="89"/>
      <c r="H729" s="103"/>
      <c r="I729" s="24"/>
      <c r="J729" s="278"/>
      <c r="K729" s="22"/>
      <c r="L729" s="309"/>
      <c r="M729" s="24"/>
      <c r="N729" s="22"/>
      <c r="O729" s="22"/>
      <c r="P729" s="282"/>
      <c r="Q729" s="621">
        <f>IF(D721&lt;=3,база!$L$4,
IF(D721=4,база!$L$5,
IF(D721=5,база!$L$6)))</f>
        <v>210.57480000000001</v>
      </c>
      <c r="R729" s="271">
        <v>1.4</v>
      </c>
      <c r="S729" s="97">
        <f>SUMIFS(Таблица1[сумма],Таблица1[коэф],"1,4",Таблица1[р/р],"3/16",Таблица1[Ф. И. О.],B726)</f>
        <v>0</v>
      </c>
      <c r="T729" s="103">
        <f>ROUND(Q729*R729*S729,2)</f>
        <v>0</v>
      </c>
      <c r="U729" s="82">
        <f>IF(D721&lt;=3,база!$M$4,
IF(D721=4,база!$M$5,
IF(D721=5,база!$M$6)))</f>
        <v>225.09719999999999</v>
      </c>
      <c r="V729" s="271">
        <v>1.4</v>
      </c>
      <c r="W729" s="97">
        <f>SUMIFS(Таблица1[сумма],Таблица1[коэф],"1,4",Таблица1[р/р],"3/24",Таблица1[Ф. И. О.],B726)</f>
        <v>0</v>
      </c>
      <c r="X729" s="103">
        <f>ROUND(U729*V729*W729,2)</f>
        <v>0</v>
      </c>
      <c r="Y729" s="838"/>
      <c r="Z729" s="840"/>
      <c r="AA729" s="843"/>
    </row>
    <row r="730" spans="1:30">
      <c r="A730" s="786"/>
      <c r="B730" s="620"/>
      <c r="C730" s="845"/>
      <c r="D730" s="847"/>
      <c r="E730" s="85"/>
      <c r="F730" s="273"/>
      <c r="G730" s="630"/>
      <c r="H730" s="90"/>
      <c r="I730" s="67"/>
      <c r="J730" s="631"/>
      <c r="K730" s="59"/>
      <c r="L730" s="325"/>
      <c r="M730" s="67"/>
      <c r="N730" s="59"/>
      <c r="O730" s="59"/>
      <c r="P730" s="283"/>
      <c r="Q730" s="632">
        <f>база!$L$5</f>
        <v>231.45480000000001</v>
      </c>
      <c r="R730" s="273">
        <v>1.4</v>
      </c>
      <c r="S730" s="101">
        <f>SUMIFS(Таблица1[сумма],Таблица1[коэф],"1,4",Таблица1[р/р],"4/16",Таблица1[Ф. И. О.],B726)</f>
        <v>0</v>
      </c>
      <c r="T730" s="90">
        <f>ROUND(Q730*R730*S730,2)</f>
        <v>0</v>
      </c>
      <c r="U730" s="106">
        <f>база!$M$5</f>
        <v>247.41720000000001</v>
      </c>
      <c r="V730" s="273">
        <v>1.4</v>
      </c>
      <c r="W730" s="101">
        <f>SUMIFS(Таблица1[сумма],Таблица1[коэф],"1,4",Таблица1[р/р],"4/24",Таблица1[Ф. И. О.],B726)</f>
        <v>0</v>
      </c>
      <c r="X730" s="90">
        <f>ROUND(U730*V730*W730,2)</f>
        <v>0</v>
      </c>
      <c r="Y730" s="838"/>
      <c r="Z730" s="840"/>
      <c r="AA730" s="843"/>
    </row>
    <row r="731" spans="1:30" ht="24" thickBot="1">
      <c r="A731" s="787"/>
      <c r="B731" s="352"/>
      <c r="C731" s="846"/>
      <c r="D731" s="848"/>
      <c r="E731" s="77"/>
      <c r="F731" s="276"/>
      <c r="G731" s="622"/>
      <c r="H731" s="94"/>
      <c r="I731" s="623"/>
      <c r="J731" s="596"/>
      <c r="K731" s="624"/>
      <c r="L731" s="328"/>
      <c r="M731" s="623"/>
      <c r="N731" s="624"/>
      <c r="O731" s="624"/>
      <c r="P731" s="290"/>
      <c r="Q731" s="625">
        <f>база!$L$6</f>
        <v>261.04640000000001</v>
      </c>
      <c r="R731" s="276">
        <v>1.4</v>
      </c>
      <c r="S731" s="100">
        <f>SUMIFS(Таблица1[сумма],Таблица1[коэф],"1,4",Таблица1[р/р],"5/16",Таблица1[Ф. И. О.],B726)</f>
        <v>0</v>
      </c>
      <c r="T731" s="94">
        <f>ROUND(Q731*R731*S731,2)</f>
        <v>0</v>
      </c>
      <c r="U731" s="84">
        <f>база!$M$6</f>
        <v>279.0496</v>
      </c>
      <c r="V731" s="276">
        <v>1.4</v>
      </c>
      <c r="W731" s="100">
        <f>SUMIFS(Таблица1[сумма],Таблица1[коэф],"1,4",Таблица1[р/р],"5/24",Таблица1[Ф. И. О.],B726)</f>
        <v>0</v>
      </c>
      <c r="X731" s="94">
        <f>ROUND(U731*V731*W731,2)</f>
        <v>0</v>
      </c>
      <c r="Y731" s="839"/>
      <c r="Z731" s="841"/>
      <c r="AA731" s="844"/>
    </row>
    <row r="732" spans="1:30" ht="20.25" customHeight="1">
      <c r="A732" s="785">
        <v>67</v>
      </c>
      <c r="B732" s="620"/>
      <c r="C732" s="851">
        <f>INDEX(база!$E$2:$E$181, MATCH(B737,база!$B$2:$B$160,0))</f>
        <v>17324</v>
      </c>
      <c r="D732" s="852">
        <f>INDEX(база!$D$2:$D$189, MATCH(B737,база!$B$2:$B$160,0))</f>
        <v>3</v>
      </c>
      <c r="E732" s="75">
        <f>IF(D732&lt;=3,база!$I$4,
IF(D732=4,база!$I$5,
IF(D732=5,база!$I$6)))</f>
        <v>188.7912</v>
      </c>
      <c r="F732" s="271">
        <v>1</v>
      </c>
      <c r="G732" s="89">
        <f>SUMIFS(Таблица1[сумма],Таблица1[коэф],"1",Таблица1[р/р],"2/4",Таблица1[Ф. И. О.],B737)</f>
        <v>0</v>
      </c>
      <c r="H732" s="103">
        <f>ROUND(E732*F732*G732,2)</f>
        <v>0</v>
      </c>
      <c r="I732" s="24">
        <f>IF(D732&lt;=3,база!$J$4,
IF(D732=4,база!$J$5,
IF(D732=5,база!$J$6)))</f>
        <v>196.05240000000001</v>
      </c>
      <c r="J732" s="278">
        <v>1</v>
      </c>
      <c r="K732" s="22">
        <f>SUMIFS(Таблица1[сумма],Таблица1[коэф],"1",Таблица1[р/р],"2/8",Таблица1[Ф. И. О.],B737)</f>
        <v>0</v>
      </c>
      <c r="L732" s="309">
        <f>ROUND(I732*J732*K732,2)</f>
        <v>0</v>
      </c>
      <c r="M732" s="24"/>
      <c r="N732" s="22">
        <v>1</v>
      </c>
      <c r="O732" s="22">
        <f>SUMIFS(Data_Tech!$AM$3:$AM$67,Data_Tech!$E$3:$E$67,"1",Data_Tech!$G$3:$G$67,"3/12",Data_Tech!$F$3:$F$67,B737)</f>
        <v>0</v>
      </c>
      <c r="P732" s="282">
        <f>ROUND(M732*N732*O732,2)</f>
        <v>0</v>
      </c>
      <c r="Q732" s="621">
        <f>IF(D732&lt;=3,база!$L$4,
IF(D732=4,база!$L$5,
IF(D732=5,база!$L$6)))</f>
        <v>210.57480000000001</v>
      </c>
      <c r="R732" s="271">
        <v>1</v>
      </c>
      <c r="S732" s="97">
        <f>SUMIFS(Таблица1[сумма],Таблица1[коэф],"1",Таблица1[р/р],"3/16",Таблица1[Ф. И. О.],B737)</f>
        <v>0</v>
      </c>
      <c r="T732" s="103">
        <f t="shared" ref="T732:T736" si="454">ROUND(Q732*R732*S732,2)</f>
        <v>0</v>
      </c>
      <c r="U732" s="82">
        <f>IF(D732&lt;=3,база!$M$4,
IF(D732=4,база!$M$5,
IF(D732=5,база!$M$6)))</f>
        <v>225.09719999999999</v>
      </c>
      <c r="V732" s="271">
        <v>1</v>
      </c>
      <c r="W732" s="97">
        <f>SUMIFS(Таблица1[сумма],Таблица1[коэф],"1",Таблица1[р/р],"3/24",Таблица1[Ф. И. О.],B737)</f>
        <v>0</v>
      </c>
      <c r="X732" s="103">
        <f>ROUND(U732*V732*W732,2)</f>
        <v>0</v>
      </c>
      <c r="Y732" s="837">
        <f t="shared" ref="Y732" si="455">SUM(G732:G742,K732:K742,O732:O742,S732:S742,W732:W742)</f>
        <v>0</v>
      </c>
      <c r="Z732" s="853">
        <f t="shared" ref="Z732" si="456">IFERROR(SUM(H732:H742,L732:L742,T732:T742,X732:X742),"")</f>
        <v>0</v>
      </c>
      <c r="AA732" s="842"/>
    </row>
    <row r="733" spans="1:30">
      <c r="A733" s="786"/>
      <c r="B733" s="620"/>
      <c r="C733" s="845"/>
      <c r="D733" s="847"/>
      <c r="E733" s="75">
        <f>IF(D732&lt;=3,база!$I$4,
IF(D732=4,база!$I$5,
IF(D732=5,база!$I$6)))</f>
        <v>188.7912</v>
      </c>
      <c r="F733" s="271">
        <v>1</v>
      </c>
      <c r="G733" s="89">
        <f>SUMIFS(Таблица1[сумма],Таблица1[коэф],"1",Таблица1[р/р],"3/4",Таблица1[Ф. И. О.],B737)</f>
        <v>0</v>
      </c>
      <c r="H733" s="103">
        <f>ROUND(E733*F733*G733,2)</f>
        <v>0</v>
      </c>
      <c r="I733" s="24">
        <f>IF(D732&lt;=3,база!$J$4,
IF(D732=4,база!$J$5,
IF(D732=5,база!$J$6)))</f>
        <v>196.05240000000001</v>
      </c>
      <c r="J733" s="278">
        <v>1</v>
      </c>
      <c r="K733" s="22"/>
      <c r="L733" s="309">
        <f>ROUND(I733*J733*K733,2)</f>
        <v>0</v>
      </c>
      <c r="M733" s="24"/>
      <c r="N733" s="22">
        <v>1</v>
      </c>
      <c r="O733" s="22">
        <f>SUMIFS(Data_Tech!$AM$3:$AM$67,Data_Tech!$E$3:$E$67,"1",Data_Tech!$G$3:$G$67,"4/12",Data_Tech!$F$3:$F$67,B737)</f>
        <v>0</v>
      </c>
      <c r="P733" s="282">
        <f>ROUND(M733*O733,2)</f>
        <v>0</v>
      </c>
      <c r="Q733" s="621">
        <f>база!$L$5</f>
        <v>231.45480000000001</v>
      </c>
      <c r="R733" s="271">
        <v>1</v>
      </c>
      <c r="S733" s="97">
        <f>SUMIFS(Таблица1[сумма],Таблица1[коэф],"1",Таблица1[р/р],"4/16",Таблица1[Ф. И. О.],B737)</f>
        <v>0</v>
      </c>
      <c r="T733" s="103">
        <f t="shared" si="454"/>
        <v>0</v>
      </c>
      <c r="U733" s="82">
        <f>база!$M$5</f>
        <v>247.41720000000001</v>
      </c>
      <c r="V733" s="271">
        <v>1</v>
      </c>
      <c r="W733" s="97">
        <f>SUMIFS(Таблица1[сумма],Таблица1[коэф],"1",Таблица1[р/р],"4/24",Таблица1[Ф. И. О.],B737)</f>
        <v>0</v>
      </c>
      <c r="X733" s="103">
        <f t="shared" ref="X733" si="457">ROUND(U733*V733*W733,2)</f>
        <v>0</v>
      </c>
      <c r="Y733" s="838"/>
      <c r="Z733" s="840"/>
      <c r="AA733" s="843"/>
    </row>
    <row r="734" spans="1:30">
      <c r="A734" s="786"/>
      <c r="B734" s="620"/>
      <c r="C734" s="845"/>
      <c r="D734" s="847"/>
      <c r="E734" s="75"/>
      <c r="F734" s="271"/>
      <c r="G734" s="89"/>
      <c r="H734" s="103"/>
      <c r="I734" s="24"/>
      <c r="J734" s="278"/>
      <c r="K734" s="22"/>
      <c r="L734" s="309"/>
      <c r="M734" s="24"/>
      <c r="N734" s="22"/>
      <c r="O734" s="22"/>
      <c r="P734" s="282"/>
      <c r="Q734" s="621">
        <f>база!$L$6</f>
        <v>261.04640000000001</v>
      </c>
      <c r="R734" s="271">
        <v>1</v>
      </c>
      <c r="S734" s="97">
        <f>SUMIFS(Таблица1[сумма],Таблица1[коэф],"1",Таблица1[р/р],"5/16",Таблица1[Ф. И. О.],B737)</f>
        <v>0</v>
      </c>
      <c r="T734" s="103">
        <f t="shared" si="454"/>
        <v>0</v>
      </c>
      <c r="U734" s="82">
        <f>база!$M$6</f>
        <v>279.0496</v>
      </c>
      <c r="V734" s="271">
        <v>1</v>
      </c>
      <c r="W734" s="97">
        <f>SUMIFS(Таблица1[сумма],Таблица1[коэф],"1",Таблица1[р/р],"5/24",Таблица1[Ф. И. О.],B737)</f>
        <v>0</v>
      </c>
      <c r="X734" s="103">
        <f>ROUND(U734*V734*W734,2)</f>
        <v>0</v>
      </c>
      <c r="Y734" s="838"/>
      <c r="Z734" s="840"/>
      <c r="AA734" s="843"/>
    </row>
    <row r="735" spans="1:30">
      <c r="A735" s="786"/>
      <c r="B735" s="620"/>
      <c r="C735" s="845"/>
      <c r="D735" s="847"/>
      <c r="E735" s="75"/>
      <c r="F735" s="271"/>
      <c r="G735" s="89"/>
      <c r="H735" s="103"/>
      <c r="I735" s="24">
        <f>база!$J$5</f>
        <v>215.4924</v>
      </c>
      <c r="J735" s="278">
        <v>1.5</v>
      </c>
      <c r="K735" s="22">
        <f>SUMIFS(Таблица1[сумма],Таблица1[коэф],"1,5",Таблица1[р/р],"4/8",Таблица1[Ф. И. О.],B737)</f>
        <v>0</v>
      </c>
      <c r="L735" s="309">
        <f>ROUND(I735*J735*K735,2)</f>
        <v>0</v>
      </c>
      <c r="M735" s="24"/>
      <c r="N735" s="22"/>
      <c r="O735" s="22"/>
      <c r="P735" s="282"/>
      <c r="Q735" s="621">
        <f>IF(D732&lt;=3,база!$L$4,
IF(D732=4,база!$L$5,
IF(D732=5,база!$L$6)))</f>
        <v>210.57480000000001</v>
      </c>
      <c r="R735" s="271">
        <v>1.2</v>
      </c>
      <c r="S735" s="97">
        <f>SUMIFS(Таблица1[сумма],Таблица1[коэф],"1,2",Таблица1[р/р],"3/16",Таблица1[Ф. И. О.],B737)</f>
        <v>0</v>
      </c>
      <c r="T735" s="103">
        <f t="shared" si="454"/>
        <v>0</v>
      </c>
      <c r="U735" s="82">
        <f>IF(D732&lt;=3,база!$M$4,
IF(D732=4,база!$M$5,
IF(D732=5,база!$M$6)))</f>
        <v>225.09719999999999</v>
      </c>
      <c r="V735" s="271">
        <v>1.2</v>
      </c>
      <c r="W735" s="97">
        <f>SUMIFS(Таблица1[сумма],Таблица1[коэф],"1,2",Таблица1[р/р],"3/24",Таблица1[Ф. И. О.],B737)</f>
        <v>0</v>
      </c>
      <c r="X735" s="103">
        <f t="shared" ref="X735:X736" si="458">ROUND(U735*V735*W735,2)</f>
        <v>0</v>
      </c>
      <c r="Y735" s="838"/>
      <c r="Z735" s="840"/>
      <c r="AA735" s="843"/>
    </row>
    <row r="736" spans="1:30">
      <c r="A736" s="786"/>
      <c r="B736" s="620"/>
      <c r="C736" s="845"/>
      <c r="D736" s="847"/>
      <c r="E736" s="75"/>
      <c r="F736" s="271"/>
      <c r="G736" s="89"/>
      <c r="H736" s="103"/>
      <c r="I736" s="24">
        <f>база!$J$6</f>
        <v>243.04319999999998</v>
      </c>
      <c r="J736" s="278">
        <v>1.5</v>
      </c>
      <c r="K736" s="22">
        <f>SUMIFS(Таблица1[сумма],Таблица1[коэф],"1,5",Таблица1[р/р],"5/8",Таблица1[Ф. И. О.],B737)</f>
        <v>0</v>
      </c>
      <c r="L736" s="309">
        <f>ROUND(I736*J736*K736,2)</f>
        <v>0</v>
      </c>
      <c r="M736" s="24"/>
      <c r="N736" s="22"/>
      <c r="O736" s="22"/>
      <c r="P736" s="282"/>
      <c r="Q736" s="621">
        <f>база!$L$5</f>
        <v>231.45480000000001</v>
      </c>
      <c r="R736" s="271">
        <v>1.2</v>
      </c>
      <c r="S736" s="97">
        <f>SUMIFS(Таблица1[сумма],Таблица1[коэф],"1,2",Таблица1[р/р],"4/16",Таблица1[Ф. И. О.],B737)</f>
        <v>0</v>
      </c>
      <c r="T736" s="103">
        <f t="shared" si="454"/>
        <v>0</v>
      </c>
      <c r="U736" s="82">
        <f>база!$M$5</f>
        <v>247.41720000000001</v>
      </c>
      <c r="V736" s="271">
        <v>1.2</v>
      </c>
      <c r="W736" s="97">
        <f>SUMIFS(Таблица1[сумма],Таблица1[коэф],"1,2",Таблица1[р/р],"4/24",Таблица1[Ф. И. О.],B737)</f>
        <v>0</v>
      </c>
      <c r="X736" s="103">
        <f t="shared" si="458"/>
        <v>0</v>
      </c>
      <c r="Y736" s="838"/>
      <c r="Z736" s="840"/>
      <c r="AA736" s="843"/>
      <c r="AC736" s="722" t="str">
        <f>IF(SUMIFS(Таблица1[Столбец2],Таблица1[Ф. И. О.],B737)-Z732=0,"",SUMIFS(Таблица1[Столбец2],Таблица1[Ф. И. О.],B737)-Z732)</f>
        <v/>
      </c>
    </row>
    <row r="737" spans="1:30">
      <c r="A737" s="786"/>
      <c r="B737" s="620" t="str">
        <f>база!B68</f>
        <v>Саидова Ольга Владимировна</v>
      </c>
      <c r="C737" s="845"/>
      <c r="D737" s="847"/>
      <c r="E737" s="75"/>
      <c r="F737" s="271"/>
      <c r="G737" s="89"/>
      <c r="H737" s="103"/>
      <c r="I737" s="24"/>
      <c r="J737" s="278"/>
      <c r="K737" s="22"/>
      <c r="L737" s="309"/>
      <c r="M737" s="24"/>
      <c r="N737" s="22"/>
      <c r="O737" s="22"/>
      <c r="P737" s="282"/>
      <c r="Q737" s="621">
        <f>база!$L$6</f>
        <v>261.04640000000001</v>
      </c>
      <c r="R737" s="271">
        <v>1.2</v>
      </c>
      <c r="S737" s="97">
        <f>SUMIFS(Таблица1[сумма],Таблица1[коэф],"1,2",Таблица1[р/р],"5/16",Таблица1[Ф. И. О.],B737)</f>
        <v>0</v>
      </c>
      <c r="T737" s="103">
        <f>ROUND(Q737*R737*S737,2)</f>
        <v>0</v>
      </c>
      <c r="U737" s="82">
        <f>база!$M$6</f>
        <v>279.0496</v>
      </c>
      <c r="V737" s="271">
        <v>1.2</v>
      </c>
      <c r="W737" s="97">
        <f>SUMIFS(Таблица1[сумма],Таблица1[коэф],"1,2",Таблица1[р/р],"5/24",Таблица1[Ф. И. О.],B737)</f>
        <v>0</v>
      </c>
      <c r="X737" s="103">
        <f>ROUND(U737*V737*W737,2)</f>
        <v>0</v>
      </c>
      <c r="Y737" s="838"/>
      <c r="Z737" s="840"/>
      <c r="AA737" s="843"/>
      <c r="AC737" s="722" t="str">
        <f>IF(SUMIFS(Таблица1[сумма],Таблица1[Ф. И. О.],B737)=Y732,"",B732&amp;"  часы не верны")</f>
        <v/>
      </c>
      <c r="AD737" s="759">
        <f>INDEX('[2]декабрь 23'!$AI$4:$AI$100,MATCH(C732,'[2]декабрь 23'!$AK$4:$AK$100,0))</f>
        <v>136.80000000000001</v>
      </c>
    </row>
    <row r="738" spans="1:30">
      <c r="A738" s="786"/>
      <c r="B738" s="620"/>
      <c r="C738" s="845"/>
      <c r="D738" s="847"/>
      <c r="E738" s="75"/>
      <c r="F738" s="271"/>
      <c r="G738" s="89"/>
      <c r="H738" s="103"/>
      <c r="I738" s="24"/>
      <c r="J738" s="278"/>
      <c r="K738" s="22"/>
      <c r="L738" s="309"/>
      <c r="M738" s="24"/>
      <c r="N738" s="22"/>
      <c r="O738" s="22"/>
      <c r="P738" s="282"/>
      <c r="Q738" s="621">
        <f>IF($D$6&lt;=3,база!$L$4,
IF($D$6=4,база!$L$5,
IF($D$6=5,база!$L$6)))</f>
        <v>231.45480000000001</v>
      </c>
      <c r="R738" s="271">
        <v>1.3</v>
      </c>
      <c r="S738" s="97">
        <f>SUMIFS(Таблица1[сумма],Таблица1[коэф],"1,3",Таблица1[р/р],"3/16",Таблица1[Ф. И. О.],B737)</f>
        <v>0</v>
      </c>
      <c r="T738" s="103">
        <f t="shared" ref="T738:T739" si="459">ROUND(Q738*R738*S738,2)</f>
        <v>0</v>
      </c>
      <c r="U738" s="82">
        <f>IF(D732&lt;=3,база!$M$4,
IF(D732=4,база!$M$5,
IF(D732=5,база!$M$6)))</f>
        <v>225.09719999999999</v>
      </c>
      <c r="V738" s="271">
        <v>1.3</v>
      </c>
      <c r="W738" s="97">
        <f>SUMIFS(Таблица1[сумма],Таблица1[коэф],"1,3",Таблица1[р/р],"3/24",Таблица1[Ф. И. О.],B737)</f>
        <v>0</v>
      </c>
      <c r="X738" s="103">
        <f t="shared" ref="X738:X739" si="460">ROUND(U738*V738*W738,2)</f>
        <v>0</v>
      </c>
      <c r="Y738" s="838"/>
      <c r="Z738" s="840"/>
      <c r="AA738" s="843"/>
    </row>
    <row r="739" spans="1:30">
      <c r="A739" s="786"/>
      <c r="B739" s="620"/>
      <c r="C739" s="845"/>
      <c r="D739" s="847"/>
      <c r="E739" s="75"/>
      <c r="F739" s="271"/>
      <c r="G739" s="89"/>
      <c r="H739" s="103"/>
      <c r="I739" s="24"/>
      <c r="J739" s="278"/>
      <c r="K739" s="22"/>
      <c r="L739" s="309"/>
      <c r="M739" s="24"/>
      <c r="N739" s="22"/>
      <c r="O739" s="22"/>
      <c r="P739" s="282"/>
      <c r="Q739" s="621">
        <f>база!$L$5</f>
        <v>231.45480000000001</v>
      </c>
      <c r="R739" s="271">
        <v>1.3</v>
      </c>
      <c r="S739" s="97">
        <f>SUMIFS(Таблица1[сумма],Таблица1[коэф],"1,3",Таблица1[р/р],"4/16",Таблица1[Ф. И. О.],B737)</f>
        <v>0</v>
      </c>
      <c r="T739" s="103">
        <f t="shared" si="459"/>
        <v>0</v>
      </c>
      <c r="U739" s="82">
        <f>база!$M$5</f>
        <v>247.41720000000001</v>
      </c>
      <c r="V739" s="271">
        <v>1.3</v>
      </c>
      <c r="W739" s="97">
        <f>SUMIFS(Таблица1[сумма],Таблица1[коэф],"1,3",Таблица1[р/р],"4/24",Таблица1[Ф. И. О.],B737)</f>
        <v>0</v>
      </c>
      <c r="X739" s="103">
        <f t="shared" si="460"/>
        <v>0</v>
      </c>
      <c r="Y739" s="838"/>
      <c r="Z739" s="840"/>
      <c r="AA739" s="843"/>
    </row>
    <row r="740" spans="1:30">
      <c r="A740" s="786"/>
      <c r="B740" s="620"/>
      <c r="C740" s="845"/>
      <c r="D740" s="847"/>
      <c r="E740" s="75"/>
      <c r="F740" s="271"/>
      <c r="G740" s="89"/>
      <c r="H740" s="103"/>
      <c r="I740" s="24"/>
      <c r="J740" s="278"/>
      <c r="K740" s="22"/>
      <c r="L740" s="309"/>
      <c r="M740" s="24"/>
      <c r="N740" s="22"/>
      <c r="O740" s="22"/>
      <c r="P740" s="282"/>
      <c r="Q740" s="621">
        <f>IF(D732&lt;=3,база!$L$4,
IF(D732=4,база!$L$5,
IF(D732=5,база!$L$6)))</f>
        <v>210.57480000000001</v>
      </c>
      <c r="R740" s="271">
        <v>1.4</v>
      </c>
      <c r="S740" s="97">
        <f>SUMIFS(Таблица1[сумма],Таблица1[коэф],"1,4",Таблица1[р/р],"3/16",Таблица1[Ф. И. О.],B737)</f>
        <v>0</v>
      </c>
      <c r="T740" s="103">
        <f>ROUND(Q740*R740*S740,2)</f>
        <v>0</v>
      </c>
      <c r="U740" s="82">
        <f>IF(D732&lt;=3,база!$M$4,
IF(D732=4,база!$M$5,
IF(D732=5,база!$M$6)))</f>
        <v>225.09719999999999</v>
      </c>
      <c r="V740" s="271">
        <v>1.4</v>
      </c>
      <c r="W740" s="97">
        <f>SUMIFS(Таблица1[сумма],Таблица1[коэф],"1,4",Таблица1[р/р],"3/24",Таблица1[Ф. И. О.],B737)</f>
        <v>0</v>
      </c>
      <c r="X740" s="103">
        <f>ROUND(U740*V740*W740,2)</f>
        <v>0</v>
      </c>
      <c r="Y740" s="838"/>
      <c r="Z740" s="840"/>
      <c r="AA740" s="843"/>
    </row>
    <row r="741" spans="1:30">
      <c r="A741" s="786"/>
      <c r="B741" s="620"/>
      <c r="C741" s="845"/>
      <c r="D741" s="847"/>
      <c r="E741" s="85"/>
      <c r="F741" s="273"/>
      <c r="G741" s="630"/>
      <c r="H741" s="90"/>
      <c r="I741" s="67"/>
      <c r="J741" s="631"/>
      <c r="K741" s="59"/>
      <c r="L741" s="325"/>
      <c r="M741" s="67"/>
      <c r="N741" s="59"/>
      <c r="O741" s="59"/>
      <c r="P741" s="283"/>
      <c r="Q741" s="632">
        <f>база!$L$5</f>
        <v>231.45480000000001</v>
      </c>
      <c r="R741" s="273">
        <v>1.4</v>
      </c>
      <c r="S741" s="101">
        <f>SUMIFS(Таблица1[сумма],Таблица1[коэф],"1,4",Таблица1[р/р],"4/16",Таблица1[Ф. И. О.],B737)</f>
        <v>0</v>
      </c>
      <c r="T741" s="90">
        <f>ROUND(Q741*R741*S741,2)</f>
        <v>0</v>
      </c>
      <c r="U741" s="106">
        <f>база!$M$5</f>
        <v>247.41720000000001</v>
      </c>
      <c r="V741" s="273">
        <v>1.4</v>
      </c>
      <c r="W741" s="101">
        <f>SUMIFS(Таблица1[сумма],Таблица1[коэф],"1,4",Таблица1[р/р],"4/24",Таблица1[Ф. И. О.],B737)</f>
        <v>0</v>
      </c>
      <c r="X741" s="90">
        <f>ROUND(U741*V741*W741,2)</f>
        <v>0</v>
      </c>
      <c r="Y741" s="838"/>
      <c r="Z741" s="840"/>
      <c r="AA741" s="843"/>
    </row>
    <row r="742" spans="1:30" ht="24" thickBot="1">
      <c r="A742" s="787"/>
      <c r="B742" s="352"/>
      <c r="C742" s="846"/>
      <c r="D742" s="848"/>
      <c r="E742" s="77"/>
      <c r="F742" s="276"/>
      <c r="G742" s="622"/>
      <c r="H742" s="94"/>
      <c r="I742" s="623"/>
      <c r="J742" s="596"/>
      <c r="K742" s="624"/>
      <c r="L742" s="328"/>
      <c r="M742" s="623"/>
      <c r="N742" s="624"/>
      <c r="O742" s="624"/>
      <c r="P742" s="290"/>
      <c r="Q742" s="625">
        <f>база!$L$6</f>
        <v>261.04640000000001</v>
      </c>
      <c r="R742" s="276">
        <v>1.4</v>
      </c>
      <c r="S742" s="100">
        <f>SUMIFS(Таблица1[сумма],Таблица1[коэф],"1,4",Таблица1[р/р],"5/16",Таблица1[Ф. И. О.],B737)</f>
        <v>0</v>
      </c>
      <c r="T742" s="94">
        <f>ROUND(Q742*R742*S742,2)</f>
        <v>0</v>
      </c>
      <c r="U742" s="84">
        <f>база!$M$6</f>
        <v>279.0496</v>
      </c>
      <c r="V742" s="276">
        <v>1.4</v>
      </c>
      <c r="W742" s="100">
        <f>SUMIFS(Таблица1[сумма],Таблица1[коэф],"1,4",Таблица1[р/р],"5/24",Таблица1[Ф. И. О.],B737)</f>
        <v>0</v>
      </c>
      <c r="X742" s="94">
        <f>ROUND(U742*V742*W742,2)</f>
        <v>0</v>
      </c>
      <c r="Y742" s="839"/>
      <c r="Z742" s="841"/>
      <c r="AA742" s="844"/>
    </row>
    <row r="743" spans="1:30" ht="20.25" customHeight="1">
      <c r="A743" s="785">
        <v>68</v>
      </c>
      <c r="B743" s="620"/>
      <c r="C743" s="851">
        <f>INDEX(база!$E$2:$E$181, MATCH(B748,база!$B$2:$B$160,0))</f>
        <v>17102</v>
      </c>
      <c r="D743" s="852">
        <f>INDEX(база!$D$2:$D$189, MATCH(B748,база!$B$2:$B$160,0))</f>
        <v>3</v>
      </c>
      <c r="E743" s="75">
        <f>IF(D743&lt;=3,база!$I$4,
IF(D743=4,база!$I$5,
IF(D743=5,база!$I$6)))</f>
        <v>188.7912</v>
      </c>
      <c r="F743" s="271">
        <v>1</v>
      </c>
      <c r="G743" s="89">
        <f>SUMIFS(Таблица1[сумма],Таблица1[коэф],"1",Таблица1[р/р],"2/4",Таблица1[Ф. И. О.],B748)</f>
        <v>0</v>
      </c>
      <c r="H743" s="103">
        <f>ROUND(E743*F743*G743,2)</f>
        <v>0</v>
      </c>
      <c r="I743" s="24">
        <f>IF(D743&lt;=3,база!$J$4,
IF(D743=4,база!$J$5,
IF(D743=5,база!$J$6)))</f>
        <v>196.05240000000001</v>
      </c>
      <c r="J743" s="278">
        <v>1</v>
      </c>
      <c r="K743" s="22">
        <f>SUMIFS(Таблица1[сумма],Таблица1[коэф],"1",Таблица1[р/р],"2/8",Таблица1[Ф. И. О.],B748)</f>
        <v>0</v>
      </c>
      <c r="L743" s="309">
        <f>ROUND(I743*J743*K743,2)</f>
        <v>0</v>
      </c>
      <c r="M743" s="24"/>
      <c r="N743" s="22">
        <v>1</v>
      </c>
      <c r="O743" s="22">
        <f>SUMIFS(Data_Tech!$AM$3:$AM$67,Data_Tech!$E$3:$E$67,"1",Data_Tech!$G$3:$G$67,"3/12",Data_Tech!$F$3:$F$67,B748)</f>
        <v>0</v>
      </c>
      <c r="P743" s="282">
        <f>ROUND(M743*N743*O743,2)</f>
        <v>0</v>
      </c>
      <c r="Q743" s="621">
        <f>IF(D743&lt;=3,база!$L$4,
IF(D743=4,база!$L$5,
IF(D743=5,база!$L$6)))</f>
        <v>210.57480000000001</v>
      </c>
      <c r="R743" s="271">
        <v>1</v>
      </c>
      <c r="S743" s="97">
        <f>SUMIFS(Таблица1[сумма],Таблица1[коэф],"1",Таблица1[р/р],"3/16",Таблица1[Ф. И. О.],B748)</f>
        <v>0</v>
      </c>
      <c r="T743" s="103">
        <f t="shared" ref="T743:T747" si="461">ROUND(Q743*R743*S743,2)</f>
        <v>0</v>
      </c>
      <c r="U743" s="82">
        <f>IF(D743&lt;=3,база!$M$4,
IF(D743=4,база!$M$5,
IF(D743=5,база!$M$6)))</f>
        <v>225.09719999999999</v>
      </c>
      <c r="V743" s="271">
        <v>1</v>
      </c>
      <c r="W743" s="97">
        <f>SUMIFS(Таблица1[сумма],Таблица1[коэф],"1",Таблица1[р/р],"3/24",Таблица1[Ф. И. О.],B748)</f>
        <v>0</v>
      </c>
      <c r="X743" s="103">
        <f>ROUND(U743*V743*W743,2)</f>
        <v>0</v>
      </c>
      <c r="Y743" s="837">
        <f t="shared" ref="Y743" si="462">SUM(G743:G753,K743:K753,O743:O753,S743:S753,W743:W753)</f>
        <v>0</v>
      </c>
      <c r="Z743" s="853">
        <f t="shared" ref="Z743" si="463">IFERROR(SUM(H743:H753,L743:L753,T743:T753,X743:X753),"")</f>
        <v>0</v>
      </c>
      <c r="AA743" s="842"/>
    </row>
    <row r="744" spans="1:30">
      <c r="A744" s="786"/>
      <c r="B744" s="620"/>
      <c r="C744" s="845"/>
      <c r="D744" s="847"/>
      <c r="E744" s="75">
        <f>IF(D743&lt;=3,база!$I$4,
IF(D743=4,база!$I$5,
IF(D743=5,база!$I$6)))</f>
        <v>188.7912</v>
      </c>
      <c r="F744" s="271">
        <v>1</v>
      </c>
      <c r="G744" s="89">
        <f>SUMIFS(Таблица1[сумма],Таблица1[коэф],"1",Таблица1[р/р],"3/4",Таблица1[Ф. И. О.],B748)</f>
        <v>0</v>
      </c>
      <c r="H744" s="103">
        <f>ROUND(E744*F744*G744,2)</f>
        <v>0</v>
      </c>
      <c r="I744" s="24">
        <f>IF(D743&lt;=3,база!$J$4,
IF(D743=4,база!$J$5,
IF(D743=5,база!$J$6)))</f>
        <v>196.05240000000001</v>
      </c>
      <c r="J744" s="278">
        <v>1</v>
      </c>
      <c r="K744" s="22"/>
      <c r="L744" s="309">
        <f>ROUND(I744*J744*K744,2)</f>
        <v>0</v>
      </c>
      <c r="M744" s="24"/>
      <c r="N744" s="22">
        <v>1</v>
      </c>
      <c r="O744" s="22">
        <f>SUMIFS(Data_Tech!$AM$3:$AM$67,Data_Tech!$E$3:$E$67,"1",Data_Tech!$G$3:$G$67,"4/12",Data_Tech!$F$3:$F$67,B748)</f>
        <v>0</v>
      </c>
      <c r="P744" s="282">
        <f>ROUND(M744*O744,2)</f>
        <v>0</v>
      </c>
      <c r="Q744" s="621">
        <f>база!$L$5</f>
        <v>231.45480000000001</v>
      </c>
      <c r="R744" s="271">
        <v>1</v>
      </c>
      <c r="S744" s="97">
        <f>SUMIFS(Таблица1[сумма],Таблица1[коэф],"1",Таблица1[р/р],"4/16",Таблица1[Ф. И. О.],B748)</f>
        <v>0</v>
      </c>
      <c r="T744" s="103">
        <f t="shared" si="461"/>
        <v>0</v>
      </c>
      <c r="U744" s="82">
        <f>база!$M$5</f>
        <v>247.41720000000001</v>
      </c>
      <c r="V744" s="271">
        <v>1</v>
      </c>
      <c r="W744" s="97">
        <f>SUMIFS(Таблица1[сумма],Таблица1[коэф],"1",Таблица1[р/р],"4/24",Таблица1[Ф. И. О.],B748)</f>
        <v>0</v>
      </c>
      <c r="X744" s="103">
        <f t="shared" ref="X744" si="464">ROUND(U744*V744*W744,2)</f>
        <v>0</v>
      </c>
      <c r="Y744" s="838"/>
      <c r="Z744" s="840"/>
      <c r="AA744" s="843"/>
    </row>
    <row r="745" spans="1:30">
      <c r="A745" s="786"/>
      <c r="B745" s="620"/>
      <c r="C745" s="845"/>
      <c r="D745" s="847"/>
      <c r="E745" s="75"/>
      <c r="F745" s="271"/>
      <c r="G745" s="89"/>
      <c r="H745" s="103"/>
      <c r="I745" s="24"/>
      <c r="J745" s="278"/>
      <c r="K745" s="22"/>
      <c r="L745" s="309"/>
      <c r="M745" s="24"/>
      <c r="N745" s="22"/>
      <c r="O745" s="22"/>
      <c r="P745" s="282"/>
      <c r="Q745" s="621">
        <f>база!$L$6</f>
        <v>261.04640000000001</v>
      </c>
      <c r="R745" s="271">
        <v>1</v>
      </c>
      <c r="S745" s="97">
        <f>SUMIFS(Таблица1[сумма],Таблица1[коэф],"1",Таблица1[р/р],"5/16",Таблица1[Ф. И. О.],B748)</f>
        <v>0</v>
      </c>
      <c r="T745" s="103">
        <f t="shared" si="461"/>
        <v>0</v>
      </c>
      <c r="U745" s="82">
        <f>база!$M$6</f>
        <v>279.0496</v>
      </c>
      <c r="V745" s="271">
        <v>1</v>
      </c>
      <c r="W745" s="97">
        <f>SUMIFS(Таблица1[сумма],Таблица1[коэф],"1",Таблица1[р/р],"5/24",Таблица1[Ф. И. О.],B748)</f>
        <v>0</v>
      </c>
      <c r="X745" s="103">
        <f>ROUND(U745*V745*W745,2)</f>
        <v>0</v>
      </c>
      <c r="Y745" s="838"/>
      <c r="Z745" s="840"/>
      <c r="AA745" s="843"/>
    </row>
    <row r="746" spans="1:30">
      <c r="A746" s="786"/>
      <c r="B746" s="620"/>
      <c r="C746" s="845"/>
      <c r="D746" s="847"/>
      <c r="E746" s="75"/>
      <c r="F746" s="271"/>
      <c r="G746" s="89"/>
      <c r="H746" s="103"/>
      <c r="I746" s="24">
        <f>база!$J$5</f>
        <v>215.4924</v>
      </c>
      <c r="J746" s="278">
        <v>1.5</v>
      </c>
      <c r="K746" s="22">
        <f>SUMIFS(Таблица1[сумма],Таблица1[коэф],"1,5",Таблица1[р/р],"4/8",Таблица1[Ф. И. О.],B748)</f>
        <v>0</v>
      </c>
      <c r="L746" s="309">
        <f>ROUND(I746*J746*K746,2)</f>
        <v>0</v>
      </c>
      <c r="M746" s="24"/>
      <c r="N746" s="22"/>
      <c r="O746" s="22"/>
      <c r="P746" s="282"/>
      <c r="Q746" s="621">
        <f>IF(D743&lt;=3,база!$L$4,
IF(D743=4,база!$L$5,
IF(D743=5,база!$L$6)))</f>
        <v>210.57480000000001</v>
      </c>
      <c r="R746" s="271">
        <v>1.2</v>
      </c>
      <c r="S746" s="97">
        <f>SUMIFS(Таблица1[сумма],Таблица1[коэф],"1,2",Таблица1[р/р],"3/16",Таблица1[Ф. И. О.],B748)</f>
        <v>0</v>
      </c>
      <c r="T746" s="103">
        <f t="shared" si="461"/>
        <v>0</v>
      </c>
      <c r="U746" s="82">
        <f>IF(D743&lt;=3,база!$M$4,
IF(D743=4,база!$M$5,
IF(D743=5,база!$M$6)))</f>
        <v>225.09719999999999</v>
      </c>
      <c r="V746" s="271">
        <v>1.2</v>
      </c>
      <c r="W746" s="97">
        <f>SUMIFS(Таблица1[сумма],Таблица1[коэф],"1,2",Таблица1[р/р],"3/24",Таблица1[Ф. И. О.],B748)</f>
        <v>0</v>
      </c>
      <c r="X746" s="103">
        <f t="shared" ref="X746:X747" si="465">ROUND(U746*V746*W746,2)</f>
        <v>0</v>
      </c>
      <c r="Y746" s="838"/>
      <c r="Z746" s="840"/>
      <c r="AA746" s="843"/>
    </row>
    <row r="747" spans="1:30">
      <c r="A747" s="786"/>
      <c r="B747" s="620"/>
      <c r="C747" s="845"/>
      <c r="D747" s="847"/>
      <c r="E747" s="75"/>
      <c r="F747" s="271"/>
      <c r="G747" s="89"/>
      <c r="H747" s="103"/>
      <c r="I747" s="24">
        <f>база!$J$6</f>
        <v>243.04319999999998</v>
      </c>
      <c r="J747" s="278">
        <v>1.5</v>
      </c>
      <c r="K747" s="22">
        <f>SUMIFS(Таблица1[сумма],Таблица1[коэф],"1,5",Таблица1[р/р],"5/8",Таблица1[Ф. И. О.],B748)</f>
        <v>0</v>
      </c>
      <c r="L747" s="309">
        <f>ROUND(I747*J747*K747,2)</f>
        <v>0</v>
      </c>
      <c r="M747" s="24"/>
      <c r="N747" s="22"/>
      <c r="O747" s="22"/>
      <c r="P747" s="282"/>
      <c r="Q747" s="621">
        <f>база!$L$5</f>
        <v>231.45480000000001</v>
      </c>
      <c r="R747" s="271">
        <v>1.2</v>
      </c>
      <c r="S747" s="97">
        <f>SUMIFS(Таблица1[сумма],Таблица1[коэф],"1,2",Таблица1[р/р],"4/16",Таблица1[Ф. И. О.],B748)</f>
        <v>0</v>
      </c>
      <c r="T747" s="103">
        <f t="shared" si="461"/>
        <v>0</v>
      </c>
      <c r="U747" s="82">
        <f>база!$M$5</f>
        <v>247.41720000000001</v>
      </c>
      <c r="V747" s="271">
        <v>1.2</v>
      </c>
      <c r="W747" s="97">
        <f>SUMIFS(Таблица1[сумма],Таблица1[коэф],"1,2",Таблица1[р/р],"4/24",Таблица1[Ф. И. О.],B748)</f>
        <v>0</v>
      </c>
      <c r="X747" s="103">
        <f t="shared" si="465"/>
        <v>0</v>
      </c>
      <c r="Y747" s="838"/>
      <c r="Z747" s="840"/>
      <c r="AA747" s="843"/>
      <c r="AC747" s="722" t="str">
        <f>IF(SUMIFS(Таблица1[Столбец2],Таблица1[Ф. И. О.],B748)-Z743=0,"",SUMIFS(Таблица1[Столбец2],Таблица1[Ф. И. О.],B748)-Z743)</f>
        <v/>
      </c>
    </row>
    <row r="748" spans="1:30">
      <c r="A748" s="786"/>
      <c r="B748" s="620" t="str">
        <f>база!B69</f>
        <v>Сайпулаева Феодосия Андреевна</v>
      </c>
      <c r="C748" s="845"/>
      <c r="D748" s="847"/>
      <c r="E748" s="75"/>
      <c r="F748" s="271"/>
      <c r="G748" s="89"/>
      <c r="H748" s="103"/>
      <c r="I748" s="24"/>
      <c r="J748" s="278"/>
      <c r="K748" s="22"/>
      <c r="L748" s="309"/>
      <c r="M748" s="24"/>
      <c r="N748" s="22"/>
      <c r="O748" s="22"/>
      <c r="P748" s="282"/>
      <c r="Q748" s="621">
        <f>база!$L$6</f>
        <v>261.04640000000001</v>
      </c>
      <c r="R748" s="271">
        <v>1.2</v>
      </c>
      <c r="S748" s="97">
        <f>SUMIFS(Таблица1[сумма],Таблица1[коэф],"1,2",Таблица1[р/р],"5/16",Таблица1[Ф. И. О.],B748)</f>
        <v>0</v>
      </c>
      <c r="T748" s="103">
        <f>ROUND(Q748*R748*S748,2)</f>
        <v>0</v>
      </c>
      <c r="U748" s="82">
        <f>база!$M$6</f>
        <v>279.0496</v>
      </c>
      <c r="V748" s="271">
        <v>1.2</v>
      </c>
      <c r="W748" s="97">
        <f>SUMIFS(Таблица1[сумма],Таблица1[коэф],"1,2",Таблица1[р/р],"5/24",Таблица1[Ф. И. О.],B748)</f>
        <v>0</v>
      </c>
      <c r="X748" s="103">
        <f>ROUND(U748*V748*W748,2)</f>
        <v>0</v>
      </c>
      <c r="Y748" s="838"/>
      <c r="Z748" s="840"/>
      <c r="AA748" s="843"/>
      <c r="AC748" s="722" t="str">
        <f>IF(SUMIFS(Таблица1[сумма],Таблица1[Ф. И. О.],B748)=Y743,"",B743&amp;"  часы не верны")</f>
        <v/>
      </c>
      <c r="AD748" s="759">
        <f>INDEX('[2]декабрь 23'!$AI$4:$AI$100,MATCH(C743,'[2]декабрь 23'!$AK$4:$AK$100,0))</f>
        <v>79.200000000000017</v>
      </c>
    </row>
    <row r="749" spans="1:30">
      <c r="A749" s="786"/>
      <c r="B749" s="620"/>
      <c r="C749" s="845"/>
      <c r="D749" s="847"/>
      <c r="E749" s="75"/>
      <c r="F749" s="271"/>
      <c r="G749" s="89"/>
      <c r="H749" s="103"/>
      <c r="I749" s="24"/>
      <c r="J749" s="278"/>
      <c r="K749" s="22"/>
      <c r="L749" s="309"/>
      <c r="M749" s="24"/>
      <c r="N749" s="22"/>
      <c r="O749" s="22"/>
      <c r="P749" s="282"/>
      <c r="Q749" s="621">
        <f>IF($D$6&lt;=3,база!$L$4,
IF($D$6=4,база!$L$5,
IF($D$6=5,база!$L$6)))</f>
        <v>231.45480000000001</v>
      </c>
      <c r="R749" s="271">
        <v>1.3</v>
      </c>
      <c r="S749" s="97">
        <f>SUMIFS(Таблица1[сумма],Таблица1[коэф],"1,3",Таблица1[р/р],"3/16",Таблица1[Ф. И. О.],B748)</f>
        <v>0</v>
      </c>
      <c r="T749" s="103">
        <f t="shared" ref="T749:T750" si="466">ROUND(Q749*R749*S749,2)</f>
        <v>0</v>
      </c>
      <c r="U749" s="82">
        <f>IF(D743&lt;=3,база!$M$4,
IF(D743=4,база!$M$5,
IF(D743=5,база!$M$6)))</f>
        <v>225.09719999999999</v>
      </c>
      <c r="V749" s="271">
        <v>1.3</v>
      </c>
      <c r="W749" s="97">
        <f>SUMIFS(Таблица1[сумма],Таблица1[коэф],"1,3",Таблица1[р/р],"3/24",Таблица1[Ф. И. О.],B748)</f>
        <v>0</v>
      </c>
      <c r="X749" s="103">
        <f t="shared" ref="X749:X750" si="467">ROUND(U749*V749*W749,2)</f>
        <v>0</v>
      </c>
      <c r="Y749" s="838"/>
      <c r="Z749" s="840"/>
      <c r="AA749" s="843"/>
    </row>
    <row r="750" spans="1:30">
      <c r="A750" s="786"/>
      <c r="B750" s="620"/>
      <c r="C750" s="845"/>
      <c r="D750" s="847"/>
      <c r="E750" s="75"/>
      <c r="F750" s="271"/>
      <c r="G750" s="89"/>
      <c r="H750" s="103"/>
      <c r="I750" s="24"/>
      <c r="J750" s="278"/>
      <c r="K750" s="22"/>
      <c r="L750" s="309"/>
      <c r="M750" s="24"/>
      <c r="N750" s="22"/>
      <c r="O750" s="22"/>
      <c r="P750" s="282"/>
      <c r="Q750" s="621">
        <f>база!$L$5</f>
        <v>231.45480000000001</v>
      </c>
      <c r="R750" s="271">
        <v>1.3</v>
      </c>
      <c r="S750" s="97">
        <f>SUMIFS(Таблица1[сумма],Таблица1[коэф],"1,3",Таблица1[р/р],"4/16",Таблица1[Ф. И. О.],B748)</f>
        <v>0</v>
      </c>
      <c r="T750" s="103">
        <f t="shared" si="466"/>
        <v>0</v>
      </c>
      <c r="U750" s="82">
        <f>база!$M$5</f>
        <v>247.41720000000001</v>
      </c>
      <c r="V750" s="271">
        <v>1.3</v>
      </c>
      <c r="W750" s="97">
        <f>SUMIFS(Таблица1[сумма],Таблица1[коэф],"1,3",Таблица1[р/р],"4/24",Таблица1[Ф. И. О.],B748)</f>
        <v>0</v>
      </c>
      <c r="X750" s="103">
        <f t="shared" si="467"/>
        <v>0</v>
      </c>
      <c r="Y750" s="838"/>
      <c r="Z750" s="840"/>
      <c r="AA750" s="843"/>
    </row>
    <row r="751" spans="1:30">
      <c r="A751" s="786"/>
      <c r="B751" s="620"/>
      <c r="C751" s="845"/>
      <c r="D751" s="847"/>
      <c r="E751" s="75"/>
      <c r="F751" s="271"/>
      <c r="G751" s="89"/>
      <c r="H751" s="103"/>
      <c r="I751" s="24"/>
      <c r="J751" s="278"/>
      <c r="K751" s="22"/>
      <c r="L751" s="309"/>
      <c r="M751" s="24"/>
      <c r="N751" s="22"/>
      <c r="O751" s="22"/>
      <c r="P751" s="282"/>
      <c r="Q751" s="621">
        <f>IF(D743&lt;=3,база!$L$4,
IF(D743=4,база!$L$5,
IF(D743=5,база!$L$6)))</f>
        <v>210.57480000000001</v>
      </c>
      <c r="R751" s="271">
        <v>1.4</v>
      </c>
      <c r="S751" s="97">
        <f>SUMIFS(Таблица1[сумма],Таблица1[коэф],"1,4",Таблица1[р/р],"3/16",Таблица1[Ф. И. О.],B748)</f>
        <v>0</v>
      </c>
      <c r="T751" s="103">
        <f>ROUND(Q751*R751*S751,2)</f>
        <v>0</v>
      </c>
      <c r="U751" s="82">
        <f>IF(D743&lt;=3,база!$M$4,
IF(D743=4,база!$M$5,
IF(D743=5,база!$M$6)))</f>
        <v>225.09719999999999</v>
      </c>
      <c r="V751" s="271">
        <v>1.4</v>
      </c>
      <c r="W751" s="97">
        <f>SUMIFS(Таблица1[сумма],Таблица1[коэф],"1,4",Таблица1[р/р],"3/24",Таблица1[Ф. И. О.],B748)</f>
        <v>0</v>
      </c>
      <c r="X751" s="103">
        <f>ROUND(U751*V751*W751,2)</f>
        <v>0</v>
      </c>
      <c r="Y751" s="838"/>
      <c r="Z751" s="840"/>
      <c r="AA751" s="843"/>
    </row>
    <row r="752" spans="1:30">
      <c r="A752" s="786"/>
      <c r="B752" s="620"/>
      <c r="C752" s="845"/>
      <c r="D752" s="847"/>
      <c r="E752" s="85"/>
      <c r="F752" s="273"/>
      <c r="G752" s="630"/>
      <c r="H752" s="90"/>
      <c r="I752" s="67"/>
      <c r="J752" s="631"/>
      <c r="K752" s="59"/>
      <c r="L752" s="325"/>
      <c r="M752" s="67"/>
      <c r="N752" s="59"/>
      <c r="O752" s="59"/>
      <c r="P752" s="283"/>
      <c r="Q752" s="632">
        <f>база!$L$5</f>
        <v>231.45480000000001</v>
      </c>
      <c r="R752" s="273">
        <v>1.4</v>
      </c>
      <c r="S752" s="101">
        <f>SUMIFS(Таблица1[сумма],Таблица1[коэф],"1,4",Таблица1[р/р],"4/16",Таблица1[Ф. И. О.],B748)</f>
        <v>0</v>
      </c>
      <c r="T752" s="90">
        <f>ROUND(Q752*R752*S752,2)</f>
        <v>0</v>
      </c>
      <c r="U752" s="106">
        <f>база!$M$5</f>
        <v>247.41720000000001</v>
      </c>
      <c r="V752" s="273">
        <v>1.4</v>
      </c>
      <c r="W752" s="101">
        <f>SUMIFS(Таблица1[сумма],Таблица1[коэф],"1,4",Таблица1[р/р],"4/24",Таблица1[Ф. И. О.],B748)</f>
        <v>0</v>
      </c>
      <c r="X752" s="90">
        <f>ROUND(U752*V752*W752,2)</f>
        <v>0</v>
      </c>
      <c r="Y752" s="838"/>
      <c r="Z752" s="840"/>
      <c r="AA752" s="843"/>
    </row>
    <row r="753" spans="1:30" ht="24" thickBot="1">
      <c r="A753" s="787"/>
      <c r="B753" s="352"/>
      <c r="C753" s="846"/>
      <c r="D753" s="848"/>
      <c r="E753" s="77"/>
      <c r="F753" s="276"/>
      <c r="G753" s="622"/>
      <c r="H753" s="94"/>
      <c r="I753" s="623"/>
      <c r="J753" s="596"/>
      <c r="K753" s="624"/>
      <c r="L753" s="328"/>
      <c r="M753" s="623"/>
      <c r="N753" s="624"/>
      <c r="O753" s="624"/>
      <c r="P753" s="290"/>
      <c r="Q753" s="625">
        <f>база!$L$6</f>
        <v>261.04640000000001</v>
      </c>
      <c r="R753" s="276">
        <v>1.4</v>
      </c>
      <c r="S753" s="100">
        <f>SUMIFS(Таблица1[сумма],Таблица1[коэф],"1,4",Таблица1[р/р],"5/16",Таблица1[Ф. И. О.],B748)</f>
        <v>0</v>
      </c>
      <c r="T753" s="94">
        <f>ROUND(Q753*R753*S753,2)</f>
        <v>0</v>
      </c>
      <c r="U753" s="84">
        <f>база!$M$6</f>
        <v>279.0496</v>
      </c>
      <c r="V753" s="276">
        <v>1.4</v>
      </c>
      <c r="W753" s="100">
        <f>SUMIFS(Таблица1[сумма],Таблица1[коэф],"1,4",Таблица1[р/р],"5/24",Таблица1[Ф. И. О.],B748)</f>
        <v>0</v>
      </c>
      <c r="X753" s="94">
        <f>ROUND(U753*V753*W753,2)</f>
        <v>0</v>
      </c>
      <c r="Y753" s="839"/>
      <c r="Z753" s="841"/>
      <c r="AA753" s="844"/>
    </row>
    <row r="754" spans="1:30" ht="20.25" customHeight="1">
      <c r="A754" s="785">
        <v>69</v>
      </c>
      <c r="B754" s="620"/>
      <c r="C754" s="851">
        <f>INDEX(база!$E$2:$E$181, MATCH(B759,база!$B$2:$B$160,0))</f>
        <v>17329</v>
      </c>
      <c r="D754" s="852">
        <f>INDEX(база!$D$2:$D$189, MATCH(B759,база!$B$2:$B$160,0))</f>
        <v>3</v>
      </c>
      <c r="E754" s="75">
        <f>IF(D754&lt;=3,база!$I$4,
IF(D754=4,база!$I$5,
IF(D754=5,база!$I$6)))</f>
        <v>188.7912</v>
      </c>
      <c r="F754" s="271">
        <v>1</v>
      </c>
      <c r="G754" s="89">
        <f>SUMIFS(Таблица1[сумма],Таблица1[коэф],"1",Таблица1[р/р],"2/4",Таблица1[Ф. И. О.],B759)</f>
        <v>0</v>
      </c>
      <c r="H754" s="103">
        <f>ROUND(E754*F754*G754,2)</f>
        <v>0</v>
      </c>
      <c r="I754" s="24">
        <f>IF(D754&lt;=3,база!$J$4,
IF(D754=4,база!$J$5,
IF(D754=5,база!$J$6)))</f>
        <v>196.05240000000001</v>
      </c>
      <c r="J754" s="278">
        <v>1</v>
      </c>
      <c r="K754" s="22">
        <f>SUMIFS(Таблица1[сумма],Таблица1[коэф],"1",Таблица1[р/р],"2/8",Таблица1[Ф. И. О.],B759)</f>
        <v>0</v>
      </c>
      <c r="L754" s="309">
        <f>ROUND(I754*J754*K754,2)</f>
        <v>0</v>
      </c>
      <c r="M754" s="24"/>
      <c r="N754" s="22">
        <v>1</v>
      </c>
      <c r="O754" s="22">
        <f>SUMIFS(Data_Tech!$AM$3:$AM$67,Data_Tech!$E$3:$E$67,"1",Data_Tech!$G$3:$G$67,"3/12",Data_Tech!$F$3:$F$67,B759)</f>
        <v>0</v>
      </c>
      <c r="P754" s="282">
        <f>ROUND(M754*N754*O754,2)</f>
        <v>0</v>
      </c>
      <c r="Q754" s="621">
        <f>IF(D754&lt;=3,база!$L$4,
IF(D754=4,база!$L$5,
IF(D754=5,база!$L$6)))</f>
        <v>210.57480000000001</v>
      </c>
      <c r="R754" s="271">
        <v>1</v>
      </c>
      <c r="S754" s="97">
        <f>SUMIFS(Таблица1[сумма],Таблица1[коэф],"1",Таблица1[р/р],"3/16",Таблица1[Ф. И. О.],B759)</f>
        <v>0</v>
      </c>
      <c r="T754" s="103">
        <f t="shared" ref="T754:T758" si="468">ROUND(Q754*R754*S754,2)</f>
        <v>0</v>
      </c>
      <c r="U754" s="82">
        <f>IF(D754&lt;=3,база!$M$4,
IF(D754=4,база!$M$5,
IF(D754=5,база!$M$6)))</f>
        <v>225.09719999999999</v>
      </c>
      <c r="V754" s="271">
        <v>1</v>
      </c>
      <c r="W754" s="97">
        <f>SUMIFS(Таблица1[сумма],Таблица1[коэф],"1",Таблица1[р/р],"3/24",Таблица1[Ф. И. О.],B759)</f>
        <v>0</v>
      </c>
      <c r="X754" s="103">
        <f>ROUND(U754*V754*W754,2)</f>
        <v>0</v>
      </c>
      <c r="Y754" s="837">
        <f t="shared" ref="Y754" si="469">SUM(G754:G764,K754:K764,O754:O764,S754:S764,W754:W764)</f>
        <v>0</v>
      </c>
      <c r="Z754" s="853">
        <f t="shared" ref="Z754" si="470">IFERROR(SUM(H754:H764,L754:L764,T754:T764,X754:X764),"")</f>
        <v>0</v>
      </c>
      <c r="AA754" s="842"/>
    </row>
    <row r="755" spans="1:30">
      <c r="A755" s="786"/>
      <c r="B755" s="620"/>
      <c r="C755" s="845"/>
      <c r="D755" s="847"/>
      <c r="E755" s="75">
        <f>IF(D754&lt;=3,база!$I$4,
IF(D754=4,база!$I$5,
IF(D754=5,база!$I$6)))</f>
        <v>188.7912</v>
      </c>
      <c r="F755" s="271">
        <v>1</v>
      </c>
      <c r="G755" s="89">
        <f>SUMIFS(Таблица1[сумма],Таблица1[коэф],"1",Таблица1[р/р],"3/4",Таблица1[Ф. И. О.],B759)</f>
        <v>0</v>
      </c>
      <c r="H755" s="103">
        <f>ROUND(E755*F755*G755,2)</f>
        <v>0</v>
      </c>
      <c r="I755" s="24">
        <f>IF(D754&lt;=3,база!$J$4,
IF(D754=4,база!$J$5,
IF(D754=5,база!$J$6)))</f>
        <v>196.05240000000001</v>
      </c>
      <c r="J755" s="278">
        <v>1</v>
      </c>
      <c r="K755" s="22"/>
      <c r="L755" s="309">
        <f>ROUND(I755*J755*K755,2)</f>
        <v>0</v>
      </c>
      <c r="M755" s="24"/>
      <c r="N755" s="22">
        <v>1</v>
      </c>
      <c r="O755" s="22">
        <f>SUMIFS(Data_Tech!$AM$3:$AM$67,Data_Tech!$E$3:$E$67,"1",Data_Tech!$G$3:$G$67,"4/12",Data_Tech!$F$3:$F$67,B759)</f>
        <v>0</v>
      </c>
      <c r="P755" s="282">
        <f>ROUND(M755*O755,2)</f>
        <v>0</v>
      </c>
      <c r="Q755" s="621">
        <f>база!$L$5</f>
        <v>231.45480000000001</v>
      </c>
      <c r="R755" s="271">
        <v>1</v>
      </c>
      <c r="S755" s="97">
        <f>SUMIFS(Таблица1[сумма],Таблица1[коэф],"1",Таблица1[р/р],"4/16",Таблица1[Ф. И. О.],B759)</f>
        <v>0</v>
      </c>
      <c r="T755" s="103">
        <f t="shared" si="468"/>
        <v>0</v>
      </c>
      <c r="U755" s="82">
        <f>база!$M$5</f>
        <v>247.41720000000001</v>
      </c>
      <c r="V755" s="271">
        <v>1</v>
      </c>
      <c r="W755" s="97">
        <f>SUMIFS(Таблица1[сумма],Таблица1[коэф],"1",Таблица1[р/р],"4/24",Таблица1[Ф. И. О.],B759)</f>
        <v>0</v>
      </c>
      <c r="X755" s="103">
        <f t="shared" ref="X755" si="471">ROUND(U755*V755*W755,2)</f>
        <v>0</v>
      </c>
      <c r="Y755" s="838"/>
      <c r="Z755" s="840"/>
      <c r="AA755" s="843"/>
    </row>
    <row r="756" spans="1:30">
      <c r="A756" s="786"/>
      <c r="B756" s="620"/>
      <c r="C756" s="845"/>
      <c r="D756" s="847"/>
      <c r="E756" s="75"/>
      <c r="F756" s="271"/>
      <c r="G756" s="89"/>
      <c r="H756" s="103"/>
      <c r="I756" s="24"/>
      <c r="J756" s="278"/>
      <c r="K756" s="22"/>
      <c r="L756" s="309"/>
      <c r="M756" s="24"/>
      <c r="N756" s="22"/>
      <c r="O756" s="22"/>
      <c r="P756" s="282"/>
      <c r="Q756" s="621">
        <f>база!$L$6</f>
        <v>261.04640000000001</v>
      </c>
      <c r="R756" s="271">
        <v>1</v>
      </c>
      <c r="S756" s="97">
        <f>SUMIFS(Таблица1[сумма],Таблица1[коэф],"1",Таблица1[р/р],"5/16",Таблица1[Ф. И. О.],B759)</f>
        <v>0</v>
      </c>
      <c r="T756" s="103">
        <f t="shared" si="468"/>
        <v>0</v>
      </c>
      <c r="U756" s="82">
        <f>база!$M$6</f>
        <v>279.0496</v>
      </c>
      <c r="V756" s="271">
        <v>1</v>
      </c>
      <c r="W756" s="97">
        <f>SUMIFS(Таблица1[сумма],Таблица1[коэф],"1",Таблица1[р/р],"5/24",Таблица1[Ф. И. О.],B759)</f>
        <v>0</v>
      </c>
      <c r="X756" s="103">
        <f>ROUND(U756*V756*W756,2)</f>
        <v>0</v>
      </c>
      <c r="Y756" s="838"/>
      <c r="Z756" s="840"/>
      <c r="AA756" s="843"/>
    </row>
    <row r="757" spans="1:30">
      <c r="A757" s="786"/>
      <c r="B757" s="620"/>
      <c r="C757" s="845"/>
      <c r="D757" s="847"/>
      <c r="E757" s="75"/>
      <c r="F757" s="271"/>
      <c r="G757" s="89"/>
      <c r="H757" s="103"/>
      <c r="I757" s="24">
        <f>база!$J$5</f>
        <v>215.4924</v>
      </c>
      <c r="J757" s="278">
        <v>1.5</v>
      </c>
      <c r="K757" s="22">
        <f>SUMIFS(Таблица1[сумма],Таблица1[коэф],"1,5",Таблица1[р/р],"4/8",Таблица1[Ф. И. О.],B759)</f>
        <v>0</v>
      </c>
      <c r="L757" s="309">
        <f>ROUND(I757*J757*K757,2)</f>
        <v>0</v>
      </c>
      <c r="M757" s="24"/>
      <c r="N757" s="22"/>
      <c r="O757" s="22"/>
      <c r="P757" s="282"/>
      <c r="Q757" s="621">
        <f>IF(D754&lt;=3,база!$L$4,
IF(D754=4,база!$L$5,
IF(D754=5,база!$L$6)))</f>
        <v>210.57480000000001</v>
      </c>
      <c r="R757" s="271">
        <v>1.2</v>
      </c>
      <c r="S757" s="97">
        <f>SUMIFS(Таблица1[сумма],Таблица1[коэф],"1,2",Таблица1[р/р],"3/16",Таблица1[Ф. И. О.],B759)</f>
        <v>0</v>
      </c>
      <c r="T757" s="103">
        <f t="shared" si="468"/>
        <v>0</v>
      </c>
      <c r="U757" s="82">
        <f>IF(D754&lt;=3,база!$M$4,
IF(D754=4,база!$M$5,
IF(D754=5,база!$M$6)))</f>
        <v>225.09719999999999</v>
      </c>
      <c r="V757" s="271">
        <v>1.2</v>
      </c>
      <c r="W757" s="97">
        <f>SUMIFS(Таблица1[сумма],Таблица1[коэф],"1,2",Таблица1[р/р],"3/24",Таблица1[Ф. И. О.],B759)</f>
        <v>0</v>
      </c>
      <c r="X757" s="103">
        <f t="shared" ref="X757:X758" si="472">ROUND(U757*V757*W757,2)</f>
        <v>0</v>
      </c>
      <c r="Y757" s="838"/>
      <c r="Z757" s="840"/>
      <c r="AA757" s="843"/>
    </row>
    <row r="758" spans="1:30">
      <c r="A758" s="786"/>
      <c r="B758" s="620"/>
      <c r="C758" s="845"/>
      <c r="D758" s="847"/>
      <c r="E758" s="75"/>
      <c r="F758" s="271"/>
      <c r="G758" s="89"/>
      <c r="H758" s="103"/>
      <c r="I758" s="24">
        <f>база!$J$6</f>
        <v>243.04319999999998</v>
      </c>
      <c r="J758" s="278">
        <v>1.5</v>
      </c>
      <c r="K758" s="22">
        <f>SUMIFS(Таблица1[сумма],Таблица1[коэф],"1,5",Таблица1[р/р],"5/8",Таблица1[Ф. И. О.],B759)</f>
        <v>0</v>
      </c>
      <c r="L758" s="309">
        <f>ROUND(I758*J758*K758,2)</f>
        <v>0</v>
      </c>
      <c r="M758" s="24"/>
      <c r="N758" s="22"/>
      <c r="O758" s="22"/>
      <c r="P758" s="282"/>
      <c r="Q758" s="621">
        <f>база!$L$5</f>
        <v>231.45480000000001</v>
      </c>
      <c r="R758" s="271">
        <v>1.2</v>
      </c>
      <c r="S758" s="97">
        <f>SUMIFS(Таблица1[сумма],Таблица1[коэф],"1,2",Таблица1[р/р],"4/16",Таблица1[Ф. И. О.],B759)</f>
        <v>0</v>
      </c>
      <c r="T758" s="103">
        <f t="shared" si="468"/>
        <v>0</v>
      </c>
      <c r="U758" s="82">
        <f>база!$M$5</f>
        <v>247.41720000000001</v>
      </c>
      <c r="V758" s="271">
        <v>1.2</v>
      </c>
      <c r="W758" s="97">
        <f>SUMIFS(Таблица1[сумма],Таблица1[коэф],"1,2",Таблица1[р/р],"4/24",Таблица1[Ф. И. О.],B759)</f>
        <v>0</v>
      </c>
      <c r="X758" s="103">
        <f t="shared" si="472"/>
        <v>0</v>
      </c>
      <c r="Y758" s="838"/>
      <c r="Z758" s="840"/>
      <c r="AA758" s="843"/>
      <c r="AC758" s="722" t="str">
        <f>IF(SUMIFS(Таблица1[Столбец2],Таблица1[Ф. И. О.],B759)-Z754=0,"",SUMIFS(Таблица1[Столбец2],Таблица1[Ф. И. О.],B759)-Z754)</f>
        <v/>
      </c>
    </row>
    <row r="759" spans="1:30">
      <c r="A759" s="786"/>
      <c r="B759" s="620" t="str">
        <f>база!B70</f>
        <v>Силаева Ольга Владимировна</v>
      </c>
      <c r="C759" s="845"/>
      <c r="D759" s="847"/>
      <c r="E759" s="75"/>
      <c r="F759" s="271"/>
      <c r="G759" s="89"/>
      <c r="H759" s="103"/>
      <c r="I759" s="24"/>
      <c r="J759" s="278"/>
      <c r="K759" s="22"/>
      <c r="L759" s="309"/>
      <c r="M759" s="24"/>
      <c r="N759" s="22"/>
      <c r="O759" s="22"/>
      <c r="P759" s="282"/>
      <c r="Q759" s="621">
        <f>база!$L$6</f>
        <v>261.04640000000001</v>
      </c>
      <c r="R759" s="271">
        <v>1.2</v>
      </c>
      <c r="S759" s="97">
        <f>SUMIFS(Таблица1[сумма],Таблица1[коэф],"1,2",Таблица1[р/р],"5/16",Таблица1[Ф. И. О.],B759)</f>
        <v>0</v>
      </c>
      <c r="T759" s="103">
        <f>ROUND(Q759*R759*S759,2)</f>
        <v>0</v>
      </c>
      <c r="U759" s="82">
        <f>база!$M$6</f>
        <v>279.0496</v>
      </c>
      <c r="V759" s="271">
        <v>1.2</v>
      </c>
      <c r="W759" s="97">
        <f>SUMIFS(Таблица1[сумма],Таблица1[коэф],"1,2",Таблица1[р/р],"5/24",Таблица1[Ф. И. О.],B759)</f>
        <v>0</v>
      </c>
      <c r="X759" s="103">
        <f>ROUND(U759*V759*W759,2)</f>
        <v>0</v>
      </c>
      <c r="Y759" s="838"/>
      <c r="Z759" s="840"/>
      <c r="AA759" s="843"/>
      <c r="AC759" s="722" t="str">
        <f>IF(SUMIFS(Таблица1[сумма],Таблица1[Ф. И. О.],B759)=Y754,"",B754&amp;"  часы не верны")</f>
        <v/>
      </c>
      <c r="AD759" s="759">
        <f>INDEX('[2]декабрь 23'!$AI$4:$AI$100,MATCH(C754,'[2]декабрь 23'!$AK$4:$AK$100,0))</f>
        <v>79.200000000000017</v>
      </c>
    </row>
    <row r="760" spans="1:30">
      <c r="A760" s="786"/>
      <c r="B760" s="620"/>
      <c r="C760" s="845"/>
      <c r="D760" s="847"/>
      <c r="E760" s="75"/>
      <c r="F760" s="271"/>
      <c r="G760" s="89"/>
      <c r="H760" s="103"/>
      <c r="I760" s="24"/>
      <c r="J760" s="278"/>
      <c r="K760" s="22"/>
      <c r="L760" s="309"/>
      <c r="M760" s="24"/>
      <c r="N760" s="22"/>
      <c r="O760" s="22"/>
      <c r="P760" s="282"/>
      <c r="Q760" s="621">
        <f>IF($D$6&lt;=3,база!$L$4,
IF($D$6=4,база!$L$5,
IF($D$6=5,база!$L$6)))</f>
        <v>231.45480000000001</v>
      </c>
      <c r="R760" s="271">
        <v>1.3</v>
      </c>
      <c r="S760" s="97">
        <f>SUMIFS(Таблица1[сумма],Таблица1[коэф],"1,3",Таблица1[р/р],"3/16",Таблица1[Ф. И. О.],B759)</f>
        <v>0</v>
      </c>
      <c r="T760" s="103">
        <f t="shared" ref="T760:T761" si="473">ROUND(Q760*R760*S760,2)</f>
        <v>0</v>
      </c>
      <c r="U760" s="82">
        <f>IF(D754&lt;=3,база!$M$4,
IF(D754=4,база!$M$5,
IF(D754=5,база!$M$6)))</f>
        <v>225.09719999999999</v>
      </c>
      <c r="V760" s="271">
        <v>1.3</v>
      </c>
      <c r="W760" s="97">
        <f>SUMIFS(Таблица1[сумма],Таблица1[коэф],"1,3",Таблица1[р/р],"3/24",Таблица1[Ф. И. О.],B759)</f>
        <v>0</v>
      </c>
      <c r="X760" s="103">
        <f t="shared" ref="X760:X761" si="474">ROUND(U760*V760*W760,2)</f>
        <v>0</v>
      </c>
      <c r="Y760" s="838"/>
      <c r="Z760" s="840"/>
      <c r="AA760" s="843"/>
    </row>
    <row r="761" spans="1:30">
      <c r="A761" s="786"/>
      <c r="B761" s="620"/>
      <c r="C761" s="845"/>
      <c r="D761" s="847"/>
      <c r="E761" s="75"/>
      <c r="F761" s="271"/>
      <c r="G761" s="89"/>
      <c r="H761" s="103"/>
      <c r="I761" s="24"/>
      <c r="J761" s="278"/>
      <c r="K761" s="22"/>
      <c r="L761" s="309"/>
      <c r="M761" s="24"/>
      <c r="N761" s="22"/>
      <c r="O761" s="22"/>
      <c r="P761" s="282"/>
      <c r="Q761" s="621">
        <f>база!$L$5</f>
        <v>231.45480000000001</v>
      </c>
      <c r="R761" s="271">
        <v>1.3</v>
      </c>
      <c r="S761" s="97">
        <f>SUMIFS(Таблица1[сумма],Таблица1[коэф],"1,3",Таблица1[р/р],"4/16",Таблица1[Ф. И. О.],B759)</f>
        <v>0</v>
      </c>
      <c r="T761" s="103">
        <f t="shared" si="473"/>
        <v>0</v>
      </c>
      <c r="U761" s="82">
        <f>база!$M$5</f>
        <v>247.41720000000001</v>
      </c>
      <c r="V761" s="271">
        <v>1.3</v>
      </c>
      <c r="W761" s="97">
        <f>SUMIFS(Таблица1[сумма],Таблица1[коэф],"1,3",Таблица1[р/р],"4/24",Таблица1[Ф. И. О.],B759)</f>
        <v>0</v>
      </c>
      <c r="X761" s="103">
        <f t="shared" si="474"/>
        <v>0</v>
      </c>
      <c r="Y761" s="838"/>
      <c r="Z761" s="840"/>
      <c r="AA761" s="843"/>
    </row>
    <row r="762" spans="1:30">
      <c r="A762" s="786"/>
      <c r="B762" s="620"/>
      <c r="C762" s="845"/>
      <c r="D762" s="847"/>
      <c r="E762" s="75"/>
      <c r="F762" s="271"/>
      <c r="G762" s="89"/>
      <c r="H762" s="103"/>
      <c r="I762" s="24"/>
      <c r="J762" s="278"/>
      <c r="K762" s="22"/>
      <c r="L762" s="309"/>
      <c r="M762" s="24"/>
      <c r="N762" s="22"/>
      <c r="O762" s="22"/>
      <c r="P762" s="282"/>
      <c r="Q762" s="621">
        <f>IF(D754&lt;=3,база!$L$4,
IF(D754=4,база!$L$5,
IF(D754=5,база!$L$6)))</f>
        <v>210.57480000000001</v>
      </c>
      <c r="R762" s="271">
        <v>1.4</v>
      </c>
      <c r="S762" s="97">
        <f>SUMIFS(Таблица1[сумма],Таблица1[коэф],"1,4",Таблица1[р/р],"3/16",Таблица1[Ф. И. О.],B759)</f>
        <v>0</v>
      </c>
      <c r="T762" s="103">
        <f>ROUND(Q762*R762*S762,2)</f>
        <v>0</v>
      </c>
      <c r="U762" s="82">
        <f>IF(D754&lt;=3,база!$M$4,
IF(D754=4,база!$M$5,
IF(D754=5,база!$M$6)))</f>
        <v>225.09719999999999</v>
      </c>
      <c r="V762" s="271">
        <v>1.4</v>
      </c>
      <c r="W762" s="97">
        <f>SUMIFS(Таблица1[сумма],Таблица1[коэф],"1,4",Таблица1[р/р],"3/24",Таблица1[Ф. И. О.],B759)</f>
        <v>0</v>
      </c>
      <c r="X762" s="103">
        <f>ROUND(U762*V762*W762,2)</f>
        <v>0</v>
      </c>
      <c r="Y762" s="838"/>
      <c r="Z762" s="840"/>
      <c r="AA762" s="843"/>
    </row>
    <row r="763" spans="1:30">
      <c r="A763" s="786"/>
      <c r="B763" s="620"/>
      <c r="C763" s="845"/>
      <c r="D763" s="847"/>
      <c r="E763" s="85"/>
      <c r="F763" s="273"/>
      <c r="G763" s="630"/>
      <c r="H763" s="90"/>
      <c r="I763" s="67"/>
      <c r="J763" s="631"/>
      <c r="K763" s="59"/>
      <c r="L763" s="325"/>
      <c r="M763" s="67"/>
      <c r="N763" s="59"/>
      <c r="O763" s="59"/>
      <c r="P763" s="283"/>
      <c r="Q763" s="632">
        <f>база!$L$5</f>
        <v>231.45480000000001</v>
      </c>
      <c r="R763" s="273">
        <v>1.4</v>
      </c>
      <c r="S763" s="101">
        <f>SUMIFS(Таблица1[сумма],Таблица1[коэф],"1,4",Таблица1[р/р],"4/16",Таблица1[Ф. И. О.],B759)</f>
        <v>0</v>
      </c>
      <c r="T763" s="90">
        <f>ROUND(Q763*R763*S763,2)</f>
        <v>0</v>
      </c>
      <c r="U763" s="106">
        <f>база!$M$5</f>
        <v>247.41720000000001</v>
      </c>
      <c r="V763" s="273">
        <v>1.4</v>
      </c>
      <c r="W763" s="101">
        <f>SUMIFS(Таблица1[сумма],Таблица1[коэф],"1,4",Таблица1[р/р],"4/24",Таблица1[Ф. И. О.],B759)</f>
        <v>0</v>
      </c>
      <c r="X763" s="90">
        <f>ROUND(U763*V763*W763,2)</f>
        <v>0</v>
      </c>
      <c r="Y763" s="838"/>
      <c r="Z763" s="840"/>
      <c r="AA763" s="843"/>
    </row>
    <row r="764" spans="1:30" ht="24" thickBot="1">
      <c r="A764" s="787"/>
      <c r="B764" s="352"/>
      <c r="C764" s="846"/>
      <c r="D764" s="848"/>
      <c r="E764" s="77"/>
      <c r="F764" s="276"/>
      <c r="G764" s="622"/>
      <c r="H764" s="94"/>
      <c r="I764" s="623"/>
      <c r="J764" s="596"/>
      <c r="K764" s="624"/>
      <c r="L764" s="328"/>
      <c r="M764" s="623"/>
      <c r="N764" s="624"/>
      <c r="O764" s="624"/>
      <c r="P764" s="290"/>
      <c r="Q764" s="625">
        <f>база!$L$6</f>
        <v>261.04640000000001</v>
      </c>
      <c r="R764" s="276">
        <v>1.4</v>
      </c>
      <c r="S764" s="100">
        <f>SUMIFS(Таблица1[сумма],Таблица1[коэф],"1,4",Таблица1[р/р],"5/16",Таблица1[Ф. И. О.],B759)</f>
        <v>0</v>
      </c>
      <c r="T764" s="94">
        <f>ROUND(Q764*R764*S764,2)</f>
        <v>0</v>
      </c>
      <c r="U764" s="84">
        <f>база!$M$6</f>
        <v>279.0496</v>
      </c>
      <c r="V764" s="276">
        <v>1.4</v>
      </c>
      <c r="W764" s="100">
        <f>SUMIFS(Таблица1[сумма],Таблица1[коэф],"1,4",Таблица1[р/р],"5/24",Таблица1[Ф. И. О.],B759)</f>
        <v>0</v>
      </c>
      <c r="X764" s="94">
        <f>ROUND(U764*V764*W764,2)</f>
        <v>0</v>
      </c>
      <c r="Y764" s="839"/>
      <c r="Z764" s="841"/>
      <c r="AA764" s="844"/>
    </row>
    <row r="765" spans="1:30">
      <c r="A765" s="786">
        <v>70</v>
      </c>
      <c r="B765" s="216"/>
      <c r="C765" s="845">
        <f>INDEX(база!$E$2:$E$181, MATCH(B770,база!$B$2:$B$160,0))</f>
        <v>17289</v>
      </c>
      <c r="D765" s="847">
        <f>INDEX(база!$D$2:$D$189, MATCH(B770,база!$B$2:$B$160,0))</f>
        <v>3</v>
      </c>
      <c r="E765" s="75">
        <f>IF(D765&lt;=3,база!$I$4,
IF(D765=4,база!$I$5,
IF(D765=5,база!$I$6)))</f>
        <v>188.7912</v>
      </c>
      <c r="F765" s="271">
        <v>1</v>
      </c>
      <c r="G765" s="97">
        <f>SUMIFS(Таблица1[сумма],Таблица1[коэф],"1",Таблица1[р/р],"2/4",Таблица1[Ф. И. О.],B770)</f>
        <v>0</v>
      </c>
      <c r="H765" s="103">
        <f>ROUND(E765*F765*G765,2)</f>
        <v>0</v>
      </c>
      <c r="I765" s="344">
        <f>IF(D765&lt;=3,база!$J$4,
IF(D765=4,база!$J$5,
IF(D765=5,база!$J$6)))</f>
        <v>196.05240000000001</v>
      </c>
      <c r="J765" s="278">
        <v>1</v>
      </c>
      <c r="K765" s="309">
        <f>SUMIFS(Таблица1[сумма],Таблица1[коэф],"1",Таблица1[р/р],"2/8",Таблица1[Ф. И. О.],B770)</f>
        <v>0</v>
      </c>
      <c r="L765" s="309">
        <f>ROUND(I765*J765*K765,2)</f>
        <v>0</v>
      </c>
      <c r="M765" s="309"/>
      <c r="N765" s="309">
        <v>1</v>
      </c>
      <c r="O765" s="309">
        <f>SUMIFS(Data_Tech!$AM$3:$AM$67,Data_Tech!$E$3:$E$67,"1",Data_Tech!$G$3:$G$67,"3/12",Data_Tech!$F$3:$F$67,B770)</f>
        <v>0</v>
      </c>
      <c r="P765" s="282">
        <f>ROUND(M765*N765*O765,2)</f>
        <v>0</v>
      </c>
      <c r="Q765" s="75">
        <f>IF(D765&lt;=3,база!$L$4,
IF(D765=4,база!$L$5,
IF(D765=5,база!$L$6)))</f>
        <v>210.57480000000001</v>
      </c>
      <c r="R765" s="271">
        <v>1</v>
      </c>
      <c r="S765" s="97">
        <f>SUMIFS(Таблица1[сумма],Таблица1[коэф],"1",Таблица1[р/р],"3/16",Таблица1[Ф. И. О.],B770)</f>
        <v>0</v>
      </c>
      <c r="T765" s="103">
        <f t="shared" ref="T765:T769" si="475">ROUND(Q765*R765*S765,2)</f>
        <v>0</v>
      </c>
      <c r="U765" s="349">
        <f>IF(D765&lt;=3,база!$M$4,
IF(D765=4,база!$M$5,
IF(D765=5,база!$M$6)))</f>
        <v>225.09719999999999</v>
      </c>
      <c r="V765" s="271">
        <v>1</v>
      </c>
      <c r="W765" s="337">
        <f>SUMIFS(Таблица1[сумма],Таблица1[коэф],"1",Таблица1[р/р],"3/24",Таблица1[Ф. И. О.],B770)</f>
        <v>0</v>
      </c>
      <c r="X765" s="351">
        <f>ROUND(U765*V765*W765,2)</f>
        <v>0</v>
      </c>
      <c r="Y765" s="849">
        <f t="shared" ref="Y765" si="476">SUM(G765:G775,K765:K775,O765:O775,S765:S775,W765:W775)</f>
        <v>0</v>
      </c>
      <c r="Z765" s="840">
        <f t="shared" ref="Z765" si="477">IFERROR(SUM(H765:H775,L765:L775,T765:T775,X765:X775),"")</f>
        <v>0</v>
      </c>
      <c r="AA765" s="843"/>
    </row>
    <row r="766" spans="1:30">
      <c r="A766" s="786"/>
      <c r="B766" s="216"/>
      <c r="C766" s="845"/>
      <c r="D766" s="847"/>
      <c r="E766" s="79">
        <f>IF(D765&lt;=3,база!$I$4,
IF(D765=4,база!$I$5,
IF(D765=5,база!$I$6)))</f>
        <v>188.7912</v>
      </c>
      <c r="F766" s="272">
        <v>1</v>
      </c>
      <c r="G766" s="99">
        <f>SUMIFS(Таблица1[сумма],Таблица1[коэф],"1",Таблица1[р/р],"3/4",Таблица1[Ф. И. О.],B770)</f>
        <v>0</v>
      </c>
      <c r="H766" s="95">
        <f>ROUND(E766*F766*G766,2)</f>
        <v>0</v>
      </c>
      <c r="I766" s="334">
        <f>IF(D765&lt;=3,база!$J$4,
IF(D765=4,база!$J$5,
IF(D765=5,база!$J$6)))</f>
        <v>196.05240000000001</v>
      </c>
      <c r="J766" s="279">
        <v>1</v>
      </c>
      <c r="K766" s="217"/>
      <c r="L766" s="217">
        <f>ROUND(I766*J766*K766,2)</f>
        <v>0</v>
      </c>
      <c r="M766" s="217"/>
      <c r="N766" s="217">
        <v>1</v>
      </c>
      <c r="O766" s="217">
        <f>SUMIFS(Data_Tech!$AM$3:$AM$67,Data_Tech!$E$3:$E$67,"1",Data_Tech!$G$3:$G$67,"4/12",Data_Tech!$F$3:$F$67,B770)</f>
        <v>0</v>
      </c>
      <c r="P766" s="30">
        <f>ROUND(M766*O766,2)</f>
        <v>0</v>
      </c>
      <c r="Q766" s="79">
        <f>база!$L$5</f>
        <v>231.45480000000001</v>
      </c>
      <c r="R766" s="272">
        <v>1</v>
      </c>
      <c r="S766" s="99">
        <f>SUMIFS(Таблица1[сумма],Таблица1[коэф],"1",Таблица1[р/р],"4/16",Таблица1[Ф. И. О.],B770)</f>
        <v>0</v>
      </c>
      <c r="T766" s="95">
        <f t="shared" si="475"/>
        <v>0</v>
      </c>
      <c r="U766" s="314">
        <f>база!$M$5</f>
        <v>247.41720000000001</v>
      </c>
      <c r="V766" s="272">
        <v>1</v>
      </c>
      <c r="W766" s="307">
        <f>SUMIFS(Таблица1[сумма],Таблица1[коэф],"1",Таблица1[р/р],"4/24",Таблица1[Ф. И. О.],B770)</f>
        <v>0</v>
      </c>
      <c r="X766" s="313">
        <f t="shared" ref="X766" si="478">ROUND(U766*V766*W766,2)</f>
        <v>0</v>
      </c>
      <c r="Y766" s="849"/>
      <c r="Z766" s="840"/>
      <c r="AA766" s="843"/>
    </row>
    <row r="767" spans="1:30">
      <c r="A767" s="786"/>
      <c r="B767" s="216"/>
      <c r="C767" s="845"/>
      <c r="D767" s="847"/>
      <c r="E767" s="79"/>
      <c r="F767" s="272"/>
      <c r="G767" s="99"/>
      <c r="H767" s="95"/>
      <c r="I767" s="334"/>
      <c r="J767" s="279"/>
      <c r="K767" s="217"/>
      <c r="L767" s="217"/>
      <c r="M767" s="217"/>
      <c r="N767" s="217"/>
      <c r="O767" s="217"/>
      <c r="P767" s="30"/>
      <c r="Q767" s="79">
        <f>база!$L$6</f>
        <v>261.04640000000001</v>
      </c>
      <c r="R767" s="272">
        <v>1</v>
      </c>
      <c r="S767" s="99">
        <f>SUMIFS(Таблица1[сумма],Таблица1[коэф],"1",Таблица1[р/р],"5/16",Таблица1[Ф. И. О.],B770)</f>
        <v>0</v>
      </c>
      <c r="T767" s="95">
        <f t="shared" si="475"/>
        <v>0</v>
      </c>
      <c r="U767" s="314">
        <f>база!$M$6</f>
        <v>279.0496</v>
      </c>
      <c r="V767" s="272">
        <v>1</v>
      </c>
      <c r="W767" s="307">
        <f>SUMIFS(Таблица1[сумма],Таблица1[коэф],"1",Таблица1[р/р],"5/24",Таблица1[Ф. И. О.],B770)</f>
        <v>0</v>
      </c>
      <c r="X767" s="313">
        <f>ROUND(U767*V767*W767,2)</f>
        <v>0</v>
      </c>
      <c r="Y767" s="849"/>
      <c r="Z767" s="840"/>
      <c r="AA767" s="843"/>
    </row>
    <row r="768" spans="1:30">
      <c r="A768" s="786"/>
      <c r="B768" s="216"/>
      <c r="C768" s="845"/>
      <c r="D768" s="847"/>
      <c r="E768" s="79"/>
      <c r="F768" s="272"/>
      <c r="G768" s="99"/>
      <c r="H768" s="95"/>
      <c r="I768" s="334">
        <f>база!$J$5</f>
        <v>215.4924</v>
      </c>
      <c r="J768" s="279">
        <v>1.5</v>
      </c>
      <c r="K768" s="217">
        <f>SUMIFS(Таблица1[сумма],Таблица1[коэф],"1,5",Таблица1[р/р],"4/8",Таблица1[Ф. И. О.],B770)</f>
        <v>0</v>
      </c>
      <c r="L768" s="217">
        <f>ROUND(I768*J768*K768,2)</f>
        <v>0</v>
      </c>
      <c r="M768" s="217"/>
      <c r="N768" s="217"/>
      <c r="O768" s="217"/>
      <c r="P768" s="30"/>
      <c r="Q768" s="79">
        <f>IF(D765&lt;=3,база!$L$4,
IF(D765=4,база!$L$5,
IF(D765=5,база!$L$6)))</f>
        <v>210.57480000000001</v>
      </c>
      <c r="R768" s="272">
        <v>1.2</v>
      </c>
      <c r="S768" s="99">
        <f>SUMIFS(Таблица1[сумма],Таблица1[коэф],"1,2",Таблица1[р/р],"3/16",Таблица1[Ф. И. О.],B770)</f>
        <v>0</v>
      </c>
      <c r="T768" s="95">
        <f t="shared" si="475"/>
        <v>0</v>
      </c>
      <c r="U768" s="314">
        <f>IF(D765&lt;=3,база!$M$4,
IF(D765=4,база!$M$5,
IF(D765=5,база!$M$6)))</f>
        <v>225.09719999999999</v>
      </c>
      <c r="V768" s="272">
        <v>1.2</v>
      </c>
      <c r="W768" s="307">
        <f>SUMIFS(Таблица1[сумма],Таблица1[коэф],"1,2",Таблица1[р/р],"3/24",Таблица1[Ф. И. О.],B770)</f>
        <v>0</v>
      </c>
      <c r="X768" s="313">
        <f t="shared" ref="X768:X769" si="479">ROUND(U768*V768*W768,2)</f>
        <v>0</v>
      </c>
      <c r="Y768" s="849"/>
      <c r="Z768" s="840"/>
      <c r="AA768" s="843"/>
    </row>
    <row r="769" spans="1:30">
      <c r="A769" s="786"/>
      <c r="B769" s="216"/>
      <c r="C769" s="845"/>
      <c r="D769" s="847"/>
      <c r="E769" s="79"/>
      <c r="F769" s="272"/>
      <c r="G769" s="99"/>
      <c r="H769" s="95"/>
      <c r="I769" s="334">
        <f>база!$J$6</f>
        <v>243.04319999999998</v>
      </c>
      <c r="J769" s="279">
        <v>1.5</v>
      </c>
      <c r="K769" s="217">
        <f>SUMIFS(Таблица1[сумма],Таблица1[коэф],"1,5",Таблица1[р/р],"5/8",Таблица1[Ф. И. О.],B770)</f>
        <v>0</v>
      </c>
      <c r="L769" s="217">
        <f>ROUND(I769*J769*K769,2)</f>
        <v>0</v>
      </c>
      <c r="M769" s="217"/>
      <c r="N769" s="217"/>
      <c r="O769" s="217"/>
      <c r="P769" s="30"/>
      <c r="Q769" s="79">
        <f>база!$L$5</f>
        <v>231.45480000000001</v>
      </c>
      <c r="R769" s="272">
        <v>1.2</v>
      </c>
      <c r="S769" s="99">
        <f>SUMIFS(Таблица1[сумма],Таблица1[коэф],"1,2",Таблица1[р/р],"4/16",Таблица1[Ф. И. О.],B770)</f>
        <v>0</v>
      </c>
      <c r="T769" s="95">
        <f t="shared" si="475"/>
        <v>0</v>
      </c>
      <c r="U769" s="314">
        <f>база!$M$5</f>
        <v>247.41720000000001</v>
      </c>
      <c r="V769" s="272">
        <v>1.2</v>
      </c>
      <c r="W769" s="307">
        <f>SUMIFS(Таблица1[сумма],Таблица1[коэф],"1,2",Таблица1[р/р],"4/24",Таблица1[Ф. И. О.],B770)</f>
        <v>0</v>
      </c>
      <c r="X769" s="313">
        <f t="shared" si="479"/>
        <v>0</v>
      </c>
      <c r="Y769" s="849"/>
      <c r="Z769" s="840"/>
      <c r="AA769" s="843"/>
      <c r="AC769" s="722" t="str">
        <f>IF(SUMIFS(Таблица1[Столбец2],Таблица1[Ф. И. О.],B770)-Z765=0,"",SUMIFS(Таблица1[Столбец2],Таблица1[Ф. И. О.],B770)-Z765)</f>
        <v/>
      </c>
    </row>
    <row r="770" spans="1:30">
      <c r="A770" s="786"/>
      <c r="B770" s="216" t="str">
        <f>база!B71</f>
        <v>Скрынникова Виктория Геннадьевна</v>
      </c>
      <c r="C770" s="845"/>
      <c r="D770" s="847"/>
      <c r="E770" s="79"/>
      <c r="F770" s="272"/>
      <c r="G770" s="99"/>
      <c r="H770" s="95"/>
      <c r="I770" s="334"/>
      <c r="J770" s="279"/>
      <c r="K770" s="217"/>
      <c r="L770" s="217"/>
      <c r="M770" s="217"/>
      <c r="N770" s="217"/>
      <c r="O770" s="217"/>
      <c r="P770" s="30"/>
      <c r="Q770" s="79">
        <f>база!$L$6</f>
        <v>261.04640000000001</v>
      </c>
      <c r="R770" s="272">
        <v>1.2</v>
      </c>
      <c r="S770" s="99">
        <f>SUMIFS(Таблица1[сумма],Таблица1[коэф],"1,2",Таблица1[р/р],"5/16",Таблица1[Ф. И. О.],B770)</f>
        <v>0</v>
      </c>
      <c r="T770" s="95">
        <f>ROUND(Q770*R770*S770,2)</f>
        <v>0</v>
      </c>
      <c r="U770" s="314">
        <f>база!$M$6</f>
        <v>279.0496</v>
      </c>
      <c r="V770" s="272">
        <v>1.2</v>
      </c>
      <c r="W770" s="307">
        <f>SUMIFS(Таблица1[сумма],Таблица1[коэф],"1,2",Таблица1[р/р],"5/24",Таблица1[Ф. И. О.],B770)</f>
        <v>0</v>
      </c>
      <c r="X770" s="313">
        <f>ROUND(U770*V770*W770,2)</f>
        <v>0</v>
      </c>
      <c r="Y770" s="849"/>
      <c r="Z770" s="840"/>
      <c r="AA770" s="843"/>
      <c r="AC770" s="722" t="str">
        <f>IF(SUMIFS(Таблица1[сумма],Таблица1[Ф. И. О.],B770)=Y765,"",B765&amp;"  часы не верны")</f>
        <v/>
      </c>
      <c r="AD770" s="759">
        <f>INDEX('[2]декабрь 23'!$AI$4:$AI$100,MATCH(C765,'[2]декабрь 23'!$AK$4:$AK$100,0))</f>
        <v>108.00000000000003</v>
      </c>
    </row>
    <row r="771" spans="1:30">
      <c r="A771" s="786"/>
      <c r="B771" s="216"/>
      <c r="C771" s="845"/>
      <c r="D771" s="847"/>
      <c r="E771" s="79"/>
      <c r="F771" s="272"/>
      <c r="G771" s="99"/>
      <c r="H771" s="95"/>
      <c r="I771" s="334"/>
      <c r="J771" s="279"/>
      <c r="K771" s="217"/>
      <c r="L771" s="217"/>
      <c r="M771" s="217"/>
      <c r="N771" s="217"/>
      <c r="O771" s="217"/>
      <c r="P771" s="30"/>
      <c r="Q771" s="79">
        <f>IF($D$6&lt;=3,база!$L$4,
IF($D$6=4,база!$L$5,
IF($D$6=5,база!$L$6)))</f>
        <v>231.45480000000001</v>
      </c>
      <c r="R771" s="272">
        <v>1.3</v>
      </c>
      <c r="S771" s="99">
        <f>SUMIFS(Таблица1[сумма],Таблица1[коэф],"1,3",Таблица1[р/р],"3/16",Таблица1[Ф. И. О.],B770)</f>
        <v>0</v>
      </c>
      <c r="T771" s="95">
        <f t="shared" ref="T771:T772" si="480">ROUND(Q771*R771*S771,2)</f>
        <v>0</v>
      </c>
      <c r="U771" s="314">
        <f>IF(D765&lt;=3,база!$M$4,
IF(D765=4,база!$M$5,
IF(D765=5,база!$M$6)))</f>
        <v>225.09719999999999</v>
      </c>
      <c r="V771" s="272">
        <v>1.3</v>
      </c>
      <c r="W771" s="307">
        <f>SUMIFS(Таблица1[сумма],Таблица1[коэф],"1,3",Таблица1[р/р],"3/24",Таблица1[Ф. И. О.],B770)</f>
        <v>0</v>
      </c>
      <c r="X771" s="313">
        <f t="shared" ref="X771:X772" si="481">ROUND(U771*V771*W771,2)</f>
        <v>0</v>
      </c>
      <c r="Y771" s="849"/>
      <c r="Z771" s="840"/>
      <c r="AA771" s="843"/>
    </row>
    <row r="772" spans="1:30">
      <c r="A772" s="786"/>
      <c r="B772" s="216"/>
      <c r="C772" s="845"/>
      <c r="D772" s="847"/>
      <c r="E772" s="79"/>
      <c r="F772" s="272"/>
      <c r="G772" s="99"/>
      <c r="H772" s="95"/>
      <c r="I772" s="334"/>
      <c r="J772" s="279"/>
      <c r="K772" s="217"/>
      <c r="L772" s="217"/>
      <c r="M772" s="217"/>
      <c r="N772" s="217"/>
      <c r="O772" s="217"/>
      <c r="P772" s="30"/>
      <c r="Q772" s="79">
        <f>база!$L$5</f>
        <v>231.45480000000001</v>
      </c>
      <c r="R772" s="272">
        <v>1.3</v>
      </c>
      <c r="S772" s="99">
        <f>SUMIFS(Таблица1[сумма],Таблица1[коэф],"1,3",Таблица1[р/р],"4/16",Таблица1[Ф. И. О.],B770)</f>
        <v>0</v>
      </c>
      <c r="T772" s="95">
        <f t="shared" si="480"/>
        <v>0</v>
      </c>
      <c r="U772" s="314">
        <f>база!$M$5</f>
        <v>247.41720000000001</v>
      </c>
      <c r="V772" s="272">
        <v>1.3</v>
      </c>
      <c r="W772" s="307">
        <f>SUMIFS(Таблица1[сумма],Таблица1[коэф],"1,3",Таблица1[р/р],"4/24",Таблица1[Ф. И. О.],B770)</f>
        <v>0</v>
      </c>
      <c r="X772" s="313">
        <f t="shared" si="481"/>
        <v>0</v>
      </c>
      <c r="Y772" s="849"/>
      <c r="Z772" s="840"/>
      <c r="AA772" s="843"/>
    </row>
    <row r="773" spans="1:30">
      <c r="A773" s="786"/>
      <c r="B773" s="216"/>
      <c r="C773" s="845"/>
      <c r="D773" s="847"/>
      <c r="E773" s="79"/>
      <c r="F773" s="272"/>
      <c r="G773" s="99"/>
      <c r="H773" s="95"/>
      <c r="I773" s="334"/>
      <c r="J773" s="279"/>
      <c r="K773" s="217"/>
      <c r="L773" s="217"/>
      <c r="M773" s="217"/>
      <c r="N773" s="217"/>
      <c r="O773" s="217"/>
      <c r="P773" s="30"/>
      <c r="Q773" s="79">
        <f>IF(D765&lt;=3,база!$L$4,
IF(D765=4,база!$L$5,
IF(D765=5,база!$L$6)))</f>
        <v>210.57480000000001</v>
      </c>
      <c r="R773" s="272">
        <v>1.4</v>
      </c>
      <c r="S773" s="99">
        <f>SUMIFS(Таблица1[сумма],Таблица1[коэф],"1,4",Таблица1[р/р],"3/16",Таблица1[Ф. И. О.],B770)</f>
        <v>0</v>
      </c>
      <c r="T773" s="95">
        <f>ROUND(Q773*R773*S773,2)</f>
        <v>0</v>
      </c>
      <c r="U773" s="314">
        <f>IF(D765&lt;=3,база!$M$4,
IF(D765=4,база!$M$5,
IF(D765=5,база!$M$6)))</f>
        <v>225.09719999999999</v>
      </c>
      <c r="V773" s="272">
        <v>1.4</v>
      </c>
      <c r="W773" s="307">
        <f>SUMIFS(Таблица1[сумма],Таблица1[коэф],"1,4",Таблица1[р/р],"3/24",Таблица1[Ф. И. О.],B770)</f>
        <v>0</v>
      </c>
      <c r="X773" s="313">
        <f>ROUND(U773*V773*W773,2)</f>
        <v>0</v>
      </c>
      <c r="Y773" s="849"/>
      <c r="Z773" s="840"/>
      <c r="AA773" s="843"/>
    </row>
    <row r="774" spans="1:30">
      <c r="A774" s="786"/>
      <c r="B774" s="216"/>
      <c r="C774" s="845"/>
      <c r="D774" s="847"/>
      <c r="E774" s="79"/>
      <c r="F774" s="272"/>
      <c r="G774" s="99"/>
      <c r="H774" s="95"/>
      <c r="I774" s="334"/>
      <c r="J774" s="279"/>
      <c r="K774" s="217"/>
      <c r="L774" s="217"/>
      <c r="M774" s="217"/>
      <c r="N774" s="217"/>
      <c r="O774" s="217"/>
      <c r="P774" s="30"/>
      <c r="Q774" s="79">
        <f>база!$L$5</f>
        <v>231.45480000000001</v>
      </c>
      <c r="R774" s="272">
        <v>1.4</v>
      </c>
      <c r="S774" s="99">
        <f>SUMIFS(Таблица1[сумма],Таблица1[коэф],"1,4",Таблица1[р/р],"4/16",Таблица1[Ф. И. О.],B770)</f>
        <v>0</v>
      </c>
      <c r="T774" s="95">
        <f>ROUND(Q774*R774*S774,2)</f>
        <v>0</v>
      </c>
      <c r="U774" s="314">
        <f>база!$M$5</f>
        <v>247.41720000000001</v>
      </c>
      <c r="V774" s="272">
        <v>1.4</v>
      </c>
      <c r="W774" s="307">
        <f>SUMIFS(Таблица1[сумма],Таблица1[коэф],"1,4",Таблица1[р/р],"4/24",Таблица1[Ф. И. О.],B770)</f>
        <v>0</v>
      </c>
      <c r="X774" s="313">
        <f>ROUND(U774*V774*W774,2)</f>
        <v>0</v>
      </c>
      <c r="Y774" s="849"/>
      <c r="Z774" s="840"/>
      <c r="AA774" s="843"/>
    </row>
    <row r="775" spans="1:30" ht="24" thickBot="1">
      <c r="A775" s="787"/>
      <c r="B775" s="352"/>
      <c r="C775" s="846"/>
      <c r="D775" s="848"/>
      <c r="E775" s="102"/>
      <c r="F775" s="274"/>
      <c r="G775" s="626"/>
      <c r="H775" s="91"/>
      <c r="I775" s="627"/>
      <c r="J775" s="280"/>
      <c r="K775" s="628"/>
      <c r="L775" s="289"/>
      <c r="M775" s="627"/>
      <c r="N775" s="628"/>
      <c r="O775" s="628"/>
      <c r="P775" s="315"/>
      <c r="Q775" s="629">
        <f>база!$L$6</f>
        <v>261.04640000000001</v>
      </c>
      <c r="R775" s="274">
        <v>1.4</v>
      </c>
      <c r="S775" s="98">
        <f>SUMIFS(Таблица1[сумма],Таблица1[коэф],"1,4",Таблица1[р/р],"5/16",Таблица1[Ф. И. О.],B770)</f>
        <v>0</v>
      </c>
      <c r="T775" s="91">
        <f>ROUND(Q775*R775*S775,2)</f>
        <v>0</v>
      </c>
      <c r="U775" s="221">
        <f>база!$M$6</f>
        <v>279.0496</v>
      </c>
      <c r="V775" s="274">
        <v>1.4</v>
      </c>
      <c r="W775" s="98">
        <f>SUMIFS(Таблица1[сумма],Таблица1[коэф],"1,4",Таблица1[р/р],"5/24",Таблица1[Ф. И. О.],B770)</f>
        <v>0</v>
      </c>
      <c r="X775" s="91">
        <f>ROUND(U775*V775*W775,2)</f>
        <v>0</v>
      </c>
      <c r="Y775" s="850"/>
      <c r="Z775" s="841"/>
      <c r="AA775" s="844"/>
    </row>
    <row r="776" spans="1:30">
      <c r="A776" s="786">
        <v>71</v>
      </c>
      <c r="B776" s="216"/>
      <c r="C776" s="845">
        <f>INDEX(база!$E$2:$E$181, MATCH(B781,база!$B$2:$B$160,0))</f>
        <v>14639</v>
      </c>
      <c r="D776" s="847">
        <f>INDEX(база!$D$2:$D$189, MATCH(B781,база!$B$2:$B$160,0))</f>
        <v>4</v>
      </c>
      <c r="E776" s="75">
        <f>IF(D776&lt;=3,база!$I$4,
IF(D776=4,база!$I$5,
IF(D776=5,база!$I$6)))</f>
        <v>207.5112</v>
      </c>
      <c r="F776" s="271">
        <v>1</v>
      </c>
      <c r="G776" s="97">
        <f>SUMIFS(Таблица1[сумма],Таблица1[коэф],"1",Таблица1[р/р],"2/4",Таблица1[Ф. И. О.],B781)</f>
        <v>0</v>
      </c>
      <c r="H776" s="103">
        <f>ROUND(E776*F776*G776,2)</f>
        <v>0</v>
      </c>
      <c r="I776" s="344">
        <f>IF(D776&lt;=3,база!$J$4,
IF(D776=4,база!$J$5,
IF(D776=5,база!$J$6)))</f>
        <v>215.4924</v>
      </c>
      <c r="J776" s="278">
        <v>1</v>
      </c>
      <c r="K776" s="309">
        <f>SUMIFS(Таблица1[сумма],Таблица1[коэф],"1",Таблица1[р/р],"2/8",Таблица1[Ф. И. О.],B781)</f>
        <v>0</v>
      </c>
      <c r="L776" s="309">
        <f>ROUND(I776*J776*K776,2)</f>
        <v>0</v>
      </c>
      <c r="M776" s="309"/>
      <c r="N776" s="309">
        <v>1</v>
      </c>
      <c r="O776" s="309">
        <f>SUMIFS(Data_Tech!$AM$3:$AM$67,Data_Tech!$E$3:$E$67,"1",Data_Tech!$G$3:$G$67,"3/12",Data_Tech!$F$3:$F$67,B781)</f>
        <v>0</v>
      </c>
      <c r="P776" s="282">
        <f>ROUND(M776*N776*O776,2)</f>
        <v>0</v>
      </c>
      <c r="Q776" s="75">
        <f>IF(D776&lt;=3,база!$L$4,
IF(D776=4,база!$L$5,
IF(D776=5,база!$L$6)))</f>
        <v>231.45480000000001</v>
      </c>
      <c r="R776" s="271">
        <v>1</v>
      </c>
      <c r="S776" s="97">
        <f>SUMIFS(Таблица1[сумма],Таблица1[коэф],"1",Таблица1[р/р],"3/16",Таблица1[Ф. И. О.],B781)</f>
        <v>0</v>
      </c>
      <c r="T776" s="103">
        <f t="shared" ref="T776:T780" si="482">ROUND(Q776*R776*S776,2)</f>
        <v>0</v>
      </c>
      <c r="U776" s="349">
        <f>IF(D776&lt;=3,база!$M$4,
IF(D776=4,база!$M$5,
IF(D776=5,база!$M$6)))</f>
        <v>247.41720000000001</v>
      </c>
      <c r="V776" s="271">
        <v>1</v>
      </c>
      <c r="W776" s="337">
        <f>SUMIFS(Таблица1[сумма],Таблица1[коэф],"1",Таблица1[р/р],"3/24",Таблица1[Ф. И. О.],B781)</f>
        <v>0</v>
      </c>
      <c r="X776" s="351">
        <f>ROUND(U776*V776*W776,2)</f>
        <v>0</v>
      </c>
      <c r="Y776" s="849">
        <f>SUM(G776:G786,K776:K786,O776:O786,S776:S786,W776:W786)</f>
        <v>0</v>
      </c>
      <c r="Z776" s="840">
        <f t="shared" ref="Z776" si="483">IFERROR(SUM(H776:H786,L776:L786,T776:T786,X776:X786),"")</f>
        <v>0</v>
      </c>
      <c r="AA776" s="843"/>
    </row>
    <row r="777" spans="1:30">
      <c r="A777" s="786"/>
      <c r="B777" s="216"/>
      <c r="C777" s="845"/>
      <c r="D777" s="847"/>
      <c r="E777" s="79">
        <f>IF(D776&lt;=3,база!$I$4,
IF(D776=4,база!$I$5,
IF(D776=5,база!$I$6)))</f>
        <v>207.5112</v>
      </c>
      <c r="F777" s="272">
        <v>1</v>
      </c>
      <c r="G777" s="99">
        <f>SUMIFS(Таблица1[сумма],Таблица1[коэф],"1",Таблица1[р/р],"3/4",Таблица1[Ф. И. О.],B781)</f>
        <v>0</v>
      </c>
      <c r="H777" s="95">
        <f>ROUND(E777*F777*G777,2)</f>
        <v>0</v>
      </c>
      <c r="I777" s="334">
        <f>IF(D776&lt;=3,база!$J$4,
IF(D776=4,база!$J$5,
IF(D776=5,база!$J$6)))</f>
        <v>215.4924</v>
      </c>
      <c r="J777" s="279">
        <v>1</v>
      </c>
      <c r="K777" s="217"/>
      <c r="L777" s="217">
        <f>ROUND(I777*J777*K777,2)</f>
        <v>0</v>
      </c>
      <c r="M777" s="217"/>
      <c r="N777" s="217">
        <v>1</v>
      </c>
      <c r="O777" s="217">
        <f>SUMIFS(Data_Tech!$AM$3:$AM$67,Data_Tech!$E$3:$E$67,"1",Data_Tech!$G$3:$G$67,"4/12",Data_Tech!$F$3:$F$67,B781)</f>
        <v>0</v>
      </c>
      <c r="P777" s="30">
        <f>ROUND(M777*O777,2)</f>
        <v>0</v>
      </c>
      <c r="Q777" s="79">
        <f>база!$L$5</f>
        <v>231.45480000000001</v>
      </c>
      <c r="R777" s="272">
        <v>1</v>
      </c>
      <c r="S777" s="99">
        <f>SUMIFS(Таблица1[сумма],Таблица1[коэф],"1",Таблица1[р/р],"4/16",Таблица1[Ф. И. О.],B781)</f>
        <v>0</v>
      </c>
      <c r="T777" s="95">
        <f t="shared" si="482"/>
        <v>0</v>
      </c>
      <c r="U777" s="314">
        <f>база!$M$5</f>
        <v>247.41720000000001</v>
      </c>
      <c r="V777" s="272">
        <v>1</v>
      </c>
      <c r="W777" s="307">
        <f>SUMIFS(Таблица1[сумма],Таблица1[коэф],"1",Таблица1[р/р],"4/24",Таблица1[Ф. И. О.],B781)</f>
        <v>0</v>
      </c>
      <c r="X777" s="313">
        <f t="shared" ref="X777" si="484">ROUND(U777*V777*W777,2)</f>
        <v>0</v>
      </c>
      <c r="Y777" s="849"/>
      <c r="Z777" s="840"/>
      <c r="AA777" s="843"/>
    </row>
    <row r="778" spans="1:30">
      <c r="A778" s="786"/>
      <c r="B778" s="216"/>
      <c r="C778" s="845"/>
      <c r="D778" s="847"/>
      <c r="E778" s="79"/>
      <c r="F778" s="272"/>
      <c r="G778" s="99"/>
      <c r="H778" s="95"/>
      <c r="I778" s="334"/>
      <c r="J778" s="279"/>
      <c r="K778" s="217"/>
      <c r="L778" s="217"/>
      <c r="M778" s="217"/>
      <c r="N778" s="217"/>
      <c r="O778" s="217"/>
      <c r="P778" s="30"/>
      <c r="Q778" s="79">
        <f>база!$L$6</f>
        <v>261.04640000000001</v>
      </c>
      <c r="R778" s="272">
        <v>1</v>
      </c>
      <c r="S778" s="99">
        <f>SUMIFS(Таблица1[сумма],Таблица1[коэф],"1",Таблица1[р/р],"5/16",Таблица1[Ф. И. О.],B781)</f>
        <v>0</v>
      </c>
      <c r="T778" s="95">
        <f t="shared" si="482"/>
        <v>0</v>
      </c>
      <c r="U778" s="314">
        <f>база!$M$6</f>
        <v>279.0496</v>
      </c>
      <c r="V778" s="272">
        <v>1</v>
      </c>
      <c r="W778" s="307">
        <f>SUMIFS(Таблица1[сумма],Таблица1[коэф],"1",Таблица1[р/р],"5/24",Таблица1[Ф. И. О.],B781)</f>
        <v>0</v>
      </c>
      <c r="X778" s="313">
        <f>ROUND(U778*V778*W778,2)</f>
        <v>0</v>
      </c>
      <c r="Y778" s="849"/>
      <c r="Z778" s="840"/>
      <c r="AA778" s="843"/>
    </row>
    <row r="779" spans="1:30">
      <c r="A779" s="786"/>
      <c r="B779" s="216"/>
      <c r="C779" s="845"/>
      <c r="D779" s="847"/>
      <c r="E779" s="79"/>
      <c r="F779" s="272"/>
      <c r="G779" s="99"/>
      <c r="H779" s="95"/>
      <c r="I779" s="334">
        <f>база!$J$5</f>
        <v>215.4924</v>
      </c>
      <c r="J779" s="279">
        <v>1.5</v>
      </c>
      <c r="K779" s="217">
        <f>SUMIFS(Таблица1[сумма],Таблица1[коэф],"1,5",Таблица1[р/р],"4/8",Таблица1[Ф. И. О.],B781)</f>
        <v>0</v>
      </c>
      <c r="L779" s="217">
        <f>ROUND(I779*J779*K779,2)</f>
        <v>0</v>
      </c>
      <c r="M779" s="217"/>
      <c r="N779" s="217"/>
      <c r="O779" s="217"/>
      <c r="P779" s="30"/>
      <c r="Q779" s="79">
        <f>IF(D776&lt;=3,база!$L$4,
IF(D776=4,база!$L$5,
IF(D776=5,база!$L$6)))</f>
        <v>231.45480000000001</v>
      </c>
      <c r="R779" s="272">
        <v>1.2</v>
      </c>
      <c r="S779" s="99">
        <f>SUMIFS(Таблица1[сумма],Таблица1[коэф],"1,2",Таблица1[р/р],"3/16",Таблица1[Ф. И. О.],B781)</f>
        <v>0</v>
      </c>
      <c r="T779" s="95">
        <f t="shared" si="482"/>
        <v>0</v>
      </c>
      <c r="U779" s="314">
        <f>IF(D776&lt;=3,база!$M$4,
IF(D776=4,база!$M$5,
IF(D776=5,база!$M$6)))</f>
        <v>247.41720000000001</v>
      </c>
      <c r="V779" s="272">
        <v>1.2</v>
      </c>
      <c r="W779" s="307">
        <f>SUMIFS(Таблица1[сумма],Таблица1[коэф],"1,2",Таблица1[р/р],"3/24",Таблица1[Ф. И. О.],B781)</f>
        <v>0</v>
      </c>
      <c r="X779" s="313">
        <f t="shared" ref="X779:X780" si="485">ROUND(U779*V779*W779,2)</f>
        <v>0</v>
      </c>
      <c r="Y779" s="849"/>
      <c r="Z779" s="840"/>
      <c r="AA779" s="843"/>
    </row>
    <row r="780" spans="1:30">
      <c r="A780" s="786"/>
      <c r="B780" s="216"/>
      <c r="C780" s="845"/>
      <c r="D780" s="847"/>
      <c r="E780" s="79"/>
      <c r="F780" s="272"/>
      <c r="G780" s="99"/>
      <c r="H780" s="95"/>
      <c r="I780" s="334">
        <f>база!$J$6</f>
        <v>243.04319999999998</v>
      </c>
      <c r="J780" s="279">
        <v>1.5</v>
      </c>
      <c r="K780" s="217">
        <f>SUMIFS(Таблица1[сумма],Таблица1[коэф],"1,5",Таблица1[р/р],"5/8",Таблица1[Ф. И. О.],B781)</f>
        <v>0</v>
      </c>
      <c r="L780" s="217">
        <f>ROUND(I780*J780*K780,2)</f>
        <v>0</v>
      </c>
      <c r="M780" s="217"/>
      <c r="N780" s="217"/>
      <c r="O780" s="217"/>
      <c r="P780" s="30"/>
      <c r="Q780" s="79">
        <f>база!$L$5</f>
        <v>231.45480000000001</v>
      </c>
      <c r="R780" s="272">
        <v>1.2</v>
      </c>
      <c r="S780" s="99">
        <f>SUMIFS(Таблица1[сумма],Таблица1[коэф],"1,2",Таблица1[р/р],"4/16",Таблица1[Ф. И. О.],B781)</f>
        <v>0</v>
      </c>
      <c r="T780" s="95">
        <f t="shared" si="482"/>
        <v>0</v>
      </c>
      <c r="U780" s="314">
        <f>база!$M$5</f>
        <v>247.41720000000001</v>
      </c>
      <c r="V780" s="272">
        <v>1.2</v>
      </c>
      <c r="W780" s="307">
        <f>SUMIFS(Таблица1[сумма],Таблица1[коэф],"1,2",Таблица1[р/р],"4/24",Таблица1[Ф. И. О.],B781)</f>
        <v>0</v>
      </c>
      <c r="X780" s="313">
        <f t="shared" si="485"/>
        <v>0</v>
      </c>
      <c r="Y780" s="849"/>
      <c r="Z780" s="840"/>
      <c r="AA780" s="843"/>
      <c r="AC780" s="722" t="str">
        <f>IF(SUMIFS(Таблица1[Столбец2],Таблица1[Ф. И. О.],B781)-Z776=0,"",SUMIFS(Таблица1[Столбец2],Таблица1[Ф. И. О.],B781)-Z776)</f>
        <v/>
      </c>
    </row>
    <row r="781" spans="1:30">
      <c r="A781" s="786"/>
      <c r="B781" s="216" t="str">
        <f>база!B72</f>
        <v>Смирнова Елена Евгеньевна</v>
      </c>
      <c r="C781" s="845"/>
      <c r="D781" s="847"/>
      <c r="E781" s="79"/>
      <c r="F781" s="272"/>
      <c r="G781" s="99"/>
      <c r="H781" s="95"/>
      <c r="I781" s="334"/>
      <c r="J781" s="279"/>
      <c r="K781" s="217"/>
      <c r="L781" s="217"/>
      <c r="M781" s="217"/>
      <c r="N781" s="217"/>
      <c r="O781" s="217"/>
      <c r="P781" s="30"/>
      <c r="Q781" s="79">
        <f>база!$L$6</f>
        <v>261.04640000000001</v>
      </c>
      <c r="R781" s="272">
        <v>1.2</v>
      </c>
      <c r="S781" s="99">
        <f>SUMIFS(Таблица1[сумма],Таблица1[коэф],"1,2",Таблица1[р/р],"5/16",Таблица1[Ф. И. О.],B781)</f>
        <v>0</v>
      </c>
      <c r="T781" s="95">
        <f>ROUND(Q781*R781*S781,2)</f>
        <v>0</v>
      </c>
      <c r="U781" s="314">
        <f>база!$M$6</f>
        <v>279.0496</v>
      </c>
      <c r="V781" s="272">
        <v>1.2</v>
      </c>
      <c r="W781" s="307">
        <f>SUMIFS(Таблица1[сумма],Таблица1[коэф],"1,2",Таблица1[р/р],"5/24",Таблица1[Ф. И. О.],B781)</f>
        <v>0</v>
      </c>
      <c r="X781" s="313">
        <f>ROUND(U781*V781*W781,2)</f>
        <v>0</v>
      </c>
      <c r="Y781" s="849"/>
      <c r="Z781" s="840"/>
      <c r="AA781" s="843"/>
      <c r="AC781" s="722" t="str">
        <f>IF(SUMIFS(Таблица1[сумма],Таблица1[Ф. И. О.],B781)=Y776,"",B776&amp;"  часы не верны")</f>
        <v/>
      </c>
      <c r="AD781" s="759">
        <f>INDEX('[2]декабрь 23'!$AI$4:$AI$100,MATCH(C776,'[2]декабрь 23'!$AK$4:$AK$100,0))</f>
        <v>100.80000000000003</v>
      </c>
    </row>
    <row r="782" spans="1:30">
      <c r="A782" s="786"/>
      <c r="B782" s="216"/>
      <c r="C782" s="845"/>
      <c r="D782" s="847"/>
      <c r="E782" s="79"/>
      <c r="F782" s="272"/>
      <c r="G782" s="99"/>
      <c r="H782" s="95"/>
      <c r="I782" s="334"/>
      <c r="J782" s="279"/>
      <c r="K782" s="217"/>
      <c r="L782" s="217"/>
      <c r="M782" s="217"/>
      <c r="N782" s="217"/>
      <c r="O782" s="217"/>
      <c r="P782" s="30"/>
      <c r="Q782" s="79">
        <f>IF($D$6&lt;=3,база!$L$4,
IF($D$6=4,база!$L$5,
IF($D$6=5,база!$L$6)))</f>
        <v>231.45480000000001</v>
      </c>
      <c r="R782" s="272">
        <v>1.3</v>
      </c>
      <c r="S782" s="99">
        <f>SUMIFS(Таблица1[сумма],Таблица1[коэф],"1,3",Таблица1[р/р],"3/16",Таблица1[Ф. И. О.],B781)</f>
        <v>0</v>
      </c>
      <c r="T782" s="95">
        <f t="shared" ref="T782:T783" si="486">ROUND(Q782*R782*S782,2)</f>
        <v>0</v>
      </c>
      <c r="U782" s="314">
        <f>IF(D776&lt;=3,база!$M$4,
IF(D776=4,база!$M$5,
IF(D776=5,база!$M$6)))</f>
        <v>247.41720000000001</v>
      </c>
      <c r="V782" s="272">
        <v>1.3</v>
      </c>
      <c r="W782" s="307">
        <f>SUMIFS(Таблица1[сумма],Таблица1[коэф],"1,3",Таблица1[р/р],"3/24",Таблица1[Ф. И. О.],B781)</f>
        <v>0</v>
      </c>
      <c r="X782" s="313">
        <f t="shared" ref="X782:X783" si="487">ROUND(U782*V782*W782,2)</f>
        <v>0</v>
      </c>
      <c r="Y782" s="849"/>
      <c r="Z782" s="840"/>
      <c r="AA782" s="843"/>
    </row>
    <row r="783" spans="1:30">
      <c r="A783" s="786"/>
      <c r="B783" s="216"/>
      <c r="C783" s="845"/>
      <c r="D783" s="847"/>
      <c r="E783" s="79"/>
      <c r="F783" s="272"/>
      <c r="G783" s="99"/>
      <c r="H783" s="95"/>
      <c r="I783" s="334"/>
      <c r="J783" s="279"/>
      <c r="K783" s="217"/>
      <c r="L783" s="217"/>
      <c r="M783" s="217"/>
      <c r="N783" s="217"/>
      <c r="O783" s="217"/>
      <c r="P783" s="30"/>
      <c r="Q783" s="79">
        <f>база!$L$5</f>
        <v>231.45480000000001</v>
      </c>
      <c r="R783" s="272">
        <v>1.3</v>
      </c>
      <c r="S783" s="99">
        <f>SUMIFS(Таблица1[сумма],Таблица1[коэф],"1,3",Таблица1[р/р],"4/16",Таблица1[Ф. И. О.],B781)</f>
        <v>0</v>
      </c>
      <c r="T783" s="95">
        <f t="shared" si="486"/>
        <v>0</v>
      </c>
      <c r="U783" s="314">
        <f>база!$M$5</f>
        <v>247.41720000000001</v>
      </c>
      <c r="V783" s="272">
        <v>1.3</v>
      </c>
      <c r="W783" s="307">
        <f>SUMIFS(Таблица1[сумма],Таблица1[коэф],"1,3",Таблица1[р/р],"4/24",Таблица1[Ф. И. О.],B781)</f>
        <v>0</v>
      </c>
      <c r="X783" s="313">
        <f t="shared" si="487"/>
        <v>0</v>
      </c>
      <c r="Y783" s="849"/>
      <c r="Z783" s="840"/>
      <c r="AA783" s="843"/>
    </row>
    <row r="784" spans="1:30">
      <c r="A784" s="786"/>
      <c r="B784" s="216"/>
      <c r="C784" s="845"/>
      <c r="D784" s="847"/>
      <c r="E784" s="79"/>
      <c r="F784" s="272"/>
      <c r="G784" s="99"/>
      <c r="H784" s="95"/>
      <c r="I784" s="334"/>
      <c r="J784" s="279"/>
      <c r="K784" s="217"/>
      <c r="L784" s="217"/>
      <c r="M784" s="217"/>
      <c r="N784" s="217"/>
      <c r="O784" s="217"/>
      <c r="P784" s="30"/>
      <c r="Q784" s="79">
        <f>IF(D776&lt;=3,база!$L$4,
IF(D776=4,база!$L$5,
IF(D776=5,база!$L$6)))</f>
        <v>231.45480000000001</v>
      </c>
      <c r="R784" s="272">
        <v>1.4</v>
      </c>
      <c r="S784" s="99">
        <f>SUMIFS(Таблица1[сумма],Таблица1[коэф],"1,4",Таблица1[р/р],"3/16",Таблица1[Ф. И. О.],B781)</f>
        <v>0</v>
      </c>
      <c r="T784" s="95">
        <f>ROUND(Q784*R784*S784,2)</f>
        <v>0</v>
      </c>
      <c r="U784" s="314">
        <f>IF(D776&lt;=3,база!$M$4,
IF(D776=4,база!$M$5,
IF(D776=5,база!$M$6)))</f>
        <v>247.41720000000001</v>
      </c>
      <c r="V784" s="272">
        <v>1.4</v>
      </c>
      <c r="W784" s="307">
        <f>SUMIFS(Таблица1[сумма],Таблица1[коэф],"1,4",Таблица1[р/р],"3/24",Таблица1[Ф. И. О.],B781)</f>
        <v>0</v>
      </c>
      <c r="X784" s="313">
        <f>ROUND(U784*V784*W784,2)</f>
        <v>0</v>
      </c>
      <c r="Y784" s="849"/>
      <c r="Z784" s="840"/>
      <c r="AA784" s="843"/>
    </row>
    <row r="785" spans="1:30">
      <c r="A785" s="786"/>
      <c r="B785" s="216"/>
      <c r="C785" s="845"/>
      <c r="D785" s="847"/>
      <c r="E785" s="79"/>
      <c r="F785" s="272"/>
      <c r="G785" s="99"/>
      <c r="H785" s="95"/>
      <c r="I785" s="334"/>
      <c r="J785" s="279"/>
      <c r="K785" s="217"/>
      <c r="L785" s="217"/>
      <c r="M785" s="217"/>
      <c r="N785" s="217"/>
      <c r="O785" s="217"/>
      <c r="P785" s="30"/>
      <c r="Q785" s="79">
        <f>база!$L$5</f>
        <v>231.45480000000001</v>
      </c>
      <c r="R785" s="272">
        <v>1.4</v>
      </c>
      <c r="S785" s="99">
        <f>SUMIFS(Таблица1[сумма],Таблица1[коэф],"1,4",Таблица1[р/р],"4/16",Таблица1[Ф. И. О.],B781)</f>
        <v>0</v>
      </c>
      <c r="T785" s="95">
        <f>ROUND(Q785*R785*S785,2)</f>
        <v>0</v>
      </c>
      <c r="U785" s="314">
        <f>база!$M$5</f>
        <v>247.41720000000001</v>
      </c>
      <c r="V785" s="272">
        <v>1.4</v>
      </c>
      <c r="W785" s="307">
        <f>SUMIFS(Таблица1[сумма],Таблица1[коэф],"1,4",Таблица1[р/р],"4/24",Таблица1[Ф. И. О.],B781)</f>
        <v>0</v>
      </c>
      <c r="X785" s="313">
        <f>ROUND(U785*V785*W785,2)</f>
        <v>0</v>
      </c>
      <c r="Y785" s="849"/>
      <c r="Z785" s="840"/>
      <c r="AA785" s="843"/>
    </row>
    <row r="786" spans="1:30" ht="24" thickBot="1">
      <c r="A786" s="787"/>
      <c r="B786" s="352"/>
      <c r="C786" s="846"/>
      <c r="D786" s="848"/>
      <c r="E786" s="102"/>
      <c r="F786" s="274"/>
      <c r="G786" s="626"/>
      <c r="H786" s="91"/>
      <c r="I786" s="627"/>
      <c r="J786" s="280"/>
      <c r="K786" s="628"/>
      <c r="L786" s="289"/>
      <c r="M786" s="627"/>
      <c r="N786" s="628"/>
      <c r="O786" s="628"/>
      <c r="P786" s="315"/>
      <c r="Q786" s="629">
        <f>база!$L$6</f>
        <v>261.04640000000001</v>
      </c>
      <c r="R786" s="274">
        <v>1.4</v>
      </c>
      <c r="S786" s="98">
        <f>SUMIFS(Таблица1[сумма],Таблица1[коэф],"1,4",Таблица1[р/р],"5/16",Таблица1[Ф. И. О.],B781)</f>
        <v>0</v>
      </c>
      <c r="T786" s="91">
        <f>ROUND(Q786*R786*S786,2)</f>
        <v>0</v>
      </c>
      <c r="U786" s="221">
        <f>база!$M$6</f>
        <v>279.0496</v>
      </c>
      <c r="V786" s="274">
        <v>1.4</v>
      </c>
      <c r="W786" s="98">
        <f>SUMIFS(Таблица1[сумма],Таблица1[коэф],"1,4",Таблица1[р/р],"5/24",Таблица1[Ф. И. О.],B781)</f>
        <v>0</v>
      </c>
      <c r="X786" s="91">
        <f>ROUND(U786*V786*W786,2)</f>
        <v>0</v>
      </c>
      <c r="Y786" s="850"/>
      <c r="Z786" s="841"/>
      <c r="AA786" s="844"/>
    </row>
    <row r="787" spans="1:30">
      <c r="A787" s="786">
        <v>72</v>
      </c>
      <c r="B787" s="216"/>
      <c r="C787" s="845">
        <f>INDEX(база!$E$2:$E$181, MATCH(B792,база!$B$2:$B$160,0))</f>
        <v>17076</v>
      </c>
      <c r="D787" s="847">
        <f>INDEX(база!$D$2:$D$189, MATCH(B792,база!$B$2:$B$160,0))</f>
        <v>3</v>
      </c>
      <c r="E787" s="75">
        <f>IF(D787&lt;=3,база!$I$4,
IF(D787=4,база!$I$5,
IF(D787=5,база!$I$6)))</f>
        <v>188.7912</v>
      </c>
      <c r="F787" s="271">
        <v>1</v>
      </c>
      <c r="G787" s="97">
        <f>SUMIFS(Таблица1[сумма],Таблица1[коэф],"1",Таблица1[р/р],"2/4",Таблица1[Ф. И. О.],B792)</f>
        <v>0</v>
      </c>
      <c r="H787" s="103">
        <f>ROUND(E787*F787*G787,2)</f>
        <v>0</v>
      </c>
      <c r="I787" s="344">
        <f>IF(D787&lt;=3,база!$J$4,
IF(D787=4,база!$J$5,
IF(D787=5,база!$J$6)))</f>
        <v>196.05240000000001</v>
      </c>
      <c r="J787" s="278">
        <v>1</v>
      </c>
      <c r="K787" s="309">
        <f>SUMIFS(Таблица1[сумма],Таблица1[коэф],"1",Таблица1[р/р],"2/8",Таблица1[Ф. И. О.],B792)</f>
        <v>0</v>
      </c>
      <c r="L787" s="309">
        <f>ROUND(I787*J787*K787,2)</f>
        <v>0</v>
      </c>
      <c r="M787" s="309"/>
      <c r="N787" s="309">
        <v>1</v>
      </c>
      <c r="O787" s="309">
        <f>SUMIFS(Data_Tech!$AM$3:$AM$67,Data_Tech!$E$3:$E$67,"1",Data_Tech!$G$3:$G$67,"3/12",Data_Tech!$F$3:$F$67,B792)</f>
        <v>0</v>
      </c>
      <c r="P787" s="282">
        <f>ROUND(M787*N787*O787,2)</f>
        <v>0</v>
      </c>
      <c r="Q787" s="75">
        <f>IF(D787&lt;=3,база!$L$4,
IF(D787=4,база!$L$5,
IF(D787=5,база!$L$6)))</f>
        <v>210.57480000000001</v>
      </c>
      <c r="R787" s="271">
        <v>1</v>
      </c>
      <c r="S787" s="97">
        <f>SUMIFS(Таблица1[сумма],Таблица1[коэф],"1",Таблица1[р/р],"3/16",Таблица1[Ф. И. О.],B792)</f>
        <v>0</v>
      </c>
      <c r="T787" s="103">
        <f t="shared" ref="T787:T791" si="488">ROUND(Q787*R787*S787,2)</f>
        <v>0</v>
      </c>
      <c r="U787" s="349">
        <f>IF(D787&lt;=3,база!$M$4,
IF(D787=4,база!$M$5,
IF(D787=5,база!$M$6)))</f>
        <v>225.09719999999999</v>
      </c>
      <c r="V787" s="271">
        <v>1</v>
      </c>
      <c r="W787" s="337">
        <f>SUMIFS(Таблица1[сумма],Таблица1[коэф],"1",Таблица1[р/р],"3/24",Таблица1[Ф. И. О.],B792)</f>
        <v>0</v>
      </c>
      <c r="X787" s="351">
        <f>ROUND(U787*V787*W787,2)</f>
        <v>0</v>
      </c>
      <c r="Y787" s="838">
        <f t="shared" ref="Y787" si="489">SUM(G787:G797,K787:K797,O787:O797,S787:S797,W787:W797)</f>
        <v>0</v>
      </c>
      <c r="Z787" s="840">
        <f t="shared" ref="Z787" si="490">IFERROR(SUM(H787:H797,L787:L797,T787:T797,X787:X797),"")</f>
        <v>0</v>
      </c>
      <c r="AA787" s="843"/>
    </row>
    <row r="788" spans="1:30">
      <c r="A788" s="786"/>
      <c r="B788" s="216"/>
      <c r="C788" s="845"/>
      <c r="D788" s="847"/>
      <c r="E788" s="79">
        <f>IF(D787&lt;=3,база!$I$4,
IF(D787=4,база!$I$5,
IF(D787=5,база!$I$6)))</f>
        <v>188.7912</v>
      </c>
      <c r="F788" s="272">
        <v>1</v>
      </c>
      <c r="G788" s="99">
        <f>SUMIFS(Таблица1[сумма],Таблица1[коэф],"1",Таблица1[р/р],"3/4",Таблица1[Ф. И. О.],B792)</f>
        <v>0</v>
      </c>
      <c r="H788" s="95">
        <f>ROUND(E788*F788*G788,2)</f>
        <v>0</v>
      </c>
      <c r="I788" s="334">
        <f>IF(D787&lt;=3,база!$J$4,
IF(D787=4,база!$J$5,
IF(D787=5,база!$J$6)))</f>
        <v>196.05240000000001</v>
      </c>
      <c r="J788" s="279">
        <v>1</v>
      </c>
      <c r="K788" s="217"/>
      <c r="L788" s="217">
        <f>ROUND(I788*J788*K788,2)</f>
        <v>0</v>
      </c>
      <c r="M788" s="217"/>
      <c r="N788" s="217">
        <v>1</v>
      </c>
      <c r="O788" s="217">
        <f>SUMIFS(Data_Tech!$AM$3:$AM$67,Data_Tech!$E$3:$E$67,"1",Data_Tech!$G$3:$G$67,"4/12",Data_Tech!$F$3:$F$67,B792)</f>
        <v>0</v>
      </c>
      <c r="P788" s="30">
        <f>ROUND(M788*O788,2)</f>
        <v>0</v>
      </c>
      <c r="Q788" s="79">
        <f>база!$L$5</f>
        <v>231.45480000000001</v>
      </c>
      <c r="R788" s="272">
        <v>1</v>
      </c>
      <c r="S788" s="99">
        <f>SUMIFS(Таблица1[сумма],Таблица1[коэф],"1",Таблица1[р/р],"4/16",Таблица1[Ф. И. О.],B792)</f>
        <v>0</v>
      </c>
      <c r="T788" s="95">
        <f t="shared" si="488"/>
        <v>0</v>
      </c>
      <c r="U788" s="314">
        <f>база!$M$5</f>
        <v>247.41720000000001</v>
      </c>
      <c r="V788" s="272">
        <v>1</v>
      </c>
      <c r="W788" s="307">
        <f>SUMIFS(Таблица1[сумма],Таблица1[коэф],"1",Таблица1[р/р],"4/24",Таблица1[Ф. И. О.],B792)</f>
        <v>0</v>
      </c>
      <c r="X788" s="313">
        <f t="shared" ref="X788" si="491">ROUND(U788*V788*W788,2)</f>
        <v>0</v>
      </c>
      <c r="Y788" s="838"/>
      <c r="Z788" s="840"/>
      <c r="AA788" s="843"/>
    </row>
    <row r="789" spans="1:30">
      <c r="A789" s="786"/>
      <c r="B789" s="216"/>
      <c r="C789" s="845"/>
      <c r="D789" s="847"/>
      <c r="E789" s="79"/>
      <c r="F789" s="272"/>
      <c r="G789" s="99"/>
      <c r="H789" s="95"/>
      <c r="I789" s="334"/>
      <c r="J789" s="279"/>
      <c r="K789" s="217"/>
      <c r="L789" s="217"/>
      <c r="M789" s="217"/>
      <c r="N789" s="217"/>
      <c r="O789" s="217"/>
      <c r="P789" s="30"/>
      <c r="Q789" s="79">
        <f>база!$L$6</f>
        <v>261.04640000000001</v>
      </c>
      <c r="R789" s="272">
        <v>1</v>
      </c>
      <c r="S789" s="99">
        <f>SUMIFS(Таблица1[сумма],Таблица1[коэф],"1",Таблица1[р/р],"5/16",Таблица1[Ф. И. О.],B792)</f>
        <v>0</v>
      </c>
      <c r="T789" s="95">
        <f t="shared" si="488"/>
        <v>0</v>
      </c>
      <c r="U789" s="314">
        <f>база!$M$6</f>
        <v>279.0496</v>
      </c>
      <c r="V789" s="272">
        <v>1</v>
      </c>
      <c r="W789" s="307">
        <f>SUMIFS(Таблица1[сумма],Таблица1[коэф],"1",Таблица1[р/р],"5/24",Таблица1[Ф. И. О.],B792)</f>
        <v>0</v>
      </c>
      <c r="X789" s="313">
        <f>ROUND(U789*V789*W789,2)</f>
        <v>0</v>
      </c>
      <c r="Y789" s="838"/>
      <c r="Z789" s="840"/>
      <c r="AA789" s="843"/>
    </row>
    <row r="790" spans="1:30">
      <c r="A790" s="786"/>
      <c r="B790" s="216"/>
      <c r="C790" s="845"/>
      <c r="D790" s="847"/>
      <c r="E790" s="79"/>
      <c r="F790" s="272"/>
      <c r="G790" s="99"/>
      <c r="H790" s="95"/>
      <c r="I790" s="334">
        <f>база!$J$5</f>
        <v>215.4924</v>
      </c>
      <c r="J790" s="279">
        <v>1.5</v>
      </c>
      <c r="K790" s="217">
        <f>SUMIFS(Таблица1[сумма],Таблица1[коэф],"1,5",Таблица1[р/р],"4/8",Таблица1[Ф. И. О.],B792)</f>
        <v>0</v>
      </c>
      <c r="L790" s="217">
        <f>ROUND(I790*J790*K790,2)</f>
        <v>0</v>
      </c>
      <c r="M790" s="217"/>
      <c r="N790" s="217"/>
      <c r="O790" s="217"/>
      <c r="P790" s="30"/>
      <c r="Q790" s="79">
        <f>IF(D787&lt;=3,база!$L$4,
IF(D787=4,база!$L$5,
IF(D787=5,база!$L$6)))</f>
        <v>210.57480000000001</v>
      </c>
      <c r="R790" s="272">
        <v>1.2</v>
      </c>
      <c r="S790" s="99">
        <f>SUMIFS(Таблица1[сумма],Таблица1[коэф],"1,2",Таблица1[р/р],"3/16",Таблица1[Ф. И. О.],B792)</f>
        <v>0</v>
      </c>
      <c r="T790" s="95">
        <f t="shared" si="488"/>
        <v>0</v>
      </c>
      <c r="U790" s="314">
        <f>IF(D787&lt;=3,база!$M$4,
IF(D787=4,база!$M$5,
IF(D787=5,база!$M$6)))</f>
        <v>225.09719999999999</v>
      </c>
      <c r="V790" s="272">
        <v>1.2</v>
      </c>
      <c r="W790" s="307">
        <f>SUMIFS(Таблица1[сумма],Таблица1[коэф],"1,2",Таблица1[р/р],"3/24",Таблица1[Ф. И. О.],B792)</f>
        <v>0</v>
      </c>
      <c r="X790" s="313">
        <f t="shared" ref="X790:X791" si="492">ROUND(U790*V790*W790,2)</f>
        <v>0</v>
      </c>
      <c r="Y790" s="838"/>
      <c r="Z790" s="840"/>
      <c r="AA790" s="843"/>
    </row>
    <row r="791" spans="1:30">
      <c r="A791" s="786"/>
      <c r="B791" s="216"/>
      <c r="C791" s="845"/>
      <c r="D791" s="847"/>
      <c r="E791" s="79"/>
      <c r="F791" s="272"/>
      <c r="G791" s="99"/>
      <c r="H791" s="95"/>
      <c r="I791" s="334">
        <f>база!$J$6</f>
        <v>243.04319999999998</v>
      </c>
      <c r="J791" s="279">
        <v>1.5</v>
      </c>
      <c r="K791" s="217">
        <f>SUMIFS(Таблица1[сумма],Таблица1[коэф],"1,5",Таблица1[р/р],"5/8",Таблица1[Ф. И. О.],B792)</f>
        <v>0</v>
      </c>
      <c r="L791" s="217">
        <f>ROUND(I791*J791*K791,2)</f>
        <v>0</v>
      </c>
      <c r="M791" s="217"/>
      <c r="N791" s="217"/>
      <c r="O791" s="217"/>
      <c r="P791" s="30"/>
      <c r="Q791" s="79">
        <f>база!$L$5</f>
        <v>231.45480000000001</v>
      </c>
      <c r="R791" s="272">
        <v>1.2</v>
      </c>
      <c r="S791" s="99">
        <f>SUMIFS(Таблица1[сумма],Таблица1[коэф],"1,2",Таблица1[р/р],"4/16",Таблица1[Ф. И. О.],B792)</f>
        <v>0</v>
      </c>
      <c r="T791" s="95">
        <f t="shared" si="488"/>
        <v>0</v>
      </c>
      <c r="U791" s="314">
        <f>база!$M$5</f>
        <v>247.41720000000001</v>
      </c>
      <c r="V791" s="272">
        <v>1.2</v>
      </c>
      <c r="W791" s="307">
        <f>SUMIFS(Таблица1[сумма],Таблица1[коэф],"1,2",Таблица1[р/р],"4/24",Таблица1[Ф. И. О.],B792)</f>
        <v>0</v>
      </c>
      <c r="X791" s="313">
        <f t="shared" si="492"/>
        <v>0</v>
      </c>
      <c r="Y791" s="838"/>
      <c r="Z791" s="840"/>
      <c r="AA791" s="843"/>
      <c r="AC791" s="722" t="str">
        <f>IF(SUMIFS(Таблица1[Столбец2],Таблица1[Ф. И. О.],B792)-Z787=0,"",SUMIFS(Таблица1[Столбец2],Таблица1[Ф. И. О.],B792)-Z787)</f>
        <v/>
      </c>
    </row>
    <row r="792" spans="1:30">
      <c r="A792" s="786"/>
      <c r="B792" s="216" t="str">
        <f>база!B73</f>
        <v>Соболева Наталья Александровна</v>
      </c>
      <c r="C792" s="845"/>
      <c r="D792" s="847"/>
      <c r="E792" s="79"/>
      <c r="F792" s="272"/>
      <c r="G792" s="99"/>
      <c r="H792" s="95"/>
      <c r="I792" s="334"/>
      <c r="J792" s="279"/>
      <c r="K792" s="217"/>
      <c r="L792" s="217"/>
      <c r="M792" s="217"/>
      <c r="N792" s="217"/>
      <c r="O792" s="217"/>
      <c r="P792" s="30"/>
      <c r="Q792" s="79">
        <f>база!$L$6</f>
        <v>261.04640000000001</v>
      </c>
      <c r="R792" s="272">
        <v>1.2</v>
      </c>
      <c r="S792" s="99">
        <f>SUMIFS(Таблица1[сумма],Таблица1[коэф],"1,2",Таблица1[р/р],"5/16",Таблица1[Ф. И. О.],B792)</f>
        <v>0</v>
      </c>
      <c r="T792" s="95">
        <f>ROUND(Q792*R792*S792,2)</f>
        <v>0</v>
      </c>
      <c r="U792" s="314">
        <f>база!$M$6</f>
        <v>279.0496</v>
      </c>
      <c r="V792" s="272">
        <v>1.2</v>
      </c>
      <c r="W792" s="307">
        <f>SUMIFS(Таблица1[сумма],Таблица1[коэф],"1,2",Таблица1[р/р],"5/24",Таблица1[Ф. И. О.],B792)</f>
        <v>0</v>
      </c>
      <c r="X792" s="313">
        <f>ROUND(U792*V792*W792,2)</f>
        <v>0</v>
      </c>
      <c r="Y792" s="838"/>
      <c r="Z792" s="840"/>
      <c r="AA792" s="843"/>
      <c r="AC792" s="722" t="str">
        <f>IF(SUMIFS(Таблица1[сумма],Таблица1[Ф. И. О.],B792)=Y787,"",B787&amp;"  часы не верны")</f>
        <v/>
      </c>
      <c r="AD792" s="759" t="e">
        <f>INDEX('[2]декабрь 23'!$AI$4:$AI$100,MATCH(C787,'[2]декабрь 23'!$AK$4:$AK$100,0))</f>
        <v>#N/A</v>
      </c>
    </row>
    <row r="793" spans="1:30">
      <c r="A793" s="786"/>
      <c r="B793" s="216"/>
      <c r="C793" s="845"/>
      <c r="D793" s="847"/>
      <c r="E793" s="79"/>
      <c r="F793" s="272"/>
      <c r="G793" s="99"/>
      <c r="H793" s="95"/>
      <c r="I793" s="334"/>
      <c r="J793" s="279"/>
      <c r="K793" s="217"/>
      <c r="L793" s="217"/>
      <c r="M793" s="217"/>
      <c r="N793" s="217"/>
      <c r="O793" s="217"/>
      <c r="P793" s="30"/>
      <c r="Q793" s="79">
        <f>IF($D$6&lt;=3,база!$L$4,
IF($D$6=4,база!$L$5,
IF($D$6=5,база!$L$6)))</f>
        <v>231.45480000000001</v>
      </c>
      <c r="R793" s="272">
        <v>1.3</v>
      </c>
      <c r="S793" s="99">
        <f>SUMIFS(Таблица1[сумма],Таблица1[коэф],"1,3",Таблица1[р/р],"3/16",Таблица1[Ф. И. О.],B792)</f>
        <v>0</v>
      </c>
      <c r="T793" s="95">
        <f t="shared" ref="T793:T794" si="493">ROUND(Q793*R793*S793,2)</f>
        <v>0</v>
      </c>
      <c r="U793" s="314">
        <f>IF(D787&lt;=3,база!$M$4,
IF(D787=4,база!$M$5,
IF(D787=5,база!$M$6)))</f>
        <v>225.09719999999999</v>
      </c>
      <c r="V793" s="272">
        <v>1.3</v>
      </c>
      <c r="W793" s="307">
        <f>SUMIFS(Таблица1[сумма],Таблица1[коэф],"1,3",Таблица1[р/р],"3/24",Таблица1[Ф. И. О.],B792)</f>
        <v>0</v>
      </c>
      <c r="X793" s="313">
        <f t="shared" ref="X793:X794" si="494">ROUND(U793*V793*W793,2)</f>
        <v>0</v>
      </c>
      <c r="Y793" s="838"/>
      <c r="Z793" s="840"/>
      <c r="AA793" s="843"/>
    </row>
    <row r="794" spans="1:30">
      <c r="A794" s="786"/>
      <c r="B794" s="216"/>
      <c r="C794" s="845"/>
      <c r="D794" s="847"/>
      <c r="E794" s="79"/>
      <c r="F794" s="272"/>
      <c r="G794" s="99"/>
      <c r="H794" s="95"/>
      <c r="I794" s="334"/>
      <c r="J794" s="279"/>
      <c r="K794" s="217"/>
      <c r="L794" s="217"/>
      <c r="M794" s="217"/>
      <c r="N794" s="217"/>
      <c r="O794" s="217"/>
      <c r="P794" s="30"/>
      <c r="Q794" s="79">
        <f>база!$L$5</f>
        <v>231.45480000000001</v>
      </c>
      <c r="R794" s="272">
        <v>1.3</v>
      </c>
      <c r="S794" s="99">
        <f>SUMIFS(Таблица1[сумма],Таблица1[коэф],"1,3",Таблица1[р/р],"4/16",Таблица1[Ф. И. О.],B792)</f>
        <v>0</v>
      </c>
      <c r="T794" s="95">
        <f t="shared" si="493"/>
        <v>0</v>
      </c>
      <c r="U794" s="314">
        <f>база!$M$5</f>
        <v>247.41720000000001</v>
      </c>
      <c r="V794" s="272">
        <v>1.3</v>
      </c>
      <c r="W794" s="307">
        <f>SUMIFS(Таблица1[сумма],Таблица1[коэф],"1,3",Таблица1[р/р],"4/24",Таблица1[Ф. И. О.],B792)</f>
        <v>0</v>
      </c>
      <c r="X794" s="313">
        <f t="shared" si="494"/>
        <v>0</v>
      </c>
      <c r="Y794" s="838"/>
      <c r="Z794" s="840"/>
      <c r="AA794" s="843"/>
    </row>
    <row r="795" spans="1:30">
      <c r="A795" s="786"/>
      <c r="B795" s="216"/>
      <c r="C795" s="845"/>
      <c r="D795" s="847"/>
      <c r="E795" s="79"/>
      <c r="F795" s="272"/>
      <c r="G795" s="99"/>
      <c r="H795" s="95"/>
      <c r="I795" s="334"/>
      <c r="J795" s="279"/>
      <c r="K795" s="217"/>
      <c r="L795" s="217"/>
      <c r="M795" s="217"/>
      <c r="N795" s="217"/>
      <c r="O795" s="217"/>
      <c r="P795" s="30"/>
      <c r="Q795" s="79">
        <f>IF(D787&lt;=3,база!$L$4,
IF(D787=4,база!$L$5,
IF(D787=5,база!$L$6)))</f>
        <v>210.57480000000001</v>
      </c>
      <c r="R795" s="272">
        <v>1.4</v>
      </c>
      <c r="S795" s="99">
        <f>SUMIFS(Таблица1[сумма],Таблица1[коэф],"1,4",Таблица1[р/р],"3/16",Таблица1[Ф. И. О.],B792)</f>
        <v>0</v>
      </c>
      <c r="T795" s="95">
        <f>ROUND(Q795*R795*S795,2)</f>
        <v>0</v>
      </c>
      <c r="U795" s="314">
        <f>IF(D787&lt;=3,база!$M$4,
IF(D787=4,база!$M$5,
IF(D787=5,база!$M$6)))</f>
        <v>225.09719999999999</v>
      </c>
      <c r="V795" s="272">
        <v>1.4</v>
      </c>
      <c r="W795" s="307">
        <f>SUMIFS(Таблица1[сумма],Таблица1[коэф],"1,4",Таблица1[р/р],"3/24",Таблица1[Ф. И. О.],B792)</f>
        <v>0</v>
      </c>
      <c r="X795" s="313">
        <f>ROUND(U795*V795*W795,2)</f>
        <v>0</v>
      </c>
      <c r="Y795" s="838"/>
      <c r="Z795" s="840"/>
      <c r="AA795" s="843"/>
    </row>
    <row r="796" spans="1:30">
      <c r="A796" s="786"/>
      <c r="B796" s="216"/>
      <c r="C796" s="845"/>
      <c r="D796" s="847"/>
      <c r="E796" s="79"/>
      <c r="F796" s="272"/>
      <c r="G796" s="99"/>
      <c r="H796" s="95"/>
      <c r="I796" s="334"/>
      <c r="J796" s="279"/>
      <c r="K796" s="217"/>
      <c r="L796" s="217"/>
      <c r="M796" s="217"/>
      <c r="N796" s="217"/>
      <c r="O796" s="217"/>
      <c r="P796" s="30"/>
      <c r="Q796" s="79">
        <f>база!$L$5</f>
        <v>231.45480000000001</v>
      </c>
      <c r="R796" s="272">
        <v>1.4</v>
      </c>
      <c r="S796" s="99">
        <f>SUMIFS(Таблица1[сумма],Таблица1[коэф],"1,4",Таблица1[р/р],"4/16",Таблица1[Ф. И. О.],B792)</f>
        <v>0</v>
      </c>
      <c r="T796" s="95">
        <f>ROUND(Q796*R796*S796,2)</f>
        <v>0</v>
      </c>
      <c r="U796" s="314">
        <f>база!$M$5</f>
        <v>247.41720000000001</v>
      </c>
      <c r="V796" s="272">
        <v>1.4</v>
      </c>
      <c r="W796" s="307">
        <f>SUMIFS(Таблица1[сумма],Таблица1[коэф],"1,4",Таблица1[р/р],"4/24",Таблица1[Ф. И. О.],B792)</f>
        <v>0</v>
      </c>
      <c r="X796" s="313">
        <f>ROUND(U796*V796*W796,2)</f>
        <v>0</v>
      </c>
      <c r="Y796" s="838"/>
      <c r="Z796" s="840"/>
      <c r="AA796" s="843"/>
    </row>
    <row r="797" spans="1:30" ht="24" thickBot="1">
      <c r="A797" s="787"/>
      <c r="B797" s="352"/>
      <c r="C797" s="846"/>
      <c r="D797" s="848"/>
      <c r="E797" s="77"/>
      <c r="F797" s="276"/>
      <c r="G797" s="622"/>
      <c r="H797" s="94"/>
      <c r="I797" s="623"/>
      <c r="J797" s="596"/>
      <c r="K797" s="624"/>
      <c r="L797" s="328"/>
      <c r="M797" s="623"/>
      <c r="N797" s="624"/>
      <c r="O797" s="624"/>
      <c r="P797" s="290"/>
      <c r="Q797" s="690">
        <f>база!$L$6</f>
        <v>261.04640000000001</v>
      </c>
      <c r="R797" s="276">
        <v>1.4</v>
      </c>
      <c r="S797" s="100">
        <f>SUMIFS(Таблица1[сумма],Таблица1[коэф],"1,4",Таблица1[р/р],"5/16",Таблица1[Ф. И. О.],B792)</f>
        <v>0</v>
      </c>
      <c r="T797" s="94">
        <f>ROUND(Q797*R797*S797,2)</f>
        <v>0</v>
      </c>
      <c r="U797" s="84">
        <f>база!$M$6</f>
        <v>279.0496</v>
      </c>
      <c r="V797" s="274">
        <v>1.4</v>
      </c>
      <c r="W797" s="100">
        <f>SUMIFS(Таблица1[сумма],Таблица1[коэф],"1,4",Таблица1[р/р],"5/24",Таблица1[Ф. И. О.],B792)</f>
        <v>0</v>
      </c>
      <c r="X797" s="94">
        <f>ROUND(U797*V797*W797,2)</f>
        <v>0</v>
      </c>
      <c r="Y797" s="839"/>
      <c r="Z797" s="841"/>
      <c r="AA797" s="844"/>
    </row>
    <row r="798" spans="1:30">
      <c r="A798" s="786">
        <v>73</v>
      </c>
      <c r="B798" s="216"/>
      <c r="C798" s="845">
        <f>INDEX(база!$E$2:$E$181, MATCH(B803,база!$B$2:$B$160,0))</f>
        <v>17196</v>
      </c>
      <c r="D798" s="847">
        <f>INDEX(база!$D$2:$D$189, MATCH(B803,база!$B$2:$B$160,0))</f>
        <v>3</v>
      </c>
      <c r="E798" s="75">
        <f>IF(D798&lt;=3,база!$I$4,
IF(D798=4,база!$I$5,
IF(D798=5,база!$I$6)))</f>
        <v>188.7912</v>
      </c>
      <c r="F798" s="271">
        <v>1</v>
      </c>
      <c r="G798" s="97">
        <f>SUMIFS(Таблица1[сумма],Таблица1[коэф],"1",Таблица1[р/р],"2/4",Таблица1[Ф. И. О.],B803)</f>
        <v>0</v>
      </c>
      <c r="H798" s="103">
        <f>ROUND(E798*F798*G798,2)</f>
        <v>0</v>
      </c>
      <c r="I798" s="344">
        <f>IF(D798&lt;=3,база!$J$4,
IF(D798=4,база!$J$5,
IF(D798=5,база!$J$6)))</f>
        <v>196.05240000000001</v>
      </c>
      <c r="J798" s="278">
        <v>1</v>
      </c>
      <c r="K798" s="309">
        <f>SUMIFS(Таблица1[сумма],Таблица1[коэф],"1",Таблица1[р/р],"2/8",Таблица1[Ф. И. О.],B803)</f>
        <v>0</v>
      </c>
      <c r="L798" s="309">
        <f>ROUND(I798*J798*K798,2)</f>
        <v>0</v>
      </c>
      <c r="M798" s="309"/>
      <c r="N798" s="309">
        <v>1</v>
      </c>
      <c r="O798" s="309">
        <f>SUMIFS(Data_Tech!$AM$3:$AM$67,Data_Tech!$E$3:$E$67,"1",Data_Tech!$G$3:$G$67,"3/12",Data_Tech!$F$3:$F$67,B803)</f>
        <v>0</v>
      </c>
      <c r="P798" s="282">
        <f>ROUND(M798*N798*O798,2)</f>
        <v>0</v>
      </c>
      <c r="Q798" s="75">
        <f>IF(D798&lt;=3,база!$L$4,
IF(D798=4,база!$L$5,
IF(D798=5,база!$L$6)))</f>
        <v>210.57480000000001</v>
      </c>
      <c r="R798" s="271">
        <v>1</v>
      </c>
      <c r="S798" s="97">
        <f>SUMIFS(Таблица1[сумма],Таблица1[коэф],"1",Таблица1[р/р],"3/16",Таблица1[Ф. И. О.],B803)</f>
        <v>0</v>
      </c>
      <c r="T798" s="103">
        <f t="shared" ref="T798:T802" si="495">ROUND(Q798*R798*S798,2)</f>
        <v>0</v>
      </c>
      <c r="U798" s="349">
        <f>IF(D798&lt;=3,база!$M$4,
IF(D798=4,база!$M$5,
IF(D798=5,база!$M$6)))</f>
        <v>225.09719999999999</v>
      </c>
      <c r="V798" s="271">
        <v>1</v>
      </c>
      <c r="W798" s="337">
        <f>SUMIFS(Таблица1[сумма],Таблица1[коэф],"1",Таблица1[р/р],"3/24",Таблица1[Ф. И. О.],B803)</f>
        <v>0</v>
      </c>
      <c r="X798" s="351">
        <f>ROUND(U798*V798*W798,2)</f>
        <v>0</v>
      </c>
      <c r="Y798" s="838">
        <f t="shared" ref="Y798" si="496">SUM(G798:G808,K798:K808,O798:O808,S798:S808,W798:W808)</f>
        <v>0</v>
      </c>
      <c r="Z798" s="840">
        <f t="shared" ref="Z798" si="497">IFERROR(SUM(H798:H808,L798:L808,T798:T808,X798:X808),"")</f>
        <v>0</v>
      </c>
      <c r="AA798" s="843"/>
    </row>
    <row r="799" spans="1:30">
      <c r="A799" s="786"/>
      <c r="B799" s="216"/>
      <c r="C799" s="845"/>
      <c r="D799" s="847"/>
      <c r="E799" s="79">
        <f>IF(D798&lt;=3,база!$I$4,
IF(D798=4,база!$I$5,
IF(D798=5,база!$I$6)))</f>
        <v>188.7912</v>
      </c>
      <c r="F799" s="272">
        <v>1</v>
      </c>
      <c r="G799" s="99">
        <f>SUMIFS(Таблица1[сумма],Таблица1[коэф],"1",Таблица1[р/р],"3/4",Таблица1[Ф. И. О.],B803)</f>
        <v>0</v>
      </c>
      <c r="H799" s="95">
        <f>ROUND(E799*F799*G799,2)</f>
        <v>0</v>
      </c>
      <c r="I799" s="334">
        <f>IF(D798&lt;=3,база!$J$4,
IF(D798=4,база!$J$5,
IF(D798=5,база!$J$6)))</f>
        <v>196.05240000000001</v>
      </c>
      <c r="J799" s="279">
        <v>1</v>
      </c>
      <c r="K799" s="217"/>
      <c r="L799" s="217">
        <f>ROUND(I799*J799*K799,2)</f>
        <v>0</v>
      </c>
      <c r="M799" s="217"/>
      <c r="N799" s="217">
        <v>1</v>
      </c>
      <c r="O799" s="217">
        <f>SUMIFS(Data_Tech!$AM$3:$AM$67,Data_Tech!$E$3:$E$67,"1",Data_Tech!$G$3:$G$67,"4/12",Data_Tech!$F$3:$F$67,B803)</f>
        <v>0</v>
      </c>
      <c r="P799" s="30">
        <f>ROUND(M799*O799,2)</f>
        <v>0</v>
      </c>
      <c r="Q799" s="79">
        <f>база!$L$5</f>
        <v>231.45480000000001</v>
      </c>
      <c r="R799" s="272">
        <v>1</v>
      </c>
      <c r="S799" s="99">
        <f>SUMIFS(Таблица1[сумма],Таблица1[коэф],"1",Таблица1[р/р],"4/16",Таблица1[Ф. И. О.],B803)</f>
        <v>0</v>
      </c>
      <c r="T799" s="95">
        <f t="shared" si="495"/>
        <v>0</v>
      </c>
      <c r="U799" s="314">
        <f>база!$M$5</f>
        <v>247.41720000000001</v>
      </c>
      <c r="V799" s="272">
        <v>1</v>
      </c>
      <c r="W799" s="307">
        <f>SUMIFS(Таблица1[сумма],Таблица1[коэф],"1",Таблица1[р/р],"4/24",Таблица1[Ф. И. О.],B803)</f>
        <v>0</v>
      </c>
      <c r="X799" s="313">
        <f t="shared" ref="X799" si="498">ROUND(U799*V799*W799,2)</f>
        <v>0</v>
      </c>
      <c r="Y799" s="838"/>
      <c r="Z799" s="840"/>
      <c r="AA799" s="843"/>
    </row>
    <row r="800" spans="1:30">
      <c r="A800" s="786"/>
      <c r="B800" s="216"/>
      <c r="C800" s="845"/>
      <c r="D800" s="847"/>
      <c r="E800" s="79"/>
      <c r="F800" s="272"/>
      <c r="G800" s="99"/>
      <c r="H800" s="95"/>
      <c r="I800" s="334"/>
      <c r="J800" s="279"/>
      <c r="K800" s="217"/>
      <c r="L800" s="217"/>
      <c r="M800" s="217"/>
      <c r="N800" s="217"/>
      <c r="O800" s="217"/>
      <c r="P800" s="30"/>
      <c r="Q800" s="79">
        <f>база!$L$6</f>
        <v>261.04640000000001</v>
      </c>
      <c r="R800" s="272">
        <v>1</v>
      </c>
      <c r="S800" s="99">
        <f>SUMIFS(Таблица1[сумма],Таблица1[коэф],"1",Таблица1[р/р],"5/16",Таблица1[Ф. И. О.],B803)</f>
        <v>0</v>
      </c>
      <c r="T800" s="95">
        <f t="shared" si="495"/>
        <v>0</v>
      </c>
      <c r="U800" s="314">
        <f>база!$M$6</f>
        <v>279.0496</v>
      </c>
      <c r="V800" s="272">
        <v>1</v>
      </c>
      <c r="W800" s="307">
        <f>SUMIFS(Таблица1[сумма],Таблица1[коэф],"1",Таблица1[р/р],"5/24",Таблица1[Ф. И. О.],B803)</f>
        <v>0</v>
      </c>
      <c r="X800" s="313">
        <f>ROUND(U800*V800*W800,2)</f>
        <v>0</v>
      </c>
      <c r="Y800" s="838"/>
      <c r="Z800" s="840"/>
      <c r="AA800" s="843"/>
    </row>
    <row r="801" spans="1:30">
      <c r="A801" s="786"/>
      <c r="B801" s="216"/>
      <c r="C801" s="845"/>
      <c r="D801" s="847"/>
      <c r="E801" s="79"/>
      <c r="F801" s="272"/>
      <c r="G801" s="99"/>
      <c r="H801" s="95"/>
      <c r="I801" s="334">
        <f>база!$J$5</f>
        <v>215.4924</v>
      </c>
      <c r="J801" s="279">
        <v>1.5</v>
      </c>
      <c r="K801" s="217">
        <f>SUMIFS(Таблица1[сумма],Таблица1[коэф],"1,5",Таблица1[р/р],"4/8",Таблица1[Ф. И. О.],B803)</f>
        <v>0</v>
      </c>
      <c r="L801" s="217">
        <f>ROUND(I801*J801*K801,2)</f>
        <v>0</v>
      </c>
      <c r="M801" s="217"/>
      <c r="N801" s="217"/>
      <c r="O801" s="217"/>
      <c r="P801" s="30"/>
      <c r="Q801" s="79">
        <f>IF(D798&lt;=3,база!$L$4,
IF(D798=4,база!$L$5,
IF(D798=5,база!$L$6)))</f>
        <v>210.57480000000001</v>
      </c>
      <c r="R801" s="272">
        <v>1.2</v>
      </c>
      <c r="S801" s="99">
        <f>SUMIFS(Таблица1[сумма],Таблица1[коэф],"1,2",Таблица1[р/р],"3/16",Таблица1[Ф. И. О.],B803)</f>
        <v>0</v>
      </c>
      <c r="T801" s="95">
        <f t="shared" si="495"/>
        <v>0</v>
      </c>
      <c r="U801" s="314">
        <f>IF(D798&lt;=3,база!$M$4,
IF(D798=4,база!$M$5,
IF(D798=5,база!$M$6)))</f>
        <v>225.09719999999999</v>
      </c>
      <c r="V801" s="272">
        <v>1.2</v>
      </c>
      <c r="W801" s="307">
        <f>SUMIFS(Таблица1[сумма],Таблица1[коэф],"1,2",Таблица1[р/р],"3/24",Таблица1[Ф. И. О.],B803)</f>
        <v>0</v>
      </c>
      <c r="X801" s="313">
        <f t="shared" ref="X801:X802" si="499">ROUND(U801*V801*W801,2)</f>
        <v>0</v>
      </c>
      <c r="Y801" s="838"/>
      <c r="Z801" s="840"/>
      <c r="AA801" s="843"/>
    </row>
    <row r="802" spans="1:30">
      <c r="A802" s="786"/>
      <c r="B802" s="216"/>
      <c r="C802" s="845"/>
      <c r="D802" s="847"/>
      <c r="E802" s="79"/>
      <c r="F802" s="272"/>
      <c r="G802" s="99"/>
      <c r="H802" s="95"/>
      <c r="I802" s="334">
        <f>база!$J$6</f>
        <v>243.04319999999998</v>
      </c>
      <c r="J802" s="279">
        <v>1.5</v>
      </c>
      <c r="K802" s="217">
        <f>SUMIFS(Таблица1[сумма],Таблица1[коэф],"1,5",Таблица1[р/р],"5/8",Таблица1[Ф. И. О.],B803)</f>
        <v>0</v>
      </c>
      <c r="L802" s="217">
        <f>ROUND(I802*J802*K802,2)</f>
        <v>0</v>
      </c>
      <c r="M802" s="217"/>
      <c r="N802" s="217"/>
      <c r="O802" s="217"/>
      <c r="P802" s="30"/>
      <c r="Q802" s="79">
        <f>база!$L$5</f>
        <v>231.45480000000001</v>
      </c>
      <c r="R802" s="272">
        <v>1.2</v>
      </c>
      <c r="S802" s="99">
        <f>SUMIFS(Таблица1[сумма],Таблица1[коэф],"1,2",Таблица1[р/р],"4/16",Таблица1[Ф. И. О.],B803)</f>
        <v>0</v>
      </c>
      <c r="T802" s="95">
        <f t="shared" si="495"/>
        <v>0</v>
      </c>
      <c r="U802" s="314">
        <f>база!$M$5</f>
        <v>247.41720000000001</v>
      </c>
      <c r="V802" s="272">
        <v>1.2</v>
      </c>
      <c r="W802" s="307">
        <f>SUMIFS(Таблица1[сумма],Таблица1[коэф],"1,2",Таблица1[р/р],"4/24",Таблица1[Ф. И. О.],B803)</f>
        <v>0</v>
      </c>
      <c r="X802" s="313">
        <f t="shared" si="499"/>
        <v>0</v>
      </c>
      <c r="Y802" s="838"/>
      <c r="Z802" s="840"/>
      <c r="AA802" s="843"/>
      <c r="AC802" s="722" t="str">
        <f>IF(SUMIFS(Таблица1[Столбец2],Таблица1[Ф. И. О.],B803)-Z798=0,"",SUMIFS(Таблица1[Столбец2],Таблица1[Ф. И. О.],B803)-Z798)</f>
        <v/>
      </c>
    </row>
    <row r="803" spans="1:30">
      <c r="A803" s="786"/>
      <c r="B803" s="216" t="str">
        <f>база!B74</f>
        <v>Старичкова Полина Анатольевна</v>
      </c>
      <c r="C803" s="845"/>
      <c r="D803" s="847"/>
      <c r="E803" s="79"/>
      <c r="F803" s="272"/>
      <c r="G803" s="99"/>
      <c r="H803" s="95"/>
      <c r="I803" s="334"/>
      <c r="J803" s="279"/>
      <c r="K803" s="217"/>
      <c r="L803" s="217"/>
      <c r="M803" s="217"/>
      <c r="N803" s="217"/>
      <c r="O803" s="217"/>
      <c r="P803" s="30"/>
      <c r="Q803" s="79">
        <f>база!$L$6</f>
        <v>261.04640000000001</v>
      </c>
      <c r="R803" s="272">
        <v>1.2</v>
      </c>
      <c r="S803" s="99">
        <f>SUMIFS(Таблица1[сумма],Таблица1[коэф],"1,2",Таблица1[р/р],"5/16",Таблица1[Ф. И. О.],B803)</f>
        <v>0</v>
      </c>
      <c r="T803" s="95">
        <f>ROUND(Q803*R803*S803,2)</f>
        <v>0</v>
      </c>
      <c r="U803" s="314">
        <f>база!$M$6</f>
        <v>279.0496</v>
      </c>
      <c r="V803" s="272">
        <v>1.2</v>
      </c>
      <c r="W803" s="307">
        <f>SUMIFS(Таблица1[сумма],Таблица1[коэф],"1,2",Таблица1[р/р],"5/24",Таблица1[Ф. И. О.],B803)</f>
        <v>0</v>
      </c>
      <c r="X803" s="313">
        <f>ROUND(U803*V803*W803,2)</f>
        <v>0</v>
      </c>
      <c r="Y803" s="838"/>
      <c r="Z803" s="840"/>
      <c r="AA803" s="843"/>
      <c r="AC803" s="722" t="str">
        <f>IF(SUMIFS(Таблица1[сумма],Таблица1[Ф. И. О.],B803)=Y798,"",B798&amp;"  часы не верны")</f>
        <v/>
      </c>
      <c r="AD803" s="759">
        <f>INDEX('[2]декабрь 23'!$AI$4:$AI$100,MATCH(C798,'[2]декабрь 23'!$AK$4:$AK$100,0))</f>
        <v>86.40000000000002</v>
      </c>
    </row>
    <row r="804" spans="1:30">
      <c r="A804" s="786"/>
      <c r="B804" s="216"/>
      <c r="C804" s="845"/>
      <c r="D804" s="847"/>
      <c r="E804" s="79"/>
      <c r="F804" s="272"/>
      <c r="G804" s="99"/>
      <c r="H804" s="95"/>
      <c r="I804" s="334"/>
      <c r="J804" s="279"/>
      <c r="K804" s="217"/>
      <c r="L804" s="217"/>
      <c r="M804" s="217"/>
      <c r="N804" s="217"/>
      <c r="O804" s="217"/>
      <c r="P804" s="30"/>
      <c r="Q804" s="79">
        <f>IF($D$6&lt;=3,база!$L$4,
IF($D$6=4,база!$L$5,
IF($D$6=5,база!$L$6)))</f>
        <v>231.45480000000001</v>
      </c>
      <c r="R804" s="272">
        <v>1.3</v>
      </c>
      <c r="S804" s="99">
        <f>SUMIFS(Таблица1[сумма],Таблица1[коэф],"1,3",Таблица1[р/р],"3/16",Таблица1[Ф. И. О.],B803)</f>
        <v>0</v>
      </c>
      <c r="T804" s="95">
        <f t="shared" ref="T804:T805" si="500">ROUND(Q804*R804*S804,2)</f>
        <v>0</v>
      </c>
      <c r="U804" s="314">
        <f>IF(D798&lt;=3,база!$M$4,
IF(D798=4,база!$M$5,
IF(D798=5,база!$M$6)))</f>
        <v>225.09719999999999</v>
      </c>
      <c r="V804" s="272">
        <v>1.3</v>
      </c>
      <c r="W804" s="307">
        <f>SUMIFS(Таблица1[сумма],Таблица1[коэф],"1,3",Таблица1[р/р],"3/24",Таблица1[Ф. И. О.],B803)</f>
        <v>0</v>
      </c>
      <c r="X804" s="313">
        <f t="shared" ref="X804:X805" si="501">ROUND(U804*V804*W804,2)</f>
        <v>0</v>
      </c>
      <c r="Y804" s="838"/>
      <c r="Z804" s="840"/>
      <c r="AA804" s="843"/>
    </row>
    <row r="805" spans="1:30">
      <c r="A805" s="786"/>
      <c r="B805" s="216"/>
      <c r="C805" s="845"/>
      <c r="D805" s="847"/>
      <c r="E805" s="79"/>
      <c r="F805" s="272"/>
      <c r="G805" s="99"/>
      <c r="H805" s="95"/>
      <c r="I805" s="334"/>
      <c r="J805" s="279"/>
      <c r="K805" s="217"/>
      <c r="L805" s="217"/>
      <c r="M805" s="217"/>
      <c r="N805" s="217"/>
      <c r="O805" s="217"/>
      <c r="P805" s="30"/>
      <c r="Q805" s="79">
        <f>база!$L$5</f>
        <v>231.45480000000001</v>
      </c>
      <c r="R805" s="272">
        <v>1.3</v>
      </c>
      <c r="S805" s="99">
        <f>SUMIFS(Таблица1[сумма],Таблица1[коэф],"1,3",Таблица1[р/р],"4/16",Таблица1[Ф. И. О.],B803)</f>
        <v>0</v>
      </c>
      <c r="T805" s="95">
        <f t="shared" si="500"/>
        <v>0</v>
      </c>
      <c r="U805" s="314">
        <f>база!$M$5</f>
        <v>247.41720000000001</v>
      </c>
      <c r="V805" s="272">
        <v>1.3</v>
      </c>
      <c r="W805" s="307">
        <f>SUMIFS(Таблица1[сумма],Таблица1[коэф],"1,3",Таблица1[р/р],"4/24",Таблица1[Ф. И. О.],B803)</f>
        <v>0</v>
      </c>
      <c r="X805" s="313">
        <f t="shared" si="501"/>
        <v>0</v>
      </c>
      <c r="Y805" s="838"/>
      <c r="Z805" s="840"/>
      <c r="AA805" s="843"/>
    </row>
    <row r="806" spans="1:30">
      <c r="A806" s="786"/>
      <c r="B806" s="216"/>
      <c r="C806" s="845"/>
      <c r="D806" s="847"/>
      <c r="E806" s="79"/>
      <c r="F806" s="272"/>
      <c r="G806" s="99"/>
      <c r="H806" s="95"/>
      <c r="I806" s="334"/>
      <c r="J806" s="279"/>
      <c r="K806" s="217"/>
      <c r="L806" s="217"/>
      <c r="M806" s="217"/>
      <c r="N806" s="217"/>
      <c r="O806" s="217"/>
      <c r="P806" s="30"/>
      <c r="Q806" s="79">
        <f>IF(D798&lt;=3,база!$L$4,
IF(D798=4,база!$L$5,
IF(D798=5,база!$L$6)))</f>
        <v>210.57480000000001</v>
      </c>
      <c r="R806" s="272">
        <v>1.4</v>
      </c>
      <c r="S806" s="99">
        <f>SUMIFS(Таблица1[сумма],Таблица1[коэф],"1,4",Таблица1[р/р],"3/16",Таблица1[Ф. И. О.],B803)</f>
        <v>0</v>
      </c>
      <c r="T806" s="95">
        <f>ROUND(Q806*R806*S806,2)</f>
        <v>0</v>
      </c>
      <c r="U806" s="314">
        <f>IF(D798&lt;=3,база!$M$4,
IF(D798=4,база!$M$5,
IF(D798=5,база!$M$6)))</f>
        <v>225.09719999999999</v>
      </c>
      <c r="V806" s="272">
        <v>1.4</v>
      </c>
      <c r="W806" s="307">
        <f>SUMIFS(Таблица1[сумма],Таблица1[коэф],"1,4",Таблица1[р/р],"3/24",Таблица1[Ф. И. О.],B803)</f>
        <v>0</v>
      </c>
      <c r="X806" s="313">
        <f>ROUND(U806*V806*W806,2)</f>
        <v>0</v>
      </c>
      <c r="Y806" s="838"/>
      <c r="Z806" s="840"/>
      <c r="AA806" s="843"/>
    </row>
    <row r="807" spans="1:30">
      <c r="A807" s="786"/>
      <c r="B807" s="216"/>
      <c r="C807" s="845"/>
      <c r="D807" s="847"/>
      <c r="E807" s="79"/>
      <c r="F807" s="272"/>
      <c r="G807" s="99"/>
      <c r="H807" s="95"/>
      <c r="I807" s="334"/>
      <c r="J807" s="279"/>
      <c r="K807" s="217"/>
      <c r="L807" s="217"/>
      <c r="M807" s="217"/>
      <c r="N807" s="217"/>
      <c r="O807" s="217"/>
      <c r="P807" s="30"/>
      <c r="Q807" s="79">
        <f>база!$L$5</f>
        <v>231.45480000000001</v>
      </c>
      <c r="R807" s="272">
        <v>1.4</v>
      </c>
      <c r="S807" s="99">
        <f>SUMIFS(Таблица1[сумма],Таблица1[коэф],"1,4",Таблица1[р/р],"4/16",Таблица1[Ф. И. О.],B803)</f>
        <v>0</v>
      </c>
      <c r="T807" s="95">
        <f>ROUND(Q807*R807*S807,2)</f>
        <v>0</v>
      </c>
      <c r="U807" s="314">
        <f>база!$M$5</f>
        <v>247.41720000000001</v>
      </c>
      <c r="V807" s="272">
        <v>1.4</v>
      </c>
      <c r="W807" s="307">
        <f>SUMIFS(Таблица1[сумма],Таблица1[коэф],"1,4",Таблица1[р/р],"4/24",Таблица1[Ф. И. О.],B803)</f>
        <v>0</v>
      </c>
      <c r="X807" s="313">
        <f>ROUND(U807*V807*W807,2)</f>
        <v>0</v>
      </c>
      <c r="Y807" s="838"/>
      <c r="Z807" s="840"/>
      <c r="AA807" s="843"/>
    </row>
    <row r="808" spans="1:30" ht="24" thickBot="1">
      <c r="A808" s="787"/>
      <c r="B808" s="352"/>
      <c r="C808" s="846"/>
      <c r="D808" s="848"/>
      <c r="E808" s="77"/>
      <c r="F808" s="276"/>
      <c r="G808" s="622"/>
      <c r="H808" s="94"/>
      <c r="I808" s="623"/>
      <c r="J808" s="596"/>
      <c r="K808" s="624"/>
      <c r="L808" s="328"/>
      <c r="M808" s="623"/>
      <c r="N808" s="624"/>
      <c r="O808" s="624"/>
      <c r="P808" s="290"/>
      <c r="Q808" s="690">
        <f>база!$L$6</f>
        <v>261.04640000000001</v>
      </c>
      <c r="R808" s="276">
        <v>1.4</v>
      </c>
      <c r="S808" s="100">
        <f>SUMIFS(Таблица1[сумма],Таблица1[коэф],"1,4",Таблица1[р/р],"5/16",Таблица1[Ф. И. О.],B803)</f>
        <v>0</v>
      </c>
      <c r="T808" s="94">
        <f>ROUND(Q808*R808*S808,2)</f>
        <v>0</v>
      </c>
      <c r="U808" s="84">
        <f>база!$M$6</f>
        <v>279.0496</v>
      </c>
      <c r="V808" s="274">
        <v>1.4</v>
      </c>
      <c r="W808" s="100">
        <f>SUMIFS(Таблица1[сумма],Таблица1[коэф],"1,4",Таблица1[р/р],"5/24",Таблица1[Ф. И. О.],B803)</f>
        <v>0</v>
      </c>
      <c r="X808" s="94">
        <f>ROUND(U808*V808*W808,2)</f>
        <v>0</v>
      </c>
      <c r="Y808" s="839"/>
      <c r="Z808" s="841"/>
      <c r="AA808" s="844"/>
    </row>
    <row r="809" spans="1:30">
      <c r="A809" s="786">
        <v>74</v>
      </c>
      <c r="B809" s="216"/>
      <c r="C809" s="845">
        <f>INDEX(база!$E$2:$E$181, MATCH(B814,база!$B$2:$B$160,0))</f>
        <v>17266</v>
      </c>
      <c r="D809" s="847">
        <f>INDEX(база!$D$2:$D$189, MATCH(B814,база!$B$2:$B$160,0))</f>
        <v>3</v>
      </c>
      <c r="E809" s="75">
        <f>IF(D809&lt;=3,база!$I$4,
IF(D809=4,база!$I$5,
IF(D809=5,база!$I$6)))</f>
        <v>188.7912</v>
      </c>
      <c r="F809" s="271">
        <v>1</v>
      </c>
      <c r="G809" s="97">
        <f>SUMIFS(Таблица1[сумма],Таблица1[коэф],"1",Таблица1[р/р],"2/4",Таблица1[Ф. И. О.],B814)</f>
        <v>0</v>
      </c>
      <c r="H809" s="103">
        <f>ROUND(E809*F809*G809,2)</f>
        <v>0</v>
      </c>
      <c r="I809" s="344">
        <f>IF(D809&lt;=3,база!$J$4,
IF(D809=4,база!$J$5,
IF(D809=5,база!$J$6)))</f>
        <v>196.05240000000001</v>
      </c>
      <c r="J809" s="278">
        <v>1</v>
      </c>
      <c r="K809" s="309">
        <f>SUMIFS(Таблица1[сумма],Таблица1[коэф],"1",Таблица1[р/р],"2/8",Таблица1[Ф. И. О.],B814)</f>
        <v>0</v>
      </c>
      <c r="L809" s="309">
        <f>ROUND(I809*J809*K809,2)</f>
        <v>0</v>
      </c>
      <c r="M809" s="309"/>
      <c r="N809" s="309">
        <v>1</v>
      </c>
      <c r="O809" s="309">
        <f>SUMIFS(Data_Tech!$AM$3:$AM$67,Data_Tech!$E$3:$E$67,"1",Data_Tech!$G$3:$G$67,"3/12",Data_Tech!$F$3:$F$67,B814)</f>
        <v>0</v>
      </c>
      <c r="P809" s="282">
        <f>ROUND(M809*N809*O809,2)</f>
        <v>0</v>
      </c>
      <c r="Q809" s="75">
        <f>IF(D809&lt;=3,база!$L$4,
IF(D809=4,база!$L$5,
IF(D809=5,база!$L$6)))</f>
        <v>210.57480000000001</v>
      </c>
      <c r="R809" s="271">
        <v>1</v>
      </c>
      <c r="S809" s="97">
        <f>SUMIFS(Таблица1[сумма],Таблица1[коэф],"1",Таблица1[р/р],"3/16",Таблица1[Ф. И. О.],B814)</f>
        <v>0</v>
      </c>
      <c r="T809" s="103">
        <f t="shared" ref="T809:T813" si="502">ROUND(Q809*R809*S809,2)</f>
        <v>0</v>
      </c>
      <c r="U809" s="349">
        <f>IF(D809&lt;=3,база!$M$4,
IF(D809=4,база!$M$5,
IF(D809=5,база!$M$6)))</f>
        <v>225.09719999999999</v>
      </c>
      <c r="V809" s="271">
        <v>1</v>
      </c>
      <c r="W809" s="337">
        <f>SUMIFS(Таблица1[сумма],Таблица1[коэф],"1",Таблица1[р/р],"3/24",Таблица1[Ф. И. О.],B814)</f>
        <v>0</v>
      </c>
      <c r="X809" s="351">
        <f>ROUND(U809*V809*W809,2)</f>
        <v>0</v>
      </c>
      <c r="Y809" s="838">
        <f t="shared" ref="Y809" si="503">SUM(G809:G819,K809:K819,O809:O819,S809:S819,W809:W819)</f>
        <v>0</v>
      </c>
      <c r="Z809" s="840">
        <f t="shared" ref="Z809" si="504">IFERROR(SUM(H809:H819,L809:L819,T809:T819,X809:X819),"")</f>
        <v>0</v>
      </c>
      <c r="AA809" s="843"/>
    </row>
    <row r="810" spans="1:30">
      <c r="A810" s="786"/>
      <c r="B810" s="216"/>
      <c r="C810" s="845"/>
      <c r="D810" s="847"/>
      <c r="E810" s="79">
        <f>IF(D809&lt;=3,база!$I$4,
IF(D809=4,база!$I$5,
IF(D809=5,база!$I$6)))</f>
        <v>188.7912</v>
      </c>
      <c r="F810" s="272">
        <v>1</v>
      </c>
      <c r="G810" s="99">
        <f>SUMIFS(Таблица1[сумма],Таблица1[коэф],"1",Таблица1[р/р],"3/4",Таблица1[Ф. И. О.],B814)</f>
        <v>0</v>
      </c>
      <c r="H810" s="95">
        <f>ROUND(E810*F810*G810,2)</f>
        <v>0</v>
      </c>
      <c r="I810" s="334">
        <f>IF(D809&lt;=3,база!$J$4,
IF(D809=4,база!$J$5,
IF(D809=5,база!$J$6)))</f>
        <v>196.05240000000001</v>
      </c>
      <c r="J810" s="279">
        <v>1</v>
      </c>
      <c r="K810" s="217"/>
      <c r="L810" s="217">
        <f>ROUND(I810*J810*K810,2)</f>
        <v>0</v>
      </c>
      <c r="M810" s="217"/>
      <c r="N810" s="217">
        <v>1</v>
      </c>
      <c r="O810" s="217">
        <f>SUMIFS(Data_Tech!$AM$3:$AM$67,Data_Tech!$E$3:$E$67,"1",Data_Tech!$G$3:$G$67,"4/12",Data_Tech!$F$3:$F$67,B814)</f>
        <v>0</v>
      </c>
      <c r="P810" s="30">
        <f>ROUND(M810*O810,2)</f>
        <v>0</v>
      </c>
      <c r="Q810" s="79">
        <f>база!$L$5</f>
        <v>231.45480000000001</v>
      </c>
      <c r="R810" s="272">
        <v>1</v>
      </c>
      <c r="S810" s="99">
        <f>SUMIFS(Таблица1[сумма],Таблица1[коэф],"1",Таблица1[р/р],"4/16",Таблица1[Ф. И. О.],B814)</f>
        <v>0</v>
      </c>
      <c r="T810" s="95">
        <f t="shared" si="502"/>
        <v>0</v>
      </c>
      <c r="U810" s="314">
        <f>база!$M$5</f>
        <v>247.41720000000001</v>
      </c>
      <c r="V810" s="272">
        <v>1</v>
      </c>
      <c r="W810" s="307">
        <f>SUMIFS(Таблица1[сумма],Таблица1[коэф],"1",Таблица1[р/р],"4/24",Таблица1[Ф. И. О.],B814)</f>
        <v>0</v>
      </c>
      <c r="X810" s="313">
        <f t="shared" ref="X810" si="505">ROUND(U810*V810*W810,2)</f>
        <v>0</v>
      </c>
      <c r="Y810" s="838"/>
      <c r="Z810" s="840"/>
      <c r="AA810" s="843"/>
    </row>
    <row r="811" spans="1:30">
      <c r="A811" s="786"/>
      <c r="B811" s="216"/>
      <c r="C811" s="845"/>
      <c r="D811" s="847"/>
      <c r="E811" s="79"/>
      <c r="F811" s="272"/>
      <c r="G811" s="99"/>
      <c r="H811" s="95"/>
      <c r="I811" s="334"/>
      <c r="J811" s="279"/>
      <c r="K811" s="217"/>
      <c r="L811" s="217"/>
      <c r="M811" s="217"/>
      <c r="N811" s="217"/>
      <c r="O811" s="217"/>
      <c r="P811" s="30"/>
      <c r="Q811" s="79">
        <f>база!$L$6</f>
        <v>261.04640000000001</v>
      </c>
      <c r="R811" s="272">
        <v>1</v>
      </c>
      <c r="S811" s="99">
        <f>SUMIFS(Таблица1[сумма],Таблица1[коэф],"1",Таблица1[р/р],"5/16",Таблица1[Ф. И. О.],B814)</f>
        <v>0</v>
      </c>
      <c r="T811" s="95">
        <f t="shared" si="502"/>
        <v>0</v>
      </c>
      <c r="U811" s="314">
        <f>база!$M$6</f>
        <v>279.0496</v>
      </c>
      <c r="V811" s="272">
        <v>1</v>
      </c>
      <c r="W811" s="307">
        <f>SUMIFS(Таблица1[сумма],Таблица1[коэф],"1",Таблица1[р/р],"5/24",Таблица1[Ф. И. О.],B814)</f>
        <v>0</v>
      </c>
      <c r="X811" s="313">
        <f>ROUND(U811*V811*W811,2)</f>
        <v>0</v>
      </c>
      <c r="Y811" s="838"/>
      <c r="Z811" s="840"/>
      <c r="AA811" s="843"/>
    </row>
    <row r="812" spans="1:30">
      <c r="A812" s="786"/>
      <c r="B812" s="216"/>
      <c r="C812" s="845"/>
      <c r="D812" s="847"/>
      <c r="E812" s="79"/>
      <c r="F812" s="272"/>
      <c r="G812" s="99"/>
      <c r="H812" s="95"/>
      <c r="I812" s="334">
        <f>база!$J$5</f>
        <v>215.4924</v>
      </c>
      <c r="J812" s="279">
        <v>1.5</v>
      </c>
      <c r="K812" s="217">
        <f>SUMIFS(Таблица1[сумма],Таблица1[коэф],"1,5",Таблица1[р/р],"4/8",Таблица1[Ф. И. О.],B814)</f>
        <v>0</v>
      </c>
      <c r="L812" s="217">
        <f>ROUND(I812*J812*K812,2)</f>
        <v>0</v>
      </c>
      <c r="M812" s="217"/>
      <c r="N812" s="217"/>
      <c r="O812" s="217"/>
      <c r="P812" s="30"/>
      <c r="Q812" s="79">
        <f>IF(D809&lt;=3,база!$L$4,
IF(D809=4,база!$L$5,
IF(D809=5,база!$L$6)))</f>
        <v>210.57480000000001</v>
      </c>
      <c r="R812" s="272">
        <v>1.2</v>
      </c>
      <c r="S812" s="99">
        <f>SUMIFS(Таблица1[сумма],Таблица1[коэф],"1,2",Таблица1[р/р],"3/16",Таблица1[Ф. И. О.],B814)</f>
        <v>0</v>
      </c>
      <c r="T812" s="95">
        <f t="shared" si="502"/>
        <v>0</v>
      </c>
      <c r="U812" s="314">
        <f>IF(D809&lt;=3,база!$M$4,
IF(D809=4,база!$M$5,
IF(D809=5,база!$M$6)))</f>
        <v>225.09719999999999</v>
      </c>
      <c r="V812" s="272">
        <v>1.2</v>
      </c>
      <c r="W812" s="307">
        <f>SUMIFS(Таблица1[сумма],Таблица1[коэф],"1,2",Таблица1[р/р],"3/24",Таблица1[Ф. И. О.],B814)</f>
        <v>0</v>
      </c>
      <c r="X812" s="313">
        <f t="shared" ref="X812:X813" si="506">ROUND(U812*V812*W812,2)</f>
        <v>0</v>
      </c>
      <c r="Y812" s="838"/>
      <c r="Z812" s="840"/>
      <c r="AA812" s="843"/>
    </row>
    <row r="813" spans="1:30">
      <c r="A813" s="786"/>
      <c r="B813" s="216"/>
      <c r="C813" s="845"/>
      <c r="D813" s="847"/>
      <c r="E813" s="79"/>
      <c r="F813" s="272"/>
      <c r="G813" s="99"/>
      <c r="H813" s="95"/>
      <c r="I813" s="334">
        <f>база!$J$6</f>
        <v>243.04319999999998</v>
      </c>
      <c r="J813" s="279">
        <v>1.5</v>
      </c>
      <c r="K813" s="217">
        <f>SUMIFS(Таблица1[сумма],Таблица1[коэф],"1,5",Таблица1[р/р],"5/8",Таблица1[Ф. И. О.],B814)</f>
        <v>0</v>
      </c>
      <c r="L813" s="217">
        <f>ROUND(I813*J813*K813,2)</f>
        <v>0</v>
      </c>
      <c r="M813" s="217"/>
      <c r="N813" s="217"/>
      <c r="O813" s="217"/>
      <c r="P813" s="30"/>
      <c r="Q813" s="79">
        <f>база!$L$5</f>
        <v>231.45480000000001</v>
      </c>
      <c r="R813" s="272">
        <v>1.2</v>
      </c>
      <c r="S813" s="99">
        <f>SUMIFS(Таблица1[сумма],Таблица1[коэф],"1,2",Таблица1[р/р],"4/16",Таблица1[Ф. И. О.],B814)</f>
        <v>0</v>
      </c>
      <c r="T813" s="95">
        <f t="shared" si="502"/>
        <v>0</v>
      </c>
      <c r="U813" s="314">
        <f>база!$M$5</f>
        <v>247.41720000000001</v>
      </c>
      <c r="V813" s="272">
        <v>1.2</v>
      </c>
      <c r="W813" s="307">
        <f>SUMIFS(Таблица1[сумма],Таблица1[коэф],"1,2",Таблица1[р/р],"4/24",Таблица1[Ф. И. О.],B814)</f>
        <v>0</v>
      </c>
      <c r="X813" s="313">
        <f t="shared" si="506"/>
        <v>0</v>
      </c>
      <c r="Y813" s="838"/>
      <c r="Z813" s="840"/>
      <c r="AA813" s="843"/>
      <c r="AC813" s="722" t="str">
        <f>IF(SUMIFS(Таблица1[Столбец2],Таблица1[Ф. И. О.],B814)-Z809=0,"",SUMIFS(Таблица1[Столбец2],Таблица1[Ф. И. О.],B814)-Z809)</f>
        <v/>
      </c>
    </row>
    <row r="814" spans="1:30">
      <c r="A814" s="786"/>
      <c r="B814" s="216" t="str">
        <f>база!B75</f>
        <v>Степанова Ольга Юрьевна</v>
      </c>
      <c r="C814" s="845"/>
      <c r="D814" s="847"/>
      <c r="E814" s="79"/>
      <c r="F814" s="272"/>
      <c r="G814" s="99"/>
      <c r="H814" s="95"/>
      <c r="I814" s="334"/>
      <c r="J814" s="279"/>
      <c r="K814" s="217"/>
      <c r="L814" s="217"/>
      <c r="M814" s="217"/>
      <c r="N814" s="217"/>
      <c r="O814" s="217"/>
      <c r="P814" s="30"/>
      <c r="Q814" s="79">
        <f>база!$L$6</f>
        <v>261.04640000000001</v>
      </c>
      <c r="R814" s="272">
        <v>1.2</v>
      </c>
      <c r="S814" s="99">
        <f>SUMIFS(Таблица1[сумма],Таблица1[коэф],"1,2",Таблица1[р/р],"5/16",Таблица1[Ф. И. О.],B814)</f>
        <v>0</v>
      </c>
      <c r="T814" s="95">
        <f>ROUND(Q814*R814*S814,2)</f>
        <v>0</v>
      </c>
      <c r="U814" s="314">
        <f>база!$M$6</f>
        <v>279.0496</v>
      </c>
      <c r="V814" s="272">
        <v>1.2</v>
      </c>
      <c r="W814" s="307">
        <f>SUMIFS(Таблица1[сумма],Таблица1[коэф],"1,2",Таблица1[р/р],"5/24",Таблица1[Ф. И. О.],B814)</f>
        <v>0</v>
      </c>
      <c r="X814" s="313">
        <f>ROUND(U814*V814*W814,2)</f>
        <v>0</v>
      </c>
      <c r="Y814" s="838"/>
      <c r="Z814" s="840"/>
      <c r="AA814" s="843"/>
      <c r="AC814" s="722" t="str">
        <f>IF(SUMIFS(Таблица1[сумма],Таблица1[Ф. И. О.],B814)=Y809,"",B809&amp;"  часы не верны")</f>
        <v/>
      </c>
      <c r="AD814" s="759">
        <f>INDEX('[2]декабрь 23'!$AI$4:$AI$100,MATCH(C809,'[2]декабрь 23'!$AK$4:$AK$100,0))</f>
        <v>144</v>
      </c>
    </row>
    <row r="815" spans="1:30">
      <c r="A815" s="786"/>
      <c r="B815" s="216"/>
      <c r="C815" s="845"/>
      <c r="D815" s="847"/>
      <c r="E815" s="79"/>
      <c r="F815" s="272"/>
      <c r="G815" s="99"/>
      <c r="H815" s="95"/>
      <c r="I815" s="334"/>
      <c r="J815" s="279"/>
      <c r="K815" s="217"/>
      <c r="L815" s="217"/>
      <c r="M815" s="217"/>
      <c r="N815" s="217"/>
      <c r="O815" s="217"/>
      <c r="P815" s="30"/>
      <c r="Q815" s="79">
        <f>IF($D$6&lt;=3,база!$L$4,
IF($D$6=4,база!$L$5,
IF($D$6=5,база!$L$6)))</f>
        <v>231.45480000000001</v>
      </c>
      <c r="R815" s="272">
        <v>1.3</v>
      </c>
      <c r="S815" s="99">
        <f>SUMIFS(Таблица1[сумма],Таблица1[коэф],"1,3",Таблица1[р/р],"3/16",Таблица1[Ф. И. О.],B814)</f>
        <v>0</v>
      </c>
      <c r="T815" s="95">
        <f t="shared" ref="T815:T816" si="507">ROUND(Q815*R815*S815,2)</f>
        <v>0</v>
      </c>
      <c r="U815" s="314">
        <f>IF(D809&lt;=3,база!$M$4,
IF(D809=4,база!$M$5,
IF(D809=5,база!$M$6)))</f>
        <v>225.09719999999999</v>
      </c>
      <c r="V815" s="272">
        <v>1.3</v>
      </c>
      <c r="W815" s="307">
        <f>SUMIFS(Таблица1[сумма],Таблица1[коэф],"1,3",Таблица1[р/р],"3/24",Таблица1[Ф. И. О.],B814)</f>
        <v>0</v>
      </c>
      <c r="X815" s="313">
        <f t="shared" ref="X815:X816" si="508">ROUND(U815*V815*W815,2)</f>
        <v>0</v>
      </c>
      <c r="Y815" s="838"/>
      <c r="Z815" s="840"/>
      <c r="AA815" s="843"/>
    </row>
    <row r="816" spans="1:30">
      <c r="A816" s="786"/>
      <c r="B816" s="216"/>
      <c r="C816" s="845"/>
      <c r="D816" s="847"/>
      <c r="E816" s="79"/>
      <c r="F816" s="272"/>
      <c r="G816" s="99"/>
      <c r="H816" s="95"/>
      <c r="I816" s="334"/>
      <c r="J816" s="279"/>
      <c r="K816" s="217"/>
      <c r="L816" s="217"/>
      <c r="M816" s="217"/>
      <c r="N816" s="217"/>
      <c r="O816" s="217"/>
      <c r="P816" s="30"/>
      <c r="Q816" s="79">
        <f>база!$L$5</f>
        <v>231.45480000000001</v>
      </c>
      <c r="R816" s="272">
        <v>1.3</v>
      </c>
      <c r="S816" s="99">
        <f>SUMIFS(Таблица1[сумма],Таблица1[коэф],"1,3",Таблица1[р/р],"4/16",Таблица1[Ф. И. О.],B814)</f>
        <v>0</v>
      </c>
      <c r="T816" s="95">
        <f t="shared" si="507"/>
        <v>0</v>
      </c>
      <c r="U816" s="314">
        <f>база!$M$5</f>
        <v>247.41720000000001</v>
      </c>
      <c r="V816" s="272">
        <v>1.3</v>
      </c>
      <c r="W816" s="307">
        <f>SUMIFS(Таблица1[сумма],Таблица1[коэф],"1,3",Таблица1[р/р],"4/24",Таблица1[Ф. И. О.],B814)</f>
        <v>0</v>
      </c>
      <c r="X816" s="313">
        <f t="shared" si="508"/>
        <v>0</v>
      </c>
      <c r="Y816" s="838"/>
      <c r="Z816" s="840"/>
      <c r="AA816" s="843"/>
    </row>
    <row r="817" spans="1:30">
      <c r="A817" s="786"/>
      <c r="B817" s="216"/>
      <c r="C817" s="845"/>
      <c r="D817" s="847"/>
      <c r="E817" s="79"/>
      <c r="F817" s="272"/>
      <c r="G817" s="99"/>
      <c r="H817" s="95"/>
      <c r="I817" s="334"/>
      <c r="J817" s="279"/>
      <c r="K817" s="217"/>
      <c r="L817" s="217"/>
      <c r="M817" s="217"/>
      <c r="N817" s="217"/>
      <c r="O817" s="217"/>
      <c r="P817" s="30"/>
      <c r="Q817" s="79">
        <f>IF(D809&lt;=3,база!$L$4,
IF(D809=4,база!$L$5,
IF(D809=5,база!$L$6)))</f>
        <v>210.57480000000001</v>
      </c>
      <c r="R817" s="272">
        <v>1.4</v>
      </c>
      <c r="S817" s="99">
        <f>SUMIFS(Таблица1[сумма],Таблица1[коэф],"1,4",Таблица1[р/р],"3/16",Таблица1[Ф. И. О.],B814)</f>
        <v>0</v>
      </c>
      <c r="T817" s="95">
        <f>ROUND(Q817*R817*S817,2)</f>
        <v>0</v>
      </c>
      <c r="U817" s="314">
        <f>IF(D809&lt;=3,база!$M$4,
IF(D809=4,база!$M$5,
IF(D809=5,база!$M$6)))</f>
        <v>225.09719999999999</v>
      </c>
      <c r="V817" s="272">
        <v>1.4</v>
      </c>
      <c r="W817" s="307">
        <f>SUMIFS(Таблица1[сумма],Таблица1[коэф],"1,4",Таблица1[р/р],"3/24",Таблица1[Ф. И. О.],B814)</f>
        <v>0</v>
      </c>
      <c r="X817" s="313">
        <f>ROUND(U817*V817*W817,2)</f>
        <v>0</v>
      </c>
      <c r="Y817" s="838"/>
      <c r="Z817" s="840"/>
      <c r="AA817" s="843"/>
    </row>
    <row r="818" spans="1:30">
      <c r="A818" s="786"/>
      <c r="B818" s="216"/>
      <c r="C818" s="845"/>
      <c r="D818" s="847"/>
      <c r="E818" s="79"/>
      <c r="F818" s="272"/>
      <c r="G818" s="99"/>
      <c r="H818" s="95"/>
      <c r="I818" s="334"/>
      <c r="J818" s="279"/>
      <c r="K818" s="217"/>
      <c r="L818" s="217"/>
      <c r="M818" s="217"/>
      <c r="N818" s="217"/>
      <c r="O818" s="217"/>
      <c r="P818" s="30"/>
      <c r="Q818" s="79">
        <f>база!$L$5</f>
        <v>231.45480000000001</v>
      </c>
      <c r="R818" s="272">
        <v>1.4</v>
      </c>
      <c r="S818" s="99">
        <f>SUMIFS(Таблица1[сумма],Таблица1[коэф],"1,4",Таблица1[р/р],"4/16",Таблица1[Ф. И. О.],B814)</f>
        <v>0</v>
      </c>
      <c r="T818" s="95">
        <f>ROUND(Q818*R818*S818,2)</f>
        <v>0</v>
      </c>
      <c r="U818" s="314">
        <f>база!$M$5</f>
        <v>247.41720000000001</v>
      </c>
      <c r="V818" s="272">
        <v>1.4</v>
      </c>
      <c r="W818" s="307">
        <f>SUMIFS(Таблица1[сумма],Таблица1[коэф],"1,4",Таблица1[р/р],"4/24",Таблица1[Ф. И. О.],B814)</f>
        <v>0</v>
      </c>
      <c r="X818" s="313">
        <f>ROUND(U818*V818*W818,2)</f>
        <v>0</v>
      </c>
      <c r="Y818" s="838"/>
      <c r="Z818" s="840"/>
      <c r="AA818" s="843"/>
    </row>
    <row r="819" spans="1:30" ht="24" thickBot="1">
      <c r="A819" s="787"/>
      <c r="B819" s="352"/>
      <c r="C819" s="846"/>
      <c r="D819" s="848"/>
      <c r="E819" s="77"/>
      <c r="F819" s="276"/>
      <c r="G819" s="622"/>
      <c r="H819" s="94"/>
      <c r="I819" s="623"/>
      <c r="J819" s="596"/>
      <c r="K819" s="624"/>
      <c r="L819" s="328"/>
      <c r="M819" s="623"/>
      <c r="N819" s="624"/>
      <c r="O819" s="624"/>
      <c r="P819" s="290"/>
      <c r="Q819" s="690">
        <f>база!$L$6</f>
        <v>261.04640000000001</v>
      </c>
      <c r="R819" s="276">
        <v>1.4</v>
      </c>
      <c r="S819" s="100">
        <f>SUMIFS(Таблица1[сумма],Таблица1[коэф],"1,4",Таблица1[р/р],"5/16",Таблица1[Ф. И. О.],B814)</f>
        <v>0</v>
      </c>
      <c r="T819" s="94">
        <f>ROUND(Q819*R819*S819,2)</f>
        <v>0</v>
      </c>
      <c r="U819" s="84">
        <f>база!$M$6</f>
        <v>279.0496</v>
      </c>
      <c r="V819" s="274">
        <v>1.4</v>
      </c>
      <c r="W819" s="100">
        <f>SUMIFS(Таблица1[сумма],Таблица1[коэф],"1,4",Таблица1[р/р],"5/24",Таблица1[Ф. И. О.],B814)</f>
        <v>0</v>
      </c>
      <c r="X819" s="94">
        <f>ROUND(U819*V819*W819,2)</f>
        <v>0</v>
      </c>
      <c r="Y819" s="839"/>
      <c r="Z819" s="841"/>
      <c r="AA819" s="844"/>
    </row>
    <row r="820" spans="1:30" ht="18.75" customHeight="1">
      <c r="A820" s="785">
        <v>75</v>
      </c>
      <c r="B820" s="216"/>
      <c r="C820" s="738">
        <f>INDEX(база!$E$2:$E$181, MATCH(B825,база!$B$2:$B$160,0))</f>
        <v>14988</v>
      </c>
      <c r="D820" s="740">
        <f>INDEX(база!$D$2:$D$189, MATCH(B825,база!$B$2:$B$160,0))</f>
        <v>4</v>
      </c>
      <c r="E820" s="75">
        <f>IF(D820&lt;=3,база!$I$4,
IF(D820=4,база!$I$5,
IF(D820=5,база!$I$6)))</f>
        <v>207.5112</v>
      </c>
      <c r="F820" s="271">
        <v>1</v>
      </c>
      <c r="G820" s="97">
        <f>SUMIFS(Таблица1[сумма],Таблица1[коэф],"1",Таблица1[р/р],"2/4",Таблица1[Ф. И. О.],B825)</f>
        <v>0</v>
      </c>
      <c r="H820" s="103">
        <f>ROUND(E820*F820*G820,2)</f>
        <v>0</v>
      </c>
      <c r="I820" s="344">
        <f>IF(D820&lt;=3,база!$J$4,
IF(D820=4,база!$J$5,
IF(D820=5,база!$J$6)))</f>
        <v>215.4924</v>
      </c>
      <c r="J820" s="278">
        <v>1</v>
      </c>
      <c r="K820" s="309">
        <f>SUMIFS(Таблица1[сумма],Таблица1[коэф],"1",Таблица1[р/р],"2/8",Таблица1[Ф. И. О.],B825)</f>
        <v>0</v>
      </c>
      <c r="L820" s="309">
        <f>ROUND(I820*J820*K820,2)</f>
        <v>0</v>
      </c>
      <c r="M820" s="309"/>
      <c r="N820" s="309">
        <v>1</v>
      </c>
      <c r="O820" s="309">
        <f>SUMIFS(Data_Tech!$AM$3:$AM$67,Data_Tech!$E$3:$E$67,"1",Data_Tech!$G$3:$G$67,"3/12",Data_Tech!$F$3:$F$67,B825)</f>
        <v>0</v>
      </c>
      <c r="P820" s="282">
        <f>ROUND(M820*N820*O820,2)</f>
        <v>0</v>
      </c>
      <c r="Q820" s="75">
        <f>IF(D820&lt;=3,база!$L$4,
IF(D820=4,база!$L$5,
IF(D820=5,база!$L$6)))</f>
        <v>231.45480000000001</v>
      </c>
      <c r="R820" s="271">
        <v>1</v>
      </c>
      <c r="S820" s="97">
        <f>SUMIFS(Таблица1[сумма],Таблица1[коэф],"1",Таблица1[р/р],"3/16",Таблица1[Ф. И. О.],B825)</f>
        <v>0</v>
      </c>
      <c r="T820" s="103">
        <f t="shared" ref="T820:T824" si="509">ROUND(Q820*R820*S820,2)</f>
        <v>0</v>
      </c>
      <c r="U820" s="349">
        <f>IF(D820&lt;=3,база!$M$4,
IF(D820=4,база!$M$5,
IF(D820=5,база!$M$6)))</f>
        <v>247.41720000000001</v>
      </c>
      <c r="V820" s="271">
        <v>1</v>
      </c>
      <c r="W820" s="337">
        <f>SUMIFS(Таблица1[сумма],Таблица1[коэф],"1",Таблица1[р/р],"3/24",Таблица1[Ф. И. О.],B825)</f>
        <v>0</v>
      </c>
      <c r="X820" s="351">
        <f>ROUND(U820*V820*W820,2)</f>
        <v>0</v>
      </c>
      <c r="Y820" s="837">
        <f t="shared" ref="Y820" si="510">SUM(G820:G830,K820:K830,O820:O830,S820:S830,W820:W830)</f>
        <v>0</v>
      </c>
      <c r="Z820" s="840">
        <f t="shared" ref="Z820" si="511">IFERROR(SUM(H820:H830,L820:L830,T820:T830,X820:X830),"")</f>
        <v>0</v>
      </c>
      <c r="AA820" s="842"/>
    </row>
    <row r="821" spans="1:30" ht="18.75" customHeight="1">
      <c r="A821" s="786"/>
      <c r="B821" s="216"/>
      <c r="C821" s="738"/>
      <c r="D821" s="740"/>
      <c r="E821" s="79">
        <f>IF(D820&lt;=3,база!$I$4,
IF(D820=4,база!$I$5,
IF(D820=5,база!$I$6)))</f>
        <v>207.5112</v>
      </c>
      <c r="F821" s="272">
        <v>1</v>
      </c>
      <c r="G821" s="99">
        <f>SUMIFS(Таблица1[сумма],Таблица1[коэф],"1",Таблица1[р/р],"3/4",Таблица1[Ф. И. О.],B825)</f>
        <v>0</v>
      </c>
      <c r="H821" s="95">
        <f>ROUND(E821*F821*G821,2)</f>
        <v>0</v>
      </c>
      <c r="I821" s="334">
        <f>IF(D820&lt;=3,база!$J$4,
IF(D820=4,база!$J$5,
IF(D820=5,база!$J$6)))</f>
        <v>215.4924</v>
      </c>
      <c r="J821" s="279">
        <v>1</v>
      </c>
      <c r="K821" s="217"/>
      <c r="L821" s="217">
        <f>ROUND(I821*J821*K821,2)</f>
        <v>0</v>
      </c>
      <c r="M821" s="217"/>
      <c r="N821" s="217">
        <v>1</v>
      </c>
      <c r="O821" s="217">
        <f>SUMIFS(Data_Tech!$AM$3:$AM$67,Data_Tech!$E$3:$E$67,"1",Data_Tech!$G$3:$G$67,"4/12",Data_Tech!$F$3:$F$67,B825)</f>
        <v>0</v>
      </c>
      <c r="P821" s="30">
        <f>ROUND(M821*O821,2)</f>
        <v>0</v>
      </c>
      <c r="Q821" s="79">
        <f>база!$L$5</f>
        <v>231.45480000000001</v>
      </c>
      <c r="R821" s="272">
        <v>1</v>
      </c>
      <c r="S821" s="99">
        <f>SUMIFS(Таблица1[сумма],Таблица1[коэф],"1",Таблица1[р/р],"4/16",Таблица1[Ф. И. О.],B825)</f>
        <v>0</v>
      </c>
      <c r="T821" s="95">
        <f t="shared" si="509"/>
        <v>0</v>
      </c>
      <c r="U821" s="314">
        <f>база!$M$5</f>
        <v>247.41720000000001</v>
      </c>
      <c r="V821" s="272">
        <v>1</v>
      </c>
      <c r="W821" s="307">
        <f>SUMIFS(Таблица1[сумма],Таблица1[коэф],"1",Таблица1[р/р],"4/24",Таблица1[Ф. И. О.],B825)</f>
        <v>0</v>
      </c>
      <c r="X821" s="313">
        <f t="shared" ref="X821" si="512">ROUND(U821*V821*W821,2)</f>
        <v>0</v>
      </c>
      <c r="Y821" s="838"/>
      <c r="Z821" s="840"/>
      <c r="AA821" s="843"/>
    </row>
    <row r="822" spans="1:30" ht="18.75" customHeight="1">
      <c r="A822" s="786"/>
      <c r="B822" s="216"/>
      <c r="C822" s="738"/>
      <c r="D822" s="740"/>
      <c r="E822" s="79"/>
      <c r="F822" s="272"/>
      <c r="G822" s="99"/>
      <c r="H822" s="95"/>
      <c r="I822" s="334"/>
      <c r="J822" s="279"/>
      <c r="K822" s="217"/>
      <c r="L822" s="217"/>
      <c r="M822" s="217"/>
      <c r="N822" s="217"/>
      <c r="O822" s="217"/>
      <c r="P822" s="30"/>
      <c r="Q822" s="79">
        <f>база!$L$6</f>
        <v>261.04640000000001</v>
      </c>
      <c r="R822" s="272">
        <v>1</v>
      </c>
      <c r="S822" s="99">
        <f>SUMIFS(Таблица1[сумма],Таблица1[коэф],"1",Таблица1[р/р],"5/16",Таблица1[Ф. И. О.],B825)</f>
        <v>0</v>
      </c>
      <c r="T822" s="95">
        <f t="shared" si="509"/>
        <v>0</v>
      </c>
      <c r="U822" s="314">
        <f>база!$M$6</f>
        <v>279.0496</v>
      </c>
      <c r="V822" s="272">
        <v>1</v>
      </c>
      <c r="W822" s="307">
        <f>SUMIFS(Таблица1[сумма],Таблица1[коэф],"1",Таблица1[р/р],"5/24",Таблица1[Ф. И. О.],B825)</f>
        <v>0</v>
      </c>
      <c r="X822" s="313">
        <f>ROUND(U822*V822*W822,2)</f>
        <v>0</v>
      </c>
      <c r="Y822" s="838"/>
      <c r="Z822" s="840"/>
      <c r="AA822" s="843"/>
    </row>
    <row r="823" spans="1:30" ht="18.75" customHeight="1">
      <c r="A823" s="786"/>
      <c r="B823" s="216"/>
      <c r="C823" s="738"/>
      <c r="D823" s="740"/>
      <c r="E823" s="79"/>
      <c r="F823" s="272"/>
      <c r="G823" s="99"/>
      <c r="H823" s="95"/>
      <c r="I823" s="334">
        <f>база!$J$5</f>
        <v>215.4924</v>
      </c>
      <c r="J823" s="279">
        <v>1.5</v>
      </c>
      <c r="K823" s="217">
        <f>SUMIFS(Таблица1[сумма],Таблица1[коэф],"1,5",Таблица1[р/р],"4/8",Таблица1[Ф. И. О.],B825)</f>
        <v>0</v>
      </c>
      <c r="L823" s="217">
        <f>ROUND(I823*J823*K823,2)</f>
        <v>0</v>
      </c>
      <c r="M823" s="217"/>
      <c r="N823" s="217"/>
      <c r="O823" s="217"/>
      <c r="P823" s="30"/>
      <c r="Q823" s="79">
        <f>IF(D820&lt;=3,база!$L$4,
IF(D820=4,база!$L$5,
IF(D820=5,база!$L$6)))</f>
        <v>231.45480000000001</v>
      </c>
      <c r="R823" s="272">
        <v>1.2</v>
      </c>
      <c r="S823" s="99">
        <f>SUMIFS(Таблица1[сумма],Таблица1[коэф],"1,2",Таблица1[р/р],"3/16",Таблица1[Ф. И. О.],B825)</f>
        <v>0</v>
      </c>
      <c r="T823" s="95">
        <f t="shared" si="509"/>
        <v>0</v>
      </c>
      <c r="U823" s="314">
        <f>IF(D820&lt;=3,база!$M$4,
IF(D820=4,база!$M$5,
IF(D820=5,база!$M$6)))</f>
        <v>247.41720000000001</v>
      </c>
      <c r="V823" s="272">
        <v>1.2</v>
      </c>
      <c r="W823" s="307">
        <f>SUMIFS(Таблица1[сумма],Таблица1[коэф],"1,2",Таблица1[р/р],"3/24",Таблица1[Ф. И. О.],B825)</f>
        <v>0</v>
      </c>
      <c r="X823" s="313">
        <f t="shared" ref="X823:X824" si="513">ROUND(U823*V823*W823,2)</f>
        <v>0</v>
      </c>
      <c r="Y823" s="838"/>
      <c r="Z823" s="840"/>
      <c r="AA823" s="843"/>
    </row>
    <row r="824" spans="1:30" ht="18.75" customHeight="1">
      <c r="A824" s="786"/>
      <c r="B824" s="216"/>
      <c r="C824" s="738"/>
      <c r="D824" s="740"/>
      <c r="E824" s="79"/>
      <c r="F824" s="272"/>
      <c r="G824" s="99"/>
      <c r="H824" s="95"/>
      <c r="I824" s="334">
        <f>база!$J$6</f>
        <v>243.04319999999998</v>
      </c>
      <c r="J824" s="279">
        <v>1.5</v>
      </c>
      <c r="K824" s="217">
        <f>SUMIFS(Таблица1[сумма],Таблица1[коэф],"1,5",Таблица1[р/р],"5/8",Таблица1[Ф. И. О.],B825)</f>
        <v>0</v>
      </c>
      <c r="L824" s="217">
        <f>ROUND(I824*J824*K824,2)</f>
        <v>0</v>
      </c>
      <c r="M824" s="217"/>
      <c r="N824" s="217"/>
      <c r="O824" s="217"/>
      <c r="P824" s="30"/>
      <c r="Q824" s="79">
        <f>база!$L$5</f>
        <v>231.45480000000001</v>
      </c>
      <c r="R824" s="272">
        <v>1.2</v>
      </c>
      <c r="S824" s="99">
        <f>SUMIFS(Таблица1[сумма],Таблица1[коэф],"1,2",Таблица1[р/р],"4/16",Таблица1[Ф. И. О.],B825)</f>
        <v>0</v>
      </c>
      <c r="T824" s="95">
        <f t="shared" si="509"/>
        <v>0</v>
      </c>
      <c r="U824" s="314">
        <f>база!$M$5</f>
        <v>247.41720000000001</v>
      </c>
      <c r="V824" s="272">
        <v>1.2</v>
      </c>
      <c r="W824" s="307">
        <f>SUMIFS(Таблица1[сумма],Таблица1[коэф],"1,2",Таблица1[р/р],"4/24",Таблица1[Ф. И. О.],B825)</f>
        <v>0</v>
      </c>
      <c r="X824" s="313">
        <f t="shared" si="513"/>
        <v>0</v>
      </c>
      <c r="Y824" s="838"/>
      <c r="Z824" s="840"/>
      <c r="AA824" s="843"/>
      <c r="AC824" s="722" t="str">
        <f>IF(SUMIFS(Таблица1[Столбец2],Таблица1[Ф. И. О.],B825)-Z820=0,"",SUMIFS(Таблица1[Столбец2],Таблица1[Ф. И. О.],B825)-Z820)</f>
        <v/>
      </c>
    </row>
    <row r="825" spans="1:30" ht="18.75" customHeight="1">
      <c r="A825" s="786"/>
      <c r="B825" s="216" t="str">
        <f>база!B76</f>
        <v>Томилова Антонина Викторовна</v>
      </c>
      <c r="C825" s="738"/>
      <c r="D825" s="740"/>
      <c r="E825" s="79"/>
      <c r="F825" s="272"/>
      <c r="G825" s="99"/>
      <c r="H825" s="95"/>
      <c r="I825" s="334"/>
      <c r="J825" s="279"/>
      <c r="K825" s="217"/>
      <c r="L825" s="217"/>
      <c r="M825" s="217"/>
      <c r="N825" s="217"/>
      <c r="O825" s="217"/>
      <c r="P825" s="30"/>
      <c r="Q825" s="79">
        <f>база!$L$6</f>
        <v>261.04640000000001</v>
      </c>
      <c r="R825" s="272">
        <v>1.2</v>
      </c>
      <c r="S825" s="99">
        <f>SUMIFS(Таблица1[сумма],Таблица1[коэф],"1,2",Таблица1[р/р],"5/16",Таблица1[Ф. И. О.],B825)</f>
        <v>0</v>
      </c>
      <c r="T825" s="95">
        <f>ROUND(Q825*R825*S825,2)</f>
        <v>0</v>
      </c>
      <c r="U825" s="314">
        <f>база!$M$6</f>
        <v>279.0496</v>
      </c>
      <c r="V825" s="272">
        <v>1.2</v>
      </c>
      <c r="W825" s="307">
        <f>SUMIFS(Таблица1[сумма],Таблица1[коэф],"1,2",Таблица1[р/р],"5/24",Таблица1[Ф. И. О.],B825)</f>
        <v>0</v>
      </c>
      <c r="X825" s="313">
        <f>ROUND(U825*V825*W825,2)</f>
        <v>0</v>
      </c>
      <c r="Y825" s="838"/>
      <c r="Z825" s="840"/>
      <c r="AA825" s="843"/>
      <c r="AC825" s="722" t="str">
        <f>IF(SUMIFS(Таблица1[сумма],Таблица1[Ф. И. О.],B825)=Y820,"",B820&amp;"  часы не верны")</f>
        <v/>
      </c>
      <c r="AD825" s="759">
        <f>INDEX('[2]декабрь 23'!$AI$4:$AI$100,MATCH(C820,'[2]декабрь 23'!$AK$4:$AK$100,0))</f>
        <v>129.60000000000002</v>
      </c>
    </row>
    <row r="826" spans="1:30" ht="18.75" customHeight="1">
      <c r="A826" s="786"/>
      <c r="B826" s="216"/>
      <c r="C826" s="738"/>
      <c r="D826" s="740"/>
      <c r="E826" s="79"/>
      <c r="F826" s="272"/>
      <c r="G826" s="99"/>
      <c r="H826" s="95"/>
      <c r="I826" s="334"/>
      <c r="J826" s="279"/>
      <c r="K826" s="217"/>
      <c r="L826" s="217"/>
      <c r="M826" s="217"/>
      <c r="N826" s="217"/>
      <c r="O826" s="217"/>
      <c r="P826" s="30"/>
      <c r="Q826" s="79">
        <f>IF($D$6&lt;=3,база!$L$4,
IF($D$6=4,база!$L$5,
IF($D$6=5,база!$L$6)))</f>
        <v>231.45480000000001</v>
      </c>
      <c r="R826" s="272">
        <v>1.3</v>
      </c>
      <c r="S826" s="99">
        <f>SUMIFS(Таблица1[сумма],Таблица1[коэф],"1,3",Таблица1[р/р],"3/16",Таблица1[Ф. И. О.],B825)</f>
        <v>0</v>
      </c>
      <c r="T826" s="95">
        <f t="shared" ref="T826:T827" si="514">ROUND(Q826*R826*S826,2)</f>
        <v>0</v>
      </c>
      <c r="U826" s="314">
        <f>IF(D820&lt;=3,база!$M$4,
IF(D820=4,база!$M$5,
IF(D820=5,база!$M$6)))</f>
        <v>247.41720000000001</v>
      </c>
      <c r="V826" s="272">
        <v>1.3</v>
      </c>
      <c r="W826" s="307">
        <f>SUMIFS(Таблица1[сумма],Таблица1[коэф],"1,3",Таблица1[р/р],"3/24",Таблица1[Ф. И. О.],B825)</f>
        <v>0</v>
      </c>
      <c r="X826" s="313">
        <f t="shared" ref="X826:X827" si="515">ROUND(U826*V826*W826,2)</f>
        <v>0</v>
      </c>
      <c r="Y826" s="838"/>
      <c r="Z826" s="840"/>
      <c r="AA826" s="843"/>
    </row>
    <row r="827" spans="1:30" ht="18.75" customHeight="1">
      <c r="A827" s="786"/>
      <c r="B827" s="216"/>
      <c r="C827" s="738"/>
      <c r="D827" s="740"/>
      <c r="E827" s="79"/>
      <c r="F827" s="272"/>
      <c r="G827" s="99"/>
      <c r="H827" s="95"/>
      <c r="I827" s="334"/>
      <c r="J827" s="279"/>
      <c r="K827" s="217"/>
      <c r="L827" s="217"/>
      <c r="M827" s="217"/>
      <c r="N827" s="217"/>
      <c r="O827" s="217"/>
      <c r="P827" s="30"/>
      <c r="Q827" s="79">
        <f>база!$L$5</f>
        <v>231.45480000000001</v>
      </c>
      <c r="R827" s="272">
        <v>1.3</v>
      </c>
      <c r="S827" s="99">
        <f>SUMIFS(Таблица1[сумма],Таблица1[коэф],"1,3",Таблица1[р/р],"4/16",Таблица1[Ф. И. О.],B825)</f>
        <v>0</v>
      </c>
      <c r="T827" s="95">
        <f t="shared" si="514"/>
        <v>0</v>
      </c>
      <c r="U827" s="314">
        <f>база!$M$5</f>
        <v>247.41720000000001</v>
      </c>
      <c r="V827" s="272">
        <v>1.3</v>
      </c>
      <c r="W827" s="307">
        <f>SUMIFS(Таблица1[сумма],Таблица1[коэф],"1,3",Таблица1[р/р],"4/24",Таблица1[Ф. И. О.],B825)</f>
        <v>0</v>
      </c>
      <c r="X827" s="313">
        <f t="shared" si="515"/>
        <v>0</v>
      </c>
      <c r="Y827" s="838"/>
      <c r="Z827" s="840"/>
      <c r="AA827" s="843"/>
    </row>
    <row r="828" spans="1:30" ht="18.75" customHeight="1">
      <c r="A828" s="786"/>
      <c r="B828" s="216"/>
      <c r="C828" s="738"/>
      <c r="D828" s="740"/>
      <c r="E828" s="79"/>
      <c r="F828" s="272"/>
      <c r="G828" s="99"/>
      <c r="H828" s="95"/>
      <c r="I828" s="334"/>
      <c r="J828" s="279"/>
      <c r="K828" s="217"/>
      <c r="L828" s="217"/>
      <c r="M828" s="217"/>
      <c r="N828" s="217"/>
      <c r="O828" s="217"/>
      <c r="P828" s="30"/>
      <c r="Q828" s="79">
        <f>IF(D820&lt;=3,база!$L$4,
IF(D820=4,база!$L$5,
IF(D820=5,база!$L$6)))</f>
        <v>231.45480000000001</v>
      </c>
      <c r="R828" s="272">
        <v>1.4</v>
      </c>
      <c r="S828" s="99">
        <f>SUMIFS(Таблица1[сумма],Таблица1[коэф],"1,4",Таблица1[р/р],"3/16",Таблица1[Ф. И. О.],B825)</f>
        <v>0</v>
      </c>
      <c r="T828" s="95">
        <f>ROUND(Q828*R828*S828,2)</f>
        <v>0</v>
      </c>
      <c r="U828" s="314">
        <f>IF(D820&lt;=3,база!$M$4,
IF(D820=4,база!$M$5,
IF(D820=5,база!$M$6)))</f>
        <v>247.41720000000001</v>
      </c>
      <c r="V828" s="272">
        <v>1.4</v>
      </c>
      <c r="W828" s="307">
        <f>SUMIFS(Таблица1[сумма],Таблица1[коэф],"1,4",Таблица1[р/р],"3/24",Таблица1[Ф. И. О.],B825)</f>
        <v>0</v>
      </c>
      <c r="X828" s="313">
        <f>ROUND(U828*V828*W828,2)</f>
        <v>0</v>
      </c>
      <c r="Y828" s="838"/>
      <c r="Z828" s="840"/>
      <c r="AA828" s="843"/>
    </row>
    <row r="829" spans="1:30" ht="18.75" customHeight="1">
      <c r="A829" s="786"/>
      <c r="B829" s="216"/>
      <c r="C829" s="738"/>
      <c r="D829" s="740"/>
      <c r="E829" s="79"/>
      <c r="F829" s="272"/>
      <c r="G829" s="99"/>
      <c r="H829" s="95"/>
      <c r="I829" s="334"/>
      <c r="J829" s="279"/>
      <c r="K829" s="217"/>
      <c r="L829" s="217"/>
      <c r="M829" s="217"/>
      <c r="N829" s="217"/>
      <c r="O829" s="217"/>
      <c r="P829" s="30"/>
      <c r="Q829" s="79">
        <f>база!$L$5</f>
        <v>231.45480000000001</v>
      </c>
      <c r="R829" s="272">
        <v>1.4</v>
      </c>
      <c r="S829" s="99">
        <f>SUMIFS(Таблица1[сумма],Таблица1[коэф],"1,4",Таблица1[р/р],"4/16",Таблица1[Ф. И. О.],B825)</f>
        <v>0</v>
      </c>
      <c r="T829" s="95">
        <f>ROUND(Q829*R829*S829,2)</f>
        <v>0</v>
      </c>
      <c r="U829" s="314">
        <f>база!$M$5</f>
        <v>247.41720000000001</v>
      </c>
      <c r="V829" s="272">
        <v>1.4</v>
      </c>
      <c r="W829" s="307">
        <f>SUMIFS(Таблица1[сумма],Таблица1[коэф],"1,4",Таблица1[р/р],"4/24",Таблица1[Ф. И. О.],B825)</f>
        <v>0</v>
      </c>
      <c r="X829" s="313">
        <f>ROUND(U829*V829*W829,2)</f>
        <v>0</v>
      </c>
      <c r="Y829" s="838"/>
      <c r="Z829" s="840"/>
      <c r="AA829" s="843"/>
    </row>
    <row r="830" spans="1:30" ht="19.5" customHeight="1" thickBot="1">
      <c r="A830" s="787"/>
      <c r="B830" s="352"/>
      <c r="C830" s="739"/>
      <c r="D830" s="741"/>
      <c r="E830" s="102"/>
      <c r="F830" s="274"/>
      <c r="G830" s="626"/>
      <c r="H830" s="91"/>
      <c r="I830" s="627"/>
      <c r="J830" s="280"/>
      <c r="K830" s="628"/>
      <c r="L830" s="289"/>
      <c r="M830" s="627"/>
      <c r="N830" s="628"/>
      <c r="O830" s="628"/>
      <c r="P830" s="315"/>
      <c r="Q830" s="629">
        <f>база!$L$6</f>
        <v>261.04640000000001</v>
      </c>
      <c r="R830" s="274">
        <v>1.4</v>
      </c>
      <c r="S830" s="98">
        <f>SUMIFS(Таблица1[сумма],Таблица1[коэф],"1,4",Таблица1[р/р],"5/16",Таблица1[Ф. И. О.],B825)</f>
        <v>0</v>
      </c>
      <c r="T830" s="91">
        <f>ROUND(Q830*R830*S830,2)</f>
        <v>0</v>
      </c>
      <c r="U830" s="221">
        <f>база!$M$6</f>
        <v>279.0496</v>
      </c>
      <c r="V830" s="274">
        <v>1.4</v>
      </c>
      <c r="W830" s="98">
        <f>SUMIFS(Таблица1[сумма],Таблица1[коэф],"1,4",Таблица1[р/р],"5/24",Таблица1[Ф. И. О.],B825)</f>
        <v>0</v>
      </c>
      <c r="X830" s="91">
        <f>ROUND(U830*V830*W830,2)</f>
        <v>0</v>
      </c>
      <c r="Y830" s="839"/>
      <c r="Z830" s="841"/>
      <c r="AA830" s="844"/>
    </row>
    <row r="831" spans="1:30" ht="18.75" customHeight="1">
      <c r="A831" s="785">
        <v>76</v>
      </c>
      <c r="B831" s="216"/>
      <c r="C831" s="738">
        <f>INDEX(база!$E$2:$E$181, MATCH(B836,база!$B$2:$B$160,0))</f>
        <v>15889</v>
      </c>
      <c r="D831" s="740">
        <f>INDEX(база!$D$2:$D$189, MATCH(B836,база!$B$2:$B$160,0))</f>
        <v>3</v>
      </c>
      <c r="E831" s="75">
        <f>IF(D831&lt;=3,база!$I$4,
IF(D831=4,база!$I$5,
IF(D831=5,база!$I$6)))</f>
        <v>188.7912</v>
      </c>
      <c r="F831" s="271">
        <v>1</v>
      </c>
      <c r="G831" s="97">
        <f>SUMIFS(Таблица1[сумма],Таблица1[коэф],"1",Таблица1[р/р],"2/4",Таблица1[Ф. И. О.],B836)</f>
        <v>0</v>
      </c>
      <c r="H831" s="103">
        <f>ROUND(E831*F831*G831,2)</f>
        <v>0</v>
      </c>
      <c r="I831" s="344">
        <f>IF(D831&lt;=3,база!$J$4,
IF(D831=4,база!$J$5,
IF(D831=5,база!$J$6)))</f>
        <v>196.05240000000001</v>
      </c>
      <c r="J831" s="278">
        <v>1</v>
      </c>
      <c r="K831" s="309">
        <f>SUMIFS(Таблица1[сумма],Таблица1[коэф],"1",Таблица1[р/р],"2/8",Таблица1[Ф. И. О.],B836)</f>
        <v>0</v>
      </c>
      <c r="L831" s="309">
        <f>ROUND(I831*J831*K831,2)</f>
        <v>0</v>
      </c>
      <c r="M831" s="309"/>
      <c r="N831" s="309">
        <v>1</v>
      </c>
      <c r="O831" s="309">
        <f>SUMIFS(Data_Tech!$AM$3:$AM$67,Data_Tech!$E$3:$E$67,"1",Data_Tech!$G$3:$G$67,"3/12",Data_Tech!$F$3:$F$67,B836)</f>
        <v>0</v>
      </c>
      <c r="P831" s="282">
        <f>ROUND(M831*N831*O831,2)</f>
        <v>0</v>
      </c>
      <c r="Q831" s="75">
        <f>IF(D831&lt;=3,база!$L$4,
IF(D831=4,база!$L$5,
IF(D831=5,база!$L$6)))</f>
        <v>210.57480000000001</v>
      </c>
      <c r="R831" s="271">
        <v>1</v>
      </c>
      <c r="S831" s="97">
        <f>SUMIFS(Таблица1[сумма],Таблица1[коэф],"1",Таблица1[р/р],"3/16",Таблица1[Ф. И. О.],B836)</f>
        <v>0</v>
      </c>
      <c r="T831" s="103">
        <f t="shared" ref="T831:T835" si="516">ROUND(Q831*R831*S831,2)</f>
        <v>0</v>
      </c>
      <c r="U831" s="349">
        <f>IF(D831&lt;=3,база!$M$4,
IF(D831=4,база!$M$5,
IF(D831=5,база!$M$6)))</f>
        <v>225.09719999999999</v>
      </c>
      <c r="V831" s="271">
        <v>1</v>
      </c>
      <c r="W831" s="337">
        <f>SUMIFS(Таблица1[сумма],Таблица1[коэф],"1",Таблица1[р/р],"3/24",Таблица1[Ф. И. О.],B836)</f>
        <v>0</v>
      </c>
      <c r="X831" s="351">
        <f>ROUND(U831*V831*W831,2)</f>
        <v>0</v>
      </c>
      <c r="Y831" s="837">
        <f t="shared" ref="Y831" si="517">SUM(G831:G841,K831:K841,O831:O841,S831:S841,W831:W841)</f>
        <v>0</v>
      </c>
      <c r="Z831" s="840">
        <f t="shared" ref="Z831" si="518">IFERROR(SUM(H831:H841,L831:L841,T831:T841,X831:X841),"")</f>
        <v>0</v>
      </c>
      <c r="AA831" s="842"/>
    </row>
    <row r="832" spans="1:30" ht="18.75" customHeight="1">
      <c r="A832" s="786"/>
      <c r="B832" s="216"/>
      <c r="C832" s="738"/>
      <c r="D832" s="740"/>
      <c r="E832" s="79">
        <f>IF(D831&lt;=3,база!$I$4,
IF(D831=4,база!$I$5,
IF(D831=5,база!$I$6)))</f>
        <v>188.7912</v>
      </c>
      <c r="F832" s="272">
        <v>1</v>
      </c>
      <c r="G832" s="99">
        <f>SUMIFS(Таблица1[сумма],Таблица1[коэф],"1",Таблица1[р/р],"3/4",Таблица1[Ф. И. О.],B836)</f>
        <v>0</v>
      </c>
      <c r="H832" s="95">
        <f>ROUND(E832*F832*G832,2)</f>
        <v>0</v>
      </c>
      <c r="I832" s="334">
        <f>IF(D831&lt;=3,база!$J$4,
IF(D831=4,база!$J$5,
IF(D831=5,база!$J$6)))</f>
        <v>196.05240000000001</v>
      </c>
      <c r="J832" s="279">
        <v>1</v>
      </c>
      <c r="K832" s="217"/>
      <c r="L832" s="217">
        <f>ROUND(I832*J832*K832,2)</f>
        <v>0</v>
      </c>
      <c r="M832" s="217"/>
      <c r="N832" s="217">
        <v>1</v>
      </c>
      <c r="O832" s="217">
        <f>SUMIFS(Data_Tech!$AM$3:$AM$67,Data_Tech!$E$3:$E$67,"1",Data_Tech!$G$3:$G$67,"4/12",Data_Tech!$F$3:$F$67,B836)</f>
        <v>0</v>
      </c>
      <c r="P832" s="30">
        <f>ROUND(M832*O832,2)</f>
        <v>0</v>
      </c>
      <c r="Q832" s="79">
        <f>база!$L$5</f>
        <v>231.45480000000001</v>
      </c>
      <c r="R832" s="272">
        <v>1</v>
      </c>
      <c r="S832" s="99">
        <f>SUMIFS(Таблица1[сумма],Таблица1[коэф],"1",Таблица1[р/р],"4/16",Таблица1[Ф. И. О.],B836)</f>
        <v>0</v>
      </c>
      <c r="T832" s="95">
        <f t="shared" si="516"/>
        <v>0</v>
      </c>
      <c r="U832" s="314">
        <f>база!$M$5</f>
        <v>247.41720000000001</v>
      </c>
      <c r="V832" s="272">
        <v>1</v>
      </c>
      <c r="W832" s="307">
        <f>SUMIFS(Таблица1[сумма],Таблица1[коэф],"1",Таблица1[р/р],"4/24",Таблица1[Ф. И. О.],B836)</f>
        <v>0</v>
      </c>
      <c r="X832" s="313">
        <f t="shared" ref="X832" si="519">ROUND(U832*V832*W832,2)</f>
        <v>0</v>
      </c>
      <c r="Y832" s="838"/>
      <c r="Z832" s="840"/>
      <c r="AA832" s="843"/>
    </row>
    <row r="833" spans="1:30" ht="18.75" customHeight="1">
      <c r="A833" s="786"/>
      <c r="B833" s="216"/>
      <c r="C833" s="738"/>
      <c r="D833" s="740"/>
      <c r="E833" s="79"/>
      <c r="F833" s="272"/>
      <c r="G833" s="99"/>
      <c r="H833" s="95"/>
      <c r="I833" s="334"/>
      <c r="J833" s="279"/>
      <c r="K833" s="217"/>
      <c r="L833" s="217"/>
      <c r="M833" s="217"/>
      <c r="N833" s="217"/>
      <c r="O833" s="217"/>
      <c r="P833" s="30"/>
      <c r="Q833" s="79">
        <f>база!$L$6</f>
        <v>261.04640000000001</v>
      </c>
      <c r="R833" s="272">
        <v>1</v>
      </c>
      <c r="S833" s="99">
        <f>SUMIFS(Таблица1[сумма],Таблица1[коэф],"1",Таблица1[р/р],"5/16",Таблица1[Ф. И. О.],B836)</f>
        <v>0</v>
      </c>
      <c r="T833" s="95">
        <f t="shared" si="516"/>
        <v>0</v>
      </c>
      <c r="U833" s="314">
        <f>база!$M$6</f>
        <v>279.0496</v>
      </c>
      <c r="V833" s="272">
        <v>1</v>
      </c>
      <c r="W833" s="307">
        <f>SUMIFS(Таблица1[сумма],Таблица1[коэф],"1",Таблица1[р/р],"5/24",Таблица1[Ф. И. О.],B836)</f>
        <v>0</v>
      </c>
      <c r="X833" s="313">
        <f>ROUND(U833*V833*W833,2)</f>
        <v>0</v>
      </c>
      <c r="Y833" s="838"/>
      <c r="Z833" s="840"/>
      <c r="AA833" s="843"/>
    </row>
    <row r="834" spans="1:30" ht="18.75" customHeight="1">
      <c r="A834" s="786"/>
      <c r="B834" s="216"/>
      <c r="C834" s="738"/>
      <c r="D834" s="740"/>
      <c r="E834" s="79"/>
      <c r="F834" s="272"/>
      <c r="G834" s="99"/>
      <c r="H834" s="95"/>
      <c r="I834" s="334">
        <f>база!$J$5</f>
        <v>215.4924</v>
      </c>
      <c r="J834" s="279">
        <v>1.5</v>
      </c>
      <c r="K834" s="217">
        <f>SUMIFS(Таблица1[сумма],Таблица1[коэф],"1,5",Таблица1[р/р],"4/8",Таблица1[Ф. И. О.],B836)</f>
        <v>0</v>
      </c>
      <c r="L834" s="217">
        <f>ROUND(I834*J834*K834,2)</f>
        <v>0</v>
      </c>
      <c r="M834" s="217"/>
      <c r="N834" s="217"/>
      <c r="O834" s="217"/>
      <c r="P834" s="30"/>
      <c r="Q834" s="79">
        <f>IF(D831&lt;=3,база!$L$4,
IF(D831=4,база!$L$5,
IF(D831=5,база!$L$6)))</f>
        <v>210.57480000000001</v>
      </c>
      <c r="R834" s="272">
        <v>1.2</v>
      </c>
      <c r="S834" s="99">
        <f>SUMIFS(Таблица1[сумма],Таблица1[коэф],"1,2",Таблица1[р/р],"3/16",Таблица1[Ф. И. О.],B836)</f>
        <v>0</v>
      </c>
      <c r="T834" s="95">
        <f t="shared" si="516"/>
        <v>0</v>
      </c>
      <c r="U834" s="314">
        <f>IF(D831&lt;=3,база!$M$4,
IF(D831=4,база!$M$5,
IF(D831=5,база!$M$6)))</f>
        <v>225.09719999999999</v>
      </c>
      <c r="V834" s="272">
        <v>1.2</v>
      </c>
      <c r="W834" s="307">
        <f>SUMIFS(Таблица1[сумма],Таблица1[коэф],"1,2",Таблица1[р/р],"3/24",Таблица1[Ф. И. О.],B836)</f>
        <v>0</v>
      </c>
      <c r="X834" s="313">
        <f t="shared" ref="X834:X835" si="520">ROUND(U834*V834*W834,2)</f>
        <v>0</v>
      </c>
      <c r="Y834" s="838"/>
      <c r="Z834" s="840"/>
      <c r="AA834" s="843"/>
    </row>
    <row r="835" spans="1:30" ht="18.75" customHeight="1">
      <c r="A835" s="786"/>
      <c r="B835" s="216"/>
      <c r="C835" s="738"/>
      <c r="D835" s="740"/>
      <c r="E835" s="79"/>
      <c r="F835" s="272"/>
      <c r="G835" s="99"/>
      <c r="H835" s="95"/>
      <c r="I835" s="334">
        <f>база!$J$6</f>
        <v>243.04319999999998</v>
      </c>
      <c r="J835" s="279">
        <v>1.5</v>
      </c>
      <c r="K835" s="217">
        <f>SUMIFS(Таблица1[сумма],Таблица1[коэф],"1,5",Таблица1[р/р],"5/8",Таблица1[Ф. И. О.],B836)</f>
        <v>0</v>
      </c>
      <c r="L835" s="217">
        <f>ROUND(I835*J835*K835,2)</f>
        <v>0</v>
      </c>
      <c r="M835" s="217"/>
      <c r="N835" s="217"/>
      <c r="O835" s="217"/>
      <c r="P835" s="30"/>
      <c r="Q835" s="79">
        <f>база!$L$5</f>
        <v>231.45480000000001</v>
      </c>
      <c r="R835" s="272">
        <v>1.2</v>
      </c>
      <c r="S835" s="99">
        <f>SUMIFS(Таблица1[сумма],Таблица1[коэф],"1,2",Таблица1[р/р],"4/16",Таблица1[Ф. И. О.],B836)</f>
        <v>0</v>
      </c>
      <c r="T835" s="95">
        <f t="shared" si="516"/>
        <v>0</v>
      </c>
      <c r="U835" s="314">
        <f>база!$M$5</f>
        <v>247.41720000000001</v>
      </c>
      <c r="V835" s="272">
        <v>1.2</v>
      </c>
      <c r="W835" s="307">
        <f>SUMIFS(Таблица1[сумма],Таблица1[коэф],"1,2",Таблица1[р/р],"4/24",Таблица1[Ф. И. О.],B836)</f>
        <v>0</v>
      </c>
      <c r="X835" s="313">
        <f t="shared" si="520"/>
        <v>0</v>
      </c>
      <c r="Y835" s="838"/>
      <c r="Z835" s="840"/>
      <c r="AA835" s="843"/>
      <c r="AC835" s="722" t="str">
        <f>IF(SUMIFS(Таблица1[Столбец2],Таблица1[Ф. И. О.],B836)-Z831=0,"",SUMIFS(Таблица1[Столбец2],Таблица1[Ф. И. О.],B836)-Z831)</f>
        <v/>
      </c>
    </row>
    <row r="836" spans="1:30" ht="18.75" customHeight="1">
      <c r="A836" s="786"/>
      <c r="B836" s="216" t="str">
        <f>база!B77</f>
        <v>Худякова Ольга Николаевна</v>
      </c>
      <c r="C836" s="738"/>
      <c r="D836" s="740"/>
      <c r="E836" s="79"/>
      <c r="F836" s="272"/>
      <c r="G836" s="99"/>
      <c r="H836" s="95"/>
      <c r="I836" s="334"/>
      <c r="J836" s="279"/>
      <c r="K836" s="217"/>
      <c r="L836" s="217"/>
      <c r="M836" s="217"/>
      <c r="N836" s="217"/>
      <c r="O836" s="217"/>
      <c r="P836" s="30"/>
      <c r="Q836" s="79">
        <f>база!$L$6</f>
        <v>261.04640000000001</v>
      </c>
      <c r="R836" s="272">
        <v>1.2</v>
      </c>
      <c r="S836" s="99">
        <f>SUMIFS(Таблица1[сумма],Таблица1[коэф],"1,2",Таблица1[р/р],"5/16",Таблица1[Ф. И. О.],B836)</f>
        <v>0</v>
      </c>
      <c r="T836" s="95">
        <f>ROUND(Q836*R836*S836,2)</f>
        <v>0</v>
      </c>
      <c r="U836" s="314">
        <f>база!$M$6</f>
        <v>279.0496</v>
      </c>
      <c r="V836" s="272">
        <v>1.2</v>
      </c>
      <c r="W836" s="307">
        <f>SUMIFS(Таблица1[сумма],Таблица1[коэф],"1,2",Таблица1[р/р],"5/24",Таблица1[Ф. И. О.],B836)</f>
        <v>0</v>
      </c>
      <c r="X836" s="313">
        <f>ROUND(U836*V836*W836,2)</f>
        <v>0</v>
      </c>
      <c r="Y836" s="838"/>
      <c r="Z836" s="840"/>
      <c r="AA836" s="843"/>
      <c r="AC836" s="722" t="str">
        <f>IF(SUMIFS(Таблица1[сумма],Таблица1[Ф. И. О.],B836)=Y831,"",B831&amp;"  часы не верны")</f>
        <v/>
      </c>
      <c r="AD836" s="759">
        <f>INDEX('[2]декабрь 23'!$AI$4:$AI$100,MATCH(C831,'[2]декабрь 23'!$AK$4:$AK$100,0))</f>
        <v>144</v>
      </c>
    </row>
    <row r="837" spans="1:30" ht="18.75" customHeight="1">
      <c r="A837" s="786"/>
      <c r="B837" s="216"/>
      <c r="C837" s="738"/>
      <c r="D837" s="740"/>
      <c r="E837" s="79"/>
      <c r="F837" s="272"/>
      <c r="G837" s="99"/>
      <c r="H837" s="95"/>
      <c r="I837" s="334"/>
      <c r="J837" s="279"/>
      <c r="K837" s="217"/>
      <c r="L837" s="217"/>
      <c r="M837" s="217"/>
      <c r="N837" s="217"/>
      <c r="O837" s="217"/>
      <c r="P837" s="30"/>
      <c r="Q837" s="79">
        <f>IF($D$6&lt;=3,база!$L$4,
IF($D$6=4,база!$L$5,
IF($D$6=5,база!$L$6)))</f>
        <v>231.45480000000001</v>
      </c>
      <c r="R837" s="272">
        <v>1.3</v>
      </c>
      <c r="S837" s="99">
        <f>SUMIFS(Таблица1[сумма],Таблица1[коэф],"1,3",Таблица1[р/р],"3/16",Таблица1[Ф. И. О.],B836)</f>
        <v>0</v>
      </c>
      <c r="T837" s="95">
        <f t="shared" ref="T837:T838" si="521">ROUND(Q837*R837*S837,2)</f>
        <v>0</v>
      </c>
      <c r="U837" s="314">
        <f>IF(D831&lt;=3,база!$M$4,
IF(D831=4,база!$M$5,
IF(D831=5,база!$M$6)))</f>
        <v>225.09719999999999</v>
      </c>
      <c r="V837" s="272">
        <v>1.3</v>
      </c>
      <c r="W837" s="307">
        <f>SUMIFS(Таблица1[сумма],Таблица1[коэф],"1,3",Таблица1[р/р],"3/24",Таблица1[Ф. И. О.],B836)</f>
        <v>0</v>
      </c>
      <c r="X837" s="313">
        <f t="shared" ref="X837:X838" si="522">ROUND(U837*V837*W837,2)</f>
        <v>0</v>
      </c>
      <c r="Y837" s="838"/>
      <c r="Z837" s="840"/>
      <c r="AA837" s="843"/>
    </row>
    <row r="838" spans="1:30" ht="18.75" customHeight="1">
      <c r="A838" s="786"/>
      <c r="B838" s="216"/>
      <c r="C838" s="738"/>
      <c r="D838" s="740"/>
      <c r="E838" s="79"/>
      <c r="F838" s="272"/>
      <c r="G838" s="99"/>
      <c r="H838" s="95"/>
      <c r="I838" s="334"/>
      <c r="J838" s="279"/>
      <c r="K838" s="217"/>
      <c r="L838" s="217"/>
      <c r="M838" s="217"/>
      <c r="N838" s="217"/>
      <c r="O838" s="217"/>
      <c r="P838" s="30"/>
      <c r="Q838" s="79">
        <f>база!$L$5</f>
        <v>231.45480000000001</v>
      </c>
      <c r="R838" s="272">
        <v>1.3</v>
      </c>
      <c r="S838" s="99">
        <f>SUMIFS(Таблица1[сумма],Таблица1[коэф],"1,3",Таблица1[р/р],"4/16",Таблица1[Ф. И. О.],B836)</f>
        <v>0</v>
      </c>
      <c r="T838" s="95">
        <f t="shared" si="521"/>
        <v>0</v>
      </c>
      <c r="U838" s="314">
        <f>база!$M$5</f>
        <v>247.41720000000001</v>
      </c>
      <c r="V838" s="272">
        <v>1.3</v>
      </c>
      <c r="W838" s="307">
        <f>SUMIFS(Таблица1[сумма],Таблица1[коэф],"1,3",Таблица1[р/р],"4/24",Таблица1[Ф. И. О.],B836)</f>
        <v>0</v>
      </c>
      <c r="X838" s="313">
        <f t="shared" si="522"/>
        <v>0</v>
      </c>
      <c r="Y838" s="838"/>
      <c r="Z838" s="840"/>
      <c r="AA838" s="843"/>
    </row>
    <row r="839" spans="1:30" ht="18.75" customHeight="1">
      <c r="A839" s="786"/>
      <c r="B839" s="216"/>
      <c r="C839" s="738"/>
      <c r="D839" s="740"/>
      <c r="E839" s="79"/>
      <c r="F839" s="272"/>
      <c r="G839" s="99"/>
      <c r="H839" s="95"/>
      <c r="I839" s="334"/>
      <c r="J839" s="279"/>
      <c r="K839" s="217"/>
      <c r="L839" s="217"/>
      <c r="M839" s="217"/>
      <c r="N839" s="217"/>
      <c r="O839" s="217"/>
      <c r="P839" s="30"/>
      <c r="Q839" s="79">
        <f>IF(D831&lt;=3,база!$L$4,
IF(D831=4,база!$L$5,
IF(D831=5,база!$L$6)))</f>
        <v>210.57480000000001</v>
      </c>
      <c r="R839" s="272">
        <v>1.4</v>
      </c>
      <c r="S839" s="99">
        <f>SUMIFS(Таблица1[сумма],Таблица1[коэф],"1,4",Таблица1[р/р],"3/16",Таблица1[Ф. И. О.],B836)</f>
        <v>0</v>
      </c>
      <c r="T839" s="95">
        <f>ROUND(Q839*R839*S839,2)</f>
        <v>0</v>
      </c>
      <c r="U839" s="314">
        <f>IF(D831&lt;=3,база!$M$4,
IF(D831=4,база!$M$5,
IF(D831=5,база!$M$6)))</f>
        <v>225.09719999999999</v>
      </c>
      <c r="V839" s="272">
        <v>1.4</v>
      </c>
      <c r="W839" s="307">
        <f>SUMIFS(Таблица1[сумма],Таблица1[коэф],"1,4",Таблица1[р/р],"3/24",Таблица1[Ф. И. О.],B836)</f>
        <v>0</v>
      </c>
      <c r="X839" s="313">
        <f>ROUND(U839*V839*W839,2)</f>
        <v>0</v>
      </c>
      <c r="Y839" s="838"/>
      <c r="Z839" s="840"/>
      <c r="AA839" s="843"/>
    </row>
    <row r="840" spans="1:30" ht="18.75" customHeight="1">
      <c r="A840" s="786"/>
      <c r="B840" s="216"/>
      <c r="C840" s="738"/>
      <c r="D840" s="740"/>
      <c r="E840" s="79"/>
      <c r="F840" s="272"/>
      <c r="G840" s="99"/>
      <c r="H840" s="95"/>
      <c r="I840" s="334"/>
      <c r="J840" s="279"/>
      <c r="K840" s="217"/>
      <c r="L840" s="217"/>
      <c r="M840" s="217"/>
      <c r="N840" s="217"/>
      <c r="O840" s="217"/>
      <c r="P840" s="30"/>
      <c r="Q840" s="79">
        <f>база!$L$5</f>
        <v>231.45480000000001</v>
      </c>
      <c r="R840" s="272">
        <v>1.4</v>
      </c>
      <c r="S840" s="99">
        <f>SUMIFS(Таблица1[сумма],Таблица1[коэф],"1,4",Таблица1[р/р],"4/16",Таблица1[Ф. И. О.],B836)</f>
        <v>0</v>
      </c>
      <c r="T840" s="95">
        <f>ROUND(Q840*R840*S840,2)</f>
        <v>0</v>
      </c>
      <c r="U840" s="314">
        <f>база!$M$5</f>
        <v>247.41720000000001</v>
      </c>
      <c r="V840" s="272">
        <v>1.4</v>
      </c>
      <c r="W840" s="307">
        <f>SUMIFS(Таблица1[сумма],Таблица1[коэф],"1,4",Таблица1[р/р],"4/24",Таблица1[Ф. И. О.],B836)</f>
        <v>0</v>
      </c>
      <c r="X840" s="313">
        <f>ROUND(U840*V840*W840,2)</f>
        <v>0</v>
      </c>
      <c r="Y840" s="838"/>
      <c r="Z840" s="840"/>
      <c r="AA840" s="843"/>
    </row>
    <row r="841" spans="1:30" ht="19.5" customHeight="1" thickBot="1">
      <c r="A841" s="787"/>
      <c r="B841" s="352"/>
      <c r="C841" s="739"/>
      <c r="D841" s="741"/>
      <c r="E841" s="102"/>
      <c r="F841" s="274"/>
      <c r="G841" s="626"/>
      <c r="H841" s="91"/>
      <c r="I841" s="627"/>
      <c r="J841" s="280"/>
      <c r="K841" s="628"/>
      <c r="L841" s="289"/>
      <c r="M841" s="627"/>
      <c r="N841" s="628"/>
      <c r="O841" s="628"/>
      <c r="P841" s="315"/>
      <c r="Q841" s="629">
        <f>база!$L$6</f>
        <v>261.04640000000001</v>
      </c>
      <c r="R841" s="274">
        <v>1.4</v>
      </c>
      <c r="S841" s="98">
        <f>SUMIFS(Таблица1[сумма],Таблица1[коэф],"1,4",Таблица1[р/р],"5/16",Таблица1[Ф. И. О.],B836)</f>
        <v>0</v>
      </c>
      <c r="T841" s="91">
        <f>ROUND(Q841*R841*S841,2)</f>
        <v>0</v>
      </c>
      <c r="U841" s="221">
        <f>база!$M$6</f>
        <v>279.0496</v>
      </c>
      <c r="V841" s="274">
        <v>1.4</v>
      </c>
      <c r="W841" s="98">
        <f>SUMIFS(Таблица1[сумма],Таблица1[коэф],"1,4",Таблица1[р/р],"5/24",Таблица1[Ф. И. О.],B836)</f>
        <v>0</v>
      </c>
      <c r="X841" s="91">
        <f>ROUND(U841*V841*W841,2)</f>
        <v>0</v>
      </c>
      <c r="Y841" s="839"/>
      <c r="Z841" s="841"/>
      <c r="AA841" s="844"/>
    </row>
    <row r="842" spans="1:30" ht="18.75" customHeight="1">
      <c r="A842" s="785">
        <v>77</v>
      </c>
      <c r="B842" s="216"/>
      <c r="C842" s="738">
        <f>INDEX(база!$E$2:$E$181, MATCH(B847,база!$B$2:$B$160,0))</f>
        <v>17302</v>
      </c>
      <c r="D842" s="740">
        <f>INDEX(база!$D$2:$D$189, MATCH(B847,база!$B$2:$B$160,0))</f>
        <v>3</v>
      </c>
      <c r="E842" s="75">
        <f>IF(D842&lt;=3,база!$I$4,
IF(D842=4,база!$I$5,
IF(D842=5,база!$I$6)))</f>
        <v>188.7912</v>
      </c>
      <c r="F842" s="271">
        <v>1</v>
      </c>
      <c r="G842" s="97">
        <f>SUMIFS(Таблица1[сумма],Таблица1[коэф],"1",Таблица1[р/р],"2/4",Таблица1[Ф. И. О.],B847)</f>
        <v>0</v>
      </c>
      <c r="H842" s="103">
        <f>ROUND(E842*F842*G842,2)</f>
        <v>0</v>
      </c>
      <c r="I842" s="344">
        <f>IF(D842&lt;=3,база!$J$4,
IF(D842=4,база!$J$5,
IF(D842=5,база!$J$6)))</f>
        <v>196.05240000000001</v>
      </c>
      <c r="J842" s="278">
        <v>1</v>
      </c>
      <c r="K842" s="309">
        <f>SUMIFS(Таблица1[сумма],Таблица1[коэф],"1",Таблица1[р/р],"2/8",Таблица1[Ф. И. О.],B847)</f>
        <v>0</v>
      </c>
      <c r="L842" s="309">
        <f>ROUND(I842*J842*K842,2)</f>
        <v>0</v>
      </c>
      <c r="M842" s="309"/>
      <c r="N842" s="309">
        <v>1</v>
      </c>
      <c r="O842" s="309">
        <f>SUMIFS(Data_Tech!$AM$3:$AM$67,Data_Tech!$E$3:$E$67,"1",Data_Tech!$G$3:$G$67,"3/12",Data_Tech!$F$3:$F$67,B847)</f>
        <v>0</v>
      </c>
      <c r="P842" s="282">
        <f>ROUND(M842*N842*O842,2)</f>
        <v>0</v>
      </c>
      <c r="Q842" s="75">
        <f>IF(D842&lt;=3,база!$L$4,
IF(D842=4,база!$L$5,
IF(D842=5,база!$L$6)))</f>
        <v>210.57480000000001</v>
      </c>
      <c r="R842" s="271">
        <v>1</v>
      </c>
      <c r="S842" s="97">
        <f>SUMIFS(Таблица1[сумма],Таблица1[коэф],"1",Таблица1[р/р],"3/16",Таблица1[Ф. И. О.],B847)</f>
        <v>0</v>
      </c>
      <c r="T842" s="103">
        <f t="shared" ref="T842:T846" si="523">ROUND(Q842*R842*S842,2)</f>
        <v>0</v>
      </c>
      <c r="U842" s="349">
        <f>IF(D842&lt;=3,база!$M$4,
IF(D842=4,база!$M$5,
IF(D842=5,база!$M$6)))</f>
        <v>225.09719999999999</v>
      </c>
      <c r="V842" s="271">
        <v>1</v>
      </c>
      <c r="W842" s="337">
        <f>SUMIFS(Таблица1[сумма],Таблица1[коэф],"1",Таблица1[р/р],"3/24",Таблица1[Ф. И. О.],B847)</f>
        <v>0</v>
      </c>
      <c r="X842" s="351">
        <f>ROUND(U842*V842*W842,2)</f>
        <v>0</v>
      </c>
      <c r="Y842" s="837">
        <f t="shared" ref="Y842" si="524">SUM(G842:G852,K842:K852,O842:O852,S842:S852,W842:W852)</f>
        <v>0</v>
      </c>
      <c r="Z842" s="840">
        <f t="shared" ref="Z842" si="525">IFERROR(SUM(H842:H852,L842:L852,T842:T852,X842:X852),"")</f>
        <v>0</v>
      </c>
      <c r="AA842" s="842"/>
    </row>
    <row r="843" spans="1:30" ht="18.75" customHeight="1">
      <c r="A843" s="786"/>
      <c r="B843" s="216"/>
      <c r="C843" s="738"/>
      <c r="D843" s="740"/>
      <c r="E843" s="79">
        <f>IF(D842&lt;=3,база!$I$4,
IF(D842=4,база!$I$5,
IF(D842=5,база!$I$6)))</f>
        <v>188.7912</v>
      </c>
      <c r="F843" s="272">
        <v>1</v>
      </c>
      <c r="G843" s="99">
        <f>SUMIFS(Таблица1[сумма],Таблица1[коэф],"1",Таблица1[р/р],"3/4",Таблица1[Ф. И. О.],B847)</f>
        <v>0</v>
      </c>
      <c r="H843" s="95">
        <f>ROUND(E843*F843*G843,2)</f>
        <v>0</v>
      </c>
      <c r="I843" s="334">
        <f>IF(D842&lt;=3,база!$J$4,
IF(D842=4,база!$J$5,
IF(D842=5,база!$J$6)))</f>
        <v>196.05240000000001</v>
      </c>
      <c r="J843" s="279">
        <v>1</v>
      </c>
      <c r="K843" s="217"/>
      <c r="L843" s="217">
        <f>ROUND(I843*J843*K843,2)</f>
        <v>0</v>
      </c>
      <c r="M843" s="217"/>
      <c r="N843" s="217">
        <v>1</v>
      </c>
      <c r="O843" s="217">
        <f>SUMIFS(Data_Tech!$AM$3:$AM$67,Data_Tech!$E$3:$E$67,"1",Data_Tech!$G$3:$G$67,"4/12",Data_Tech!$F$3:$F$67,B847)</f>
        <v>0</v>
      </c>
      <c r="P843" s="30">
        <f>ROUND(M843*O843,2)</f>
        <v>0</v>
      </c>
      <c r="Q843" s="79">
        <f>база!$L$5</f>
        <v>231.45480000000001</v>
      </c>
      <c r="R843" s="272">
        <v>1</v>
      </c>
      <c r="S843" s="99">
        <f>SUMIFS(Таблица1[сумма],Таблица1[коэф],"1",Таблица1[р/р],"4/16",Таблица1[Ф. И. О.],B847)</f>
        <v>0</v>
      </c>
      <c r="T843" s="95">
        <f t="shared" si="523"/>
        <v>0</v>
      </c>
      <c r="U843" s="314">
        <f>база!$M$5</f>
        <v>247.41720000000001</v>
      </c>
      <c r="V843" s="272">
        <v>1</v>
      </c>
      <c r="W843" s="307">
        <f>SUMIFS(Таблица1[сумма],Таблица1[коэф],"1",Таблица1[р/р],"4/24",Таблица1[Ф. И. О.],B847)</f>
        <v>0</v>
      </c>
      <c r="X843" s="313">
        <f t="shared" ref="X843" si="526">ROUND(U843*V843*W843,2)</f>
        <v>0</v>
      </c>
      <c r="Y843" s="838"/>
      <c r="Z843" s="840"/>
      <c r="AA843" s="843"/>
    </row>
    <row r="844" spans="1:30" ht="18.75" customHeight="1">
      <c r="A844" s="786"/>
      <c r="B844" s="216"/>
      <c r="C844" s="738"/>
      <c r="D844" s="740"/>
      <c r="E844" s="79"/>
      <c r="F844" s="272"/>
      <c r="G844" s="99"/>
      <c r="H844" s="95"/>
      <c r="I844" s="334"/>
      <c r="J844" s="279"/>
      <c r="K844" s="217"/>
      <c r="L844" s="217"/>
      <c r="M844" s="217"/>
      <c r="N844" s="217"/>
      <c r="O844" s="217"/>
      <c r="P844" s="30"/>
      <c r="Q844" s="79">
        <f>база!$L$6</f>
        <v>261.04640000000001</v>
      </c>
      <c r="R844" s="272">
        <v>1</v>
      </c>
      <c r="S844" s="99">
        <f>SUMIFS(Таблица1[сумма],Таблица1[коэф],"1",Таблица1[р/р],"5/16",Таблица1[Ф. И. О.],B847)</f>
        <v>0</v>
      </c>
      <c r="T844" s="95">
        <f t="shared" si="523"/>
        <v>0</v>
      </c>
      <c r="U844" s="314">
        <f>база!$M$6</f>
        <v>279.0496</v>
      </c>
      <c r="V844" s="272">
        <v>1</v>
      </c>
      <c r="W844" s="307">
        <f>SUMIFS(Таблица1[сумма],Таблица1[коэф],"1",Таблица1[р/р],"5/24",Таблица1[Ф. И. О.],B847)</f>
        <v>0</v>
      </c>
      <c r="X844" s="313">
        <f>ROUND(U844*V844*W844,2)</f>
        <v>0</v>
      </c>
      <c r="Y844" s="838"/>
      <c r="Z844" s="840"/>
      <c r="AA844" s="843"/>
    </row>
    <row r="845" spans="1:30" ht="18.75" customHeight="1">
      <c r="A845" s="786"/>
      <c r="B845" s="216"/>
      <c r="C845" s="738"/>
      <c r="D845" s="740"/>
      <c r="E845" s="79"/>
      <c r="F845" s="272"/>
      <c r="G845" s="99"/>
      <c r="H845" s="95"/>
      <c r="I845" s="334">
        <f>база!$J$5</f>
        <v>215.4924</v>
      </c>
      <c r="J845" s="279">
        <v>1.5</v>
      </c>
      <c r="K845" s="217">
        <f>SUMIFS(Таблица1[сумма],Таблица1[коэф],"1,5",Таблица1[р/р],"4/8",Таблица1[Ф. И. О.],B847)</f>
        <v>0</v>
      </c>
      <c r="L845" s="217">
        <f>ROUND(I845*J845*K845,2)</f>
        <v>0</v>
      </c>
      <c r="M845" s="217"/>
      <c r="N845" s="217"/>
      <c r="O845" s="217"/>
      <c r="P845" s="30"/>
      <c r="Q845" s="79">
        <f>IF(D842&lt;=3,база!$L$4,
IF(D842=4,база!$L$5,
IF(D842=5,база!$L$6)))</f>
        <v>210.57480000000001</v>
      </c>
      <c r="R845" s="272">
        <v>1.2</v>
      </c>
      <c r="S845" s="99">
        <f>SUMIFS(Таблица1[сумма],Таблица1[коэф],"1,2",Таблица1[р/р],"3/16",Таблица1[Ф. И. О.],B847)</f>
        <v>0</v>
      </c>
      <c r="T845" s="95">
        <f t="shared" si="523"/>
        <v>0</v>
      </c>
      <c r="U845" s="314">
        <f>IF(D842&lt;=3,база!$M$4,
IF(D842=4,база!$M$5,
IF(D842=5,база!$M$6)))</f>
        <v>225.09719999999999</v>
      </c>
      <c r="V845" s="272">
        <v>1.2</v>
      </c>
      <c r="W845" s="307">
        <f>SUMIFS(Таблица1[сумма],Таблица1[коэф],"1,2",Таблица1[р/р],"3/24",Таблица1[Ф. И. О.],B847)</f>
        <v>0</v>
      </c>
      <c r="X845" s="313">
        <f t="shared" ref="X845:X846" si="527">ROUND(U845*V845*W845,2)</f>
        <v>0</v>
      </c>
      <c r="Y845" s="838"/>
      <c r="Z845" s="840"/>
      <c r="AA845" s="843"/>
    </row>
    <row r="846" spans="1:30" ht="18.75" customHeight="1">
      <c r="A846" s="786"/>
      <c r="B846" s="216"/>
      <c r="C846" s="738"/>
      <c r="D846" s="740"/>
      <c r="E846" s="79"/>
      <c r="F846" s="272"/>
      <c r="G846" s="99"/>
      <c r="H846" s="95"/>
      <c r="I846" s="334">
        <f>база!$J$6</f>
        <v>243.04319999999998</v>
      </c>
      <c r="J846" s="279">
        <v>1.5</v>
      </c>
      <c r="K846" s="217">
        <f>SUMIFS(Таблица1[сумма],Таблица1[коэф],"1,5",Таблица1[р/р],"5/8",Таблица1[Ф. И. О.],B847)</f>
        <v>0</v>
      </c>
      <c r="L846" s="217">
        <f>ROUND(I846*J846*K846,2)</f>
        <v>0</v>
      </c>
      <c r="M846" s="217"/>
      <c r="N846" s="217"/>
      <c r="O846" s="217"/>
      <c r="P846" s="30"/>
      <c r="Q846" s="79">
        <f>база!$L$5</f>
        <v>231.45480000000001</v>
      </c>
      <c r="R846" s="272">
        <v>1.2</v>
      </c>
      <c r="S846" s="99">
        <f>SUMIFS(Таблица1[сумма],Таблица1[коэф],"1,2",Таблица1[р/р],"4/16",Таблица1[Ф. И. О.],B847)</f>
        <v>0</v>
      </c>
      <c r="T846" s="95">
        <f t="shared" si="523"/>
        <v>0</v>
      </c>
      <c r="U846" s="314">
        <f>база!$M$5</f>
        <v>247.41720000000001</v>
      </c>
      <c r="V846" s="272">
        <v>1.2</v>
      </c>
      <c r="W846" s="307">
        <f>SUMIFS(Таблица1[сумма],Таблица1[коэф],"1,2",Таблица1[р/р],"4/24",Таблица1[Ф. И. О.],B847)</f>
        <v>0</v>
      </c>
      <c r="X846" s="313">
        <f t="shared" si="527"/>
        <v>0</v>
      </c>
      <c r="Y846" s="838"/>
      <c r="Z846" s="840"/>
      <c r="AA846" s="843"/>
      <c r="AC846" s="722" t="str">
        <f>IF(SUMIFS(Таблица1[Столбец2],Таблица1[Ф. И. О.],B847)-Z842=0,"",SUMIFS(Таблица1[Столбец2],Таблица1[Ф. И. О.],B847)-Z842)</f>
        <v/>
      </c>
    </row>
    <row r="847" spans="1:30" ht="18.75" customHeight="1">
      <c r="A847" s="786"/>
      <c r="B847" s="216" t="str">
        <f>база!B78</f>
        <v>Черкасова Дарья Викторовна</v>
      </c>
      <c r="C847" s="738"/>
      <c r="D847" s="740"/>
      <c r="E847" s="79"/>
      <c r="F847" s="272"/>
      <c r="G847" s="99"/>
      <c r="H847" s="95"/>
      <c r="I847" s="334"/>
      <c r="J847" s="279"/>
      <c r="K847" s="217"/>
      <c r="L847" s="217"/>
      <c r="M847" s="217"/>
      <c r="N847" s="217"/>
      <c r="O847" s="217"/>
      <c r="P847" s="30"/>
      <c r="Q847" s="79">
        <f>база!$L$6</f>
        <v>261.04640000000001</v>
      </c>
      <c r="R847" s="272">
        <v>1.2</v>
      </c>
      <c r="S847" s="99">
        <f>SUMIFS(Таблица1[сумма],Таблица1[коэф],"1,2",Таблица1[р/р],"5/16",Таблица1[Ф. И. О.],B847)</f>
        <v>0</v>
      </c>
      <c r="T847" s="95">
        <f>ROUND(Q847*R847*S847,2)</f>
        <v>0</v>
      </c>
      <c r="U847" s="314">
        <f>база!$M$6</f>
        <v>279.0496</v>
      </c>
      <c r="V847" s="272">
        <v>1.2</v>
      </c>
      <c r="W847" s="307">
        <f>SUMIFS(Таблица1[сумма],Таблица1[коэф],"1,2",Таблица1[р/р],"5/24",Таблица1[Ф. И. О.],B847)</f>
        <v>0</v>
      </c>
      <c r="X847" s="313">
        <f>ROUND(U847*V847*W847,2)</f>
        <v>0</v>
      </c>
      <c r="Y847" s="838"/>
      <c r="Z847" s="840"/>
      <c r="AA847" s="843"/>
      <c r="AC847" s="722" t="str">
        <f>IF(SUMIFS(Таблица1[сумма],Таблица1[Ф. И. О.],B847)=Y842,"",B842&amp;"  часы не верны")</f>
        <v/>
      </c>
      <c r="AD847" s="759">
        <f>INDEX('[2]декабрь 23'!$AI$4:$AI$100,MATCH(C842,'[2]декабрь 23'!$AK$4:$AK$100,0))</f>
        <v>129.60000000000002</v>
      </c>
    </row>
    <row r="848" spans="1:30" ht="18.75" customHeight="1">
      <c r="A848" s="786"/>
      <c r="B848" s="216"/>
      <c r="C848" s="738"/>
      <c r="D848" s="740"/>
      <c r="E848" s="79"/>
      <c r="F848" s="272"/>
      <c r="G848" s="99"/>
      <c r="H848" s="95"/>
      <c r="I848" s="334"/>
      <c r="J848" s="279"/>
      <c r="K848" s="217"/>
      <c r="L848" s="217"/>
      <c r="M848" s="217"/>
      <c r="N848" s="217"/>
      <c r="O848" s="217"/>
      <c r="P848" s="30"/>
      <c r="Q848" s="79">
        <f>IF($D$6&lt;=3,база!$L$4,
IF($D$6=4,база!$L$5,
IF($D$6=5,база!$L$6)))</f>
        <v>231.45480000000001</v>
      </c>
      <c r="R848" s="272">
        <v>1.3</v>
      </c>
      <c r="S848" s="99">
        <f>SUMIFS(Таблица1[сумма],Таблица1[коэф],"1,3",Таблица1[р/р],"3/16",Таблица1[Ф. И. О.],B847)</f>
        <v>0</v>
      </c>
      <c r="T848" s="95">
        <f t="shared" ref="T848:T849" si="528">ROUND(Q848*R848*S848,2)</f>
        <v>0</v>
      </c>
      <c r="U848" s="314">
        <f>IF(D842&lt;=3,база!$M$4,
IF(D842=4,база!$M$5,
IF(D842=5,база!$M$6)))</f>
        <v>225.09719999999999</v>
      </c>
      <c r="V848" s="272">
        <v>1.3</v>
      </c>
      <c r="W848" s="307">
        <f>SUMIFS(Таблица1[сумма],Таблица1[коэф],"1,3",Таблица1[р/р],"3/24",Таблица1[Ф. И. О.],B847)</f>
        <v>0</v>
      </c>
      <c r="X848" s="313">
        <f t="shared" ref="X848:X849" si="529">ROUND(U848*V848*W848,2)</f>
        <v>0</v>
      </c>
      <c r="Y848" s="838"/>
      <c r="Z848" s="840"/>
      <c r="AA848" s="843"/>
    </row>
    <row r="849" spans="1:30" ht="18.75" customHeight="1">
      <c r="A849" s="786"/>
      <c r="B849" s="216"/>
      <c r="C849" s="738"/>
      <c r="D849" s="740"/>
      <c r="E849" s="79"/>
      <c r="F849" s="272"/>
      <c r="G849" s="99"/>
      <c r="H849" s="95"/>
      <c r="I849" s="334"/>
      <c r="J849" s="279"/>
      <c r="K849" s="217"/>
      <c r="L849" s="217"/>
      <c r="M849" s="217"/>
      <c r="N849" s="217"/>
      <c r="O849" s="217"/>
      <c r="P849" s="30"/>
      <c r="Q849" s="79">
        <f>база!$L$5</f>
        <v>231.45480000000001</v>
      </c>
      <c r="R849" s="272">
        <v>1.3</v>
      </c>
      <c r="S849" s="99">
        <f>SUMIFS(Таблица1[сумма],Таблица1[коэф],"1,3",Таблица1[р/р],"4/16",Таблица1[Ф. И. О.],B847)</f>
        <v>0</v>
      </c>
      <c r="T849" s="95">
        <f t="shared" si="528"/>
        <v>0</v>
      </c>
      <c r="U849" s="314">
        <f>база!$M$5</f>
        <v>247.41720000000001</v>
      </c>
      <c r="V849" s="272">
        <v>1.3</v>
      </c>
      <c r="W849" s="307">
        <f>SUMIFS(Таблица1[сумма],Таблица1[коэф],"1,3",Таблица1[р/р],"4/24",Таблица1[Ф. И. О.],B847)</f>
        <v>0</v>
      </c>
      <c r="X849" s="313">
        <f t="shared" si="529"/>
        <v>0</v>
      </c>
      <c r="Y849" s="838"/>
      <c r="Z849" s="840"/>
      <c r="AA849" s="843"/>
    </row>
    <row r="850" spans="1:30" ht="18.75" customHeight="1">
      <c r="A850" s="786"/>
      <c r="B850" s="216"/>
      <c r="C850" s="738"/>
      <c r="D850" s="740"/>
      <c r="E850" s="79"/>
      <c r="F850" s="272"/>
      <c r="G850" s="99"/>
      <c r="H850" s="95"/>
      <c r="I850" s="334"/>
      <c r="J850" s="279"/>
      <c r="K850" s="217"/>
      <c r="L850" s="217"/>
      <c r="M850" s="217"/>
      <c r="N850" s="217"/>
      <c r="O850" s="217"/>
      <c r="P850" s="30"/>
      <c r="Q850" s="79">
        <f>IF(D842&lt;=3,база!$L$4,
IF(D842=4,база!$L$5,
IF(D842=5,база!$L$6)))</f>
        <v>210.57480000000001</v>
      </c>
      <c r="R850" s="272">
        <v>1.4</v>
      </c>
      <c r="S850" s="99">
        <f>SUMIFS(Таблица1[сумма],Таблица1[коэф],"1,4",Таблица1[р/р],"3/16",Таблица1[Ф. И. О.],B847)</f>
        <v>0</v>
      </c>
      <c r="T850" s="95">
        <f>ROUND(Q850*R850*S850,2)</f>
        <v>0</v>
      </c>
      <c r="U850" s="314">
        <f>IF(D842&lt;=3,база!$M$4,
IF(D842=4,база!$M$5,
IF(D842=5,база!$M$6)))</f>
        <v>225.09719999999999</v>
      </c>
      <c r="V850" s="272">
        <v>1.4</v>
      </c>
      <c r="W850" s="307">
        <f>SUMIFS(Таблица1[сумма],Таблица1[коэф],"1,4",Таблица1[р/р],"3/24",Таблица1[Ф. И. О.],B847)</f>
        <v>0</v>
      </c>
      <c r="X850" s="313">
        <f>ROUND(U850*V850*W850,2)</f>
        <v>0</v>
      </c>
      <c r="Y850" s="838"/>
      <c r="Z850" s="840"/>
      <c r="AA850" s="843"/>
    </row>
    <row r="851" spans="1:30" ht="18.75" customHeight="1">
      <c r="A851" s="786"/>
      <c r="B851" s="216"/>
      <c r="C851" s="738"/>
      <c r="D851" s="740"/>
      <c r="E851" s="79"/>
      <c r="F851" s="272"/>
      <c r="G851" s="99"/>
      <c r="H851" s="95"/>
      <c r="I851" s="334"/>
      <c r="J851" s="279"/>
      <c r="K851" s="217"/>
      <c r="L851" s="217"/>
      <c r="M851" s="217"/>
      <c r="N851" s="217"/>
      <c r="O851" s="217"/>
      <c r="P851" s="30"/>
      <c r="Q851" s="79">
        <f>база!$L$5</f>
        <v>231.45480000000001</v>
      </c>
      <c r="R851" s="272">
        <v>1.4</v>
      </c>
      <c r="S851" s="99">
        <f>SUMIFS(Таблица1[сумма],Таблица1[коэф],"1,4",Таблица1[р/р],"4/16",Таблица1[Ф. И. О.],B847)</f>
        <v>0</v>
      </c>
      <c r="T851" s="95">
        <f>ROUND(Q851*R851*S851,2)</f>
        <v>0</v>
      </c>
      <c r="U851" s="314">
        <f>база!$M$5</f>
        <v>247.41720000000001</v>
      </c>
      <c r="V851" s="272">
        <v>1.4</v>
      </c>
      <c r="W851" s="307">
        <f>SUMIFS(Таблица1[сумма],Таблица1[коэф],"1,4",Таблица1[р/р],"4/24",Таблица1[Ф. И. О.],B847)</f>
        <v>0</v>
      </c>
      <c r="X851" s="313">
        <f>ROUND(U851*V851*W851,2)</f>
        <v>0</v>
      </c>
      <c r="Y851" s="838"/>
      <c r="Z851" s="840"/>
      <c r="AA851" s="843"/>
    </row>
    <row r="852" spans="1:30" ht="19.5" customHeight="1" thickBot="1">
      <c r="A852" s="787"/>
      <c r="B852" s="352"/>
      <c r="C852" s="739"/>
      <c r="D852" s="741"/>
      <c r="E852" s="102"/>
      <c r="F852" s="274"/>
      <c r="G852" s="626"/>
      <c r="H852" s="91"/>
      <c r="I852" s="627"/>
      <c r="J852" s="280"/>
      <c r="K852" s="628"/>
      <c r="L852" s="289"/>
      <c r="M852" s="627"/>
      <c r="N852" s="628"/>
      <c r="O852" s="628"/>
      <c r="P852" s="315"/>
      <c r="Q852" s="629">
        <f>база!$L$6</f>
        <v>261.04640000000001</v>
      </c>
      <c r="R852" s="274">
        <v>1.4</v>
      </c>
      <c r="S852" s="98">
        <f>SUMIFS(Таблица1[сумма],Таблица1[коэф],"1,4",Таблица1[р/р],"5/16",Таблица1[Ф. И. О.],B847)</f>
        <v>0</v>
      </c>
      <c r="T852" s="91">
        <f>ROUND(Q852*R852*S852,2)</f>
        <v>0</v>
      </c>
      <c r="U852" s="221">
        <f>база!$M$6</f>
        <v>279.0496</v>
      </c>
      <c r="V852" s="274">
        <v>1.4</v>
      </c>
      <c r="W852" s="98">
        <f>SUMIFS(Таблица1[сумма],Таблица1[коэф],"1,4",Таблица1[р/р],"5/24",Таблица1[Ф. И. О.],B847)</f>
        <v>0</v>
      </c>
      <c r="X852" s="91">
        <f>ROUND(U852*V852*W852,2)</f>
        <v>0</v>
      </c>
      <c r="Y852" s="839"/>
      <c r="Z852" s="841"/>
      <c r="AA852" s="844"/>
    </row>
    <row r="853" spans="1:30" ht="18.75" customHeight="1">
      <c r="A853" s="785">
        <v>78</v>
      </c>
      <c r="B853" s="216"/>
      <c r="C853" s="738">
        <f>INDEX(база!$E$2:$E$181, MATCH(B858,база!$B$2:$B$160,0))</f>
        <v>15260</v>
      </c>
      <c r="D853" s="740">
        <f>INDEX(база!$D$2:$D$189, MATCH(B858,база!$B$2:$B$160,0))</f>
        <v>4</v>
      </c>
      <c r="E853" s="75">
        <f>IF(D853&lt;=3,база!$I$4,
IF(D853=4,база!$I$5,
IF(D853=5,база!$I$6)))</f>
        <v>207.5112</v>
      </c>
      <c r="F853" s="271">
        <v>1</v>
      </c>
      <c r="G853" s="97">
        <f>SUMIFS(Таблица1[сумма],Таблица1[коэф],"1",Таблица1[р/р],"2/4",Таблица1[Ф. И. О.],B858)</f>
        <v>0</v>
      </c>
      <c r="H853" s="103">
        <f>ROUND(E853*F853*G853,2)</f>
        <v>0</v>
      </c>
      <c r="I853" s="344">
        <f>IF(D853&lt;=3,база!$J$4,
IF(D853=4,база!$J$5,
IF(D853=5,база!$J$6)))</f>
        <v>215.4924</v>
      </c>
      <c r="J853" s="278">
        <v>1</v>
      </c>
      <c r="K853" s="309">
        <f>SUMIFS(Таблица1[сумма],Таблица1[коэф],"1",Таблица1[р/р],"2/8",Таблица1[Ф. И. О.],B858)</f>
        <v>0</v>
      </c>
      <c r="L853" s="309">
        <f>ROUND(I853*J853*K853,2)</f>
        <v>0</v>
      </c>
      <c r="M853" s="309"/>
      <c r="N853" s="309">
        <v>1</v>
      </c>
      <c r="O853" s="309">
        <f>SUMIFS(Data_Tech!$AM$3:$AM$67,Data_Tech!$E$3:$E$67,"1",Data_Tech!$G$3:$G$67,"3/12",Data_Tech!$F$3:$F$67,B858)</f>
        <v>0</v>
      </c>
      <c r="P853" s="282">
        <f>ROUND(M853*N853*O853,2)</f>
        <v>0</v>
      </c>
      <c r="Q853" s="75">
        <f>IF(D853&lt;=3,база!$L$4,
IF(D853=4,база!$L$5,
IF(D853=5,база!$L$6)))</f>
        <v>231.45480000000001</v>
      </c>
      <c r="R853" s="271">
        <v>1</v>
      </c>
      <c r="S853" s="97">
        <f>SUMIFS(Таблица1[сумма],Таблица1[коэф],"1",Таблица1[р/р],"3/16",Таблица1[Ф. И. О.],B858)</f>
        <v>0</v>
      </c>
      <c r="T853" s="103">
        <f t="shared" ref="T853:T857" si="530">ROUND(Q853*R853*S853,2)</f>
        <v>0</v>
      </c>
      <c r="U853" s="349">
        <f>IF(D853&lt;=3,база!$M$4,
IF(D853=4,база!$M$5,
IF(D853=5,база!$M$6)))</f>
        <v>247.41720000000001</v>
      </c>
      <c r="V853" s="271">
        <v>1</v>
      </c>
      <c r="W853" s="337">
        <f>SUMIFS(Таблица1[сумма],Таблица1[коэф],"1",Таблица1[р/р],"3/24",Таблица1[Ф. И. О.],B858)</f>
        <v>0</v>
      </c>
      <c r="X853" s="351">
        <f>ROUND(U853*V853*W853,2)</f>
        <v>0</v>
      </c>
      <c r="Y853" s="837">
        <f t="shared" ref="Y853" si="531">SUM(G853:G863,K853:K863,O853:O863,S853:S863,W853:W863)</f>
        <v>0</v>
      </c>
      <c r="Z853" s="840">
        <f t="shared" ref="Z853" si="532">IFERROR(SUM(H853:H863,L853:L863,T853:T863,X853:X863),"")</f>
        <v>0</v>
      </c>
      <c r="AA853" s="842"/>
    </row>
    <row r="854" spans="1:30" ht="18.75" customHeight="1">
      <c r="A854" s="786"/>
      <c r="B854" s="216"/>
      <c r="C854" s="738"/>
      <c r="D854" s="740"/>
      <c r="E854" s="79">
        <f>IF(D853&lt;=3,база!$I$4,
IF(D853=4,база!$I$5,
IF(D853=5,база!$I$6)))</f>
        <v>207.5112</v>
      </c>
      <c r="F854" s="272">
        <v>1</v>
      </c>
      <c r="G854" s="99">
        <f>SUMIFS(Таблица1[сумма],Таблица1[коэф],"1",Таблица1[р/р],"3/4",Таблица1[Ф. И. О.],B858)</f>
        <v>0</v>
      </c>
      <c r="H854" s="95">
        <f>ROUND(E854*F854*G854,2)</f>
        <v>0</v>
      </c>
      <c r="I854" s="334">
        <f>IF(D853&lt;=3,база!$J$4,
IF(D853=4,база!$J$5,
IF(D853=5,база!$J$6)))</f>
        <v>215.4924</v>
      </c>
      <c r="J854" s="279">
        <v>1</v>
      </c>
      <c r="K854" s="217"/>
      <c r="L854" s="217">
        <f>ROUND(I854*J854*K854,2)</f>
        <v>0</v>
      </c>
      <c r="M854" s="217"/>
      <c r="N854" s="217">
        <v>1</v>
      </c>
      <c r="O854" s="217">
        <f>SUMIFS(Data_Tech!$AM$3:$AM$67,Data_Tech!$E$3:$E$67,"1",Data_Tech!$G$3:$G$67,"4/12",Data_Tech!$F$3:$F$67,B858)</f>
        <v>0</v>
      </c>
      <c r="P854" s="30">
        <f>ROUND(M854*O854,2)</f>
        <v>0</v>
      </c>
      <c r="Q854" s="79">
        <f>база!$L$5</f>
        <v>231.45480000000001</v>
      </c>
      <c r="R854" s="272">
        <v>1</v>
      </c>
      <c r="S854" s="99">
        <f>SUMIFS(Таблица1[сумма],Таблица1[коэф],"1",Таблица1[р/р],"4/16",Таблица1[Ф. И. О.],B858)</f>
        <v>0</v>
      </c>
      <c r="T854" s="95">
        <f t="shared" si="530"/>
        <v>0</v>
      </c>
      <c r="U854" s="314">
        <f>база!$M$5</f>
        <v>247.41720000000001</v>
      </c>
      <c r="V854" s="272">
        <v>1</v>
      </c>
      <c r="W854" s="307">
        <f>SUMIFS(Таблица1[сумма],Таблица1[коэф],"1",Таблица1[р/р],"4/24",Таблица1[Ф. И. О.],B858)</f>
        <v>0</v>
      </c>
      <c r="X854" s="313">
        <f t="shared" ref="X854" si="533">ROUND(U854*V854*W854,2)</f>
        <v>0</v>
      </c>
      <c r="Y854" s="838"/>
      <c r="Z854" s="840"/>
      <c r="AA854" s="843"/>
    </row>
    <row r="855" spans="1:30" ht="18.75" customHeight="1">
      <c r="A855" s="786"/>
      <c r="B855" s="216"/>
      <c r="C855" s="738"/>
      <c r="D855" s="740"/>
      <c r="E855" s="79"/>
      <c r="F855" s="272"/>
      <c r="G855" s="99"/>
      <c r="H855" s="95"/>
      <c r="I855" s="334"/>
      <c r="J855" s="279"/>
      <c r="K855" s="217"/>
      <c r="L855" s="217"/>
      <c r="M855" s="217"/>
      <c r="N855" s="217"/>
      <c r="O855" s="217"/>
      <c r="P855" s="30"/>
      <c r="Q855" s="79">
        <f>база!$L$6</f>
        <v>261.04640000000001</v>
      </c>
      <c r="R855" s="272">
        <v>1</v>
      </c>
      <c r="S855" s="99">
        <f>SUMIFS(Таблица1[сумма],Таблица1[коэф],"1",Таблица1[р/р],"5/16",Таблица1[Ф. И. О.],B858)</f>
        <v>0</v>
      </c>
      <c r="T855" s="95">
        <f t="shared" si="530"/>
        <v>0</v>
      </c>
      <c r="U855" s="314">
        <f>база!$M$6</f>
        <v>279.0496</v>
      </c>
      <c r="V855" s="272">
        <v>1</v>
      </c>
      <c r="W855" s="307">
        <f>SUMIFS(Таблица1[сумма],Таблица1[коэф],"1",Таблица1[р/р],"5/24",Таблица1[Ф. И. О.],B858)</f>
        <v>0</v>
      </c>
      <c r="X855" s="313">
        <f>ROUND(U855*V855*W855,2)</f>
        <v>0</v>
      </c>
      <c r="Y855" s="838"/>
      <c r="Z855" s="840"/>
      <c r="AA855" s="843"/>
    </row>
    <row r="856" spans="1:30" ht="18.75" customHeight="1">
      <c r="A856" s="786"/>
      <c r="B856" s="216"/>
      <c r="C856" s="738"/>
      <c r="D856" s="740"/>
      <c r="E856" s="79"/>
      <c r="F856" s="272"/>
      <c r="G856" s="99"/>
      <c r="H856" s="95"/>
      <c r="I856" s="334">
        <f>база!$J$5</f>
        <v>215.4924</v>
      </c>
      <c r="J856" s="279">
        <v>1.5</v>
      </c>
      <c r="K856" s="217">
        <f>SUMIFS(Таблица1[сумма],Таблица1[коэф],"1,5",Таблица1[р/р],"4/8",Таблица1[Ф. И. О.],B858)</f>
        <v>0</v>
      </c>
      <c r="L856" s="217">
        <f>ROUND(I856*J856*K856,2)</f>
        <v>0</v>
      </c>
      <c r="M856" s="217"/>
      <c r="N856" s="217"/>
      <c r="O856" s="217"/>
      <c r="P856" s="30"/>
      <c r="Q856" s="79">
        <f>IF(D853&lt;=3,база!$L$4,
IF(D853=4,база!$L$5,
IF(D853=5,база!$L$6)))</f>
        <v>231.45480000000001</v>
      </c>
      <c r="R856" s="272">
        <v>1.2</v>
      </c>
      <c r="S856" s="99">
        <f>SUMIFS(Таблица1[сумма],Таблица1[коэф],"1,2",Таблица1[р/р],"3/16",Таблица1[Ф. И. О.],B858)</f>
        <v>0</v>
      </c>
      <c r="T856" s="95">
        <f t="shared" si="530"/>
        <v>0</v>
      </c>
      <c r="U856" s="314">
        <f>IF(D853&lt;=3,база!$M$4,
IF(D853=4,база!$M$5,
IF(D853=5,база!$M$6)))</f>
        <v>247.41720000000001</v>
      </c>
      <c r="V856" s="272">
        <v>1.2</v>
      </c>
      <c r="W856" s="307">
        <f>SUMIFS(Таблица1[сумма],Таблица1[коэф],"1,2",Таблица1[р/р],"3/24",Таблица1[Ф. И. О.],B858)</f>
        <v>0</v>
      </c>
      <c r="X856" s="313">
        <f t="shared" ref="X856:X857" si="534">ROUND(U856*V856*W856,2)</f>
        <v>0</v>
      </c>
      <c r="Y856" s="838"/>
      <c r="Z856" s="840"/>
      <c r="AA856" s="843"/>
    </row>
    <row r="857" spans="1:30" ht="18.75" customHeight="1">
      <c r="A857" s="786"/>
      <c r="B857" s="216"/>
      <c r="C857" s="738"/>
      <c r="D857" s="740"/>
      <c r="E857" s="79"/>
      <c r="F857" s="272"/>
      <c r="G857" s="99"/>
      <c r="H857" s="95"/>
      <c r="I857" s="334">
        <f>база!$J$6</f>
        <v>243.04319999999998</v>
      </c>
      <c r="J857" s="279">
        <v>1.5</v>
      </c>
      <c r="K857" s="217">
        <f>SUMIFS(Таблица1[сумма],Таблица1[коэф],"1,5",Таблица1[р/р],"5/8",Таблица1[Ф. И. О.],B858)</f>
        <v>0</v>
      </c>
      <c r="L857" s="217">
        <f>ROUND(I857*J857*K857,2)</f>
        <v>0</v>
      </c>
      <c r="M857" s="217"/>
      <c r="N857" s="217"/>
      <c r="O857" s="217"/>
      <c r="P857" s="30"/>
      <c r="Q857" s="79">
        <f>база!$L$5</f>
        <v>231.45480000000001</v>
      </c>
      <c r="R857" s="272">
        <v>1.2</v>
      </c>
      <c r="S857" s="99">
        <f>SUMIFS(Таблица1[сумма],Таблица1[коэф],"1,2",Таблица1[р/р],"4/16",Таблица1[Ф. И. О.],B858)</f>
        <v>0</v>
      </c>
      <c r="T857" s="95">
        <f t="shared" si="530"/>
        <v>0</v>
      </c>
      <c r="U857" s="314">
        <f>база!$M$5</f>
        <v>247.41720000000001</v>
      </c>
      <c r="V857" s="272">
        <v>1.2</v>
      </c>
      <c r="W857" s="307">
        <f>SUMIFS(Таблица1[сумма],Таблица1[коэф],"1,2",Таблица1[р/р],"4/24",Таблица1[Ф. И. О.],B858)</f>
        <v>0</v>
      </c>
      <c r="X857" s="313">
        <f t="shared" si="534"/>
        <v>0</v>
      </c>
      <c r="Y857" s="838"/>
      <c r="Z857" s="840"/>
      <c r="AA857" s="843"/>
      <c r="AC857" s="722" t="str">
        <f>IF(SUMIFS(Таблица1[Столбец2],Таблица1[Ф. И. О.],B858)-Z853=0,"",SUMIFS(Таблица1[Столбец2],Таблица1[Ф. И. О.],B858)-Z853)</f>
        <v/>
      </c>
    </row>
    <row r="858" spans="1:30" ht="18.75" customHeight="1">
      <c r="A858" s="786"/>
      <c r="B858" s="216" t="str">
        <f>база!B79</f>
        <v>Шамарина Светлана Владимировна</v>
      </c>
      <c r="C858" s="738"/>
      <c r="D858" s="740"/>
      <c r="E858" s="79"/>
      <c r="F858" s="272"/>
      <c r="G858" s="99"/>
      <c r="H858" s="95"/>
      <c r="I858" s="334"/>
      <c r="J858" s="279"/>
      <c r="K858" s="217"/>
      <c r="L858" s="217"/>
      <c r="M858" s="217"/>
      <c r="N858" s="217"/>
      <c r="O858" s="217"/>
      <c r="P858" s="30"/>
      <c r="Q858" s="79">
        <f>база!$L$6</f>
        <v>261.04640000000001</v>
      </c>
      <c r="R858" s="272">
        <v>1.2</v>
      </c>
      <c r="S858" s="99">
        <f>SUMIFS(Таблица1[сумма],Таблица1[коэф],"1,2",Таблица1[р/р],"5/16",Таблица1[Ф. И. О.],B858)</f>
        <v>0</v>
      </c>
      <c r="T858" s="95">
        <f>ROUND(Q858*R858*S858,2)</f>
        <v>0</v>
      </c>
      <c r="U858" s="314">
        <f>база!$M$6</f>
        <v>279.0496</v>
      </c>
      <c r="V858" s="272">
        <v>1.2</v>
      </c>
      <c r="W858" s="307">
        <f>SUMIFS(Таблица1[сумма],Таблица1[коэф],"1,2",Таблица1[р/р],"5/24",Таблица1[Ф. И. О.],B858)</f>
        <v>0</v>
      </c>
      <c r="X858" s="313">
        <f>ROUND(U858*V858*W858,2)</f>
        <v>0</v>
      </c>
      <c r="Y858" s="838"/>
      <c r="Z858" s="840"/>
      <c r="AA858" s="843"/>
      <c r="AC858" s="722" t="str">
        <f>IF(SUMIFS(Таблица1[сумма],Таблица1[Ф. И. О.],B858)=Y853,"",B853&amp;"  часы не верны")</f>
        <v/>
      </c>
      <c r="AD858" s="759">
        <f>INDEX('[2]декабрь 23'!$AI$4:$AI$100,MATCH(C853,'[2]декабрь 23'!$AK$4:$AK$100,0))</f>
        <v>151.19999999999999</v>
      </c>
    </row>
    <row r="859" spans="1:30" ht="18.75" customHeight="1">
      <c r="A859" s="786"/>
      <c r="B859" s="216"/>
      <c r="C859" s="738"/>
      <c r="D859" s="740"/>
      <c r="E859" s="79"/>
      <c r="F859" s="272"/>
      <c r="G859" s="99"/>
      <c r="H859" s="95"/>
      <c r="I859" s="334"/>
      <c r="J859" s="279"/>
      <c r="K859" s="217"/>
      <c r="L859" s="217"/>
      <c r="M859" s="217"/>
      <c r="N859" s="217"/>
      <c r="O859" s="217"/>
      <c r="P859" s="30"/>
      <c r="Q859" s="79">
        <f>IF($D$6&lt;=3,база!$L$4,
IF($D$6=4,база!$L$5,
IF($D$6=5,база!$L$6)))</f>
        <v>231.45480000000001</v>
      </c>
      <c r="R859" s="272">
        <v>1.3</v>
      </c>
      <c r="S859" s="99">
        <f>SUMIFS(Таблица1[сумма],Таблица1[коэф],"1,3",Таблица1[р/р],"3/16",Таблица1[Ф. И. О.],B858)</f>
        <v>0</v>
      </c>
      <c r="T859" s="95">
        <f t="shared" ref="T859:T860" si="535">ROUND(Q859*R859*S859,2)</f>
        <v>0</v>
      </c>
      <c r="U859" s="314">
        <f>IF(D853&lt;=3,база!$M$4,
IF(D853=4,база!$M$5,
IF(D853=5,база!$M$6)))</f>
        <v>247.41720000000001</v>
      </c>
      <c r="V859" s="272">
        <v>1.3</v>
      </c>
      <c r="W859" s="307">
        <f>SUMIFS(Таблица1[сумма],Таблица1[коэф],"1,3",Таблица1[р/р],"3/24",Таблица1[Ф. И. О.],B858)</f>
        <v>0</v>
      </c>
      <c r="X859" s="313">
        <f t="shared" ref="X859:X860" si="536">ROUND(U859*V859*W859,2)</f>
        <v>0</v>
      </c>
      <c r="Y859" s="838"/>
      <c r="Z859" s="840"/>
      <c r="AA859" s="843"/>
    </row>
    <row r="860" spans="1:30" ht="18.75" customHeight="1">
      <c r="A860" s="786"/>
      <c r="B860" s="216"/>
      <c r="C860" s="738"/>
      <c r="D860" s="740"/>
      <c r="E860" s="79"/>
      <c r="F860" s="272"/>
      <c r="G860" s="99"/>
      <c r="H860" s="95"/>
      <c r="I860" s="334"/>
      <c r="J860" s="279"/>
      <c r="K860" s="217"/>
      <c r="L860" s="217"/>
      <c r="M860" s="217"/>
      <c r="N860" s="217"/>
      <c r="O860" s="217"/>
      <c r="P860" s="30"/>
      <c r="Q860" s="79">
        <f>база!$L$5</f>
        <v>231.45480000000001</v>
      </c>
      <c r="R860" s="272">
        <v>1.3</v>
      </c>
      <c r="S860" s="99">
        <f>SUMIFS(Таблица1[сумма],Таблица1[коэф],"1,3",Таблица1[р/р],"4/16",Таблица1[Ф. И. О.],B858)</f>
        <v>0</v>
      </c>
      <c r="T860" s="95">
        <f t="shared" si="535"/>
        <v>0</v>
      </c>
      <c r="U860" s="314">
        <f>база!$M$5</f>
        <v>247.41720000000001</v>
      </c>
      <c r="V860" s="272">
        <v>1.3</v>
      </c>
      <c r="W860" s="307">
        <f>SUMIFS(Таблица1[сумма],Таблица1[коэф],"1,3",Таблица1[р/р],"4/24",Таблица1[Ф. И. О.],B858)</f>
        <v>0</v>
      </c>
      <c r="X860" s="313">
        <f t="shared" si="536"/>
        <v>0</v>
      </c>
      <c r="Y860" s="838"/>
      <c r="Z860" s="840"/>
      <c r="AA860" s="843"/>
    </row>
    <row r="861" spans="1:30" ht="18.75" customHeight="1">
      <c r="A861" s="786"/>
      <c r="B861" s="216"/>
      <c r="C861" s="738"/>
      <c r="D861" s="740"/>
      <c r="E861" s="79"/>
      <c r="F861" s="272"/>
      <c r="G861" s="99"/>
      <c r="H861" s="95"/>
      <c r="I861" s="334"/>
      <c r="J861" s="279"/>
      <c r="K861" s="217"/>
      <c r="L861" s="217"/>
      <c r="M861" s="217"/>
      <c r="N861" s="217"/>
      <c r="O861" s="217"/>
      <c r="P861" s="30"/>
      <c r="Q861" s="79">
        <f>IF(D853&lt;=3,база!$L$4,
IF(D853=4,база!$L$5,
IF(D853=5,база!$L$6)))</f>
        <v>231.45480000000001</v>
      </c>
      <c r="R861" s="272">
        <v>1.4</v>
      </c>
      <c r="S861" s="99">
        <f>SUMIFS(Таблица1[сумма],Таблица1[коэф],"1,4",Таблица1[р/р],"3/16",Таблица1[Ф. И. О.],B858)</f>
        <v>0</v>
      </c>
      <c r="T861" s="95">
        <f>ROUND(Q861*R861*S861,2)</f>
        <v>0</v>
      </c>
      <c r="U861" s="314">
        <f>IF(D853&lt;=3,база!$M$4,
IF(D853=4,база!$M$5,
IF(D853=5,база!$M$6)))</f>
        <v>247.41720000000001</v>
      </c>
      <c r="V861" s="272">
        <v>1.4</v>
      </c>
      <c r="W861" s="307">
        <f>SUMIFS(Таблица1[сумма],Таблица1[коэф],"1,4",Таблица1[р/р],"3/24",Таблица1[Ф. И. О.],B858)</f>
        <v>0</v>
      </c>
      <c r="X861" s="313">
        <f>ROUND(U861*V861*W861,2)</f>
        <v>0</v>
      </c>
      <c r="Y861" s="838"/>
      <c r="Z861" s="840"/>
      <c r="AA861" s="843"/>
    </row>
    <row r="862" spans="1:30" ht="18.75" customHeight="1">
      <c r="A862" s="786"/>
      <c r="B862" s="216"/>
      <c r="C862" s="738"/>
      <c r="D862" s="740"/>
      <c r="E862" s="79"/>
      <c r="F862" s="272"/>
      <c r="G862" s="99"/>
      <c r="H862" s="95"/>
      <c r="I862" s="334"/>
      <c r="J862" s="279"/>
      <c r="K862" s="217"/>
      <c r="L862" s="217"/>
      <c r="M862" s="217"/>
      <c r="N862" s="217"/>
      <c r="O862" s="217"/>
      <c r="P862" s="30"/>
      <c r="Q862" s="79">
        <f>база!$L$5</f>
        <v>231.45480000000001</v>
      </c>
      <c r="R862" s="272">
        <v>1.4</v>
      </c>
      <c r="S862" s="99">
        <f>SUMIFS(Таблица1[сумма],Таблица1[коэф],"1,4",Таблица1[р/р],"4/16",Таблица1[Ф. И. О.],B858)</f>
        <v>0</v>
      </c>
      <c r="T862" s="95">
        <f>ROUND(Q862*R862*S862,2)</f>
        <v>0</v>
      </c>
      <c r="U862" s="314">
        <f>база!$M$5</f>
        <v>247.41720000000001</v>
      </c>
      <c r="V862" s="272">
        <v>1.4</v>
      </c>
      <c r="W862" s="307">
        <f>SUMIFS(Таблица1[сумма],Таблица1[коэф],"1,4",Таблица1[р/р],"4/24",Таблица1[Ф. И. О.],B858)</f>
        <v>0</v>
      </c>
      <c r="X862" s="313">
        <f>ROUND(U862*V862*W862,2)</f>
        <v>0</v>
      </c>
      <c r="Y862" s="838"/>
      <c r="Z862" s="840"/>
      <c r="AA862" s="843"/>
    </row>
    <row r="863" spans="1:30" ht="19.5" customHeight="1" thickBot="1">
      <c r="A863" s="787"/>
      <c r="B863" s="352"/>
      <c r="C863" s="739"/>
      <c r="D863" s="741"/>
      <c r="E863" s="102"/>
      <c r="F863" s="274"/>
      <c r="G863" s="626"/>
      <c r="H863" s="91"/>
      <c r="I863" s="627"/>
      <c r="J863" s="280"/>
      <c r="K863" s="628"/>
      <c r="L863" s="289"/>
      <c r="M863" s="627"/>
      <c r="N863" s="628"/>
      <c r="O863" s="628"/>
      <c r="P863" s="315"/>
      <c r="Q863" s="629">
        <f>база!$L$6</f>
        <v>261.04640000000001</v>
      </c>
      <c r="R863" s="274">
        <v>1.4</v>
      </c>
      <c r="S863" s="98">
        <f>SUMIFS(Таблица1[сумма],Таблица1[коэф],"1,4",Таблица1[р/р],"5/16",Таблица1[Ф. И. О.],B858)</f>
        <v>0</v>
      </c>
      <c r="T863" s="91">
        <f>ROUND(Q863*R863*S863,2)</f>
        <v>0</v>
      </c>
      <c r="U863" s="221">
        <f>база!$M$6</f>
        <v>279.0496</v>
      </c>
      <c r="V863" s="274">
        <v>1.4</v>
      </c>
      <c r="W863" s="98">
        <f>SUMIFS(Таблица1[сумма],Таблица1[коэф],"1,4",Таблица1[р/р],"5/24",Таблица1[Ф. И. О.],B858)</f>
        <v>0</v>
      </c>
      <c r="X863" s="91">
        <f>ROUND(U863*V863*W863,2)</f>
        <v>0</v>
      </c>
      <c r="Y863" s="839"/>
      <c r="Z863" s="841"/>
      <c r="AA863" s="844"/>
    </row>
    <row r="864" spans="1:30" ht="18.75" customHeight="1">
      <c r="A864" s="785">
        <v>79</v>
      </c>
      <c r="B864" s="216"/>
      <c r="C864" s="764">
        <f>INDEX(база!$E$2:$E$181, MATCH(B869,база!$B$2:$B$160,0))</f>
        <v>17079</v>
      </c>
      <c r="D864" s="766">
        <f>INDEX(база!$D$2:$D$189, MATCH(B869,база!$B$2:$B$160,0))</f>
        <v>3</v>
      </c>
      <c r="E864" s="75">
        <f>IF(D864&lt;=3,база!$I$4,
IF(D864=4,база!$I$5,
IF(D864=5,база!$I$6)))</f>
        <v>188.7912</v>
      </c>
      <c r="F864" s="271">
        <v>1</v>
      </c>
      <c r="G864" s="97">
        <f>SUMIFS(Таблица1[сумма],Таблица1[коэф],"1",Таблица1[р/р],"2/4",Таблица1[Ф. И. О.],B869)</f>
        <v>0</v>
      </c>
      <c r="H864" s="103">
        <f>ROUND(E864*F864*G864,2)</f>
        <v>0</v>
      </c>
      <c r="I864" s="344">
        <f>IF(D864&lt;=3,база!$J$4,
IF(D864=4,база!$J$5,
IF(D864=5,база!$J$6)))</f>
        <v>196.05240000000001</v>
      </c>
      <c r="J864" s="278">
        <v>1</v>
      </c>
      <c r="K864" s="309">
        <f>SUMIFS(Таблица1[сумма],Таблица1[коэф],"1",Таблица1[р/р],"2/8",Таблица1[Ф. И. О.],B869)</f>
        <v>0</v>
      </c>
      <c r="L864" s="309">
        <f>ROUND(I864*J864*K864,2)</f>
        <v>0</v>
      </c>
      <c r="M864" s="309"/>
      <c r="N864" s="309">
        <v>1</v>
      </c>
      <c r="O864" s="309">
        <f>SUMIFS(Data_Tech!$AM$3:$AM$67,Data_Tech!$E$3:$E$67,"1",Data_Tech!$G$3:$G$67,"3/12",Data_Tech!$F$3:$F$67,B869)</f>
        <v>0</v>
      </c>
      <c r="P864" s="282">
        <f>ROUND(M864*N864*O864,2)</f>
        <v>0</v>
      </c>
      <c r="Q864" s="75">
        <f>IF(D864&lt;=3,база!$L$4,
IF(D864=4,база!$L$5,
IF(D864=5,база!$L$6)))</f>
        <v>210.57480000000001</v>
      </c>
      <c r="R864" s="271">
        <v>1</v>
      </c>
      <c r="S864" s="97">
        <f>SUMIFS(Таблица1[сумма],Таблица1[коэф],"1",Таблица1[р/р],"3/16",Таблица1[Ф. И. О.],B869)</f>
        <v>0</v>
      </c>
      <c r="T864" s="103">
        <f t="shared" ref="T864:T868" si="537">ROUND(Q864*R864*S864,2)</f>
        <v>0</v>
      </c>
      <c r="U864" s="349">
        <f>IF(D864&lt;=3,база!$M$4,
IF(D864=4,база!$M$5,
IF(D864=5,база!$M$6)))</f>
        <v>225.09719999999999</v>
      </c>
      <c r="V864" s="271">
        <v>1</v>
      </c>
      <c r="W864" s="337">
        <f>SUMIFS(Таблица1[сумма],Таблица1[коэф],"1",Таблица1[р/р],"3/24",Таблица1[Ф. И. О.],B869)</f>
        <v>0</v>
      </c>
      <c r="X864" s="351">
        <f>ROUND(U864*V864*W864,2)</f>
        <v>0</v>
      </c>
      <c r="Y864" s="837">
        <f t="shared" ref="Y864" si="538">SUM(G864:G874,K864:K874,O864:O874,S864:S874,W864:W874)</f>
        <v>0</v>
      </c>
      <c r="Z864" s="840">
        <f t="shared" ref="Z864" si="539">IFERROR(SUM(H864:H874,L864:L874,T864:T874,X864:X874),"")</f>
        <v>0</v>
      </c>
      <c r="AA864" s="842"/>
    </row>
    <row r="865" spans="1:30" ht="18.75" customHeight="1">
      <c r="A865" s="786"/>
      <c r="B865" s="216"/>
      <c r="C865" s="764"/>
      <c r="D865" s="766"/>
      <c r="E865" s="79">
        <f>IF(D864&lt;=3,база!$I$4,
IF(D864=4,база!$I$5,
IF(D864=5,база!$I$6)))</f>
        <v>188.7912</v>
      </c>
      <c r="F865" s="272">
        <v>1</v>
      </c>
      <c r="G865" s="99">
        <f>SUMIFS(Таблица1[сумма],Таблица1[коэф],"1",Таблица1[р/р],"3/4",Таблица1[Ф. И. О.],B869)</f>
        <v>0</v>
      </c>
      <c r="H865" s="95">
        <f>ROUND(E865*F865*G865,2)</f>
        <v>0</v>
      </c>
      <c r="I865" s="334">
        <f>IF(D864&lt;=3,база!$J$4,
IF(D864=4,база!$J$5,
IF(D864=5,база!$J$6)))</f>
        <v>196.05240000000001</v>
      </c>
      <c r="J865" s="279">
        <v>1</v>
      </c>
      <c r="K865" s="217"/>
      <c r="L865" s="217">
        <f>ROUND(I865*J865*K865,2)</f>
        <v>0</v>
      </c>
      <c r="M865" s="217"/>
      <c r="N865" s="217">
        <v>1</v>
      </c>
      <c r="O865" s="217">
        <f>SUMIFS(Data_Tech!$AM$3:$AM$67,Data_Tech!$E$3:$E$67,"1",Data_Tech!$G$3:$G$67,"4/12",Data_Tech!$F$3:$F$67,B869)</f>
        <v>0</v>
      </c>
      <c r="P865" s="30">
        <f>ROUND(M865*O865,2)</f>
        <v>0</v>
      </c>
      <c r="Q865" s="79">
        <f>база!$L$5</f>
        <v>231.45480000000001</v>
      </c>
      <c r="R865" s="272">
        <v>1</v>
      </c>
      <c r="S865" s="99">
        <f>SUMIFS(Таблица1[сумма],Таблица1[коэф],"1",Таблица1[р/р],"4/16",Таблица1[Ф. И. О.],B869)</f>
        <v>0</v>
      </c>
      <c r="T865" s="95">
        <f t="shared" si="537"/>
        <v>0</v>
      </c>
      <c r="U865" s="314">
        <f>база!$M$5</f>
        <v>247.41720000000001</v>
      </c>
      <c r="V865" s="272">
        <v>1</v>
      </c>
      <c r="W865" s="307">
        <f>SUMIFS(Таблица1[сумма],Таблица1[коэф],"1",Таблица1[р/р],"4/24",Таблица1[Ф. И. О.],B869)</f>
        <v>0</v>
      </c>
      <c r="X865" s="313">
        <f t="shared" ref="X865" si="540">ROUND(U865*V865*W865,2)</f>
        <v>0</v>
      </c>
      <c r="Y865" s="838"/>
      <c r="Z865" s="840"/>
      <c r="AA865" s="843"/>
    </row>
    <row r="866" spans="1:30" ht="18.75" customHeight="1">
      <c r="A866" s="786"/>
      <c r="B866" s="216"/>
      <c r="C866" s="764"/>
      <c r="D866" s="766"/>
      <c r="E866" s="79"/>
      <c r="F866" s="272"/>
      <c r="G866" s="99"/>
      <c r="H866" s="95"/>
      <c r="I866" s="334"/>
      <c r="J866" s="279"/>
      <c r="K866" s="217"/>
      <c r="L866" s="217"/>
      <c r="M866" s="217"/>
      <c r="N866" s="217"/>
      <c r="O866" s="217"/>
      <c r="P866" s="30"/>
      <c r="Q866" s="79">
        <f>база!$L$6</f>
        <v>261.04640000000001</v>
      </c>
      <c r="R866" s="272">
        <v>1</v>
      </c>
      <c r="S866" s="99">
        <f>SUMIFS(Таблица1[сумма],Таблица1[коэф],"1",Таблица1[р/р],"5/16",Таблица1[Ф. И. О.],B869)</f>
        <v>0</v>
      </c>
      <c r="T866" s="95">
        <f t="shared" si="537"/>
        <v>0</v>
      </c>
      <c r="U866" s="314">
        <f>база!$M$6</f>
        <v>279.0496</v>
      </c>
      <c r="V866" s="272">
        <v>1</v>
      </c>
      <c r="W866" s="307">
        <f>SUMIFS(Таблица1[сумма],Таблица1[коэф],"1",Таблица1[р/р],"5/24",Таблица1[Ф. И. О.],B869)</f>
        <v>0</v>
      </c>
      <c r="X866" s="313">
        <f>ROUND(U866*V866*W866,2)</f>
        <v>0</v>
      </c>
      <c r="Y866" s="838"/>
      <c r="Z866" s="840"/>
      <c r="AA866" s="843"/>
    </row>
    <row r="867" spans="1:30" ht="18.75" customHeight="1">
      <c r="A867" s="786"/>
      <c r="B867" s="216"/>
      <c r="C867" s="764"/>
      <c r="D867" s="766"/>
      <c r="E867" s="79"/>
      <c r="F867" s="272"/>
      <c r="G867" s="99"/>
      <c r="H867" s="95"/>
      <c r="I867" s="334">
        <f>база!$J$5</f>
        <v>215.4924</v>
      </c>
      <c r="J867" s="279">
        <v>1.5</v>
      </c>
      <c r="K867" s="217">
        <f>SUMIFS(Таблица1[сумма],Таблица1[коэф],"1,5",Таблица1[р/р],"4/8",Таблица1[Ф. И. О.],B869)</f>
        <v>0</v>
      </c>
      <c r="L867" s="217">
        <f>ROUND(I867*J867*K867,2)</f>
        <v>0</v>
      </c>
      <c r="M867" s="217"/>
      <c r="N867" s="217"/>
      <c r="O867" s="217"/>
      <c r="P867" s="30"/>
      <c r="Q867" s="79">
        <f>IF(D864&lt;=3,база!$L$4,
IF(D864=4,база!$L$5,
IF(D864=5,база!$L$6)))</f>
        <v>210.57480000000001</v>
      </c>
      <c r="R867" s="272">
        <v>1.2</v>
      </c>
      <c r="S867" s="99">
        <f>SUMIFS(Таблица1[сумма],Таблица1[коэф],"1,2",Таблица1[р/р],"3/16",Таблица1[Ф. И. О.],B869)</f>
        <v>0</v>
      </c>
      <c r="T867" s="95">
        <f t="shared" si="537"/>
        <v>0</v>
      </c>
      <c r="U867" s="314">
        <f>IF(D864&lt;=3,база!$M$4,
IF(D864=4,база!$M$5,
IF(D864=5,база!$M$6)))</f>
        <v>225.09719999999999</v>
      </c>
      <c r="V867" s="272">
        <v>1.2</v>
      </c>
      <c r="W867" s="307">
        <f>SUMIFS(Таблица1[сумма],Таблица1[коэф],"1,2",Таблица1[р/р],"3/24",Таблица1[Ф. И. О.],B869)</f>
        <v>0</v>
      </c>
      <c r="X867" s="313">
        <f t="shared" ref="X867:X868" si="541">ROUND(U867*V867*W867,2)</f>
        <v>0</v>
      </c>
      <c r="Y867" s="838"/>
      <c r="Z867" s="840"/>
      <c r="AA867" s="843"/>
    </row>
    <row r="868" spans="1:30" ht="18.75" customHeight="1">
      <c r="A868" s="786"/>
      <c r="B868" s="216"/>
      <c r="C868" s="764"/>
      <c r="D868" s="766"/>
      <c r="E868" s="79"/>
      <c r="F868" s="272"/>
      <c r="G868" s="99"/>
      <c r="H868" s="95"/>
      <c r="I868" s="334">
        <f>база!$J$6</f>
        <v>243.04319999999998</v>
      </c>
      <c r="J868" s="279">
        <v>1.5</v>
      </c>
      <c r="K868" s="217">
        <f>SUMIFS(Таблица1[сумма],Таблица1[коэф],"1,5",Таблица1[р/р],"5/8",Таблица1[Ф. И. О.],B869)</f>
        <v>0</v>
      </c>
      <c r="L868" s="217">
        <f>ROUND(I868*J868*K868,2)</f>
        <v>0</v>
      </c>
      <c r="M868" s="217"/>
      <c r="N868" s="217"/>
      <c r="O868" s="217"/>
      <c r="P868" s="30"/>
      <c r="Q868" s="79">
        <f>база!$L$5</f>
        <v>231.45480000000001</v>
      </c>
      <c r="R868" s="272">
        <v>1.2</v>
      </c>
      <c r="S868" s="99">
        <f>SUMIFS(Таблица1[сумма],Таблица1[коэф],"1,2",Таблица1[р/р],"4/16",Таблица1[Ф. И. О.],B869)</f>
        <v>0</v>
      </c>
      <c r="T868" s="95">
        <f t="shared" si="537"/>
        <v>0</v>
      </c>
      <c r="U868" s="314">
        <f>база!$M$5</f>
        <v>247.41720000000001</v>
      </c>
      <c r="V868" s="272">
        <v>1.2</v>
      </c>
      <c r="W868" s="307">
        <f>SUMIFS(Таблица1[сумма],Таблица1[коэф],"1,2",Таблица1[р/р],"4/24",Таблица1[Ф. И. О.],B869)</f>
        <v>0</v>
      </c>
      <c r="X868" s="313">
        <f t="shared" si="541"/>
        <v>0</v>
      </c>
      <c r="Y868" s="838"/>
      <c r="Z868" s="840"/>
      <c r="AA868" s="843"/>
      <c r="AC868" s="722" t="str">
        <f>IF(SUMIFS(Таблица1[Столбец2],Таблица1[Ф. И. О.],B869)-Z864=0,"",SUMIFS(Таблица1[Столбец2],Таблица1[Ф. И. О.],B869)-Z864)</f>
        <v/>
      </c>
    </row>
    <row r="869" spans="1:30" ht="18.75" customHeight="1">
      <c r="A869" s="786"/>
      <c r="B869" s="216" t="str">
        <f>база!B80</f>
        <v>Шишина Наталья Александровна</v>
      </c>
      <c r="C869" s="764"/>
      <c r="D869" s="766"/>
      <c r="E869" s="79"/>
      <c r="F869" s="272"/>
      <c r="G869" s="99"/>
      <c r="H869" s="95"/>
      <c r="I869" s="334"/>
      <c r="J869" s="279"/>
      <c r="K869" s="217"/>
      <c r="L869" s="217"/>
      <c r="M869" s="217"/>
      <c r="N869" s="217"/>
      <c r="O869" s="217"/>
      <c r="P869" s="30"/>
      <c r="Q869" s="79">
        <f>база!$L$6</f>
        <v>261.04640000000001</v>
      </c>
      <c r="R869" s="272">
        <v>1.2</v>
      </c>
      <c r="S869" s="99">
        <f>SUMIFS(Таблица1[сумма],Таблица1[коэф],"1,2",Таблица1[р/р],"5/16",Таблица1[Ф. И. О.],B869)</f>
        <v>0</v>
      </c>
      <c r="T869" s="95">
        <f>ROUND(Q869*R869*S869,2)</f>
        <v>0</v>
      </c>
      <c r="U869" s="314">
        <f>база!$M$6</f>
        <v>279.0496</v>
      </c>
      <c r="V869" s="272">
        <v>1.2</v>
      </c>
      <c r="W869" s="307">
        <f>SUMIFS(Таблица1[сумма],Таблица1[коэф],"1,2",Таблица1[р/р],"5/24",Таблица1[Ф. И. О.],B869)</f>
        <v>0</v>
      </c>
      <c r="X869" s="313">
        <f>ROUND(U869*V869*W869,2)</f>
        <v>0</v>
      </c>
      <c r="Y869" s="838"/>
      <c r="Z869" s="840"/>
      <c r="AA869" s="843"/>
      <c r="AC869" s="722" t="str">
        <f>IF(SUMIFS(Таблица1[сумма],Таблица1[Ф. И. О.],B869)=Y864,"",B864&amp;"  часы не верны")</f>
        <v/>
      </c>
      <c r="AD869" s="759">
        <f>INDEX('[2]декабрь 23'!$AI$4:$AI$100,MATCH(C864,'[2]декабрь 23'!$AK$4:$AK$100,0))</f>
        <v>144</v>
      </c>
    </row>
    <row r="870" spans="1:30" ht="18.75" customHeight="1">
      <c r="A870" s="786"/>
      <c r="B870" s="216"/>
      <c r="C870" s="764"/>
      <c r="D870" s="766"/>
      <c r="E870" s="79"/>
      <c r="F870" s="272"/>
      <c r="G870" s="99"/>
      <c r="H870" s="95"/>
      <c r="I870" s="334"/>
      <c r="J870" s="279"/>
      <c r="K870" s="217"/>
      <c r="L870" s="217"/>
      <c r="M870" s="217"/>
      <c r="N870" s="217"/>
      <c r="O870" s="217"/>
      <c r="P870" s="30"/>
      <c r="Q870" s="79">
        <f>IF($D$6&lt;=3,база!$L$4,
IF($D$6=4,база!$L$5,
IF($D$6=5,база!$L$6)))</f>
        <v>231.45480000000001</v>
      </c>
      <c r="R870" s="272">
        <v>1.3</v>
      </c>
      <c r="S870" s="99">
        <f>SUMIFS(Таблица1[сумма],Таблица1[коэф],"1,3",Таблица1[р/р],"3/16",Таблица1[Ф. И. О.],B869)</f>
        <v>0</v>
      </c>
      <c r="T870" s="95">
        <f t="shared" ref="T870:T871" si="542">ROUND(Q870*R870*S870,2)</f>
        <v>0</v>
      </c>
      <c r="U870" s="314">
        <f>IF(D864&lt;=3,база!$M$4,
IF(D864=4,база!$M$5,
IF(D864=5,база!$M$6)))</f>
        <v>225.09719999999999</v>
      </c>
      <c r="V870" s="272">
        <v>1.3</v>
      </c>
      <c r="W870" s="307">
        <f>SUMIFS(Таблица1[сумма],Таблица1[коэф],"1,3",Таблица1[р/р],"3/24",Таблица1[Ф. И. О.],B869)</f>
        <v>0</v>
      </c>
      <c r="X870" s="313">
        <f t="shared" ref="X870:X871" si="543">ROUND(U870*V870*W870,2)</f>
        <v>0</v>
      </c>
      <c r="Y870" s="838"/>
      <c r="Z870" s="840"/>
      <c r="AA870" s="843"/>
    </row>
    <row r="871" spans="1:30" ht="18.75" customHeight="1">
      <c r="A871" s="786"/>
      <c r="B871" s="216"/>
      <c r="C871" s="764"/>
      <c r="D871" s="766"/>
      <c r="E871" s="79"/>
      <c r="F871" s="272"/>
      <c r="G871" s="99"/>
      <c r="H871" s="95"/>
      <c r="I871" s="334"/>
      <c r="J871" s="279"/>
      <c r="K871" s="217"/>
      <c r="L871" s="217"/>
      <c r="M871" s="217"/>
      <c r="N871" s="217"/>
      <c r="O871" s="217"/>
      <c r="P871" s="30"/>
      <c r="Q871" s="79">
        <f>база!$L$5</f>
        <v>231.45480000000001</v>
      </c>
      <c r="R871" s="272">
        <v>1.3</v>
      </c>
      <c r="S871" s="99">
        <f>SUMIFS(Таблица1[сумма],Таблица1[коэф],"1,3",Таблица1[р/р],"4/16",Таблица1[Ф. И. О.],B869)</f>
        <v>0</v>
      </c>
      <c r="T871" s="95">
        <f t="shared" si="542"/>
        <v>0</v>
      </c>
      <c r="U871" s="314">
        <f>база!$M$5</f>
        <v>247.41720000000001</v>
      </c>
      <c r="V871" s="272">
        <v>1.3</v>
      </c>
      <c r="W871" s="307">
        <f>SUMIFS(Таблица1[сумма],Таблица1[коэф],"1,3",Таблица1[р/р],"4/24",Таблица1[Ф. И. О.],B869)</f>
        <v>0</v>
      </c>
      <c r="X871" s="313">
        <f t="shared" si="543"/>
        <v>0</v>
      </c>
      <c r="Y871" s="838"/>
      <c r="Z871" s="840"/>
      <c r="AA871" s="843"/>
    </row>
    <row r="872" spans="1:30" ht="18.75" customHeight="1">
      <c r="A872" s="786"/>
      <c r="B872" s="216"/>
      <c r="C872" s="764"/>
      <c r="D872" s="766"/>
      <c r="E872" s="79"/>
      <c r="F872" s="272"/>
      <c r="G872" s="99"/>
      <c r="H872" s="95"/>
      <c r="I872" s="334"/>
      <c r="J872" s="279"/>
      <c r="K872" s="217"/>
      <c r="L872" s="217"/>
      <c r="M872" s="217"/>
      <c r="N872" s="217"/>
      <c r="O872" s="217"/>
      <c r="P872" s="30"/>
      <c r="Q872" s="79">
        <f>IF(D864&lt;=3,база!$L$4,
IF(D864=4,база!$L$5,
IF(D864=5,база!$L$6)))</f>
        <v>210.57480000000001</v>
      </c>
      <c r="R872" s="272">
        <v>1.4</v>
      </c>
      <c r="S872" s="99">
        <f>SUMIFS(Таблица1[сумма],Таблица1[коэф],"1,4",Таблица1[р/р],"3/16",Таблица1[Ф. И. О.],B869)</f>
        <v>0</v>
      </c>
      <c r="T872" s="95">
        <f>ROUND(Q872*R872*S872,2)</f>
        <v>0</v>
      </c>
      <c r="U872" s="314">
        <f>IF(D864&lt;=3,база!$M$4,
IF(D864=4,база!$M$5,
IF(D864=5,база!$M$6)))</f>
        <v>225.09719999999999</v>
      </c>
      <c r="V872" s="272">
        <v>1.4</v>
      </c>
      <c r="W872" s="307">
        <f>SUMIFS(Таблица1[сумма],Таблица1[коэф],"1,4",Таблица1[р/р],"3/24",Таблица1[Ф. И. О.],B869)</f>
        <v>0</v>
      </c>
      <c r="X872" s="313">
        <f>ROUND(U872*V872*W872,2)</f>
        <v>0</v>
      </c>
      <c r="Y872" s="838"/>
      <c r="Z872" s="840"/>
      <c r="AA872" s="843"/>
    </row>
    <row r="873" spans="1:30" ht="18.75" customHeight="1">
      <c r="A873" s="786"/>
      <c r="B873" s="216"/>
      <c r="C873" s="764"/>
      <c r="D873" s="766"/>
      <c r="E873" s="79"/>
      <c r="F873" s="272"/>
      <c r="G873" s="99"/>
      <c r="H873" s="95"/>
      <c r="I873" s="334"/>
      <c r="J873" s="279"/>
      <c r="K873" s="217"/>
      <c r="L873" s="217"/>
      <c r="M873" s="217"/>
      <c r="N873" s="217"/>
      <c r="O873" s="217"/>
      <c r="P873" s="30"/>
      <c r="Q873" s="79">
        <f>база!$L$5</f>
        <v>231.45480000000001</v>
      </c>
      <c r="R873" s="272">
        <v>1.4</v>
      </c>
      <c r="S873" s="99">
        <f>SUMIFS(Таблица1[сумма],Таблица1[коэф],"1,4",Таблица1[р/р],"4/16",Таблица1[Ф. И. О.],B869)</f>
        <v>0</v>
      </c>
      <c r="T873" s="95">
        <f>ROUND(Q873*R873*S873,2)</f>
        <v>0</v>
      </c>
      <c r="U873" s="314">
        <f>база!$M$5</f>
        <v>247.41720000000001</v>
      </c>
      <c r="V873" s="272">
        <v>1.4</v>
      </c>
      <c r="W873" s="307">
        <f>SUMIFS(Таблица1[сумма],Таблица1[коэф],"1,4",Таблица1[р/р],"4/24",Таблица1[Ф. И. О.],B869)</f>
        <v>0</v>
      </c>
      <c r="X873" s="313">
        <f>ROUND(U873*V873*W873,2)</f>
        <v>0</v>
      </c>
      <c r="Y873" s="838"/>
      <c r="Z873" s="840"/>
      <c r="AA873" s="843"/>
    </row>
    <row r="874" spans="1:30" ht="19.5" customHeight="1" thickBot="1">
      <c r="A874" s="787"/>
      <c r="B874" s="352"/>
      <c r="C874" s="765"/>
      <c r="D874" s="767"/>
      <c r="E874" s="102"/>
      <c r="F874" s="274"/>
      <c r="G874" s="626"/>
      <c r="H874" s="91"/>
      <c r="I874" s="627"/>
      <c r="J874" s="280"/>
      <c r="K874" s="628"/>
      <c r="L874" s="289"/>
      <c r="M874" s="627"/>
      <c r="N874" s="628"/>
      <c r="O874" s="628"/>
      <c r="P874" s="315"/>
      <c r="Q874" s="629">
        <f>база!$L$6</f>
        <v>261.04640000000001</v>
      </c>
      <c r="R874" s="274">
        <v>1.4</v>
      </c>
      <c r="S874" s="98">
        <f>SUMIFS(Таблица1[сумма],Таблица1[коэф],"1,4",Таблица1[р/р],"5/16",Таблица1[Ф. И. О.],B869)</f>
        <v>0</v>
      </c>
      <c r="T874" s="91">
        <f>ROUND(Q874*R874*S874,2)</f>
        <v>0</v>
      </c>
      <c r="U874" s="221">
        <f>база!$M$6</f>
        <v>279.0496</v>
      </c>
      <c r="V874" s="274">
        <v>1.4</v>
      </c>
      <c r="W874" s="98">
        <f>SUMIFS(Таблица1[сумма],Таблица1[коэф],"1,4",Таблица1[р/р],"5/24",Таблица1[Ф. И. О.],B869)</f>
        <v>0</v>
      </c>
      <c r="X874" s="91">
        <f>ROUND(U874*V874*W874,2)</f>
        <v>0</v>
      </c>
      <c r="Y874" s="839"/>
      <c r="Z874" s="841"/>
      <c r="AA874" s="844"/>
    </row>
    <row r="875" spans="1:30" ht="18.75" customHeight="1">
      <c r="A875" s="785">
        <v>80</v>
      </c>
      <c r="B875" s="216"/>
      <c r="C875" s="764">
        <f>INDEX(база!$E$2:$E$181, MATCH(B880,база!$B$2:$B$160,0))</f>
        <v>17344</v>
      </c>
      <c r="D875" s="766">
        <f>INDEX(база!$D$2:$D$189, MATCH(B880,база!$B$2:$B$160,0))</f>
        <v>3</v>
      </c>
      <c r="E875" s="75">
        <f>IF(D875&lt;=3,база!$I$4,
IF(D875=4,база!$I$5,
IF(D875=5,база!$I$6)))</f>
        <v>188.7912</v>
      </c>
      <c r="F875" s="271">
        <v>1</v>
      </c>
      <c r="G875" s="97">
        <f>SUMIFS(Таблица1[сумма],Таблица1[коэф],"1",Таблица1[р/р],"2/4",Таблица1[Ф. И. О.],B880)</f>
        <v>0</v>
      </c>
      <c r="H875" s="103">
        <f>ROUND(E875*F875*G875,2)</f>
        <v>0</v>
      </c>
      <c r="I875" s="344">
        <f>IF(D875&lt;=3,база!$J$4,
IF(D875=4,база!$J$5,
IF(D875=5,база!$J$6)))</f>
        <v>196.05240000000001</v>
      </c>
      <c r="J875" s="278">
        <v>1</v>
      </c>
      <c r="K875" s="309">
        <f>SUMIFS(Таблица1[сумма],Таблица1[коэф],"1",Таблица1[р/р],"2/8",Таблица1[Ф. И. О.],B880)</f>
        <v>0</v>
      </c>
      <c r="L875" s="309">
        <f>ROUND(I875*J875*K875,2)</f>
        <v>0</v>
      </c>
      <c r="M875" s="309"/>
      <c r="N875" s="309">
        <v>1</v>
      </c>
      <c r="O875" s="309">
        <f>SUMIFS(Data_Tech!$AM$3:$AM$67,Data_Tech!$E$3:$E$67,"1",Data_Tech!$G$3:$G$67,"3/12",Data_Tech!$F$3:$F$67,B880)</f>
        <v>0</v>
      </c>
      <c r="P875" s="282">
        <f>ROUND(M875*N875*O875,2)</f>
        <v>0</v>
      </c>
      <c r="Q875" s="75">
        <f>IF(D875&lt;=3,база!$L$4,
IF(D875=4,база!$L$5,
IF(D875=5,база!$L$6)))</f>
        <v>210.57480000000001</v>
      </c>
      <c r="R875" s="271">
        <v>1</v>
      </c>
      <c r="S875" s="97">
        <f>SUMIFS(Таблица1[сумма],Таблица1[коэф],"1",Таблица1[р/р],"3/16",Таблица1[Ф. И. О.],B880)</f>
        <v>0</v>
      </c>
      <c r="T875" s="103">
        <f t="shared" ref="T875:T879" si="544">ROUND(Q875*R875*S875,2)</f>
        <v>0</v>
      </c>
      <c r="U875" s="349">
        <f>IF(D875&lt;=3,база!$M$4,
IF(D875=4,база!$M$5,
IF(D875=5,база!$M$6)))</f>
        <v>225.09719999999999</v>
      </c>
      <c r="V875" s="271">
        <v>1</v>
      </c>
      <c r="W875" s="337">
        <f>SUMIFS(Таблица1[сумма],Таблица1[коэф],"1",Таблица1[р/р],"3/24",Таблица1[Ф. И. О.],B880)</f>
        <v>0</v>
      </c>
      <c r="X875" s="351">
        <f>ROUND(U875*V875*W875,2)</f>
        <v>0</v>
      </c>
      <c r="Y875" s="837">
        <f t="shared" ref="Y875" si="545">SUM(G875:G885,K875:K885,O875:O885,S875:S885,W875:W885)</f>
        <v>0</v>
      </c>
      <c r="Z875" s="840">
        <f t="shared" ref="Z875" si="546">IFERROR(SUM(H875:H885,L875:L885,T875:T885,X875:X885),"")</f>
        <v>0</v>
      </c>
      <c r="AA875" s="842"/>
    </row>
    <row r="876" spans="1:30" ht="18.75" customHeight="1">
      <c r="A876" s="786"/>
      <c r="B876" s="216"/>
      <c r="C876" s="764"/>
      <c r="D876" s="766"/>
      <c r="E876" s="79">
        <f>IF(D875&lt;=3,база!$I$4,
IF(D875=4,база!$I$5,
IF(D875=5,база!$I$6)))</f>
        <v>188.7912</v>
      </c>
      <c r="F876" s="272">
        <v>1</v>
      </c>
      <c r="G876" s="99">
        <f>SUMIFS(Таблица1[сумма],Таблица1[коэф],"1",Таблица1[р/р],"3/4",Таблица1[Ф. И. О.],B880)</f>
        <v>0</v>
      </c>
      <c r="H876" s="95">
        <f>ROUND(E876*F876*G876,2)</f>
        <v>0</v>
      </c>
      <c r="I876" s="334">
        <f>IF(D875&lt;=3,база!$J$4,
IF(D875=4,база!$J$5,
IF(D875=5,база!$J$6)))</f>
        <v>196.05240000000001</v>
      </c>
      <c r="J876" s="279">
        <v>1</v>
      </c>
      <c r="K876" s="217"/>
      <c r="L876" s="217">
        <f>ROUND(I876*J876*K876,2)</f>
        <v>0</v>
      </c>
      <c r="M876" s="217"/>
      <c r="N876" s="217">
        <v>1</v>
      </c>
      <c r="O876" s="217">
        <f>SUMIFS(Data_Tech!$AM$3:$AM$67,Data_Tech!$E$3:$E$67,"1",Data_Tech!$G$3:$G$67,"4/12",Data_Tech!$F$3:$F$67,B880)</f>
        <v>0</v>
      </c>
      <c r="P876" s="30">
        <f>ROUND(M876*O876,2)</f>
        <v>0</v>
      </c>
      <c r="Q876" s="79">
        <f>база!$L$5</f>
        <v>231.45480000000001</v>
      </c>
      <c r="R876" s="272">
        <v>1</v>
      </c>
      <c r="S876" s="99">
        <f>SUMIFS(Таблица1[сумма],Таблица1[коэф],"1",Таблица1[р/р],"4/16",Таблица1[Ф. И. О.],B880)</f>
        <v>0</v>
      </c>
      <c r="T876" s="95">
        <f t="shared" si="544"/>
        <v>0</v>
      </c>
      <c r="U876" s="314">
        <f>база!$M$5</f>
        <v>247.41720000000001</v>
      </c>
      <c r="V876" s="272">
        <v>1</v>
      </c>
      <c r="W876" s="307">
        <f>SUMIFS(Таблица1[сумма],Таблица1[коэф],"1",Таблица1[р/р],"4/24",Таблица1[Ф. И. О.],B880)</f>
        <v>0</v>
      </c>
      <c r="X876" s="313">
        <f t="shared" ref="X876" si="547">ROUND(U876*V876*W876,2)</f>
        <v>0</v>
      </c>
      <c r="Y876" s="838"/>
      <c r="Z876" s="840"/>
      <c r="AA876" s="843"/>
    </row>
    <row r="877" spans="1:30" ht="18.75" customHeight="1">
      <c r="A877" s="786"/>
      <c r="B877" s="216"/>
      <c r="C877" s="764"/>
      <c r="D877" s="766"/>
      <c r="E877" s="79"/>
      <c r="F877" s="272"/>
      <c r="G877" s="99"/>
      <c r="H877" s="95"/>
      <c r="I877" s="334"/>
      <c r="J877" s="279"/>
      <c r="K877" s="217"/>
      <c r="L877" s="217"/>
      <c r="M877" s="217"/>
      <c r="N877" s="217"/>
      <c r="O877" s="217"/>
      <c r="P877" s="30"/>
      <c r="Q877" s="79">
        <f>база!$L$6</f>
        <v>261.04640000000001</v>
      </c>
      <c r="R877" s="272">
        <v>1</v>
      </c>
      <c r="S877" s="99">
        <f>SUMIFS(Таблица1[сумма],Таблица1[коэф],"1",Таблица1[р/р],"5/16",Таблица1[Ф. И. О.],B880)</f>
        <v>0</v>
      </c>
      <c r="T877" s="95">
        <f t="shared" si="544"/>
        <v>0</v>
      </c>
      <c r="U877" s="314">
        <f>база!$M$6</f>
        <v>279.0496</v>
      </c>
      <c r="V877" s="272">
        <v>1</v>
      </c>
      <c r="W877" s="307">
        <f>SUMIFS(Таблица1[сумма],Таблица1[коэф],"1",Таблица1[р/р],"5/24",Таблица1[Ф. И. О.],B880)</f>
        <v>0</v>
      </c>
      <c r="X877" s="313">
        <f>ROUND(U877*V877*W877,2)</f>
        <v>0</v>
      </c>
      <c r="Y877" s="838"/>
      <c r="Z877" s="840"/>
      <c r="AA877" s="843"/>
    </row>
    <row r="878" spans="1:30" ht="18.75" customHeight="1">
      <c r="A878" s="786"/>
      <c r="B878" s="216"/>
      <c r="C878" s="764"/>
      <c r="D878" s="766"/>
      <c r="E878" s="79"/>
      <c r="F878" s="272"/>
      <c r="G878" s="99"/>
      <c r="H878" s="95"/>
      <c r="I878" s="334">
        <f>база!$J$5</f>
        <v>215.4924</v>
      </c>
      <c r="J878" s="279">
        <v>1.5</v>
      </c>
      <c r="K878" s="217">
        <f>SUMIFS(Таблица1[сумма],Таблица1[коэф],"1,5",Таблица1[р/р],"4/8",Таблица1[Ф. И. О.],B880)</f>
        <v>0</v>
      </c>
      <c r="L878" s="217">
        <f>ROUND(I878*J878*K878,2)</f>
        <v>0</v>
      </c>
      <c r="M878" s="217"/>
      <c r="N878" s="217"/>
      <c r="O878" s="217"/>
      <c r="P878" s="30"/>
      <c r="Q878" s="79">
        <f>IF(D875&lt;=3,база!$L$4,
IF(D875=4,база!$L$5,
IF(D875=5,база!$L$6)))</f>
        <v>210.57480000000001</v>
      </c>
      <c r="R878" s="272">
        <v>1.2</v>
      </c>
      <c r="S878" s="99">
        <f>SUMIFS(Таблица1[сумма],Таблица1[коэф],"1,2",Таблица1[р/р],"3/16",Таблица1[Ф. И. О.],B880)</f>
        <v>0</v>
      </c>
      <c r="T878" s="95">
        <f t="shared" si="544"/>
        <v>0</v>
      </c>
      <c r="U878" s="314">
        <f>IF(D875&lt;=3,база!$M$4,
IF(D875=4,база!$M$5,
IF(D875=5,база!$M$6)))</f>
        <v>225.09719999999999</v>
      </c>
      <c r="V878" s="272">
        <v>1.2</v>
      </c>
      <c r="W878" s="307">
        <f>SUMIFS(Таблица1[сумма],Таблица1[коэф],"1,2",Таблица1[р/р],"3/24",Таблица1[Ф. И. О.],B880)</f>
        <v>0</v>
      </c>
      <c r="X878" s="313">
        <f t="shared" ref="X878:X879" si="548">ROUND(U878*V878*W878,2)</f>
        <v>0</v>
      </c>
      <c r="Y878" s="838"/>
      <c r="Z878" s="840"/>
      <c r="AA878" s="843"/>
    </row>
    <row r="879" spans="1:30" ht="18.75" customHeight="1">
      <c r="A879" s="786"/>
      <c r="B879" s="216"/>
      <c r="C879" s="764"/>
      <c r="D879" s="766"/>
      <c r="E879" s="79"/>
      <c r="F879" s="272"/>
      <c r="G879" s="99"/>
      <c r="H879" s="95"/>
      <c r="I879" s="334">
        <f>база!$J$6</f>
        <v>243.04319999999998</v>
      </c>
      <c r="J879" s="279">
        <v>1.5</v>
      </c>
      <c r="K879" s="217">
        <f>SUMIFS(Таблица1[сумма],Таблица1[коэф],"1,5",Таблица1[р/р],"5/8",Таблица1[Ф. И. О.],B880)</f>
        <v>0</v>
      </c>
      <c r="L879" s="217">
        <f>ROUND(I879*J879*K879,2)</f>
        <v>0</v>
      </c>
      <c r="M879" s="217"/>
      <c r="N879" s="217"/>
      <c r="O879" s="217"/>
      <c r="P879" s="30"/>
      <c r="Q879" s="79">
        <f>база!$L$5</f>
        <v>231.45480000000001</v>
      </c>
      <c r="R879" s="272">
        <v>1.2</v>
      </c>
      <c r="S879" s="99">
        <f>SUMIFS(Таблица1[сумма],Таблица1[коэф],"1,2",Таблица1[р/р],"4/16",Таблица1[Ф. И. О.],B880)</f>
        <v>0</v>
      </c>
      <c r="T879" s="95">
        <f t="shared" si="544"/>
        <v>0</v>
      </c>
      <c r="U879" s="314">
        <f>база!$M$5</f>
        <v>247.41720000000001</v>
      </c>
      <c r="V879" s="272">
        <v>1.2</v>
      </c>
      <c r="W879" s="307">
        <f>SUMIFS(Таблица1[сумма],Таблица1[коэф],"1,2",Таблица1[р/р],"4/24",Таблица1[Ф. И. О.],B880)</f>
        <v>0</v>
      </c>
      <c r="X879" s="313">
        <f t="shared" si="548"/>
        <v>0</v>
      </c>
      <c r="Y879" s="838"/>
      <c r="Z879" s="840"/>
      <c r="AA879" s="843"/>
      <c r="AC879" s="722" t="str">
        <f>IF(SUMIFS(Таблица1[Столбец2],Таблица1[Ф. И. О.],B880)-Z875=0,"",SUMIFS(Таблица1[Столбец2],Таблица1[Ф. И. О.],B880)-Z875)</f>
        <v/>
      </c>
    </row>
    <row r="880" spans="1:30" ht="18.75" customHeight="1">
      <c r="A880" s="786"/>
      <c r="B880" s="216" t="str">
        <f>база!B81</f>
        <v>Яблокова Дарья Александровна</v>
      </c>
      <c r="C880" s="764"/>
      <c r="D880" s="766"/>
      <c r="E880" s="79"/>
      <c r="F880" s="272"/>
      <c r="G880" s="99"/>
      <c r="H880" s="95"/>
      <c r="I880" s="334"/>
      <c r="J880" s="279"/>
      <c r="K880" s="217"/>
      <c r="L880" s="217"/>
      <c r="M880" s="217"/>
      <c r="N880" s="217"/>
      <c r="O880" s="217"/>
      <c r="P880" s="30"/>
      <c r="Q880" s="79">
        <f>база!$L$6</f>
        <v>261.04640000000001</v>
      </c>
      <c r="R880" s="272">
        <v>1.2</v>
      </c>
      <c r="S880" s="99">
        <f>SUMIFS(Таблица1[сумма],Таблица1[коэф],"1,2",Таблица1[р/р],"5/16",Таблица1[Ф. И. О.],B880)</f>
        <v>0</v>
      </c>
      <c r="T880" s="95">
        <f>ROUND(Q880*R880*S880,2)</f>
        <v>0</v>
      </c>
      <c r="U880" s="314">
        <f>база!$M$6</f>
        <v>279.0496</v>
      </c>
      <c r="V880" s="272">
        <v>1.2</v>
      </c>
      <c r="W880" s="307">
        <f>SUMIFS(Таблица1[сумма],Таблица1[коэф],"1,2",Таблица1[р/р],"5/24",Таблица1[Ф. И. О.],B880)</f>
        <v>0</v>
      </c>
      <c r="X880" s="313">
        <f>ROUND(U880*V880*W880,2)</f>
        <v>0</v>
      </c>
      <c r="Y880" s="838"/>
      <c r="Z880" s="840"/>
      <c r="AA880" s="843"/>
      <c r="AC880" s="722" t="str">
        <f>IF(SUMIFS(Таблица1[сумма],Таблица1[Ф. И. О.],B880)=Y875,"",B875&amp;"  часы не верны")</f>
        <v/>
      </c>
      <c r="AD880" s="759" t="e">
        <f>INDEX('[2]декабрь 23'!$AI$4:$AI$100,MATCH(C875,'[2]декабрь 23'!$AK$4:$AK$100,0))</f>
        <v>#N/A</v>
      </c>
    </row>
    <row r="881" spans="1:30" ht="18.75" customHeight="1">
      <c r="A881" s="786"/>
      <c r="B881" s="216"/>
      <c r="C881" s="764"/>
      <c r="D881" s="766"/>
      <c r="E881" s="79"/>
      <c r="F881" s="272"/>
      <c r="G881" s="99"/>
      <c r="H881" s="95"/>
      <c r="I881" s="334"/>
      <c r="J881" s="279"/>
      <c r="K881" s="217"/>
      <c r="L881" s="217"/>
      <c r="M881" s="217"/>
      <c r="N881" s="217"/>
      <c r="O881" s="217"/>
      <c r="P881" s="30"/>
      <c r="Q881" s="79">
        <f>IF($D$6&lt;=3,база!$L$4,
IF($D$6=4,база!$L$5,
IF($D$6=5,база!$L$6)))</f>
        <v>231.45480000000001</v>
      </c>
      <c r="R881" s="272">
        <v>1.3</v>
      </c>
      <c r="S881" s="99">
        <f>SUMIFS(Таблица1[сумма],Таблица1[коэф],"1,3",Таблица1[р/р],"3/16",Таблица1[Ф. И. О.],B880)</f>
        <v>0</v>
      </c>
      <c r="T881" s="95">
        <f t="shared" ref="T881:T882" si="549">ROUND(Q881*R881*S881,2)</f>
        <v>0</v>
      </c>
      <c r="U881" s="314">
        <f>IF(D875&lt;=3,база!$M$4,
IF(D875=4,база!$M$5,
IF(D875=5,база!$M$6)))</f>
        <v>225.09719999999999</v>
      </c>
      <c r="V881" s="272">
        <v>1.3</v>
      </c>
      <c r="W881" s="307">
        <f>SUMIFS(Таблица1[сумма],Таблица1[коэф],"1,3",Таблица1[р/р],"3/24",Таблица1[Ф. И. О.],B880)</f>
        <v>0</v>
      </c>
      <c r="X881" s="313">
        <f t="shared" ref="X881:X882" si="550">ROUND(U881*V881*W881,2)</f>
        <v>0</v>
      </c>
      <c r="Y881" s="838"/>
      <c r="Z881" s="840"/>
      <c r="AA881" s="843"/>
    </row>
    <row r="882" spans="1:30" ht="18.75" customHeight="1">
      <c r="A882" s="786"/>
      <c r="B882" s="216"/>
      <c r="C882" s="764"/>
      <c r="D882" s="766"/>
      <c r="E882" s="79"/>
      <c r="F882" s="272"/>
      <c r="G882" s="99"/>
      <c r="H882" s="95"/>
      <c r="I882" s="334"/>
      <c r="J882" s="279"/>
      <c r="K882" s="217"/>
      <c r="L882" s="217"/>
      <c r="M882" s="217"/>
      <c r="N882" s="217"/>
      <c r="O882" s="217"/>
      <c r="P882" s="30"/>
      <c r="Q882" s="79">
        <f>база!$L$5</f>
        <v>231.45480000000001</v>
      </c>
      <c r="R882" s="272">
        <v>1.3</v>
      </c>
      <c r="S882" s="99">
        <f>SUMIFS(Таблица1[сумма],Таблица1[коэф],"1,3",Таблица1[р/р],"4/16",Таблица1[Ф. И. О.],B880)</f>
        <v>0</v>
      </c>
      <c r="T882" s="95">
        <f t="shared" si="549"/>
        <v>0</v>
      </c>
      <c r="U882" s="314">
        <f>база!$M$5</f>
        <v>247.41720000000001</v>
      </c>
      <c r="V882" s="272">
        <v>1.3</v>
      </c>
      <c r="W882" s="307">
        <f>SUMIFS(Таблица1[сумма],Таблица1[коэф],"1,3",Таблица1[р/р],"4/24",Таблица1[Ф. И. О.],B880)</f>
        <v>0</v>
      </c>
      <c r="X882" s="313">
        <f t="shared" si="550"/>
        <v>0</v>
      </c>
      <c r="Y882" s="838"/>
      <c r="Z882" s="840"/>
      <c r="AA882" s="843"/>
    </row>
    <row r="883" spans="1:30" ht="18.75" customHeight="1">
      <c r="A883" s="786"/>
      <c r="B883" s="216"/>
      <c r="C883" s="764"/>
      <c r="D883" s="766"/>
      <c r="E883" s="79"/>
      <c r="F883" s="272"/>
      <c r="G883" s="99"/>
      <c r="H883" s="95"/>
      <c r="I883" s="334"/>
      <c r="J883" s="279"/>
      <c r="K883" s="217"/>
      <c r="L883" s="217"/>
      <c r="M883" s="217"/>
      <c r="N883" s="217"/>
      <c r="O883" s="217"/>
      <c r="P883" s="30"/>
      <c r="Q883" s="79">
        <f>IF(D875&lt;=3,база!$L$4,
IF(D875=4,база!$L$5,
IF(D875=5,база!$L$6)))</f>
        <v>210.57480000000001</v>
      </c>
      <c r="R883" s="272">
        <v>1.4</v>
      </c>
      <c r="S883" s="99">
        <f>SUMIFS(Таблица1[сумма],Таблица1[коэф],"1,4",Таблица1[р/р],"3/16",Таблица1[Ф. И. О.],B880)</f>
        <v>0</v>
      </c>
      <c r="T883" s="95">
        <f>ROUND(Q883*R883*S883,2)</f>
        <v>0</v>
      </c>
      <c r="U883" s="314">
        <f>IF(D875&lt;=3,база!$M$4,
IF(D875=4,база!$M$5,
IF(D875=5,база!$M$6)))</f>
        <v>225.09719999999999</v>
      </c>
      <c r="V883" s="272">
        <v>1.4</v>
      </c>
      <c r="W883" s="307">
        <f>SUMIFS(Таблица1[сумма],Таблица1[коэф],"1,4",Таблица1[р/р],"3/24",Таблица1[Ф. И. О.],B880)</f>
        <v>0</v>
      </c>
      <c r="X883" s="313">
        <f>ROUND(U883*V883*W883,2)</f>
        <v>0</v>
      </c>
      <c r="Y883" s="838"/>
      <c r="Z883" s="840"/>
      <c r="AA883" s="843"/>
    </row>
    <row r="884" spans="1:30" ht="18.75" customHeight="1">
      <c r="A884" s="786"/>
      <c r="B884" s="216"/>
      <c r="C884" s="764"/>
      <c r="D884" s="766"/>
      <c r="E884" s="79"/>
      <c r="F884" s="272"/>
      <c r="G884" s="99"/>
      <c r="H884" s="95"/>
      <c r="I884" s="334"/>
      <c r="J884" s="279"/>
      <c r="K884" s="217"/>
      <c r="L884" s="217"/>
      <c r="M884" s="217"/>
      <c r="N884" s="217"/>
      <c r="O884" s="217"/>
      <c r="P884" s="30"/>
      <c r="Q884" s="79">
        <f>база!$L$5</f>
        <v>231.45480000000001</v>
      </c>
      <c r="R884" s="272">
        <v>1.4</v>
      </c>
      <c r="S884" s="99">
        <f>SUMIFS(Таблица1[сумма],Таблица1[коэф],"1,4",Таблица1[р/р],"4/16",Таблица1[Ф. И. О.],B880)</f>
        <v>0</v>
      </c>
      <c r="T884" s="95">
        <f>ROUND(Q884*R884*S884,2)</f>
        <v>0</v>
      </c>
      <c r="U884" s="314">
        <f>база!$M$5</f>
        <v>247.41720000000001</v>
      </c>
      <c r="V884" s="272">
        <v>1.4</v>
      </c>
      <c r="W884" s="307">
        <f>SUMIFS(Таблица1[сумма],Таблица1[коэф],"1,4",Таблица1[р/р],"4/24",Таблица1[Ф. И. О.],B880)</f>
        <v>0</v>
      </c>
      <c r="X884" s="313">
        <f>ROUND(U884*V884*W884,2)</f>
        <v>0</v>
      </c>
      <c r="Y884" s="838"/>
      <c r="Z884" s="840"/>
      <c r="AA884" s="843"/>
    </row>
    <row r="885" spans="1:30" ht="19.5" customHeight="1" thickBot="1">
      <c r="A885" s="787"/>
      <c r="B885" s="352"/>
      <c r="C885" s="765"/>
      <c r="D885" s="767"/>
      <c r="E885" s="102"/>
      <c r="F885" s="274"/>
      <c r="G885" s="626"/>
      <c r="H885" s="91"/>
      <c r="I885" s="627"/>
      <c r="J885" s="280"/>
      <c r="K885" s="628"/>
      <c r="L885" s="289"/>
      <c r="M885" s="627"/>
      <c r="N885" s="628"/>
      <c r="O885" s="628"/>
      <c r="P885" s="315"/>
      <c r="Q885" s="629">
        <f>база!$L$6</f>
        <v>261.04640000000001</v>
      </c>
      <c r="R885" s="274">
        <v>1.4</v>
      </c>
      <c r="S885" s="98">
        <f>SUMIFS(Таблица1[сумма],Таблица1[коэф],"1,4",Таблица1[р/р],"5/16",Таблица1[Ф. И. О.],B880)</f>
        <v>0</v>
      </c>
      <c r="T885" s="91">
        <f>ROUND(Q885*R885*S885,2)</f>
        <v>0</v>
      </c>
      <c r="U885" s="221">
        <f>база!$M$6</f>
        <v>279.0496</v>
      </c>
      <c r="V885" s="274">
        <v>1.4</v>
      </c>
      <c r="W885" s="98">
        <f>SUMIFS(Таблица1[сумма],Таблица1[коэф],"1,4",Таблица1[р/р],"5/24",Таблица1[Ф. И. О.],B880)</f>
        <v>0</v>
      </c>
      <c r="X885" s="91">
        <f>ROUND(U885*V885*W885,2)</f>
        <v>0</v>
      </c>
      <c r="Y885" s="839"/>
      <c r="Z885" s="841"/>
      <c r="AA885" s="844"/>
    </row>
    <row r="886" spans="1:30" ht="18.75" customHeight="1">
      <c r="A886" s="785">
        <v>81</v>
      </c>
      <c r="B886" s="216"/>
      <c r="C886" s="764" t="e">
        <f>INDEX(база!$E$2:$E$181, MATCH(B891,база!$B$2:$B$160,0))</f>
        <v>#N/A</v>
      </c>
      <c r="D886" s="766" t="e">
        <f>INDEX(база!$D$2:$D$189, MATCH(B891,база!$B$2:$B$160,0))</f>
        <v>#N/A</v>
      </c>
      <c r="E886" s="75" t="e">
        <f>IF(D886&lt;=3,база!$I$4,
IF(D886=4,база!$I$5,
IF(D886=5,база!$I$6)))</f>
        <v>#N/A</v>
      </c>
      <c r="F886" s="271">
        <v>1</v>
      </c>
      <c r="G886" s="97">
        <f>SUMIFS(Таблица1[сумма],Таблица1[коэф],"1",Таблица1[р/р],"2/4",Таблица1[Ф. И. О.],B891)</f>
        <v>0</v>
      </c>
      <c r="H886" s="103" t="e">
        <f>ROUND(E886*F886*G886,2)</f>
        <v>#N/A</v>
      </c>
      <c r="I886" s="344" t="e">
        <f>IF(D886&lt;=3,база!$J$4,
IF(D886=4,база!$J$5,
IF(D886=5,база!$J$6)))</f>
        <v>#N/A</v>
      </c>
      <c r="J886" s="278">
        <v>1</v>
      </c>
      <c r="K886" s="309">
        <f>SUMIFS(Таблица1[сумма],Таблица1[коэф],"1",Таблица1[р/р],"2/8",Таблица1[Ф. И. О.],B891)</f>
        <v>0</v>
      </c>
      <c r="L886" s="309" t="e">
        <f>ROUND(I886*J886*K886,2)</f>
        <v>#N/A</v>
      </c>
      <c r="M886" s="309"/>
      <c r="N886" s="309">
        <v>1</v>
      </c>
      <c r="O886" s="309">
        <f>SUMIFS(Data_Tech!$AM$3:$AM$67,Data_Tech!$E$3:$E$67,"1",Data_Tech!$G$3:$G$67,"3/12",Data_Tech!$F$3:$F$67,B891)</f>
        <v>0</v>
      </c>
      <c r="P886" s="282">
        <f>ROUND(M886*N886*O886,2)</f>
        <v>0</v>
      </c>
      <c r="Q886" s="75" t="e">
        <f>IF(D886&lt;=3,база!$L$4,
IF(D886=4,база!$L$5,
IF(D886=5,база!$L$6)))</f>
        <v>#N/A</v>
      </c>
      <c r="R886" s="271">
        <v>1</v>
      </c>
      <c r="S886" s="97">
        <f>SUMIFS(Таблица1[сумма],Таблица1[коэф],"1",Таблица1[р/р],"3/16",Таблица1[Ф. И. О.],B891)</f>
        <v>0</v>
      </c>
      <c r="T886" s="103" t="e">
        <f t="shared" ref="T886:T890" si="551">ROUND(Q886*R886*S886,2)</f>
        <v>#N/A</v>
      </c>
      <c r="U886" s="349" t="e">
        <f>IF(D886&lt;=3,база!$M$4,
IF(D886=4,база!$M$5,
IF(D886=5,база!$M$6)))</f>
        <v>#N/A</v>
      </c>
      <c r="V886" s="271">
        <v>1</v>
      </c>
      <c r="W886" s="337">
        <f>SUMIFS(Таблица1[сумма],Таблица1[коэф],"1",Таблица1[р/р],"3/24",Таблица1[Ф. И. О.],B891)</f>
        <v>0</v>
      </c>
      <c r="X886" s="351" t="e">
        <f>ROUND(U886*V886*W886,2)</f>
        <v>#N/A</v>
      </c>
      <c r="Y886" s="837">
        <f t="shared" ref="Y886" si="552">SUM(G886:G896,K886:K896,O886:O896,S886:S896,W886:W896)</f>
        <v>0</v>
      </c>
      <c r="Z886" s="840" t="str">
        <f t="shared" ref="Z886" si="553">IFERROR(SUM(H886:H896,L886:L896,T886:T896,X886:X896),"")</f>
        <v/>
      </c>
      <c r="AA886" s="842"/>
    </row>
    <row r="887" spans="1:30" ht="18.75" customHeight="1">
      <c r="A887" s="786"/>
      <c r="B887" s="216"/>
      <c r="C887" s="764"/>
      <c r="D887" s="766"/>
      <c r="E887" s="79" t="e">
        <f>IF(D886&lt;=3,база!$I$4,
IF(D886=4,база!$I$5,
IF(D886=5,база!$I$6)))</f>
        <v>#N/A</v>
      </c>
      <c r="F887" s="272">
        <v>1</v>
      </c>
      <c r="G887" s="99">
        <f>SUMIFS(Таблица1[сумма],Таблица1[коэф],"1",Таблица1[р/р],"3/4",Таблица1[Ф. И. О.],B891)</f>
        <v>0</v>
      </c>
      <c r="H887" s="95" t="e">
        <f>ROUND(E887*F887*G887,2)</f>
        <v>#N/A</v>
      </c>
      <c r="I887" s="334" t="e">
        <f>IF(D886&lt;=3,база!$J$4,
IF(D886=4,база!$J$5,
IF(D886=5,база!$J$6)))</f>
        <v>#N/A</v>
      </c>
      <c r="J887" s="279">
        <v>1</v>
      </c>
      <c r="K887" s="217"/>
      <c r="L887" s="217" t="e">
        <f>ROUND(I887*J887*K887,2)</f>
        <v>#N/A</v>
      </c>
      <c r="M887" s="217"/>
      <c r="N887" s="217">
        <v>1</v>
      </c>
      <c r="O887" s="217">
        <f>SUMIFS(Data_Tech!$AM$3:$AM$67,Data_Tech!$E$3:$E$67,"1",Data_Tech!$G$3:$G$67,"4/12",Data_Tech!$F$3:$F$67,B891)</f>
        <v>0</v>
      </c>
      <c r="P887" s="30">
        <f>ROUND(M887*O887,2)</f>
        <v>0</v>
      </c>
      <c r="Q887" s="79">
        <f>база!$L$5</f>
        <v>231.45480000000001</v>
      </c>
      <c r="R887" s="272">
        <v>1</v>
      </c>
      <c r="S887" s="99">
        <f>SUMIFS(Таблица1[сумма],Таблица1[коэф],"1",Таблица1[р/р],"4/16",Таблица1[Ф. И. О.],B891)</f>
        <v>0</v>
      </c>
      <c r="T887" s="95">
        <f t="shared" si="551"/>
        <v>0</v>
      </c>
      <c r="U887" s="314">
        <f>база!$M$5</f>
        <v>247.41720000000001</v>
      </c>
      <c r="V887" s="272">
        <v>1</v>
      </c>
      <c r="W887" s="307">
        <f>SUMIFS(Таблица1[сумма],Таблица1[коэф],"1",Таблица1[р/р],"4/24",Таблица1[Ф. И. О.],B891)</f>
        <v>0</v>
      </c>
      <c r="X887" s="313">
        <f t="shared" ref="X887" si="554">ROUND(U887*V887*W887,2)</f>
        <v>0</v>
      </c>
      <c r="Y887" s="838"/>
      <c r="Z887" s="840"/>
      <c r="AA887" s="843"/>
    </row>
    <row r="888" spans="1:30" ht="18.75" customHeight="1">
      <c r="A888" s="786"/>
      <c r="B888" s="216"/>
      <c r="C888" s="764"/>
      <c r="D888" s="766"/>
      <c r="E888" s="79"/>
      <c r="F888" s="272"/>
      <c r="G888" s="99"/>
      <c r="H888" s="95"/>
      <c r="I888" s="334"/>
      <c r="J888" s="279"/>
      <c r="K888" s="217"/>
      <c r="L888" s="217"/>
      <c r="M888" s="217"/>
      <c r="N888" s="217"/>
      <c r="O888" s="217"/>
      <c r="P888" s="30"/>
      <c r="Q888" s="79">
        <f>база!$L$6</f>
        <v>261.04640000000001</v>
      </c>
      <c r="R888" s="272">
        <v>1</v>
      </c>
      <c r="S888" s="99">
        <f>SUMIFS(Таблица1[сумма],Таблица1[коэф],"1",Таблица1[р/р],"5/16",Таблица1[Ф. И. О.],B891)</f>
        <v>0</v>
      </c>
      <c r="T888" s="95">
        <f t="shared" si="551"/>
        <v>0</v>
      </c>
      <c r="U888" s="314">
        <f>база!$M$6</f>
        <v>279.0496</v>
      </c>
      <c r="V888" s="272">
        <v>1</v>
      </c>
      <c r="W888" s="307">
        <f>SUMIFS(Таблица1[сумма],Таблица1[коэф],"1",Таблица1[р/р],"5/24",Таблица1[Ф. И. О.],B891)</f>
        <v>0</v>
      </c>
      <c r="X888" s="313">
        <f>ROUND(U888*V888*W888,2)</f>
        <v>0</v>
      </c>
      <c r="Y888" s="838"/>
      <c r="Z888" s="840"/>
      <c r="AA888" s="843"/>
    </row>
    <row r="889" spans="1:30" ht="18.75" customHeight="1">
      <c r="A889" s="786"/>
      <c r="B889" s="216"/>
      <c r="C889" s="764"/>
      <c r="D889" s="766"/>
      <c r="E889" s="79"/>
      <c r="F889" s="272"/>
      <c r="G889" s="99"/>
      <c r="H889" s="95"/>
      <c r="I889" s="334">
        <f>база!$J$5</f>
        <v>215.4924</v>
      </c>
      <c r="J889" s="279">
        <v>1.5</v>
      </c>
      <c r="K889" s="217">
        <f>SUMIFS(Таблица1[сумма],Таблица1[коэф],"1,5",Таблица1[р/р],"4/8",Таблица1[Ф. И. О.],B891)</f>
        <v>0</v>
      </c>
      <c r="L889" s="217">
        <f>ROUND(I889*J889*K889,2)</f>
        <v>0</v>
      </c>
      <c r="M889" s="217"/>
      <c r="N889" s="217"/>
      <c r="O889" s="217"/>
      <c r="P889" s="30"/>
      <c r="Q889" s="79" t="e">
        <f>IF(D886&lt;=3,база!$L$4,
IF(D886=4,база!$L$5,
IF(D886=5,база!$L$6)))</f>
        <v>#N/A</v>
      </c>
      <c r="R889" s="272">
        <v>1.2</v>
      </c>
      <c r="S889" s="99">
        <f>SUMIFS(Таблица1[сумма],Таблица1[коэф],"1,2",Таблица1[р/р],"3/16",Таблица1[Ф. И. О.],B891)</f>
        <v>0</v>
      </c>
      <c r="T889" s="95" t="e">
        <f t="shared" si="551"/>
        <v>#N/A</v>
      </c>
      <c r="U889" s="314" t="e">
        <f>IF(D886&lt;=3,база!$M$4,
IF(D886=4,база!$M$5,
IF(D886=5,база!$M$6)))</f>
        <v>#N/A</v>
      </c>
      <c r="V889" s="272">
        <v>1.2</v>
      </c>
      <c r="W889" s="307">
        <f>SUMIFS(Таблица1[сумма],Таблица1[коэф],"1,2",Таблица1[р/р],"3/24",Таблица1[Ф. И. О.],B891)</f>
        <v>0</v>
      </c>
      <c r="X889" s="313" t="e">
        <f t="shared" ref="X889:X890" si="555">ROUND(U889*V889*W889,2)</f>
        <v>#N/A</v>
      </c>
      <c r="Y889" s="838"/>
      <c r="Z889" s="840"/>
      <c r="AA889" s="843"/>
    </row>
    <row r="890" spans="1:30" ht="18.75" customHeight="1">
      <c r="A890" s="786"/>
      <c r="B890" s="216"/>
      <c r="C890" s="764"/>
      <c r="D890" s="766"/>
      <c r="E890" s="79"/>
      <c r="F890" s="272"/>
      <c r="G890" s="99"/>
      <c r="H890" s="95"/>
      <c r="I890" s="334">
        <f>база!$J$6</f>
        <v>243.04319999999998</v>
      </c>
      <c r="J890" s="279">
        <v>1.5</v>
      </c>
      <c r="K890" s="217">
        <f>SUMIFS(Таблица1[сумма],Таблица1[коэф],"1,5",Таблица1[р/р],"5/8",Таблица1[Ф. И. О.],B891)</f>
        <v>0</v>
      </c>
      <c r="L890" s="217">
        <f>ROUND(I890*J890*K890,2)</f>
        <v>0</v>
      </c>
      <c r="M890" s="217"/>
      <c r="N890" s="217"/>
      <c r="O890" s="217"/>
      <c r="P890" s="30"/>
      <c r="Q890" s="79">
        <f>база!$L$5</f>
        <v>231.45480000000001</v>
      </c>
      <c r="R890" s="272">
        <v>1.2</v>
      </c>
      <c r="S890" s="99">
        <f>SUMIFS(Таблица1[сумма],Таблица1[коэф],"1,2",Таблица1[р/р],"4/16",Таблица1[Ф. И. О.],B891)</f>
        <v>0</v>
      </c>
      <c r="T890" s="95">
        <f t="shared" si="551"/>
        <v>0</v>
      </c>
      <c r="U890" s="314">
        <f>база!$M$5</f>
        <v>247.41720000000001</v>
      </c>
      <c r="V890" s="272">
        <v>1.2</v>
      </c>
      <c r="W890" s="307">
        <f>SUMIFS(Таблица1[сумма],Таблица1[коэф],"1,2",Таблица1[р/р],"4/24",Таблица1[Ф. И. О.],B891)</f>
        <v>0</v>
      </c>
      <c r="X890" s="313">
        <f t="shared" si="555"/>
        <v>0</v>
      </c>
      <c r="Y890" s="838"/>
      <c r="Z890" s="840"/>
      <c r="AA890" s="843"/>
      <c r="AC890" s="722" t="e">
        <f>IF(SUMIFS(Таблица1[Столбец2],Таблица1[Ф. И. О.],B891)-Z886=0,"",SUMIFS(Таблица1[Столбец2],Таблица1[Ф. И. О.],B891)-Z886)</f>
        <v>#VALUE!</v>
      </c>
    </row>
    <row r="891" spans="1:30" ht="18.75" customHeight="1">
      <c r="A891" s="786"/>
      <c r="B891" s="216">
        <f>база!B82</f>
        <v>0</v>
      </c>
      <c r="C891" s="764"/>
      <c r="D891" s="766"/>
      <c r="E891" s="79"/>
      <c r="F891" s="272"/>
      <c r="G891" s="99"/>
      <c r="H891" s="95"/>
      <c r="I891" s="334"/>
      <c r="J891" s="279"/>
      <c r="K891" s="217"/>
      <c r="L891" s="217"/>
      <c r="M891" s="217"/>
      <c r="N891" s="217"/>
      <c r="O891" s="217"/>
      <c r="P891" s="30"/>
      <c r="Q891" s="79">
        <f>база!$L$6</f>
        <v>261.04640000000001</v>
      </c>
      <c r="R891" s="272">
        <v>1.2</v>
      </c>
      <c r="S891" s="99">
        <f>SUMIFS(Таблица1[сумма],Таблица1[коэф],"1,2",Таблица1[р/р],"5/16",Таблица1[Ф. И. О.],B891)</f>
        <v>0</v>
      </c>
      <c r="T891" s="95">
        <f>ROUND(Q891*R891*S891,2)</f>
        <v>0</v>
      </c>
      <c r="U891" s="314">
        <f>база!$M$6</f>
        <v>279.0496</v>
      </c>
      <c r="V891" s="272">
        <v>1.2</v>
      </c>
      <c r="W891" s="307">
        <f>SUMIFS(Таблица1[сумма],Таблица1[коэф],"1,2",Таблица1[р/р],"5/24",Таблица1[Ф. И. О.],B891)</f>
        <v>0</v>
      </c>
      <c r="X891" s="313">
        <f>ROUND(U891*V891*W891,2)</f>
        <v>0</v>
      </c>
      <c r="Y891" s="838"/>
      <c r="Z891" s="840"/>
      <c r="AA891" s="843"/>
      <c r="AC891" s="722" t="str">
        <f>IF(SUMIFS(Таблица1[сумма],Таблица1[Ф. И. О.],B891)=Y886,"",B886&amp;"  часы не верны")</f>
        <v/>
      </c>
      <c r="AD891" s="759" t="e">
        <f>INDEX('[2]декабрь 23'!$AI$4:$AI$100,MATCH(C886,'[2]декабрь 23'!$AK$4:$AK$100,0))</f>
        <v>#N/A</v>
      </c>
    </row>
    <row r="892" spans="1:30" ht="18.75" customHeight="1">
      <c r="A892" s="786"/>
      <c r="B892" s="216"/>
      <c r="C892" s="764"/>
      <c r="D892" s="766"/>
      <c r="E892" s="79"/>
      <c r="F892" s="272"/>
      <c r="G892" s="99"/>
      <c r="H892" s="95"/>
      <c r="I892" s="334"/>
      <c r="J892" s="279"/>
      <c r="K892" s="217"/>
      <c r="L892" s="217"/>
      <c r="M892" s="217"/>
      <c r="N892" s="217"/>
      <c r="O892" s="217"/>
      <c r="P892" s="30"/>
      <c r="Q892" s="79">
        <f>IF($D$6&lt;=3,база!$L$4,
IF($D$6=4,база!$L$5,
IF($D$6=5,база!$L$6)))</f>
        <v>231.45480000000001</v>
      </c>
      <c r="R892" s="272">
        <v>1.3</v>
      </c>
      <c r="S892" s="99">
        <f>SUMIFS(Таблица1[сумма],Таблица1[коэф],"1,3",Таблица1[р/р],"3/16",Таблица1[Ф. И. О.],B891)</f>
        <v>0</v>
      </c>
      <c r="T892" s="95">
        <f t="shared" ref="T892:T893" si="556">ROUND(Q892*R892*S892,2)</f>
        <v>0</v>
      </c>
      <c r="U892" s="314" t="e">
        <f>IF(D886&lt;=3,база!$M$4,
IF(D886=4,база!$M$5,
IF(D886=5,база!$M$6)))</f>
        <v>#N/A</v>
      </c>
      <c r="V892" s="272">
        <v>1.3</v>
      </c>
      <c r="W892" s="307">
        <f>SUMIFS(Таблица1[сумма],Таблица1[коэф],"1,3",Таблица1[р/р],"3/24",Таблица1[Ф. И. О.],B891)</f>
        <v>0</v>
      </c>
      <c r="X892" s="313" t="e">
        <f t="shared" ref="X892:X893" si="557">ROUND(U892*V892*W892,2)</f>
        <v>#N/A</v>
      </c>
      <c r="Y892" s="838"/>
      <c r="Z892" s="840"/>
      <c r="AA892" s="843"/>
    </row>
    <row r="893" spans="1:30" ht="18.75" customHeight="1">
      <c r="A893" s="786"/>
      <c r="B893" s="216"/>
      <c r="C893" s="764"/>
      <c r="D893" s="766"/>
      <c r="E893" s="79"/>
      <c r="F893" s="272"/>
      <c r="G893" s="99"/>
      <c r="H893" s="95"/>
      <c r="I893" s="334"/>
      <c r="J893" s="279"/>
      <c r="K893" s="217"/>
      <c r="L893" s="217"/>
      <c r="M893" s="217"/>
      <c r="N893" s="217"/>
      <c r="O893" s="217"/>
      <c r="P893" s="30"/>
      <c r="Q893" s="79">
        <f>база!$L$5</f>
        <v>231.45480000000001</v>
      </c>
      <c r="R893" s="272">
        <v>1.3</v>
      </c>
      <c r="S893" s="99">
        <f>SUMIFS(Таблица1[сумма],Таблица1[коэф],"1,3",Таблица1[р/р],"4/16",Таблица1[Ф. И. О.],B891)</f>
        <v>0</v>
      </c>
      <c r="T893" s="95">
        <f t="shared" si="556"/>
        <v>0</v>
      </c>
      <c r="U893" s="314">
        <f>база!$M$5</f>
        <v>247.41720000000001</v>
      </c>
      <c r="V893" s="272">
        <v>1.3</v>
      </c>
      <c r="W893" s="307">
        <f>SUMIFS(Таблица1[сумма],Таблица1[коэф],"1,3",Таблица1[р/р],"4/24",Таблица1[Ф. И. О.],B891)</f>
        <v>0</v>
      </c>
      <c r="X893" s="313">
        <f t="shared" si="557"/>
        <v>0</v>
      </c>
      <c r="Y893" s="838"/>
      <c r="Z893" s="840"/>
      <c r="AA893" s="843"/>
    </row>
    <row r="894" spans="1:30" ht="18.75" customHeight="1">
      <c r="A894" s="786"/>
      <c r="B894" s="216"/>
      <c r="C894" s="764"/>
      <c r="D894" s="766"/>
      <c r="E894" s="79"/>
      <c r="F894" s="272"/>
      <c r="G894" s="99"/>
      <c r="H894" s="95"/>
      <c r="I894" s="334"/>
      <c r="J894" s="279"/>
      <c r="K894" s="217"/>
      <c r="L894" s="217"/>
      <c r="M894" s="217"/>
      <c r="N894" s="217"/>
      <c r="O894" s="217"/>
      <c r="P894" s="30"/>
      <c r="Q894" s="79" t="e">
        <f>IF(D886&lt;=3,база!$L$4,
IF(D886=4,база!$L$5,
IF(D886=5,база!$L$6)))</f>
        <v>#N/A</v>
      </c>
      <c r="R894" s="272">
        <v>1.4</v>
      </c>
      <c r="S894" s="99">
        <f>SUMIFS(Таблица1[сумма],Таблица1[коэф],"1,4",Таблица1[р/р],"3/16",Таблица1[Ф. И. О.],B891)</f>
        <v>0</v>
      </c>
      <c r="T894" s="95" t="e">
        <f>ROUND(Q894*R894*S894,2)</f>
        <v>#N/A</v>
      </c>
      <c r="U894" s="314" t="e">
        <f>IF(D886&lt;=3,база!$M$4,
IF(D886=4,база!$M$5,
IF(D886=5,база!$M$6)))</f>
        <v>#N/A</v>
      </c>
      <c r="V894" s="272">
        <v>1.4</v>
      </c>
      <c r="W894" s="307">
        <f>SUMIFS(Таблица1[сумма],Таблица1[коэф],"1,4",Таблица1[р/р],"3/24",Таблица1[Ф. И. О.],B891)</f>
        <v>0</v>
      </c>
      <c r="X894" s="313" t="e">
        <f>ROUND(U894*V894*W894,2)</f>
        <v>#N/A</v>
      </c>
      <c r="Y894" s="838"/>
      <c r="Z894" s="840"/>
      <c r="AA894" s="843"/>
    </row>
    <row r="895" spans="1:30" ht="18.75" customHeight="1">
      <c r="A895" s="786"/>
      <c r="B895" s="216"/>
      <c r="C895" s="764"/>
      <c r="D895" s="766"/>
      <c r="E895" s="79"/>
      <c r="F895" s="272"/>
      <c r="G895" s="99"/>
      <c r="H895" s="95"/>
      <c r="I895" s="334"/>
      <c r="J895" s="279"/>
      <c r="K895" s="217"/>
      <c r="L895" s="217"/>
      <c r="M895" s="217"/>
      <c r="N895" s="217"/>
      <c r="O895" s="217"/>
      <c r="P895" s="30"/>
      <c r="Q895" s="79">
        <f>база!$L$5</f>
        <v>231.45480000000001</v>
      </c>
      <c r="R895" s="272">
        <v>1.4</v>
      </c>
      <c r="S895" s="99">
        <f>SUMIFS(Таблица1[сумма],Таблица1[коэф],"1,4",Таблица1[р/р],"4/16",Таблица1[Ф. И. О.],B891)</f>
        <v>0</v>
      </c>
      <c r="T895" s="95">
        <f>ROUND(Q895*R895*S895,2)</f>
        <v>0</v>
      </c>
      <c r="U895" s="314">
        <f>база!$M$5</f>
        <v>247.41720000000001</v>
      </c>
      <c r="V895" s="272">
        <v>1.4</v>
      </c>
      <c r="W895" s="307">
        <f>SUMIFS(Таблица1[сумма],Таблица1[коэф],"1,4",Таблица1[р/р],"4/24",Таблица1[Ф. И. О.],B891)</f>
        <v>0</v>
      </c>
      <c r="X895" s="313">
        <f>ROUND(U895*V895*W895,2)</f>
        <v>0</v>
      </c>
      <c r="Y895" s="838"/>
      <c r="Z895" s="840"/>
      <c r="AA895" s="843"/>
    </row>
    <row r="896" spans="1:30" ht="19.5" customHeight="1" thickBot="1">
      <c r="A896" s="787"/>
      <c r="B896" s="352"/>
      <c r="C896" s="765"/>
      <c r="D896" s="767"/>
      <c r="E896" s="75"/>
      <c r="F896" s="271"/>
      <c r="G896" s="89"/>
      <c r="H896" s="103"/>
      <c r="I896" s="24"/>
      <c r="J896" s="278"/>
      <c r="K896" s="22"/>
      <c r="L896" s="309"/>
      <c r="M896" s="24"/>
      <c r="N896" s="22"/>
      <c r="O896" s="22"/>
      <c r="P896" s="282"/>
      <c r="Q896" s="72">
        <f>база!$L$6</f>
        <v>261.04640000000001</v>
      </c>
      <c r="R896" s="271">
        <v>1.4</v>
      </c>
      <c r="S896" s="97">
        <f>SUMIFS(Таблица1[сумма],Таблица1[коэф],"1,4",Таблица1[р/р],"5/16",Таблица1[Ф. И. О.],B891)</f>
        <v>0</v>
      </c>
      <c r="T896" s="103">
        <f>ROUND(Q896*R896*S896,2)</f>
        <v>0</v>
      </c>
      <c r="U896" s="82">
        <f>база!$M$6</f>
        <v>279.0496</v>
      </c>
      <c r="V896" s="272">
        <v>1.4</v>
      </c>
      <c r="W896" s="97">
        <f>SUMIFS(Таблица1[сумма],Таблица1[коэф],"1,4",Таблица1[р/р],"5/24",Таблица1[Ф. И. О.],B891)</f>
        <v>0</v>
      </c>
      <c r="X896" s="103">
        <f>ROUND(U896*V896*W896,2)</f>
        <v>0</v>
      </c>
      <c r="Y896" s="839"/>
      <c r="Z896" s="841"/>
      <c r="AA896" s="844"/>
    </row>
    <row r="897" spans="1:30" ht="18.75" customHeight="1">
      <c r="A897" s="785">
        <v>79</v>
      </c>
      <c r="B897" s="216"/>
      <c r="C897" s="738" t="e">
        <f>INDEX(база!$E$2:$E$181, MATCH(B902,база!$B$2:$B$160,0))</f>
        <v>#N/A</v>
      </c>
      <c r="D897" s="740" t="e">
        <f>INDEX(база!$D$2:$D$189, MATCH(B902,база!$B$2:$B$160,0))</f>
        <v>#N/A</v>
      </c>
      <c r="E897" s="75" t="e">
        <f>IF(D897&lt;=3,база!$I$4,
IF(D897=4,база!$I$5,
IF(D897=5,база!$I$6)))</f>
        <v>#N/A</v>
      </c>
      <c r="F897" s="271">
        <v>1</v>
      </c>
      <c r="G897" s="97">
        <f>SUMIFS(Таблица1[сумма],Таблица1[коэф],"1",Таблица1[р/р],"2/4",Таблица1[Ф. И. О.],B902)</f>
        <v>0</v>
      </c>
      <c r="H897" s="103" t="e">
        <f>ROUND(E897*F897*G897,2)</f>
        <v>#N/A</v>
      </c>
      <c r="I897" s="344" t="e">
        <f>IF(D897&lt;=3,база!$J$4,
IF(D897=4,база!$J$5,
IF(D897=5,база!$J$6)))</f>
        <v>#N/A</v>
      </c>
      <c r="J897" s="278">
        <v>1</v>
      </c>
      <c r="K897" s="309">
        <f>SUMIFS(Таблица1[сумма],Таблица1[коэф],"1",Таблица1[р/р],"2/8",Таблица1[Ф. И. О.],B902)</f>
        <v>0</v>
      </c>
      <c r="L897" s="309" t="e">
        <f>ROUND(I897*J897*K897,2)</f>
        <v>#N/A</v>
      </c>
      <c r="M897" s="309"/>
      <c r="N897" s="309">
        <v>1</v>
      </c>
      <c r="O897" s="309">
        <f>SUMIFS(Data_Tech!$AM$3:$AM$67,Data_Tech!$E$3:$E$67,"1",Data_Tech!$G$3:$G$67,"3/12",Data_Tech!$F$3:$F$67,B902)</f>
        <v>0</v>
      </c>
      <c r="P897" s="282">
        <f>ROUND(M897*N897*O897,2)</f>
        <v>0</v>
      </c>
      <c r="Q897" s="75" t="e">
        <f>IF(D897&lt;=3,база!$L$4,
IF(D897=4,база!$L$5,
IF(D897=5,база!$L$6)))</f>
        <v>#N/A</v>
      </c>
      <c r="R897" s="271">
        <v>1</v>
      </c>
      <c r="S897" s="97">
        <f>SUMIFS(Таблица1[сумма],Таблица1[коэф],"1",Таблица1[р/р],"3/16",Таблица1[Ф. И. О.],B902)</f>
        <v>0</v>
      </c>
      <c r="T897" s="103" t="e">
        <f t="shared" ref="T897:T901" si="558">ROUND(Q897*R897*S897,2)</f>
        <v>#N/A</v>
      </c>
      <c r="U897" s="349" t="e">
        <f>IF(D897&lt;=3,база!$M$4,
IF(D897=4,база!$M$5,
IF(D897=5,база!$M$6)))</f>
        <v>#N/A</v>
      </c>
      <c r="V897" s="271">
        <v>1</v>
      </c>
      <c r="W897" s="337">
        <f>SUMIFS(Таблица1[сумма],Таблица1[коэф],"1",Таблица1[р/р],"3/24",Таблица1[Ф. И. О.],B902)</f>
        <v>0</v>
      </c>
      <c r="X897" s="351" t="e">
        <f>ROUND(U897*V897*W897,2)</f>
        <v>#N/A</v>
      </c>
      <c r="Y897" s="837">
        <f t="shared" ref="Y897" si="559">SUM(G897:G907,K897:K907,O897:O907,S897:S907,W897:W907)</f>
        <v>0</v>
      </c>
      <c r="Z897" s="840" t="str">
        <f t="shared" ref="Z897" si="560">IFERROR(SUM(H897:H907,L897:L907,T897:T907,X897:X907),"")</f>
        <v/>
      </c>
      <c r="AA897" s="842"/>
    </row>
    <row r="898" spans="1:30" ht="18.75" customHeight="1">
      <c r="A898" s="786"/>
      <c r="B898" s="216"/>
      <c r="C898" s="738"/>
      <c r="D898" s="740"/>
      <c r="E898" s="79" t="e">
        <f>IF(D897&lt;=3,база!$I$4,
IF(D897=4,база!$I$5,
IF(D897=5,база!$I$6)))</f>
        <v>#N/A</v>
      </c>
      <c r="F898" s="272">
        <v>1</v>
      </c>
      <c r="G898" s="99">
        <f>SUMIFS(Таблица1[сумма],Таблица1[коэф],"1",Таблица1[р/р],"3/4",Таблица1[Ф. И. О.],B902)</f>
        <v>0</v>
      </c>
      <c r="H898" s="95" t="e">
        <f>ROUND(E898*F898*G898,2)</f>
        <v>#N/A</v>
      </c>
      <c r="I898" s="334" t="e">
        <f>IF(D897&lt;=3,база!$J$4,
IF(D897=4,база!$J$5,
IF(D897=5,база!$J$6)))</f>
        <v>#N/A</v>
      </c>
      <c r="J898" s="279">
        <v>1</v>
      </c>
      <c r="K898" s="217"/>
      <c r="L898" s="217" t="e">
        <f>ROUND(I898*J898*K898,2)</f>
        <v>#N/A</v>
      </c>
      <c r="M898" s="217"/>
      <c r="N898" s="217">
        <v>1</v>
      </c>
      <c r="O898" s="217">
        <f>SUMIFS(Data_Tech!$AM$3:$AM$67,Data_Tech!$E$3:$E$67,"1",Data_Tech!$G$3:$G$67,"4/12",Data_Tech!$F$3:$F$67,B902)</f>
        <v>0</v>
      </c>
      <c r="P898" s="30">
        <f>ROUND(M898*O898,2)</f>
        <v>0</v>
      </c>
      <c r="Q898" s="79">
        <f>база!$L$5</f>
        <v>231.45480000000001</v>
      </c>
      <c r="R898" s="272">
        <v>1</v>
      </c>
      <c r="S898" s="99">
        <f>SUMIFS(Таблица1[сумма],Таблица1[коэф],"1",Таблица1[р/р],"4/16",Таблица1[Ф. И. О.],B902)</f>
        <v>0</v>
      </c>
      <c r="T898" s="95">
        <f t="shared" si="558"/>
        <v>0</v>
      </c>
      <c r="U898" s="314">
        <f>база!$M$5</f>
        <v>247.41720000000001</v>
      </c>
      <c r="V898" s="272">
        <v>1</v>
      </c>
      <c r="W898" s="307">
        <f>SUMIFS(Таблица1[сумма],Таблица1[коэф],"1",Таблица1[р/р],"4/24",Таблица1[Ф. И. О.],B902)</f>
        <v>0</v>
      </c>
      <c r="X898" s="313">
        <f t="shared" ref="X898" si="561">ROUND(U898*V898*W898,2)</f>
        <v>0</v>
      </c>
      <c r="Y898" s="838"/>
      <c r="Z898" s="840"/>
      <c r="AA898" s="843"/>
    </row>
    <row r="899" spans="1:30" ht="18.75" customHeight="1">
      <c r="A899" s="786"/>
      <c r="B899" s="216"/>
      <c r="C899" s="738"/>
      <c r="D899" s="740"/>
      <c r="E899" s="79"/>
      <c r="F899" s="272"/>
      <c r="G899" s="99"/>
      <c r="H899" s="95"/>
      <c r="I899" s="334"/>
      <c r="J899" s="279"/>
      <c r="K899" s="217"/>
      <c r="L899" s="217"/>
      <c r="M899" s="217"/>
      <c r="N899" s="217"/>
      <c r="O899" s="217"/>
      <c r="P899" s="30"/>
      <c r="Q899" s="79">
        <f>база!$L$6</f>
        <v>261.04640000000001</v>
      </c>
      <c r="R899" s="272">
        <v>1</v>
      </c>
      <c r="S899" s="99">
        <f>SUMIFS(Таблица1[сумма],Таблица1[коэф],"1",Таблица1[р/р],"5/16",Таблица1[Ф. И. О.],B902)</f>
        <v>0</v>
      </c>
      <c r="T899" s="95">
        <f t="shared" si="558"/>
        <v>0</v>
      </c>
      <c r="U899" s="314">
        <f>база!$M$6</f>
        <v>279.0496</v>
      </c>
      <c r="V899" s="272">
        <v>1</v>
      </c>
      <c r="W899" s="307">
        <f>SUMIFS(Таблица1[сумма],Таблица1[коэф],"1",Таблица1[р/р],"5/24",Таблица1[Ф. И. О.],B902)</f>
        <v>0</v>
      </c>
      <c r="X899" s="313">
        <f>ROUND(U899*V899*W899,2)</f>
        <v>0</v>
      </c>
      <c r="Y899" s="838"/>
      <c r="Z899" s="840"/>
      <c r="AA899" s="843"/>
    </row>
    <row r="900" spans="1:30" ht="18.75" customHeight="1">
      <c r="A900" s="786"/>
      <c r="B900" s="216"/>
      <c r="C900" s="738"/>
      <c r="D900" s="740"/>
      <c r="E900" s="79"/>
      <c r="F900" s="272"/>
      <c r="G900" s="99"/>
      <c r="H900" s="95"/>
      <c r="I900" s="334">
        <f>база!$J$5</f>
        <v>215.4924</v>
      </c>
      <c r="J900" s="279">
        <v>1.5</v>
      </c>
      <c r="K900" s="217">
        <f>SUMIFS(Таблица1[сумма],Таблица1[коэф],"1,5",Таблица1[р/р],"4/8",Таблица1[Ф. И. О.],B902)</f>
        <v>0</v>
      </c>
      <c r="L900" s="217">
        <f>ROUND(I900*J900*K900,2)</f>
        <v>0</v>
      </c>
      <c r="M900" s="217"/>
      <c r="N900" s="217"/>
      <c r="O900" s="217"/>
      <c r="P900" s="30"/>
      <c r="Q900" s="79" t="e">
        <f>IF(D897&lt;=3,база!$L$4,
IF(D897=4,база!$L$5,
IF(D897=5,база!$L$6)))</f>
        <v>#N/A</v>
      </c>
      <c r="R900" s="272">
        <v>1.2</v>
      </c>
      <c r="S900" s="99">
        <f>SUMIFS(Таблица1[сумма],Таблица1[коэф],"1,2",Таблица1[р/р],"3/16",Таблица1[Ф. И. О.],B902)</f>
        <v>0</v>
      </c>
      <c r="T900" s="95" t="e">
        <f t="shared" si="558"/>
        <v>#N/A</v>
      </c>
      <c r="U900" s="314" t="e">
        <f>IF(D897&lt;=3,база!$M$4,
IF(D897=4,база!$M$5,
IF(D897=5,база!$M$6)))</f>
        <v>#N/A</v>
      </c>
      <c r="V900" s="272">
        <v>1.2</v>
      </c>
      <c r="W900" s="307">
        <f>SUMIFS(Таблица1[сумма],Таблица1[коэф],"1,2",Таблица1[р/р],"3/24",Таблица1[Ф. И. О.],B902)</f>
        <v>0</v>
      </c>
      <c r="X900" s="313" t="e">
        <f t="shared" ref="X900:X901" si="562">ROUND(U900*V900*W900,2)</f>
        <v>#N/A</v>
      </c>
      <c r="Y900" s="838"/>
      <c r="Z900" s="840"/>
      <c r="AA900" s="843"/>
    </row>
    <row r="901" spans="1:30" ht="18.75" customHeight="1">
      <c r="A901" s="786"/>
      <c r="B901" s="216"/>
      <c r="C901" s="738"/>
      <c r="D901" s="740"/>
      <c r="E901" s="79"/>
      <c r="F901" s="272"/>
      <c r="G901" s="99"/>
      <c r="H901" s="95"/>
      <c r="I901" s="334">
        <f>база!$J$6</f>
        <v>243.04319999999998</v>
      </c>
      <c r="J901" s="279">
        <v>1.5</v>
      </c>
      <c r="K901" s="217">
        <f>SUMIFS(Таблица1[сумма],Таблица1[коэф],"1,5",Таблица1[р/р],"5/8",Таблица1[Ф. И. О.],B902)</f>
        <v>0</v>
      </c>
      <c r="L901" s="217">
        <f>ROUND(I901*J901*K901,2)</f>
        <v>0</v>
      </c>
      <c r="M901" s="217"/>
      <c r="N901" s="217"/>
      <c r="O901" s="217"/>
      <c r="P901" s="30"/>
      <c r="Q901" s="79">
        <f>база!$L$5</f>
        <v>231.45480000000001</v>
      </c>
      <c r="R901" s="272">
        <v>1.2</v>
      </c>
      <c r="S901" s="99">
        <f>SUMIFS(Таблица1[сумма],Таблица1[коэф],"1,2",Таблица1[р/р],"4/16",Таблица1[Ф. И. О.],B902)</f>
        <v>0</v>
      </c>
      <c r="T901" s="95">
        <f t="shared" si="558"/>
        <v>0</v>
      </c>
      <c r="U901" s="314">
        <f>база!$M$5</f>
        <v>247.41720000000001</v>
      </c>
      <c r="V901" s="272">
        <v>1.2</v>
      </c>
      <c r="W901" s="307">
        <f>SUMIFS(Таблица1[сумма],Таблица1[коэф],"1,2",Таблица1[р/р],"4/24",Таблица1[Ф. И. О.],B902)</f>
        <v>0</v>
      </c>
      <c r="X901" s="313">
        <f t="shared" si="562"/>
        <v>0</v>
      </c>
      <c r="Y901" s="838"/>
      <c r="Z901" s="840"/>
      <c r="AA901" s="843"/>
      <c r="AC901" s="722" t="e">
        <f>IF(SUMIFS(Таблица1[Столбец2],Таблица1[Ф. И. О.],B902)-Z897=0,"",SUMIFS(Таблица1[Столбец2],Таблица1[Ф. И. О.],B902)-Z897)</f>
        <v>#VALUE!</v>
      </c>
    </row>
    <row r="902" spans="1:30" ht="18.75" customHeight="1">
      <c r="A902" s="786"/>
      <c r="B902" s="216">
        <f>база!B83</f>
        <v>0</v>
      </c>
      <c r="C902" s="738"/>
      <c r="D902" s="740"/>
      <c r="E902" s="79"/>
      <c r="F902" s="272"/>
      <c r="G902" s="99"/>
      <c r="H902" s="95"/>
      <c r="I902" s="334"/>
      <c r="J902" s="279"/>
      <c r="K902" s="217"/>
      <c r="L902" s="217"/>
      <c r="M902" s="217"/>
      <c r="N902" s="217"/>
      <c r="O902" s="217"/>
      <c r="P902" s="30"/>
      <c r="Q902" s="79">
        <f>база!$L$6</f>
        <v>261.04640000000001</v>
      </c>
      <c r="R902" s="272">
        <v>1.2</v>
      </c>
      <c r="S902" s="99">
        <f>SUMIFS(Таблица1[сумма],Таблица1[коэф],"1,2",Таблица1[р/р],"5/16",Таблица1[Ф. И. О.],B902)</f>
        <v>0</v>
      </c>
      <c r="T902" s="95">
        <f>ROUND(Q902*R902*S902,2)</f>
        <v>0</v>
      </c>
      <c r="U902" s="314">
        <f>база!$M$6</f>
        <v>279.0496</v>
      </c>
      <c r="V902" s="272">
        <v>1.2</v>
      </c>
      <c r="W902" s="307">
        <f>SUMIFS(Таблица1[сумма],Таблица1[коэф],"1,2",Таблица1[р/р],"5/24",Таблица1[Ф. И. О.],B902)</f>
        <v>0</v>
      </c>
      <c r="X902" s="313">
        <f>ROUND(U902*V902*W902,2)</f>
        <v>0</v>
      </c>
      <c r="Y902" s="838"/>
      <c r="Z902" s="840"/>
      <c r="AA902" s="843"/>
      <c r="AC902" s="722" t="str">
        <f>IF(SUMIFS(Таблица1[сумма],Таблица1[Ф. И. О.],B902)=Y897,"",B897&amp;"  часы не верны")</f>
        <v/>
      </c>
      <c r="AD902" s="759" t="e">
        <f>INDEX('[2]декабрь 23'!$AI$4:$AI$100,MATCH(C897,'[2]декабрь 23'!$AK$4:$AK$100,0))</f>
        <v>#N/A</v>
      </c>
    </row>
    <row r="903" spans="1:30" ht="18.75" customHeight="1">
      <c r="A903" s="786"/>
      <c r="B903" s="216"/>
      <c r="C903" s="738"/>
      <c r="D903" s="740"/>
      <c r="E903" s="79"/>
      <c r="F903" s="272"/>
      <c r="G903" s="99"/>
      <c r="H903" s="95"/>
      <c r="I903" s="334"/>
      <c r="J903" s="279"/>
      <c r="K903" s="217"/>
      <c r="L903" s="217"/>
      <c r="M903" s="217"/>
      <c r="N903" s="217"/>
      <c r="O903" s="217"/>
      <c r="P903" s="30"/>
      <c r="Q903" s="79">
        <f>IF($D$6&lt;=3,база!$L$4,
IF($D$6=4,база!$L$5,
IF($D$6=5,база!$L$6)))</f>
        <v>231.45480000000001</v>
      </c>
      <c r="R903" s="272">
        <v>1.3</v>
      </c>
      <c r="S903" s="99">
        <f>SUMIFS(Таблица1[сумма],Таблица1[коэф],"1,3",Таблица1[р/р],"3/16",Таблица1[Ф. И. О.],B902)</f>
        <v>0</v>
      </c>
      <c r="T903" s="95">
        <f t="shared" ref="T903:T904" si="563">ROUND(Q903*R903*S903,2)</f>
        <v>0</v>
      </c>
      <c r="U903" s="314" t="e">
        <f>IF(D897&lt;=3,база!$M$4,
IF(D897=4,база!$M$5,
IF(D897=5,база!$M$6)))</f>
        <v>#N/A</v>
      </c>
      <c r="V903" s="272">
        <v>1.3</v>
      </c>
      <c r="W903" s="307">
        <f>SUMIFS(Таблица1[сумма],Таблица1[коэф],"1,3",Таблица1[р/р],"3/24",Таблица1[Ф. И. О.],B902)</f>
        <v>0</v>
      </c>
      <c r="X903" s="313" t="e">
        <f t="shared" ref="X903:X904" si="564">ROUND(U903*V903*W903,2)</f>
        <v>#N/A</v>
      </c>
      <c r="Y903" s="838"/>
      <c r="Z903" s="840"/>
      <c r="AA903" s="843"/>
    </row>
    <row r="904" spans="1:30" ht="18.75" customHeight="1">
      <c r="A904" s="786"/>
      <c r="B904" s="216"/>
      <c r="C904" s="738"/>
      <c r="D904" s="740"/>
      <c r="E904" s="79"/>
      <c r="F904" s="272"/>
      <c r="G904" s="99"/>
      <c r="H904" s="95"/>
      <c r="I904" s="334"/>
      <c r="J904" s="279"/>
      <c r="K904" s="217"/>
      <c r="L904" s="217"/>
      <c r="M904" s="217"/>
      <c r="N904" s="217"/>
      <c r="O904" s="217"/>
      <c r="P904" s="30"/>
      <c r="Q904" s="79">
        <f>база!$L$5</f>
        <v>231.45480000000001</v>
      </c>
      <c r="R904" s="272">
        <v>1.3</v>
      </c>
      <c r="S904" s="99">
        <f>SUMIFS(Таблица1[сумма],Таблица1[коэф],"1,3",Таблица1[р/р],"4/16",Таблица1[Ф. И. О.],B902)</f>
        <v>0</v>
      </c>
      <c r="T904" s="95">
        <f t="shared" si="563"/>
        <v>0</v>
      </c>
      <c r="U904" s="314">
        <f>база!$M$5</f>
        <v>247.41720000000001</v>
      </c>
      <c r="V904" s="272">
        <v>1.3</v>
      </c>
      <c r="W904" s="307">
        <f>SUMIFS(Таблица1[сумма],Таблица1[коэф],"1,3",Таблица1[р/р],"4/24",Таблица1[Ф. И. О.],B902)</f>
        <v>0</v>
      </c>
      <c r="X904" s="313">
        <f t="shared" si="564"/>
        <v>0</v>
      </c>
      <c r="Y904" s="838"/>
      <c r="Z904" s="840"/>
      <c r="AA904" s="843"/>
    </row>
    <row r="905" spans="1:30" ht="18.75" customHeight="1">
      <c r="A905" s="786"/>
      <c r="B905" s="216"/>
      <c r="C905" s="738"/>
      <c r="D905" s="740"/>
      <c r="E905" s="79"/>
      <c r="F905" s="272"/>
      <c r="G905" s="99"/>
      <c r="H905" s="95"/>
      <c r="I905" s="334"/>
      <c r="J905" s="279"/>
      <c r="K905" s="217"/>
      <c r="L905" s="217"/>
      <c r="M905" s="217"/>
      <c r="N905" s="217"/>
      <c r="O905" s="217"/>
      <c r="P905" s="30"/>
      <c r="Q905" s="79" t="e">
        <f>IF(D897&lt;=3,база!$L$4,
IF(D897=4,база!$L$5,
IF(D897=5,база!$L$6)))</f>
        <v>#N/A</v>
      </c>
      <c r="R905" s="272">
        <v>1.4</v>
      </c>
      <c r="S905" s="99">
        <f>SUMIFS(Таблица1[сумма],Таблица1[коэф],"1,4",Таблица1[р/р],"3/16",Таблица1[Ф. И. О.],B902)</f>
        <v>0</v>
      </c>
      <c r="T905" s="95" t="e">
        <f>ROUND(Q905*R905*S905,2)</f>
        <v>#N/A</v>
      </c>
      <c r="U905" s="314" t="e">
        <f>IF(D897&lt;=3,база!$M$4,
IF(D897=4,база!$M$5,
IF(D897=5,база!$M$6)))</f>
        <v>#N/A</v>
      </c>
      <c r="V905" s="272">
        <v>1.4</v>
      </c>
      <c r="W905" s="307">
        <f>SUMIFS(Таблица1[сумма],Таблица1[коэф],"1,4",Таблица1[р/р],"3/24",Таблица1[Ф. И. О.],B902)</f>
        <v>0</v>
      </c>
      <c r="X905" s="313" t="e">
        <f>ROUND(U905*V905*W905,2)</f>
        <v>#N/A</v>
      </c>
      <c r="Y905" s="838"/>
      <c r="Z905" s="840"/>
      <c r="AA905" s="843"/>
    </row>
    <row r="906" spans="1:30" ht="18.75" customHeight="1">
      <c r="A906" s="786"/>
      <c r="B906" s="216"/>
      <c r="C906" s="738"/>
      <c r="D906" s="740"/>
      <c r="E906" s="79"/>
      <c r="F906" s="272"/>
      <c r="G906" s="99"/>
      <c r="H906" s="95"/>
      <c r="I906" s="334"/>
      <c r="J906" s="279"/>
      <c r="K906" s="217"/>
      <c r="L906" s="217"/>
      <c r="M906" s="217"/>
      <c r="N906" s="217"/>
      <c r="O906" s="217"/>
      <c r="P906" s="30"/>
      <c r="Q906" s="79">
        <f>база!$L$5</f>
        <v>231.45480000000001</v>
      </c>
      <c r="R906" s="272">
        <v>1.4</v>
      </c>
      <c r="S906" s="99">
        <f>SUMIFS(Таблица1[сумма],Таблица1[коэф],"1,4",Таблица1[р/р],"4/16",Таблица1[Ф. И. О.],B902)</f>
        <v>0</v>
      </c>
      <c r="T906" s="95">
        <f>ROUND(Q906*R906*S906,2)</f>
        <v>0</v>
      </c>
      <c r="U906" s="314">
        <f>база!$M$5</f>
        <v>247.41720000000001</v>
      </c>
      <c r="V906" s="272">
        <v>1.4</v>
      </c>
      <c r="W906" s="307">
        <f>SUMIFS(Таблица1[сумма],Таблица1[коэф],"1,4",Таблица1[р/р],"4/24",Таблица1[Ф. И. О.],B902)</f>
        <v>0</v>
      </c>
      <c r="X906" s="313">
        <f>ROUND(U906*V906*W906,2)</f>
        <v>0</v>
      </c>
      <c r="Y906" s="838"/>
      <c r="Z906" s="840"/>
      <c r="AA906" s="843"/>
    </row>
    <row r="907" spans="1:30" ht="19.5" customHeight="1" thickBot="1">
      <c r="A907" s="787"/>
      <c r="B907" s="352"/>
      <c r="C907" s="739"/>
      <c r="D907" s="741"/>
      <c r="E907" s="102"/>
      <c r="F907" s="274"/>
      <c r="G907" s="626"/>
      <c r="H907" s="91"/>
      <c r="I907" s="627"/>
      <c r="J907" s="280"/>
      <c r="K907" s="628"/>
      <c r="L907" s="289"/>
      <c r="M907" s="627"/>
      <c r="N907" s="628"/>
      <c r="O907" s="628"/>
      <c r="P907" s="315"/>
      <c r="Q907" s="629">
        <f>база!$L$6</f>
        <v>261.04640000000001</v>
      </c>
      <c r="R907" s="274">
        <v>1.4</v>
      </c>
      <c r="S907" s="98">
        <f>SUMIFS(Таблица1[сумма],Таблица1[коэф],"1,4",Таблица1[р/р],"5/16",Таблица1[Ф. И. О.],B902)</f>
        <v>0</v>
      </c>
      <c r="T907" s="91">
        <f>ROUND(Q907*R907*S907,2)</f>
        <v>0</v>
      </c>
      <c r="U907" s="221">
        <f>база!$M$6</f>
        <v>279.0496</v>
      </c>
      <c r="V907" s="274">
        <v>1.4</v>
      </c>
      <c r="W907" s="98">
        <f>SUMIFS(Таблица1[сумма],Таблица1[коэф],"1,4",Таблица1[р/р],"5/24",Таблица1[Ф. И. О.],B902)</f>
        <v>0</v>
      </c>
      <c r="X907" s="91">
        <f>ROUND(U907*V907*W907,2)</f>
        <v>0</v>
      </c>
      <c r="Y907" s="839"/>
      <c r="Z907" s="841"/>
      <c r="AA907" s="844"/>
    </row>
    <row r="908" spans="1:30" ht="18.75" customHeight="1">
      <c r="A908" s="785">
        <v>80</v>
      </c>
      <c r="B908" s="216"/>
      <c r="C908" s="738" t="e">
        <f>INDEX(база!$E$2:$E$181, MATCH(B913,база!$B$2:$B$160,0))</f>
        <v>#N/A</v>
      </c>
      <c r="D908" s="740" t="e">
        <f>INDEX(база!$D$2:$D$189, MATCH(B913,база!$B$2:$B$160,0))</f>
        <v>#N/A</v>
      </c>
      <c r="E908" s="75" t="e">
        <f>IF(D908&lt;=3,база!$I$4,
IF(D908=4,база!$I$5,
IF(D908=5,база!$I$6)))</f>
        <v>#N/A</v>
      </c>
      <c r="F908" s="271">
        <v>1</v>
      </c>
      <c r="G908" s="97">
        <f>SUMIFS(Таблица1[сумма],Таблица1[коэф],"1",Таблица1[р/р],"2/4",Таблица1[Ф. И. О.],B913)</f>
        <v>0</v>
      </c>
      <c r="H908" s="103" t="e">
        <f>ROUND(E908*F908*G908,2)</f>
        <v>#N/A</v>
      </c>
      <c r="I908" s="344" t="e">
        <f>IF(D908&lt;=3,база!$J$4,
IF(D908=4,база!$J$5,
IF(D908=5,база!$J$6)))</f>
        <v>#N/A</v>
      </c>
      <c r="J908" s="278">
        <v>1</v>
      </c>
      <c r="K908" s="309">
        <f>SUMIFS(Таблица1[сумма],Таблица1[коэф],"1",Таблица1[р/р],"2/8",Таблица1[Ф. И. О.],B913)</f>
        <v>0</v>
      </c>
      <c r="L908" s="309" t="e">
        <f>ROUND(I908*J908*K908,2)</f>
        <v>#N/A</v>
      </c>
      <c r="M908" s="309"/>
      <c r="N908" s="309">
        <v>1</v>
      </c>
      <c r="O908" s="309">
        <f>SUMIFS(Data_Tech!$AM$3:$AM$67,Data_Tech!$E$3:$E$67,"1",Data_Tech!$G$3:$G$67,"3/12",Data_Tech!$F$3:$F$67,B913)</f>
        <v>0</v>
      </c>
      <c r="P908" s="282">
        <f>ROUND(M908*N908*O908,2)</f>
        <v>0</v>
      </c>
      <c r="Q908" s="75" t="e">
        <f>IF(D908&lt;=3,база!$L$4,
IF(D908=4,база!$L$5,
IF(D908=5,база!$L$6)))</f>
        <v>#N/A</v>
      </c>
      <c r="R908" s="271">
        <v>1</v>
      </c>
      <c r="S908" s="97">
        <f>SUMIFS(Таблица1[сумма],Таблица1[коэф],"1",Таблица1[р/р],"3/16",Таблица1[Ф. И. О.],B913)</f>
        <v>0</v>
      </c>
      <c r="T908" s="103" t="e">
        <f t="shared" ref="T908:T912" si="565">ROUND(Q908*R908*S908,2)</f>
        <v>#N/A</v>
      </c>
      <c r="U908" s="349" t="e">
        <f>IF(D908&lt;=3,база!$M$4,
IF(D908=4,база!$M$5,
IF(D908=5,база!$M$6)))</f>
        <v>#N/A</v>
      </c>
      <c r="V908" s="271">
        <v>1</v>
      </c>
      <c r="W908" s="337">
        <f>SUMIFS(Таблица1[сумма],Таблица1[коэф],"1",Таблица1[р/р],"3/24",Таблица1[Ф. И. О.],B913)</f>
        <v>0</v>
      </c>
      <c r="X908" s="351" t="e">
        <f>ROUND(U908*V908*W908,2)</f>
        <v>#N/A</v>
      </c>
      <c r="Y908" s="837">
        <f t="shared" ref="Y908" si="566">SUM(G908:G918,K908:K918,O908:O918,S908:S918,W908:W918)</f>
        <v>0</v>
      </c>
      <c r="Z908" s="840" t="str">
        <f t="shared" ref="Z908" si="567">IFERROR(SUM(H908:H918,L908:L918,T908:T918,X908:X918),"")</f>
        <v/>
      </c>
      <c r="AA908" s="842"/>
    </row>
    <row r="909" spans="1:30" ht="18.75" customHeight="1">
      <c r="A909" s="786"/>
      <c r="B909" s="216"/>
      <c r="C909" s="738"/>
      <c r="D909" s="740"/>
      <c r="E909" s="79" t="e">
        <f>IF(D908&lt;=3,база!$I$4,
IF(D908=4,база!$I$5,
IF(D908=5,база!$I$6)))</f>
        <v>#N/A</v>
      </c>
      <c r="F909" s="272">
        <v>1</v>
      </c>
      <c r="G909" s="99">
        <f>SUMIFS(Таблица1[сумма],Таблица1[коэф],"1",Таблица1[р/р],"3/4",Таблица1[Ф. И. О.],B913)</f>
        <v>0</v>
      </c>
      <c r="H909" s="95" t="e">
        <f>ROUND(E909*F909*G909,2)</f>
        <v>#N/A</v>
      </c>
      <c r="I909" s="334" t="e">
        <f>IF(D908&lt;=3,база!$J$4,
IF(D908=4,база!$J$5,
IF(D908=5,база!$J$6)))</f>
        <v>#N/A</v>
      </c>
      <c r="J909" s="279">
        <v>1</v>
      </c>
      <c r="K909" s="217"/>
      <c r="L909" s="217" t="e">
        <f>ROUND(I909*J909*K909,2)</f>
        <v>#N/A</v>
      </c>
      <c r="M909" s="217"/>
      <c r="N909" s="217">
        <v>1</v>
      </c>
      <c r="O909" s="217">
        <f>SUMIFS(Data_Tech!$AM$3:$AM$67,Data_Tech!$E$3:$E$67,"1",Data_Tech!$G$3:$G$67,"4/12",Data_Tech!$F$3:$F$67,B913)</f>
        <v>0</v>
      </c>
      <c r="P909" s="30">
        <f>ROUND(M909*O909,2)</f>
        <v>0</v>
      </c>
      <c r="Q909" s="79">
        <f>база!$L$5</f>
        <v>231.45480000000001</v>
      </c>
      <c r="R909" s="272">
        <v>1</v>
      </c>
      <c r="S909" s="99">
        <f>SUMIFS(Таблица1[сумма],Таблица1[коэф],"1",Таблица1[р/р],"4/16",Таблица1[Ф. И. О.],B913)</f>
        <v>0</v>
      </c>
      <c r="T909" s="95">
        <f t="shared" si="565"/>
        <v>0</v>
      </c>
      <c r="U909" s="314">
        <f>база!$M$5</f>
        <v>247.41720000000001</v>
      </c>
      <c r="V909" s="272">
        <v>1</v>
      </c>
      <c r="W909" s="307">
        <f>SUMIFS(Таблица1[сумма],Таблица1[коэф],"1",Таблица1[р/р],"4/24",Таблица1[Ф. И. О.],B913)</f>
        <v>0</v>
      </c>
      <c r="X909" s="313">
        <f t="shared" ref="X909" si="568">ROUND(U909*V909*W909,2)</f>
        <v>0</v>
      </c>
      <c r="Y909" s="838"/>
      <c r="Z909" s="840"/>
      <c r="AA909" s="843"/>
    </row>
    <row r="910" spans="1:30" ht="18.75" customHeight="1">
      <c r="A910" s="786"/>
      <c r="B910" s="216"/>
      <c r="C910" s="738"/>
      <c r="D910" s="740"/>
      <c r="E910" s="79"/>
      <c r="F910" s="272"/>
      <c r="G910" s="99"/>
      <c r="H910" s="95"/>
      <c r="I910" s="334"/>
      <c r="J910" s="279"/>
      <c r="K910" s="217"/>
      <c r="L910" s="217"/>
      <c r="M910" s="217"/>
      <c r="N910" s="217"/>
      <c r="O910" s="217"/>
      <c r="P910" s="30"/>
      <c r="Q910" s="79">
        <f>база!$L$6</f>
        <v>261.04640000000001</v>
      </c>
      <c r="R910" s="272">
        <v>1</v>
      </c>
      <c r="S910" s="99">
        <f>SUMIFS(Таблица1[сумма],Таблица1[коэф],"1",Таблица1[р/р],"5/16",Таблица1[Ф. И. О.],B913)</f>
        <v>0</v>
      </c>
      <c r="T910" s="95">
        <f t="shared" si="565"/>
        <v>0</v>
      </c>
      <c r="U910" s="314">
        <f>база!$M$6</f>
        <v>279.0496</v>
      </c>
      <c r="V910" s="272">
        <v>1</v>
      </c>
      <c r="W910" s="307">
        <f>SUMIFS(Таблица1[сумма],Таблица1[коэф],"1",Таблица1[р/р],"5/24",Таблица1[Ф. И. О.],B913)</f>
        <v>0</v>
      </c>
      <c r="X910" s="313">
        <f>ROUND(U910*V910*W910,2)</f>
        <v>0</v>
      </c>
      <c r="Y910" s="838"/>
      <c r="Z910" s="840"/>
      <c r="AA910" s="843"/>
    </row>
    <row r="911" spans="1:30" ht="18.75" customHeight="1">
      <c r="A911" s="786"/>
      <c r="B911" s="216"/>
      <c r="C911" s="738"/>
      <c r="D911" s="740"/>
      <c r="E911" s="79"/>
      <c r="F911" s="272"/>
      <c r="G911" s="99"/>
      <c r="H911" s="95"/>
      <c r="I911" s="334">
        <f>база!$J$5</f>
        <v>215.4924</v>
      </c>
      <c r="J911" s="279">
        <v>1.5</v>
      </c>
      <c r="K911" s="217">
        <f>SUMIFS(Таблица1[сумма],Таблица1[коэф],"1,5",Таблица1[р/р],"4/8",Таблица1[Ф. И. О.],B913)</f>
        <v>0</v>
      </c>
      <c r="L911" s="217">
        <f>ROUND(I911*J911*K911,2)</f>
        <v>0</v>
      </c>
      <c r="M911" s="217"/>
      <c r="N911" s="217"/>
      <c r="O911" s="217"/>
      <c r="P911" s="30"/>
      <c r="Q911" s="79" t="e">
        <f>IF(D908&lt;=3,база!$L$4,
IF(D908=4,база!$L$5,
IF(D908=5,база!$L$6)))</f>
        <v>#N/A</v>
      </c>
      <c r="R911" s="272">
        <v>1.2</v>
      </c>
      <c r="S911" s="99">
        <f>SUMIFS(Таблица1[сумма],Таблица1[коэф],"1,2",Таблица1[р/р],"3/16",Таблица1[Ф. И. О.],B913)</f>
        <v>0</v>
      </c>
      <c r="T911" s="95" t="e">
        <f t="shared" si="565"/>
        <v>#N/A</v>
      </c>
      <c r="U911" s="314" t="e">
        <f>IF(D908&lt;=3,база!$M$4,
IF(D908=4,база!$M$5,
IF(D908=5,база!$M$6)))</f>
        <v>#N/A</v>
      </c>
      <c r="V911" s="272">
        <v>1.2</v>
      </c>
      <c r="W911" s="307">
        <f>SUMIFS(Таблица1[сумма],Таблица1[коэф],"1,2",Таблица1[р/р],"3/24",Таблица1[Ф. И. О.],B913)</f>
        <v>0</v>
      </c>
      <c r="X911" s="313" t="e">
        <f t="shared" ref="X911:X912" si="569">ROUND(U911*V911*W911,2)</f>
        <v>#N/A</v>
      </c>
      <c r="Y911" s="838"/>
      <c r="Z911" s="840"/>
      <c r="AA911" s="843"/>
    </row>
    <row r="912" spans="1:30" ht="18.75" customHeight="1">
      <c r="A912" s="786"/>
      <c r="B912" s="216"/>
      <c r="C912" s="738"/>
      <c r="D912" s="740"/>
      <c r="E912" s="79"/>
      <c r="F912" s="272"/>
      <c r="G912" s="99"/>
      <c r="H912" s="95"/>
      <c r="I912" s="334">
        <f>база!$J$6</f>
        <v>243.04319999999998</v>
      </c>
      <c r="J912" s="279">
        <v>1.5</v>
      </c>
      <c r="K912" s="217">
        <f>SUMIFS(Таблица1[сумма],Таблица1[коэф],"1,5",Таблица1[р/р],"5/8",Таблица1[Ф. И. О.],B913)</f>
        <v>0</v>
      </c>
      <c r="L912" s="217">
        <f>ROUND(I912*J912*K912,2)</f>
        <v>0</v>
      </c>
      <c r="M912" s="217"/>
      <c r="N912" s="217"/>
      <c r="O912" s="217"/>
      <c r="P912" s="30"/>
      <c r="Q912" s="79">
        <f>база!$L$5</f>
        <v>231.45480000000001</v>
      </c>
      <c r="R912" s="272">
        <v>1.2</v>
      </c>
      <c r="S912" s="99">
        <f>SUMIFS(Таблица1[сумма],Таблица1[коэф],"1,2",Таблица1[р/р],"4/16",Таблица1[Ф. И. О.],B913)</f>
        <v>0</v>
      </c>
      <c r="T912" s="95">
        <f t="shared" si="565"/>
        <v>0</v>
      </c>
      <c r="U912" s="314">
        <f>база!$M$5</f>
        <v>247.41720000000001</v>
      </c>
      <c r="V912" s="272">
        <v>1.2</v>
      </c>
      <c r="W912" s="307">
        <f>SUMIFS(Таблица1[сумма],Таблица1[коэф],"1,2",Таблица1[р/р],"4/24",Таблица1[Ф. И. О.],B913)</f>
        <v>0</v>
      </c>
      <c r="X912" s="313">
        <f t="shared" si="569"/>
        <v>0</v>
      </c>
      <c r="Y912" s="838"/>
      <c r="Z912" s="840"/>
      <c r="AA912" s="843"/>
      <c r="AC912" s="722" t="e">
        <f>IF(SUMIFS(Таблица1[Столбец2],Таблица1[Ф. И. О.],B913)-Z908=0,"",SUMIFS(Таблица1[Столбец2],Таблица1[Ф. И. О.],B913)-Z908)</f>
        <v>#VALUE!</v>
      </c>
    </row>
    <row r="913" spans="1:30" ht="18.75" customHeight="1">
      <c r="A913" s="786"/>
      <c r="B913" s="216">
        <f>база!B84</f>
        <v>0</v>
      </c>
      <c r="C913" s="738"/>
      <c r="D913" s="740"/>
      <c r="E913" s="79"/>
      <c r="F913" s="272"/>
      <c r="G913" s="99"/>
      <c r="H913" s="95"/>
      <c r="I913" s="334"/>
      <c r="J913" s="279"/>
      <c r="K913" s="217"/>
      <c r="L913" s="217"/>
      <c r="M913" s="217"/>
      <c r="N913" s="217"/>
      <c r="O913" s="217"/>
      <c r="P913" s="30"/>
      <c r="Q913" s="79">
        <f>база!$L$6</f>
        <v>261.04640000000001</v>
      </c>
      <c r="R913" s="272">
        <v>1.2</v>
      </c>
      <c r="S913" s="99">
        <f>SUMIFS(Таблица1[сумма],Таблица1[коэф],"1,2",Таблица1[р/р],"5/16",Таблица1[Ф. И. О.],B913)</f>
        <v>0</v>
      </c>
      <c r="T913" s="95">
        <f>ROUND(Q913*R913*S913,2)</f>
        <v>0</v>
      </c>
      <c r="U913" s="314">
        <f>база!$M$6</f>
        <v>279.0496</v>
      </c>
      <c r="V913" s="272">
        <v>1.2</v>
      </c>
      <c r="W913" s="307">
        <f>SUMIFS(Таблица1[сумма],Таблица1[коэф],"1,2",Таблица1[р/р],"5/24",Таблица1[Ф. И. О.],B913)</f>
        <v>0</v>
      </c>
      <c r="X913" s="313">
        <f>ROUND(U913*V913*W913,2)</f>
        <v>0</v>
      </c>
      <c r="Y913" s="838"/>
      <c r="Z913" s="840"/>
      <c r="AA913" s="843"/>
      <c r="AC913" s="722" t="str">
        <f>IF(SUMIFS(Таблица1[сумма],Таблица1[Ф. И. О.],B913)=Y908,"",B908&amp;"  часы не верны")</f>
        <v/>
      </c>
      <c r="AD913" s="759" t="e">
        <f>INDEX('[2]декабрь 23'!$AI$4:$AI$100,MATCH(C908,'[2]декабрь 23'!$AK$4:$AK$100,0))</f>
        <v>#N/A</v>
      </c>
    </row>
    <row r="914" spans="1:30" ht="18.75" customHeight="1">
      <c r="A914" s="786"/>
      <c r="B914" s="216"/>
      <c r="C914" s="738"/>
      <c r="D914" s="740"/>
      <c r="E914" s="79"/>
      <c r="F914" s="272"/>
      <c r="G914" s="99"/>
      <c r="H914" s="95"/>
      <c r="I914" s="334"/>
      <c r="J914" s="279"/>
      <c r="K914" s="217"/>
      <c r="L914" s="217"/>
      <c r="M914" s="217"/>
      <c r="N914" s="217"/>
      <c r="O914" s="217"/>
      <c r="P914" s="30"/>
      <c r="Q914" s="79">
        <f>IF($D$6&lt;=3,база!$L$4,
IF($D$6=4,база!$L$5,
IF($D$6=5,база!$L$6)))</f>
        <v>231.45480000000001</v>
      </c>
      <c r="R914" s="272">
        <v>1.3</v>
      </c>
      <c r="S914" s="99">
        <f>SUMIFS(Таблица1[сумма],Таблица1[коэф],"1,3",Таблица1[р/р],"3/16",Таблица1[Ф. И. О.],B913)</f>
        <v>0</v>
      </c>
      <c r="T914" s="95">
        <f t="shared" ref="T914:T915" si="570">ROUND(Q914*R914*S914,2)</f>
        <v>0</v>
      </c>
      <c r="U914" s="314" t="e">
        <f>IF(D908&lt;=3,база!$M$4,
IF(D908=4,база!$M$5,
IF(D908=5,база!$M$6)))</f>
        <v>#N/A</v>
      </c>
      <c r="V914" s="272">
        <v>1.3</v>
      </c>
      <c r="W914" s="307">
        <f>SUMIFS(Таблица1[сумма],Таблица1[коэф],"1,3",Таблица1[р/р],"3/24",Таблица1[Ф. И. О.],B913)</f>
        <v>0</v>
      </c>
      <c r="X914" s="313" t="e">
        <f t="shared" ref="X914:X915" si="571">ROUND(U914*V914*W914,2)</f>
        <v>#N/A</v>
      </c>
      <c r="Y914" s="838"/>
      <c r="Z914" s="840"/>
      <c r="AA914" s="843"/>
    </row>
    <row r="915" spans="1:30" ht="18.75" customHeight="1">
      <c r="A915" s="786"/>
      <c r="B915" s="216"/>
      <c r="C915" s="738"/>
      <c r="D915" s="740"/>
      <c r="E915" s="79"/>
      <c r="F915" s="272"/>
      <c r="G915" s="99"/>
      <c r="H915" s="95"/>
      <c r="I915" s="334"/>
      <c r="J915" s="279"/>
      <c r="K915" s="217"/>
      <c r="L915" s="217"/>
      <c r="M915" s="217"/>
      <c r="N915" s="217"/>
      <c r="O915" s="217"/>
      <c r="P915" s="30"/>
      <c r="Q915" s="79">
        <f>база!$L$5</f>
        <v>231.45480000000001</v>
      </c>
      <c r="R915" s="272">
        <v>1.3</v>
      </c>
      <c r="S915" s="99">
        <f>SUMIFS(Таблица1[сумма],Таблица1[коэф],"1,3",Таблица1[р/р],"4/16",Таблица1[Ф. И. О.],B913)</f>
        <v>0</v>
      </c>
      <c r="T915" s="95">
        <f t="shared" si="570"/>
        <v>0</v>
      </c>
      <c r="U915" s="314">
        <f>база!$M$5</f>
        <v>247.41720000000001</v>
      </c>
      <c r="V915" s="272">
        <v>1.3</v>
      </c>
      <c r="W915" s="307">
        <f>SUMIFS(Таблица1[сумма],Таблица1[коэф],"1,3",Таблица1[р/р],"4/24",Таблица1[Ф. И. О.],B913)</f>
        <v>0</v>
      </c>
      <c r="X915" s="313">
        <f t="shared" si="571"/>
        <v>0</v>
      </c>
      <c r="Y915" s="838"/>
      <c r="Z915" s="840"/>
      <c r="AA915" s="843"/>
    </row>
    <row r="916" spans="1:30" ht="18.75" customHeight="1">
      <c r="A916" s="786"/>
      <c r="B916" s="216"/>
      <c r="C916" s="738"/>
      <c r="D916" s="740"/>
      <c r="E916" s="79"/>
      <c r="F916" s="272"/>
      <c r="G916" s="99"/>
      <c r="H916" s="95"/>
      <c r="I916" s="334"/>
      <c r="J916" s="279"/>
      <c r="K916" s="217"/>
      <c r="L916" s="217"/>
      <c r="M916" s="217"/>
      <c r="N916" s="217"/>
      <c r="O916" s="217"/>
      <c r="P916" s="30"/>
      <c r="Q916" s="79" t="e">
        <f>IF(D908&lt;=3,база!$L$4,
IF(D908=4,база!$L$5,
IF(D908=5,база!$L$6)))</f>
        <v>#N/A</v>
      </c>
      <c r="R916" s="272">
        <v>1.4</v>
      </c>
      <c r="S916" s="99">
        <f>SUMIFS(Таблица1[сумма],Таблица1[коэф],"1,4",Таблица1[р/р],"3/16",Таблица1[Ф. И. О.],B913)</f>
        <v>0</v>
      </c>
      <c r="T916" s="95" t="e">
        <f>ROUND(Q916*R916*S916,2)</f>
        <v>#N/A</v>
      </c>
      <c r="U916" s="314" t="e">
        <f>IF(D908&lt;=3,база!$M$4,
IF(D908=4,база!$M$5,
IF(D908=5,база!$M$6)))</f>
        <v>#N/A</v>
      </c>
      <c r="V916" s="272">
        <v>1.4</v>
      </c>
      <c r="W916" s="307">
        <f>SUMIFS(Таблица1[сумма],Таблица1[коэф],"1,4",Таблица1[р/р],"3/24",Таблица1[Ф. И. О.],B913)</f>
        <v>0</v>
      </c>
      <c r="X916" s="313" t="e">
        <f>ROUND(U916*V916*W916,2)</f>
        <v>#N/A</v>
      </c>
      <c r="Y916" s="838"/>
      <c r="Z916" s="840"/>
      <c r="AA916" s="843"/>
    </row>
    <row r="917" spans="1:30" ht="18.75" customHeight="1">
      <c r="A917" s="786"/>
      <c r="B917" s="216"/>
      <c r="C917" s="738"/>
      <c r="D917" s="740"/>
      <c r="E917" s="79"/>
      <c r="F917" s="272"/>
      <c r="G917" s="99"/>
      <c r="H917" s="95"/>
      <c r="I917" s="334"/>
      <c r="J917" s="279"/>
      <c r="K917" s="217"/>
      <c r="L917" s="217"/>
      <c r="M917" s="217"/>
      <c r="N917" s="217"/>
      <c r="O917" s="217"/>
      <c r="P917" s="30"/>
      <c r="Q917" s="79">
        <f>база!$L$5</f>
        <v>231.45480000000001</v>
      </c>
      <c r="R917" s="272">
        <v>1.4</v>
      </c>
      <c r="S917" s="99">
        <f>SUMIFS(Таблица1[сумма],Таблица1[коэф],"1,4",Таблица1[р/р],"4/16",Таблица1[Ф. И. О.],B913)</f>
        <v>0</v>
      </c>
      <c r="T917" s="95">
        <f>ROUND(Q917*R917*S917,2)</f>
        <v>0</v>
      </c>
      <c r="U917" s="314">
        <f>база!$M$5</f>
        <v>247.41720000000001</v>
      </c>
      <c r="V917" s="272">
        <v>1.4</v>
      </c>
      <c r="W917" s="307">
        <f>SUMIFS(Таблица1[сумма],Таблица1[коэф],"1,4",Таблица1[р/р],"4/24",Таблица1[Ф. И. О.],B913)</f>
        <v>0</v>
      </c>
      <c r="X917" s="313">
        <f>ROUND(U917*V917*W917,2)</f>
        <v>0</v>
      </c>
      <c r="Y917" s="838"/>
      <c r="Z917" s="840"/>
      <c r="AA917" s="843"/>
    </row>
    <row r="918" spans="1:30" ht="19.5" customHeight="1" thickBot="1">
      <c r="A918" s="787"/>
      <c r="B918" s="352"/>
      <c r="C918" s="739"/>
      <c r="D918" s="741"/>
      <c r="E918" s="102"/>
      <c r="F918" s="274"/>
      <c r="G918" s="626"/>
      <c r="H918" s="91"/>
      <c r="I918" s="627"/>
      <c r="J918" s="280"/>
      <c r="K918" s="628"/>
      <c r="L918" s="289"/>
      <c r="M918" s="627"/>
      <c r="N918" s="628"/>
      <c r="O918" s="628"/>
      <c r="P918" s="315"/>
      <c r="Q918" s="629">
        <f>база!$L$6</f>
        <v>261.04640000000001</v>
      </c>
      <c r="R918" s="274">
        <v>1.4</v>
      </c>
      <c r="S918" s="98">
        <f>SUMIFS(Таблица1[сумма],Таблица1[коэф],"1,4",Таблица1[р/р],"5/16",Таблица1[Ф. И. О.],B913)</f>
        <v>0</v>
      </c>
      <c r="T918" s="91">
        <f>ROUND(Q918*R918*S918,2)</f>
        <v>0</v>
      </c>
      <c r="U918" s="221">
        <f>база!$M$6</f>
        <v>279.0496</v>
      </c>
      <c r="V918" s="274">
        <v>1.4</v>
      </c>
      <c r="W918" s="98">
        <f>SUMIFS(Таблица1[сумма],Таблица1[коэф],"1,4",Таблица1[р/р],"5/24",Таблица1[Ф. И. О.],B913)</f>
        <v>0</v>
      </c>
      <c r="X918" s="91">
        <f>ROUND(U918*V918*W918,2)</f>
        <v>0</v>
      </c>
      <c r="Y918" s="839"/>
      <c r="Z918" s="841"/>
      <c r="AA918" s="844"/>
    </row>
    <row r="919" spans="1:30" ht="18.75" customHeight="1">
      <c r="A919" s="785">
        <v>81</v>
      </c>
      <c r="B919" s="216"/>
      <c r="C919" s="686" t="e">
        <f>INDEX(база!$E$2:$E$181, MATCH(B924,база!$B$2:$B$160,0))</f>
        <v>#N/A</v>
      </c>
      <c r="D919" s="688" t="e">
        <f>INDEX(база!$D$2:$D$189, MATCH(B924,база!$B$2:$B$160,0))</f>
        <v>#N/A</v>
      </c>
      <c r="E919" s="75" t="e">
        <f>IF(D919&lt;=3,база!$I$4,
IF(D919=4,база!$I$5,
IF(D919=5,база!$I$6)))</f>
        <v>#N/A</v>
      </c>
      <c r="F919" s="271">
        <v>1</v>
      </c>
      <c r="G919" s="97">
        <f>SUMIFS(Таблица1[сумма],Таблица1[коэф],"1",Таблица1[р/р],"2/4",Таблица1[Ф. И. О.],B924)</f>
        <v>0</v>
      </c>
      <c r="H919" s="103" t="e">
        <f>ROUND(E919*F919*G919,2)</f>
        <v>#N/A</v>
      </c>
      <c r="I919" s="344" t="e">
        <f>IF(D919&lt;=3,база!$J$4,
IF(D919=4,база!$J$5,
IF(D919=5,база!$J$6)))</f>
        <v>#N/A</v>
      </c>
      <c r="J919" s="278">
        <v>1</v>
      </c>
      <c r="K919" s="309">
        <f>SUMIFS(Таблица1[сумма],Таблица1[коэф],"1",Таблица1[р/р],"2/8",Таблица1[Ф. И. О.],B924)</f>
        <v>0</v>
      </c>
      <c r="L919" s="309" t="e">
        <f>ROUND(I919*J919*K919,2)</f>
        <v>#N/A</v>
      </c>
      <c r="M919" s="309"/>
      <c r="N919" s="309">
        <v>1</v>
      </c>
      <c r="O919" s="309">
        <f>SUMIFS(Data_Tech!$AM$3:$AM$67,Data_Tech!$E$3:$E$67,"1",Data_Tech!$G$3:$G$67,"3/12",Data_Tech!$F$3:$F$67,B924)</f>
        <v>0</v>
      </c>
      <c r="P919" s="282">
        <f>ROUND(M919*N919*O919,2)</f>
        <v>0</v>
      </c>
      <c r="Q919" s="75" t="e">
        <f>IF(D919&lt;=3,база!$L$4,
IF(D919=4,база!$L$5,
IF(D919=5,база!$L$6)))</f>
        <v>#N/A</v>
      </c>
      <c r="R919" s="271">
        <v>1</v>
      </c>
      <c r="S919" s="97">
        <f>SUMIFS(Таблица1[сумма],Таблица1[коэф],"1",Таблица1[р/р],"3/16",Таблица1[Ф. И. О.],B924)</f>
        <v>0</v>
      </c>
      <c r="T919" s="103" t="e">
        <f t="shared" si="175"/>
        <v>#N/A</v>
      </c>
      <c r="U919" s="349" t="e">
        <f>IF(D919&lt;=3,база!$M$4,
IF(D919=4,база!$M$5,
IF(D919=5,база!$M$6)))</f>
        <v>#N/A</v>
      </c>
      <c r="V919" s="271">
        <v>1</v>
      </c>
      <c r="W919" s="337">
        <f>SUMIFS(Таблица1[сумма],Таблица1[коэф],"1",Таблица1[р/р],"3/24",Таблица1[Ф. И. О.],B924)</f>
        <v>0</v>
      </c>
      <c r="X919" s="351" t="e">
        <f>ROUND(U919*V919*W919,2)</f>
        <v>#N/A</v>
      </c>
      <c r="Y919" s="837">
        <f t="shared" ref="Y919" si="572">SUM(G919:G929,K919:K929,O919:O929,S919:S929,W919:W929)</f>
        <v>0</v>
      </c>
      <c r="Z919" s="840" t="str">
        <f t="shared" ref="Z919" si="573">IFERROR(SUM(H919:H929,L919:L929,T919:T929,X919:X929),"")</f>
        <v/>
      </c>
      <c r="AA919" s="842"/>
    </row>
    <row r="920" spans="1:30" ht="18.75" customHeight="1">
      <c r="A920" s="786"/>
      <c r="B920" s="216"/>
      <c r="C920" s="686"/>
      <c r="D920" s="688"/>
      <c r="E920" s="79" t="e">
        <f>IF(D919&lt;=3,база!$I$4,
IF(D919=4,база!$I$5,
IF(D919=5,база!$I$6)))</f>
        <v>#N/A</v>
      </c>
      <c r="F920" s="272">
        <v>1</v>
      </c>
      <c r="G920" s="99">
        <f>SUMIFS(Таблица1[сумма],Таблица1[коэф],"1",Таблица1[р/р],"3/4",Таблица1[Ф. И. О.],B924)</f>
        <v>0</v>
      </c>
      <c r="H920" s="95" t="e">
        <f>ROUND(E920*F920*G920,2)</f>
        <v>#N/A</v>
      </c>
      <c r="I920" s="334" t="e">
        <f>IF(D919&lt;=3,база!$J$4,
IF(D919=4,база!$J$5,
IF(D919=5,база!$J$6)))</f>
        <v>#N/A</v>
      </c>
      <c r="J920" s="279">
        <v>1</v>
      </c>
      <c r="K920" s="217"/>
      <c r="L920" s="217" t="e">
        <f>ROUND(I920*J920*K920,2)</f>
        <v>#N/A</v>
      </c>
      <c r="M920" s="217"/>
      <c r="N920" s="217">
        <v>1</v>
      </c>
      <c r="O920" s="217">
        <f>SUMIFS(Data_Tech!$AM$3:$AM$67,Data_Tech!$E$3:$E$67,"1",Data_Tech!$G$3:$G$67,"4/12",Data_Tech!$F$3:$F$67,B924)</f>
        <v>0</v>
      </c>
      <c r="P920" s="30">
        <f>ROUND(M920*O920,2)</f>
        <v>0</v>
      </c>
      <c r="Q920" s="79">
        <f>база!$L$5</f>
        <v>231.45480000000001</v>
      </c>
      <c r="R920" s="272">
        <v>1</v>
      </c>
      <c r="S920" s="99">
        <f>SUMIFS(Таблица1[сумма],Таблица1[коэф],"1",Таблица1[р/р],"4/16",Таблица1[Ф. И. О.],B924)</f>
        <v>0</v>
      </c>
      <c r="T920" s="95">
        <f t="shared" si="175"/>
        <v>0</v>
      </c>
      <c r="U920" s="314">
        <f>база!$M$5</f>
        <v>247.41720000000001</v>
      </c>
      <c r="V920" s="272">
        <v>1</v>
      </c>
      <c r="W920" s="307">
        <f>SUMIFS(Таблица1[сумма],Таблица1[коэф],"1",Таблица1[р/р],"4/24",Таблица1[Ф. И. О.],B924)</f>
        <v>0</v>
      </c>
      <c r="X920" s="313">
        <f t="shared" ref="X920" si="574">ROUND(U920*V920*W920,2)</f>
        <v>0</v>
      </c>
      <c r="Y920" s="838"/>
      <c r="Z920" s="840"/>
      <c r="AA920" s="843"/>
    </row>
    <row r="921" spans="1:30" ht="18.75" customHeight="1">
      <c r="A921" s="786"/>
      <c r="B921" s="216"/>
      <c r="C921" s="686"/>
      <c r="D921" s="688"/>
      <c r="E921" s="79"/>
      <c r="F921" s="272"/>
      <c r="G921" s="99"/>
      <c r="H921" s="95"/>
      <c r="I921" s="334"/>
      <c r="J921" s="279"/>
      <c r="K921" s="217"/>
      <c r="L921" s="217"/>
      <c r="M921" s="217"/>
      <c r="N921" s="217"/>
      <c r="O921" s="217"/>
      <c r="P921" s="30"/>
      <c r="Q921" s="79">
        <f>база!$L$6</f>
        <v>261.04640000000001</v>
      </c>
      <c r="R921" s="272">
        <v>1</v>
      </c>
      <c r="S921" s="99">
        <f>SUMIFS(Таблица1[сумма],Таблица1[коэф],"1",Таблица1[р/р],"5/16",Таблица1[Ф. И. О.],B924)</f>
        <v>0</v>
      </c>
      <c r="T921" s="95">
        <f t="shared" si="175"/>
        <v>0</v>
      </c>
      <c r="U921" s="314">
        <f>база!$M$6</f>
        <v>279.0496</v>
      </c>
      <c r="V921" s="272">
        <v>1</v>
      </c>
      <c r="W921" s="307">
        <f>SUMIFS(Таблица1[сумма],Таблица1[коэф],"1",Таблица1[р/р],"5/24",Таблица1[Ф. И. О.],B924)</f>
        <v>0</v>
      </c>
      <c r="X921" s="313">
        <f>ROUND(U921*V921*W921,2)</f>
        <v>0</v>
      </c>
      <c r="Y921" s="838"/>
      <c r="Z921" s="840"/>
      <c r="AA921" s="843"/>
    </row>
    <row r="922" spans="1:30" ht="18.75" customHeight="1">
      <c r="A922" s="786"/>
      <c r="B922" s="216"/>
      <c r="C922" s="686"/>
      <c r="D922" s="688"/>
      <c r="E922" s="79"/>
      <c r="F922" s="272"/>
      <c r="G922" s="99"/>
      <c r="H922" s="95"/>
      <c r="I922" s="334">
        <f>база!$J$5</f>
        <v>215.4924</v>
      </c>
      <c r="J922" s="279">
        <v>1.5</v>
      </c>
      <c r="K922" s="217">
        <f>SUMIFS(Таблица1[сумма],Таблица1[коэф],"1,5",Таблица1[р/р],"4/8",Таблица1[Ф. И. О.],B924)</f>
        <v>0</v>
      </c>
      <c r="L922" s="217">
        <f>ROUND(I922*J922*K922,2)</f>
        <v>0</v>
      </c>
      <c r="M922" s="217"/>
      <c r="N922" s="217"/>
      <c r="O922" s="217"/>
      <c r="P922" s="30"/>
      <c r="Q922" s="79" t="e">
        <f>IF(D919&lt;=3,база!$L$4,
IF(D919=4,база!$L$5,
IF(D919=5,база!$L$6)))</f>
        <v>#N/A</v>
      </c>
      <c r="R922" s="272">
        <v>1.2</v>
      </c>
      <c r="S922" s="99">
        <f>SUMIFS(Таблица1[сумма],Таблица1[коэф],"1,2",Таблица1[р/р],"3/16",Таблица1[Ф. И. О.],B924)</f>
        <v>0</v>
      </c>
      <c r="T922" s="95" t="e">
        <f t="shared" ref="T922:T923" si="575">ROUND(Q922*R922*S922,2)</f>
        <v>#N/A</v>
      </c>
      <c r="U922" s="314" t="e">
        <f>IF(D919&lt;=3,база!$M$4,
IF(D919=4,база!$M$5,
IF(D919=5,база!$M$6)))</f>
        <v>#N/A</v>
      </c>
      <c r="V922" s="272">
        <v>1.2</v>
      </c>
      <c r="W922" s="307">
        <f>SUMIFS(Таблица1[сумма],Таблица1[коэф],"1,2",Таблица1[р/р],"3/24",Таблица1[Ф. И. О.],B924)</f>
        <v>0</v>
      </c>
      <c r="X922" s="313" t="e">
        <f t="shared" ref="X922:X923" si="576">ROUND(U922*V922*W922,2)</f>
        <v>#N/A</v>
      </c>
      <c r="Y922" s="838"/>
      <c r="Z922" s="840"/>
      <c r="AA922" s="843"/>
    </row>
    <row r="923" spans="1:30" ht="18.75" customHeight="1">
      <c r="A923" s="786"/>
      <c r="B923" s="216"/>
      <c r="C923" s="686"/>
      <c r="D923" s="688"/>
      <c r="E923" s="79"/>
      <c r="F923" s="272"/>
      <c r="G923" s="99"/>
      <c r="H923" s="95"/>
      <c r="I923" s="334">
        <f>база!$J$6</f>
        <v>243.04319999999998</v>
      </c>
      <c r="J923" s="279">
        <v>1.5</v>
      </c>
      <c r="K923" s="217">
        <f>SUMIFS(Таблица1[сумма],Таблица1[коэф],"1,5",Таблица1[р/р],"5/8",Таблица1[Ф. И. О.],B924)</f>
        <v>0</v>
      </c>
      <c r="L923" s="217">
        <f>ROUND(I923*J923*K923,2)</f>
        <v>0</v>
      </c>
      <c r="M923" s="217"/>
      <c r="N923" s="217"/>
      <c r="O923" s="217"/>
      <c r="P923" s="30"/>
      <c r="Q923" s="79">
        <f>база!$L$5</f>
        <v>231.45480000000001</v>
      </c>
      <c r="R923" s="272">
        <v>1.2</v>
      </c>
      <c r="S923" s="99">
        <f>SUMIFS(Таблица1[сумма],Таблица1[коэф],"1,2",Таблица1[р/р],"4/16",Таблица1[Ф. И. О.],B924)</f>
        <v>0</v>
      </c>
      <c r="T923" s="95">
        <f t="shared" si="575"/>
        <v>0</v>
      </c>
      <c r="U923" s="314">
        <f>база!$M$5</f>
        <v>247.41720000000001</v>
      </c>
      <c r="V923" s="272">
        <v>1.2</v>
      </c>
      <c r="W923" s="307">
        <f>SUMIFS(Таблица1[сумма],Таблица1[коэф],"1,2",Таблица1[р/р],"4/24",Таблица1[Ф. И. О.],B924)</f>
        <v>0</v>
      </c>
      <c r="X923" s="313">
        <f t="shared" si="576"/>
        <v>0</v>
      </c>
      <c r="Y923" s="838"/>
      <c r="Z923" s="840"/>
      <c r="AA923" s="843"/>
      <c r="AC923" s="722" t="e">
        <f>IF(SUMIFS(Таблица1[Столбец2],Таблица1[Ф. И. О.],B924)-Z919=0,"",SUMIFS(Таблица1[Столбец2],Таблица1[Ф. И. О.],B924)-Z919)</f>
        <v>#VALUE!</v>
      </c>
    </row>
    <row r="924" spans="1:30" ht="18.75" customHeight="1">
      <c r="A924" s="786"/>
      <c r="B924" s="216">
        <f>база!B85</f>
        <v>0</v>
      </c>
      <c r="C924" s="686"/>
      <c r="D924" s="688"/>
      <c r="E924" s="79"/>
      <c r="F924" s="272"/>
      <c r="G924" s="99"/>
      <c r="H924" s="95"/>
      <c r="I924" s="334"/>
      <c r="J924" s="279"/>
      <c r="K924" s="217"/>
      <c r="L924" s="217"/>
      <c r="M924" s="217"/>
      <c r="N924" s="217"/>
      <c r="O924" s="217"/>
      <c r="P924" s="30"/>
      <c r="Q924" s="79">
        <f>база!$L$6</f>
        <v>261.04640000000001</v>
      </c>
      <c r="R924" s="272">
        <v>1.2</v>
      </c>
      <c r="S924" s="99">
        <f>SUMIFS(Таблица1[сумма],Таблица1[коэф],"1,2",Таблица1[р/р],"5/16",Таблица1[Ф. И. О.],B924)</f>
        <v>0</v>
      </c>
      <c r="T924" s="95">
        <f>ROUND(Q924*R924*S924,2)</f>
        <v>0</v>
      </c>
      <c r="U924" s="314">
        <f>база!$M$6</f>
        <v>279.0496</v>
      </c>
      <c r="V924" s="272">
        <v>1.2</v>
      </c>
      <c r="W924" s="307">
        <f>SUMIFS(Таблица1[сумма],Таблица1[коэф],"1,2",Таблица1[р/р],"5/24",Таблица1[Ф. И. О.],B924)</f>
        <v>0</v>
      </c>
      <c r="X924" s="313">
        <f>ROUND(U924*V924*W924,2)</f>
        <v>0</v>
      </c>
      <c r="Y924" s="838"/>
      <c r="Z924" s="840"/>
      <c r="AA924" s="843"/>
      <c r="AC924" s="722" t="str">
        <f>IF(SUMIFS(Таблица1[сумма],Таблица1[Ф. И. О.],B924)=Y919,"",B919&amp;"  часы не верны")</f>
        <v/>
      </c>
      <c r="AD924" s="759" t="e">
        <f>INDEX('[2]декабрь 23'!$AI$4:$AI$100,MATCH(C919,'[2]декабрь 23'!$AK$4:$AK$100,0))</f>
        <v>#N/A</v>
      </c>
    </row>
    <row r="925" spans="1:30" ht="18.75" customHeight="1">
      <c r="A925" s="786"/>
      <c r="B925" s="216"/>
      <c r="C925" s="686"/>
      <c r="D925" s="688"/>
      <c r="E925" s="79"/>
      <c r="F925" s="272"/>
      <c r="G925" s="99"/>
      <c r="H925" s="95"/>
      <c r="I925" s="334"/>
      <c r="J925" s="279"/>
      <c r="K925" s="217"/>
      <c r="L925" s="217"/>
      <c r="M925" s="217"/>
      <c r="N925" s="217"/>
      <c r="O925" s="217"/>
      <c r="P925" s="30"/>
      <c r="Q925" s="79">
        <f>IF($D$6&lt;=3,база!$L$4,
IF($D$6=4,база!$L$5,
IF($D$6=5,база!$L$6)))</f>
        <v>231.45480000000001</v>
      </c>
      <c r="R925" s="272">
        <v>1.3</v>
      </c>
      <c r="S925" s="99">
        <f>SUMIFS(Таблица1[сумма],Таблица1[коэф],"1,3",Таблица1[р/р],"3/16",Таблица1[Ф. И. О.],B924)</f>
        <v>0</v>
      </c>
      <c r="T925" s="95">
        <f t="shared" ref="T925:T926" si="577">ROUND(Q925*R925*S925,2)</f>
        <v>0</v>
      </c>
      <c r="U925" s="314" t="e">
        <f>IF(D919&lt;=3,база!$M$4,
IF(D919=4,база!$M$5,
IF(D919=5,база!$M$6)))</f>
        <v>#N/A</v>
      </c>
      <c r="V925" s="272">
        <v>1.3</v>
      </c>
      <c r="W925" s="307">
        <f>SUMIFS(Таблица1[сумма],Таблица1[коэф],"1,3",Таблица1[р/р],"3/24",Таблица1[Ф. И. О.],B924)</f>
        <v>0</v>
      </c>
      <c r="X925" s="313" t="e">
        <f t="shared" ref="X925:X926" si="578">ROUND(U925*V925*W925,2)</f>
        <v>#N/A</v>
      </c>
      <c r="Y925" s="838"/>
      <c r="Z925" s="840"/>
      <c r="AA925" s="843"/>
    </row>
    <row r="926" spans="1:30" ht="18.75" customHeight="1">
      <c r="A926" s="786"/>
      <c r="B926" s="216"/>
      <c r="C926" s="686"/>
      <c r="D926" s="688"/>
      <c r="E926" s="79"/>
      <c r="F926" s="272"/>
      <c r="G926" s="99"/>
      <c r="H926" s="95"/>
      <c r="I926" s="334"/>
      <c r="J926" s="279"/>
      <c r="K926" s="217"/>
      <c r="L926" s="217"/>
      <c r="M926" s="217"/>
      <c r="N926" s="217"/>
      <c r="O926" s="217"/>
      <c r="P926" s="30"/>
      <c r="Q926" s="79">
        <f>база!$L$5</f>
        <v>231.45480000000001</v>
      </c>
      <c r="R926" s="272">
        <v>1.3</v>
      </c>
      <c r="S926" s="99">
        <f>SUMIFS(Таблица1[сумма],Таблица1[коэф],"1,3",Таблица1[р/р],"4/16",Таблица1[Ф. И. О.],B924)</f>
        <v>0</v>
      </c>
      <c r="T926" s="95">
        <f t="shared" si="577"/>
        <v>0</v>
      </c>
      <c r="U926" s="314">
        <f>база!$M$5</f>
        <v>247.41720000000001</v>
      </c>
      <c r="V926" s="272">
        <v>1.3</v>
      </c>
      <c r="W926" s="307">
        <f>SUMIFS(Таблица1[сумма],Таблица1[коэф],"1,3",Таблица1[р/р],"4/24",Таблица1[Ф. И. О.],B924)</f>
        <v>0</v>
      </c>
      <c r="X926" s="313">
        <f t="shared" si="578"/>
        <v>0</v>
      </c>
      <c r="Y926" s="838"/>
      <c r="Z926" s="840"/>
      <c r="AA926" s="843"/>
    </row>
    <row r="927" spans="1:30" ht="18.75" customHeight="1">
      <c r="A927" s="786"/>
      <c r="B927" s="216"/>
      <c r="C927" s="686"/>
      <c r="D927" s="688"/>
      <c r="E927" s="79"/>
      <c r="F927" s="272"/>
      <c r="G927" s="99"/>
      <c r="H927" s="95"/>
      <c r="I927" s="334"/>
      <c r="J927" s="279"/>
      <c r="K927" s="217"/>
      <c r="L927" s="217"/>
      <c r="M927" s="217"/>
      <c r="N927" s="217"/>
      <c r="O927" s="217"/>
      <c r="P927" s="30"/>
      <c r="Q927" s="79" t="e">
        <f>IF(D919&lt;=3,база!$L$4,
IF(D919=4,база!$L$5,
IF(D919=5,база!$L$6)))</f>
        <v>#N/A</v>
      </c>
      <c r="R927" s="272">
        <v>1.4</v>
      </c>
      <c r="S927" s="99">
        <f>SUMIFS(Таблица1[сумма],Таблица1[коэф],"1,4",Таблица1[р/р],"3/16",Таблица1[Ф. И. О.],B924)</f>
        <v>0</v>
      </c>
      <c r="T927" s="95" t="e">
        <f>ROUND(Q927*R927*S927,2)</f>
        <v>#N/A</v>
      </c>
      <c r="U927" s="314" t="e">
        <f>IF(D919&lt;=3,база!$M$4,
IF(D919=4,база!$M$5,
IF(D919=5,база!$M$6)))</f>
        <v>#N/A</v>
      </c>
      <c r="V927" s="272">
        <v>1.4</v>
      </c>
      <c r="W927" s="307">
        <f>SUMIFS(Таблица1[сумма],Таблица1[коэф],"1,4",Таблица1[р/р],"3/24",Таблица1[Ф. И. О.],B924)</f>
        <v>0</v>
      </c>
      <c r="X927" s="313" t="e">
        <f>ROUND(U927*V927*W927,2)</f>
        <v>#N/A</v>
      </c>
      <c r="Y927" s="838"/>
      <c r="Z927" s="840"/>
      <c r="AA927" s="843"/>
    </row>
    <row r="928" spans="1:30" ht="18.75" customHeight="1">
      <c r="A928" s="786"/>
      <c r="B928" s="216"/>
      <c r="C928" s="686"/>
      <c r="D928" s="688"/>
      <c r="E928" s="79"/>
      <c r="F928" s="272"/>
      <c r="G928" s="99"/>
      <c r="H928" s="95"/>
      <c r="I928" s="334"/>
      <c r="J928" s="279"/>
      <c r="K928" s="217"/>
      <c r="L928" s="217"/>
      <c r="M928" s="217"/>
      <c r="N928" s="217"/>
      <c r="O928" s="217"/>
      <c r="P928" s="30"/>
      <c r="Q928" s="79">
        <f>база!$L$5</f>
        <v>231.45480000000001</v>
      </c>
      <c r="R928" s="272">
        <v>1.4</v>
      </c>
      <c r="S928" s="99">
        <f>SUMIFS(Таблица1[сумма],Таблица1[коэф],"1,4",Таблица1[р/р],"4/16",Таблица1[Ф. И. О.],B924)</f>
        <v>0</v>
      </c>
      <c r="T928" s="95">
        <f>ROUND(Q928*R928*S928,2)</f>
        <v>0</v>
      </c>
      <c r="U928" s="314">
        <f>база!$M$5</f>
        <v>247.41720000000001</v>
      </c>
      <c r="V928" s="272">
        <v>1.4</v>
      </c>
      <c r="W928" s="307">
        <f>SUMIFS(Таблица1[сумма],Таблица1[коэф],"1,4",Таблица1[р/р],"4/24",Таблица1[Ф. И. О.],B924)</f>
        <v>0</v>
      </c>
      <c r="X928" s="313">
        <f>ROUND(U928*V928*W928,2)</f>
        <v>0</v>
      </c>
      <c r="Y928" s="838"/>
      <c r="Z928" s="840"/>
      <c r="AA928" s="843"/>
    </row>
    <row r="929" spans="1:30" ht="19.5" customHeight="1" thickBot="1">
      <c r="A929" s="787"/>
      <c r="B929" s="352"/>
      <c r="C929" s="687"/>
      <c r="D929" s="689"/>
      <c r="E929" s="75"/>
      <c r="F929" s="271"/>
      <c r="G929" s="89"/>
      <c r="H929" s="103"/>
      <c r="I929" s="24"/>
      <c r="J929" s="278"/>
      <c r="K929" s="22"/>
      <c r="L929" s="309"/>
      <c r="M929" s="24"/>
      <c r="N929" s="22"/>
      <c r="O929" s="22"/>
      <c r="P929" s="282"/>
      <c r="Q929" s="72">
        <f>база!$L$6</f>
        <v>261.04640000000001</v>
      </c>
      <c r="R929" s="271">
        <v>1.4</v>
      </c>
      <c r="S929" s="97">
        <f>SUMIFS(Таблица1[сумма],Таблица1[коэф],"1,4",Таблица1[р/р],"5/16",Таблица1[Ф. И. О.],B924)</f>
        <v>0</v>
      </c>
      <c r="T929" s="103">
        <f>ROUND(Q929*R929*S929,2)</f>
        <v>0</v>
      </c>
      <c r="U929" s="82">
        <f>база!$M$6</f>
        <v>279.0496</v>
      </c>
      <c r="V929" s="272">
        <v>1.4</v>
      </c>
      <c r="W929" s="97">
        <f>SUMIFS(Таблица1[сумма],Таблица1[коэф],"1,4",Таблица1[р/р],"5/24",Таблица1[Ф. И. О.],B924)</f>
        <v>0</v>
      </c>
      <c r="X929" s="103">
        <f>ROUND(U929*V929*W929,2)</f>
        <v>0</v>
      </c>
      <c r="Y929" s="839"/>
      <c r="Z929" s="841"/>
      <c r="AA929" s="844"/>
    </row>
    <row r="930" spans="1:30" s="58" customFormat="1">
      <c r="A930" s="857" t="s">
        <v>69</v>
      </c>
      <c r="B930" s="858"/>
      <c r="C930" s="858"/>
      <c r="D930" s="858"/>
      <c r="E930" s="858"/>
      <c r="F930" s="858"/>
      <c r="G930" s="858"/>
      <c r="H930" s="858"/>
      <c r="I930" s="858"/>
      <c r="J930" s="858"/>
      <c r="K930" s="858"/>
      <c r="L930" s="858"/>
      <c r="M930" s="858"/>
      <c r="N930" s="858"/>
      <c r="O930" s="858"/>
      <c r="P930" s="858"/>
      <c r="Q930" s="858"/>
      <c r="R930" s="858"/>
      <c r="S930" s="858"/>
      <c r="T930" s="858"/>
      <c r="U930" s="858"/>
      <c r="V930" s="858"/>
      <c r="W930" s="858"/>
      <c r="X930" s="859"/>
      <c r="Y930" s="866">
        <f>SUM(Y6:Y929)</f>
        <v>0</v>
      </c>
      <c r="Z930" s="867">
        <f>SUM(Z6:Z929)</f>
        <v>0</v>
      </c>
      <c r="AA930" s="842"/>
      <c r="AC930" s="722"/>
      <c r="AD930" s="763"/>
    </row>
    <row r="931" spans="1:30" s="58" customFormat="1">
      <c r="A931" s="860"/>
      <c r="B931" s="861"/>
      <c r="C931" s="861"/>
      <c r="D931" s="861"/>
      <c r="E931" s="861"/>
      <c r="F931" s="861"/>
      <c r="G931" s="861"/>
      <c r="H931" s="861"/>
      <c r="I931" s="861"/>
      <c r="J931" s="861"/>
      <c r="K931" s="861"/>
      <c r="L931" s="861"/>
      <c r="M931" s="861"/>
      <c r="N931" s="861"/>
      <c r="O931" s="861"/>
      <c r="P931" s="861"/>
      <c r="Q931" s="861"/>
      <c r="R931" s="861"/>
      <c r="S931" s="861"/>
      <c r="T931" s="861"/>
      <c r="U931" s="861"/>
      <c r="V931" s="861"/>
      <c r="W931" s="861"/>
      <c r="X931" s="862"/>
      <c r="Y931" s="843"/>
      <c r="Z931" s="868"/>
      <c r="AA931" s="843"/>
      <c r="AC931" s="722"/>
      <c r="AD931" s="763"/>
    </row>
    <row r="932" spans="1:30" s="58" customFormat="1" ht="24" thickBot="1">
      <c r="A932" s="863"/>
      <c r="B932" s="864"/>
      <c r="C932" s="864"/>
      <c r="D932" s="864"/>
      <c r="E932" s="864"/>
      <c r="F932" s="864"/>
      <c r="G932" s="864"/>
      <c r="H932" s="864"/>
      <c r="I932" s="864"/>
      <c r="J932" s="864"/>
      <c r="K932" s="864"/>
      <c r="L932" s="864"/>
      <c r="M932" s="864"/>
      <c r="N932" s="864"/>
      <c r="O932" s="864"/>
      <c r="P932" s="864"/>
      <c r="Q932" s="864"/>
      <c r="R932" s="864"/>
      <c r="S932" s="864"/>
      <c r="T932" s="864"/>
      <c r="U932" s="864"/>
      <c r="V932" s="864"/>
      <c r="W932" s="864"/>
      <c r="X932" s="865"/>
      <c r="Y932" s="844"/>
      <c r="Z932" s="869"/>
      <c r="AA932" s="844"/>
      <c r="AC932" s="722"/>
      <c r="AD932" s="763"/>
    </row>
    <row r="933" spans="1:30">
      <c r="A933" s="180"/>
      <c r="B933" s="180"/>
      <c r="C933" s="181"/>
      <c r="D933" s="182"/>
      <c r="E933" s="183"/>
      <c r="F933" s="184"/>
      <c r="G933" s="184"/>
      <c r="H933" s="183"/>
      <c r="I933" s="183"/>
      <c r="J933" s="180"/>
      <c r="K933" s="184"/>
      <c r="L933" s="183"/>
      <c r="M933" s="183"/>
      <c r="N933" s="184"/>
      <c r="O933" s="184"/>
      <c r="P933" s="183"/>
      <c r="Q933" s="183"/>
      <c r="R933" s="184"/>
      <c r="S933" s="184"/>
      <c r="T933" s="183"/>
      <c r="U933" s="183"/>
      <c r="V933" s="184"/>
      <c r="W933" s="184"/>
      <c r="X933" s="185"/>
      <c r="Y933" s="180"/>
      <c r="Z933" s="183"/>
      <c r="AA933" s="186"/>
    </row>
    <row r="934" spans="1:30">
      <c r="A934" s="180"/>
      <c r="B934" s="180"/>
      <c r="C934" s="181"/>
      <c r="D934" s="182"/>
      <c r="E934" s="187" t="s">
        <v>250</v>
      </c>
      <c r="F934" s="187"/>
      <c r="G934" s="188"/>
      <c r="H934" s="189"/>
      <c r="I934" s="190"/>
      <c r="J934" s="190"/>
      <c r="K934" s="189"/>
      <c r="L934" s="189"/>
      <c r="M934" s="190"/>
      <c r="N934" s="190"/>
      <c r="O934" s="189"/>
      <c r="P934" s="189"/>
      <c r="Q934" s="190"/>
      <c r="R934" s="190"/>
      <c r="S934" s="184"/>
      <c r="T934" s="183"/>
      <c r="U934" s="183"/>
      <c r="V934" s="184"/>
      <c r="W934" s="184"/>
      <c r="X934" s="185"/>
      <c r="Y934" s="180"/>
      <c r="Z934" s="183"/>
      <c r="AA934" s="186"/>
    </row>
    <row r="935" spans="1:30">
      <c r="A935" s="180"/>
      <c r="B935" s="180"/>
      <c r="C935" s="181"/>
      <c r="D935" s="182"/>
      <c r="E935" s="191"/>
      <c r="F935" s="192"/>
      <c r="G935" s="189"/>
      <c r="H935" s="190"/>
      <c r="I935" s="188"/>
      <c r="J935" s="188"/>
      <c r="K935" s="187"/>
      <c r="L935" s="193"/>
      <c r="M935" s="194"/>
      <c r="N935" s="195"/>
      <c r="O935" s="195"/>
      <c r="P935" s="196"/>
      <c r="Q935" s="196"/>
      <c r="R935" s="190"/>
      <c r="S935" s="184"/>
      <c r="T935" s="183"/>
      <c r="U935" s="183"/>
      <c r="V935" s="184"/>
      <c r="W935" s="184"/>
      <c r="X935" s="185"/>
      <c r="Y935" s="180"/>
      <c r="Z935" s="183"/>
      <c r="AA935" s="186"/>
      <c r="AD935" s="759" t="e">
        <f>INDEX('[2]декабрь 23'!$AI$4:$AI$100,MATCH(C930,'[2]декабрь 23'!$AK$4:$AK$100,0))</f>
        <v>#N/A</v>
      </c>
    </row>
    <row r="936" spans="1:30">
      <c r="A936" s="180"/>
      <c r="B936" s="180"/>
      <c r="C936" s="181"/>
      <c r="D936" s="182"/>
      <c r="E936" s="187" t="s">
        <v>72</v>
      </c>
      <c r="F936" s="187"/>
      <c r="G936" s="189"/>
      <c r="H936" s="190"/>
      <c r="I936" s="188"/>
      <c r="J936" s="188"/>
      <c r="K936" s="197"/>
      <c r="L936" s="198"/>
      <c r="M936" s="198"/>
      <c r="N936" s="199"/>
      <c r="O936" s="199"/>
      <c r="P936" s="198"/>
      <c r="Q936" s="198"/>
      <c r="R936" s="190"/>
      <c r="S936" s="184"/>
      <c r="T936" s="183"/>
      <c r="U936" s="183"/>
      <c r="V936" s="184"/>
      <c r="W936" s="184"/>
      <c r="X936" s="185"/>
      <c r="Y936" s="180"/>
      <c r="Z936" s="183"/>
      <c r="AA936" s="186"/>
    </row>
    <row r="937" spans="1:30">
      <c r="A937" s="180"/>
      <c r="B937" s="180"/>
      <c r="C937" s="181"/>
      <c r="D937" s="182"/>
      <c r="E937" s="187"/>
      <c r="F937" s="187"/>
      <c r="G937" s="189"/>
      <c r="H937" s="190"/>
      <c r="I937" s="188"/>
      <c r="J937" s="188"/>
      <c r="K937" s="187"/>
      <c r="L937" s="193"/>
      <c r="M937" s="200"/>
      <c r="N937" s="201"/>
      <c r="O937" s="201"/>
      <c r="P937" s="202"/>
      <c r="Q937" s="202"/>
      <c r="R937" s="190"/>
      <c r="S937" s="184"/>
      <c r="T937" s="183"/>
      <c r="U937" s="183"/>
      <c r="V937" s="184"/>
      <c r="W937" s="184"/>
      <c r="X937" s="185"/>
      <c r="Y937" s="180"/>
      <c r="Z937" s="183"/>
      <c r="AA937" s="186"/>
    </row>
    <row r="938" spans="1:30">
      <c r="A938" s="180"/>
      <c r="B938" s="180"/>
      <c r="C938" s="181"/>
      <c r="D938" s="182"/>
      <c r="E938" s="187" t="s">
        <v>73</v>
      </c>
      <c r="F938" s="187"/>
      <c r="G938" s="189"/>
      <c r="H938" s="190"/>
      <c r="I938" s="188"/>
      <c r="J938" s="188"/>
      <c r="K938" s="187"/>
      <c r="L938" s="193"/>
      <c r="M938" s="194"/>
      <c r="N938" s="195"/>
      <c r="O938" s="195"/>
      <c r="P938" s="196"/>
      <c r="Q938" s="196"/>
      <c r="R938" s="190"/>
      <c r="S938" s="184"/>
      <c r="T938" s="183"/>
      <c r="U938" s="183"/>
      <c r="V938" s="184"/>
      <c r="W938" s="184"/>
      <c r="X938" s="185"/>
      <c r="Y938" s="180"/>
      <c r="Z938" s="183"/>
      <c r="AA938" s="186"/>
    </row>
    <row r="952" spans="29:29">
      <c r="AC952" s="723"/>
    </row>
    <row r="953" spans="29:29">
      <c r="AC953" s="723"/>
    </row>
    <row r="954" spans="29:29">
      <c r="AC954" s="723"/>
    </row>
  </sheetData>
  <sheetProtection selectLockedCells="1" selectUnlockedCells="1"/>
  <mergeCells count="501">
    <mergeCell ref="B6:B16"/>
    <mergeCell ref="B17:B27"/>
    <mergeCell ref="A622:A632"/>
    <mergeCell ref="C622:C632"/>
    <mergeCell ref="D622:D632"/>
    <mergeCell ref="Y622:Y632"/>
    <mergeCell ref="Z622:Z632"/>
    <mergeCell ref="AA622:AA632"/>
    <mergeCell ref="A633:A643"/>
    <mergeCell ref="C633:C643"/>
    <mergeCell ref="D633:D643"/>
    <mergeCell ref="Y633:Y643"/>
    <mergeCell ref="Z633:Z643"/>
    <mergeCell ref="AA633:AA643"/>
    <mergeCell ref="A600:A610"/>
    <mergeCell ref="C600:C610"/>
    <mergeCell ref="D600:D610"/>
    <mergeCell ref="Y600:Y610"/>
    <mergeCell ref="Z600:Z610"/>
    <mergeCell ref="AA600:AA610"/>
    <mergeCell ref="A611:A621"/>
    <mergeCell ref="C611:C621"/>
    <mergeCell ref="D611:D621"/>
    <mergeCell ref="Y611:Y621"/>
    <mergeCell ref="Z611:Z621"/>
    <mergeCell ref="AA611:AA621"/>
    <mergeCell ref="A578:A588"/>
    <mergeCell ref="C578:C588"/>
    <mergeCell ref="D578:D588"/>
    <mergeCell ref="Y578:Y588"/>
    <mergeCell ref="Z578:Z588"/>
    <mergeCell ref="AA578:AA588"/>
    <mergeCell ref="A589:A599"/>
    <mergeCell ref="C589:C599"/>
    <mergeCell ref="D589:D599"/>
    <mergeCell ref="Y589:Y599"/>
    <mergeCell ref="Z589:Z599"/>
    <mergeCell ref="AA589:AA599"/>
    <mergeCell ref="A556:A566"/>
    <mergeCell ref="C556:C566"/>
    <mergeCell ref="D556:D566"/>
    <mergeCell ref="Y556:Y566"/>
    <mergeCell ref="Z556:Z566"/>
    <mergeCell ref="AA556:AA566"/>
    <mergeCell ref="A567:A577"/>
    <mergeCell ref="C567:C577"/>
    <mergeCell ref="D567:D577"/>
    <mergeCell ref="Y567:Y577"/>
    <mergeCell ref="Z567:Z577"/>
    <mergeCell ref="AA567:AA577"/>
    <mergeCell ref="A523:A533"/>
    <mergeCell ref="Y523:Y533"/>
    <mergeCell ref="Z523:Z533"/>
    <mergeCell ref="AA523:AA533"/>
    <mergeCell ref="A545:A555"/>
    <mergeCell ref="C545:C555"/>
    <mergeCell ref="D545:D555"/>
    <mergeCell ref="D534:D544"/>
    <mergeCell ref="Y534:Y544"/>
    <mergeCell ref="C534:C544"/>
    <mergeCell ref="A534:A544"/>
    <mergeCell ref="Z534:Z544"/>
    <mergeCell ref="AA534:AA544"/>
    <mergeCell ref="Y545:Y555"/>
    <mergeCell ref="Z545:Z555"/>
    <mergeCell ref="AA545:AA555"/>
    <mergeCell ref="A501:A511"/>
    <mergeCell ref="C501:C511"/>
    <mergeCell ref="D501:D511"/>
    <mergeCell ref="Y501:Y511"/>
    <mergeCell ref="Z501:Z511"/>
    <mergeCell ref="AA501:AA511"/>
    <mergeCell ref="A512:A522"/>
    <mergeCell ref="C512:C522"/>
    <mergeCell ref="D512:D522"/>
    <mergeCell ref="Y512:Y522"/>
    <mergeCell ref="Z512:Z522"/>
    <mergeCell ref="AA512:AA522"/>
    <mergeCell ref="A479:A489"/>
    <mergeCell ref="C479:C489"/>
    <mergeCell ref="D479:D489"/>
    <mergeCell ref="Y479:Y489"/>
    <mergeCell ref="Z479:Z489"/>
    <mergeCell ref="AA479:AA489"/>
    <mergeCell ref="A490:A500"/>
    <mergeCell ref="C490:C500"/>
    <mergeCell ref="D490:D500"/>
    <mergeCell ref="Y490:Y500"/>
    <mergeCell ref="Z490:Z500"/>
    <mergeCell ref="AA490:AA500"/>
    <mergeCell ref="A457:A467"/>
    <mergeCell ref="C457:C467"/>
    <mergeCell ref="D457:D467"/>
    <mergeCell ref="Y457:Y467"/>
    <mergeCell ref="Z457:Z467"/>
    <mergeCell ref="AA457:AA467"/>
    <mergeCell ref="A468:A478"/>
    <mergeCell ref="C468:C478"/>
    <mergeCell ref="D468:D478"/>
    <mergeCell ref="Y468:Y478"/>
    <mergeCell ref="Z468:Z478"/>
    <mergeCell ref="AA468:AA478"/>
    <mergeCell ref="A435:A445"/>
    <mergeCell ref="C435:C445"/>
    <mergeCell ref="D435:D445"/>
    <mergeCell ref="Y435:Y445"/>
    <mergeCell ref="Z435:Z445"/>
    <mergeCell ref="AA435:AA445"/>
    <mergeCell ref="A446:A456"/>
    <mergeCell ref="C446:C456"/>
    <mergeCell ref="D446:D456"/>
    <mergeCell ref="Y446:Y456"/>
    <mergeCell ref="Z446:Z456"/>
    <mergeCell ref="AA446:AA456"/>
    <mergeCell ref="AA424:AA434"/>
    <mergeCell ref="A248:A258"/>
    <mergeCell ref="C248:C258"/>
    <mergeCell ref="D248:D258"/>
    <mergeCell ref="Y248:Y258"/>
    <mergeCell ref="Z248:Z258"/>
    <mergeCell ref="AA248:AA258"/>
    <mergeCell ref="Y259:Y269"/>
    <mergeCell ref="Z259:Z269"/>
    <mergeCell ref="C259:C269"/>
    <mergeCell ref="D259:D269"/>
    <mergeCell ref="Y270:Y280"/>
    <mergeCell ref="Z270:Z280"/>
    <mergeCell ref="AA270:AA280"/>
    <mergeCell ref="Y281:Y291"/>
    <mergeCell ref="Z281:Z291"/>
    <mergeCell ref="AA281:AA291"/>
    <mergeCell ref="Y292:Y302"/>
    <mergeCell ref="Z292:Z302"/>
    <mergeCell ref="A281:A291"/>
    <mergeCell ref="C281:C291"/>
    <mergeCell ref="D281:D291"/>
    <mergeCell ref="A292:A302"/>
    <mergeCell ref="C292:C302"/>
    <mergeCell ref="Y28:Y38"/>
    <mergeCell ref="Z28:Z38"/>
    <mergeCell ref="AA28:AA38"/>
    <mergeCell ref="C28:C38"/>
    <mergeCell ref="D28:D38"/>
    <mergeCell ref="A61:A71"/>
    <mergeCell ref="Y61:Y71"/>
    <mergeCell ref="Z61:Z71"/>
    <mergeCell ref="AA61:AA71"/>
    <mergeCell ref="Z50:Z60"/>
    <mergeCell ref="A50:A60"/>
    <mergeCell ref="C50:C60"/>
    <mergeCell ref="D50:D60"/>
    <mergeCell ref="Y50:Y60"/>
    <mergeCell ref="AA50:AA60"/>
    <mergeCell ref="C61:C71"/>
    <mergeCell ref="D61:D71"/>
    <mergeCell ref="AA39:AA49"/>
    <mergeCell ref="A39:A49"/>
    <mergeCell ref="D6:D16"/>
    <mergeCell ref="Y6:Y16"/>
    <mergeCell ref="Z6:Z16"/>
    <mergeCell ref="Y4:Y5"/>
    <mergeCell ref="Z4:Z5"/>
    <mergeCell ref="AA4:AA5"/>
    <mergeCell ref="H1:U1"/>
    <mergeCell ref="I4:L4"/>
    <mergeCell ref="M4:P4"/>
    <mergeCell ref="Q4:T4"/>
    <mergeCell ref="U4:X4"/>
    <mergeCell ref="AA6:AA16"/>
    <mergeCell ref="A4:A5"/>
    <mergeCell ref="B4:B5"/>
    <mergeCell ref="C4:C5"/>
    <mergeCell ref="D4:D5"/>
    <mergeCell ref="E4:H4"/>
    <mergeCell ref="AA105:AA115"/>
    <mergeCell ref="AA116:AA126"/>
    <mergeCell ref="AA127:AA137"/>
    <mergeCell ref="AA138:AA148"/>
    <mergeCell ref="Y138:Y148"/>
    <mergeCell ref="Z138:Z148"/>
    <mergeCell ref="Y83:Y93"/>
    <mergeCell ref="Z83:Z93"/>
    <mergeCell ref="Y94:Y104"/>
    <mergeCell ref="Z94:Z104"/>
    <mergeCell ref="Y105:Y115"/>
    <mergeCell ref="Z105:Z115"/>
    <mergeCell ref="Y17:Y27"/>
    <mergeCell ref="Z17:Z27"/>
    <mergeCell ref="AA17:AA27"/>
    <mergeCell ref="Y39:Y49"/>
    <mergeCell ref="Z39:Z49"/>
    <mergeCell ref="A6:A16"/>
    <mergeCell ref="C6:C16"/>
    <mergeCell ref="A930:X932"/>
    <mergeCell ref="Y930:Y932"/>
    <mergeCell ref="Z930:Z932"/>
    <mergeCell ref="AA930:AA932"/>
    <mergeCell ref="AA83:AA93"/>
    <mergeCell ref="AA94:AA104"/>
    <mergeCell ref="AA215:AA225"/>
    <mergeCell ref="AA226:AA236"/>
    <mergeCell ref="AA237:AA247"/>
    <mergeCell ref="AA259:AA269"/>
    <mergeCell ref="AA160:AA170"/>
    <mergeCell ref="AA171:AA181"/>
    <mergeCell ref="AA182:AA192"/>
    <mergeCell ref="AA193:AA203"/>
    <mergeCell ref="AA204:AA214"/>
    <mergeCell ref="Y116:Y126"/>
    <mergeCell ref="Z116:Z126"/>
    <mergeCell ref="Y127:Y137"/>
    <mergeCell ref="Z127:Z137"/>
    <mergeCell ref="A424:A434"/>
    <mergeCell ref="C424:C434"/>
    <mergeCell ref="D424:D434"/>
    <mergeCell ref="Y424:Y434"/>
    <mergeCell ref="Z424:Z434"/>
    <mergeCell ref="Y149:Y159"/>
    <mergeCell ref="Z149:Z159"/>
    <mergeCell ref="Y160:Y170"/>
    <mergeCell ref="Z160:Z170"/>
    <mergeCell ref="Y171:Y181"/>
    <mergeCell ref="Z171:Z181"/>
    <mergeCell ref="AA149:AA159"/>
    <mergeCell ref="Y72:Y82"/>
    <mergeCell ref="Z72:Z82"/>
    <mergeCell ref="AA72:AA82"/>
    <mergeCell ref="A171:A181"/>
    <mergeCell ref="A182:A192"/>
    <mergeCell ref="Y215:Y225"/>
    <mergeCell ref="Z215:Z225"/>
    <mergeCell ref="Y226:Y236"/>
    <mergeCell ref="Z226:Z236"/>
    <mergeCell ref="Y237:Y247"/>
    <mergeCell ref="Z237:Z247"/>
    <mergeCell ref="Y182:Y192"/>
    <mergeCell ref="Z182:Z192"/>
    <mergeCell ref="Y193:Y203"/>
    <mergeCell ref="Z193:Z203"/>
    <mergeCell ref="Y204:Y214"/>
    <mergeCell ref="Z204:Z214"/>
    <mergeCell ref="C204:C214"/>
    <mergeCell ref="D204:D214"/>
    <mergeCell ref="C215:C225"/>
    <mergeCell ref="D215:D225"/>
    <mergeCell ref="C226:C236"/>
    <mergeCell ref="D226:D236"/>
    <mergeCell ref="A17:A27"/>
    <mergeCell ref="A72:A82"/>
    <mergeCell ref="A83:A93"/>
    <mergeCell ref="A94:A104"/>
    <mergeCell ref="A105:A115"/>
    <mergeCell ref="A116:A126"/>
    <mergeCell ref="A127:A137"/>
    <mergeCell ref="A138:A148"/>
    <mergeCell ref="A149:A159"/>
    <mergeCell ref="A28:A38"/>
    <mergeCell ref="C17:C27"/>
    <mergeCell ref="D17:D27"/>
    <mergeCell ref="C72:C82"/>
    <mergeCell ref="D72:D82"/>
    <mergeCell ref="C83:C93"/>
    <mergeCell ref="D83:D93"/>
    <mergeCell ref="C94:C104"/>
    <mergeCell ref="D94:D104"/>
    <mergeCell ref="C105:C115"/>
    <mergeCell ref="D105:D115"/>
    <mergeCell ref="C39:C49"/>
    <mergeCell ref="D39:D49"/>
    <mergeCell ref="C116:C126"/>
    <mergeCell ref="D116:D126"/>
    <mergeCell ref="C127:C137"/>
    <mergeCell ref="D127:D137"/>
    <mergeCell ref="A193:A203"/>
    <mergeCell ref="A204:A214"/>
    <mergeCell ref="A215:A225"/>
    <mergeCell ref="A226:A236"/>
    <mergeCell ref="A237:A247"/>
    <mergeCell ref="C171:C181"/>
    <mergeCell ref="D171:D181"/>
    <mergeCell ref="C182:C192"/>
    <mergeCell ref="D182:D192"/>
    <mergeCell ref="C193:C203"/>
    <mergeCell ref="D193:D203"/>
    <mergeCell ref="C138:C148"/>
    <mergeCell ref="D138:D148"/>
    <mergeCell ref="C149:C159"/>
    <mergeCell ref="D149:D159"/>
    <mergeCell ref="C160:C170"/>
    <mergeCell ref="D160:D170"/>
    <mergeCell ref="C237:C247"/>
    <mergeCell ref="D237:D247"/>
    <mergeCell ref="A160:A170"/>
    <mergeCell ref="A270:A280"/>
    <mergeCell ref="C270:C280"/>
    <mergeCell ref="D270:D280"/>
    <mergeCell ref="A259:A269"/>
    <mergeCell ref="AA292:AA302"/>
    <mergeCell ref="A303:A313"/>
    <mergeCell ref="C303:C313"/>
    <mergeCell ref="D303:D313"/>
    <mergeCell ref="Y303:Y313"/>
    <mergeCell ref="Z303:Z313"/>
    <mergeCell ref="AA303:AA313"/>
    <mergeCell ref="A314:A324"/>
    <mergeCell ref="C314:C324"/>
    <mergeCell ref="D314:D324"/>
    <mergeCell ref="Y314:Y324"/>
    <mergeCell ref="Z314:Z324"/>
    <mergeCell ref="AA314:AA324"/>
    <mergeCell ref="D292:D302"/>
    <mergeCell ref="Y325:Y335"/>
    <mergeCell ref="Z325:Z335"/>
    <mergeCell ref="AA325:AA335"/>
    <mergeCell ref="A336:A346"/>
    <mergeCell ref="C336:C346"/>
    <mergeCell ref="D336:D346"/>
    <mergeCell ref="Y336:Y346"/>
    <mergeCell ref="Z336:Z346"/>
    <mergeCell ref="AA336:AA346"/>
    <mergeCell ref="A325:A335"/>
    <mergeCell ref="C325:C335"/>
    <mergeCell ref="D325:D335"/>
    <mergeCell ref="Y347:Y357"/>
    <mergeCell ref="Z347:Z357"/>
    <mergeCell ref="AA347:AA357"/>
    <mergeCell ref="A358:A368"/>
    <mergeCell ref="C358:C368"/>
    <mergeCell ref="D358:D368"/>
    <mergeCell ref="Y358:Y368"/>
    <mergeCell ref="Z358:Z368"/>
    <mergeCell ref="AA358:AA368"/>
    <mergeCell ref="A347:A357"/>
    <mergeCell ref="C347:C357"/>
    <mergeCell ref="D347:D357"/>
    <mergeCell ref="C369:C379"/>
    <mergeCell ref="D369:D379"/>
    <mergeCell ref="Y369:Y379"/>
    <mergeCell ref="Z369:Z379"/>
    <mergeCell ref="AA369:AA379"/>
    <mergeCell ref="A380:A390"/>
    <mergeCell ref="C380:C390"/>
    <mergeCell ref="D380:D390"/>
    <mergeCell ref="Y380:Y390"/>
    <mergeCell ref="Z380:Z390"/>
    <mergeCell ref="AA380:AA390"/>
    <mergeCell ref="A369:A379"/>
    <mergeCell ref="A413:A423"/>
    <mergeCell ref="C413:C423"/>
    <mergeCell ref="D413:D423"/>
    <mergeCell ref="Y413:Y423"/>
    <mergeCell ref="Z413:Z423"/>
    <mergeCell ref="AA413:AA423"/>
    <mergeCell ref="A391:A401"/>
    <mergeCell ref="C391:C401"/>
    <mergeCell ref="D391:D401"/>
    <mergeCell ref="Y391:Y401"/>
    <mergeCell ref="Z391:Z401"/>
    <mergeCell ref="AA391:AA401"/>
    <mergeCell ref="A402:A412"/>
    <mergeCell ref="C402:C412"/>
    <mergeCell ref="D402:D412"/>
    <mergeCell ref="Y402:Y412"/>
    <mergeCell ref="Z402:Z412"/>
    <mergeCell ref="AA402:AA412"/>
    <mergeCell ref="A655:A665"/>
    <mergeCell ref="C655:C665"/>
    <mergeCell ref="D655:D665"/>
    <mergeCell ref="Y655:Y665"/>
    <mergeCell ref="Z655:Z665"/>
    <mergeCell ref="AA655:AA665"/>
    <mergeCell ref="A677:A687"/>
    <mergeCell ref="C677:C687"/>
    <mergeCell ref="D677:D687"/>
    <mergeCell ref="Y677:Y687"/>
    <mergeCell ref="Z677:Z687"/>
    <mergeCell ref="AA677:AA687"/>
    <mergeCell ref="A666:A676"/>
    <mergeCell ref="C666:C676"/>
    <mergeCell ref="D666:D676"/>
    <mergeCell ref="Y666:Y676"/>
    <mergeCell ref="Z666:Z676"/>
    <mergeCell ref="AA666:AA676"/>
    <mergeCell ref="A644:A654"/>
    <mergeCell ref="C644:C654"/>
    <mergeCell ref="D644:D654"/>
    <mergeCell ref="Y644:Y654"/>
    <mergeCell ref="Z644:Z654"/>
    <mergeCell ref="AA644:AA654"/>
    <mergeCell ref="A721:A731"/>
    <mergeCell ref="C721:C731"/>
    <mergeCell ref="D721:D731"/>
    <mergeCell ref="Y721:Y731"/>
    <mergeCell ref="Z721:Z731"/>
    <mergeCell ref="AA721:AA731"/>
    <mergeCell ref="A710:A720"/>
    <mergeCell ref="C710:C720"/>
    <mergeCell ref="D710:D720"/>
    <mergeCell ref="Y710:Y720"/>
    <mergeCell ref="Z710:Z720"/>
    <mergeCell ref="AA710:AA720"/>
    <mergeCell ref="A699:A709"/>
    <mergeCell ref="C699:C709"/>
    <mergeCell ref="D699:D709"/>
    <mergeCell ref="Y699:Y709"/>
    <mergeCell ref="Z699:Z709"/>
    <mergeCell ref="AA699:AA709"/>
    <mergeCell ref="A688:A698"/>
    <mergeCell ref="C688:C698"/>
    <mergeCell ref="D688:D698"/>
    <mergeCell ref="Y688:Y698"/>
    <mergeCell ref="Z688:Z698"/>
    <mergeCell ref="AA688:AA698"/>
    <mergeCell ref="A732:A742"/>
    <mergeCell ref="C732:C742"/>
    <mergeCell ref="D732:D742"/>
    <mergeCell ref="Y732:Y742"/>
    <mergeCell ref="Z732:Z742"/>
    <mergeCell ref="AA732:AA742"/>
    <mergeCell ref="A743:A753"/>
    <mergeCell ref="C743:C753"/>
    <mergeCell ref="D743:D753"/>
    <mergeCell ref="Y743:Y753"/>
    <mergeCell ref="Z743:Z753"/>
    <mergeCell ref="AA743:AA753"/>
    <mergeCell ref="A754:A764"/>
    <mergeCell ref="C754:C764"/>
    <mergeCell ref="D754:D764"/>
    <mergeCell ref="Y754:Y764"/>
    <mergeCell ref="Z754:Z764"/>
    <mergeCell ref="AA754:AA764"/>
    <mergeCell ref="A776:A786"/>
    <mergeCell ref="C776:C786"/>
    <mergeCell ref="D776:D786"/>
    <mergeCell ref="Y776:Y786"/>
    <mergeCell ref="Z776:Z786"/>
    <mergeCell ref="AA776:AA786"/>
    <mergeCell ref="A765:A775"/>
    <mergeCell ref="C765:C775"/>
    <mergeCell ref="D765:D775"/>
    <mergeCell ref="Y765:Y775"/>
    <mergeCell ref="Z765:Z775"/>
    <mergeCell ref="AA765:AA775"/>
    <mergeCell ref="A919:A929"/>
    <mergeCell ref="A809:A819"/>
    <mergeCell ref="C809:C819"/>
    <mergeCell ref="D809:D819"/>
    <mergeCell ref="Y809:Y819"/>
    <mergeCell ref="Z809:Z819"/>
    <mergeCell ref="AA809:AA819"/>
    <mergeCell ref="A787:A797"/>
    <mergeCell ref="C787:C797"/>
    <mergeCell ref="D787:D797"/>
    <mergeCell ref="Y787:Y797"/>
    <mergeCell ref="Z787:Z797"/>
    <mergeCell ref="AA787:AA797"/>
    <mergeCell ref="A798:A808"/>
    <mergeCell ref="C798:C808"/>
    <mergeCell ref="D798:D808"/>
    <mergeCell ref="Y798:Y808"/>
    <mergeCell ref="Z798:Z808"/>
    <mergeCell ref="AA798:AA808"/>
    <mergeCell ref="Y919:Y929"/>
    <mergeCell ref="Z919:Z929"/>
    <mergeCell ref="AA919:AA929"/>
    <mergeCell ref="A842:A852"/>
    <mergeCell ref="Y842:Y852"/>
    <mergeCell ref="Z842:Z852"/>
    <mergeCell ref="AA842:AA852"/>
    <mergeCell ref="A820:A830"/>
    <mergeCell ref="Y820:Y830"/>
    <mergeCell ref="Z820:Z830"/>
    <mergeCell ref="AA820:AA830"/>
    <mergeCell ref="A831:A841"/>
    <mergeCell ref="Y831:Y841"/>
    <mergeCell ref="Z831:Z841"/>
    <mergeCell ref="AA831:AA841"/>
    <mergeCell ref="A908:A918"/>
    <mergeCell ref="Y908:Y918"/>
    <mergeCell ref="Z908:Z918"/>
    <mergeCell ref="AA908:AA918"/>
    <mergeCell ref="A853:A863"/>
    <mergeCell ref="Y853:Y863"/>
    <mergeCell ref="Z853:Z863"/>
    <mergeCell ref="AA853:AA863"/>
    <mergeCell ref="A897:A907"/>
    <mergeCell ref="Y897:Y907"/>
    <mergeCell ref="Z897:Z907"/>
    <mergeCell ref="AA897:AA907"/>
    <mergeCell ref="A864:A874"/>
    <mergeCell ref="Y864:Y874"/>
    <mergeCell ref="Z864:Z874"/>
    <mergeCell ref="AA864:AA874"/>
    <mergeCell ref="A875:A885"/>
    <mergeCell ref="Y875:Y885"/>
    <mergeCell ref="Z875:Z885"/>
    <mergeCell ref="AA875:AA885"/>
    <mergeCell ref="A886:A896"/>
    <mergeCell ref="Y886:Y896"/>
    <mergeCell ref="Z886:Z896"/>
    <mergeCell ref="AA886:AA896"/>
  </mergeCells>
  <conditionalFormatting sqref="W14:X15 U14:U15 E6:X11 V14:V236 E12:P18 Q12:T16 E919:T928 V512:V555 E522:U555 W522:X555 V919:V929 E19:T236">
    <cfRule type="cellIs" dxfId="221" priority="151" operator="equal">
      <formula>0</formula>
    </cfRule>
  </conditionalFormatting>
  <conditionalFormatting sqref="E929:U929 W929:X929">
    <cfRule type="cellIs" dxfId="220" priority="102" operator="equal">
      <formula>0</formula>
    </cfRule>
  </conditionalFormatting>
  <conditionalFormatting sqref="V237:V247 E237:T247">
    <cfRule type="cellIs" dxfId="219" priority="95" operator="equal">
      <formula>0</formula>
    </cfRule>
  </conditionalFormatting>
  <conditionalFormatting sqref="V259:V269 E259:T269 E270:H280">
    <cfRule type="cellIs" dxfId="218" priority="94" operator="equal">
      <formula>0</formula>
    </cfRule>
  </conditionalFormatting>
  <conditionalFormatting sqref="V248:V258 E248:T258">
    <cfRule type="cellIs" dxfId="217" priority="93" operator="equal">
      <formula>0</formula>
    </cfRule>
  </conditionalFormatting>
  <conditionalFormatting sqref="V270:V280 I270:T280">
    <cfRule type="cellIs" dxfId="216" priority="92" operator="equal">
      <formula>0</formula>
    </cfRule>
  </conditionalFormatting>
  <conditionalFormatting sqref="E281:H291">
    <cfRule type="cellIs" dxfId="215" priority="91" operator="equal">
      <formula>0</formula>
    </cfRule>
  </conditionalFormatting>
  <conditionalFormatting sqref="V281:V291 I281:T291">
    <cfRule type="cellIs" dxfId="214" priority="90" operator="equal">
      <formula>0</formula>
    </cfRule>
  </conditionalFormatting>
  <conditionalFormatting sqref="V413:V434 I413:T434">
    <cfRule type="cellIs" dxfId="213" priority="64" operator="equal">
      <formula>0</formula>
    </cfRule>
  </conditionalFormatting>
  <conditionalFormatting sqref="E413:H434">
    <cfRule type="cellIs" dxfId="212" priority="65" operator="equal">
      <formula>0</formula>
    </cfRule>
  </conditionalFormatting>
  <conditionalFormatting sqref="E292:H302">
    <cfRule type="cellIs" dxfId="211" priority="87" operator="equal">
      <formula>0</formula>
    </cfRule>
  </conditionalFormatting>
  <conditionalFormatting sqref="V292:V302 I292:T302">
    <cfRule type="cellIs" dxfId="210" priority="86" operator="equal">
      <formula>0</formula>
    </cfRule>
  </conditionalFormatting>
  <conditionalFormatting sqref="E303:H313">
    <cfRule type="cellIs" dxfId="209" priority="85" operator="equal">
      <formula>0</formula>
    </cfRule>
  </conditionalFormatting>
  <conditionalFormatting sqref="V303:V313 I303:T313">
    <cfRule type="cellIs" dxfId="208" priority="84" operator="equal">
      <formula>0</formula>
    </cfRule>
  </conditionalFormatting>
  <conditionalFormatting sqref="E314:H324">
    <cfRule type="cellIs" dxfId="207" priority="83" operator="equal">
      <formula>0</formula>
    </cfRule>
  </conditionalFormatting>
  <conditionalFormatting sqref="V314:V324 I314:T324">
    <cfRule type="cellIs" dxfId="206" priority="82" operator="equal">
      <formula>0</formula>
    </cfRule>
  </conditionalFormatting>
  <conditionalFormatting sqref="E325:H335">
    <cfRule type="cellIs" dxfId="205" priority="81" operator="equal">
      <formula>0</formula>
    </cfRule>
  </conditionalFormatting>
  <conditionalFormatting sqref="V325:V335 I325:T335">
    <cfRule type="cellIs" dxfId="204" priority="80" operator="equal">
      <formula>0</formula>
    </cfRule>
  </conditionalFormatting>
  <conditionalFormatting sqref="E336:H346">
    <cfRule type="cellIs" dxfId="203" priority="79" operator="equal">
      <formula>0</formula>
    </cfRule>
  </conditionalFormatting>
  <conditionalFormatting sqref="V336:V346 I336:T346">
    <cfRule type="cellIs" dxfId="202" priority="78" operator="equal">
      <formula>0</formula>
    </cfRule>
  </conditionalFormatting>
  <conditionalFormatting sqref="E347:H357">
    <cfRule type="cellIs" dxfId="201" priority="77" operator="equal">
      <formula>0</formula>
    </cfRule>
  </conditionalFormatting>
  <conditionalFormatting sqref="V347:V357 I347:T357">
    <cfRule type="cellIs" dxfId="200" priority="76" operator="equal">
      <formula>0</formula>
    </cfRule>
  </conditionalFormatting>
  <conditionalFormatting sqref="E358:H368">
    <cfRule type="cellIs" dxfId="199" priority="75" operator="equal">
      <formula>0</formula>
    </cfRule>
  </conditionalFormatting>
  <conditionalFormatting sqref="V358:V368 I358:T368">
    <cfRule type="cellIs" dxfId="198" priority="74" operator="equal">
      <formula>0</formula>
    </cfRule>
  </conditionalFormatting>
  <conditionalFormatting sqref="E369:H379">
    <cfRule type="cellIs" dxfId="197" priority="73" operator="equal">
      <formula>0</formula>
    </cfRule>
  </conditionalFormatting>
  <conditionalFormatting sqref="V369:V379 I369:T379">
    <cfRule type="cellIs" dxfId="196" priority="72" operator="equal">
      <formula>0</formula>
    </cfRule>
  </conditionalFormatting>
  <conditionalFormatting sqref="E380:H390">
    <cfRule type="cellIs" dxfId="195" priority="71" operator="equal">
      <formula>0</formula>
    </cfRule>
  </conditionalFormatting>
  <conditionalFormatting sqref="V380:V390 I380:T390">
    <cfRule type="cellIs" dxfId="194" priority="70" operator="equal">
      <formula>0</formula>
    </cfRule>
  </conditionalFormatting>
  <conditionalFormatting sqref="E391:H401">
    <cfRule type="cellIs" dxfId="193" priority="69" operator="equal">
      <formula>0</formula>
    </cfRule>
  </conditionalFormatting>
  <conditionalFormatting sqref="V391:V401 I391:T401">
    <cfRule type="cellIs" dxfId="192" priority="68" operator="equal">
      <formula>0</formula>
    </cfRule>
  </conditionalFormatting>
  <conditionalFormatting sqref="E402:H412">
    <cfRule type="cellIs" dxfId="191" priority="67" operator="equal">
      <formula>0</formula>
    </cfRule>
  </conditionalFormatting>
  <conditionalFormatting sqref="V402:V412 I402:T412">
    <cfRule type="cellIs" dxfId="190" priority="66" operator="equal">
      <formula>0</formula>
    </cfRule>
  </conditionalFormatting>
  <conditionalFormatting sqref="E435:T444 V435:V445">
    <cfRule type="cellIs" dxfId="189" priority="63" operator="equal">
      <formula>0</formula>
    </cfRule>
  </conditionalFormatting>
  <conditionalFormatting sqref="E445:U445 W445:X445">
    <cfRule type="cellIs" dxfId="188" priority="62" operator="equal">
      <formula>0</formula>
    </cfRule>
  </conditionalFormatting>
  <conditionalFormatting sqref="E446:T455 V446:V456">
    <cfRule type="cellIs" dxfId="187" priority="61" operator="equal">
      <formula>0</formula>
    </cfRule>
  </conditionalFormatting>
  <conditionalFormatting sqref="E456:U456 W456:X456">
    <cfRule type="cellIs" dxfId="186" priority="60" operator="equal">
      <formula>0</formula>
    </cfRule>
  </conditionalFormatting>
  <conditionalFormatting sqref="E457:T466 V457:V467">
    <cfRule type="cellIs" dxfId="185" priority="59" operator="equal">
      <formula>0</formula>
    </cfRule>
  </conditionalFormatting>
  <conditionalFormatting sqref="E467:U467 W467:X467">
    <cfRule type="cellIs" dxfId="184" priority="58" operator="equal">
      <formula>0</formula>
    </cfRule>
  </conditionalFormatting>
  <conditionalFormatting sqref="E468:T477 V468:V478">
    <cfRule type="cellIs" dxfId="183" priority="57" operator="equal">
      <formula>0</formula>
    </cfRule>
  </conditionalFormatting>
  <conditionalFormatting sqref="E478:U478 W478:X478">
    <cfRule type="cellIs" dxfId="182" priority="56" operator="equal">
      <formula>0</formula>
    </cfRule>
  </conditionalFormatting>
  <conditionalFormatting sqref="E479:T488 V479:V489">
    <cfRule type="cellIs" dxfId="181" priority="55" operator="equal">
      <formula>0</formula>
    </cfRule>
  </conditionalFormatting>
  <conditionalFormatting sqref="E489:U489 W489:X489">
    <cfRule type="cellIs" dxfId="180" priority="54" operator="equal">
      <formula>0</formula>
    </cfRule>
  </conditionalFormatting>
  <conditionalFormatting sqref="E490:T499 V490:V500">
    <cfRule type="cellIs" dxfId="179" priority="53" operator="equal">
      <formula>0</formula>
    </cfRule>
  </conditionalFormatting>
  <conditionalFormatting sqref="E500:U500 W500:X500">
    <cfRule type="cellIs" dxfId="178" priority="52" operator="equal">
      <formula>0</formula>
    </cfRule>
  </conditionalFormatting>
  <conditionalFormatting sqref="E501:T510 V501:V511">
    <cfRule type="cellIs" dxfId="177" priority="51" operator="equal">
      <formula>0</formula>
    </cfRule>
  </conditionalFormatting>
  <conditionalFormatting sqref="E511:U511 W511:X511">
    <cfRule type="cellIs" dxfId="176" priority="50" operator="equal">
      <formula>0</formula>
    </cfRule>
  </conditionalFormatting>
  <conditionalFormatting sqref="E512:T521">
    <cfRule type="cellIs" dxfId="175" priority="49" operator="equal">
      <formula>0</formula>
    </cfRule>
  </conditionalFormatting>
  <conditionalFormatting sqref="E556:X566">
    <cfRule type="cellIs" dxfId="174" priority="47" operator="equal">
      <formula>0</formula>
    </cfRule>
  </conditionalFormatting>
  <conditionalFormatting sqref="E567:X577">
    <cfRule type="cellIs" dxfId="173" priority="46" operator="equal">
      <formula>0</formula>
    </cfRule>
  </conditionalFormatting>
  <conditionalFormatting sqref="E578:X588">
    <cfRule type="cellIs" dxfId="172" priority="45" operator="equal">
      <formula>0</formula>
    </cfRule>
  </conditionalFormatting>
  <conditionalFormatting sqref="E589:X599">
    <cfRule type="cellIs" dxfId="171" priority="44" operator="equal">
      <formula>0</formula>
    </cfRule>
  </conditionalFormatting>
  <conditionalFormatting sqref="E600:X610">
    <cfRule type="cellIs" dxfId="170" priority="43" operator="equal">
      <formula>0</formula>
    </cfRule>
  </conditionalFormatting>
  <conditionalFormatting sqref="E611:X621">
    <cfRule type="cellIs" dxfId="169" priority="42" operator="equal">
      <formula>0</formula>
    </cfRule>
  </conditionalFormatting>
  <conditionalFormatting sqref="E622:X632">
    <cfRule type="cellIs" dxfId="168" priority="41" operator="equal">
      <formula>0</formula>
    </cfRule>
  </conditionalFormatting>
  <conditionalFormatting sqref="E633:X643">
    <cfRule type="cellIs" dxfId="167" priority="40" operator="equal">
      <formula>0</formula>
    </cfRule>
  </conditionalFormatting>
  <conditionalFormatting sqref="E655:X665">
    <cfRule type="cellIs" dxfId="166" priority="39" operator="equal">
      <formula>0</formula>
    </cfRule>
  </conditionalFormatting>
  <conditionalFormatting sqref="E677:X687">
    <cfRule type="cellIs" dxfId="165" priority="38" operator="equal">
      <formula>0</formula>
    </cfRule>
  </conditionalFormatting>
  <conditionalFormatting sqref="E666:X676">
    <cfRule type="cellIs" dxfId="164" priority="37" operator="equal">
      <formula>0</formula>
    </cfRule>
  </conditionalFormatting>
  <conditionalFormatting sqref="E644:X654">
    <cfRule type="cellIs" dxfId="163" priority="36" operator="equal">
      <formula>0</formula>
    </cfRule>
  </conditionalFormatting>
  <conditionalFormatting sqref="E721:X731">
    <cfRule type="cellIs" dxfId="162" priority="35" operator="equal">
      <formula>0</formula>
    </cfRule>
  </conditionalFormatting>
  <conditionalFormatting sqref="E710:X720">
    <cfRule type="cellIs" dxfId="161" priority="34" operator="equal">
      <formula>0</formula>
    </cfRule>
  </conditionalFormatting>
  <conditionalFormatting sqref="E699:X709">
    <cfRule type="cellIs" dxfId="160" priority="33" operator="equal">
      <formula>0</formula>
    </cfRule>
  </conditionalFormatting>
  <conditionalFormatting sqref="E688:X698">
    <cfRule type="cellIs" dxfId="159" priority="32" operator="equal">
      <formula>0</formula>
    </cfRule>
  </conditionalFormatting>
  <conditionalFormatting sqref="E732:X742">
    <cfRule type="cellIs" dxfId="158" priority="31" operator="equal">
      <formula>0</formula>
    </cfRule>
  </conditionalFormatting>
  <conditionalFormatting sqref="E743:X753">
    <cfRule type="cellIs" dxfId="157" priority="30" operator="equal">
      <formula>0</formula>
    </cfRule>
  </conditionalFormatting>
  <conditionalFormatting sqref="E754:X764">
    <cfRule type="cellIs" dxfId="156" priority="29" operator="equal">
      <formula>0</formula>
    </cfRule>
  </conditionalFormatting>
  <conditionalFormatting sqref="E776:T785 V776:V786">
    <cfRule type="cellIs" dxfId="155" priority="28" operator="equal">
      <formula>0</formula>
    </cfRule>
  </conditionalFormatting>
  <conditionalFormatting sqref="E786:U786 W786:X786">
    <cfRule type="cellIs" dxfId="154" priority="27" operator="equal">
      <formula>0</formula>
    </cfRule>
  </conditionalFormatting>
  <conditionalFormatting sqref="E765:T774 V765:V775">
    <cfRule type="cellIs" dxfId="153" priority="26" operator="equal">
      <formula>0</formula>
    </cfRule>
  </conditionalFormatting>
  <conditionalFormatting sqref="E775:U775 W775:X775">
    <cfRule type="cellIs" dxfId="152" priority="25" operator="equal">
      <formula>0</formula>
    </cfRule>
  </conditionalFormatting>
  <conditionalFormatting sqref="E809:T818 V809:V819">
    <cfRule type="cellIs" dxfId="151" priority="24" operator="equal">
      <formula>0</formula>
    </cfRule>
  </conditionalFormatting>
  <conditionalFormatting sqref="E819:U819 W819:X819">
    <cfRule type="cellIs" dxfId="150" priority="23" operator="equal">
      <formula>0</formula>
    </cfRule>
  </conditionalFormatting>
  <conditionalFormatting sqref="E787:T796 V787:V797">
    <cfRule type="cellIs" dxfId="149" priority="22" operator="equal">
      <formula>0</formula>
    </cfRule>
  </conditionalFormatting>
  <conditionalFormatting sqref="E797:U797 W797:X797">
    <cfRule type="cellIs" dxfId="148" priority="21" operator="equal">
      <formula>0</formula>
    </cfRule>
  </conditionalFormatting>
  <conditionalFormatting sqref="E798:T807 V798:V808">
    <cfRule type="cellIs" dxfId="147" priority="20" operator="equal">
      <formula>0</formula>
    </cfRule>
  </conditionalFormatting>
  <conditionalFormatting sqref="E808:U808 W808:X808">
    <cfRule type="cellIs" dxfId="146" priority="19" operator="equal">
      <formula>0</formula>
    </cfRule>
  </conditionalFormatting>
  <conditionalFormatting sqref="E842:T851 V842:V852">
    <cfRule type="cellIs" dxfId="145" priority="18" operator="equal">
      <formula>0</formula>
    </cfRule>
  </conditionalFormatting>
  <conditionalFormatting sqref="E852:U852 W852:X852">
    <cfRule type="cellIs" dxfId="144" priority="17" operator="equal">
      <formula>0</formula>
    </cfRule>
  </conditionalFormatting>
  <conditionalFormatting sqref="E831:T840 V831:V841">
    <cfRule type="cellIs" dxfId="143" priority="16" operator="equal">
      <formula>0</formula>
    </cfRule>
  </conditionalFormatting>
  <conditionalFormatting sqref="E841:U841 W841:X841">
    <cfRule type="cellIs" dxfId="142" priority="15" operator="equal">
      <formula>0</formula>
    </cfRule>
  </conditionalFormatting>
  <conditionalFormatting sqref="E820:T829 V820:V830">
    <cfRule type="cellIs" dxfId="141" priority="14" operator="equal">
      <formula>0</formula>
    </cfRule>
  </conditionalFormatting>
  <conditionalFormatting sqref="E830:U830 W830:X830">
    <cfRule type="cellIs" dxfId="140" priority="13" operator="equal">
      <formula>0</formula>
    </cfRule>
  </conditionalFormatting>
  <conditionalFormatting sqref="E908:T917 V908:V918">
    <cfRule type="cellIs" dxfId="139" priority="12" operator="equal">
      <formula>0</formula>
    </cfRule>
  </conditionalFormatting>
  <conditionalFormatting sqref="E918:U918 W918:X918">
    <cfRule type="cellIs" dxfId="138" priority="11" operator="equal">
      <formula>0</formula>
    </cfRule>
  </conditionalFormatting>
  <conditionalFormatting sqref="E897:T906 V897:V907">
    <cfRule type="cellIs" dxfId="137" priority="10" operator="equal">
      <formula>0</formula>
    </cfRule>
  </conditionalFormatting>
  <conditionalFormatting sqref="E907:U907 W907:X907">
    <cfRule type="cellIs" dxfId="136" priority="9" operator="equal">
      <formula>0</formula>
    </cfRule>
  </conditionalFormatting>
  <conditionalFormatting sqref="E853:T862 V853:V863">
    <cfRule type="cellIs" dxfId="135" priority="8" operator="equal">
      <formula>0</formula>
    </cfRule>
  </conditionalFormatting>
  <conditionalFormatting sqref="E863:U863 W863:X863">
    <cfRule type="cellIs" dxfId="134" priority="7" operator="equal">
      <formula>0</formula>
    </cfRule>
  </conditionalFormatting>
  <conditionalFormatting sqref="E886:T895 V886:V896">
    <cfRule type="cellIs" dxfId="133" priority="6" operator="equal">
      <formula>0</formula>
    </cfRule>
  </conditionalFormatting>
  <conditionalFormatting sqref="E896:U896 W896:X896">
    <cfRule type="cellIs" dxfId="132" priority="5" operator="equal">
      <formula>0</formula>
    </cfRule>
  </conditionalFormatting>
  <conditionalFormatting sqref="E875:T884 V875:V885">
    <cfRule type="cellIs" dxfId="131" priority="4" operator="equal">
      <formula>0</formula>
    </cfRule>
  </conditionalFormatting>
  <conditionalFormatting sqref="E885:U885 W885:X885">
    <cfRule type="cellIs" dxfId="130" priority="3" operator="equal">
      <formula>0</formula>
    </cfRule>
  </conditionalFormatting>
  <conditionalFormatting sqref="E864:T873 V864:V874">
    <cfRule type="cellIs" dxfId="129" priority="2" operator="equal">
      <formula>0</formula>
    </cfRule>
  </conditionalFormatting>
  <conditionalFormatting sqref="E874:U874 W874:X874">
    <cfRule type="cellIs" dxfId="128" priority="1" operator="equal">
      <formula>0</formula>
    </cfRule>
  </conditionalFormatting>
  <pageMargins left="0.7" right="0.7" top="0.75" bottom="0.75" header="0.3" footer="0.3"/>
  <pageSetup paperSize="9" scale="32" orientation="portrait" r:id="rId1"/>
  <rowBreaks count="3" manualBreakCount="3">
    <brk id="104" max="16383" man="1"/>
    <brk id="214" max="16383" man="1"/>
    <brk id="335" max="26" man="1"/>
  </rowBreaks>
  <ignoredErrors>
    <ignoredError sqref="S6:S9 W6:W11 W12:W16 S11 S10 S12:S13 S17:S24 W17:W247 S15:S16 S48:S57 S70:S79 S103:S112 S125:S134 S147:S156 S169:S178 S191:S200 S214:S222 S246:S247" twoDigitTextYear="1"/>
    <ignoredError sqref="Q11 U13 Q14:R14 T14:U14 Q25:R47 T25:U31 Q69 Q58:R68 T58:U69 R69 Q80:R102 T80:U102 Q124 Q113:R123 T113:U124 R124 Q135 Q136:R146 T135:U146 R135 Q157:R168 T157:U168 Q179:R190 T179:U190 Q201:R213 T201:U213 Q223:R245 T223:U245 T33:U34 U32 T36:U47 U35" formula="1"/>
    <ignoredError sqref="B33 B44 B55 B66 B77 B88 B99 B110 B121 B132 B143 B154 B165 B176 B187 B198 B209 B220 B231 B242" unlockedFormula="1"/>
    <ignoredError sqref="S14 S25:S34 S58:S69 S80:S102 S113:S124 S135:S146 S157:S168 S179:S190 S201:S213 S223:S245 S36:S47" twoDigitTextYear="1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база!$B:$B</xm:f>
          </x14:formula1>
          <xm:sqref>B6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Z190"/>
  <sheetViews>
    <sheetView showZeros="0" zoomScale="90" zoomScaleNormal="90" workbookViewId="0">
      <selection activeCell="N15" sqref="N15"/>
    </sheetView>
  </sheetViews>
  <sheetFormatPr defaultRowHeight="15.75"/>
  <cols>
    <col min="1" max="1" customWidth="true" width="9.85546875"/>
    <col min="2" max="2" customWidth="true" style="269" width="37.28515625"/>
    <col min="3" max="3" customWidth="true" width="6.85546875"/>
    <col min="4" max="4" customWidth="true" width="7.7109375"/>
    <col min="5" max="5" customWidth="true" width="8.5703125"/>
    <col min="6" max="6" customWidth="true" width="6.85546875"/>
    <col min="7" max="7" customWidth="true" width="9.0"/>
    <col min="8" max="13" customWidth="true" width="8.0"/>
    <col min="14" max="14" customWidth="true" style="45" width="9.0"/>
    <col min="15" max="15" customWidth="true" width="8.7109375"/>
    <col min="16" max="16" customWidth="true" style="699" width="5.7109375"/>
    <col min="17" max="17" customWidth="true" style="675" width="37.42578125"/>
    <col min="18" max="18" customWidth="true" style="675" width="5.140625"/>
    <col min="19" max="19" customWidth="true" style="675" width="7.140625"/>
    <col min="20" max="20" customWidth="true" style="45" width="8.42578125"/>
    <col min="21" max="21" customWidth="true" hidden="true" style="45" width="13.42578125"/>
    <col min="22" max="22" customWidth="true" hidden="true" style="45" width="6.42578125"/>
    <col min="23" max="23" customWidth="true" hidden="true" style="45" width="8.28515625"/>
    <col min="24" max="24" customWidth="true" hidden="true" style="45" width="4.42578125"/>
    <col min="25" max="25" customWidth="true" hidden="true" style="45" width="16.140625"/>
    <col min="26" max="27" customWidth="true" hidden="true" style="53" width="7.7109375"/>
    <col min="28" max="28" customWidth="true" hidden="true" style="45" width="4.28515625"/>
    <col min="29" max="29" customWidth="true" hidden="true" style="45" width="16.140625"/>
    <col min="30" max="30" customWidth="true" hidden="true" style="45" width="7.28515625"/>
    <col min="31" max="31" customWidth="true" hidden="true" style="45" width="6.85546875"/>
    <col min="32" max="32" customWidth="true" hidden="true" style="10" width="3.28515625"/>
    <col min="33" max="33" customWidth="true" hidden="true" style="45" width="14.0"/>
    <col min="34" max="34" customWidth="true" hidden="true" style="45" width="8.7109375"/>
    <col min="35" max="35" customWidth="true" hidden="true" width="9.140625"/>
    <col min="36" max="36" customWidth="true" hidden="true" width="5.7109375"/>
    <col min="37" max="37" customWidth="true" hidden="true" style="573" width="11.0"/>
    <col min="38" max="38" customWidth="true" hidden="true" style="573" width="19.85546875"/>
    <col min="39" max="39" customWidth="true" width="7.7109375"/>
    <col min="40" max="40" customWidth="true" hidden="true" width="9.140625"/>
    <col min="41" max="41" customWidth="true" hidden="true" width="34.28515625"/>
    <col min="42" max="42" customWidth="true" style="580" width="9.28515625"/>
    <col min="43" max="45" customWidth="true" style="583" width="9.28515625"/>
    <col min="46" max="46" customWidth="true" style="580" width="7.85546875"/>
  </cols>
  <sheetData>
    <row r="1" spans="1:52" ht="25.5" customHeight="1">
      <c r="A1" s="8" t="s">
        <v>10</v>
      </c>
      <c r="B1" s="267" t="s">
        <v>0</v>
      </c>
      <c r="C1" s="9" t="s">
        <v>1</v>
      </c>
      <c r="D1" s="55" t="s">
        <v>24</v>
      </c>
      <c r="E1" s="54" t="s">
        <v>23</v>
      </c>
      <c r="G1" s="707" t="s">
        <v>25</v>
      </c>
      <c r="H1" s="707" t="s">
        <v>26</v>
      </c>
      <c r="I1" s="708">
        <v>0.04</v>
      </c>
      <c r="J1" s="708" t="s">
        <v>27</v>
      </c>
      <c r="K1" s="708" t="s">
        <v>28</v>
      </c>
      <c r="L1" s="708" t="s">
        <v>29</v>
      </c>
      <c r="M1" s="708" t="s">
        <v>30</v>
      </c>
      <c r="N1" s="246"/>
      <c r="P1" s="699"/>
      <c r="Q1" s="893" t="s">
        <v>289</v>
      </c>
      <c r="R1" s="893"/>
      <c r="S1" s="893"/>
      <c r="T1" s="734" t="s">
        <v>346</v>
      </c>
      <c r="U1" s="894" t="s">
        <v>88</v>
      </c>
      <c r="V1" s="894"/>
      <c r="W1" s="894"/>
      <c r="X1" s="32"/>
      <c r="Y1" s="895" t="s">
        <v>84</v>
      </c>
      <c r="Z1" s="895"/>
      <c r="AA1" s="895"/>
      <c r="AB1" s="32"/>
      <c r="AC1" s="896" t="s">
        <v>90</v>
      </c>
      <c r="AD1" s="897"/>
      <c r="AE1" s="898"/>
      <c r="AF1" s="46"/>
      <c r="AG1" s="894" t="s">
        <v>91</v>
      </c>
      <c r="AH1" s="894"/>
      <c r="AI1" s="894"/>
      <c r="AN1" s="45" t="s">
        <v>289</v>
      </c>
      <c r="AO1" s="298" t="s">
        <v>89</v>
      </c>
      <c r="AP1" s="582" t="s">
        <v>2</v>
      </c>
      <c r="AQ1" s="582" t="s">
        <v>249</v>
      </c>
      <c r="AR1" s="582" t="s">
        <v>10</v>
      </c>
      <c r="AS1" s="582" t="s">
        <v>248</v>
      </c>
      <c r="AT1" s="581"/>
      <c r="AU1" s="298"/>
      <c r="AV1" s="298"/>
      <c r="AW1" s="298"/>
      <c r="AX1" s="298"/>
      <c r="AY1" s="298"/>
      <c r="AZ1" s="298"/>
    </row>
    <row r="2" spans="1:52" ht="17.25" customHeight="1">
      <c r="A2" s="40" t="s">
        <v>306</v>
      </c>
      <c r="B2" s="268" t="str">
        <f>IFERROR(INDEX($Q$1:$BH$100,ROW(A2),MATCH(Data_Tech!$AU$7,$Q$1:$AN$1,)+COLUMN(A1)-1),"")</f>
        <v>Авдокушина Елена Николаевна</v>
      </c>
      <c r="C2" s="3" t="s">
        <v>4</v>
      </c>
      <c r="D2" s="223">
        <f>INDEX($Q$1:$BH$100,ROW(B2),MATCH(Data_Tech!$AU$7,$Q$1:$AN$1,)+COLUMN(B2)-1)</f>
        <v>4</v>
      </c>
      <c r="E2" s="224">
        <f>INDEX($Q$1:$BH$100,ROW(C2),MATCH(Data_Tech!$AU$7,$Q$1:$AN$1,)+COLUMN(C2)-1)</f>
        <v>15118</v>
      </c>
      <c r="F2" s="45"/>
      <c r="G2" s="709">
        <v>1</v>
      </c>
      <c r="H2" s="710">
        <v>150.02000000000001</v>
      </c>
      <c r="I2" s="711">
        <f>(H2+(H2*$I$1))</f>
        <v>156.02080000000001</v>
      </c>
      <c r="J2" s="711">
        <f t="shared" ref="J2:J7" si="0">(H2+(H2*$J$1))</f>
        <v>162.02160000000001</v>
      </c>
      <c r="K2" s="711">
        <f>(H2+(H2*$K$1))</f>
        <v>168.0224</v>
      </c>
      <c r="L2" s="711">
        <f>(H2+(H2*$L$1))</f>
        <v>174.0232</v>
      </c>
      <c r="M2" s="711">
        <f>(H2+(H2*$M$1))</f>
        <v>186.02480000000003</v>
      </c>
      <c r="N2" s="247"/>
      <c r="O2" s="244" t="s">
        <v>289</v>
      </c>
      <c r="P2" s="700">
        <v>1</v>
      </c>
      <c r="Q2" s="715" t="s">
        <v>271</v>
      </c>
      <c r="R2" s="676">
        <v>4</v>
      </c>
      <c r="S2" s="676">
        <v>15118</v>
      </c>
      <c r="T2" s="714">
        <v>2</v>
      </c>
      <c r="U2" s="715" t="s">
        <v>271</v>
      </c>
      <c r="V2" s="676">
        <v>5039.3333333333403</v>
      </c>
      <c r="W2" s="676">
        <v>5038.3333333333403</v>
      </c>
      <c r="X2" s="714">
        <v>5037.3333333333403</v>
      </c>
      <c r="Y2" s="715" t="s">
        <v>271</v>
      </c>
      <c r="Z2" s="676">
        <v>5036.3333333333403</v>
      </c>
      <c r="AA2" s="676">
        <v>5035.3333333333403</v>
      </c>
      <c r="AB2" s="714">
        <v>5034.3333333333403</v>
      </c>
      <c r="AC2" s="715" t="s">
        <v>271</v>
      </c>
      <c r="AD2" s="676">
        <v>5033.3333333333403</v>
      </c>
      <c r="AE2" s="676">
        <v>5032.3333333333403</v>
      </c>
      <c r="AF2" s="714">
        <v>5031.3333333333403</v>
      </c>
      <c r="AG2" s="715" t="s">
        <v>271</v>
      </c>
      <c r="AH2" s="676">
        <v>5030.3333333333503</v>
      </c>
      <c r="AI2" s="676">
        <v>5029.3333333333503</v>
      </c>
      <c r="AJ2" s="714">
        <v>5028.3333333333503</v>
      </c>
      <c r="AK2" s="715" t="s">
        <v>271</v>
      </c>
      <c r="AL2" s="676">
        <v>5027.3333333333503</v>
      </c>
      <c r="AN2" s="45" t="s">
        <v>294</v>
      </c>
      <c r="AO2" s="298" t="s">
        <v>99</v>
      </c>
      <c r="AP2" s="584">
        <v>56</v>
      </c>
      <c r="AQ2" s="582">
        <v>112</v>
      </c>
      <c r="AR2" s="582">
        <v>4000</v>
      </c>
      <c r="AS2" s="170">
        <f>(AQ2*AR2/1000)</f>
        <v>448</v>
      </c>
      <c r="AT2" s="581"/>
      <c r="AU2" s="298"/>
      <c r="AV2" s="298"/>
      <c r="AW2" s="298"/>
      <c r="AX2" s="298"/>
      <c r="AY2" s="298"/>
      <c r="AZ2" s="298"/>
    </row>
    <row r="3" spans="1:52" ht="17.25" customHeight="1">
      <c r="A3" s="40" t="s">
        <v>311</v>
      </c>
      <c r="B3" s="268" t="str">
        <f>IFERROR(INDEX($Q$1:$BH$100,ROW(A3),MATCH(Data_Tech!$AU$7,$Q$1:$AN$1,)+COLUMN(A2)-1),"")</f>
        <v>Аксенов Александр Юрьевич</v>
      </c>
      <c r="C3" s="3" t="s">
        <v>3</v>
      </c>
      <c r="D3" s="223">
        <f>INDEX($Q$1:$BH$100,ROW(B3),MATCH(Data_Tech!$AU$7,$Q$1:$AN$1,)+COLUMN(B3)-1)</f>
        <v>3</v>
      </c>
      <c r="E3" s="224">
        <f>INDEX($Q$1:$BH$100,ROW(C3),MATCH(Data_Tech!$AU$7,$Q$1:$AN$1,)+COLUMN(C3)-1)</f>
        <v>15799</v>
      </c>
      <c r="F3" s="45"/>
      <c r="G3" s="709">
        <v>2</v>
      </c>
      <c r="H3" s="710">
        <v>163.52000000000001</v>
      </c>
      <c r="I3" s="711">
        <f t="shared" ref="I3:I7" si="1">(H3+(H3*$I$1))</f>
        <v>170.0608</v>
      </c>
      <c r="J3" s="711">
        <f t="shared" si="0"/>
        <v>176.60160000000002</v>
      </c>
      <c r="K3" s="711">
        <f t="shared" ref="K3:K6" si="2">(H3+(H3*$K$1))</f>
        <v>183.14240000000001</v>
      </c>
      <c r="L3" s="711">
        <f t="shared" ref="L3:L7" si="3">(H3+(H3*$L$1))</f>
        <v>189.6832</v>
      </c>
      <c r="M3" s="711">
        <f t="shared" ref="M3:M7" si="4">(H3+(H3*$M$1))</f>
        <v>202.76480000000001</v>
      </c>
      <c r="N3" s="247"/>
      <c r="O3" s="244" t="s">
        <v>294</v>
      </c>
      <c r="P3" s="700">
        <v>2</v>
      </c>
      <c r="Q3" s="715" t="s">
        <v>282</v>
      </c>
      <c r="R3" s="676">
        <v>3</v>
      </c>
      <c r="S3" s="676">
        <v>15799</v>
      </c>
      <c r="T3" s="714"/>
      <c r="U3" s="715" t="s">
        <v>282</v>
      </c>
      <c r="V3" s="676">
        <v>31595</v>
      </c>
      <c r="W3" s="676">
        <v>47391</v>
      </c>
      <c r="X3" s="714"/>
      <c r="Y3" s="715" t="s">
        <v>282</v>
      </c>
      <c r="Z3" s="676">
        <v>63187</v>
      </c>
      <c r="AA3" s="676">
        <v>78983</v>
      </c>
      <c r="AB3" s="714"/>
      <c r="AC3" s="715" t="s">
        <v>282</v>
      </c>
      <c r="AD3" s="676">
        <v>94779</v>
      </c>
      <c r="AE3" s="676">
        <v>110575</v>
      </c>
      <c r="AF3" s="714"/>
      <c r="AG3" s="715" t="s">
        <v>282</v>
      </c>
      <c r="AH3" s="676">
        <v>126371</v>
      </c>
      <c r="AI3" s="676">
        <v>142167</v>
      </c>
      <c r="AJ3" s="714"/>
      <c r="AK3" s="715" t="s">
        <v>282</v>
      </c>
      <c r="AL3" s="676">
        <v>157963</v>
      </c>
      <c r="AN3" s="45" t="s">
        <v>84</v>
      </c>
      <c r="AO3" s="298" t="s">
        <v>100</v>
      </c>
      <c r="AP3" s="585">
        <v>57</v>
      </c>
      <c r="AQ3" s="582">
        <v>112</v>
      </c>
      <c r="AR3" s="582">
        <v>10000</v>
      </c>
      <c r="AS3" s="170">
        <f t="shared" ref="AS3:AS8" si="5">(AQ3*AR3/1000)</f>
        <v>1120</v>
      </c>
      <c r="AT3" s="581"/>
      <c r="AU3" s="298"/>
      <c r="AV3" s="298"/>
      <c r="AW3" s="298"/>
      <c r="AX3" s="298"/>
      <c r="AY3" s="298"/>
      <c r="AZ3" s="298"/>
    </row>
    <row r="4" spans="1:52" ht="17.25" customHeight="1">
      <c r="A4" s="40" t="s">
        <v>312</v>
      </c>
      <c r="B4" s="268" t="str">
        <f>IFERROR(INDEX($Q$1:$BH$100,ROW(A4),MATCH(Data_Tech!$AU$7,$Q$1:$AN$1,)+COLUMN(A3)-1),"")</f>
        <v>Аксенова Диана Владимировна</v>
      </c>
      <c r="C4" s="3" t="s">
        <v>6</v>
      </c>
      <c r="D4" s="223">
        <f>INDEX($Q$1:$BH$100,ROW(B4),MATCH(Data_Tech!$AU$7,$Q$1:$AN$1,)+COLUMN(B4)-1)</f>
        <v>4</v>
      </c>
      <c r="E4" s="224">
        <f>INDEX($Q$1:$BH$100,ROW(C4),MATCH(Data_Tech!$AU$7,$Q$1:$AN$1,)+COLUMN(C4)-1)</f>
        <v>15791</v>
      </c>
      <c r="F4" s="45"/>
      <c r="G4" s="709">
        <v>3</v>
      </c>
      <c r="H4" s="710">
        <v>181.53</v>
      </c>
      <c r="I4" s="711">
        <f t="shared" si="1"/>
        <v>188.7912</v>
      </c>
      <c r="J4" s="711">
        <f t="shared" si="0"/>
        <v>196.05240000000001</v>
      </c>
      <c r="K4" s="711">
        <f t="shared" si="2"/>
        <v>203.31360000000001</v>
      </c>
      <c r="L4" s="711">
        <f t="shared" si="3"/>
        <v>210.57480000000001</v>
      </c>
      <c r="M4" s="711">
        <f t="shared" si="4"/>
        <v>225.09719999999999</v>
      </c>
      <c r="N4" s="247"/>
      <c r="O4" s="245" t="s">
        <v>84</v>
      </c>
      <c r="P4" s="700">
        <v>3</v>
      </c>
      <c r="Q4" s="715" t="s">
        <v>270</v>
      </c>
      <c r="R4" s="676">
        <v>4</v>
      </c>
      <c r="S4" s="676">
        <v>15791</v>
      </c>
      <c r="T4" s="714">
        <v>1</v>
      </c>
      <c r="U4" s="715" t="s">
        <v>270</v>
      </c>
      <c r="V4" s="676">
        <v>5262.3333333333303</v>
      </c>
      <c r="W4" s="676">
        <v>5260.8333333333403</v>
      </c>
      <c r="X4" s="714">
        <v>5259.3333333333403</v>
      </c>
      <c r="Y4" s="715" t="s">
        <v>270</v>
      </c>
      <c r="Z4" s="676">
        <v>5257.8333333333403</v>
      </c>
      <c r="AA4" s="676">
        <v>5256.3333333333403</v>
      </c>
      <c r="AB4" s="714">
        <v>5254.8333333333403</v>
      </c>
      <c r="AC4" s="715" t="s">
        <v>270</v>
      </c>
      <c r="AD4" s="676">
        <v>5253.3333333333403</v>
      </c>
      <c r="AE4" s="676">
        <v>5251.8333333333403</v>
      </c>
      <c r="AF4" s="714">
        <v>5250.3333333333403</v>
      </c>
      <c r="AG4" s="715" t="s">
        <v>270</v>
      </c>
      <c r="AH4" s="676">
        <v>5248.8333333333403</v>
      </c>
      <c r="AI4" s="676">
        <v>5247.3333333333503</v>
      </c>
      <c r="AJ4" s="714">
        <v>5245.8333333333503</v>
      </c>
      <c r="AK4" s="715" t="s">
        <v>270</v>
      </c>
      <c r="AL4" s="676">
        <v>5244.3333333333503</v>
      </c>
      <c r="AN4" s="45" t="s">
        <v>90</v>
      </c>
      <c r="AO4" s="298" t="s">
        <v>101</v>
      </c>
      <c r="AP4" s="585">
        <v>85</v>
      </c>
      <c r="AQ4" s="582">
        <v>115</v>
      </c>
      <c r="AR4" s="582">
        <v>11000</v>
      </c>
      <c r="AS4" s="170">
        <f t="shared" si="5"/>
        <v>1265</v>
      </c>
      <c r="AT4" s="581"/>
      <c r="AU4" s="298"/>
      <c r="AV4" s="298"/>
      <c r="AW4" s="298"/>
      <c r="AX4" s="298"/>
      <c r="AY4" s="298"/>
      <c r="AZ4" s="298"/>
    </row>
    <row r="5" spans="1:52" ht="17.25" customHeight="1">
      <c r="A5" s="40" t="s">
        <v>313</v>
      </c>
      <c r="B5" s="268" t="str">
        <f>IFERROR(INDEX($Q$1:$BH$100,ROW(A5),MATCH(Data_Tech!$AU$7,$Q$1:$AN$1,)+COLUMN(A4)-1),"")</f>
        <v>Александрович Екатерина Сергеевна</v>
      </c>
      <c r="C5" s="210" t="s">
        <v>5</v>
      </c>
      <c r="D5" s="223">
        <f>INDEX($Q$1:$BH$100,ROW(B5),MATCH(Data_Tech!$AU$7,$Q$1:$AN$1,)+COLUMN(B5)-1)</f>
        <v>3</v>
      </c>
      <c r="E5" s="224">
        <f>INDEX($Q$1:$BH$100,ROW(C5),MATCH(Data_Tech!$AU$7,$Q$1:$AN$1,)+COLUMN(C5)-1)</f>
        <v>15816</v>
      </c>
      <c r="F5" s="45"/>
      <c r="G5" s="709">
        <v>4</v>
      </c>
      <c r="H5" s="710">
        <v>199.53</v>
      </c>
      <c r="I5" s="711">
        <f t="shared" si="1"/>
        <v>207.5112</v>
      </c>
      <c r="J5" s="711">
        <f t="shared" si="0"/>
        <v>215.4924</v>
      </c>
      <c r="K5" s="711">
        <f t="shared" si="2"/>
        <v>223.4736</v>
      </c>
      <c r="L5" s="711">
        <f t="shared" si="3"/>
        <v>231.45480000000001</v>
      </c>
      <c r="M5" s="711">
        <f t="shared" si="4"/>
        <v>247.41720000000001</v>
      </c>
      <c r="N5" s="247"/>
      <c r="O5" s="245" t="s">
        <v>90</v>
      </c>
      <c r="P5" s="700">
        <v>4</v>
      </c>
      <c r="Q5" s="715" t="s">
        <v>290</v>
      </c>
      <c r="R5" s="676">
        <v>3</v>
      </c>
      <c r="S5" s="676">
        <v>15816</v>
      </c>
      <c r="T5" s="714"/>
      <c r="U5" s="715" t="s">
        <v>290</v>
      </c>
      <c r="V5" s="676">
        <v>31629</v>
      </c>
      <c r="W5" s="676">
        <v>47442</v>
      </c>
      <c r="X5" s="714"/>
      <c r="Y5" s="715" t="s">
        <v>290</v>
      </c>
      <c r="Z5" s="676">
        <v>63255</v>
      </c>
      <c r="AA5" s="676">
        <v>79068</v>
      </c>
      <c r="AB5" s="714"/>
      <c r="AC5" s="715" t="s">
        <v>290</v>
      </c>
      <c r="AD5" s="676">
        <v>94881</v>
      </c>
      <c r="AE5" s="676">
        <v>110694</v>
      </c>
      <c r="AF5" s="714"/>
      <c r="AG5" s="715" t="s">
        <v>290</v>
      </c>
      <c r="AH5" s="676">
        <v>126507</v>
      </c>
      <c r="AI5" s="676">
        <v>142320</v>
      </c>
      <c r="AJ5" s="714"/>
      <c r="AK5" s="715" t="s">
        <v>290</v>
      </c>
      <c r="AL5" s="676">
        <v>158133</v>
      </c>
      <c r="AN5" s="45" t="s">
        <v>91</v>
      </c>
      <c r="AO5" s="298" t="s">
        <v>102</v>
      </c>
      <c r="AP5" s="584">
        <v>60</v>
      </c>
      <c r="AQ5" s="582">
        <v>74</v>
      </c>
      <c r="AR5" s="582">
        <v>6400</v>
      </c>
      <c r="AS5" s="170">
        <f t="shared" si="5"/>
        <v>473.6</v>
      </c>
      <c r="AT5" s="581"/>
      <c r="AU5" s="298"/>
      <c r="AV5" s="298"/>
      <c r="AW5" s="298"/>
      <c r="AX5" s="298"/>
      <c r="AY5" s="298"/>
      <c r="AZ5" s="298"/>
    </row>
    <row r="6" spans="1:52" ht="17.25" customHeight="1">
      <c r="A6" s="40" t="s">
        <v>314</v>
      </c>
      <c r="B6" s="268" t="str">
        <f>IFERROR(INDEX($Q$1:$BH$100,ROW(A6),MATCH(Data_Tech!$AU$7,$Q$1:$AN$1,)+COLUMN(A5)-1),"")</f>
        <v>Алиева Диана Арифовна</v>
      </c>
      <c r="C6" s="3" t="s">
        <v>31</v>
      </c>
      <c r="D6" s="223">
        <f>INDEX($Q$1:$BH$100,ROW(B6),MATCH(Data_Tech!$AU$7,$Q$1:$AN$1,)+COLUMN(B6)-1)</f>
        <v>3</v>
      </c>
      <c r="E6" s="224">
        <f>INDEX($Q$1:$BH$100,ROW(C6),MATCH(Data_Tech!$AU$7,$Q$1:$AN$1,)+COLUMN(C6)-1)</f>
        <v>16475</v>
      </c>
      <c r="F6" s="45"/>
      <c r="G6" s="709">
        <v>5</v>
      </c>
      <c r="H6" s="710">
        <v>225.04</v>
      </c>
      <c r="I6" s="711">
        <f t="shared" si="1"/>
        <v>234.04159999999999</v>
      </c>
      <c r="J6" s="711">
        <f t="shared" si="0"/>
        <v>243.04319999999998</v>
      </c>
      <c r="K6" s="711">
        <f t="shared" si="2"/>
        <v>252.04479999999998</v>
      </c>
      <c r="L6" s="711">
        <f t="shared" si="3"/>
        <v>261.04640000000001</v>
      </c>
      <c r="M6" s="711">
        <f t="shared" si="4"/>
        <v>279.0496</v>
      </c>
      <c r="N6" s="247"/>
      <c r="O6" s="244" t="s">
        <v>91</v>
      </c>
      <c r="P6" s="700">
        <v>5</v>
      </c>
      <c r="Q6" s="715" t="s">
        <v>283</v>
      </c>
      <c r="R6" s="676">
        <v>3</v>
      </c>
      <c r="S6" s="676">
        <v>16475</v>
      </c>
      <c r="T6" s="714"/>
      <c r="U6" s="715" t="s">
        <v>283</v>
      </c>
      <c r="V6" s="676">
        <v>5491.00000000001</v>
      </c>
      <c r="W6" s="676">
        <v>5490.00000000001</v>
      </c>
      <c r="X6" s="714">
        <v>5489.00000000001</v>
      </c>
      <c r="Y6" s="715" t="s">
        <v>283</v>
      </c>
      <c r="Z6" s="676">
        <v>5488.00000000001</v>
      </c>
      <c r="AA6" s="676">
        <v>5487.00000000002</v>
      </c>
      <c r="AB6" s="714">
        <v>5486.00000000002</v>
      </c>
      <c r="AC6" s="715" t="s">
        <v>283</v>
      </c>
      <c r="AD6" s="676">
        <v>5485.00000000002</v>
      </c>
      <c r="AE6" s="676">
        <v>5484.00000000002</v>
      </c>
      <c r="AF6" s="714">
        <v>5483.00000000002</v>
      </c>
      <c r="AG6" s="715" t="s">
        <v>283</v>
      </c>
      <c r="AH6" s="676">
        <v>5482.00000000003</v>
      </c>
      <c r="AI6" s="676">
        <v>5481.00000000003</v>
      </c>
      <c r="AJ6" s="714">
        <v>5480.00000000003</v>
      </c>
      <c r="AK6" s="715" t="s">
        <v>283</v>
      </c>
      <c r="AL6" s="676">
        <v>5479.00000000003</v>
      </c>
      <c r="AP6" s="584">
        <v>757</v>
      </c>
      <c r="AQ6" s="582">
        <v>74</v>
      </c>
      <c r="AR6" s="582">
        <v>10200</v>
      </c>
      <c r="AS6" s="170">
        <f t="shared" si="5"/>
        <v>754.8</v>
      </c>
    </row>
    <row r="7" spans="1:52" ht="17.25" customHeight="1">
      <c r="A7" s="40" t="s">
        <v>315</v>
      </c>
      <c r="B7" s="268" t="str">
        <f>IFERROR(INDEX($Q$1:$BH$100,ROW(A7),MATCH(Data_Tech!$AU$7,$Q$1:$AN$1,)+COLUMN(A6)-1),"")</f>
        <v>Аполосова Ольга Николаевна</v>
      </c>
      <c r="C7" s="210" t="s">
        <v>32</v>
      </c>
      <c r="D7" s="223">
        <f>INDEX($Q$1:$BH$100,ROW(B7),MATCH(Data_Tech!$AU$7,$Q$1:$AN$1,)+COLUMN(B7)-1)</f>
        <v>3</v>
      </c>
      <c r="E7" s="224">
        <f>INDEX($Q$1:$BH$100,ROW(C7),MATCH(Data_Tech!$AU$7,$Q$1:$AN$1,)+COLUMN(C7)-1)</f>
        <v>17290</v>
      </c>
      <c r="F7" s="45"/>
      <c r="G7" s="709">
        <v>6</v>
      </c>
      <c r="H7" s="710">
        <v>256.52999999999997</v>
      </c>
      <c r="I7" s="711">
        <f t="shared" si="1"/>
        <v>266.79119999999995</v>
      </c>
      <c r="J7" s="711">
        <f t="shared" si="0"/>
        <v>277.05239999999998</v>
      </c>
      <c r="K7" s="711">
        <f>(H7+(H7*$K$1))</f>
        <v>287.31359999999995</v>
      </c>
      <c r="L7" s="711">
        <f t="shared" si="3"/>
        <v>297.57479999999998</v>
      </c>
      <c r="M7" s="711">
        <f t="shared" si="4"/>
        <v>318.09719999999999</v>
      </c>
      <c r="N7" s="247"/>
      <c r="P7" s="700">
        <v>6</v>
      </c>
      <c r="Q7" s="677" t="s">
        <v>347</v>
      </c>
      <c r="R7" s="676">
        <v>3</v>
      </c>
      <c r="S7" s="676">
        <v>17290</v>
      </c>
      <c r="T7" s="714">
        <v>1</v>
      </c>
      <c r="U7" s="677" t="s">
        <v>347</v>
      </c>
      <c r="V7" s="676">
        <v>5762.6666666666697</v>
      </c>
      <c r="W7" s="677">
        <v>5761.6666666666697</v>
      </c>
      <c r="X7" s="714">
        <v>5760.6666666666697</v>
      </c>
      <c r="Y7" s="677" t="s">
        <v>347</v>
      </c>
      <c r="Z7" s="676">
        <v>5759.6666666666697</v>
      </c>
      <c r="AA7" s="677">
        <v>5758.6666666666697</v>
      </c>
      <c r="AB7" s="714">
        <v>5757.6666666666797</v>
      </c>
      <c r="AC7" s="677" t="s">
        <v>347</v>
      </c>
      <c r="AD7" s="676">
        <v>5756.6666666666797</v>
      </c>
      <c r="AE7" s="677">
        <v>5755.6666666666797</v>
      </c>
      <c r="AF7" s="714">
        <v>5754.6666666666797</v>
      </c>
      <c r="AG7" s="677" t="s">
        <v>347</v>
      </c>
      <c r="AH7" s="676">
        <v>5753.6666666666797</v>
      </c>
      <c r="AI7" s="677">
        <v>5752.6666666666797</v>
      </c>
      <c r="AJ7" s="714">
        <v>5751.6666666666797</v>
      </c>
      <c r="AK7" s="677" t="s">
        <v>347</v>
      </c>
      <c r="AL7" s="676">
        <v>5750.6666666666797</v>
      </c>
      <c r="AP7" s="584">
        <v>6001</v>
      </c>
      <c r="AQ7" s="582">
        <v>56</v>
      </c>
      <c r="AR7" s="582">
        <v>6400</v>
      </c>
      <c r="AS7" s="170">
        <f t="shared" si="5"/>
        <v>358.4</v>
      </c>
    </row>
    <row r="8" spans="1:52" ht="17.25" customHeight="1">
      <c r="A8" s="40" t="s">
        <v>316</v>
      </c>
      <c r="B8" s="268" t="str">
        <f>IFERROR(INDEX($Q$1:$BH$100,ROW(A8),MATCH(Data_Tech!$AU$7,$Q$1:$AN$1,)+COLUMN(A7)-1),"")</f>
        <v>Аполосова Юлиана Александровна</v>
      </c>
      <c r="C8" s="3" t="s">
        <v>67</v>
      </c>
      <c r="D8" s="223">
        <f>INDEX($Q$1:$BH$100,ROW(B8),MATCH(Data_Tech!$AU$7,$Q$1:$AN$1,)+COLUMN(B8)-1)</f>
        <v>3</v>
      </c>
      <c r="E8" s="224">
        <f>INDEX($Q$1:$BH$100,ROW(C8),MATCH(Data_Tech!$AU$7,$Q$1:$AN$1,)+COLUMN(C8)-1)</f>
        <v>17296</v>
      </c>
      <c r="F8" s="45"/>
      <c r="P8" s="700">
        <v>7</v>
      </c>
      <c r="Q8" s="677" t="s">
        <v>349</v>
      </c>
      <c r="R8" s="676">
        <v>3</v>
      </c>
      <c r="S8" s="676">
        <v>17296</v>
      </c>
      <c r="T8" s="714">
        <v>1</v>
      </c>
      <c r="U8" s="715" t="s">
        <v>320</v>
      </c>
      <c r="V8" s="676">
        <v>5614.6666666666697</v>
      </c>
      <c r="W8" s="676">
        <v>5614.1666666666697</v>
      </c>
      <c r="X8" s="714">
        <v>5613.6666666666697</v>
      </c>
      <c r="Y8" s="715" t="s">
        <v>320</v>
      </c>
      <c r="Z8" s="676">
        <v>5613.1666666666697</v>
      </c>
      <c r="AA8" s="676">
        <v>5612.6666666666697</v>
      </c>
      <c r="AB8" s="714">
        <v>5612.1666666666697</v>
      </c>
      <c r="AC8" s="715" t="s">
        <v>320</v>
      </c>
      <c r="AD8" s="676">
        <v>5611.6666666666697</v>
      </c>
      <c r="AE8" s="676">
        <v>5611.1666666666697</v>
      </c>
      <c r="AF8" s="714">
        <v>5610.6666666666697</v>
      </c>
      <c r="AG8" s="715" t="s">
        <v>320</v>
      </c>
      <c r="AH8" s="676">
        <v>5610.1666666666697</v>
      </c>
      <c r="AI8" s="676">
        <v>5609.6666666666697</v>
      </c>
      <c r="AJ8" s="714">
        <v>5609.1666666666697</v>
      </c>
      <c r="AK8" s="715" t="s">
        <v>320</v>
      </c>
      <c r="AL8" s="676">
        <v>5608.6666666666697</v>
      </c>
      <c r="AP8" s="585">
        <v>185</v>
      </c>
      <c r="AQ8" s="582">
        <v>112</v>
      </c>
      <c r="AR8" s="582">
        <v>4800</v>
      </c>
      <c r="AS8" s="170">
        <f t="shared" si="5"/>
        <v>537.6</v>
      </c>
    </row>
    <row r="9" spans="1:52" ht="17.25" customHeight="1">
      <c r="A9" s="40" t="s">
        <v>317</v>
      </c>
      <c r="B9" s="268" t="str">
        <f>IFERROR(INDEX($Q$1:$BH$100,ROW(A9),MATCH(Data_Tech!$AU$7,$Q$1:$AN$1,)+COLUMN(A8)-1),"")</f>
        <v>Бадьялова Елена Сергеевна</v>
      </c>
      <c r="C9" s="3" t="s">
        <v>71</v>
      </c>
      <c r="D9" s="223">
        <f>INDEX($Q$1:$BH$100,ROW(B9),MATCH(Data_Tech!$AU$7,$Q$1:$AN$1,)+COLUMN(B9)-1)</f>
        <v>3</v>
      </c>
      <c r="E9" s="224">
        <f>INDEX($Q$1:$BH$100,ROW(C9),MATCH(Data_Tech!$AU$7,$Q$1:$AN$1,)+COLUMN(C9)-1)</f>
        <v>16809</v>
      </c>
      <c r="F9" s="45"/>
      <c r="H9" s="45"/>
      <c r="I9" s="110"/>
      <c r="J9" s="110"/>
      <c r="K9" s="110"/>
      <c r="L9" s="110"/>
      <c r="M9" s="110"/>
      <c r="N9" s="110"/>
      <c r="P9" s="700">
        <v>8</v>
      </c>
      <c r="Q9" s="715" t="s">
        <v>274</v>
      </c>
      <c r="R9" s="676">
        <v>3</v>
      </c>
      <c r="S9" s="676">
        <v>16809</v>
      </c>
      <c r="T9" s="714"/>
      <c r="U9" s="716" t="s">
        <v>321</v>
      </c>
      <c r="V9" s="676">
        <v>5759.6666666666697</v>
      </c>
      <c r="W9" s="676">
        <v>5759.1666666666697</v>
      </c>
      <c r="X9" s="714">
        <v>5758.6666666666697</v>
      </c>
      <c r="Y9" s="716" t="s">
        <v>321</v>
      </c>
      <c r="Z9" s="676">
        <v>5758.1666666666697</v>
      </c>
      <c r="AA9" s="676">
        <v>5757.6666666666697</v>
      </c>
      <c r="AB9" s="714">
        <v>5757.1666666666797</v>
      </c>
      <c r="AC9" s="716" t="s">
        <v>321</v>
      </c>
      <c r="AD9" s="676">
        <v>5756.6666666666797</v>
      </c>
      <c r="AE9" s="676">
        <v>5756.1666666666797</v>
      </c>
      <c r="AF9" s="714">
        <v>5755.6666666666797</v>
      </c>
      <c r="AG9" s="716" t="s">
        <v>321</v>
      </c>
      <c r="AH9" s="676">
        <v>5755.1666666666797</v>
      </c>
      <c r="AI9" s="676">
        <v>5754.6666666666797</v>
      </c>
      <c r="AJ9" s="714">
        <v>5754.1666666666797</v>
      </c>
      <c r="AK9" s="716" t="s">
        <v>321</v>
      </c>
      <c r="AL9" s="676">
        <v>5753.6666666666797</v>
      </c>
    </row>
    <row r="10" spans="1:52" ht="17.25" customHeight="1">
      <c r="A10" s="40" t="s">
        <v>318</v>
      </c>
      <c r="B10" s="268" t="str">
        <f>IFERROR(INDEX($Q$1:$BH$100,ROW(A10),MATCH(Data_Tech!$AU$7,$Q$1:$AN$1,)+COLUMN(A9)-1),"")</f>
        <v>Бекетова Надежда Ильинична</v>
      </c>
      <c r="C10" s="41"/>
      <c r="D10" s="223">
        <f>INDEX($Q$1:$BH$100,ROW(B10),MATCH(Data_Tech!$AU$7,$Q$1:$AN$1,)+COLUMN(B10)-1)</f>
        <v>3</v>
      </c>
      <c r="E10" s="224">
        <f>INDEX($Q$1:$BH$100,ROW(C10),MATCH(Data_Tech!$AU$7,$Q$1:$AN$1,)+COLUMN(C10)-1)</f>
        <v>17169</v>
      </c>
      <c r="F10" s="45"/>
      <c r="H10" s="45"/>
      <c r="I10" s="110"/>
      <c r="J10" s="110"/>
      <c r="K10" s="110"/>
      <c r="L10" s="110"/>
      <c r="M10" s="110"/>
      <c r="N10" s="110"/>
      <c r="P10" s="700">
        <v>9</v>
      </c>
      <c r="Q10" s="715" t="s">
        <v>304</v>
      </c>
      <c r="R10" s="676">
        <v>3</v>
      </c>
      <c r="S10" s="676">
        <v>17169</v>
      </c>
      <c r="T10" s="714">
        <v>2</v>
      </c>
      <c r="U10" s="715" t="s">
        <v>274</v>
      </c>
      <c r="V10" s="676">
        <v>33615</v>
      </c>
      <c r="W10" s="676">
        <v>50421</v>
      </c>
      <c r="X10" s="714"/>
      <c r="Y10" s="715" t="s">
        <v>274</v>
      </c>
      <c r="Z10" s="676">
        <v>67227</v>
      </c>
      <c r="AA10" s="676">
        <v>84033</v>
      </c>
      <c r="AB10" s="714"/>
      <c r="AC10" s="715" t="s">
        <v>274</v>
      </c>
      <c r="AD10" s="676">
        <v>100839</v>
      </c>
      <c r="AE10" s="676">
        <v>117645</v>
      </c>
      <c r="AF10" s="714"/>
      <c r="AG10" s="715" t="s">
        <v>274</v>
      </c>
      <c r="AH10" s="676">
        <v>134451</v>
      </c>
      <c r="AI10" s="676">
        <v>151257</v>
      </c>
      <c r="AJ10" s="714"/>
      <c r="AK10" s="715" t="s">
        <v>274</v>
      </c>
      <c r="AL10" s="676">
        <v>168063</v>
      </c>
    </row>
    <row r="11" spans="1:52" ht="17.25" customHeight="1">
      <c r="A11" s="40" t="s">
        <v>319</v>
      </c>
      <c r="B11" s="268" t="str">
        <f>IFERROR(INDEX($Q$1:$BH$100,ROW(A11),MATCH(Data_Tech!$AU$7,$Q$1:$AN$1,)+COLUMN(A10)-1),"")</f>
        <v>Бородицкая Ирина Борисовна</v>
      </c>
      <c r="C11" s="41"/>
      <c r="D11" s="223">
        <f>INDEX($Q$1:$BH$100,ROW(B11),MATCH(Data_Tech!$AU$7,$Q$1:$AN$1,)+COLUMN(B11)-1)</f>
        <v>3</v>
      </c>
      <c r="E11" s="224">
        <f>INDEX($Q$1:$BH$100,ROW(C11),MATCH(Data_Tech!$AU$7,$Q$1:$AN$1,)+COLUMN(C11)-1)</f>
        <v>16250</v>
      </c>
      <c r="F11" s="45"/>
      <c r="J11" s="111"/>
      <c r="K11" s="112"/>
      <c r="L11" s="593"/>
      <c r="M11" s="110"/>
      <c r="N11" s="110"/>
      <c r="P11" s="700">
        <v>10</v>
      </c>
      <c r="Q11" s="715" t="s">
        <v>251</v>
      </c>
      <c r="R11" s="676">
        <v>3</v>
      </c>
      <c r="S11" s="676">
        <v>16250</v>
      </c>
      <c r="T11" s="714">
        <v>3</v>
      </c>
      <c r="U11" s="715" t="s">
        <v>304</v>
      </c>
      <c r="V11" s="676">
        <v>5723.6666666666597</v>
      </c>
      <c r="W11" s="676">
        <v>5723.1666666666597</v>
      </c>
      <c r="X11" s="714">
        <v>5722.6666666666597</v>
      </c>
      <c r="Y11" s="715" t="s">
        <v>304</v>
      </c>
      <c r="Z11" s="676">
        <v>5722.1666666666597</v>
      </c>
      <c r="AA11" s="676">
        <v>5721.6666666666597</v>
      </c>
      <c r="AB11" s="714">
        <v>5721.1666666666597</v>
      </c>
      <c r="AC11" s="715" t="s">
        <v>304</v>
      </c>
      <c r="AD11" s="676">
        <v>5720.6666666666597</v>
      </c>
      <c r="AE11" s="676">
        <v>5720.1666666666497</v>
      </c>
      <c r="AF11" s="714">
        <v>5719.6666666666497</v>
      </c>
      <c r="AG11" s="715" t="s">
        <v>304</v>
      </c>
      <c r="AH11" s="676">
        <v>5719.1666666666497</v>
      </c>
      <c r="AI11" s="676">
        <v>5718.6666666666497</v>
      </c>
      <c r="AJ11" s="714">
        <v>5718.1666666666497</v>
      </c>
      <c r="AK11" s="715" t="s">
        <v>304</v>
      </c>
      <c r="AL11" s="676">
        <v>5717.6666666666497</v>
      </c>
    </row>
    <row r="12" spans="1:52" ht="17.25" customHeight="1">
      <c r="A12" s="40"/>
      <c r="B12" s="268" t="str">
        <f>IFERROR(INDEX($Q$1:$BH$100,ROW(A12),MATCH(Data_Tech!$AU$7,$Q$1:$AN$1,)+COLUMN(A11)-1),"")</f>
        <v>Бунчук Виктория Ивановна</v>
      </c>
      <c r="C12" s="225"/>
      <c r="D12" s="223">
        <f>INDEX($Q$1:$BH$100,ROW(B12),MATCH(Data_Tech!$AU$7,$Q$1:$AN$1,)+COLUMN(B12)-1)</f>
        <v>3</v>
      </c>
      <c r="E12" s="224">
        <f>INDEX($Q$1:$BH$100,ROW(C12),MATCH(Data_Tech!$AU$7,$Q$1:$AN$1,)+COLUMN(C12)-1)</f>
        <v>16960</v>
      </c>
      <c r="F12" s="45"/>
      <c r="J12" s="111"/>
      <c r="K12" s="112"/>
      <c r="L12" s="110"/>
      <c r="M12" s="110"/>
      <c r="N12" s="110"/>
      <c r="P12" s="700">
        <v>11</v>
      </c>
      <c r="Q12" s="715" t="s">
        <v>275</v>
      </c>
      <c r="R12" s="676">
        <v>3</v>
      </c>
      <c r="S12" s="676">
        <v>16960</v>
      </c>
      <c r="T12" s="714"/>
      <c r="U12" s="715" t="s">
        <v>251</v>
      </c>
      <c r="V12" s="676">
        <v>5418.6666666666697</v>
      </c>
      <c r="W12" s="676">
        <v>5418.6666666666697</v>
      </c>
      <c r="X12" s="714">
        <v>5418.6666666666697</v>
      </c>
      <c r="Y12" s="715" t="s">
        <v>251</v>
      </c>
      <c r="Z12" s="676">
        <v>5418.6666666666697</v>
      </c>
      <c r="AA12" s="676">
        <v>5418.6666666666697</v>
      </c>
      <c r="AB12" s="714">
        <v>5418.6666666666797</v>
      </c>
      <c r="AC12" s="715" t="s">
        <v>251</v>
      </c>
      <c r="AD12" s="676">
        <v>5418.6666666666797</v>
      </c>
      <c r="AE12" s="676">
        <v>5418.6666666666797</v>
      </c>
      <c r="AF12" s="714">
        <v>5418.6666666666797</v>
      </c>
      <c r="AG12" s="715" t="s">
        <v>251</v>
      </c>
      <c r="AH12" s="676">
        <v>5418.6666666666797</v>
      </c>
      <c r="AI12" s="676">
        <v>5418.6666666666797</v>
      </c>
      <c r="AJ12" s="714">
        <v>5418.6666666666797</v>
      </c>
      <c r="AK12" s="715" t="s">
        <v>251</v>
      </c>
      <c r="AL12" s="676">
        <v>5418.6666666666797</v>
      </c>
      <c r="AP12" s="582" t="s">
        <v>2</v>
      </c>
      <c r="AQ12" s="582" t="s">
        <v>249</v>
      </c>
      <c r="AR12" s="582" t="s">
        <v>10</v>
      </c>
      <c r="AS12" s="582" t="s">
        <v>248</v>
      </c>
    </row>
    <row r="13" spans="1:52" ht="17.25" customHeight="1">
      <c r="A13" s="40"/>
      <c r="B13" s="268" t="str">
        <f>IFERROR(INDEX($Q$1:$BH$100,ROW(A13),MATCH(Data_Tech!$AU$7,$Q$1:$AN$1,)+COLUMN(A12)-1),"")</f>
        <v>Бутова Юлия Сергеевна</v>
      </c>
      <c r="C13" s="225"/>
      <c r="D13" s="223">
        <f>INDEX($Q$1:$BH$100,ROW(B13),MATCH(Data_Tech!$AU$7,$Q$1:$AN$1,)+COLUMN(B13)-1)</f>
        <v>3</v>
      </c>
      <c r="E13" s="224">
        <f>INDEX($Q$1:$BH$100,ROW(C13),MATCH(Data_Tech!$AU$7,$Q$1:$AN$1,)+COLUMN(C13)-1)</f>
        <v>17350</v>
      </c>
      <c r="F13" s="45"/>
      <c r="H13" s="45"/>
      <c r="J13" s="111"/>
      <c r="K13" s="112"/>
      <c r="L13" s="110"/>
      <c r="M13" s="110"/>
      <c r="N13" s="110"/>
      <c r="P13" s="700">
        <v>12</v>
      </c>
      <c r="Q13" s="677" t="s">
        <v>377</v>
      </c>
      <c r="R13" s="676">
        <v>3</v>
      </c>
      <c r="S13" s="676">
        <v>17350</v>
      </c>
      <c r="T13" s="714"/>
      <c r="U13" s="715" t="s">
        <v>275</v>
      </c>
      <c r="V13" s="676">
        <v>33917</v>
      </c>
      <c r="W13" s="676">
        <v>50874</v>
      </c>
      <c r="X13" s="714"/>
      <c r="Y13" s="715" t="s">
        <v>275</v>
      </c>
      <c r="Z13" s="676">
        <v>67831</v>
      </c>
      <c r="AA13" s="676">
        <v>84788</v>
      </c>
      <c r="AB13" s="714"/>
      <c r="AC13" s="715" t="s">
        <v>275</v>
      </c>
      <c r="AD13" s="676">
        <v>101745</v>
      </c>
      <c r="AE13" s="676">
        <v>118702</v>
      </c>
      <c r="AF13" s="714"/>
      <c r="AG13" s="715" t="s">
        <v>275</v>
      </c>
      <c r="AH13" s="676">
        <v>135659</v>
      </c>
      <c r="AI13" s="676">
        <v>152616</v>
      </c>
      <c r="AJ13" s="714"/>
      <c r="AK13" s="715" t="s">
        <v>275</v>
      </c>
      <c r="AL13" s="676">
        <v>169573</v>
      </c>
      <c r="AP13" s="584">
        <v>56</v>
      </c>
      <c r="AQ13" s="582">
        <v>112</v>
      </c>
      <c r="AR13" s="582">
        <v>7000</v>
      </c>
      <c r="AS13" s="170">
        <f>(AQ13*AR13/1000)</f>
        <v>784</v>
      </c>
    </row>
    <row r="14" spans="1:52" ht="17.25" customHeight="1">
      <c r="A14" s="40"/>
      <c r="B14" s="268" t="str">
        <f>IFERROR(INDEX($Q$1:$BH$100,ROW(A14),MATCH(Data_Tech!$AU$7,$Q$1:$AN$1,)+COLUMN(A13)-1),"")</f>
        <v>Васильева Марина Витальевна</v>
      </c>
      <c r="C14" s="10"/>
      <c r="D14" s="223">
        <f>INDEX($Q$1:$BH$100,ROW(B14),MATCH(Data_Tech!$AU$7,$Q$1:$AN$1,)+COLUMN(B14)-1)</f>
        <v>3</v>
      </c>
      <c r="E14" s="224">
        <f>INDEX($Q$1:$BH$100,ROW(C14),MATCH(Data_Tech!$AU$7,$Q$1:$AN$1,)+COLUMN(C14)-1)</f>
        <v>17332</v>
      </c>
      <c r="F14" s="45"/>
      <c r="J14" s="110"/>
      <c r="K14" s="110"/>
      <c r="L14" s="110"/>
      <c r="M14" s="110"/>
      <c r="N14" s="110"/>
      <c r="P14" s="700">
        <v>13</v>
      </c>
      <c r="Q14" s="677" t="s">
        <v>371</v>
      </c>
      <c r="R14" s="676">
        <v>3</v>
      </c>
      <c r="S14" s="676">
        <v>17332</v>
      </c>
      <c r="T14" s="714">
        <v>2</v>
      </c>
      <c r="U14" s="715" t="s">
        <v>322</v>
      </c>
      <c r="V14" s="676">
        <v>5733.3333333333303</v>
      </c>
      <c r="W14" s="676">
        <v>5732.8333333333403</v>
      </c>
      <c r="X14" s="714">
        <v>5732.3333333333403</v>
      </c>
      <c r="Y14" s="715" t="s">
        <v>322</v>
      </c>
      <c r="Z14" s="676">
        <v>5731.8333333333403</v>
      </c>
      <c r="AA14" s="676">
        <v>5731.3333333333403</v>
      </c>
      <c r="AB14" s="714">
        <v>5730.8333333333403</v>
      </c>
      <c r="AC14" s="715" t="s">
        <v>322</v>
      </c>
      <c r="AD14" s="676">
        <v>5730.3333333333403</v>
      </c>
      <c r="AE14" s="676">
        <v>5729.8333333333403</v>
      </c>
      <c r="AF14" s="714">
        <v>5729.3333333333403</v>
      </c>
      <c r="AG14" s="715" t="s">
        <v>322</v>
      </c>
      <c r="AH14" s="676">
        <v>5728.8333333333503</v>
      </c>
      <c r="AI14" s="676">
        <v>5728.3333333333503</v>
      </c>
      <c r="AJ14" s="714">
        <v>5727.8333333333503</v>
      </c>
      <c r="AK14" s="715" t="s">
        <v>322</v>
      </c>
      <c r="AL14" s="676">
        <v>5727.3333333333503</v>
      </c>
      <c r="AP14" s="585">
        <v>57</v>
      </c>
      <c r="AQ14" s="582">
        <v>112</v>
      </c>
      <c r="AR14" s="582">
        <v>3108</v>
      </c>
      <c r="AS14" s="170">
        <f t="shared" ref="AS14:AS19" si="6">(AQ14*AR14/1000)</f>
        <v>348.096</v>
      </c>
    </row>
    <row r="15" spans="1:52" ht="17.25" customHeight="1">
      <c r="A15" s="40"/>
      <c r="B15" s="268" t="str">
        <f>IFERROR(INDEX($Q$1:$BH$100,ROW(A15),MATCH(Data_Tech!$AU$7,$Q$1:$AN$1,)+COLUMN(A14)-1),"")</f>
        <v>Волошина Светлана Владимировна</v>
      </c>
      <c r="C15" s="10"/>
      <c r="D15" s="223">
        <f>INDEX($Q$1:$BH$100,ROW(B15),MATCH(Data_Tech!$AU$7,$Q$1:$AN$1,)+COLUMN(B15)-1)</f>
        <v>3</v>
      </c>
      <c r="E15" s="224">
        <f>INDEX($Q$1:$BH$100,ROW(C15),MATCH(Data_Tech!$AU$7,$Q$1:$AN$1,)+COLUMN(C15)-1)</f>
        <v>17198</v>
      </c>
      <c r="F15" s="45"/>
      <c r="J15" s="110"/>
      <c r="K15" s="110"/>
      <c r="L15" s="110"/>
      <c r="M15" s="110"/>
      <c r="N15" s="110"/>
      <c r="P15" s="700">
        <v>14</v>
      </c>
      <c r="Q15" s="715" t="s">
        <v>322</v>
      </c>
      <c r="R15" s="676">
        <v>3</v>
      </c>
      <c r="S15" s="676">
        <v>17198</v>
      </c>
      <c r="T15" s="714">
        <v>2</v>
      </c>
      <c r="U15" s="715" t="s">
        <v>295</v>
      </c>
      <c r="V15" s="676">
        <v>34227</v>
      </c>
      <c r="W15" s="676">
        <v>51339</v>
      </c>
      <c r="X15" s="714"/>
      <c r="Y15" s="715" t="s">
        <v>295</v>
      </c>
      <c r="Z15" s="676">
        <v>68451</v>
      </c>
      <c r="AA15" s="676">
        <v>85563</v>
      </c>
      <c r="AB15" s="714"/>
      <c r="AC15" s="715" t="s">
        <v>295</v>
      </c>
      <c r="AD15" s="676">
        <v>102675</v>
      </c>
      <c r="AE15" s="676">
        <v>119787</v>
      </c>
      <c r="AF15" s="714"/>
      <c r="AG15" s="715" t="s">
        <v>295</v>
      </c>
      <c r="AH15" s="676">
        <v>136899</v>
      </c>
      <c r="AI15" s="676">
        <v>154011</v>
      </c>
      <c r="AJ15" s="714"/>
      <c r="AK15" s="715" t="s">
        <v>295</v>
      </c>
      <c r="AL15" s="676">
        <v>171123</v>
      </c>
      <c r="AP15" s="585">
        <v>185</v>
      </c>
      <c r="AQ15" s="582">
        <v>115</v>
      </c>
      <c r="AR15" s="582">
        <v>5500</v>
      </c>
      <c r="AS15" s="170">
        <f t="shared" si="6"/>
        <v>632.5</v>
      </c>
    </row>
    <row r="16" spans="1:52" ht="17.25" customHeight="1">
      <c r="A16" s="56"/>
      <c r="B16" s="268" t="str">
        <f>IFERROR(INDEX($Q$1:$BH$100,ROW(A16),MATCH(Data_Tech!$AU$7,$Q$1:$AN$1,)+COLUMN(A15)-1),"")</f>
        <v>Глинка Екатерина Юрьевна</v>
      </c>
      <c r="C16" s="10"/>
      <c r="D16" s="223">
        <f>INDEX($Q$1:$BH$100,ROW(B16),MATCH(Data_Tech!$AU$7,$Q$1:$AN$1,)+COLUMN(B16)-1)</f>
        <v>3</v>
      </c>
      <c r="E16" s="224">
        <f>INDEX($Q$1:$BH$100,ROW(C16),MATCH(Data_Tech!$AU$7,$Q$1:$AN$1,)+COLUMN(C16)-1)</f>
        <v>17115</v>
      </c>
      <c r="F16" s="45"/>
      <c r="P16" s="700">
        <v>15</v>
      </c>
      <c r="Q16" s="715" t="s">
        <v>295</v>
      </c>
      <c r="R16" s="676">
        <v>3</v>
      </c>
      <c r="S16" s="676">
        <v>17115</v>
      </c>
      <c r="T16" s="714">
        <v>3</v>
      </c>
      <c r="U16" s="715" t="s">
        <v>252</v>
      </c>
      <c r="V16" s="676">
        <v>31757</v>
      </c>
      <c r="W16" s="676">
        <v>47634</v>
      </c>
      <c r="X16" s="714"/>
      <c r="Y16" s="715" t="s">
        <v>252</v>
      </c>
      <c r="Z16" s="676">
        <v>63511</v>
      </c>
      <c r="AA16" s="676">
        <v>79388</v>
      </c>
      <c r="AB16" s="714"/>
      <c r="AC16" s="715" t="s">
        <v>252</v>
      </c>
      <c r="AD16" s="676">
        <v>95265</v>
      </c>
      <c r="AE16" s="676">
        <v>111142</v>
      </c>
      <c r="AF16" s="714"/>
      <c r="AG16" s="715" t="s">
        <v>252</v>
      </c>
      <c r="AH16" s="676">
        <v>127019</v>
      </c>
      <c r="AI16" s="676">
        <v>142896</v>
      </c>
      <c r="AJ16" s="714"/>
      <c r="AK16" s="715" t="s">
        <v>252</v>
      </c>
      <c r="AL16" s="676">
        <v>158773</v>
      </c>
      <c r="AP16" s="584">
        <v>60</v>
      </c>
      <c r="AQ16" s="582">
        <v>74</v>
      </c>
      <c r="AR16" s="582">
        <v>7300</v>
      </c>
      <c r="AS16" s="170">
        <f t="shared" si="6"/>
        <v>540.20000000000005</v>
      </c>
    </row>
    <row r="17" spans="1:49" ht="17.25" customHeight="1">
      <c r="A17" s="10"/>
      <c r="B17" s="268" t="str">
        <f>IFERROR(INDEX($Q$1:$BH$100,ROW(A17),MATCH(Data_Tech!$AU$7,$Q$1:$AN$1,)+COLUMN(A16)-1),"")</f>
        <v>Грешнова Ольга Викторовна</v>
      </c>
      <c r="C17" s="45"/>
      <c r="D17" s="223">
        <f>INDEX($Q$1:$BH$100,ROW(B17),MATCH(Data_Tech!$AU$7,$Q$1:$AN$1,)+COLUMN(B17)-1)</f>
        <v>3</v>
      </c>
      <c r="E17" s="224">
        <f>INDEX($Q$1:$BH$100,ROW(C17),MATCH(Data_Tech!$AU$7,$Q$1:$AN$1,)+COLUMN(C17)-1)</f>
        <v>15880</v>
      </c>
      <c r="F17" s="45"/>
      <c r="P17" s="700">
        <v>16</v>
      </c>
      <c r="Q17" s="715" t="s">
        <v>252</v>
      </c>
      <c r="R17" s="676">
        <v>3</v>
      </c>
      <c r="S17" s="676">
        <v>15880</v>
      </c>
      <c r="T17" s="714"/>
      <c r="U17" s="715" t="s">
        <v>253</v>
      </c>
      <c r="V17" s="676">
        <v>5297.3333333333403</v>
      </c>
      <c r="W17" s="676">
        <v>5296.3333333333403</v>
      </c>
      <c r="X17" s="714">
        <v>5295.3333333333403</v>
      </c>
      <c r="Y17" s="715" t="s">
        <v>253</v>
      </c>
      <c r="Z17" s="676">
        <v>5294.3333333333403</v>
      </c>
      <c r="AA17" s="676">
        <v>5293.3333333333403</v>
      </c>
      <c r="AB17" s="714">
        <v>5292.3333333333403</v>
      </c>
      <c r="AC17" s="715" t="s">
        <v>253</v>
      </c>
      <c r="AD17" s="676">
        <v>5291.3333333333403</v>
      </c>
      <c r="AE17" s="676">
        <v>5290.3333333333403</v>
      </c>
      <c r="AF17" s="714">
        <v>5289.3333333333403</v>
      </c>
      <c r="AG17" s="715" t="s">
        <v>253</v>
      </c>
      <c r="AH17" s="676">
        <v>5288.3333333333503</v>
      </c>
      <c r="AI17" s="676">
        <v>5287.3333333333503</v>
      </c>
      <c r="AJ17" s="714">
        <v>5286.3333333333503</v>
      </c>
      <c r="AK17" s="715" t="s">
        <v>253</v>
      </c>
      <c r="AL17" s="676">
        <v>5285.3333333333503</v>
      </c>
      <c r="AP17" s="584">
        <v>757</v>
      </c>
      <c r="AQ17" s="582">
        <v>74</v>
      </c>
      <c r="AR17" s="582">
        <v>11300</v>
      </c>
      <c r="AS17" s="170">
        <f t="shared" si="6"/>
        <v>836.2</v>
      </c>
    </row>
    <row r="18" spans="1:49" ht="17.25" customHeight="1">
      <c r="B18" s="268" t="str">
        <f>IFERROR(INDEX($Q$1:$BH$100,ROW(A18),MATCH(Data_Tech!$AU$7,$Q$1:$AN$1,)+COLUMN(A17)-1),"")</f>
        <v>Груздева Олеся Изидоровна</v>
      </c>
      <c r="C18" s="45"/>
      <c r="D18" s="223">
        <f>INDEX($Q$1:$BH$100,ROW(B18),MATCH(Data_Tech!$AU$7,$Q$1:$AN$1,)+COLUMN(B18)-1)</f>
        <v>3</v>
      </c>
      <c r="E18" s="224">
        <f>INDEX($Q$1:$BH$100,ROW(C18),MATCH(Data_Tech!$AU$7,$Q$1:$AN$1,)+COLUMN(C18)-1)</f>
        <v>15894</v>
      </c>
      <c r="F18" s="45"/>
      <c r="H18" s="45"/>
      <c r="I18" s="699" t="s">
        <v>10</v>
      </c>
      <c r="J18" s="699" t="s">
        <v>333</v>
      </c>
      <c r="K18" s="699" t="s">
        <v>334</v>
      </c>
      <c r="L18" s="699" t="s">
        <v>86</v>
      </c>
      <c r="M18" s="701" t="s">
        <v>335</v>
      </c>
      <c r="N18" s="699" t="s">
        <v>336</v>
      </c>
      <c r="O18" s="45"/>
      <c r="P18" s="700">
        <v>17</v>
      </c>
      <c r="Q18" s="715" t="s">
        <v>253</v>
      </c>
      <c r="R18" s="676">
        <v>3</v>
      </c>
      <c r="S18" s="676">
        <v>15894</v>
      </c>
      <c r="T18" s="714">
        <v>1</v>
      </c>
      <c r="U18" s="715" t="s">
        <v>302</v>
      </c>
      <c r="V18" s="676">
        <v>5720.6666666666697</v>
      </c>
      <c r="W18" s="676">
        <v>5720.1666666666697</v>
      </c>
      <c r="X18" s="714">
        <v>5719.6666666666697</v>
      </c>
      <c r="Y18" s="715" t="s">
        <v>302</v>
      </c>
      <c r="Z18" s="676">
        <v>5719.1666666666697</v>
      </c>
      <c r="AA18" s="676">
        <v>5718.6666666666697</v>
      </c>
      <c r="AB18" s="714">
        <v>5718.1666666666697</v>
      </c>
      <c r="AC18" s="715" t="s">
        <v>302</v>
      </c>
      <c r="AD18" s="676">
        <v>5717.6666666666697</v>
      </c>
      <c r="AE18" s="676">
        <v>5717.1666666666697</v>
      </c>
      <c r="AF18" s="714">
        <v>5716.6666666666697</v>
      </c>
      <c r="AG18" s="715" t="s">
        <v>302</v>
      </c>
      <c r="AH18" s="676">
        <v>5716.1666666666697</v>
      </c>
      <c r="AI18" s="676">
        <v>5715.6666666666697</v>
      </c>
      <c r="AJ18" s="714">
        <v>5715.1666666666697</v>
      </c>
      <c r="AK18" s="715" t="s">
        <v>302</v>
      </c>
      <c r="AL18" s="676">
        <v>5714.6666666666697</v>
      </c>
      <c r="AP18" s="584">
        <v>6001</v>
      </c>
      <c r="AQ18" s="582">
        <v>56</v>
      </c>
      <c r="AR18" s="582">
        <v>6400</v>
      </c>
      <c r="AS18" s="170">
        <f t="shared" si="6"/>
        <v>358.4</v>
      </c>
    </row>
    <row r="19" spans="1:49" ht="17.25" customHeight="1">
      <c r="B19" s="268" t="str">
        <f>IFERROR(INDEX($Q$1:$BH$100,ROW(A19),MATCH(Data_Tech!$AU$7,$Q$1:$AN$1,)+COLUMN(A18)-1),"")</f>
        <v>Дорофеева Юлия Николаевна</v>
      </c>
      <c r="C19" s="45"/>
      <c r="D19" s="223">
        <f>INDEX($Q$1:$BH$100,ROW(B19),MATCH(Data_Tech!$AU$7,$Q$1:$AN$1,)+COLUMN(B19)-1)</f>
        <v>3</v>
      </c>
      <c r="E19" s="224">
        <f>INDEX($Q$1:$BH$100,ROW(C19),MATCH(Data_Tech!$AU$7,$Q$1:$AN$1,)+COLUMN(C19)-1)</f>
        <v>17160</v>
      </c>
      <c r="F19" s="45"/>
      <c r="H19" s="780">
        <v>6001</v>
      </c>
      <c r="I19" s="781" t="s">
        <v>364</v>
      </c>
      <c r="J19" s="782">
        <f>SUMIFS(Таблица1[сумма],Таблица1[партия],I19,Таблица1[изд],H19)</f>
        <v>0</v>
      </c>
      <c r="K19" s="782">
        <f>SUMIFS(Таблица14[часы],Таблица14[партия],I19,Таблица14[изд],H19)</f>
        <v>0</v>
      </c>
      <c r="L19" s="782">
        <f>SUMIFS(Таблица1[Столбец1],Таблица1[партия],I19,Таблица1[изд],H19)</f>
        <v>0</v>
      </c>
      <c r="M19" s="783">
        <f>J19+K19+L19</f>
        <v>0</v>
      </c>
      <c r="N19" s="704">
        <f>$AS$18-M19-O19</f>
        <v>358.4</v>
      </c>
      <c r="O19" s="10"/>
      <c r="P19" s="700">
        <v>18</v>
      </c>
      <c r="Q19" s="715" t="s">
        <v>302</v>
      </c>
      <c r="R19" s="676">
        <v>3</v>
      </c>
      <c r="S19" s="676">
        <v>17160</v>
      </c>
      <c r="T19" s="714">
        <v>2</v>
      </c>
      <c r="U19" s="715" t="s">
        <v>254</v>
      </c>
      <c r="V19" s="676">
        <v>33717</v>
      </c>
      <c r="W19" s="676">
        <v>50574</v>
      </c>
      <c r="X19" s="714"/>
      <c r="Y19" s="715" t="s">
        <v>254</v>
      </c>
      <c r="Z19" s="676">
        <v>67431</v>
      </c>
      <c r="AA19" s="676">
        <v>84288</v>
      </c>
      <c r="AB19" s="714"/>
      <c r="AC19" s="715" t="s">
        <v>254</v>
      </c>
      <c r="AD19" s="676">
        <v>101145</v>
      </c>
      <c r="AE19" s="676">
        <v>118002</v>
      </c>
      <c r="AF19" s="714"/>
      <c r="AG19" s="715" t="s">
        <v>254</v>
      </c>
      <c r="AH19" s="676">
        <v>134859</v>
      </c>
      <c r="AI19" s="676">
        <v>151716</v>
      </c>
      <c r="AJ19" s="714"/>
      <c r="AK19" s="715" t="s">
        <v>254</v>
      </c>
      <c r="AL19" s="676">
        <v>168573</v>
      </c>
      <c r="AP19" s="585">
        <v>631</v>
      </c>
      <c r="AQ19" s="582">
        <v>112</v>
      </c>
      <c r="AR19" s="582">
        <v>5400</v>
      </c>
      <c r="AS19" s="170">
        <f t="shared" si="6"/>
        <v>604.79999999999995</v>
      </c>
    </row>
    <row r="20" spans="1:49" ht="17.25" customHeight="1">
      <c r="B20" s="268" t="str">
        <f>IFERROR(INDEX($Q$1:$BH$100,ROW(A20),MATCH(Data_Tech!$AU$7,$Q$1:$AN$1,)+COLUMN(A19)-1),"")</f>
        <v>Егоров Дмитрий Геннадьевич</v>
      </c>
      <c r="C20" s="45"/>
      <c r="D20" s="223">
        <f>INDEX($Q$1:$BH$100,ROW(B20),MATCH(Data_Tech!$AU$7,$Q$1:$AN$1,)+COLUMN(B20)-1)</f>
        <v>3</v>
      </c>
      <c r="E20" s="224">
        <f>INDEX($Q$1:$BH$100,ROW(C20),MATCH(Data_Tech!$AU$7,$Q$1:$AN$1,)+COLUMN(C20)-1)</f>
        <v>16860</v>
      </c>
      <c r="F20" s="45"/>
      <c r="H20" s="780">
        <v>6001</v>
      </c>
      <c r="I20" s="781" t="s">
        <v>365</v>
      </c>
      <c r="J20" s="782">
        <f>SUMIFS(Таблица1[сумма],Таблица1[партия],I20,Таблица1[изд],H20)</f>
        <v>0</v>
      </c>
      <c r="K20" s="782">
        <f>SUMIFS(Таблица14[часы],Таблица14[партия],I20,Таблица14[изд],H20)</f>
        <v>0</v>
      </c>
      <c r="L20" s="782">
        <f>SUMIFS(Таблица1[Столбец1],Таблица1[партия],I20,Таблица1[изд],H20)</f>
        <v>0</v>
      </c>
      <c r="M20" s="783">
        <f t="shared" ref="M20:M21" si="7">J20+K20+L20</f>
        <v>0</v>
      </c>
      <c r="N20" s="704">
        <f t="shared" ref="N20:N29" si="8">$AS$18-M20-O20</f>
        <v>358.4</v>
      </c>
      <c r="O20" s="10"/>
      <c r="P20" s="700">
        <v>19</v>
      </c>
      <c r="Q20" s="715" t="s">
        <v>254</v>
      </c>
      <c r="R20" s="676">
        <v>3</v>
      </c>
      <c r="S20" s="676">
        <v>16860</v>
      </c>
      <c r="T20" s="714"/>
      <c r="U20" s="715" t="s">
        <v>255</v>
      </c>
      <c r="V20" s="676">
        <v>31177</v>
      </c>
      <c r="W20" s="676">
        <v>46764</v>
      </c>
      <c r="X20" s="714"/>
      <c r="Y20" s="715" t="s">
        <v>255</v>
      </c>
      <c r="Z20" s="676">
        <v>62351</v>
      </c>
      <c r="AA20" s="676">
        <v>77938</v>
      </c>
      <c r="AB20" s="714"/>
      <c r="AC20" s="715" t="s">
        <v>255</v>
      </c>
      <c r="AD20" s="676">
        <v>93525</v>
      </c>
      <c r="AE20" s="676">
        <v>109112</v>
      </c>
      <c r="AF20" s="714"/>
      <c r="AG20" s="715" t="s">
        <v>255</v>
      </c>
      <c r="AH20" s="676">
        <v>124699</v>
      </c>
      <c r="AI20" s="676">
        <v>140286</v>
      </c>
      <c r="AJ20" s="714"/>
      <c r="AK20" s="715" t="s">
        <v>255</v>
      </c>
      <c r="AL20" s="676">
        <v>155873</v>
      </c>
      <c r="AP20" s="585">
        <v>85</v>
      </c>
      <c r="AQ20" s="582">
        <v>115</v>
      </c>
      <c r="AR20" s="582">
        <v>6615</v>
      </c>
      <c r="AS20" s="170">
        <f>(AQ20*AR20/1000)</f>
        <v>760.72500000000002</v>
      </c>
    </row>
    <row r="21" spans="1:49" ht="17.25" customHeight="1">
      <c r="B21" s="268" t="str">
        <f>IFERROR(INDEX($Q$1:$BH$100,ROW(A21),MATCH(Data_Tech!$AU$7,$Q$1:$AN$1,)+COLUMN(A20)-1),"")</f>
        <v>Егорова Татьяна Владимировна</v>
      </c>
      <c r="C21" s="45"/>
      <c r="D21" s="223">
        <f>INDEX($Q$1:$BH$100,ROW(B21),MATCH(Data_Tech!$AU$7,$Q$1:$AN$1,)+COLUMN(B21)-1)</f>
        <v>3</v>
      </c>
      <c r="E21" s="224">
        <f>INDEX($Q$1:$BH$100,ROW(C21),MATCH(Data_Tech!$AU$7,$Q$1:$AN$1,)+COLUMN(C21)-1)</f>
        <v>15590</v>
      </c>
      <c r="F21" s="45"/>
      <c r="H21" s="780">
        <v>6001</v>
      </c>
      <c r="I21" s="781" t="s">
        <v>366</v>
      </c>
      <c r="J21" s="782">
        <f>SUMIFS(Таблица1[сумма],Таблица1[партия],I21,Таблица1[изд],H21)</f>
        <v>0</v>
      </c>
      <c r="K21" s="782">
        <f>SUMIFS(Таблица14[часы],Таблица14[партия],I21,Таблица14[изд],H21)</f>
        <v>0</v>
      </c>
      <c r="L21" s="782">
        <f>SUMIFS(Таблица1[Столбец1],Таблица1[партия],I21,Таблица1[изд],H21)</f>
        <v>0</v>
      </c>
      <c r="M21" s="783">
        <f t="shared" si="7"/>
        <v>0</v>
      </c>
      <c r="N21" s="704">
        <f t="shared" si="8"/>
        <v>358.4</v>
      </c>
      <c r="O21" s="10"/>
      <c r="P21" s="700">
        <v>20</v>
      </c>
      <c r="Q21" s="715" t="s">
        <v>255</v>
      </c>
      <c r="R21" s="676">
        <v>3</v>
      </c>
      <c r="S21" s="676">
        <v>15590</v>
      </c>
      <c r="T21" s="714"/>
      <c r="U21" s="715" t="s">
        <v>276</v>
      </c>
      <c r="V21" s="676">
        <v>33539</v>
      </c>
      <c r="W21" s="676">
        <v>50307</v>
      </c>
      <c r="X21" s="714"/>
      <c r="Y21" s="715" t="s">
        <v>276</v>
      </c>
      <c r="Z21" s="676">
        <v>67075</v>
      </c>
      <c r="AA21" s="676">
        <v>83843</v>
      </c>
      <c r="AB21" s="714"/>
      <c r="AC21" s="715" t="s">
        <v>276</v>
      </c>
      <c r="AD21" s="676">
        <v>100611</v>
      </c>
      <c r="AE21" s="676">
        <v>117379</v>
      </c>
      <c r="AF21" s="714"/>
      <c r="AG21" s="715" t="s">
        <v>276</v>
      </c>
      <c r="AH21" s="676">
        <v>134147</v>
      </c>
      <c r="AI21" s="676">
        <v>150915</v>
      </c>
      <c r="AJ21" s="714"/>
      <c r="AK21" s="715" t="s">
        <v>276</v>
      </c>
      <c r="AL21" s="676">
        <v>167683</v>
      </c>
    </row>
    <row r="22" spans="1:49" ht="17.25" customHeight="1">
      <c r="B22" s="268" t="str">
        <f>IFERROR(INDEX($Q$1:$BH$100,ROW(A22),MATCH(Data_Tech!$AU$7,$Q$1:$AN$1,)+COLUMN(A21)-1),"")</f>
        <v>Елькина Татьяна Владимировна</v>
      </c>
      <c r="C22" s="45"/>
      <c r="D22" s="223">
        <f>INDEX($Q$1:$BH$100,ROW(B22),MATCH(Data_Tech!$AU$7,$Q$1:$AN$1,)+COLUMN(B22)-1)</f>
        <v>3</v>
      </c>
      <c r="E22" s="224">
        <f>INDEX($Q$1:$BH$100,ROW(C22),MATCH(Data_Tech!$AU$7,$Q$1:$AN$1,)+COLUMN(C22)-1)</f>
        <v>16771</v>
      </c>
      <c r="H22" s="780">
        <v>6001</v>
      </c>
      <c r="I22" s="781" t="s">
        <v>367</v>
      </c>
      <c r="J22" s="782">
        <f>SUMIFS(Таблица1[сумма],Таблица1[партия],I22,Таблица1[изд],H22)</f>
        <v>0</v>
      </c>
      <c r="K22" s="782">
        <f>SUMIFS(Таблица14[часы],Таблица14[партия],I22,Таблица14[изд],H22)</f>
        <v>0</v>
      </c>
      <c r="L22" s="782">
        <f>SUMIFS(Таблица1[Столбец1],Таблица1[партия],I22,Таблица1[изд],H22)</f>
        <v>0</v>
      </c>
      <c r="M22" s="783">
        <f t="shared" ref="M22:M23" si="9">J22+K22+L22</f>
        <v>0</v>
      </c>
      <c r="N22" s="704">
        <f t="shared" si="8"/>
        <v>358.4</v>
      </c>
      <c r="O22" s="10"/>
      <c r="P22" s="700">
        <v>21</v>
      </c>
      <c r="Q22" s="715" t="s">
        <v>276</v>
      </c>
      <c r="R22" s="676">
        <v>3</v>
      </c>
      <c r="S22" s="676">
        <v>16771</v>
      </c>
      <c r="T22" s="714">
        <v>1</v>
      </c>
      <c r="U22" s="715" t="s">
        <v>256</v>
      </c>
      <c r="V22" s="676">
        <v>30677</v>
      </c>
      <c r="W22" s="676">
        <v>46014</v>
      </c>
      <c r="X22" s="714"/>
      <c r="Y22" s="715" t="s">
        <v>256</v>
      </c>
      <c r="Z22" s="676">
        <v>61351</v>
      </c>
      <c r="AA22" s="676">
        <v>76688</v>
      </c>
      <c r="AB22" s="714"/>
      <c r="AC22" s="715" t="s">
        <v>256</v>
      </c>
      <c r="AD22" s="676">
        <v>92025</v>
      </c>
      <c r="AE22" s="676">
        <v>107362</v>
      </c>
      <c r="AF22" s="714"/>
      <c r="AG22" s="715" t="s">
        <v>256</v>
      </c>
      <c r="AH22" s="676">
        <v>122699</v>
      </c>
      <c r="AI22" s="676">
        <v>138036</v>
      </c>
      <c r="AJ22" s="714"/>
      <c r="AK22" s="715" t="s">
        <v>256</v>
      </c>
      <c r="AL22" s="676">
        <v>153373</v>
      </c>
    </row>
    <row r="23" spans="1:49" ht="17.25" customHeight="1">
      <c r="B23" s="268" t="str">
        <f>IFERROR(INDEX($Q$1:$BH$100,ROW(A23),MATCH(Data_Tech!$AU$7,$Q$1:$AN$1,)+COLUMN(A22)-1),"")</f>
        <v>Ерошевич Дарья Александровна</v>
      </c>
      <c r="C23" s="45"/>
      <c r="D23" s="223">
        <f>INDEX($Q$1:$BH$100,ROW(B23),MATCH(Data_Tech!$AU$7,$Q$1:$AN$1,)+COLUMN(B23)-1)</f>
        <v>3</v>
      </c>
      <c r="E23" s="224">
        <f>INDEX($Q$1:$BH$100,ROW(C23),MATCH(Data_Tech!$AU$7,$Q$1:$AN$1,)+COLUMN(C23)-1)</f>
        <v>17345</v>
      </c>
      <c r="H23" s="780">
        <v>6001</v>
      </c>
      <c r="I23" s="781" t="s">
        <v>368</v>
      </c>
      <c r="J23" s="782">
        <f>SUMIFS(Таблица1[сумма],Таблица1[партия],I23,Таблица1[изд],H23)</f>
        <v>0</v>
      </c>
      <c r="K23" s="782">
        <f>SUMIFS(Таблица14[часы],Таблица14[партия],I23,Таблица14[изд],H23)</f>
        <v>0</v>
      </c>
      <c r="L23" s="782">
        <f>SUMIFS(Таблица1[Столбец1],Таблица1[партия],I23,Таблица1[изд],H23)</f>
        <v>0</v>
      </c>
      <c r="M23" s="783">
        <f t="shared" si="9"/>
        <v>0</v>
      </c>
      <c r="N23" s="704">
        <f t="shared" si="8"/>
        <v>358.4</v>
      </c>
      <c r="O23" s="10"/>
      <c r="P23" s="700">
        <v>22</v>
      </c>
      <c r="Q23" s="677" t="s">
        <v>373</v>
      </c>
      <c r="R23" s="676">
        <v>3</v>
      </c>
      <c r="S23" s="676">
        <v>17345</v>
      </c>
      <c r="T23" s="714">
        <v>3</v>
      </c>
      <c r="U23" s="715" t="s">
        <v>323</v>
      </c>
      <c r="V23" s="676">
        <v>5736.6666666666697</v>
      </c>
      <c r="W23" s="676">
        <v>5735.6666666666697</v>
      </c>
      <c r="X23" s="714">
        <v>5734.6666666666697</v>
      </c>
      <c r="Y23" s="715" t="s">
        <v>323</v>
      </c>
      <c r="Z23" s="676">
        <v>5733.6666666666697</v>
      </c>
      <c r="AA23" s="676">
        <v>5732.6666666666697</v>
      </c>
      <c r="AB23" s="714">
        <v>5731.6666666666797</v>
      </c>
      <c r="AC23" s="715" t="s">
        <v>323</v>
      </c>
      <c r="AD23" s="676">
        <v>5730.6666666666797</v>
      </c>
      <c r="AE23" s="676">
        <v>5729.6666666666797</v>
      </c>
      <c r="AF23" s="714">
        <v>5728.6666666666797</v>
      </c>
      <c r="AG23" s="715" t="s">
        <v>323</v>
      </c>
      <c r="AH23" s="676">
        <v>5727.6666666666797</v>
      </c>
      <c r="AI23" s="676">
        <v>5726.6666666666797</v>
      </c>
      <c r="AJ23" s="714">
        <v>5725.6666666666797</v>
      </c>
      <c r="AK23" s="715" t="s">
        <v>323</v>
      </c>
      <c r="AL23" s="676">
        <v>5724.6666666666797</v>
      </c>
      <c r="AR23" s="583" t="s">
        <v>337</v>
      </c>
      <c r="AU23" s="45"/>
      <c r="AV23" s="45"/>
      <c r="AW23" s="45"/>
    </row>
    <row r="24" spans="1:49" ht="17.25" customHeight="1">
      <c r="B24" s="268" t="str">
        <f>IFERROR(INDEX($Q$1:$BH$100,ROW(A24),MATCH(Data_Tech!$AU$7,$Q$1:$AN$1,)+COLUMN(A23)-1),"")</f>
        <v>Ерошина Ирина Павловна</v>
      </c>
      <c r="C24" s="45"/>
      <c r="D24" s="223">
        <f>INDEX($Q$1:$BH$100,ROW(B24),MATCH(Data_Tech!$AU$7,$Q$1:$AN$1,)+COLUMN(B24)-1)</f>
        <v>3</v>
      </c>
      <c r="E24" s="224">
        <f>INDEX($Q$1:$BH$100,ROW(C24),MATCH(Data_Tech!$AU$7,$Q$1:$AN$1,)+COLUMN(C24)-1)</f>
        <v>15340</v>
      </c>
      <c r="H24" s="780">
        <v>6001</v>
      </c>
      <c r="I24" s="781" t="s">
        <v>369</v>
      </c>
      <c r="J24" s="782">
        <f>SUMIFS(Таблица1[сумма],Таблица1[партия],I24,Таблица1[изд],H24)</f>
        <v>0</v>
      </c>
      <c r="K24" s="782">
        <f>SUMIFS(Таблица14[часы],Таблица14[партия],I24,Таблица14[изд],H24)</f>
        <v>0</v>
      </c>
      <c r="L24" s="782">
        <f>SUMIFS(Таблица1[Столбец1],Таблица1[партия],I24,Таблица1[изд],H24)</f>
        <v>0</v>
      </c>
      <c r="M24" s="783">
        <f t="shared" ref="M24:M29" si="10">J24+K24+L24</f>
        <v>0</v>
      </c>
      <c r="N24" s="704">
        <f t="shared" si="8"/>
        <v>358.4</v>
      </c>
      <c r="O24" s="10"/>
      <c r="P24" s="700">
        <v>23</v>
      </c>
      <c r="Q24" s="715" t="s">
        <v>256</v>
      </c>
      <c r="R24" s="676">
        <v>3</v>
      </c>
      <c r="S24" s="676">
        <v>15340</v>
      </c>
      <c r="T24" s="714"/>
      <c r="U24" s="715" t="s">
        <v>272</v>
      </c>
      <c r="V24" s="676">
        <v>31213</v>
      </c>
      <c r="W24" s="676">
        <v>46818</v>
      </c>
      <c r="X24" s="714"/>
      <c r="Y24" s="715" t="s">
        <v>272</v>
      </c>
      <c r="Z24" s="676">
        <v>62423</v>
      </c>
      <c r="AA24" s="676">
        <v>78028</v>
      </c>
      <c r="AB24" s="714"/>
      <c r="AC24" s="715" t="s">
        <v>272</v>
      </c>
      <c r="AD24" s="676">
        <v>93633</v>
      </c>
      <c r="AE24" s="676">
        <v>109238</v>
      </c>
      <c r="AF24" s="714"/>
      <c r="AG24" s="715" t="s">
        <v>272</v>
      </c>
      <c r="AH24" s="676">
        <v>124843</v>
      </c>
      <c r="AI24" s="676">
        <v>140448</v>
      </c>
      <c r="AJ24" s="714"/>
      <c r="AK24" s="715" t="s">
        <v>272</v>
      </c>
      <c r="AL24" s="676">
        <v>156053</v>
      </c>
      <c r="AP24" s="45"/>
      <c r="AQ24" s="45"/>
      <c r="AU24" s="45"/>
      <c r="AV24" s="45"/>
      <c r="AW24" s="45"/>
    </row>
    <row r="25" spans="1:49" ht="17.25" customHeight="1">
      <c r="B25" s="268" t="str">
        <f>IFERROR(INDEX($Q$1:$BH$100,ROW(A25),MATCH(Data_Tech!$AU$7,$Q$1:$AN$1,)+COLUMN(A24)-1),"")</f>
        <v>Ескина Ксения Анатольевна</v>
      </c>
      <c r="C25" s="45"/>
      <c r="D25" s="223">
        <f>INDEX($Q$1:$BH$100,ROW(B25),MATCH(Data_Tech!$AU$7,$Q$1:$AN$1,)+COLUMN(B25)-1)</f>
        <v>3</v>
      </c>
      <c r="E25" s="224">
        <f>INDEX($Q$1:$BH$100,ROW(C25),MATCH(Data_Tech!$AU$7,$Q$1:$AN$1,)+COLUMN(C25)-1)</f>
        <v>17309</v>
      </c>
      <c r="H25" s="780">
        <v>6001</v>
      </c>
      <c r="I25" s="781" t="s">
        <v>380</v>
      </c>
      <c r="J25" s="782">
        <f>SUMIFS(Таблица1[сумма],Таблица1[партия],I25,Таблица1[изд],H25)</f>
        <v>0</v>
      </c>
      <c r="K25" s="782">
        <f>SUMIFS(Таблица14[часы],Таблица14[партия],I25,Таблица14[изд],H25)</f>
        <v>0</v>
      </c>
      <c r="L25" s="782">
        <f>SUMIFS(Таблица1[Столбец1],Таблица1[партия],I25,Таблица1[изд],H25)</f>
        <v>0</v>
      </c>
      <c r="M25" s="783">
        <f t="shared" si="10"/>
        <v>0</v>
      </c>
      <c r="N25" s="704">
        <f t="shared" si="8"/>
        <v>358.4</v>
      </c>
      <c r="O25" s="10"/>
      <c r="P25" s="700">
        <v>24</v>
      </c>
      <c r="Q25" s="677" t="s">
        <v>360</v>
      </c>
      <c r="R25" s="676">
        <v>3</v>
      </c>
      <c r="S25" s="676">
        <v>17309</v>
      </c>
      <c r="T25" s="714">
        <v>1</v>
      </c>
      <c r="U25" s="715" t="s">
        <v>298</v>
      </c>
      <c r="V25" s="676">
        <v>5711.6666666666697</v>
      </c>
      <c r="W25" s="676">
        <v>5711.6666666666697</v>
      </c>
      <c r="X25" s="714">
        <v>5711.6666666666697</v>
      </c>
      <c r="Y25" s="715" t="s">
        <v>298</v>
      </c>
      <c r="Z25" s="676">
        <v>5711.6666666666697</v>
      </c>
      <c r="AA25" s="676">
        <v>5711.6666666666697</v>
      </c>
      <c r="AB25" s="714">
        <v>5711.6666666666797</v>
      </c>
      <c r="AC25" s="715" t="s">
        <v>298</v>
      </c>
      <c r="AD25" s="676">
        <v>5711.6666666666797</v>
      </c>
      <c r="AE25" s="676">
        <v>5711.6666666666797</v>
      </c>
      <c r="AF25" s="714">
        <v>5711.6666666666797</v>
      </c>
      <c r="AG25" s="715" t="s">
        <v>298</v>
      </c>
      <c r="AH25" s="676">
        <v>5711.6666666666797</v>
      </c>
      <c r="AI25" s="676">
        <v>5711.6666666666797</v>
      </c>
      <c r="AJ25" s="714">
        <v>5711.6666666666797</v>
      </c>
      <c r="AK25" s="715" t="s">
        <v>298</v>
      </c>
      <c r="AL25" s="676">
        <v>5711.6666666666797</v>
      </c>
      <c r="AP25" s="45" t="s">
        <v>338</v>
      </c>
      <c r="AS25" s="705">
        <v>0.4375</v>
      </c>
      <c r="AU25" s="45"/>
      <c r="AV25" s="45"/>
      <c r="AW25" s="45"/>
    </row>
    <row r="26" spans="1:49" ht="17.25" customHeight="1">
      <c r="B26" s="268" t="str">
        <f>IFERROR(INDEX($Q$1:$BH$100,ROW(A26),MATCH(Data_Tech!$AU$7,$Q$1:$AN$1,)+COLUMN(A25)-1),"")</f>
        <v>Ефремова Юлия Сергеевна</v>
      </c>
      <c r="C26" s="45"/>
      <c r="D26" s="223">
        <f>INDEX($Q$1:$BH$100,ROW(B26),MATCH(Data_Tech!$AU$7,$Q$1:$AN$1,)+COLUMN(B26)-1)</f>
        <v>3</v>
      </c>
      <c r="E26" s="224">
        <f>INDEX($Q$1:$BH$100,ROW(C26),MATCH(Data_Tech!$AU$7,$Q$1:$AN$1,)+COLUMN(C26)-1)</f>
        <v>17346</v>
      </c>
      <c r="H26" s="780">
        <v>6001</v>
      </c>
      <c r="I26" s="781" t="s">
        <v>381</v>
      </c>
      <c r="J26" s="782">
        <f>SUMIFS(Таблица1[сумма],Таблица1[партия],I26,Таблица1[изд],H26)</f>
        <v>0</v>
      </c>
      <c r="K26" s="782">
        <f>SUMIFS(Таблица14[часы],Таблица14[партия],I26,Таблица14[изд],H26)</f>
        <v>0</v>
      </c>
      <c r="L26" s="782">
        <f>SUMIFS(Таблица1[Столбец1],Таблица1[партия],I26,Таблица1[изд],H26)</f>
        <v>0</v>
      </c>
      <c r="M26" s="783">
        <f t="shared" si="10"/>
        <v>0</v>
      </c>
      <c r="N26" s="704">
        <f t="shared" si="8"/>
        <v>358.4</v>
      </c>
      <c r="O26" s="10"/>
      <c r="P26" s="700">
        <v>25</v>
      </c>
      <c r="Q26" s="677" t="s">
        <v>372</v>
      </c>
      <c r="R26" s="676">
        <v>3</v>
      </c>
      <c r="S26" s="676">
        <v>17346</v>
      </c>
      <c r="T26" s="714">
        <v>2</v>
      </c>
      <c r="U26" s="715" t="s">
        <v>257</v>
      </c>
      <c r="V26" s="676">
        <v>4557.3333333333303</v>
      </c>
      <c r="W26" s="676">
        <v>4555.8333333333403</v>
      </c>
      <c r="X26" s="714">
        <v>4554.3333333333403</v>
      </c>
      <c r="Y26" s="715" t="s">
        <v>257</v>
      </c>
      <c r="Z26" s="676">
        <v>4552.8333333333403</v>
      </c>
      <c r="AA26" s="676">
        <v>4551.3333333333403</v>
      </c>
      <c r="AB26" s="714">
        <v>4549.8333333333403</v>
      </c>
      <c r="AC26" s="715" t="s">
        <v>257</v>
      </c>
      <c r="AD26" s="676">
        <v>4548.3333333333403</v>
      </c>
      <c r="AE26" s="676">
        <v>4546.8333333333403</v>
      </c>
      <c r="AF26" s="714">
        <v>4545.3333333333403</v>
      </c>
      <c r="AG26" s="715" t="s">
        <v>257</v>
      </c>
      <c r="AH26" s="676">
        <v>4543.8333333333403</v>
      </c>
      <c r="AI26" s="676">
        <v>4542.3333333333503</v>
      </c>
      <c r="AJ26" s="714">
        <v>4540.8333333333503</v>
      </c>
      <c r="AK26" s="715" t="s">
        <v>257</v>
      </c>
      <c r="AL26" s="676">
        <v>4539.3333333333503</v>
      </c>
      <c r="AP26" s="45" t="s">
        <v>339</v>
      </c>
      <c r="AS26" s="706">
        <v>0.6333333333333333</v>
      </c>
      <c r="AU26" s="45"/>
      <c r="AV26" s="45"/>
      <c r="AW26" s="45"/>
    </row>
    <row r="27" spans="1:49" ht="17.25" customHeight="1">
      <c r="B27" s="268" t="str">
        <f>IFERROR(INDEX($Q$1:$BH$100,ROW(A27),MATCH(Data_Tech!$AU$7,$Q$1:$AN$1,)+COLUMN(A26)-1),"")</f>
        <v>Журавлева Мария Валентиновна</v>
      </c>
      <c r="C27" s="45"/>
      <c r="D27" s="223">
        <f>INDEX($Q$1:$BH$100,ROW(B27),MATCH(Data_Tech!$AU$7,$Q$1:$AN$1,)+COLUMN(B27)-1)</f>
        <v>3</v>
      </c>
      <c r="E27" s="224">
        <f>INDEX($Q$1:$BH$100,ROW(C27),MATCH(Data_Tech!$AU$7,$Q$1:$AN$1,)+COLUMN(C27)-1)</f>
        <v>15608</v>
      </c>
      <c r="H27" s="780">
        <v>6001</v>
      </c>
      <c r="I27" s="781" t="s">
        <v>382</v>
      </c>
      <c r="J27" s="782">
        <f>SUMIFS(Таблица1[сумма],Таблица1[партия],I27,Таблица1[изд],H27)</f>
        <v>0</v>
      </c>
      <c r="K27" s="782">
        <f>SUMIFS(Таблица14[часы],Таблица14[партия],I27,Таблица14[изд],H27)</f>
        <v>0</v>
      </c>
      <c r="L27" s="782">
        <f>SUMIFS(Таблица1[Столбец1],Таблица1[партия],I27,Таблица1[изд],H27)</f>
        <v>0</v>
      </c>
      <c r="M27" s="783">
        <f t="shared" si="10"/>
        <v>0</v>
      </c>
      <c r="N27" s="704">
        <f t="shared" si="8"/>
        <v>358.4</v>
      </c>
      <c r="O27" s="10"/>
      <c r="P27" s="700">
        <v>26</v>
      </c>
      <c r="Q27" s="715" t="s">
        <v>272</v>
      </c>
      <c r="R27" s="676">
        <v>3</v>
      </c>
      <c r="S27" s="676">
        <v>15608</v>
      </c>
      <c r="T27" s="714"/>
      <c r="U27" s="715" t="s">
        <v>292</v>
      </c>
      <c r="V27" s="676">
        <v>5709.3333333333303</v>
      </c>
      <c r="W27" s="676">
        <v>5709.3333333333303</v>
      </c>
      <c r="X27" s="714">
        <v>5709.3333333333303</v>
      </c>
      <c r="Y27" s="715" t="s">
        <v>292</v>
      </c>
      <c r="Z27" s="676">
        <v>5709.3333333333303</v>
      </c>
      <c r="AA27" s="676">
        <v>5709.3333333333303</v>
      </c>
      <c r="AB27" s="714">
        <v>5709.3333333333303</v>
      </c>
      <c r="AC27" s="715" t="s">
        <v>292</v>
      </c>
      <c r="AD27" s="676">
        <v>5709.3333333333303</v>
      </c>
      <c r="AE27" s="676">
        <v>5709.3333333333303</v>
      </c>
      <c r="AF27" s="714">
        <v>5709.3333333333303</v>
      </c>
      <c r="AG27" s="715" t="s">
        <v>292</v>
      </c>
      <c r="AH27" s="676">
        <v>5709.3333333333303</v>
      </c>
      <c r="AI27" s="676">
        <v>5709.3333333333303</v>
      </c>
      <c r="AJ27" s="714">
        <v>5709.3333333333303</v>
      </c>
      <c r="AK27" s="715" t="s">
        <v>292</v>
      </c>
      <c r="AL27" s="676">
        <v>5709.3333333333303</v>
      </c>
      <c r="AP27" s="45" t="s">
        <v>340</v>
      </c>
      <c r="AS27" s="706">
        <v>2.0833333333333301E-2</v>
      </c>
      <c r="AU27" s="45"/>
      <c r="AV27" s="45"/>
      <c r="AW27" s="45"/>
    </row>
    <row r="28" spans="1:49" ht="17.25" customHeight="1">
      <c r="B28" s="268" t="str">
        <f>IFERROR(INDEX($Q$1:$BH$100,ROW(A28),MATCH(Data_Tech!$AU$7,$Q$1:$AN$1,)+COLUMN(A27)-1),"")</f>
        <v>Зинина Екатерина Олеговна</v>
      </c>
      <c r="D28" s="223">
        <f>INDEX($Q$1:$BH$100,ROW(B28),MATCH(Data_Tech!$AU$7,$Q$1:$AN$1,)+COLUMN(B28)-1)</f>
        <v>3</v>
      </c>
      <c r="E28" s="224">
        <f>INDEX($Q$1:$BH$100,ROW(C28),MATCH(Data_Tech!$AU$7,$Q$1:$AN$1,)+COLUMN(C28)-1)</f>
        <v>17129</v>
      </c>
      <c r="H28" s="780">
        <v>6001</v>
      </c>
      <c r="I28" s="781" t="s">
        <v>383</v>
      </c>
      <c r="J28" s="782">
        <f>SUMIFS(Таблица1[сумма],Таблица1[партия],I28,Таблица1[изд],H28)</f>
        <v>0</v>
      </c>
      <c r="K28" s="782">
        <f>SUMIFS(Таблица14[часы],Таблица14[партия],I28,Таблица14[изд],H28)</f>
        <v>0</v>
      </c>
      <c r="L28" s="782">
        <f>SUMIFS(Таблица1[Столбец1],Таблица1[партия],I28,Таблица1[изд],H28)</f>
        <v>0</v>
      </c>
      <c r="M28" s="783">
        <f t="shared" si="10"/>
        <v>0</v>
      </c>
      <c r="N28" s="704">
        <f t="shared" si="8"/>
        <v>358.4</v>
      </c>
      <c r="O28" s="10"/>
      <c r="P28" s="700">
        <v>27</v>
      </c>
      <c r="Q28" s="715" t="s">
        <v>298</v>
      </c>
      <c r="R28" s="676">
        <v>3</v>
      </c>
      <c r="S28" s="676">
        <v>17129</v>
      </c>
      <c r="T28" s="714">
        <v>3</v>
      </c>
      <c r="U28" s="715" t="s">
        <v>284</v>
      </c>
      <c r="V28" s="676">
        <v>5691.3333333333303</v>
      </c>
      <c r="W28" s="676">
        <v>5691.3333333333403</v>
      </c>
      <c r="X28" s="714">
        <v>5691.3333333333403</v>
      </c>
      <c r="Y28" s="715" t="s">
        <v>284</v>
      </c>
      <c r="Z28" s="676">
        <v>5691.3333333333403</v>
      </c>
      <c r="AA28" s="676">
        <v>5691.3333333333403</v>
      </c>
      <c r="AB28" s="714">
        <v>5691.3333333333403</v>
      </c>
      <c r="AC28" s="715" t="s">
        <v>284</v>
      </c>
      <c r="AD28" s="676">
        <v>5691.3333333333403</v>
      </c>
      <c r="AE28" s="676">
        <v>5691.3333333333403</v>
      </c>
      <c r="AF28" s="714">
        <v>5691.3333333333503</v>
      </c>
      <c r="AG28" s="715" t="s">
        <v>284</v>
      </c>
      <c r="AH28" s="676">
        <v>5691.3333333333503</v>
      </c>
      <c r="AI28" s="676">
        <v>5691.3333333333503</v>
      </c>
      <c r="AJ28" s="714">
        <v>5691.3333333333503</v>
      </c>
      <c r="AK28" s="715" t="s">
        <v>284</v>
      </c>
      <c r="AL28" s="676">
        <v>5691.3333333333503</v>
      </c>
      <c r="AP28" s="45"/>
      <c r="AS28" s="45"/>
      <c r="AU28" s="45"/>
      <c r="AV28" s="45"/>
      <c r="AW28" s="45"/>
    </row>
    <row r="29" spans="1:49" ht="17.25" customHeight="1">
      <c r="B29" s="268" t="str">
        <f>IFERROR(INDEX($Q$1:$BH$100,ROW(A29),MATCH(Data_Tech!$AU$7,$Q$1:$AN$1,)+COLUMN(A28)-1),"")</f>
        <v>Зоидзе Ирина Сергеевна</v>
      </c>
      <c r="D29" s="223">
        <f>INDEX($Q$1:$BH$100,ROW(B29),MATCH(Data_Tech!$AU$7,$Q$1:$AN$1,)+COLUMN(B29)-1)</f>
        <v>4</v>
      </c>
      <c r="E29" s="224">
        <f>INDEX($Q$1:$BH$100,ROW(C29),MATCH(Data_Tech!$AU$7,$Q$1:$AN$1,)+COLUMN(C29)-1)</f>
        <v>13676</v>
      </c>
      <c r="H29" s="780">
        <v>6001</v>
      </c>
      <c r="I29" s="781" t="s">
        <v>384</v>
      </c>
      <c r="J29" s="782">
        <f>SUMIFS(Таблица1[сумма],Таблица1[партия],I29,Таблица1[изд],H29)</f>
        <v>0</v>
      </c>
      <c r="K29" s="782">
        <f>SUMIFS(Таблица14[часы],Таблица14[партия],I29,Таблица14[изд],H29)</f>
        <v>0</v>
      </c>
      <c r="L29" s="782">
        <f>SUMIFS(Таблица1[Столбец1],Таблица1[партия],I29,Таблица1[изд],H29)</f>
        <v>0</v>
      </c>
      <c r="M29" s="783">
        <f t="shared" si="10"/>
        <v>0</v>
      </c>
      <c r="N29" s="704">
        <f t="shared" si="8"/>
        <v>358.4</v>
      </c>
      <c r="O29" s="10"/>
      <c r="P29" s="700">
        <v>28</v>
      </c>
      <c r="Q29" s="715" t="s">
        <v>257</v>
      </c>
      <c r="R29" s="676">
        <v>4</v>
      </c>
      <c r="S29" s="676">
        <v>13676</v>
      </c>
      <c r="T29" s="714">
        <v>3</v>
      </c>
      <c r="U29" s="715" t="s">
        <v>300</v>
      </c>
      <c r="V29" s="676">
        <v>29153</v>
      </c>
      <c r="W29" s="676">
        <v>43728</v>
      </c>
      <c r="X29" s="714"/>
      <c r="Y29" s="715" t="s">
        <v>300</v>
      </c>
      <c r="Z29" s="676">
        <v>58303</v>
      </c>
      <c r="AA29" s="676">
        <v>72878</v>
      </c>
      <c r="AB29" s="714"/>
      <c r="AC29" s="715" t="s">
        <v>300</v>
      </c>
      <c r="AD29" s="676">
        <v>87453</v>
      </c>
      <c r="AE29" s="676">
        <v>102028</v>
      </c>
      <c r="AF29" s="714"/>
      <c r="AG29" s="715" t="s">
        <v>300</v>
      </c>
      <c r="AH29" s="676">
        <v>116603</v>
      </c>
      <c r="AI29" s="676">
        <v>131178</v>
      </c>
      <c r="AJ29" s="714"/>
      <c r="AK29" s="715" t="s">
        <v>300</v>
      </c>
      <c r="AL29" s="676">
        <v>145753</v>
      </c>
      <c r="AP29" s="45"/>
      <c r="AS29" s="45"/>
      <c r="AU29" s="45"/>
      <c r="AV29" s="45"/>
      <c r="AW29" s="45"/>
    </row>
    <row r="30" spans="1:49" ht="17.25" customHeight="1">
      <c r="B30" s="268" t="str">
        <f>IFERROR(INDEX($Q$1:$BH$100,ROW(A30),MATCH(Data_Tech!$AU$7,$Q$1:$AN$1,)+COLUMN(A29)-1),"")</f>
        <v>Иванова Екатерина Борисовна</v>
      </c>
      <c r="D30" s="223">
        <f>INDEX($Q$1:$BH$100,ROW(B30),MATCH(Data_Tech!$AU$7,$Q$1:$AN$1,)+COLUMN(B30)-1)</f>
        <v>3</v>
      </c>
      <c r="E30" s="224">
        <f>INDEX($Q$1:$BH$100,ROW(C30),MATCH(Data_Tech!$AU$7,$Q$1:$AN$1,)+COLUMN(C30)-1)</f>
        <v>17122</v>
      </c>
      <c r="H30" s="702"/>
      <c r="I30" s="702"/>
      <c r="J30" s="10"/>
      <c r="K30" s="10"/>
      <c r="L30" s="10"/>
      <c r="M30" s="703"/>
      <c r="N30" s="704"/>
      <c r="O30" s="10"/>
      <c r="P30" s="700">
        <v>29</v>
      </c>
      <c r="Q30" s="715" t="s">
        <v>292</v>
      </c>
      <c r="R30" s="676">
        <v>3</v>
      </c>
      <c r="S30" s="676">
        <v>17122</v>
      </c>
      <c r="T30" s="714">
        <v>3</v>
      </c>
      <c r="U30" s="715" t="s">
        <v>277</v>
      </c>
      <c r="V30" s="676">
        <v>33595</v>
      </c>
      <c r="W30" s="676">
        <v>50391</v>
      </c>
      <c r="X30" s="714"/>
      <c r="Y30" s="715" t="s">
        <v>277</v>
      </c>
      <c r="Z30" s="676">
        <v>67187</v>
      </c>
      <c r="AA30" s="676">
        <v>83983</v>
      </c>
      <c r="AB30" s="714"/>
      <c r="AC30" s="715" t="s">
        <v>277</v>
      </c>
      <c r="AD30" s="676">
        <v>100779</v>
      </c>
      <c r="AE30" s="676">
        <v>117575</v>
      </c>
      <c r="AF30" s="714"/>
      <c r="AG30" s="715" t="s">
        <v>277</v>
      </c>
      <c r="AH30" s="676">
        <v>134371</v>
      </c>
      <c r="AI30" s="676">
        <v>151167</v>
      </c>
      <c r="AJ30" s="714"/>
      <c r="AK30" s="715" t="s">
        <v>277</v>
      </c>
      <c r="AL30" s="676">
        <v>167963</v>
      </c>
      <c r="AP30" s="45" t="s">
        <v>341</v>
      </c>
      <c r="AS30" s="110">
        <f>(AS26-AS25-AS27)*24</f>
        <v>4.1999999999999993</v>
      </c>
      <c r="AU30" s="45"/>
      <c r="AV30" s="45"/>
      <c r="AW30" s="45"/>
    </row>
    <row r="31" spans="1:49" ht="17.25" customHeight="1">
      <c r="B31" s="268" t="str">
        <f>IFERROR(INDEX($Q$1:$BH$100,ROW(A31),MATCH(Data_Tech!$AU$7,$Q$1:$AN$1,)+COLUMN(A30)-1),"")</f>
        <v>Иванова Оксана Михайловна</v>
      </c>
      <c r="D31" s="223">
        <f>INDEX($Q$1:$BH$100,ROW(B31),MATCH(Data_Tech!$AU$7,$Q$1:$AN$1,)+COLUMN(B31)-1)</f>
        <v>3</v>
      </c>
      <c r="E31" s="224">
        <f>INDEX($Q$1:$BH$100,ROW(C31),MATCH(Data_Tech!$AU$7,$Q$1:$AN$1,)+COLUMN(C31)-1)</f>
        <v>17068</v>
      </c>
      <c r="H31" s="702"/>
      <c r="I31" s="702"/>
      <c r="J31" s="10"/>
      <c r="K31" s="10"/>
      <c r="L31" s="10"/>
      <c r="M31" s="703"/>
      <c r="N31" s="704"/>
      <c r="O31" s="10"/>
      <c r="P31" s="700">
        <v>30</v>
      </c>
      <c r="Q31" s="715" t="s">
        <v>284</v>
      </c>
      <c r="R31" s="676">
        <v>3</v>
      </c>
      <c r="S31" s="676">
        <v>17068</v>
      </c>
      <c r="T31" s="714"/>
      <c r="U31" s="715" t="s">
        <v>324</v>
      </c>
      <c r="V31" s="676">
        <v>5756</v>
      </c>
      <c r="W31" s="676">
        <v>5755</v>
      </c>
      <c r="X31" s="714">
        <v>5754</v>
      </c>
      <c r="Y31" s="715" t="s">
        <v>324</v>
      </c>
      <c r="Z31" s="676">
        <v>5753.00000000001</v>
      </c>
      <c r="AA31" s="676">
        <v>5752.00000000001</v>
      </c>
      <c r="AB31" s="714">
        <v>5751.00000000001</v>
      </c>
      <c r="AC31" s="715" t="s">
        <v>324</v>
      </c>
      <c r="AD31" s="676">
        <v>5750.00000000001</v>
      </c>
      <c r="AE31" s="676">
        <v>5749.00000000001</v>
      </c>
      <c r="AF31" s="714">
        <v>5748.00000000001</v>
      </c>
      <c r="AG31" s="715" t="s">
        <v>324</v>
      </c>
      <c r="AH31" s="676">
        <v>5747.00000000001</v>
      </c>
      <c r="AI31" s="676">
        <v>5746.00000000001</v>
      </c>
      <c r="AJ31" s="714">
        <v>5745.00000000001</v>
      </c>
      <c r="AK31" s="715" t="s">
        <v>324</v>
      </c>
      <c r="AL31" s="676">
        <v>5744.00000000002</v>
      </c>
      <c r="AP31" s="45" t="s">
        <v>342</v>
      </c>
      <c r="AS31" s="110">
        <f>(AS26-AS25)*24</f>
        <v>4.6999999999999993</v>
      </c>
      <c r="AU31" s="45"/>
      <c r="AV31" s="45"/>
      <c r="AW31" s="45"/>
    </row>
    <row r="32" spans="1:49" ht="17.25" customHeight="1">
      <c r="B32" s="268" t="str">
        <f>IFERROR(INDEX($Q$1:$BH$100,ROW(A32),MATCH(Data_Tech!$AU$7,$Q$1:$AN$1,)+COLUMN(A31)-1),"")</f>
        <v>Иванченко Ульяна Леонидовна</v>
      </c>
      <c r="D32" s="223">
        <f>INDEX($Q$1:$BH$100,ROW(B32),MATCH(Data_Tech!$AU$7,$Q$1:$AN$1,)+COLUMN(B32)-1)</f>
        <v>3</v>
      </c>
      <c r="E32" s="224">
        <f>INDEX($Q$1:$BH$100,ROW(C32),MATCH(Data_Tech!$AU$7,$Q$1:$AN$1,)+COLUMN(C32)-1)</f>
        <v>16799</v>
      </c>
      <c r="H32" s="702"/>
      <c r="I32" s="702"/>
      <c r="J32" s="10"/>
      <c r="K32" s="10"/>
      <c r="L32" s="10"/>
      <c r="M32" s="703"/>
      <c r="N32" s="704"/>
      <c r="O32" s="10"/>
      <c r="P32" s="700">
        <v>31</v>
      </c>
      <c r="Q32" s="715" t="s">
        <v>277</v>
      </c>
      <c r="R32" s="676">
        <v>3</v>
      </c>
      <c r="S32" s="676">
        <v>16799</v>
      </c>
      <c r="T32" s="714"/>
      <c r="U32" s="715" t="s">
        <v>278</v>
      </c>
      <c r="V32" s="676">
        <v>33835</v>
      </c>
      <c r="W32" s="676">
        <v>50751</v>
      </c>
      <c r="X32" s="714"/>
      <c r="Y32" s="715" t="s">
        <v>278</v>
      </c>
      <c r="Z32" s="676">
        <v>67667</v>
      </c>
      <c r="AA32" s="676">
        <v>84583</v>
      </c>
      <c r="AB32" s="714"/>
      <c r="AC32" s="715" t="s">
        <v>278</v>
      </c>
      <c r="AD32" s="676">
        <v>101499</v>
      </c>
      <c r="AE32" s="676">
        <v>118415</v>
      </c>
      <c r="AF32" s="714"/>
      <c r="AG32" s="715" t="s">
        <v>278</v>
      </c>
      <c r="AH32" s="676">
        <v>135331</v>
      </c>
      <c r="AI32" s="676">
        <v>152247</v>
      </c>
      <c r="AJ32" s="714"/>
      <c r="AK32" s="715" t="s">
        <v>278</v>
      </c>
      <c r="AL32" s="676">
        <v>169163</v>
      </c>
      <c r="AP32" s="45"/>
      <c r="AQ32" s="45"/>
      <c r="AU32" s="45"/>
      <c r="AV32" s="45"/>
      <c r="AW32" s="45"/>
    </row>
    <row r="33" spans="2:49" ht="17.25" customHeight="1">
      <c r="B33" s="268" t="str">
        <f>IFERROR(INDEX($Q$1:$BH$100,ROW(A33),MATCH(Data_Tech!$AU$7,$Q$1:$AN$1,)+COLUMN(A32)-1),"")</f>
        <v>Исаева Инна Игоревна</v>
      </c>
      <c r="D33" s="223">
        <f>INDEX($Q$1:$BH$100,ROW(B33),MATCH(Data_Tech!$AU$7,$Q$1:$AN$1,)+COLUMN(B33)-1)</f>
        <v>3</v>
      </c>
      <c r="E33" s="224">
        <f>INDEX($Q$1:$BH$100,ROW(C33),MATCH(Data_Tech!$AU$7,$Q$1:$AN$1,)+COLUMN(C33)-1)</f>
        <v>17305</v>
      </c>
      <c r="H33" s="702" t="s">
        <v>355</v>
      </c>
      <c r="I33" s="702"/>
      <c r="J33" s="10">
        <f>SUMIFS(Таблица1[сумма],Таблица1[партия],I33,Таблица1[изд],H33)</f>
        <v>0</v>
      </c>
      <c r="K33" s="10">
        <f>SUMIFS(Таблица14[часы],Таблица14[партия],I33,Таблица14[изд],H33)</f>
        <v>0</v>
      </c>
      <c r="L33" s="10">
        <f>SUMIFS(Таблица1[Столбец1],Таблица1[партия],I33,Таблица1[изд],H33)</f>
        <v>0</v>
      </c>
      <c r="M33" s="703">
        <f t="shared" ref="M33:M35" si="11">J33+K33+L33</f>
        <v>0</v>
      </c>
      <c r="N33" s="704">
        <f>$AS$18-M33-O33</f>
        <v>358.4</v>
      </c>
      <c r="O33" s="10"/>
      <c r="P33" s="700">
        <v>32</v>
      </c>
      <c r="Q33" s="677" t="s">
        <v>354</v>
      </c>
      <c r="R33" s="676">
        <v>3</v>
      </c>
      <c r="S33" s="676">
        <v>17305</v>
      </c>
      <c r="T33" s="714">
        <v>2</v>
      </c>
      <c r="U33" s="715" t="s">
        <v>325</v>
      </c>
      <c r="V33" s="717">
        <v>5762.6666666666697</v>
      </c>
      <c r="W33" s="717">
        <v>5762.6666666666697</v>
      </c>
      <c r="X33" s="714">
        <v>5762.6666666666697</v>
      </c>
      <c r="Y33" s="715" t="s">
        <v>325</v>
      </c>
      <c r="Z33" s="717">
        <v>5762.6666666666697</v>
      </c>
      <c r="AA33" s="717">
        <v>5762.6666666666697</v>
      </c>
      <c r="AB33" s="714">
        <v>5762.6666666666697</v>
      </c>
      <c r="AC33" s="715" t="s">
        <v>325</v>
      </c>
      <c r="AD33" s="717">
        <v>5762.6666666666697</v>
      </c>
      <c r="AE33" s="717">
        <v>5762.6666666666697</v>
      </c>
      <c r="AF33" s="714">
        <v>5762.6666666666697</v>
      </c>
      <c r="AG33" s="715" t="s">
        <v>325</v>
      </c>
      <c r="AH33" s="717">
        <v>5762.6666666666697</v>
      </c>
      <c r="AI33" s="717">
        <v>5762.6666666666697</v>
      </c>
      <c r="AJ33" s="714">
        <v>5762.6666666666697</v>
      </c>
      <c r="AK33" s="715" t="s">
        <v>325</v>
      </c>
      <c r="AL33" s="717">
        <v>5762.6666666666697</v>
      </c>
      <c r="AP33" s="45"/>
      <c r="AQ33" s="45"/>
      <c r="AU33" s="45"/>
      <c r="AV33" s="45"/>
      <c r="AW33" s="45"/>
    </row>
    <row r="34" spans="2:49" ht="17.25" customHeight="1">
      <c r="B34" s="268" t="str">
        <f>IFERROR(INDEX($Q$1:$BH$100,ROW(A34),MATCH(Data_Tech!$AU$7,$Q$1:$AN$1,)+COLUMN(A33)-1),"")</f>
        <v>Кабакова Алина Дмитриевна</v>
      </c>
      <c r="D34" s="223">
        <f>INDEX($Q$1:$BH$100,ROW(B34),MATCH(Data_Tech!$AU$7,$Q$1:$AN$1,)+COLUMN(B34)-1)</f>
        <v>3</v>
      </c>
      <c r="E34" s="224">
        <f>INDEX($Q$1:$BH$100,ROW(C34),MATCH(Data_Tech!$AU$7,$Q$1:$AN$1,)+COLUMN(C34)-1)</f>
        <v>17270</v>
      </c>
      <c r="H34" s="702" t="s">
        <v>355</v>
      </c>
      <c r="I34" s="702"/>
      <c r="J34" s="10">
        <f>SUMIFS(Таблица1[сумма],Таблица1[партия],I34,Таблица1[изд],H34)</f>
        <v>0</v>
      </c>
      <c r="K34" s="10">
        <f>SUMIFS(Таблица14[часы],Таблица14[партия],I34,Таблица14[изд],H34)</f>
        <v>0</v>
      </c>
      <c r="L34" s="10">
        <f>SUMIFS(Таблица1[Столбец1],Таблица1[партия],I34,Таблица1[изд],H34)</f>
        <v>0</v>
      </c>
      <c r="M34" s="703">
        <f t="shared" si="11"/>
        <v>0</v>
      </c>
      <c r="N34" s="704">
        <f>$AS$18-M34-O34</f>
        <v>358.4</v>
      </c>
      <c r="O34" s="10"/>
      <c r="P34" s="700">
        <v>33</v>
      </c>
      <c r="Q34" s="715" t="s">
        <v>324</v>
      </c>
      <c r="R34" s="676">
        <v>3</v>
      </c>
      <c r="S34" s="676">
        <v>17270</v>
      </c>
      <c r="T34" s="714">
        <v>1</v>
      </c>
      <c r="U34" s="715" t="s">
        <v>296</v>
      </c>
      <c r="V34" s="676">
        <v>31147</v>
      </c>
      <c r="W34" s="676">
        <v>46719</v>
      </c>
      <c r="X34" s="714"/>
      <c r="Y34" s="715" t="s">
        <v>296</v>
      </c>
      <c r="Z34" s="676">
        <v>62291</v>
      </c>
      <c r="AA34" s="676">
        <v>77863</v>
      </c>
      <c r="AB34" s="714"/>
      <c r="AC34" s="715" t="s">
        <v>296</v>
      </c>
      <c r="AD34" s="676">
        <v>93435</v>
      </c>
      <c r="AE34" s="676">
        <v>109007</v>
      </c>
      <c r="AF34" s="714"/>
      <c r="AG34" s="715" t="s">
        <v>296</v>
      </c>
      <c r="AH34" s="676">
        <v>124579</v>
      </c>
      <c r="AI34" s="676">
        <v>140151</v>
      </c>
      <c r="AJ34" s="714"/>
      <c r="AK34" s="715" t="s">
        <v>296</v>
      </c>
      <c r="AL34" s="676">
        <v>155723</v>
      </c>
      <c r="AU34" s="45"/>
      <c r="AV34" s="45" t="s">
        <v>343</v>
      </c>
      <c r="AW34" s="45"/>
    </row>
    <row r="35" spans="2:49" ht="17.25" customHeight="1">
      <c r="B35" s="268" t="str">
        <f>IFERROR(INDEX($Q$1:$BH$100,ROW(A35),MATCH(Data_Tech!$AU$7,$Q$1:$AN$1,)+COLUMN(A34)-1),"")</f>
        <v>Кабанова Анастасия Евгеньевна</v>
      </c>
      <c r="D35" s="223">
        <f>INDEX($Q$1:$BH$100,ROW(B35),MATCH(Data_Tech!$AU$7,$Q$1:$AN$1,)+COLUMN(B35)-1)</f>
        <v>3</v>
      </c>
      <c r="E35" s="224">
        <f>INDEX($Q$1:$BH$100,ROW(C35),MATCH(Data_Tech!$AU$7,$Q$1:$AN$1,)+COLUMN(C35)-1)</f>
        <v>16919</v>
      </c>
      <c r="H35" s="702" t="s">
        <v>355</v>
      </c>
      <c r="I35" s="10"/>
      <c r="J35" s="10">
        <f>SUMIFS(Таблица1[сумма],Таблица1[партия],I35,Таблица1[изд],H35)</f>
        <v>0</v>
      </c>
      <c r="K35" s="10">
        <f>SUMIFS(Таблица14[часы],Таблица14[партия],I35,Таблица14[изд],H35)</f>
        <v>0</v>
      </c>
      <c r="L35" s="10">
        <f>SUMIFS(Таблица1[Столбец1],Таблица1[партия],I35,Таблица1[изд],H35)</f>
        <v>0</v>
      </c>
      <c r="M35" s="703">
        <f t="shared" si="11"/>
        <v>0</v>
      </c>
      <c r="N35" s="704">
        <f>$AS$18-M35-O35</f>
        <v>358.4</v>
      </c>
      <c r="O35" s="10"/>
      <c r="P35" s="700">
        <v>34</v>
      </c>
      <c r="Q35" s="715" t="s">
        <v>278</v>
      </c>
      <c r="R35" s="676">
        <v>3</v>
      </c>
      <c r="S35" s="676">
        <v>16919</v>
      </c>
      <c r="T35" s="714"/>
      <c r="U35" s="715" t="s">
        <v>310</v>
      </c>
      <c r="V35" s="676">
        <v>5730</v>
      </c>
      <c r="W35" s="676">
        <v>5729.5</v>
      </c>
      <c r="X35" s="714">
        <v>5729</v>
      </c>
      <c r="Y35" s="715" t="s">
        <v>310</v>
      </c>
      <c r="Z35" s="676">
        <v>5728.50000000001</v>
      </c>
      <c r="AA35" s="676">
        <v>5728.00000000001</v>
      </c>
      <c r="AB35" s="714">
        <v>5727.50000000001</v>
      </c>
      <c r="AC35" s="715" t="s">
        <v>310</v>
      </c>
      <c r="AD35" s="676">
        <v>5727.00000000001</v>
      </c>
      <c r="AE35" s="676">
        <v>5726.50000000001</v>
      </c>
      <c r="AF35" s="714">
        <v>5726.00000000001</v>
      </c>
      <c r="AG35" s="715" t="s">
        <v>310</v>
      </c>
      <c r="AH35" s="676">
        <v>5725.50000000001</v>
      </c>
      <c r="AI35" s="676">
        <v>5725.00000000001</v>
      </c>
      <c r="AJ35" s="714">
        <v>5724.50000000002</v>
      </c>
      <c r="AK35" s="715" t="s">
        <v>310</v>
      </c>
      <c r="AL35" s="676">
        <v>5724.00000000002</v>
      </c>
      <c r="AT35" s="45"/>
      <c r="AU35" s="45"/>
      <c r="AV35" s="583"/>
      <c r="AW35" s="583"/>
    </row>
    <row r="36" spans="2:49" ht="17.25" customHeight="1">
      <c r="B36" s="268" t="str">
        <f>IFERROR(INDEX($Q$1:$BH$100,ROW(A36),MATCH(Data_Tech!$AU$7,$Q$1:$AN$1,)+COLUMN(A35)-1),"")</f>
        <v>Кириллова Надежда Вячеславовна</v>
      </c>
      <c r="D36" s="223">
        <f>INDEX($Q$1:$BH$100,ROW(B36),MATCH(Data_Tech!$AU$7,$Q$1:$AN$1,)+COLUMN(B36)-1)</f>
        <v>3</v>
      </c>
      <c r="E36" s="224">
        <f>INDEX($Q$1:$BH$100,ROW(C36),MATCH(Data_Tech!$AU$7,$Q$1:$AN$1,)+COLUMN(C36)-1)</f>
        <v>17282</v>
      </c>
      <c r="H36" s="702"/>
      <c r="I36" s="702"/>
      <c r="J36" s="10"/>
      <c r="K36" s="10"/>
      <c r="L36" s="10"/>
      <c r="M36" s="703"/>
      <c r="N36" s="704"/>
      <c r="O36" s="10"/>
      <c r="P36" s="700">
        <v>35</v>
      </c>
      <c r="Q36" s="715" t="s">
        <v>325</v>
      </c>
      <c r="R36" s="717">
        <v>3</v>
      </c>
      <c r="S36" s="717">
        <v>17282</v>
      </c>
      <c r="T36" s="714">
        <v>3</v>
      </c>
      <c r="U36" s="715" t="s">
        <v>326</v>
      </c>
      <c r="V36" s="676">
        <v>31773</v>
      </c>
      <c r="W36" s="676">
        <v>47658</v>
      </c>
      <c r="X36" s="714"/>
      <c r="Y36" s="715" t="s">
        <v>326</v>
      </c>
      <c r="Z36" s="676">
        <v>63543</v>
      </c>
      <c r="AA36" s="676">
        <v>79428</v>
      </c>
      <c r="AB36" s="714"/>
      <c r="AC36" s="715" t="s">
        <v>326</v>
      </c>
      <c r="AD36" s="676">
        <v>95313</v>
      </c>
      <c r="AE36" s="676">
        <v>111198</v>
      </c>
      <c r="AF36" s="714"/>
      <c r="AG36" s="715" t="s">
        <v>326</v>
      </c>
      <c r="AH36" s="676">
        <v>127083</v>
      </c>
      <c r="AI36" s="676">
        <v>142968</v>
      </c>
      <c r="AJ36" s="714"/>
      <c r="AK36" s="715" t="s">
        <v>326</v>
      </c>
      <c r="AL36" s="676">
        <v>158853</v>
      </c>
      <c r="AT36" s="45" t="s">
        <v>338</v>
      </c>
      <c r="AU36" s="583"/>
      <c r="AV36" s="583"/>
      <c r="AW36" s="705">
        <v>0.6333333333333333</v>
      </c>
    </row>
    <row r="37" spans="2:49" ht="17.25" customHeight="1">
      <c r="B37" s="268" t="str">
        <f>IFERROR(INDEX($Q$1:$BH$100,ROW(A37),MATCH(Data_Tech!$AU$7,$Q$1:$AN$1,)+COLUMN(A36)-1),"")</f>
        <v>Киселёва Надежда Игоревна</v>
      </c>
      <c r="D37" s="223">
        <f>INDEX($Q$1:$BH$100,ROW(B37),MATCH(Data_Tech!$AU$7,$Q$1:$AN$1,)+COLUMN(B37)-1)</f>
        <v>3</v>
      </c>
      <c r="E37" s="224">
        <f>INDEX($Q$1:$BH$100,ROW(C37),MATCH(Data_Tech!$AU$7,$Q$1:$AN$1,)+COLUMN(C37)-1)</f>
        <v>15575</v>
      </c>
      <c r="H37" s="702" t="s">
        <v>351</v>
      </c>
      <c r="I37" s="702"/>
      <c r="J37" s="10">
        <f>SUMIFS(Таблица1[сумма],Таблица1[партия],I37,Таблица1[изд],H37)</f>
        <v>0</v>
      </c>
      <c r="K37" s="10">
        <f>SUMIFS(Таблица14[часы],Таблица14[партия],I37,Таблица14[изд],H37)</f>
        <v>0</v>
      </c>
      <c r="L37" s="10">
        <f>SUMIFS(Таблица1[Столбец1],Таблица1[партия],I37,Таблица1[изд],H37)</f>
        <v>0</v>
      </c>
      <c r="M37" s="703">
        <f t="shared" ref="M37" si="12">J37+K37+L37</f>
        <v>0</v>
      </c>
      <c r="N37" s="704">
        <f>$AS$16-M37-O37</f>
        <v>540.20000000000005</v>
      </c>
      <c r="O37" s="10"/>
      <c r="P37" s="700">
        <v>36</v>
      </c>
      <c r="Q37" s="715" t="s">
        <v>296</v>
      </c>
      <c r="R37" s="676">
        <v>3</v>
      </c>
      <c r="S37" s="676">
        <v>15575</v>
      </c>
      <c r="T37" s="714"/>
      <c r="U37" s="715" t="s">
        <v>301</v>
      </c>
      <c r="V37" s="676">
        <v>33324</v>
      </c>
      <c r="W37" s="676">
        <v>49984</v>
      </c>
      <c r="X37" s="714"/>
      <c r="Y37" s="715" t="s">
        <v>301</v>
      </c>
      <c r="Z37" s="676">
        <v>66644</v>
      </c>
      <c r="AA37" s="676">
        <v>83304</v>
      </c>
      <c r="AB37" s="714"/>
      <c r="AC37" s="715" t="s">
        <v>301</v>
      </c>
      <c r="AD37" s="676">
        <v>99964</v>
      </c>
      <c r="AE37" s="676">
        <v>116624</v>
      </c>
      <c r="AF37" s="714"/>
      <c r="AG37" s="715" t="s">
        <v>301</v>
      </c>
      <c r="AH37" s="676">
        <v>133284</v>
      </c>
      <c r="AI37" s="676">
        <v>149944</v>
      </c>
      <c r="AJ37" s="714"/>
      <c r="AK37" s="715" t="s">
        <v>301</v>
      </c>
      <c r="AL37" s="676">
        <v>166604</v>
      </c>
      <c r="AT37" s="45" t="s">
        <v>339</v>
      </c>
      <c r="AU37" s="583"/>
      <c r="AV37" s="583"/>
      <c r="AW37" s="706">
        <v>0.79999999999999993</v>
      </c>
    </row>
    <row r="38" spans="2:49" ht="17.25" customHeight="1">
      <c r="B38" s="268" t="str">
        <f>IFERROR(INDEX($Q$1:$BH$100,ROW(A38),MATCH(Data_Tech!$AU$7,$Q$1:$AN$1,)+COLUMN(A37)-1),"")</f>
        <v>Климонтович Янина Анатольевна</v>
      </c>
      <c r="D38" s="223">
        <f>INDEX($Q$1:$BH$100,ROW(B38),MATCH(Data_Tech!$AU$7,$Q$1:$AN$1,)+COLUMN(B38)-1)</f>
        <v>3</v>
      </c>
      <c r="E38" s="224">
        <f>INDEX($Q$1:$BH$100,ROW(C38),MATCH(Data_Tech!$AU$7,$Q$1:$AN$1,)+COLUMN(C38)-1)</f>
        <v>17188</v>
      </c>
      <c r="H38" s="702"/>
      <c r="I38" s="702"/>
      <c r="J38" s="10"/>
      <c r="K38" s="10"/>
      <c r="L38" s="10"/>
      <c r="M38" s="703"/>
      <c r="N38" s="704"/>
      <c r="O38" s="10"/>
      <c r="P38" s="700">
        <v>37</v>
      </c>
      <c r="Q38" s="715" t="s">
        <v>310</v>
      </c>
      <c r="R38" s="676">
        <v>3</v>
      </c>
      <c r="S38" s="676">
        <v>17188</v>
      </c>
      <c r="T38" s="714"/>
      <c r="U38" s="715" t="s">
        <v>327</v>
      </c>
      <c r="V38" s="676">
        <v>5756.3333333333403</v>
      </c>
      <c r="W38" s="676">
        <v>5755.3333333333403</v>
      </c>
      <c r="X38" s="714">
        <v>5754.3333333333403</v>
      </c>
      <c r="Y38" s="715" t="s">
        <v>327</v>
      </c>
      <c r="Z38" s="676">
        <v>5753.3333333333403</v>
      </c>
      <c r="AA38" s="676">
        <v>5752.3333333333403</v>
      </c>
      <c r="AB38" s="714">
        <v>5751.3333333333403</v>
      </c>
      <c r="AC38" s="715" t="s">
        <v>327</v>
      </c>
      <c r="AD38" s="676">
        <v>5750.3333333333403</v>
      </c>
      <c r="AE38" s="676">
        <v>5749.3333333333403</v>
      </c>
      <c r="AF38" s="714">
        <v>5748.3333333333403</v>
      </c>
      <c r="AG38" s="715" t="s">
        <v>327</v>
      </c>
      <c r="AH38" s="676">
        <v>5747.3333333333503</v>
      </c>
      <c r="AI38" s="676">
        <v>5746.3333333333503</v>
      </c>
      <c r="AJ38" s="714">
        <v>5745.3333333333503</v>
      </c>
      <c r="AK38" s="715" t="s">
        <v>327</v>
      </c>
      <c r="AL38" s="676">
        <v>5744.3333333333503</v>
      </c>
      <c r="AT38" s="45" t="s">
        <v>340</v>
      </c>
      <c r="AU38" s="583"/>
      <c r="AV38" s="583"/>
      <c r="AW38" s="706">
        <v>2.0833333333333301E-2</v>
      </c>
    </row>
    <row r="39" spans="2:49" ht="17.25" customHeight="1">
      <c r="B39" s="268" t="str">
        <f>IFERROR(INDEX($Q$1:$BH$100,ROW(A39),MATCH(Data_Tech!$AU$7,$Q$1:$AN$1,)+COLUMN(A38)-1),"")</f>
        <v>Коричева Юлия Владимировна</v>
      </c>
      <c r="D39" s="223">
        <f>INDEX($Q$1:$BH$100,ROW(B39),MATCH(Data_Tech!$AU$7,$Q$1:$AN$1,)+COLUMN(B39)-1)</f>
        <v>3</v>
      </c>
      <c r="E39" s="224">
        <f>INDEX($Q$1:$BH$100,ROW(C39),MATCH(Data_Tech!$AU$7,$Q$1:$AN$1,)+COLUMN(C39)-1)</f>
        <v>15888</v>
      </c>
      <c r="H39" s="702">
        <v>6000</v>
      </c>
      <c r="I39" s="779">
        <v>45536</v>
      </c>
      <c r="J39" s="10">
        <f>SUMIFS(Таблица1[сумма],Таблица1[партия],I39,Таблица1[изд],H39)</f>
        <v>0</v>
      </c>
      <c r="K39" s="10">
        <f>SUMIFS(Таблица14[часы],Таблица14[партия],I39,Таблица14[изд],H39)</f>
        <v>0</v>
      </c>
      <c r="L39" s="10">
        <f>SUMIFS(Таблица1[Столбец1],Таблица1[партия],I39,Таблица1[изд],H39)</f>
        <v>0</v>
      </c>
      <c r="M39" s="703">
        <f t="shared" ref="M39" si="13">J39+K39+L39</f>
        <v>0</v>
      </c>
      <c r="N39" s="704">
        <f>$AS$16-M39-O39</f>
        <v>540.20000000000005</v>
      </c>
      <c r="O39" s="10"/>
      <c r="P39" s="700">
        <v>38</v>
      </c>
      <c r="Q39" s="715" t="s">
        <v>326</v>
      </c>
      <c r="R39" s="676">
        <v>3</v>
      </c>
      <c r="S39" s="676">
        <v>15888</v>
      </c>
      <c r="T39" s="714"/>
      <c r="U39" s="715" t="s">
        <v>279</v>
      </c>
      <c r="V39" s="676">
        <v>5650</v>
      </c>
      <c r="W39" s="676">
        <v>5650</v>
      </c>
      <c r="X39" s="714">
        <v>5650</v>
      </c>
      <c r="Y39" s="715" t="s">
        <v>279</v>
      </c>
      <c r="Z39" s="676">
        <v>5650.00000000001</v>
      </c>
      <c r="AA39" s="676">
        <v>5650.00000000001</v>
      </c>
      <c r="AB39" s="714">
        <v>5650.00000000001</v>
      </c>
      <c r="AC39" s="715" t="s">
        <v>279</v>
      </c>
      <c r="AD39" s="676">
        <v>5650.00000000001</v>
      </c>
      <c r="AE39" s="676">
        <v>5650.00000000001</v>
      </c>
      <c r="AF39" s="714">
        <v>5650.00000000001</v>
      </c>
      <c r="AG39" s="715" t="s">
        <v>279</v>
      </c>
      <c r="AH39" s="676">
        <v>5650.00000000001</v>
      </c>
      <c r="AI39" s="676">
        <v>5650.00000000001</v>
      </c>
      <c r="AJ39" s="714">
        <v>5650.00000000002</v>
      </c>
      <c r="AK39" s="715" t="s">
        <v>279</v>
      </c>
      <c r="AL39" s="676">
        <v>5650.00000000002</v>
      </c>
      <c r="AT39" s="45"/>
      <c r="AU39" s="583"/>
      <c r="AV39" s="583"/>
      <c r="AW39" s="45"/>
    </row>
    <row r="40" spans="2:49" ht="17.25" customHeight="1">
      <c r="B40" s="268" t="str">
        <f>IFERROR(INDEX($Q$1:$BH$100,ROW(A40),MATCH(Data_Tech!$AU$7,$Q$1:$AN$1,)+COLUMN(A39)-1),"")</f>
        <v>Кочеткова Мария Андреевна</v>
      </c>
      <c r="D40" s="223">
        <f>INDEX($Q$1:$BH$100,ROW(B40),MATCH(Data_Tech!$AU$7,$Q$1:$AN$1,)+COLUMN(B40)-1)</f>
        <v>3</v>
      </c>
      <c r="E40" s="224">
        <f>INDEX($Q$1:$BH$100,ROW(C40),MATCH(Data_Tech!$AU$7,$Q$1:$AN$1,)+COLUMN(C40)-1)</f>
        <v>17271</v>
      </c>
      <c r="H40" s="702"/>
      <c r="I40" s="10"/>
      <c r="J40" s="10">
        <f>SUMIFS(Таблица1[сумма],Таблица1[партия],I40,Таблица1[изд],H40)</f>
        <v>0</v>
      </c>
      <c r="K40" s="10">
        <f>SUMIFS(Таблица14[часы],Таблица14[партия],I40,Таблица14[изд],H40)</f>
        <v>0</v>
      </c>
      <c r="L40" s="10">
        <f>SUMIFS(Таблица1[Столбец1],Таблица1[партия],I40,Таблица1[изд],H40)</f>
        <v>0</v>
      </c>
      <c r="M40" s="703">
        <f t="shared" ref="M40:M50" si="14">J40+K40+L40</f>
        <v>0</v>
      </c>
      <c r="N40" s="704"/>
      <c r="O40" s="10"/>
      <c r="P40" s="700">
        <v>39</v>
      </c>
      <c r="Q40" s="715" t="s">
        <v>327</v>
      </c>
      <c r="R40" s="676">
        <v>3</v>
      </c>
      <c r="S40" s="676">
        <v>17271</v>
      </c>
      <c r="T40" s="714"/>
      <c r="U40" s="715" t="s">
        <v>288</v>
      </c>
      <c r="V40" s="676">
        <v>5699.3333333333403</v>
      </c>
      <c r="W40" s="676">
        <v>5698.3333333333403</v>
      </c>
      <c r="X40" s="714">
        <v>5697.3333333333403</v>
      </c>
      <c r="Y40" s="715" t="s">
        <v>288</v>
      </c>
      <c r="Z40" s="676">
        <v>5696.3333333333403</v>
      </c>
      <c r="AA40" s="676">
        <v>5695.3333333333403</v>
      </c>
      <c r="AB40" s="714">
        <v>5694.3333333333403</v>
      </c>
      <c r="AC40" s="715" t="s">
        <v>288</v>
      </c>
      <c r="AD40" s="676">
        <v>5693.3333333333403</v>
      </c>
      <c r="AE40" s="676">
        <v>5692.3333333333403</v>
      </c>
      <c r="AF40" s="714">
        <v>5691.3333333333403</v>
      </c>
      <c r="AG40" s="715" t="s">
        <v>288</v>
      </c>
      <c r="AH40" s="676">
        <v>5690.3333333333503</v>
      </c>
      <c r="AI40" s="676">
        <v>5689.3333333333503</v>
      </c>
      <c r="AJ40" s="714">
        <v>5688.3333333333503</v>
      </c>
      <c r="AK40" s="715" t="s">
        <v>288</v>
      </c>
      <c r="AL40" s="676">
        <v>5687.3333333333503</v>
      </c>
      <c r="AT40" s="45"/>
      <c r="AU40" s="583"/>
      <c r="AV40" s="583"/>
      <c r="AW40" s="45"/>
    </row>
    <row r="41" spans="2:49" ht="17.25" customHeight="1">
      <c r="B41" s="268" t="str">
        <f>IFERROR(INDEX($Q$1:$BH$100,ROW(A41),MATCH(Data_Tech!$AU$7,$Q$1:$AN$1,)+COLUMN(A40)-1),"")</f>
        <v>Кравченко Светлана Александровна</v>
      </c>
      <c r="D41" s="223">
        <f>INDEX($Q$1:$BH$100,ROW(B41),MATCH(Data_Tech!$AU$7,$Q$1:$AN$1,)+COLUMN(B41)-1)</f>
        <v>3</v>
      </c>
      <c r="E41" s="224">
        <f>INDEX($Q$1:$BH$100,ROW(C41),MATCH(Data_Tech!$AU$7,$Q$1:$AN$1,)+COLUMN(C41)-1)</f>
        <v>16944</v>
      </c>
      <c r="H41" s="702">
        <v>185</v>
      </c>
      <c r="I41" s="749" t="s">
        <v>364</v>
      </c>
      <c r="J41" s="10">
        <f>SUMIFS(Таблица1[сумма],Таблица1[партия],I41,Таблица1[изд],H41)</f>
        <v>0</v>
      </c>
      <c r="K41" s="10">
        <f>SUMIFS(Таблица14[часы],Таблица14[партия],I41,Таблица14[изд],H41)</f>
        <v>0</v>
      </c>
      <c r="L41" s="10">
        <f>SUMIFS(Таблица1[Столбец1],Таблица1[партия],I41,Таблица1[изд],H41)</f>
        <v>0</v>
      </c>
      <c r="M41" s="703">
        <f t="shared" si="14"/>
        <v>0</v>
      </c>
      <c r="N41" s="704">
        <f>$AS$15-M41-O41</f>
        <v>632.5</v>
      </c>
      <c r="O41" s="10"/>
      <c r="P41" s="700">
        <v>40</v>
      </c>
      <c r="Q41" s="715" t="s">
        <v>279</v>
      </c>
      <c r="R41" s="676">
        <v>3</v>
      </c>
      <c r="S41" s="676">
        <v>16944</v>
      </c>
      <c r="T41" s="714"/>
      <c r="U41" s="715" t="s">
        <v>328</v>
      </c>
      <c r="V41" s="717">
        <v>5761</v>
      </c>
      <c r="W41" s="718">
        <v>5760.5</v>
      </c>
      <c r="X41" s="714">
        <v>5760</v>
      </c>
      <c r="Y41" s="715" t="s">
        <v>328</v>
      </c>
      <c r="Z41" s="717">
        <v>5759.50000000001</v>
      </c>
      <c r="AA41" s="718">
        <v>5759.00000000001</v>
      </c>
      <c r="AB41" s="714">
        <v>5758.50000000001</v>
      </c>
      <c r="AC41" s="715" t="s">
        <v>328</v>
      </c>
      <c r="AD41" s="717">
        <v>5758.00000000001</v>
      </c>
      <c r="AE41" s="718">
        <v>5757.50000000001</v>
      </c>
      <c r="AF41" s="714">
        <v>5757.00000000001</v>
      </c>
      <c r="AG41" s="715" t="s">
        <v>328</v>
      </c>
      <c r="AH41" s="717">
        <v>5756.50000000001</v>
      </c>
      <c r="AI41" s="718">
        <v>5756.00000000001</v>
      </c>
      <c r="AJ41" s="714">
        <v>5755.50000000002</v>
      </c>
      <c r="AK41" s="715" t="s">
        <v>328</v>
      </c>
      <c r="AL41" s="717">
        <v>5755.00000000002</v>
      </c>
      <c r="AT41" s="45" t="s">
        <v>341</v>
      </c>
      <c r="AU41" s="583"/>
      <c r="AV41" s="583"/>
      <c r="AW41" s="110">
        <f>(AW37-AW36-AW38)*24</f>
        <v>3.4999999999999996</v>
      </c>
    </row>
    <row r="42" spans="2:49" ht="17.25" customHeight="1">
      <c r="B42" s="268" t="str">
        <f>IFERROR(INDEX($Q$1:$BH$100,ROW(A42),MATCH(Data_Tech!$AU$7,$Q$1:$AN$1,)+COLUMN(A41)-1),"")</f>
        <v>Лапина Елена Сергеевна</v>
      </c>
      <c r="D42" s="223">
        <f>INDEX($Q$1:$BH$100,ROW(B42),MATCH(Data_Tech!$AU$7,$Q$1:$AN$1,)+COLUMN(B42)-1)</f>
        <v>3</v>
      </c>
      <c r="E42" s="224">
        <f>INDEX($Q$1:$BH$100,ROW(C42),MATCH(Data_Tech!$AU$7,$Q$1:$AN$1,)+COLUMN(C42)-1)</f>
        <v>17281</v>
      </c>
      <c r="H42" s="702">
        <v>185</v>
      </c>
      <c r="I42" s="749" t="s">
        <v>365</v>
      </c>
      <c r="J42" s="10">
        <f>SUMIFS(Таблица1[сумма],Таблица1[партия],I42,Таблица1[изд],H42)</f>
        <v>0</v>
      </c>
      <c r="K42" s="10">
        <f>SUMIFS(Таблица14[часы],Таблица14[партия],I42,Таблица14[изд],H42)</f>
        <v>0</v>
      </c>
      <c r="L42" s="10">
        <f>SUMIFS(Таблица1[Столбец1],Таблица1[партия],I42,Таблица1[изд],H42)</f>
        <v>0</v>
      </c>
      <c r="M42" s="703">
        <f t="shared" si="14"/>
        <v>0</v>
      </c>
      <c r="N42" s="704">
        <f t="shared" ref="N42:N43" si="15">$AS$15-M42-O42</f>
        <v>632.5</v>
      </c>
      <c r="O42" s="10"/>
      <c r="P42" s="700">
        <v>41</v>
      </c>
      <c r="Q42" s="715" t="s">
        <v>328</v>
      </c>
      <c r="R42" s="717">
        <v>3</v>
      </c>
      <c r="S42" s="718">
        <v>17281</v>
      </c>
      <c r="T42" s="714">
        <v>2</v>
      </c>
      <c r="U42" s="715" t="s">
        <v>305</v>
      </c>
      <c r="V42" s="676">
        <v>27714</v>
      </c>
      <c r="W42" s="676">
        <v>41569</v>
      </c>
      <c r="X42" s="714"/>
      <c r="Y42" s="715" t="s">
        <v>305</v>
      </c>
      <c r="Z42" s="676">
        <v>55424</v>
      </c>
      <c r="AA42" s="676">
        <v>69279</v>
      </c>
      <c r="AB42" s="714"/>
      <c r="AC42" s="715" t="s">
        <v>305</v>
      </c>
      <c r="AD42" s="676">
        <v>83134</v>
      </c>
      <c r="AE42" s="676">
        <v>96989</v>
      </c>
      <c r="AF42" s="714"/>
      <c r="AG42" s="715" t="s">
        <v>305</v>
      </c>
      <c r="AH42" s="676">
        <v>110844</v>
      </c>
      <c r="AI42" s="676">
        <v>124699</v>
      </c>
      <c r="AJ42" s="714"/>
      <c r="AK42" s="715" t="s">
        <v>305</v>
      </c>
      <c r="AL42" s="676">
        <v>138554</v>
      </c>
      <c r="AT42" s="45" t="s">
        <v>342</v>
      </c>
      <c r="AU42" s="583"/>
      <c r="AV42" s="583"/>
      <c r="AW42" s="110">
        <f>(AW37-AW36)*24</f>
        <v>3.9999999999999991</v>
      </c>
    </row>
    <row r="43" spans="2:49" ht="17.25" customHeight="1">
      <c r="B43" s="268" t="str">
        <f>IFERROR(INDEX($Q$1:$BH$100,ROW(A43),MATCH(Data_Tech!$AU$7,$Q$1:$AN$1,)+COLUMN(A42)-1),"")</f>
        <v>Лезина Анастасия Юрьевна</v>
      </c>
      <c r="D43" s="223">
        <f>INDEX($Q$1:$BH$100,ROW(B43),MATCH(Data_Tech!$AU$7,$Q$1:$AN$1,)+COLUMN(B43)-1)</f>
        <v>3</v>
      </c>
      <c r="E43" s="224">
        <f>INDEX($Q$1:$BH$100,ROW(C43),MATCH(Data_Tech!$AU$7,$Q$1:$AN$1,)+COLUMN(C43)-1)</f>
        <v>17303</v>
      </c>
      <c r="H43" s="702">
        <v>185</v>
      </c>
      <c r="I43" s="749" t="s">
        <v>366</v>
      </c>
      <c r="J43" s="10">
        <f>SUMIFS(Таблица1[сумма],Таблица1[партия],I43,Таблица1[изд],H43)</f>
        <v>0</v>
      </c>
      <c r="K43" s="10">
        <f>SUMIFS(Таблица14[часы],Таблица14[партия],I43,Таблица14[изд],H43)</f>
        <v>0</v>
      </c>
      <c r="L43" s="10">
        <f>SUMIFS(Таблица1[Столбец1],Таблица1[партия],I43,Таблица1[изд],H43)</f>
        <v>0</v>
      </c>
      <c r="M43" s="703">
        <f t="shared" si="14"/>
        <v>0</v>
      </c>
      <c r="N43" s="704">
        <f t="shared" si="15"/>
        <v>632.5</v>
      </c>
      <c r="O43" s="10"/>
      <c r="P43" s="700">
        <v>42</v>
      </c>
      <c r="Q43" s="677" t="s">
        <v>352</v>
      </c>
      <c r="R43" s="676">
        <v>3</v>
      </c>
      <c r="S43" s="676">
        <v>17303</v>
      </c>
      <c r="T43" s="714">
        <v>3</v>
      </c>
      <c r="U43" s="715" t="s">
        <v>299</v>
      </c>
      <c r="V43" s="676">
        <v>34269</v>
      </c>
      <c r="W43" s="676">
        <v>51402</v>
      </c>
      <c r="X43" s="714"/>
      <c r="Y43" s="715" t="s">
        <v>299</v>
      </c>
      <c r="Z43" s="676">
        <v>68535</v>
      </c>
      <c r="AA43" s="676">
        <v>85668</v>
      </c>
      <c r="AB43" s="714"/>
      <c r="AC43" s="715" t="s">
        <v>299</v>
      </c>
      <c r="AD43" s="676">
        <v>102801</v>
      </c>
      <c r="AE43" s="676">
        <v>119934</v>
      </c>
      <c r="AF43" s="714"/>
      <c r="AG43" s="715" t="s">
        <v>299</v>
      </c>
      <c r="AH43" s="676">
        <v>137067</v>
      </c>
      <c r="AI43" s="676">
        <v>154200</v>
      </c>
      <c r="AJ43" s="714"/>
      <c r="AK43" s="715" t="s">
        <v>299</v>
      </c>
      <c r="AL43" s="676">
        <v>171333</v>
      </c>
    </row>
    <row r="44" spans="2:49" ht="17.25" customHeight="1">
      <c r="B44" s="268" t="str">
        <f>IFERROR(INDEX($Q$1:$BH$100,ROW(A44),MATCH(Data_Tech!$AU$7,$Q$1:$AN$1,)+COLUMN(A43)-1),"")</f>
        <v>Малышева Анна Евгеньевна</v>
      </c>
      <c r="D44" s="223">
        <f>INDEX($Q$1:$BH$100,ROW(B44),MATCH(Data_Tech!$AU$7,$Q$1:$AN$1,)+COLUMN(B44)-1)</f>
        <v>3</v>
      </c>
      <c r="E44" s="224">
        <f>INDEX($Q$1:$BH$100,ROW(C44),MATCH(Data_Tech!$AU$7,$Q$1:$AN$1,)+COLUMN(C44)-1)</f>
        <v>17321</v>
      </c>
      <c r="H44" s="702">
        <v>185</v>
      </c>
      <c r="I44" s="749" t="s">
        <v>367</v>
      </c>
      <c r="J44" s="10">
        <f>SUMIFS(Таблица1[сумма],Таблица1[партия],I44,Таблица1[изд],H44)</f>
        <v>0</v>
      </c>
      <c r="K44" s="10">
        <f>SUMIFS(Таблица14[часы],Таблица14[партия],I44,Таблица14[изд],H44)</f>
        <v>0</v>
      </c>
      <c r="L44" s="10">
        <f>SUMIFS(Таблица1[Столбец1],Таблица1[партия],I44,Таблица1[изд],H44)</f>
        <v>0</v>
      </c>
      <c r="M44" s="703">
        <f t="shared" si="14"/>
        <v>0</v>
      </c>
      <c r="N44" s="704">
        <f>$AS$15-M44-O44</f>
        <v>632.5</v>
      </c>
      <c r="O44" s="10"/>
      <c r="P44" s="700">
        <v>43</v>
      </c>
      <c r="Q44" s="677" t="s">
        <v>358</v>
      </c>
      <c r="R44" s="676">
        <v>3</v>
      </c>
      <c r="S44" s="676">
        <v>17321</v>
      </c>
      <c r="T44" s="714">
        <v>1</v>
      </c>
      <c r="U44" s="715" t="s">
        <v>258</v>
      </c>
      <c r="V44" s="676">
        <v>33555</v>
      </c>
      <c r="W44" s="676">
        <v>50331</v>
      </c>
      <c r="X44" s="714"/>
      <c r="Y44" s="715" t="s">
        <v>258</v>
      </c>
      <c r="Z44" s="676">
        <v>67107</v>
      </c>
      <c r="AA44" s="676">
        <v>83883</v>
      </c>
      <c r="AB44" s="714"/>
      <c r="AC44" s="715" t="s">
        <v>258</v>
      </c>
      <c r="AD44" s="676">
        <v>100659</v>
      </c>
      <c r="AE44" s="676">
        <v>117435</v>
      </c>
      <c r="AF44" s="714"/>
      <c r="AG44" s="715" t="s">
        <v>258</v>
      </c>
      <c r="AH44" s="676">
        <v>134211</v>
      </c>
      <c r="AI44" s="676">
        <v>150987</v>
      </c>
      <c r="AJ44" s="714"/>
      <c r="AK44" s="715" t="s">
        <v>258</v>
      </c>
      <c r="AL44" s="676">
        <v>167763</v>
      </c>
    </row>
    <row r="45" spans="2:49" ht="17.25" customHeight="1">
      <c r="B45" s="268" t="str">
        <f>IFERROR(INDEX($Q$1:$BH$100,ROW(A45),MATCH(Data_Tech!$AU$7,$Q$1:$AN$1,)+COLUMN(A44)-1),"")</f>
        <v>Маргиева Фатима Александровна</v>
      </c>
      <c r="D45" s="223">
        <f>INDEX($Q$1:$BH$100,ROW(B45),MATCH(Data_Tech!$AU$7,$Q$1:$AN$1,)+COLUMN(B45)-1)</f>
        <v>3</v>
      </c>
      <c r="E45" s="224">
        <f>INDEX($Q$1:$BH$100,ROW(C45),MATCH(Data_Tech!$AU$7,$Q$1:$AN$1,)+COLUMN(C45)-1)</f>
        <v>17136</v>
      </c>
      <c r="H45" s="702"/>
      <c r="I45" s="749"/>
      <c r="J45" s="10">
        <f>SUMIFS(Таблица1[сумма],Таблица1[партия],I45,Таблица1[изд],H45)</f>
        <v>0</v>
      </c>
      <c r="K45" s="10">
        <f>SUMIFS(Таблица14[часы],Таблица14[партия],I45,Таблица14[изд],H45)</f>
        <v>0</v>
      </c>
      <c r="L45" s="10">
        <f>SUMIFS(Таблица1[Столбец1],Таблица1[партия],I45,Таблица1[изд],H45)</f>
        <v>0</v>
      </c>
      <c r="M45" s="703">
        <f t="shared" si="14"/>
        <v>0</v>
      </c>
      <c r="N45" s="704"/>
      <c r="O45" s="10"/>
      <c r="P45" s="700">
        <v>44</v>
      </c>
      <c r="Q45" s="715" t="s">
        <v>299</v>
      </c>
      <c r="R45" s="676">
        <v>3</v>
      </c>
      <c r="S45" s="676">
        <v>17136</v>
      </c>
      <c r="T45" s="714">
        <v>2</v>
      </c>
      <c r="U45" s="715" t="s">
        <v>280</v>
      </c>
      <c r="V45" s="676">
        <v>5623.3333333333403</v>
      </c>
      <c r="W45" s="676">
        <v>5622.3333333333403</v>
      </c>
      <c r="X45" s="714">
        <v>5621.3333333333403</v>
      </c>
      <c r="Y45" s="715" t="s">
        <v>280</v>
      </c>
      <c r="Z45" s="676">
        <v>5620.3333333333403</v>
      </c>
      <c r="AA45" s="676">
        <v>5619.3333333333403</v>
      </c>
      <c r="AB45" s="714">
        <v>5618.3333333333403</v>
      </c>
      <c r="AC45" s="715" t="s">
        <v>280</v>
      </c>
      <c r="AD45" s="676">
        <v>5617.3333333333403</v>
      </c>
      <c r="AE45" s="676">
        <v>5616.3333333333403</v>
      </c>
      <c r="AF45" s="714">
        <v>5615.3333333333403</v>
      </c>
      <c r="AG45" s="715" t="s">
        <v>280</v>
      </c>
      <c r="AH45" s="676">
        <v>5614.3333333333503</v>
      </c>
      <c r="AI45" s="676">
        <v>5613.3333333333503</v>
      </c>
      <c r="AJ45" s="714">
        <v>5612.3333333333503</v>
      </c>
      <c r="AK45" s="715" t="s">
        <v>280</v>
      </c>
      <c r="AL45" s="676">
        <v>5611.3333333333503</v>
      </c>
    </row>
    <row r="46" spans="2:49" ht="17.25" customHeight="1">
      <c r="B46" s="268" t="str">
        <f>IFERROR(INDEX($Q$1:$BH$100,ROW(A46),MATCH(Data_Tech!$AU$7,$Q$1:$AN$1,)+COLUMN(A45)-1),"")</f>
        <v>Маркова Ольга Евгеньевна</v>
      </c>
      <c r="D46" s="223">
        <f>INDEX($Q$1:$BH$100,ROW(B46),MATCH(Data_Tech!$AU$7,$Q$1:$AN$1,)+COLUMN(B46)-1)</f>
        <v>3</v>
      </c>
      <c r="E46" s="224">
        <f>INDEX($Q$1:$BH$100,ROW(C46),MATCH(Data_Tech!$AU$7,$Q$1:$AN$1,)+COLUMN(C46)-1)</f>
        <v>16779</v>
      </c>
      <c r="H46" s="702">
        <v>757</v>
      </c>
      <c r="I46" s="749" t="s">
        <v>364</v>
      </c>
      <c r="J46" s="10">
        <f>SUMIFS(Таблица1[сумма],Таблица1[партия],I46,Таблица1[изд],H46)</f>
        <v>0</v>
      </c>
      <c r="K46" s="10">
        <f>SUMIFS(Таблица14[часы],Таблица14[партия],I46,Таблица14[изд],H46)</f>
        <v>0</v>
      </c>
      <c r="L46" s="10">
        <f>SUMIFS(Таблица1[Столбец1],Таблица1[партия],I46,Таблица1[изд],H46)</f>
        <v>0</v>
      </c>
      <c r="M46" s="703">
        <f t="shared" si="14"/>
        <v>0</v>
      </c>
      <c r="N46" s="704">
        <f>$AS$17-M46-O46</f>
        <v>836.2</v>
      </c>
      <c r="O46" s="10"/>
      <c r="P46" s="700">
        <v>45</v>
      </c>
      <c r="Q46" s="715" t="s">
        <v>258</v>
      </c>
      <c r="R46" s="676">
        <v>3</v>
      </c>
      <c r="S46" s="676">
        <v>16779</v>
      </c>
      <c r="T46" s="714">
        <v>2</v>
      </c>
      <c r="U46" s="715" t="s">
        <v>293</v>
      </c>
      <c r="V46" s="676">
        <v>5709</v>
      </c>
      <c r="W46" s="676">
        <v>5709</v>
      </c>
      <c r="X46" s="714">
        <v>5709</v>
      </c>
      <c r="Y46" s="715" t="s">
        <v>293</v>
      </c>
      <c r="Z46" s="676">
        <v>5709.00000000001</v>
      </c>
      <c r="AA46" s="676">
        <v>5709.00000000001</v>
      </c>
      <c r="AB46" s="714">
        <v>5709.00000000001</v>
      </c>
      <c r="AC46" s="715" t="s">
        <v>293</v>
      </c>
      <c r="AD46" s="676">
        <v>5709.00000000001</v>
      </c>
      <c r="AE46" s="676">
        <v>5709.00000000001</v>
      </c>
      <c r="AF46" s="714">
        <v>5709.00000000001</v>
      </c>
      <c r="AG46" s="715" t="s">
        <v>293</v>
      </c>
      <c r="AH46" s="676">
        <v>5709.00000000001</v>
      </c>
      <c r="AI46" s="676">
        <v>5709.00000000001</v>
      </c>
      <c r="AJ46" s="714">
        <v>5709.00000000002</v>
      </c>
      <c r="AK46" s="715" t="s">
        <v>293</v>
      </c>
      <c r="AL46" s="676">
        <v>5709.00000000002</v>
      </c>
    </row>
    <row r="47" spans="2:49" ht="17.25" customHeight="1">
      <c r="B47" s="268" t="str">
        <f>IFERROR(INDEX($Q$1:$BH$100,ROW(A47),MATCH(Data_Tech!$AU$7,$Q$1:$AN$1,)+COLUMN(A46)-1),"")</f>
        <v>Марченко Ирина Вячеславовна</v>
      </c>
      <c r="D47" s="223">
        <f>INDEX($Q$1:$BH$100,ROW(B47),MATCH(Data_Tech!$AU$7,$Q$1:$AN$1,)+COLUMN(B47)-1)</f>
        <v>3</v>
      </c>
      <c r="E47" s="224">
        <f>INDEX($Q$1:$BH$100,ROW(C47),MATCH(Data_Tech!$AU$7,$Q$1:$AN$1,)+COLUMN(C47)-1)</f>
        <v>16872</v>
      </c>
      <c r="H47" s="702">
        <v>757</v>
      </c>
      <c r="I47" s="749" t="s">
        <v>365</v>
      </c>
      <c r="J47" s="10">
        <f>SUMIFS(Таблица1[сумма],Таблица1[партия],I47,Таблица1[изд],H47)</f>
        <v>0</v>
      </c>
      <c r="K47" s="10">
        <f>SUMIFS(Таблица14[часы],Таблица14[партия],I47,Таблица14[изд],H47)</f>
        <v>0</v>
      </c>
      <c r="L47" s="10">
        <f>SUMIFS(Таблица1[Столбец1],Таблица1[партия],I47,Таблица1[изд],H47)</f>
        <v>0</v>
      </c>
      <c r="M47" s="703">
        <f t="shared" si="14"/>
        <v>0</v>
      </c>
      <c r="N47" s="704">
        <f t="shared" ref="N47:N49" si="16">$AS$17-M47-O47</f>
        <v>836.2</v>
      </c>
      <c r="O47" s="10"/>
      <c r="P47" s="700">
        <v>46</v>
      </c>
      <c r="Q47" s="715" t="s">
        <v>280</v>
      </c>
      <c r="R47" s="676">
        <v>3</v>
      </c>
      <c r="S47" s="676">
        <v>16872</v>
      </c>
      <c r="T47" s="714">
        <v>1</v>
      </c>
      <c r="U47" s="715" t="s">
        <v>273</v>
      </c>
      <c r="V47" s="676">
        <v>29762</v>
      </c>
      <c r="W47" s="676">
        <v>44641</v>
      </c>
      <c r="X47" s="714"/>
      <c r="Y47" s="715" t="s">
        <v>273</v>
      </c>
      <c r="Z47" s="676">
        <v>59520</v>
      </c>
      <c r="AA47" s="676">
        <v>74399</v>
      </c>
      <c r="AB47" s="714"/>
      <c r="AC47" s="715" t="s">
        <v>273</v>
      </c>
      <c r="AD47" s="676">
        <v>89278</v>
      </c>
      <c r="AE47" s="676">
        <v>104157</v>
      </c>
      <c r="AF47" s="714"/>
      <c r="AG47" s="715" t="s">
        <v>273</v>
      </c>
      <c r="AH47" s="676">
        <v>119036</v>
      </c>
      <c r="AI47" s="676">
        <v>133915</v>
      </c>
      <c r="AJ47" s="714"/>
      <c r="AK47" s="715" t="s">
        <v>273</v>
      </c>
      <c r="AL47" s="676">
        <v>148794</v>
      </c>
    </row>
    <row r="48" spans="2:49" ht="17.25" customHeight="1">
      <c r="B48" s="268" t="str">
        <f>IFERROR(INDEX($Q$1:$BH$100,ROW(A48),MATCH(Data_Tech!$AU$7,$Q$1:$AN$1,)+COLUMN(A47)-1),"")</f>
        <v>Матыгулина Наталья Энвировна</v>
      </c>
      <c r="D48" s="223">
        <f>INDEX($Q$1:$BH$100,ROW(B48),MATCH(Data_Tech!$AU$7,$Q$1:$AN$1,)+COLUMN(B48)-1)</f>
        <v>3</v>
      </c>
      <c r="E48" s="224">
        <f>INDEX($Q$1:$BH$100,ROW(C48),MATCH(Data_Tech!$AU$7,$Q$1:$AN$1,)+COLUMN(C48)-1)</f>
        <v>15082</v>
      </c>
      <c r="H48" s="702">
        <v>757</v>
      </c>
      <c r="I48" s="749" t="s">
        <v>366</v>
      </c>
      <c r="J48" s="10">
        <f>SUMIFS(Таблица1[сумма],Таблица1[партия],I48,Таблица1[изд],H48)</f>
        <v>0</v>
      </c>
      <c r="K48" s="10">
        <f>SUMIFS(Таблица14[часы],Таблица14[партия],I48,Таблица14[изд],H48)</f>
        <v>0</v>
      </c>
      <c r="L48" s="10">
        <f>SUMIFS(Таблица1[Столбец1],Таблица1[партия],I48,Таблица1[изд],H48)</f>
        <v>0</v>
      </c>
      <c r="M48" s="703">
        <f t="shared" si="14"/>
        <v>0</v>
      </c>
      <c r="N48" s="704">
        <f t="shared" si="16"/>
        <v>836.2</v>
      </c>
      <c r="O48" s="10"/>
      <c r="P48" s="700">
        <v>47</v>
      </c>
      <c r="Q48" s="677" t="s">
        <v>362</v>
      </c>
      <c r="R48" s="676">
        <v>3</v>
      </c>
      <c r="S48" s="676">
        <v>15082</v>
      </c>
      <c r="T48" s="714">
        <v>2</v>
      </c>
      <c r="U48" s="715" t="s">
        <v>281</v>
      </c>
      <c r="V48" s="676">
        <v>30475</v>
      </c>
      <c r="W48" s="676">
        <v>45711</v>
      </c>
      <c r="X48" s="714"/>
      <c r="Y48" s="715" t="s">
        <v>281</v>
      </c>
      <c r="Z48" s="676">
        <v>60947</v>
      </c>
      <c r="AA48" s="676">
        <v>76183</v>
      </c>
      <c r="AB48" s="714"/>
      <c r="AC48" s="715" t="s">
        <v>281</v>
      </c>
      <c r="AD48" s="676">
        <v>91419</v>
      </c>
      <c r="AE48" s="676">
        <v>106655</v>
      </c>
      <c r="AF48" s="714"/>
      <c r="AG48" s="715" t="s">
        <v>281</v>
      </c>
      <c r="AH48" s="676">
        <v>121891</v>
      </c>
      <c r="AI48" s="676">
        <v>137127</v>
      </c>
      <c r="AJ48" s="714"/>
      <c r="AK48" s="715" t="s">
        <v>281</v>
      </c>
      <c r="AL48" s="676">
        <v>152363</v>
      </c>
    </row>
    <row r="49" spans="2:38" ht="17.25" customHeight="1">
      <c r="B49" s="268" t="str">
        <f>IFERROR(INDEX($Q$1:$BH$100,ROW(A49),MATCH(Data_Tech!$AU$7,$Q$1:$AN$1,)+COLUMN(A48)-1),"")</f>
        <v>Машталяр Анна Сергеевна</v>
      </c>
      <c r="D49" s="223">
        <f>INDEX($Q$1:$BH$100,ROW(B49),MATCH(Data_Tech!$AU$7,$Q$1:$AN$1,)+COLUMN(B49)-1)</f>
        <v>3</v>
      </c>
      <c r="E49" s="224">
        <f>INDEX($Q$1:$BH$100,ROW(C49),MATCH(Data_Tech!$AU$7,$Q$1:$AN$1,)+COLUMN(C49)-1)</f>
        <v>17341</v>
      </c>
      <c r="H49" s="702">
        <v>757</v>
      </c>
      <c r="I49" s="749" t="s">
        <v>367</v>
      </c>
      <c r="J49" s="10">
        <f>SUMIFS(Таблица1[сумма],Таблица1[партия],I49,Таблица1[изд],H49)</f>
        <v>0</v>
      </c>
      <c r="K49" s="10">
        <f>SUMIFS(Таблица14[часы],Таблица14[партия],I49,Таблица14[изд],H49)</f>
        <v>0</v>
      </c>
      <c r="L49" s="10">
        <f>SUMIFS(Таблица1[Столбец1],Таблица1[партия],I49,Таблица1[изд],H49)</f>
        <v>0</v>
      </c>
      <c r="M49" s="703">
        <f t="shared" si="14"/>
        <v>0</v>
      </c>
      <c r="N49" s="704">
        <f t="shared" si="16"/>
        <v>836.2</v>
      </c>
      <c r="O49" s="10"/>
      <c r="P49" s="700">
        <v>48</v>
      </c>
      <c r="Q49" s="677" t="s">
        <v>374</v>
      </c>
      <c r="R49" s="676">
        <v>3</v>
      </c>
      <c r="S49" s="676">
        <v>17341</v>
      </c>
      <c r="T49" s="714">
        <v>3</v>
      </c>
      <c r="U49" s="715" t="s">
        <v>259</v>
      </c>
      <c r="V49" s="676">
        <v>30079</v>
      </c>
      <c r="W49" s="676">
        <v>45117</v>
      </c>
      <c r="X49" s="714"/>
      <c r="Y49" s="715" t="s">
        <v>259</v>
      </c>
      <c r="Z49" s="676">
        <v>60155</v>
      </c>
      <c r="AA49" s="676">
        <v>75193</v>
      </c>
      <c r="AB49" s="714"/>
      <c r="AC49" s="715" t="s">
        <v>259</v>
      </c>
      <c r="AD49" s="676">
        <v>90231</v>
      </c>
      <c r="AE49" s="676">
        <v>105269</v>
      </c>
      <c r="AF49" s="714"/>
      <c r="AG49" s="715" t="s">
        <v>259</v>
      </c>
      <c r="AH49" s="676">
        <v>120307</v>
      </c>
      <c r="AI49" s="676">
        <v>135345</v>
      </c>
      <c r="AJ49" s="714"/>
      <c r="AK49" s="715" t="s">
        <v>259</v>
      </c>
      <c r="AL49" s="676">
        <v>150383</v>
      </c>
    </row>
    <row r="50" spans="2:38" ht="17.25" customHeight="1">
      <c r="B50" s="268" t="str">
        <f>IFERROR(INDEX($Q$1:$BH$100,ROW(A50),MATCH(Data_Tech!$AU$7,$Q$1:$AN$1,)+COLUMN(A49)-1),"")</f>
        <v>Мельникова Анна Юрьевна</v>
      </c>
      <c r="D50" s="223">
        <f>INDEX($Q$1:$BH$100,ROW(B50),MATCH(Data_Tech!$AU$7,$Q$1:$AN$1,)+COLUMN(B50)-1)</f>
        <v>3</v>
      </c>
      <c r="E50" s="224">
        <f>INDEX($Q$1:$BH$100,ROW(C50),MATCH(Data_Tech!$AU$7,$Q$1:$AN$1,)+COLUMN(C50)-1)</f>
        <v>17121</v>
      </c>
      <c r="H50" s="702">
        <v>757</v>
      </c>
      <c r="I50" s="749" t="s">
        <v>368</v>
      </c>
      <c r="J50" s="10">
        <f>SUMIFS(Таблица1[сумма],Таблица1[партия],I50,Таблица1[изд],H50)</f>
        <v>0</v>
      </c>
      <c r="K50" s="10">
        <f>SUMIFS(Таблица14[часы],Таблица14[партия],I50,Таблица14[изд],H50)</f>
        <v>0</v>
      </c>
      <c r="L50" s="10">
        <f>SUMIFS(Таблица1[Столбец1],Таблица1[партия],I50,Таблица1[изд],H50)</f>
        <v>0</v>
      </c>
      <c r="M50" s="703">
        <f t="shared" si="14"/>
        <v>0</v>
      </c>
      <c r="N50" s="704">
        <f>$AS$17-M50-O50</f>
        <v>836.2</v>
      </c>
      <c r="O50" s="10"/>
      <c r="P50" s="700">
        <v>49</v>
      </c>
      <c r="Q50" s="715" t="s">
        <v>293</v>
      </c>
      <c r="R50" s="676">
        <v>3</v>
      </c>
      <c r="S50" s="676">
        <v>17121</v>
      </c>
      <c r="T50" s="714">
        <v>3</v>
      </c>
      <c r="U50" s="715" t="s">
        <v>303</v>
      </c>
      <c r="V50" s="676">
        <v>5722.00000000001</v>
      </c>
      <c r="W50" s="676">
        <v>5721.50000000001</v>
      </c>
      <c r="X50" s="714">
        <v>5721.00000000001</v>
      </c>
      <c r="Y50" s="715" t="s">
        <v>303</v>
      </c>
      <c r="Z50" s="676">
        <v>5720.50000000001</v>
      </c>
      <c r="AA50" s="676">
        <v>5720.00000000002</v>
      </c>
      <c r="AB50" s="714">
        <v>5719.50000000002</v>
      </c>
      <c r="AC50" s="715" t="s">
        <v>303</v>
      </c>
      <c r="AD50" s="676">
        <v>5719.00000000002</v>
      </c>
      <c r="AE50" s="676">
        <v>5718.50000000002</v>
      </c>
      <c r="AF50" s="714">
        <v>5718.00000000003</v>
      </c>
      <c r="AG50" s="715" t="s">
        <v>303</v>
      </c>
      <c r="AH50" s="676">
        <v>5717.50000000003</v>
      </c>
      <c r="AI50" s="676">
        <v>5717.00000000003</v>
      </c>
      <c r="AJ50" s="714">
        <v>5716.50000000003</v>
      </c>
      <c r="AK50" s="715" t="s">
        <v>303</v>
      </c>
      <c r="AL50" s="676">
        <v>5716.00000000004</v>
      </c>
    </row>
    <row r="51" spans="2:38" ht="17.25" customHeight="1">
      <c r="B51" s="268" t="str">
        <f>IFERROR(INDEX($Q$1:$BH$100,ROW(A51),MATCH(Data_Tech!$AU$7,$Q$1:$AN$1,)+COLUMN(A50)-1),"")</f>
        <v>Минко Елена Анатольевна</v>
      </c>
      <c r="C51" s="45"/>
      <c r="D51" s="223">
        <f>INDEX($Q$1:$BH$100,ROW(B51),MATCH(Data_Tech!$AU$7,$Q$1:$AN$1,)+COLUMN(B51)-1)</f>
        <v>4</v>
      </c>
      <c r="E51" s="224">
        <f>INDEX($Q$1:$BH$100,ROW(C51),MATCH(Data_Tech!$AU$7,$Q$1:$AN$1,)+COLUMN(C51)-1)</f>
        <v>14883</v>
      </c>
      <c r="H51" s="702">
        <v>757</v>
      </c>
      <c r="I51" s="749" t="s">
        <v>369</v>
      </c>
      <c r="J51" s="10">
        <f>SUMIFS(Таблица1[сумма],Таблица1[партия],I51,Таблица1[изд],H51)</f>
        <v>0</v>
      </c>
      <c r="K51" s="10">
        <f>SUMIFS(Таблица14[часы],Таблица14[партия],I51,Таблица14[изд],H51)</f>
        <v>0</v>
      </c>
      <c r="L51" s="10">
        <f>SUMIFS(Таблица1[Столбец1],Таблица1[партия],I51,Таблица1[изд],H51)</f>
        <v>0</v>
      </c>
      <c r="M51" s="703">
        <f t="shared" ref="M51:M59" si="17">J51+K51+L51</f>
        <v>0</v>
      </c>
      <c r="N51" s="704">
        <f>$AS$17-M51-O51</f>
        <v>836.2</v>
      </c>
      <c r="O51" s="10"/>
      <c r="P51" s="700">
        <v>50</v>
      </c>
      <c r="Q51" s="715" t="s">
        <v>273</v>
      </c>
      <c r="R51" s="676">
        <v>4</v>
      </c>
      <c r="S51" s="676">
        <v>14883</v>
      </c>
      <c r="T51" s="714"/>
      <c r="U51" s="715" t="s">
        <v>268</v>
      </c>
      <c r="V51" s="676">
        <v>33897</v>
      </c>
      <c r="W51" s="676">
        <v>50844</v>
      </c>
      <c r="X51" s="714"/>
      <c r="Y51" s="715" t="s">
        <v>268</v>
      </c>
      <c r="Z51" s="676">
        <v>67791</v>
      </c>
      <c r="AA51" s="676">
        <v>84738</v>
      </c>
      <c r="AB51" s="714"/>
      <c r="AC51" s="715" t="s">
        <v>268</v>
      </c>
      <c r="AD51" s="676">
        <v>101685</v>
      </c>
      <c r="AE51" s="676">
        <v>118632</v>
      </c>
      <c r="AF51" s="714"/>
      <c r="AG51" s="715" t="s">
        <v>268</v>
      </c>
      <c r="AH51" s="676">
        <v>135579</v>
      </c>
      <c r="AI51" s="676">
        <v>152526</v>
      </c>
      <c r="AJ51" s="714"/>
      <c r="AK51" s="715" t="s">
        <v>268</v>
      </c>
      <c r="AL51" s="676">
        <v>169473</v>
      </c>
    </row>
    <row r="52" spans="2:38" ht="17.25" customHeight="1">
      <c r="B52" s="268" t="str">
        <f>IFERROR(INDEX($Q$1:$BH$100,ROW(A52),MATCH(Data_Tech!$AU$7,$Q$1:$AN$1,)+COLUMN(A51)-1),"")</f>
        <v>Михалочкина Наталья Ивановна</v>
      </c>
      <c r="C52" s="45"/>
      <c r="D52" s="223">
        <f>INDEX($Q$1:$BH$100,ROW(B52),MATCH(Data_Tech!$AU$7,$Q$1:$AN$1,)+COLUMN(B52)-1)</f>
        <v>3</v>
      </c>
      <c r="E52" s="224">
        <f>INDEX($Q$1:$BH$100,ROW(C52),MATCH(Data_Tech!$AU$7,$Q$1:$AN$1,)+COLUMN(C52)-1)</f>
        <v>17312</v>
      </c>
      <c r="H52" s="702">
        <v>85</v>
      </c>
      <c r="I52" s="749" t="s">
        <v>364</v>
      </c>
      <c r="J52" s="10">
        <f>SUMIFS(Таблица1[сумма],Таблица1[партия],I52,Таблица1[изд],H52)</f>
        <v>0</v>
      </c>
      <c r="K52" s="10">
        <f>SUMIFS(Таблица14[часы],Таблица14[партия],I52,Таблица14[изд],H52)</f>
        <v>0</v>
      </c>
      <c r="L52" s="10">
        <f>SUMIFS(Таблица1[Столбец1],Таблица1[партия],I52,Таблица1[изд],H52)</f>
        <v>0</v>
      </c>
      <c r="M52" s="703">
        <f t="shared" si="17"/>
        <v>0</v>
      </c>
      <c r="N52" s="704">
        <f>$AS$4-M52-O52</f>
        <v>1265</v>
      </c>
      <c r="O52" s="10"/>
      <c r="P52" s="700">
        <v>51</v>
      </c>
      <c r="Q52" s="677" t="s">
        <v>356</v>
      </c>
      <c r="R52" s="676">
        <v>3</v>
      </c>
      <c r="S52" s="676">
        <v>17312</v>
      </c>
      <c r="T52" s="714">
        <v>3</v>
      </c>
      <c r="U52" s="715" t="s">
        <v>260</v>
      </c>
      <c r="V52" s="676">
        <v>32619</v>
      </c>
      <c r="W52" s="676">
        <v>48927</v>
      </c>
      <c r="X52" s="714"/>
      <c r="Y52" s="715" t="s">
        <v>260</v>
      </c>
      <c r="Z52" s="676">
        <v>65235</v>
      </c>
      <c r="AA52" s="676">
        <v>81543</v>
      </c>
      <c r="AB52" s="714"/>
      <c r="AC52" s="715" t="s">
        <v>260</v>
      </c>
      <c r="AD52" s="676">
        <v>97851</v>
      </c>
      <c r="AE52" s="676">
        <v>114159</v>
      </c>
      <c r="AF52" s="714"/>
      <c r="AG52" s="715" t="s">
        <v>260</v>
      </c>
      <c r="AH52" s="676">
        <v>130467</v>
      </c>
      <c r="AI52" s="676">
        <v>146775</v>
      </c>
      <c r="AJ52" s="714"/>
      <c r="AK52" s="715" t="s">
        <v>260</v>
      </c>
      <c r="AL52" s="676">
        <v>163083</v>
      </c>
    </row>
    <row r="53" spans="2:38" ht="17.25" customHeight="1">
      <c r="B53" s="268" t="str">
        <f>IFERROR(INDEX($Q$1:$BH$100,ROW(A53),MATCH(Data_Tech!$AU$7,$Q$1:$AN$1,)+COLUMN(A52)-1),"")</f>
        <v>Михно Татьяна Николаевна</v>
      </c>
      <c r="C53" s="45"/>
      <c r="D53" s="223">
        <f>INDEX($Q$1:$BH$100,ROW(B53),MATCH(Data_Tech!$AU$7,$Q$1:$AN$1,)+COLUMN(B53)-1)</f>
        <v>3</v>
      </c>
      <c r="E53" s="224">
        <f>INDEX($Q$1:$BH$100,ROW(C53),MATCH(Data_Tech!$AU$7,$Q$1:$AN$1,)+COLUMN(C53)-1)</f>
        <v>15239</v>
      </c>
      <c r="H53" s="702">
        <v>85</v>
      </c>
      <c r="I53" s="749" t="s">
        <v>365</v>
      </c>
      <c r="J53" s="10">
        <f>SUMIFS(Таблица1[сумма],Таблица1[партия],I53,Таблица1[изд],H53)</f>
        <v>0</v>
      </c>
      <c r="K53" s="10">
        <f>SUMIFS(Таблица14[часы],Таблица14[партия],I53,Таблица14[изд],H53)</f>
        <v>0</v>
      </c>
      <c r="L53" s="10">
        <f>SUMIFS(Таблица1[Столбец1],Таблица1[партия],I53,Таблица1[изд],H53)</f>
        <v>0</v>
      </c>
      <c r="M53" s="703">
        <f t="shared" si="17"/>
        <v>0</v>
      </c>
      <c r="N53" s="704">
        <f>$AS$20-M53-O53</f>
        <v>760.72500000000002</v>
      </c>
      <c r="O53" s="10"/>
      <c r="P53" s="700">
        <v>52</v>
      </c>
      <c r="Q53" s="715" t="s">
        <v>281</v>
      </c>
      <c r="R53" s="676">
        <v>3</v>
      </c>
      <c r="S53" s="676">
        <v>15239</v>
      </c>
      <c r="T53" s="714"/>
      <c r="U53" s="715" t="s">
        <v>287</v>
      </c>
      <c r="V53" s="676">
        <v>5698.6666666666697</v>
      </c>
      <c r="W53" s="676">
        <v>5698.6666666666697</v>
      </c>
      <c r="X53" s="714">
        <v>5698.6666666666797</v>
      </c>
      <c r="Y53" s="715" t="s">
        <v>287</v>
      </c>
      <c r="Z53" s="676">
        <v>5698.6666666666797</v>
      </c>
      <c r="AA53" s="676">
        <v>5698.6666666666797</v>
      </c>
      <c r="AB53" s="714">
        <v>5698.6666666666897</v>
      </c>
      <c r="AC53" s="715" t="s">
        <v>287</v>
      </c>
      <c r="AD53" s="676">
        <v>5698.6666666666897</v>
      </c>
      <c r="AE53" s="676">
        <v>5698.6666666666897</v>
      </c>
      <c r="AF53" s="714">
        <v>5698.6666666666897</v>
      </c>
      <c r="AG53" s="715" t="s">
        <v>287</v>
      </c>
      <c r="AH53" s="676">
        <v>5698.6666666666997</v>
      </c>
      <c r="AI53" s="676">
        <v>5698.6666666666997</v>
      </c>
      <c r="AJ53" s="714">
        <v>5698.6666666666997</v>
      </c>
      <c r="AK53" s="715" t="s">
        <v>287</v>
      </c>
      <c r="AL53" s="676">
        <v>5698.6666666666997</v>
      </c>
    </row>
    <row r="54" spans="2:38" ht="17.25" customHeight="1">
      <c r="B54" s="268" t="str">
        <f>IFERROR(INDEX($Q$1:$BH$100,ROW(A54),MATCH(Data_Tech!$AU$7,$Q$1:$AN$1,)+COLUMN(A53)-1),"")</f>
        <v>Мунтян Жанна Алексеевна</v>
      </c>
      <c r="C54" s="45"/>
      <c r="D54" s="223">
        <f>INDEX($Q$1:$BH$100,ROW(B54),MATCH(Data_Tech!$AU$7,$Q$1:$AN$1,)+COLUMN(B54)-1)</f>
        <v>3</v>
      </c>
      <c r="E54" s="224">
        <f>INDEX($Q$1:$BH$100,ROW(C54),MATCH(Data_Tech!$AU$7,$Q$1:$AN$1,)+COLUMN(C54)-1)</f>
        <v>17354</v>
      </c>
      <c r="H54" s="702">
        <v>85</v>
      </c>
      <c r="I54" s="749" t="s">
        <v>366</v>
      </c>
      <c r="J54" s="10">
        <f>SUMIFS(Таблица1[сумма],Таблица1[партия],I54,Таблица1[изд],H54)</f>
        <v>0</v>
      </c>
      <c r="K54" s="10">
        <f>SUMIFS(Таблица14[часы],Таблица14[партия],I54,Таблица14[изд],H54)</f>
        <v>0</v>
      </c>
      <c r="L54" s="10">
        <f>SUMIFS(Таблица1[Столбец1],Таблица1[партия],I54,Таблица1[изд],H54)</f>
        <v>0</v>
      </c>
      <c r="M54" s="703">
        <f t="shared" si="17"/>
        <v>0</v>
      </c>
      <c r="N54" s="704">
        <f>$AS$4-M54-O54</f>
        <v>1265</v>
      </c>
      <c r="O54" s="10"/>
      <c r="P54" s="700">
        <v>53</v>
      </c>
      <c r="Q54" s="677" t="s">
        <v>378</v>
      </c>
      <c r="R54" s="676">
        <v>3</v>
      </c>
      <c r="S54" s="676">
        <v>17354</v>
      </c>
      <c r="T54" s="714">
        <v>2</v>
      </c>
      <c r="U54" s="715" t="s">
        <v>261</v>
      </c>
      <c r="V54" s="676">
        <v>31109</v>
      </c>
      <c r="W54" s="676">
        <v>46662</v>
      </c>
      <c r="X54" s="714"/>
      <c r="Y54" s="715" t="s">
        <v>261</v>
      </c>
      <c r="Z54" s="676">
        <v>62215</v>
      </c>
      <c r="AA54" s="676">
        <v>77768</v>
      </c>
      <c r="AB54" s="714"/>
      <c r="AC54" s="715" t="s">
        <v>261</v>
      </c>
      <c r="AD54" s="676">
        <v>93321</v>
      </c>
      <c r="AE54" s="676">
        <v>108874</v>
      </c>
      <c r="AF54" s="714"/>
      <c r="AG54" s="715" t="s">
        <v>261</v>
      </c>
      <c r="AH54" s="676">
        <v>124427</v>
      </c>
      <c r="AI54" s="676">
        <v>139980</v>
      </c>
      <c r="AJ54" s="714"/>
      <c r="AK54" s="715" t="s">
        <v>261</v>
      </c>
      <c r="AL54" s="676">
        <v>155533</v>
      </c>
    </row>
    <row r="55" spans="2:38" ht="17.25" customHeight="1">
      <c r="B55" s="268" t="str">
        <f>IFERROR(INDEX($Q$1:$BH$100,ROW(A55),MATCH(Data_Tech!$AU$7,$Q$1:$AN$1,)+COLUMN(A54)-1),"")</f>
        <v>Набойченко Седа Хамидовна</v>
      </c>
      <c r="C55" s="45"/>
      <c r="D55" s="223">
        <f>INDEX($Q$1:$BH$100,ROW(B55),MATCH(Data_Tech!$AU$7,$Q$1:$AN$1,)+COLUMN(B55)-1)</f>
        <v>3</v>
      </c>
      <c r="E55" s="224">
        <f>INDEX($Q$1:$BH$100,ROW(C55),MATCH(Data_Tech!$AU$7,$Q$1:$AN$1,)+COLUMN(C55)-1)</f>
        <v>15041</v>
      </c>
      <c r="H55" s="702"/>
      <c r="I55" s="749"/>
      <c r="J55" s="10">
        <f>SUMIFS(Таблица1[сумма],Таблица1[партия],I55,Таблица1[изд],H55)</f>
        <v>0</v>
      </c>
      <c r="K55" s="10">
        <f>SUMIFS(Таблица14[часы],Таблица14[партия],I55,Таблица14[изд],H55)</f>
        <v>0</v>
      </c>
      <c r="L55" s="10">
        <f>SUMIFS(Таблица1[Столбец1],Таблица1[партия],I55,Таблица1[изд],H55)</f>
        <v>0</v>
      </c>
      <c r="M55" s="703">
        <f t="shared" si="17"/>
        <v>0</v>
      </c>
      <c r="N55" s="704"/>
      <c r="O55" s="10"/>
      <c r="P55" s="700">
        <v>54</v>
      </c>
      <c r="Q55" s="715" t="s">
        <v>259</v>
      </c>
      <c r="R55" s="676">
        <v>3</v>
      </c>
      <c r="S55" s="676">
        <v>15041</v>
      </c>
      <c r="T55" s="714"/>
      <c r="U55" s="715" t="s">
        <v>297</v>
      </c>
      <c r="V55" s="676">
        <v>31175</v>
      </c>
      <c r="W55" s="676">
        <v>46761</v>
      </c>
      <c r="X55" s="714"/>
      <c r="Y55" s="715" t="s">
        <v>297</v>
      </c>
      <c r="Z55" s="676">
        <v>62347</v>
      </c>
      <c r="AA55" s="676">
        <v>77933</v>
      </c>
      <c r="AB55" s="714"/>
      <c r="AC55" s="715" t="s">
        <v>297</v>
      </c>
      <c r="AD55" s="676">
        <v>93519</v>
      </c>
      <c r="AE55" s="676">
        <v>109105</v>
      </c>
      <c r="AF55" s="714"/>
      <c r="AG55" s="715" t="s">
        <v>297</v>
      </c>
      <c r="AH55" s="676">
        <v>124691</v>
      </c>
      <c r="AI55" s="676">
        <v>140277</v>
      </c>
      <c r="AJ55" s="714"/>
      <c r="AK55" s="715" t="s">
        <v>297</v>
      </c>
      <c r="AL55" s="676">
        <v>155863</v>
      </c>
    </row>
    <row r="56" spans="2:38" ht="17.25" customHeight="1">
      <c r="B56" s="268" t="str">
        <f>IFERROR(INDEX($Q$1:$BH$100,ROW(A56),MATCH(Data_Tech!$AU$7,$Q$1:$AN$1,)+COLUMN(A55)-1),"")</f>
        <v>Нагловская Наталья Анатольевна</v>
      </c>
      <c r="C56" s="45"/>
      <c r="D56" s="223">
        <f>INDEX($Q$1:$BH$100,ROW(B56),MATCH(Data_Tech!$AU$7,$Q$1:$AN$1,)+COLUMN(B56)-1)</f>
        <v>3</v>
      </c>
      <c r="E56" s="224">
        <f>INDEX($Q$1:$BH$100,ROW(C56),MATCH(Data_Tech!$AU$7,$Q$1:$AN$1,)+COLUMN(C56)-1)</f>
        <v>16303</v>
      </c>
      <c r="H56" s="702">
        <v>631</v>
      </c>
      <c r="I56" s="749" t="s">
        <v>364</v>
      </c>
      <c r="J56" s="10">
        <f>SUMIFS(Таблица1[сумма],Таблица1[партия],I56,Таблица1[изд],H56)</f>
        <v>0</v>
      </c>
      <c r="K56" s="10">
        <f>SUMIFS(Таблица14[часы],Таблица14[партия],I56,Таблица14[изд],H56)</f>
        <v>0</v>
      </c>
      <c r="L56" s="10">
        <f>SUMIFS(Таблица1[Столбец1],Таблица1[партия],I56,Таблица1[изд],H56)</f>
        <v>0</v>
      </c>
      <c r="M56" s="703">
        <f t="shared" si="17"/>
        <v>0</v>
      </c>
      <c r="N56" s="704">
        <f>$AS$19-M56-O56</f>
        <v>604.79999999999995</v>
      </c>
      <c r="P56" s="700">
        <v>55</v>
      </c>
      <c r="Q56" s="677" t="s">
        <v>363</v>
      </c>
      <c r="R56" s="676">
        <v>3</v>
      </c>
      <c r="S56" s="676">
        <v>16303</v>
      </c>
      <c r="T56" s="714"/>
      <c r="U56" s="715" t="s">
        <v>262</v>
      </c>
      <c r="V56" s="676">
        <v>5620</v>
      </c>
      <c r="W56" s="676">
        <v>5619.5</v>
      </c>
      <c r="X56" s="714">
        <v>5619</v>
      </c>
      <c r="Y56" s="715" t="s">
        <v>262</v>
      </c>
      <c r="Z56" s="676">
        <v>5618.50000000001</v>
      </c>
      <c r="AA56" s="676">
        <v>5618.00000000001</v>
      </c>
      <c r="AB56" s="714">
        <v>5617.50000000001</v>
      </c>
      <c r="AC56" s="715" t="s">
        <v>262</v>
      </c>
      <c r="AD56" s="676">
        <v>5617.00000000001</v>
      </c>
      <c r="AE56" s="676">
        <v>5616.50000000001</v>
      </c>
      <c r="AF56" s="714">
        <v>5616.00000000001</v>
      </c>
      <c r="AG56" s="715" t="s">
        <v>262</v>
      </c>
      <c r="AH56" s="676">
        <v>5615.50000000001</v>
      </c>
      <c r="AI56" s="676">
        <v>5615.00000000001</v>
      </c>
      <c r="AJ56" s="714">
        <v>5614.50000000002</v>
      </c>
      <c r="AK56" s="715" t="s">
        <v>262</v>
      </c>
      <c r="AL56" s="676">
        <v>5614.00000000002</v>
      </c>
    </row>
    <row r="57" spans="2:38" ht="17.25" customHeight="1">
      <c r="B57" s="268" t="str">
        <f>IFERROR(INDEX($Q$1:$BH$100,ROW(A57),MATCH(Data_Tech!$AU$7,$Q$1:$AN$1,)+COLUMN(A56)-1),"")</f>
        <v>Никифорова Юлия Анатольевна</v>
      </c>
      <c r="C57" s="45"/>
      <c r="D57" s="223">
        <f>INDEX($Q$1:$BH$100,ROW(B57),MATCH(Data_Tech!$AU$7,$Q$1:$AN$1,)+COLUMN(B57)-1)</f>
        <v>3</v>
      </c>
      <c r="E57" s="224">
        <f>INDEX($Q$1:$BH$100,ROW(C57),MATCH(Data_Tech!$AU$7,$Q$1:$AN$1,)+COLUMN(C57)-1)</f>
        <v>17164</v>
      </c>
      <c r="H57" s="702">
        <v>631</v>
      </c>
      <c r="I57" s="749" t="s">
        <v>365</v>
      </c>
      <c r="J57" s="10">
        <f>SUMIFS(Таблица1[сумма],Таблица1[партия],I57,Таблица1[изд],H57)</f>
        <v>0</v>
      </c>
      <c r="K57" s="10">
        <f>SUMIFS(Таблица14[часы],Таблица14[партия],I57,Таблица14[изд],H57)</f>
        <v>0</v>
      </c>
      <c r="L57" s="10">
        <f>SUMIFS(Таблица1[Столбец1],Таблица1[партия],I57,Таблица1[изд],H57)</f>
        <v>0</v>
      </c>
      <c r="M57" s="703">
        <f t="shared" si="17"/>
        <v>0</v>
      </c>
      <c r="N57" s="704">
        <f t="shared" ref="N57:N58" si="18">$AS$19-M57-O57</f>
        <v>604.79999999999995</v>
      </c>
      <c r="P57" s="700">
        <v>56</v>
      </c>
      <c r="Q57" s="715" t="s">
        <v>303</v>
      </c>
      <c r="R57" s="676">
        <v>3</v>
      </c>
      <c r="S57" s="676">
        <v>17164</v>
      </c>
      <c r="T57" s="714">
        <v>2</v>
      </c>
      <c r="U57" s="715" t="s">
        <v>309</v>
      </c>
      <c r="V57" s="676">
        <v>33933</v>
      </c>
      <c r="W57" s="676">
        <v>50898</v>
      </c>
      <c r="X57" s="714"/>
      <c r="Y57" s="715" t="s">
        <v>309</v>
      </c>
      <c r="Z57" s="676">
        <v>67863</v>
      </c>
      <c r="AA57" s="676">
        <v>84828</v>
      </c>
      <c r="AB57" s="714"/>
      <c r="AC57" s="715" t="s">
        <v>309</v>
      </c>
      <c r="AD57" s="676">
        <v>101793</v>
      </c>
      <c r="AE57" s="676">
        <v>118758</v>
      </c>
      <c r="AF57" s="714"/>
      <c r="AG57" s="715" t="s">
        <v>309</v>
      </c>
      <c r="AH57" s="676">
        <v>135723</v>
      </c>
      <c r="AI57" s="676">
        <v>152688</v>
      </c>
      <c r="AJ57" s="714"/>
      <c r="AK57" s="715" t="s">
        <v>309</v>
      </c>
      <c r="AL57" s="676">
        <v>169653</v>
      </c>
    </row>
    <row r="58" spans="2:38" ht="17.25" customHeight="1">
      <c r="B58" s="268" t="str">
        <f>IFERROR(INDEX($Q$1:$BH$100,ROW(A58),MATCH(Data_Tech!$AU$7,$Q$1:$AN$1,)+COLUMN(A57)-1),"")</f>
        <v>Новикова Александра Владимировна</v>
      </c>
      <c r="C58" s="45"/>
      <c r="D58" s="223">
        <f>INDEX($Q$1:$BH$100,ROW(B58),MATCH(Data_Tech!$AU$7,$Q$1:$AN$1,)+COLUMN(B58)-1)</f>
        <v>3</v>
      </c>
      <c r="E58" s="224">
        <f>INDEX($Q$1:$BH$100,ROW(C58),MATCH(Data_Tech!$AU$7,$Q$1:$AN$1,)+COLUMN(C58)-1)</f>
        <v>17307</v>
      </c>
      <c r="H58" s="702">
        <v>631</v>
      </c>
      <c r="I58" s="749" t="s">
        <v>366</v>
      </c>
      <c r="J58" s="10">
        <f>SUMIFS(Таблица1[сумма],Таблица1[партия],I58,Таблица1[изд],H58)</f>
        <v>0</v>
      </c>
      <c r="K58" s="10">
        <f>SUMIFS(Таблица14[часы],Таблица14[партия],I58,Таблица14[изд],H58)</f>
        <v>0</v>
      </c>
      <c r="L58" s="10">
        <f>SUMIFS(Таблица1[Столбец1],Таблица1[партия],I58,Таблица1[изд],H58)</f>
        <v>0</v>
      </c>
      <c r="M58" s="703">
        <f t="shared" si="17"/>
        <v>0</v>
      </c>
      <c r="N58" s="704">
        <f t="shared" si="18"/>
        <v>604.79999999999995</v>
      </c>
      <c r="P58" s="700">
        <v>57</v>
      </c>
      <c r="Q58" s="677" t="s">
        <v>353</v>
      </c>
      <c r="R58" s="676">
        <v>3</v>
      </c>
      <c r="S58" s="676">
        <v>17307</v>
      </c>
      <c r="T58" s="714">
        <v>2</v>
      </c>
      <c r="U58" s="715" t="s">
        <v>263</v>
      </c>
      <c r="V58" s="676">
        <v>5034.6666666666697</v>
      </c>
      <c r="W58" s="676">
        <v>5034.6666666666697</v>
      </c>
      <c r="X58" s="714">
        <v>5034.6666666666697</v>
      </c>
      <c r="Y58" s="715" t="s">
        <v>263</v>
      </c>
      <c r="Z58" s="676">
        <v>5034.6666666666697</v>
      </c>
      <c r="AA58" s="676">
        <v>5034.6666666666697</v>
      </c>
      <c r="AB58" s="714">
        <v>5034.6666666666697</v>
      </c>
      <c r="AC58" s="715" t="s">
        <v>263</v>
      </c>
      <c r="AD58" s="676">
        <v>5034.6666666666697</v>
      </c>
      <c r="AE58" s="676">
        <v>5034.6666666666697</v>
      </c>
      <c r="AF58" s="714">
        <v>5034.6666666666697</v>
      </c>
      <c r="AG58" s="715" t="s">
        <v>263</v>
      </c>
      <c r="AH58" s="676">
        <v>5034.6666666666697</v>
      </c>
      <c r="AI58" s="676">
        <v>5034.6666666666697</v>
      </c>
      <c r="AJ58" s="714">
        <v>5034.6666666666697</v>
      </c>
      <c r="AK58" s="715" t="s">
        <v>263</v>
      </c>
      <c r="AL58" s="676">
        <v>5034.6666666666697</v>
      </c>
    </row>
    <row r="59" spans="2:38" ht="17.25" customHeight="1">
      <c r="B59" s="268" t="str">
        <f>IFERROR(INDEX($Q$1:$BH$100,ROW(A59),MATCH(Data_Tech!$AU$7,$Q$1:$AN$1,)+COLUMN(A58)-1),"")</f>
        <v>Овчинников Глеб Эдуардович</v>
      </c>
      <c r="D59" s="223">
        <f>INDEX($Q$1:$BH$100,ROW(B59),MATCH(Data_Tech!$AU$7,$Q$1:$AN$1,)+COLUMN(B59)-1)</f>
        <v>3</v>
      </c>
      <c r="E59" s="224">
        <f>INDEX($Q$1:$BH$100,ROW(C59),MATCH(Data_Tech!$AU$7,$Q$1:$AN$1,)+COLUMN(C59)-1)</f>
        <v>16950</v>
      </c>
      <c r="H59" s="702">
        <v>631</v>
      </c>
      <c r="I59" s="749" t="s">
        <v>364</v>
      </c>
      <c r="J59" s="10">
        <f>SUMIFS(Таблица1[сумма],Таблица1[партия],I59,Таблица1[изд],H59)</f>
        <v>0</v>
      </c>
      <c r="K59" s="10">
        <f>SUMIFS(Таблица14[часы],Таблица14[партия],I59,Таблица14[изд],H59)</f>
        <v>0</v>
      </c>
      <c r="L59" s="10">
        <f>SUMIFS(Таблица1[Столбец1],Таблица1[партия],I59,Таблица1[изд],H59)</f>
        <v>0</v>
      </c>
      <c r="M59" s="703">
        <f t="shared" si="17"/>
        <v>0</v>
      </c>
      <c r="N59" s="704">
        <f>$AS$19-M59-O59</f>
        <v>604.79999999999995</v>
      </c>
      <c r="P59" s="700">
        <v>58</v>
      </c>
      <c r="Q59" s="715" t="s">
        <v>268</v>
      </c>
      <c r="R59" s="676">
        <v>3</v>
      </c>
      <c r="S59" s="676">
        <v>16950</v>
      </c>
      <c r="T59" s="698"/>
      <c r="U59" s="715" t="s">
        <v>264</v>
      </c>
      <c r="V59" s="676">
        <v>30471</v>
      </c>
      <c r="W59" s="676">
        <v>45705</v>
      </c>
      <c r="X59" s="714"/>
      <c r="Y59" s="715" t="s">
        <v>264</v>
      </c>
      <c r="Z59" s="676">
        <v>60939</v>
      </c>
      <c r="AA59" s="676">
        <v>76173</v>
      </c>
      <c r="AB59" s="714"/>
      <c r="AC59" s="715" t="s">
        <v>264</v>
      </c>
      <c r="AD59" s="676">
        <v>91407</v>
      </c>
      <c r="AE59" s="676">
        <v>106641</v>
      </c>
      <c r="AF59" s="714"/>
      <c r="AG59" s="715" t="s">
        <v>264</v>
      </c>
      <c r="AH59" s="676">
        <v>121875</v>
      </c>
      <c r="AI59" s="676">
        <v>137109</v>
      </c>
      <c r="AJ59" s="714"/>
      <c r="AK59" s="715" t="s">
        <v>264</v>
      </c>
      <c r="AL59" s="676">
        <v>152343</v>
      </c>
    </row>
    <row r="60" spans="2:38" ht="17.25" customHeight="1">
      <c r="B60" s="268" t="str">
        <f>IFERROR(INDEX($Q$1:$BH$100,ROW(A60),MATCH(Data_Tech!$AU$7,$Q$1:$AN$1,)+COLUMN(A59)-1),"")</f>
        <v>Оленева Анна Викторовна</v>
      </c>
      <c r="D60" s="223">
        <f>INDEX($Q$1:$BH$100,ROW(B60),MATCH(Data_Tech!$AU$7,$Q$1:$AN$1,)+COLUMN(B60)-1)</f>
        <v>3</v>
      </c>
      <c r="E60" s="224">
        <f>INDEX($Q$1:$BH$100,ROW(C60),MATCH(Data_Tech!$AU$7,$Q$1:$AN$1,)+COLUMN(C60)-1)</f>
        <v>16311</v>
      </c>
      <c r="P60" s="700">
        <v>59</v>
      </c>
      <c r="Q60" s="715" t="s">
        <v>260</v>
      </c>
      <c r="R60" s="676">
        <v>3</v>
      </c>
      <c r="S60" s="676">
        <v>16311</v>
      </c>
      <c r="T60" s="698"/>
      <c r="U60" s="715" t="s">
        <v>329</v>
      </c>
      <c r="V60" s="676">
        <v>5736.6666666666697</v>
      </c>
      <c r="W60" s="676">
        <v>5736.1666666666697</v>
      </c>
      <c r="X60" s="714">
        <v>5735.6666666666697</v>
      </c>
      <c r="Y60" s="715" t="s">
        <v>329</v>
      </c>
      <c r="Z60" s="676">
        <v>5735.1666666666697</v>
      </c>
      <c r="AA60" s="676">
        <v>5734.6666666666697</v>
      </c>
      <c r="AB60" s="714">
        <v>5734.1666666666797</v>
      </c>
      <c r="AC60" s="715" t="s">
        <v>329</v>
      </c>
      <c r="AD60" s="676">
        <v>5733.6666666666797</v>
      </c>
      <c r="AE60" s="676">
        <v>5733.1666666666797</v>
      </c>
      <c r="AF60" s="714">
        <v>5732.6666666666797</v>
      </c>
      <c r="AG60" s="715" t="s">
        <v>329</v>
      </c>
      <c r="AH60" s="676">
        <v>5732.1666666666797</v>
      </c>
      <c r="AI60" s="676">
        <v>5731.6666666666797</v>
      </c>
      <c r="AJ60" s="714">
        <v>5731.1666666666797</v>
      </c>
      <c r="AK60" s="715" t="s">
        <v>329</v>
      </c>
      <c r="AL60" s="676">
        <v>5730.6666666666797</v>
      </c>
    </row>
    <row r="61" spans="2:38" ht="17.25" customHeight="1">
      <c r="B61" s="268" t="str">
        <f>IFERROR(INDEX($Q$1:$BH$100,ROW(A61),MATCH(Data_Tech!$AU$7,$Q$1:$AN$1,)+COLUMN(A60)-1),"")</f>
        <v>Ополченова Ольга Валерьевна</v>
      </c>
      <c r="D61" s="223">
        <f>INDEX($Q$1:$BH$100,ROW(B61),MATCH(Data_Tech!$AU$7,$Q$1:$AN$1,)+COLUMN(B61)-1)</f>
        <v>3</v>
      </c>
      <c r="E61" s="224">
        <f>INDEX($Q$1:$BH$100,ROW(C61),MATCH(Data_Tech!$AU$7,$Q$1:$AN$1,)+COLUMN(C61)-1)</f>
        <v>17343</v>
      </c>
      <c r="P61" s="700">
        <v>60</v>
      </c>
      <c r="Q61" s="677" t="s">
        <v>375</v>
      </c>
      <c r="R61" s="676">
        <v>3</v>
      </c>
      <c r="S61" s="676">
        <v>17343</v>
      </c>
      <c r="T61" s="698">
        <v>3</v>
      </c>
      <c r="U61" s="715" t="s">
        <v>291</v>
      </c>
      <c r="V61" s="676">
        <v>5700</v>
      </c>
      <c r="W61" s="676">
        <v>5699</v>
      </c>
      <c r="X61" s="714">
        <v>5698</v>
      </c>
      <c r="Y61" s="715" t="s">
        <v>291</v>
      </c>
      <c r="Z61" s="676">
        <v>5697</v>
      </c>
      <c r="AA61" s="676">
        <v>5696</v>
      </c>
      <c r="AB61" s="714">
        <v>5695</v>
      </c>
      <c r="AC61" s="715" t="s">
        <v>291</v>
      </c>
      <c r="AD61" s="676">
        <v>5694</v>
      </c>
      <c r="AE61" s="676">
        <v>5693</v>
      </c>
      <c r="AF61" s="714">
        <v>5692</v>
      </c>
      <c r="AG61" s="715" t="s">
        <v>291</v>
      </c>
      <c r="AH61" s="676">
        <v>5691</v>
      </c>
      <c r="AI61" s="676">
        <v>5690</v>
      </c>
      <c r="AJ61" s="714">
        <v>5689</v>
      </c>
      <c r="AK61" s="715" t="s">
        <v>291</v>
      </c>
      <c r="AL61" s="676">
        <v>5688</v>
      </c>
    </row>
    <row r="62" spans="2:38" ht="17.25" customHeight="1">
      <c r="B62" s="268" t="str">
        <f>IFERROR(INDEX($Q$1:$BH$100,ROW(A62),MATCH(Data_Tech!$AU$7,$Q$1:$AN$1,)+COLUMN(A61)-1),"")</f>
        <v>Петрова Анна Сергеевна</v>
      </c>
      <c r="D62" s="223">
        <f>INDEX($Q$1:$BH$100,ROW(B62),MATCH(Data_Tech!$AU$7,$Q$1:$AN$1,)+COLUMN(B62)-1)</f>
        <v>3</v>
      </c>
      <c r="E62" s="224">
        <f>INDEX($Q$1:$BH$100,ROW(C62),MATCH(Data_Tech!$AU$7,$Q$1:$AN$1,)+COLUMN(C62)-1)</f>
        <v>15556</v>
      </c>
      <c r="P62" s="700">
        <v>61</v>
      </c>
      <c r="Q62" s="715" t="s">
        <v>261</v>
      </c>
      <c r="R62" s="676">
        <v>3</v>
      </c>
      <c r="S62" s="676">
        <v>15556</v>
      </c>
      <c r="T62" s="698">
        <v>1</v>
      </c>
      <c r="U62" s="715" t="s">
        <v>330</v>
      </c>
      <c r="V62" s="676">
        <v>5746</v>
      </c>
      <c r="W62" s="676">
        <v>5746.00000000001</v>
      </c>
      <c r="X62" s="714">
        <v>5746.00000000001</v>
      </c>
      <c r="Y62" s="715" t="s">
        <v>330</v>
      </c>
      <c r="Z62" s="676">
        <v>5746.00000000001</v>
      </c>
      <c r="AA62" s="676">
        <v>5746.00000000002</v>
      </c>
      <c r="AB62" s="714">
        <v>5746.00000000002</v>
      </c>
      <c r="AC62" s="715" t="s">
        <v>330</v>
      </c>
      <c r="AD62" s="676">
        <v>5746.00000000002</v>
      </c>
      <c r="AE62" s="676">
        <v>5746.00000000002</v>
      </c>
      <c r="AF62" s="714">
        <v>5746.00000000003</v>
      </c>
      <c r="AG62" s="715" t="s">
        <v>330</v>
      </c>
      <c r="AH62" s="676">
        <v>5746.00000000003</v>
      </c>
      <c r="AI62" s="676">
        <v>5746.00000000003</v>
      </c>
      <c r="AJ62" s="714">
        <v>5746.00000000003</v>
      </c>
      <c r="AK62" s="715" t="s">
        <v>330</v>
      </c>
      <c r="AL62" s="676">
        <v>5746.00000000004</v>
      </c>
    </row>
    <row r="63" spans="2:38" ht="17.25" customHeight="1">
      <c r="B63" s="268" t="str">
        <f>IFERROR(INDEX($Q$1:$BH$100,ROW(A63),MATCH(Data_Tech!$AU$7,$Q$1:$AN$1,)+COLUMN(A62)-1),"")</f>
        <v>Пириева Виктория Хозеиновна</v>
      </c>
      <c r="D63" s="223">
        <f>INDEX($Q$1:$BH$100,ROW(B63),MATCH(Data_Tech!$AU$7,$Q$1:$AN$1,)+COLUMN(B63)-1)</f>
        <v>3</v>
      </c>
      <c r="E63" s="224">
        <f>INDEX($Q$1:$BH$100,ROW(C63),MATCH(Data_Tech!$AU$7,$Q$1:$AN$1,)+COLUMN(C63)-1)</f>
        <v>15589</v>
      </c>
      <c r="P63" s="700">
        <v>62</v>
      </c>
      <c r="Q63" s="715" t="s">
        <v>297</v>
      </c>
      <c r="R63" s="676">
        <v>3</v>
      </c>
      <c r="S63" s="676">
        <v>15589</v>
      </c>
      <c r="T63" s="698"/>
      <c r="U63" s="677" t="s">
        <v>348</v>
      </c>
      <c r="V63" s="676">
        <v>5762.3333333333403</v>
      </c>
      <c r="W63" s="677">
        <v>5761.3333333333403</v>
      </c>
      <c r="X63" s="714">
        <v>5760.3333333333403</v>
      </c>
      <c r="Y63" s="677" t="s">
        <v>348</v>
      </c>
      <c r="Z63" s="676">
        <v>5759.3333333333403</v>
      </c>
      <c r="AA63" s="677">
        <v>5758.3333333333403</v>
      </c>
      <c r="AB63" s="714">
        <v>5757.3333333333403</v>
      </c>
      <c r="AC63" s="677" t="s">
        <v>348</v>
      </c>
      <c r="AD63" s="676">
        <v>5756.3333333333403</v>
      </c>
      <c r="AE63" s="677">
        <v>5755.3333333333403</v>
      </c>
      <c r="AF63" s="714">
        <v>5754.3333333333403</v>
      </c>
      <c r="AG63" s="677" t="s">
        <v>348</v>
      </c>
      <c r="AH63" s="676">
        <v>5753.3333333333503</v>
      </c>
      <c r="AI63" s="677">
        <v>5752.3333333333503</v>
      </c>
      <c r="AJ63" s="714">
        <v>5751.3333333333503</v>
      </c>
      <c r="AK63" s="677" t="s">
        <v>348</v>
      </c>
      <c r="AL63" s="676">
        <v>5750.3333333333503</v>
      </c>
    </row>
    <row r="64" spans="2:38" ht="17.25" customHeight="1">
      <c r="B64" s="268" t="str">
        <f>IFERROR(INDEX($Q$1:$BH$100,ROW(A64),MATCH(Data_Tech!$AU$7,$Q$1:$AN$1,)+COLUMN(A63)-1),"")</f>
        <v>Полушкина Анастасия Юрьевна</v>
      </c>
      <c r="D64" s="223">
        <f>INDEX($Q$1:$BH$100,ROW(B64),MATCH(Data_Tech!$AU$7,$Q$1:$AN$1,)+COLUMN(B64)-1)</f>
        <v>3</v>
      </c>
      <c r="E64" s="224">
        <f>INDEX($Q$1:$BH$100,ROW(C64),MATCH(Data_Tech!$AU$7,$Q$1:$AN$1,)+COLUMN(C64)-1)</f>
        <v>16858</v>
      </c>
      <c r="P64" s="700">
        <v>63</v>
      </c>
      <c r="Q64" s="715" t="s">
        <v>262</v>
      </c>
      <c r="R64" s="676">
        <v>3</v>
      </c>
      <c r="S64" s="676">
        <v>16858</v>
      </c>
      <c r="T64" s="698">
        <v>2</v>
      </c>
      <c r="U64" s="715" t="s">
        <v>265</v>
      </c>
      <c r="V64" s="676">
        <v>29274</v>
      </c>
      <c r="W64" s="676">
        <v>43909</v>
      </c>
      <c r="X64" s="714"/>
      <c r="Y64" s="715" t="s">
        <v>265</v>
      </c>
      <c r="Z64" s="676">
        <v>58544</v>
      </c>
      <c r="AA64" s="676">
        <v>73179</v>
      </c>
      <c r="AB64" s="714"/>
      <c r="AC64" s="715" t="s">
        <v>265</v>
      </c>
      <c r="AD64" s="676">
        <v>87814</v>
      </c>
      <c r="AE64" s="676">
        <v>102449</v>
      </c>
      <c r="AF64" s="714"/>
      <c r="AG64" s="715" t="s">
        <v>265</v>
      </c>
      <c r="AH64" s="676">
        <v>117084</v>
      </c>
      <c r="AI64" s="676">
        <v>131719</v>
      </c>
      <c r="AJ64" s="714"/>
      <c r="AK64" s="715" t="s">
        <v>265</v>
      </c>
      <c r="AL64" s="676">
        <v>146354</v>
      </c>
    </row>
    <row r="65" spans="2:38" ht="17.25" customHeight="1">
      <c r="B65" s="268" t="str">
        <f>IFERROR(INDEX($Q$1:$BH$100,ROW(A65),MATCH(Data_Tech!$AU$7,$Q$1:$AN$1,)+COLUMN(A64)-1),"")</f>
        <v>Потемкина Елена Анатольевна</v>
      </c>
      <c r="D65" s="223">
        <f>INDEX($Q$1:$BH$100,ROW(B65),MATCH(Data_Tech!$AU$7,$Q$1:$AN$1,)+COLUMN(B65)-1)</f>
        <v>3</v>
      </c>
      <c r="E65" s="224">
        <f>INDEX($Q$1:$BH$100,ROW(C65),MATCH(Data_Tech!$AU$7,$Q$1:$AN$1,)+COLUMN(C65)-1)</f>
        <v>15098</v>
      </c>
      <c r="P65" s="700">
        <v>64</v>
      </c>
      <c r="Q65" s="715" t="s">
        <v>263</v>
      </c>
      <c r="R65" s="676">
        <v>3</v>
      </c>
      <c r="S65" s="676">
        <v>15098</v>
      </c>
      <c r="T65" s="698">
        <v>3</v>
      </c>
      <c r="U65" s="715" t="s">
        <v>331</v>
      </c>
      <c r="V65" s="676">
        <v>5734</v>
      </c>
      <c r="W65" s="676">
        <v>5734</v>
      </c>
      <c r="X65" s="714">
        <v>5734</v>
      </c>
      <c r="Y65" s="715" t="s">
        <v>331</v>
      </c>
      <c r="Z65" s="676">
        <v>5734.00000000001</v>
      </c>
      <c r="AA65" s="676">
        <v>5734.00000000001</v>
      </c>
      <c r="AB65" s="714">
        <v>5734.00000000001</v>
      </c>
      <c r="AC65" s="715" t="s">
        <v>331</v>
      </c>
      <c r="AD65" s="676">
        <v>5734.00000000001</v>
      </c>
      <c r="AE65" s="676">
        <v>5734.00000000001</v>
      </c>
      <c r="AF65" s="714">
        <v>5734.00000000001</v>
      </c>
      <c r="AG65" s="715" t="s">
        <v>331</v>
      </c>
      <c r="AH65" s="676">
        <v>5734.00000000001</v>
      </c>
      <c r="AI65" s="676">
        <v>5734.00000000001</v>
      </c>
      <c r="AJ65" s="714">
        <v>5734.00000000002</v>
      </c>
      <c r="AK65" s="715" t="s">
        <v>331</v>
      </c>
      <c r="AL65" s="676">
        <v>5734.00000000002</v>
      </c>
    </row>
    <row r="66" spans="2:38" ht="17.25" customHeight="1">
      <c r="B66" s="268" t="str">
        <f>IFERROR(INDEX($Q$1:$BH$100,ROW(A66),MATCH(Data_Tech!$AU$7,$Q$1:$AN$1,)+COLUMN(A65)-1),"")</f>
        <v>Пригоженкова Ольга Сергеевна</v>
      </c>
      <c r="D66" s="223">
        <f>INDEX($Q$1:$BH$100,ROW(B66),MATCH(Data_Tech!$AU$7,$Q$1:$AN$1,)+COLUMN(B66)-1)</f>
        <v>3</v>
      </c>
      <c r="E66" s="224">
        <f>INDEX($Q$1:$BH$100,ROW(C66),MATCH(Data_Tech!$AU$7,$Q$1:$AN$1,)+COLUMN(C66)-1)</f>
        <v>15237</v>
      </c>
      <c r="P66" s="700">
        <v>65</v>
      </c>
      <c r="Q66" s="715" t="s">
        <v>264</v>
      </c>
      <c r="R66" s="676">
        <v>3</v>
      </c>
      <c r="S66" s="676">
        <v>15237</v>
      </c>
      <c r="T66" s="698"/>
      <c r="U66" s="715" t="s">
        <v>332</v>
      </c>
      <c r="V66" s="676">
        <v>5757.3333333333403</v>
      </c>
      <c r="W66" s="676">
        <v>5757.3333333333403</v>
      </c>
      <c r="X66" s="714">
        <v>5757.3333333333403</v>
      </c>
      <c r="Y66" s="715" t="s">
        <v>332</v>
      </c>
      <c r="Z66" s="676">
        <v>5757.3333333333503</v>
      </c>
      <c r="AA66" s="676">
        <v>5757.3333333333503</v>
      </c>
      <c r="AB66" s="714">
        <v>5757.3333333333503</v>
      </c>
      <c r="AC66" s="715" t="s">
        <v>332</v>
      </c>
      <c r="AD66" s="676">
        <v>5757.3333333333503</v>
      </c>
      <c r="AE66" s="676">
        <v>5757.3333333333603</v>
      </c>
      <c r="AF66" s="714">
        <v>5757.3333333333603</v>
      </c>
      <c r="AG66" s="715" t="s">
        <v>332</v>
      </c>
      <c r="AH66" s="676">
        <v>5757.3333333333603</v>
      </c>
      <c r="AI66" s="676">
        <v>5757.3333333333603</v>
      </c>
      <c r="AJ66" s="714">
        <v>5757.3333333333703</v>
      </c>
      <c r="AK66" s="715" t="s">
        <v>332</v>
      </c>
      <c r="AL66" s="676">
        <v>5757.3333333333703</v>
      </c>
    </row>
    <row r="67" spans="2:38" ht="17.25" customHeight="1">
      <c r="B67" s="268" t="str">
        <f>IFERROR(INDEX($Q$1:$BH$100,ROW(A67),MATCH(Data_Tech!$AU$7,$Q$1:$AN$1,)+COLUMN(A66)-1),"")</f>
        <v>Рысев Иван Александрович</v>
      </c>
      <c r="D67" s="223">
        <f>INDEX($Q$1:$BH$100,ROW(B67),MATCH(Data_Tech!$AU$7,$Q$1:$AN$1,)+COLUMN(B67)-1)</f>
        <v>3</v>
      </c>
      <c r="E67" s="224">
        <f>INDEX($Q$1:$BH$100,ROW(C67),MATCH(Data_Tech!$AU$7,$Q$1:$AN$1,)+COLUMN(C67)-1)</f>
        <v>17208</v>
      </c>
      <c r="P67" s="700">
        <v>66</v>
      </c>
      <c r="Q67" s="715" t="s">
        <v>329</v>
      </c>
      <c r="R67" s="676">
        <v>3</v>
      </c>
      <c r="S67" s="676">
        <v>17208</v>
      </c>
      <c r="T67" s="698">
        <v>2</v>
      </c>
      <c r="U67" s="715" t="s">
        <v>266</v>
      </c>
      <c r="V67" s="676">
        <v>29972</v>
      </c>
      <c r="W67" s="676">
        <v>44956</v>
      </c>
      <c r="X67" s="714"/>
      <c r="Y67" s="715" t="s">
        <v>266</v>
      </c>
      <c r="Z67" s="676">
        <v>59940</v>
      </c>
      <c r="AA67" s="676">
        <v>74924</v>
      </c>
      <c r="AB67" s="714"/>
      <c r="AC67" s="715" t="s">
        <v>266</v>
      </c>
      <c r="AD67" s="676">
        <v>89908</v>
      </c>
      <c r="AE67" s="676">
        <v>104892</v>
      </c>
      <c r="AF67" s="714"/>
      <c r="AG67" s="715" t="s">
        <v>266</v>
      </c>
      <c r="AH67" s="676">
        <v>119876</v>
      </c>
      <c r="AI67" s="676">
        <v>134860</v>
      </c>
      <c r="AJ67" s="714"/>
      <c r="AK67" s="715" t="s">
        <v>266</v>
      </c>
      <c r="AL67" s="676">
        <v>149844</v>
      </c>
    </row>
    <row r="68" spans="2:38" ht="17.25" customHeight="1">
      <c r="B68" s="268" t="str">
        <f>IFERROR(INDEX($Q$1:$BH$100,ROW(A68),MATCH(Data_Tech!$AU$7,$Q$1:$AN$1,)+COLUMN(A67)-1),"")</f>
        <v>Саидова Ольга Владимировна</v>
      </c>
      <c r="D68" s="223">
        <f>INDEX($Q$1:$BH$100,ROW(B68),MATCH(Data_Tech!$AU$7,$Q$1:$AN$1,)+COLUMN(B68)-1)</f>
        <v>3</v>
      </c>
      <c r="E68" s="224">
        <f>INDEX($Q$1:$BH$100,ROW(C68),MATCH(Data_Tech!$AU$7,$Q$1:$AN$1,)+COLUMN(C68)-1)</f>
        <v>17324</v>
      </c>
      <c r="P68" s="700">
        <v>67</v>
      </c>
      <c r="Q68" s="677" t="s">
        <v>359</v>
      </c>
      <c r="R68" s="676">
        <v>3</v>
      </c>
      <c r="S68" s="676">
        <v>17324</v>
      </c>
      <c r="T68" s="698">
        <v>1</v>
      </c>
      <c r="U68" s="715" t="s">
        <v>267</v>
      </c>
      <c r="V68" s="676">
        <v>31775</v>
      </c>
      <c r="W68" s="676">
        <v>47661</v>
      </c>
      <c r="X68" s="714"/>
      <c r="Y68" s="715" t="s">
        <v>267</v>
      </c>
      <c r="Z68" s="676">
        <v>63547</v>
      </c>
      <c r="AA68" s="676">
        <v>79433</v>
      </c>
      <c r="AB68" s="714"/>
      <c r="AC68" s="715" t="s">
        <v>267</v>
      </c>
      <c r="AD68" s="676">
        <v>95319</v>
      </c>
      <c r="AE68" s="676">
        <v>111205</v>
      </c>
      <c r="AF68" s="714"/>
      <c r="AG68" s="715" t="s">
        <v>267</v>
      </c>
      <c r="AH68" s="676">
        <v>127091</v>
      </c>
      <c r="AI68" s="676">
        <v>142977</v>
      </c>
      <c r="AJ68" s="714"/>
      <c r="AK68" s="715" t="s">
        <v>267</v>
      </c>
      <c r="AL68" s="676">
        <v>158863</v>
      </c>
    </row>
    <row r="69" spans="2:38" ht="17.25" customHeight="1">
      <c r="B69" s="268" t="str">
        <f>IFERROR(INDEX($Q$1:$BH$100,ROW(A69),MATCH(Data_Tech!$AU$7,$Q$1:$AN$1,)+COLUMN(A68)-1),"")</f>
        <v>Сайпулаева Феодосия Андреевна</v>
      </c>
      <c r="D69" s="223">
        <f>INDEX($Q$1:$BH$100,ROW(B69),MATCH(Data_Tech!$AU$7,$Q$1:$AN$1,)+COLUMN(B69)-1)</f>
        <v>3</v>
      </c>
      <c r="E69" s="224">
        <f>INDEX($Q$1:$BH$100,ROW(C69),MATCH(Data_Tech!$AU$7,$Q$1:$AN$1,)+COLUMN(C69)-1)</f>
        <v>17102</v>
      </c>
      <c r="P69" s="700">
        <v>68</v>
      </c>
      <c r="Q69" s="715" t="s">
        <v>291</v>
      </c>
      <c r="R69" s="676">
        <v>3</v>
      </c>
      <c r="S69" s="676">
        <v>17102</v>
      </c>
      <c r="T69" s="698">
        <v>1</v>
      </c>
      <c r="U69" s="715" t="s">
        <v>285</v>
      </c>
      <c r="V69" s="676">
        <v>30516</v>
      </c>
      <c r="W69" s="676">
        <v>45772</v>
      </c>
      <c r="X69" s="714"/>
      <c r="Y69" s="715" t="s">
        <v>285</v>
      </c>
      <c r="Z69" s="676">
        <v>61028</v>
      </c>
      <c r="AA69" s="676">
        <v>76284</v>
      </c>
      <c r="AB69" s="714"/>
      <c r="AC69" s="715" t="s">
        <v>285</v>
      </c>
      <c r="AD69" s="676">
        <v>91540</v>
      </c>
      <c r="AE69" s="676">
        <v>106796</v>
      </c>
      <c r="AF69" s="714"/>
      <c r="AG69" s="715" t="s">
        <v>285</v>
      </c>
      <c r="AH69" s="676">
        <v>122052</v>
      </c>
      <c r="AI69" s="676">
        <v>137308</v>
      </c>
      <c r="AJ69" s="714"/>
      <c r="AK69" s="715" t="s">
        <v>285</v>
      </c>
      <c r="AL69" s="676">
        <v>152564</v>
      </c>
    </row>
    <row r="70" spans="2:38" ht="17.25" customHeight="1">
      <c r="B70" s="268" t="str">
        <f>IFERROR(INDEX($Q$1:$BH$100,ROW(A70),MATCH(Data_Tech!$AU$7,$Q$1:$AN$1,)+COLUMN(A69)-1),"")</f>
        <v>Силаева Ольга Владимировна</v>
      </c>
      <c r="D70" s="223">
        <f>INDEX($Q$1:$BH$100,ROW(B70),MATCH(Data_Tech!$AU$7,$Q$1:$AN$1,)+COLUMN(B70)-1)</f>
        <v>3</v>
      </c>
      <c r="E70" s="224">
        <f>INDEX($Q$1:$BH$100,ROW(C70),MATCH(Data_Tech!$AU$7,$Q$1:$AN$1,)+COLUMN(C70)-1)</f>
        <v>17329</v>
      </c>
      <c r="P70" s="700">
        <v>69</v>
      </c>
      <c r="Q70" s="677" t="s">
        <v>370</v>
      </c>
      <c r="R70" s="676">
        <v>3</v>
      </c>
      <c r="S70" s="676">
        <v>17329</v>
      </c>
      <c r="T70" s="698">
        <v>1</v>
      </c>
      <c r="U70" s="715" t="s">
        <v>286</v>
      </c>
      <c r="V70" s="676">
        <v>5693.6666666666697</v>
      </c>
      <c r="W70" s="676">
        <v>5693.1666666666797</v>
      </c>
      <c r="X70" s="698">
        <v>5692.6666666666797</v>
      </c>
      <c r="Y70" s="715" t="s">
        <v>286</v>
      </c>
      <c r="Z70" s="676">
        <v>5692.1666666666797</v>
      </c>
      <c r="AA70" s="676">
        <v>5691.6666666666797</v>
      </c>
      <c r="AB70" s="698">
        <v>5691.1666666666897</v>
      </c>
      <c r="AC70" s="715" t="s">
        <v>286</v>
      </c>
      <c r="AD70" s="676">
        <v>5690.6666666666897</v>
      </c>
      <c r="AE70" s="676">
        <v>5690.1666666666897</v>
      </c>
      <c r="AF70" s="698">
        <v>5689.6666666666897</v>
      </c>
      <c r="AG70" s="715" t="s">
        <v>286</v>
      </c>
      <c r="AH70" s="676">
        <v>5689.1666666666997</v>
      </c>
      <c r="AI70" s="676">
        <v>5688.6666666666997</v>
      </c>
      <c r="AJ70" s="698">
        <v>5688.1666666666997</v>
      </c>
      <c r="AK70" s="715" t="s">
        <v>286</v>
      </c>
      <c r="AL70" s="676">
        <v>5687.6666666666997</v>
      </c>
    </row>
    <row r="71" spans="2:38" ht="17.25" customHeight="1">
      <c r="B71" s="268" t="str">
        <f>IFERROR(INDEX($Q$1:$BH$100,ROW(A71),MATCH(Data_Tech!$AU$7,$Q$1:$AN$1,)+COLUMN(A70)-1),"")</f>
        <v>Скрынникова Виктория Геннадьевна</v>
      </c>
      <c r="D71" s="223">
        <f>INDEX($Q$1:$BH$100,ROW(B71),MATCH(Data_Tech!$AU$7,$Q$1:$AN$1,)+COLUMN(B71)-1)</f>
        <v>3</v>
      </c>
      <c r="E71" s="224">
        <f>INDEX($Q$1:$BH$100,ROW(C71),MATCH(Data_Tech!$AU$7,$Q$1:$AN$1,)+COLUMN(C71)-1)</f>
        <v>17289</v>
      </c>
      <c r="P71" s="700">
        <v>70</v>
      </c>
      <c r="Q71" s="677" t="s">
        <v>348</v>
      </c>
      <c r="R71" s="676">
        <v>3</v>
      </c>
      <c r="S71" s="676">
        <v>17289</v>
      </c>
      <c r="T71" s="698">
        <v>1</v>
      </c>
      <c r="U71" s="677"/>
      <c r="V71" s="677"/>
      <c r="W71" s="677"/>
      <c r="X71" s="698"/>
      <c r="Y71" s="677"/>
      <c r="Z71" s="677"/>
      <c r="AA71" s="677"/>
      <c r="AB71" s="698"/>
      <c r="AC71" s="677"/>
      <c r="AD71" s="677"/>
      <c r="AE71" s="677"/>
      <c r="AF71" s="698"/>
      <c r="AG71" s="677"/>
      <c r="AH71" s="677"/>
      <c r="AI71" s="677"/>
      <c r="AJ71" s="698"/>
      <c r="AK71" s="677"/>
      <c r="AL71" s="677"/>
    </row>
    <row r="72" spans="2:38" ht="17.25" customHeight="1">
      <c r="B72" s="268" t="str">
        <f>IFERROR(INDEX($Q$1:$BH$100,ROW(A72),MATCH(Data_Tech!$AU$7,$Q$1:$AN$1,)+COLUMN(A71)-1),"")</f>
        <v>Смирнова Елена Евгеньевна</v>
      </c>
      <c r="D72" s="223">
        <f>INDEX($Q$1:$BH$100,ROW(B72),MATCH(Data_Tech!$AU$7,$Q$1:$AN$1,)+COLUMN(B72)-1)</f>
        <v>4</v>
      </c>
      <c r="E72" s="224">
        <f>INDEX($Q$1:$BH$100,ROW(C72),MATCH(Data_Tech!$AU$7,$Q$1:$AN$1,)+COLUMN(C72)-1)</f>
        <v>14639</v>
      </c>
      <c r="P72" s="700">
        <v>71</v>
      </c>
      <c r="Q72" s="715" t="s">
        <v>265</v>
      </c>
      <c r="R72" s="676">
        <v>4</v>
      </c>
      <c r="S72" s="676">
        <v>14639</v>
      </c>
      <c r="T72" s="698"/>
      <c r="AK72" s="573">
        <v>16</v>
      </c>
      <c r="AL72" s="573" t="s">
        <v>110</v>
      </c>
    </row>
    <row r="73" spans="2:38" ht="17.25" customHeight="1">
      <c r="B73" s="268" t="str">
        <f>IFERROR(INDEX($Q$1:$BH$100,ROW(A73),MATCH(Data_Tech!$AU$7,$Q$1:$AN$1,)+COLUMN(A72)-1),"")</f>
        <v>Соболева Наталья Александровна</v>
      </c>
      <c r="D73" s="223">
        <f>INDEX($Q$1:$BH$100,ROW(B73),MATCH(Data_Tech!$AU$7,$Q$1:$AN$1,)+COLUMN(B73)-1)</f>
        <v>3</v>
      </c>
      <c r="E73" s="224">
        <f>INDEX($Q$1:$BH$100,ROW(C73),MATCH(Data_Tech!$AU$7,$Q$1:$AN$1,)+COLUMN(C73)-1)</f>
        <v>17076</v>
      </c>
      <c r="P73" s="700">
        <v>72</v>
      </c>
      <c r="Q73" s="677" t="s">
        <v>357</v>
      </c>
      <c r="R73" s="676">
        <v>3</v>
      </c>
      <c r="S73" s="676">
        <v>17076</v>
      </c>
      <c r="T73" s="698"/>
      <c r="AK73" s="573">
        <v>20</v>
      </c>
      <c r="AL73" s="573" t="s">
        <v>111</v>
      </c>
    </row>
    <row r="74" spans="2:38" ht="17.25" customHeight="1">
      <c r="B74" s="268" t="str">
        <f>IFERROR(INDEX($Q$1:$BH$100,ROW(A74),MATCH(Data_Tech!$AU$7,$Q$1:$AN$1,)+COLUMN(A73)-1),"")</f>
        <v>Старичкова Полина Анатольевна</v>
      </c>
      <c r="D74" s="223">
        <f>INDEX($Q$1:$BH$100,ROW(B74),MATCH(Data_Tech!$AU$7,$Q$1:$AN$1,)+COLUMN(B74)-1)</f>
        <v>3</v>
      </c>
      <c r="E74" s="224">
        <f>INDEX($Q$1:$BH$100,ROW(C74),MATCH(Data_Tech!$AU$7,$Q$1:$AN$1,)+COLUMN(C74)-1)</f>
        <v>17196</v>
      </c>
      <c r="F74" s="45"/>
      <c r="P74" s="700">
        <v>73</v>
      </c>
      <c r="Q74" s="715" t="s">
        <v>331</v>
      </c>
      <c r="R74" s="676">
        <v>3</v>
      </c>
      <c r="S74" s="676">
        <v>17196</v>
      </c>
      <c r="T74" s="698">
        <v>2</v>
      </c>
      <c r="AK74" s="573">
        <v>23</v>
      </c>
      <c r="AL74" s="573" t="s">
        <v>112</v>
      </c>
    </row>
    <row r="75" spans="2:38" ht="17.25" customHeight="1">
      <c r="B75" s="268" t="str">
        <f>IFERROR(INDEX($Q$1:$BH$100,ROW(A75),MATCH(Data_Tech!$AU$7,$Q$1:$AN$1,)+COLUMN(A74)-1),"")</f>
        <v>Степанова Ольга Юрьевна</v>
      </c>
      <c r="D75" s="223">
        <f>INDEX($Q$1:$BH$100,ROW(B75),MATCH(Data_Tech!$AU$7,$Q$1:$AN$1,)+COLUMN(B75)-1)</f>
        <v>3</v>
      </c>
      <c r="E75" s="224">
        <f>INDEX($Q$1:$BH$100,ROW(C75),MATCH(Data_Tech!$AU$7,$Q$1:$AN$1,)+COLUMN(C75)-1)</f>
        <v>17266</v>
      </c>
      <c r="P75" s="700">
        <v>74</v>
      </c>
      <c r="Q75" s="715" t="s">
        <v>332</v>
      </c>
      <c r="R75" s="676">
        <v>3</v>
      </c>
      <c r="S75" s="676">
        <v>17266</v>
      </c>
      <c r="T75" s="698">
        <v>3</v>
      </c>
      <c r="AK75" s="573">
        <v>34</v>
      </c>
      <c r="AL75" s="573" t="s">
        <v>113</v>
      </c>
    </row>
    <row r="76" spans="2:38" ht="17.25" customHeight="1">
      <c r="B76" s="268" t="str">
        <f>IFERROR(INDEX($Q$1:$BH$100,ROW(A76),MATCH(Data_Tech!$AU$7,$Q$1:$AN$1,)+COLUMN(A75)-1),"")</f>
        <v>Томилова Антонина Викторовна</v>
      </c>
      <c r="D76" s="223">
        <f>INDEX($Q$1:$BH$100,ROW(B76),MATCH(Data_Tech!$AU$7,$Q$1:$AN$1,)+COLUMN(B76)-1)</f>
        <v>4</v>
      </c>
      <c r="E76" s="224">
        <f>INDEX($Q$1:$BH$100,ROW(C76),MATCH(Data_Tech!$AU$7,$Q$1:$AN$1,)+COLUMN(C76)-1)</f>
        <v>14988</v>
      </c>
      <c r="P76" s="700">
        <v>75</v>
      </c>
      <c r="Q76" s="715" t="s">
        <v>266</v>
      </c>
      <c r="R76" s="676">
        <v>4</v>
      </c>
      <c r="S76" s="676">
        <v>14988</v>
      </c>
      <c r="T76" s="698"/>
      <c r="AK76" s="573">
        <v>37</v>
      </c>
      <c r="AL76" s="573" t="s">
        <v>114</v>
      </c>
    </row>
    <row r="77" spans="2:38" ht="17.25" customHeight="1">
      <c r="B77" s="268" t="str">
        <f>IFERROR(INDEX($Q$1:$BH$100,ROW(A77),MATCH(Data_Tech!$AU$7,$Q$1:$AN$1,)+COLUMN(A76)-1),"")</f>
        <v>Худякова Ольга Николаевна</v>
      </c>
      <c r="D77" s="223">
        <f>INDEX($Q$1:$BH$100,ROW(B77),MATCH(Data_Tech!$AU$7,$Q$1:$AN$1,)+COLUMN(B77)-1)</f>
        <v>3</v>
      </c>
      <c r="E77" s="224">
        <f>INDEX($Q$1:$BH$100,ROW(C77),MATCH(Data_Tech!$AU$7,$Q$1:$AN$1,)+COLUMN(C77)-1)</f>
        <v>15889</v>
      </c>
      <c r="P77" s="700">
        <v>76</v>
      </c>
      <c r="Q77" s="715" t="s">
        <v>267</v>
      </c>
      <c r="R77" s="676">
        <v>3</v>
      </c>
      <c r="S77" s="676">
        <v>15889</v>
      </c>
      <c r="T77" s="698"/>
      <c r="AK77" s="573">
        <v>38</v>
      </c>
      <c r="AL77" s="573" t="s">
        <v>115</v>
      </c>
    </row>
    <row r="78" spans="2:38" ht="17.25" customHeight="1">
      <c r="B78" s="268" t="str">
        <f>IFERROR(INDEX($Q$1:$BH$100,ROW(A78),MATCH(Data_Tech!$AU$7,$Q$1:$AN$1,)+COLUMN(A77)-1),"")</f>
        <v>Черкасова Дарья Викторовна</v>
      </c>
      <c r="D78" s="223">
        <f>INDEX($Q$1:$BH$100,ROW(B78),MATCH(Data_Tech!$AU$7,$Q$1:$AN$1,)+COLUMN(B78)-1)</f>
        <v>3</v>
      </c>
      <c r="E78" s="224">
        <f>INDEX($Q$1:$BH$100,ROW(C78),MATCH(Data_Tech!$AU$7,$Q$1:$AN$1,)+COLUMN(C78)-1)</f>
        <v>17302</v>
      </c>
      <c r="P78" s="700">
        <v>77</v>
      </c>
      <c r="Q78" s="677" t="s">
        <v>361</v>
      </c>
      <c r="R78" s="676">
        <v>3</v>
      </c>
      <c r="S78" s="676">
        <v>17302</v>
      </c>
      <c r="T78" s="698">
        <v>3</v>
      </c>
      <c r="AK78" s="573">
        <v>83</v>
      </c>
      <c r="AL78" s="573" t="s">
        <v>116</v>
      </c>
    </row>
    <row r="79" spans="2:38" ht="17.25" customHeight="1">
      <c r="B79" s="268" t="str">
        <f>IFERROR(INDEX($Q$1:$BH$100,ROW(A79),MATCH(Data_Tech!$AU$7,$Q$1:$AN$1,)+COLUMN(A78)-1),"")</f>
        <v>Шамарина Светлана Владимировна</v>
      </c>
      <c r="D79" s="223">
        <f>INDEX($Q$1:$BH$100,ROW(B79),MATCH(Data_Tech!$AU$7,$Q$1:$AN$1,)+COLUMN(B79)-1)</f>
        <v>4</v>
      </c>
      <c r="E79" s="224">
        <f>INDEX($Q$1:$BH$100,ROW(C79),MATCH(Data_Tech!$AU$7,$Q$1:$AN$1,)+COLUMN(C79)-1)</f>
        <v>15260</v>
      </c>
      <c r="P79" s="700">
        <v>78</v>
      </c>
      <c r="Q79" s="715" t="s">
        <v>285</v>
      </c>
      <c r="R79" s="676">
        <v>4</v>
      </c>
      <c r="S79" s="676">
        <v>15260</v>
      </c>
      <c r="T79" s="698"/>
      <c r="AK79" s="573">
        <v>86</v>
      </c>
      <c r="AL79" s="573" t="s">
        <v>117</v>
      </c>
    </row>
    <row r="80" spans="2:38" ht="17.25" customHeight="1">
      <c r="B80" s="268" t="str">
        <f>IFERROR(INDEX($Q$1:$BH$100,ROW(A80),MATCH(Data_Tech!$AU$7,$Q$1:$AN$1,)+COLUMN(A79)-1),"")</f>
        <v>Шишина Наталья Александровна</v>
      </c>
      <c r="D80" s="223">
        <f>INDEX($Q$1:$BH$100,ROW(B80),MATCH(Data_Tech!$AU$7,$Q$1:$AN$1,)+COLUMN(B80)-1)</f>
        <v>3</v>
      </c>
      <c r="E80" s="224">
        <f>INDEX($Q$1:$BH$100,ROW(C80),MATCH(Data_Tech!$AU$7,$Q$1:$AN$1,)+COLUMN(C80)-1)</f>
        <v>17079</v>
      </c>
      <c r="P80" s="700">
        <v>79</v>
      </c>
      <c r="Q80" s="715" t="s">
        <v>286</v>
      </c>
      <c r="R80" s="676">
        <v>3</v>
      </c>
      <c r="S80" s="676">
        <v>17079</v>
      </c>
      <c r="T80" s="698">
        <v>2</v>
      </c>
      <c r="AK80" s="573">
        <v>114</v>
      </c>
      <c r="AL80" s="573" t="s">
        <v>118</v>
      </c>
    </row>
    <row r="81" spans="2:38" ht="17.25" customHeight="1">
      <c r="B81" s="268" t="str">
        <f>IFERROR(INDEX($Q$1:$BH$100,ROW(A81),MATCH(Data_Tech!$AU$7,$Q$1:$AN$1,)+COLUMN(A80)-1),"")</f>
        <v>Яблокова Дарья Александровна</v>
      </c>
      <c r="D81" s="223">
        <f>INDEX($Q$1:$BH$100,ROW(B81),MATCH(Data_Tech!$AU$7,$Q$1:$AN$1,)+COLUMN(B81)-1)</f>
        <v>3</v>
      </c>
      <c r="E81" s="224">
        <f>INDEX($Q$1:$BH$100,ROW(C81),MATCH(Data_Tech!$AU$7,$Q$1:$AN$1,)+COLUMN(C81)-1)</f>
        <v>17344</v>
      </c>
      <c r="P81" s="700">
        <v>80</v>
      </c>
      <c r="Q81" s="677" t="s">
        <v>376</v>
      </c>
      <c r="R81" s="676">
        <v>3</v>
      </c>
      <c r="S81" s="676">
        <v>17344</v>
      </c>
      <c r="T81" s="698">
        <v>3</v>
      </c>
      <c r="AK81" s="573">
        <v>130</v>
      </c>
      <c r="AL81" s="573" t="s">
        <v>119</v>
      </c>
    </row>
    <row r="82" spans="2:38" ht="17.25" customHeight="1">
      <c r="P82" s="700">
        <v>81</v>
      </c>
      <c r="Q82" s="677"/>
      <c r="R82" s="677"/>
      <c r="S82" s="676"/>
      <c r="T82" s="698"/>
      <c r="AK82" s="573">
        <v>132</v>
      </c>
      <c r="AL82" s="573" t="s">
        <v>120</v>
      </c>
    </row>
    <row r="83" spans="2:38" ht="17.25" customHeight="1">
      <c r="P83" s="700">
        <v>82</v>
      </c>
      <c r="Q83" s="677"/>
      <c r="R83" s="677"/>
      <c r="S83" s="676"/>
      <c r="T83" s="698"/>
      <c r="AK83" s="573">
        <v>133</v>
      </c>
      <c r="AL83" s="573" t="s">
        <v>121</v>
      </c>
    </row>
    <row r="84" spans="2:38" ht="17.25" customHeight="1">
      <c r="P84" s="700">
        <v>83</v>
      </c>
      <c r="Q84" s="677"/>
      <c r="R84" s="677"/>
      <c r="S84" s="676"/>
      <c r="T84" s="698"/>
      <c r="AK84" s="573">
        <v>136</v>
      </c>
      <c r="AL84" s="573" t="s">
        <v>122</v>
      </c>
    </row>
    <row r="85" spans="2:38" ht="17.25" customHeight="1">
      <c r="P85" s="700">
        <v>84</v>
      </c>
      <c r="Q85" s="677"/>
      <c r="R85" s="677"/>
      <c r="S85" s="676"/>
      <c r="T85" s="698"/>
      <c r="AK85" s="573">
        <v>155</v>
      </c>
      <c r="AL85" s="573" t="s">
        <v>123</v>
      </c>
    </row>
    <row r="86" spans="2:38" ht="17.25" customHeight="1">
      <c r="P86" s="700">
        <v>85</v>
      </c>
      <c r="Q86" s="677"/>
      <c r="R86" s="677"/>
      <c r="S86" s="676"/>
      <c r="T86" s="698"/>
      <c r="AK86" s="573">
        <v>160</v>
      </c>
      <c r="AL86" s="573" t="s">
        <v>124</v>
      </c>
    </row>
    <row r="87" spans="2:38" ht="17.25" customHeight="1">
      <c r="P87" s="700">
        <v>86</v>
      </c>
      <c r="Q87" s="677"/>
      <c r="R87" s="677"/>
      <c r="S87" s="676"/>
      <c r="T87" s="698"/>
      <c r="AK87" s="573">
        <v>163</v>
      </c>
      <c r="AL87" s="573" t="s">
        <v>125</v>
      </c>
    </row>
    <row r="88" spans="2:38" ht="17.25" customHeight="1">
      <c r="P88" s="700">
        <v>87</v>
      </c>
      <c r="AK88" s="573">
        <v>165</v>
      </c>
      <c r="AL88" s="573" t="s">
        <v>126</v>
      </c>
    </row>
    <row r="89" spans="2:38" ht="17.25" customHeight="1">
      <c r="P89" s="700">
        <v>88</v>
      </c>
      <c r="AK89" s="573">
        <v>167</v>
      </c>
      <c r="AL89" s="573" t="s">
        <v>127</v>
      </c>
    </row>
    <row r="90" spans="2:38" ht="17.25" customHeight="1">
      <c r="P90" s="700">
        <v>89</v>
      </c>
      <c r="AK90" s="573" t="s">
        <v>128</v>
      </c>
      <c r="AL90" s="573" t="s">
        <v>129</v>
      </c>
    </row>
    <row r="91" spans="2:38" ht="17.25" customHeight="1">
      <c r="P91" s="700">
        <v>90</v>
      </c>
      <c r="AK91" s="573">
        <v>182</v>
      </c>
      <c r="AL91" s="573" t="s">
        <v>130</v>
      </c>
    </row>
    <row r="92" spans="2:38" ht="17.25" customHeight="1">
      <c r="P92" s="700">
        <v>91</v>
      </c>
      <c r="AK92" s="573">
        <v>183</v>
      </c>
      <c r="AL92" s="573" t="s">
        <v>131</v>
      </c>
    </row>
    <row r="93" spans="2:38" ht="17.25" customHeight="1">
      <c r="P93" s="700">
        <v>92</v>
      </c>
      <c r="AK93" s="573" t="s">
        <v>132</v>
      </c>
      <c r="AL93" s="573" t="s">
        <v>133</v>
      </c>
    </row>
    <row r="94" spans="2:38" ht="17.25" customHeight="1">
      <c r="P94" s="700">
        <v>93</v>
      </c>
      <c r="AK94" s="573" t="s">
        <v>134</v>
      </c>
      <c r="AL94" s="573" t="s">
        <v>135</v>
      </c>
    </row>
    <row r="95" spans="2:38" ht="17.25" customHeight="1">
      <c r="AK95" s="573">
        <v>190</v>
      </c>
      <c r="AL95" s="573" t="s">
        <v>136</v>
      </c>
    </row>
    <row r="96" spans="2:38" ht="17.25" customHeight="1">
      <c r="AK96" s="573">
        <v>198</v>
      </c>
      <c r="AL96" s="573" t="s">
        <v>137</v>
      </c>
    </row>
    <row r="97" spans="37:38" ht="17.25" customHeight="1">
      <c r="AK97" s="573">
        <v>210</v>
      </c>
      <c r="AL97" s="573" t="s">
        <v>138</v>
      </c>
    </row>
    <row r="98" spans="37:38" ht="17.25" customHeight="1">
      <c r="AK98" s="573">
        <v>218</v>
      </c>
      <c r="AL98" s="573" t="s">
        <v>139</v>
      </c>
    </row>
    <row r="99" spans="37:38" ht="17.25" customHeight="1">
      <c r="AK99" s="573">
        <v>219</v>
      </c>
      <c r="AL99" s="573" t="s">
        <v>140</v>
      </c>
    </row>
    <row r="100" spans="37:38" ht="17.25" customHeight="1">
      <c r="AK100" s="573">
        <v>220</v>
      </c>
      <c r="AL100" s="573" t="s">
        <v>141</v>
      </c>
    </row>
    <row r="101" spans="37:38" ht="17.25" customHeight="1">
      <c r="AK101" s="573">
        <v>221</v>
      </c>
      <c r="AL101" s="573" t="s">
        <v>142</v>
      </c>
    </row>
    <row r="102" spans="37:38" ht="17.25" customHeight="1">
      <c r="AK102" s="573" t="s">
        <v>143</v>
      </c>
      <c r="AL102" s="573" t="s">
        <v>144</v>
      </c>
    </row>
    <row r="103" spans="37:38" ht="17.25" customHeight="1">
      <c r="AK103" s="573" t="s">
        <v>145</v>
      </c>
      <c r="AL103" s="573" t="s">
        <v>146</v>
      </c>
    </row>
    <row r="104" spans="37:38" ht="17.25" customHeight="1">
      <c r="AK104" s="573">
        <v>240</v>
      </c>
      <c r="AL104" s="573" t="s">
        <v>147</v>
      </c>
    </row>
    <row r="105" spans="37:38" ht="17.25" customHeight="1">
      <c r="AK105" s="573">
        <v>241</v>
      </c>
      <c r="AL105" s="573" t="s">
        <v>148</v>
      </c>
    </row>
    <row r="106" spans="37:38" ht="17.25" customHeight="1">
      <c r="AK106" s="573">
        <v>244</v>
      </c>
      <c r="AL106" s="573" t="s">
        <v>149</v>
      </c>
    </row>
    <row r="107" spans="37:38" ht="17.25" customHeight="1">
      <c r="AK107" s="573" t="s">
        <v>150</v>
      </c>
      <c r="AL107" s="573" t="s">
        <v>151</v>
      </c>
    </row>
    <row r="108" spans="37:38" ht="17.25" customHeight="1">
      <c r="AK108" s="573">
        <v>255</v>
      </c>
      <c r="AL108" s="573" t="s">
        <v>152</v>
      </c>
    </row>
    <row r="109" spans="37:38" ht="17.25" customHeight="1">
      <c r="AK109" s="573">
        <v>257</v>
      </c>
      <c r="AL109" s="573" t="s">
        <v>153</v>
      </c>
    </row>
    <row r="110" spans="37:38" ht="17.25" customHeight="1">
      <c r="AK110" s="573" t="s">
        <v>154</v>
      </c>
      <c r="AL110" s="573" t="s">
        <v>155</v>
      </c>
    </row>
    <row r="111" spans="37:38" ht="17.25" customHeight="1">
      <c r="AK111" s="573" t="s">
        <v>156</v>
      </c>
      <c r="AL111" s="573" t="s">
        <v>157</v>
      </c>
    </row>
    <row r="112" spans="37:38" ht="17.25" customHeight="1">
      <c r="AK112" s="573" t="s">
        <v>158</v>
      </c>
      <c r="AL112" s="573" t="s">
        <v>159</v>
      </c>
    </row>
    <row r="113" spans="37:38" ht="17.25" customHeight="1">
      <c r="AK113" s="573" t="s">
        <v>160</v>
      </c>
      <c r="AL113" s="573" t="s">
        <v>161</v>
      </c>
    </row>
    <row r="114" spans="37:38" ht="17.25" customHeight="1">
      <c r="AK114" s="573" t="s">
        <v>162</v>
      </c>
      <c r="AL114" s="573" t="s">
        <v>163</v>
      </c>
    </row>
    <row r="115" spans="37:38" ht="17.25" customHeight="1">
      <c r="AK115" s="573" t="s">
        <v>164</v>
      </c>
      <c r="AL115" s="573" t="s">
        <v>165</v>
      </c>
    </row>
    <row r="116" spans="37:38" ht="17.25" customHeight="1">
      <c r="AK116" s="573" t="s">
        <v>166</v>
      </c>
      <c r="AL116" s="573" t="s">
        <v>167</v>
      </c>
    </row>
    <row r="117" spans="37:38" ht="17.25" customHeight="1">
      <c r="AK117" s="573" t="s">
        <v>168</v>
      </c>
      <c r="AL117" s="573" t="s">
        <v>169</v>
      </c>
    </row>
    <row r="118" spans="37:38" ht="17.25" customHeight="1">
      <c r="AK118" s="573">
        <v>267</v>
      </c>
      <c r="AL118" s="573" t="s">
        <v>170</v>
      </c>
    </row>
    <row r="119" spans="37:38" ht="17.25" customHeight="1">
      <c r="AK119" s="573" t="s">
        <v>171</v>
      </c>
      <c r="AL119" s="573" t="s">
        <v>172</v>
      </c>
    </row>
    <row r="120" spans="37:38" ht="17.25" customHeight="1">
      <c r="AK120" s="573">
        <v>293</v>
      </c>
      <c r="AL120" s="573" t="s">
        <v>173</v>
      </c>
    </row>
    <row r="121" spans="37:38" ht="17.25" customHeight="1">
      <c r="AK121" s="573">
        <v>295</v>
      </c>
      <c r="AL121" s="573" t="s">
        <v>174</v>
      </c>
    </row>
    <row r="122" spans="37:38" ht="17.25" customHeight="1">
      <c r="AK122" s="573">
        <v>308</v>
      </c>
      <c r="AL122" s="573" t="s">
        <v>175</v>
      </c>
    </row>
    <row r="123" spans="37:38" ht="17.25" customHeight="1">
      <c r="AK123" s="573">
        <v>319</v>
      </c>
      <c r="AL123" s="573" t="s">
        <v>176</v>
      </c>
    </row>
    <row r="124" spans="37:38" ht="17.25" customHeight="1">
      <c r="AK124" s="573">
        <v>331</v>
      </c>
      <c r="AL124" s="573" t="s">
        <v>177</v>
      </c>
    </row>
    <row r="125" spans="37:38" ht="17.25" customHeight="1">
      <c r="AK125" s="573">
        <v>346</v>
      </c>
      <c r="AL125" s="573" t="s">
        <v>178</v>
      </c>
    </row>
    <row r="126" spans="37:38" ht="17.25" customHeight="1">
      <c r="AK126" s="573">
        <v>351</v>
      </c>
      <c r="AL126" s="573" t="s">
        <v>179</v>
      </c>
    </row>
    <row r="127" spans="37:38" ht="17.25" customHeight="1">
      <c r="AK127" s="573">
        <v>354</v>
      </c>
      <c r="AL127" s="573" t="s">
        <v>180</v>
      </c>
    </row>
    <row r="128" spans="37:38" ht="17.25" customHeight="1">
      <c r="AK128" s="573">
        <v>359</v>
      </c>
      <c r="AL128" s="573" t="s">
        <v>181</v>
      </c>
    </row>
    <row r="129" spans="37:38" ht="17.25" customHeight="1">
      <c r="AK129" s="573">
        <v>362</v>
      </c>
      <c r="AL129" s="573" t="s">
        <v>182</v>
      </c>
    </row>
    <row r="130" spans="37:38" ht="17.25" customHeight="1">
      <c r="AK130" s="573">
        <v>389</v>
      </c>
      <c r="AL130" s="573" t="s">
        <v>183</v>
      </c>
    </row>
    <row r="131" spans="37:38" ht="17.25" customHeight="1">
      <c r="AK131" s="573">
        <v>390</v>
      </c>
      <c r="AL131" s="573" t="s">
        <v>184</v>
      </c>
    </row>
    <row r="132" spans="37:38">
      <c r="AK132" s="573">
        <v>407</v>
      </c>
      <c r="AL132" s="573" t="s">
        <v>185</v>
      </c>
    </row>
    <row r="133" spans="37:38">
      <c r="AK133" s="573">
        <v>408</v>
      </c>
      <c r="AL133" s="573" t="s">
        <v>186</v>
      </c>
    </row>
    <row r="134" spans="37:38">
      <c r="AK134" s="573">
        <v>416</v>
      </c>
      <c r="AL134" s="573" t="s">
        <v>187</v>
      </c>
    </row>
    <row r="135" spans="37:38">
      <c r="AK135" s="573" t="s">
        <v>188</v>
      </c>
      <c r="AL135" s="573" t="s">
        <v>189</v>
      </c>
    </row>
    <row r="136" spans="37:38">
      <c r="AK136" s="573">
        <v>428</v>
      </c>
      <c r="AL136" s="573" t="s">
        <v>190</v>
      </c>
    </row>
    <row r="137" spans="37:38">
      <c r="AK137" s="573">
        <v>429</v>
      </c>
      <c r="AL137" s="573" t="s">
        <v>191</v>
      </c>
    </row>
    <row r="138" spans="37:38">
      <c r="AK138" s="573" t="s">
        <v>192</v>
      </c>
      <c r="AL138" s="573" t="s">
        <v>193</v>
      </c>
    </row>
    <row r="139" spans="37:38">
      <c r="AK139" s="573">
        <v>484</v>
      </c>
      <c r="AL139" s="573" t="s">
        <v>194</v>
      </c>
    </row>
    <row r="140" spans="37:38">
      <c r="AK140" s="573">
        <v>489</v>
      </c>
      <c r="AL140" s="573" t="s">
        <v>195</v>
      </c>
    </row>
    <row r="141" spans="37:38">
      <c r="AK141" s="573">
        <v>490</v>
      </c>
      <c r="AL141" s="573" t="s">
        <v>196</v>
      </c>
    </row>
    <row r="142" spans="37:38">
      <c r="AK142" s="573">
        <v>491</v>
      </c>
      <c r="AL142" s="573" t="s">
        <v>197</v>
      </c>
    </row>
    <row r="143" spans="37:38">
      <c r="AK143" s="573">
        <v>492</v>
      </c>
      <c r="AL143" s="573" t="s">
        <v>198</v>
      </c>
    </row>
    <row r="144" spans="37:38">
      <c r="AK144" s="573">
        <v>500</v>
      </c>
      <c r="AL144" s="573" t="s">
        <v>199</v>
      </c>
    </row>
    <row r="145" spans="37:38">
      <c r="AK145" s="573" t="s">
        <v>200</v>
      </c>
      <c r="AL145" s="573" t="s">
        <v>201</v>
      </c>
    </row>
    <row r="146" spans="37:38">
      <c r="AK146" s="573">
        <v>551</v>
      </c>
      <c r="AL146" s="573" t="s">
        <v>202</v>
      </c>
    </row>
    <row r="147" spans="37:38">
      <c r="AK147" s="573">
        <v>554</v>
      </c>
      <c r="AL147" s="573" t="s">
        <v>203</v>
      </c>
    </row>
    <row r="148" spans="37:38">
      <c r="AK148" s="573">
        <v>589</v>
      </c>
      <c r="AL148" s="573" t="s">
        <v>204</v>
      </c>
    </row>
    <row r="149" spans="37:38">
      <c r="AK149" s="573">
        <v>614</v>
      </c>
      <c r="AL149" s="573" t="s">
        <v>205</v>
      </c>
    </row>
    <row r="150" spans="37:38">
      <c r="AK150" s="573">
        <v>639</v>
      </c>
      <c r="AL150" s="573" t="s">
        <v>206</v>
      </c>
    </row>
    <row r="151" spans="37:38">
      <c r="AK151" s="573">
        <v>641</v>
      </c>
      <c r="AL151" s="573" t="s">
        <v>207</v>
      </c>
    </row>
    <row r="152" spans="37:38">
      <c r="AK152" s="573">
        <v>642</v>
      </c>
      <c r="AL152" s="573" t="s">
        <v>208</v>
      </c>
    </row>
    <row r="153" spans="37:38">
      <c r="AK153" s="573">
        <v>643</v>
      </c>
      <c r="AL153" s="573" t="s">
        <v>209</v>
      </c>
    </row>
    <row r="154" spans="37:38">
      <c r="AK154" s="573">
        <v>659</v>
      </c>
      <c r="AL154" s="573" t="s">
        <v>210</v>
      </c>
    </row>
    <row r="155" spans="37:38">
      <c r="AK155" s="573">
        <v>661</v>
      </c>
      <c r="AL155" s="573" t="s">
        <v>211</v>
      </c>
    </row>
    <row r="156" spans="37:38">
      <c r="AK156" s="573">
        <v>662</v>
      </c>
      <c r="AL156" s="573" t="s">
        <v>212</v>
      </c>
    </row>
    <row r="157" spans="37:38">
      <c r="AK157" s="573">
        <v>663</v>
      </c>
      <c r="AL157" s="573" t="s">
        <v>213</v>
      </c>
    </row>
    <row r="158" spans="37:38">
      <c r="AK158" s="573">
        <v>676</v>
      </c>
      <c r="AL158" s="573" t="s">
        <v>214</v>
      </c>
    </row>
    <row r="159" spans="37:38">
      <c r="AK159" s="573">
        <v>677</v>
      </c>
      <c r="AL159" s="573" t="s">
        <v>177</v>
      </c>
    </row>
    <row r="160" spans="37:38">
      <c r="AK160" s="573">
        <v>685</v>
      </c>
      <c r="AL160" s="573" t="s">
        <v>215</v>
      </c>
    </row>
    <row r="161" spans="37:38">
      <c r="AK161" s="573">
        <v>686</v>
      </c>
      <c r="AL161" s="573" t="s">
        <v>216</v>
      </c>
    </row>
    <row r="162" spans="37:38">
      <c r="AK162" s="573">
        <v>692</v>
      </c>
      <c r="AL162" s="573" t="s">
        <v>217</v>
      </c>
    </row>
    <row r="163" spans="37:38">
      <c r="AK163" s="573">
        <v>698</v>
      </c>
      <c r="AL163" s="573" t="s">
        <v>218</v>
      </c>
    </row>
    <row r="164" spans="37:38">
      <c r="AK164" s="573">
        <v>700</v>
      </c>
      <c r="AL164" s="573" t="s">
        <v>219</v>
      </c>
    </row>
    <row r="165" spans="37:38">
      <c r="AK165" s="573">
        <v>704</v>
      </c>
      <c r="AL165" s="573" t="s">
        <v>95</v>
      </c>
    </row>
    <row r="166" spans="37:38">
      <c r="AK166" s="573">
        <v>706</v>
      </c>
      <c r="AL166" s="573" t="s">
        <v>220</v>
      </c>
    </row>
    <row r="167" spans="37:38">
      <c r="AK167" s="573">
        <v>709</v>
      </c>
      <c r="AL167" s="573" t="s">
        <v>221</v>
      </c>
    </row>
    <row r="168" spans="37:38">
      <c r="AK168" s="573">
        <v>710</v>
      </c>
      <c r="AL168" s="573" t="s">
        <v>222</v>
      </c>
    </row>
    <row r="169" spans="37:38">
      <c r="AK169" s="573">
        <v>717</v>
      </c>
      <c r="AL169" s="573" t="s">
        <v>96</v>
      </c>
    </row>
    <row r="170" spans="37:38">
      <c r="AK170" s="573">
        <v>719</v>
      </c>
      <c r="AL170" s="573" t="s">
        <v>223</v>
      </c>
    </row>
    <row r="171" spans="37:38">
      <c r="AK171" s="573">
        <v>677</v>
      </c>
      <c r="AL171" s="573" t="s">
        <v>177</v>
      </c>
    </row>
    <row r="172" spans="37:38">
      <c r="AK172" s="573" t="s">
        <v>224</v>
      </c>
      <c r="AL172" s="573" t="s">
        <v>225</v>
      </c>
    </row>
    <row r="173" spans="37:38">
      <c r="AK173" s="573">
        <v>729</v>
      </c>
      <c r="AL173" s="573" t="s">
        <v>225</v>
      </c>
    </row>
    <row r="174" spans="37:38">
      <c r="AK174" s="573">
        <v>733</v>
      </c>
      <c r="AL174" s="573" t="s">
        <v>97</v>
      </c>
    </row>
    <row r="175" spans="37:38">
      <c r="AK175" s="573">
        <v>734</v>
      </c>
      <c r="AL175" s="573" t="s">
        <v>226</v>
      </c>
    </row>
    <row r="176" spans="37:38">
      <c r="AK176" s="573">
        <v>735</v>
      </c>
      <c r="AL176" s="573" t="s">
        <v>227</v>
      </c>
    </row>
    <row r="177" spans="37:38">
      <c r="AK177" s="573" t="s">
        <v>228</v>
      </c>
      <c r="AL177" s="573" t="s">
        <v>229</v>
      </c>
    </row>
    <row r="178" spans="37:38">
      <c r="AK178" s="573">
        <v>737</v>
      </c>
      <c r="AL178" s="573" t="s">
        <v>230</v>
      </c>
    </row>
    <row r="179" spans="37:38">
      <c r="AK179" s="573" t="s">
        <v>231</v>
      </c>
      <c r="AL179" s="573" t="s">
        <v>232</v>
      </c>
    </row>
    <row r="180" spans="37:38">
      <c r="AK180" s="573">
        <v>740</v>
      </c>
      <c r="AL180" s="573" t="s">
        <v>233</v>
      </c>
    </row>
    <row r="181" spans="37:38">
      <c r="AK181" s="573" t="s">
        <v>234</v>
      </c>
      <c r="AL181" s="573" t="s">
        <v>235</v>
      </c>
    </row>
    <row r="182" spans="37:38">
      <c r="AK182" s="573">
        <v>742</v>
      </c>
      <c r="AL182" s="573" t="s">
        <v>236</v>
      </c>
    </row>
    <row r="183" spans="37:38">
      <c r="AK183" s="573" t="s">
        <v>237</v>
      </c>
      <c r="AL183" s="573" t="s">
        <v>238</v>
      </c>
    </row>
    <row r="184" spans="37:38">
      <c r="AK184" s="573">
        <v>744</v>
      </c>
      <c r="AL184" s="573" t="s">
        <v>239</v>
      </c>
    </row>
    <row r="185" spans="37:38">
      <c r="AK185" s="573">
        <v>746</v>
      </c>
      <c r="AL185" s="573" t="s">
        <v>240</v>
      </c>
    </row>
    <row r="186" spans="37:38">
      <c r="AK186" s="573">
        <v>752</v>
      </c>
      <c r="AL186" s="573" t="s">
        <v>241</v>
      </c>
    </row>
    <row r="187" spans="37:38">
      <c r="AK187" s="573" t="s">
        <v>242</v>
      </c>
      <c r="AL187" s="573" t="s">
        <v>243</v>
      </c>
    </row>
    <row r="188" spans="37:38">
      <c r="AK188" s="573">
        <v>754</v>
      </c>
      <c r="AL188" s="573" t="s">
        <v>244</v>
      </c>
    </row>
    <row r="189" spans="37:38">
      <c r="AK189" s="573">
        <v>758</v>
      </c>
      <c r="AL189" s="573" t="s">
        <v>245</v>
      </c>
    </row>
    <row r="190" spans="37:38">
      <c r="AK190" s="573">
        <v>759</v>
      </c>
      <c r="AL190" s="573" t="s">
        <v>98</v>
      </c>
    </row>
  </sheetData>
  <sortState ref="Q2:T81">
    <sortCondition ref="Q2"/>
  </sortState>
  <mergeCells count="5">
    <mergeCell ref="Q1:S1"/>
    <mergeCell ref="U1:W1"/>
    <mergeCell ref="Y1:AA1"/>
    <mergeCell ref="AG1:AI1"/>
    <mergeCell ref="AC1:AE1"/>
  </mergeCells>
  <phoneticPr fontId="3" type="noConversion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C960"/>
  <sheetViews>
    <sheetView showZeros="0" view="pageBreakPreview" topLeftCell="A895" zoomScale="70" zoomScaleNormal="60" zoomScaleSheetLayoutView="70" workbookViewId="0">
      <selection activeCell="Y930" sqref="Y930:Y940"/>
    </sheetView>
  </sheetViews>
  <sheetFormatPr defaultColWidth="10.28515625" defaultRowHeight="20.25"/>
  <cols>
    <col min="1" max="1" customWidth="true" style="180" width="4.0"/>
    <col min="2" max="2" customWidth="true" style="180" width="47.140625"/>
    <col min="3" max="3" customWidth="true" style="181" width="7.7109375"/>
    <col min="4" max="4" customWidth="true" style="182" width="6.7109375"/>
    <col min="5" max="5" customWidth="true" style="183" width="8.140625"/>
    <col min="6" max="6" customWidth="true" style="184" width="7.0"/>
    <col min="7" max="7" customWidth="true" style="184" width="9.140625"/>
    <col min="8" max="8" customWidth="true" style="183" width="13.140625"/>
    <col min="9" max="9" customWidth="true" style="183" width="8.0"/>
    <col min="10" max="10" customWidth="true" style="180" width="7.0"/>
    <col min="11" max="11" customWidth="true" style="184" width="7.0"/>
    <col min="12" max="12" customWidth="true" style="183" width="11.140625"/>
    <col min="13" max="13" customWidth="true" hidden="true" style="183" width="7.0"/>
    <col min="14" max="14" customWidth="true" hidden="true" style="184" width="7.0"/>
    <col min="15" max="15" customWidth="true" hidden="true" style="184" width="7.42578125"/>
    <col min="16" max="16" customWidth="true" hidden="true" style="183" width="8.85546875"/>
    <col min="17" max="17" customWidth="true" style="183" width="8.5703125"/>
    <col min="18" max="18" customWidth="true" style="184" width="7.0"/>
    <col min="19" max="19" bestFit="true" customWidth="true" style="184" width="9.42578125"/>
    <col min="20" max="20" bestFit="true" customWidth="true" style="183" width="13.0"/>
    <col min="21" max="21" bestFit="true" customWidth="true" style="183" width="8.140625"/>
    <col min="22" max="22" customWidth="true" style="184" width="7.0"/>
    <col min="23" max="23" bestFit="true" customWidth="true" style="184" width="9.42578125"/>
    <col min="24" max="24" bestFit="true" customWidth="true" style="185" width="13.0"/>
    <col min="25" max="25" customWidth="true" style="180" width="13.0"/>
    <col min="26" max="26" customWidth="true" style="183" width="15.28515625"/>
    <col min="27" max="27" customWidth="true" style="186" width="24.7109375"/>
    <col min="28" max="28" style="180" width="10.28515625"/>
    <col min="29" max="29" customWidth="true" style="754" width="14.42578125"/>
    <col min="30" max="150" style="180" width="10.28515625"/>
    <col min="151" max="151" bestFit="true" customWidth="true" style="180" width="3.42578125"/>
    <col min="152" max="152" customWidth="true" style="180" width="23.28515625"/>
    <col min="153" max="153" bestFit="true" customWidth="true" style="180" width="7.0"/>
    <col min="154" max="154" customWidth="true" style="180" width="5.7109375"/>
    <col min="155" max="174" customWidth="true" style="180" width="7.0"/>
    <col min="175" max="175" bestFit="true" customWidth="true" style="180" width="7.42578125"/>
    <col min="176" max="176" bestFit="true" customWidth="true" style="180" width="14.28515625"/>
    <col min="177" max="177" customWidth="true" style="180" width="20.42578125"/>
    <col min="178" max="16384" style="180" width="10.28515625"/>
  </cols>
  <sheetData>
    <row r="1" spans="1:29" s="171" customFormat="1" ht="27" customHeight="1">
      <c r="A1" s="298"/>
      <c r="B1" s="298"/>
      <c r="C1" s="298"/>
      <c r="D1" s="298"/>
      <c r="E1" s="298"/>
      <c r="F1" s="298"/>
      <c r="G1" s="298"/>
      <c r="H1" s="803" t="str">
        <f>INDEX(база!AO:AO, MATCH(Data_Tech!AU7,база!AN:AN,0))</f>
        <v>Производственный цех №3, мастерская 39</v>
      </c>
      <c r="I1" s="803"/>
      <c r="J1" s="803"/>
      <c r="K1" s="803"/>
      <c r="L1" s="803"/>
      <c r="M1" s="803"/>
      <c r="N1" s="803"/>
      <c r="O1" s="803"/>
      <c r="P1" s="803"/>
      <c r="Q1" s="803"/>
      <c r="R1" s="803"/>
      <c r="S1" s="803"/>
      <c r="T1" s="803"/>
      <c r="U1" s="803"/>
      <c r="V1" s="298"/>
      <c r="W1" s="298"/>
      <c r="X1" s="298"/>
      <c r="Y1" s="298"/>
      <c r="Z1" s="298"/>
      <c r="AA1" s="298"/>
      <c r="AC1" s="751"/>
    </row>
    <row r="2" spans="1:29" s="171" customFormat="1">
      <c r="A2" s="168"/>
      <c r="B2" s="168"/>
      <c r="C2" s="168"/>
      <c r="D2" s="168"/>
      <c r="E2" s="169"/>
      <c r="F2" s="170"/>
      <c r="G2" s="170"/>
      <c r="H2" s="169"/>
      <c r="I2" s="169"/>
      <c r="L2" s="171" t="s">
        <v>43</v>
      </c>
      <c r="N2" s="170" t="s">
        <v>43</v>
      </c>
      <c r="Q2" s="172" t="str">
        <f>Data_Tech!$A$3</f>
        <v>январь</v>
      </c>
      <c r="R2" s="170"/>
      <c r="S2" s="170"/>
      <c r="T2" s="173">
        <v>2023</v>
      </c>
      <c r="U2" s="169"/>
      <c r="V2" s="170"/>
      <c r="W2" s="170"/>
      <c r="X2" s="174"/>
      <c r="Y2" s="168"/>
      <c r="Z2" s="169"/>
      <c r="AA2" s="175"/>
      <c r="AC2" s="751"/>
    </row>
    <row r="3" spans="1:29" s="179" customFormat="1" ht="21" thickBot="1">
      <c r="A3" s="176"/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8"/>
      <c r="Q3" s="176"/>
      <c r="R3" s="177"/>
      <c r="S3" s="177"/>
      <c r="T3" s="177"/>
      <c r="U3" s="177"/>
      <c r="V3" s="177"/>
      <c r="W3" s="177"/>
      <c r="X3" s="177"/>
      <c r="Y3" s="177"/>
      <c r="Z3" s="177"/>
      <c r="AA3" s="177"/>
      <c r="AC3" s="752"/>
    </row>
    <row r="4" spans="1:29" s="371" customFormat="1" ht="21" thickBot="1">
      <c r="A4" s="804"/>
      <c r="B4" s="806" t="s">
        <v>33</v>
      </c>
      <c r="C4" s="808" t="s">
        <v>34</v>
      </c>
      <c r="D4" s="810" t="s">
        <v>35</v>
      </c>
      <c r="E4" s="812">
        <v>0.04</v>
      </c>
      <c r="F4" s="813"/>
      <c r="G4" s="813"/>
      <c r="H4" s="814"/>
      <c r="I4" s="812">
        <v>0.08</v>
      </c>
      <c r="J4" s="813"/>
      <c r="K4" s="813"/>
      <c r="L4" s="814"/>
      <c r="M4" s="812">
        <v>0.12</v>
      </c>
      <c r="N4" s="813"/>
      <c r="O4" s="813"/>
      <c r="P4" s="814"/>
      <c r="Q4" s="815">
        <v>0.16</v>
      </c>
      <c r="R4" s="816"/>
      <c r="S4" s="816"/>
      <c r="T4" s="817"/>
      <c r="U4" s="815">
        <v>0.24</v>
      </c>
      <c r="V4" s="816"/>
      <c r="W4" s="816"/>
      <c r="X4" s="817"/>
      <c r="Y4" s="818" t="s">
        <v>36</v>
      </c>
      <c r="Z4" s="820" t="s">
        <v>37</v>
      </c>
      <c r="AA4" s="822" t="s">
        <v>38</v>
      </c>
      <c r="AC4" s="753"/>
    </row>
    <row r="5" spans="1:29" ht="42.75" thickBot="1">
      <c r="A5" s="805"/>
      <c r="B5" s="807"/>
      <c r="C5" s="809"/>
      <c r="D5" s="811"/>
      <c r="E5" s="372" t="s">
        <v>39</v>
      </c>
      <c r="F5" s="373" t="s">
        <v>40</v>
      </c>
      <c r="G5" s="373" t="s">
        <v>41</v>
      </c>
      <c r="H5" s="374" t="s">
        <v>42</v>
      </c>
      <c r="I5" s="375" t="s">
        <v>39</v>
      </c>
      <c r="J5" s="373" t="s">
        <v>40</v>
      </c>
      <c r="K5" s="373" t="s">
        <v>41</v>
      </c>
      <c r="L5" s="374" t="s">
        <v>42</v>
      </c>
      <c r="M5" s="375" t="s">
        <v>39</v>
      </c>
      <c r="N5" s="373" t="s">
        <v>40</v>
      </c>
      <c r="O5" s="373" t="s">
        <v>41</v>
      </c>
      <c r="P5" s="374" t="s">
        <v>42</v>
      </c>
      <c r="Q5" s="375" t="s">
        <v>39</v>
      </c>
      <c r="R5" s="373" t="s">
        <v>40</v>
      </c>
      <c r="S5" s="373" t="s">
        <v>41</v>
      </c>
      <c r="T5" s="374" t="s">
        <v>42</v>
      </c>
      <c r="U5" s="375" t="s">
        <v>39</v>
      </c>
      <c r="V5" s="373" t="s">
        <v>40</v>
      </c>
      <c r="W5" s="373" t="s">
        <v>41</v>
      </c>
      <c r="X5" s="376" t="s">
        <v>42</v>
      </c>
      <c r="Y5" s="819"/>
      <c r="Z5" s="821"/>
      <c r="AA5" s="823"/>
    </row>
    <row r="6" spans="1:29">
      <c r="A6" s="785">
        <v>1</v>
      </c>
      <c r="B6" s="238"/>
      <c r="C6" s="788">
        <f>INDEX(база!$E$2:$E$81, MATCH(B11,база!$B$2:$B$50,0))</f>
        <v>15118</v>
      </c>
      <c r="D6" s="791">
        <f>INDEX(база!$D$2:$D$89, MATCH(B11,база!$B$2:$B$50,0))</f>
        <v>4</v>
      </c>
      <c r="E6" s="377">
        <f>IF(D6&lt;=3,база!$I$4,
IF(D6=4,база!$I$5,
IF(D6=5,база!$I$6)))</f>
        <v>207.5112</v>
      </c>
      <c r="F6" s="378">
        <v>1</v>
      </c>
      <c r="G6" s="553">
        <f>SUMIFS(Таблица14[часы],Таблица14[коэф],"1",Таблица14[р/р],"2/4",Таблица14[Ф. И. О.],B11)</f>
        <v>0</v>
      </c>
      <c r="H6" s="554">
        <f>ROUND(E6*F6*G6*2,2)</f>
        <v>0</v>
      </c>
      <c r="I6" s="381">
        <f>IF(D6&lt;=3,база!$J$4,
IF(D6=4,база!$J$5,
IF(D6=5,база!$J$6)))</f>
        <v>215.4924</v>
      </c>
      <c r="J6" s="378">
        <v>1</v>
      </c>
      <c r="K6" s="382">
        <f>SUMIFS(Таблица14[часы],Таблица14[коэф],"1",Таблица14[р/р],"2/8",Таблица14[Ф. И. О.],B11)</f>
        <v>0</v>
      </c>
      <c r="L6" s="523">
        <f>ROUND(I6*J6*K6*2,2)</f>
        <v>0</v>
      </c>
      <c r="M6" s="384"/>
      <c r="N6" s="382">
        <v>1</v>
      </c>
      <c r="O6" s="382">
        <f>SUMIFS(Data_Tech!$AM$3:$AM$67,Data_Tech!$E$3:$E$67,"1",Data_Tech!$G$3:$G$67,"3/12",Data_Tech!$F$3:$F$67,B11)</f>
        <v>0</v>
      </c>
      <c r="P6" s="385">
        <f>ROUND(M6*N6*O6,2)</f>
        <v>0</v>
      </c>
      <c r="Q6" s="386">
        <f>IF(D6&lt;=3,база!$L$4,
IF(D6=4,база!$L$5,
IF(D6=5,база!$L$6)))</f>
        <v>231.45480000000001</v>
      </c>
      <c r="R6" s="378">
        <v>1</v>
      </c>
      <c r="S6" s="387">
        <f>SUMIFS(Таблица14[часы],Таблица14[коэф],"1",Таблица14[р/р],"3/16",Таблица14[Ф. И. О.],B11)</f>
        <v>0</v>
      </c>
      <c r="T6" s="380">
        <f>ROUND(Q6*R6*S6*2,2)</f>
        <v>0</v>
      </c>
      <c r="U6" s="388">
        <f>IF(D6&lt;=3,база!$M$4,
IF(D6=4,база!$M$5,
IF(D6=5,база!$M$6)))</f>
        <v>247.41720000000001</v>
      </c>
      <c r="V6" s="378">
        <v>1</v>
      </c>
      <c r="W6" s="387">
        <f>SUMIFS(Таблица14[часы],Таблица14[коэф],"1",Таблица14[р/р],"3/24",Таблица14[Ф. И. О.],B11)</f>
        <v>0</v>
      </c>
      <c r="X6" s="548">
        <f>ROUND(U6*V6*W6*2,2)</f>
        <v>0</v>
      </c>
      <c r="Y6" s="800">
        <f>SUM(G6:G16,K6:K16,O6:O16,S6:S16,W6:W16)</f>
        <v>0</v>
      </c>
      <c r="Z6" s="799">
        <f>IFERROR(SUM(H6:H16,L6:L16,T6:T16,X6:X16),"")</f>
        <v>0</v>
      </c>
      <c r="AA6" s="785"/>
    </row>
    <row r="7" spans="1:29">
      <c r="A7" s="786"/>
      <c r="C7" s="789"/>
      <c r="D7" s="792"/>
      <c r="E7" s="389">
        <f>IF(D6&lt;=3,база!$I$4,
IF(D6=4,база!$I$5,
IF(D6=5,база!$I$6)))</f>
        <v>207.5112</v>
      </c>
      <c r="F7" s="390">
        <v>1</v>
      </c>
      <c r="G7" s="555">
        <f>SUMIFS(Таблица14[часы],Таблица14[коэф],"1",Таблица14[р/р],"3/4",Таблица14[Ф. И. О.],B11)</f>
        <v>0</v>
      </c>
      <c r="H7" s="556">
        <f t="shared" ref="H7:H16" si="0">ROUND(E7*F7*G7*2,2)</f>
        <v>0</v>
      </c>
      <c r="I7" s="393">
        <f>IF(D6&lt;=3,база!$J$4,
IF(D6=4,база!$J$5,
IF(D6=5,база!$J$6)))</f>
        <v>215.4924</v>
      </c>
      <c r="J7" s="390">
        <v>1</v>
      </c>
      <c r="K7" s="394">
        <f>SUMIFS(Таблица14[часы],Таблица14[коэф],"1",Таблица14[р/р],"3/8",Таблица14[Ф. И. О.],B11)</f>
        <v>0</v>
      </c>
      <c r="L7" s="524">
        <f t="shared" ref="L7:L16" si="1">ROUND(I7*J7*K7*2,2)</f>
        <v>0</v>
      </c>
      <c r="M7" s="396"/>
      <c r="N7" s="397">
        <v>1</v>
      </c>
      <c r="O7" s="397">
        <f>SUMIFS(Data_Tech!$AM$3:$AM$67,Data_Tech!$E$3:$E$67,"1",Data_Tech!$G$3:$G$67,"4/12",Data_Tech!$F$3:$F$67,B11)</f>
        <v>0</v>
      </c>
      <c r="P7" s="398">
        <f>ROUND(M7*O7,2)</f>
        <v>0</v>
      </c>
      <c r="Q7" s="399">
        <f>база!$L$5</f>
        <v>231.45480000000001</v>
      </c>
      <c r="R7" s="390">
        <v>1</v>
      </c>
      <c r="S7" s="400">
        <f>SUMIFS(Таблица14[часы],Таблица14[коэф],"1",Таблица14[р/р],"4/16",Таблица14[Ф. И. О.],B11)</f>
        <v>0</v>
      </c>
      <c r="T7" s="392">
        <f t="shared" ref="T7:T16" si="2">ROUND(Q7*R7*S7*2,2)</f>
        <v>0</v>
      </c>
      <c r="U7" s="401">
        <f>база!$M$5</f>
        <v>247.41720000000001</v>
      </c>
      <c r="V7" s="390">
        <v>1</v>
      </c>
      <c r="W7" s="400">
        <f>SUMIFS(Таблица14[часы],Таблица14[коэф],"1",Таблица14[р/р],"4/24",Таблица14[Ф. И. О.],B11)</f>
        <v>0</v>
      </c>
      <c r="X7" s="544">
        <f t="shared" ref="X7:X16" si="3">ROUND(U7*V7*W7*2,2)</f>
        <v>0</v>
      </c>
      <c r="Y7" s="801"/>
      <c r="Z7" s="797"/>
      <c r="AA7" s="786"/>
    </row>
    <row r="8" spans="1:29">
      <c r="A8" s="786"/>
      <c r="C8" s="789"/>
      <c r="D8" s="792"/>
      <c r="E8" s="389"/>
      <c r="F8" s="390"/>
      <c r="G8" s="555"/>
      <c r="H8" s="557">
        <f t="shared" si="0"/>
        <v>0</v>
      </c>
      <c r="I8" s="393"/>
      <c r="J8" s="390"/>
      <c r="K8" s="394"/>
      <c r="L8" s="524">
        <f t="shared" si="1"/>
        <v>0</v>
      </c>
      <c r="M8" s="396"/>
      <c r="N8" s="397"/>
      <c r="O8" s="397"/>
      <c r="P8" s="398"/>
      <c r="Q8" s="399">
        <f>база!$L$6</f>
        <v>261.04640000000001</v>
      </c>
      <c r="R8" s="390">
        <v>1</v>
      </c>
      <c r="S8" s="400">
        <f>SUMIFS(Таблица14[часы],Таблица14[коэф],"1",Таблица14[р/р],"5/16",Таблица14[Ф. И. О.],B11)</f>
        <v>0</v>
      </c>
      <c r="T8" s="440">
        <f t="shared" si="2"/>
        <v>0</v>
      </c>
      <c r="U8" s="401">
        <f>база!$M$6</f>
        <v>279.0496</v>
      </c>
      <c r="V8" s="390">
        <v>1</v>
      </c>
      <c r="W8" s="400">
        <f>SUMIFS(Таблица14[часы],Таблица14[коэф],"1",Таблица14[р/р],"5/24",Таблица14[Ф. И. О.],B11)</f>
        <v>0</v>
      </c>
      <c r="X8" s="590">
        <f t="shared" si="3"/>
        <v>0</v>
      </c>
      <c r="Y8" s="801"/>
      <c r="Z8" s="797"/>
      <c r="AA8" s="786"/>
    </row>
    <row r="9" spans="1:29">
      <c r="A9" s="786"/>
      <c r="B9" s="216"/>
      <c r="C9" s="789"/>
      <c r="D9" s="792"/>
      <c r="E9" s="389"/>
      <c r="F9" s="390"/>
      <c r="G9" s="555"/>
      <c r="H9" s="557">
        <f t="shared" si="0"/>
        <v>0</v>
      </c>
      <c r="I9" s="393">
        <f>база!$J$5</f>
        <v>215.4924</v>
      </c>
      <c r="J9" s="390">
        <v>1.5</v>
      </c>
      <c r="K9" s="394">
        <f>SUMIFS(Таблица14[часы],Таблица14[коэф],"1,5",Таблица14[р/р],"4/8",Таблица14[Ф. И. О.],B11)</f>
        <v>0</v>
      </c>
      <c r="L9" s="587">
        <f t="shared" si="1"/>
        <v>0</v>
      </c>
      <c r="M9" s="396"/>
      <c r="N9" s="397"/>
      <c r="O9" s="397"/>
      <c r="P9" s="398"/>
      <c r="Q9" s="399">
        <f>IF(D6&lt;=3,база!$L$4,
IF(D6=4,база!$L$5,
IF(D6=5,база!$L$6)))</f>
        <v>231.45480000000001</v>
      </c>
      <c r="R9" s="390">
        <v>1.2</v>
      </c>
      <c r="S9" s="400">
        <f>SUMIFS(Таблица14[часы],Таблица14[коэф],"1,2",Таблица14[р/р],"3/16",Таблица14[Ф. И. О.],B11)</f>
        <v>0</v>
      </c>
      <c r="T9" s="409">
        <f t="shared" si="2"/>
        <v>0</v>
      </c>
      <c r="U9" s="401">
        <f>IF(D6&lt;=3,база!$M$4,
IF(D6=4,база!$M$5,
IF(D6=5,база!$M$6)))</f>
        <v>247.41720000000001</v>
      </c>
      <c r="V9" s="390">
        <v>1.2</v>
      </c>
      <c r="W9" s="400">
        <f>SUMIFS(Таблица14[часы],Таблица14[коэф],"1,2",Таблица14[р/р],"3/24",Таблица14[Ф. И. О.],B11)</f>
        <v>0</v>
      </c>
      <c r="X9" s="546">
        <f t="shared" si="3"/>
        <v>0</v>
      </c>
      <c r="Y9" s="801"/>
      <c r="Z9" s="797"/>
      <c r="AA9" s="786"/>
    </row>
    <row r="10" spans="1:29">
      <c r="A10" s="786"/>
      <c r="B10" s="216"/>
      <c r="C10" s="789"/>
      <c r="D10" s="792"/>
      <c r="E10" s="389"/>
      <c r="F10" s="390"/>
      <c r="G10" s="555"/>
      <c r="H10" s="557">
        <f t="shared" si="0"/>
        <v>0</v>
      </c>
      <c r="I10" s="393">
        <f>база!$J$6</f>
        <v>243.04319999999998</v>
      </c>
      <c r="J10" s="390">
        <v>1.5</v>
      </c>
      <c r="K10" s="394">
        <f>SUMIFS(Таблица14[часы],Таблица14[коэф],"1,5",Таблица14[р/р],"5/8",Таблица14[Ф. И. О.],B11)</f>
        <v>0</v>
      </c>
      <c r="L10" s="588">
        <f t="shared" si="1"/>
        <v>0</v>
      </c>
      <c r="M10" s="396"/>
      <c r="N10" s="397"/>
      <c r="O10" s="397"/>
      <c r="P10" s="398"/>
      <c r="Q10" s="399">
        <f>база!$L$5</f>
        <v>231.45480000000001</v>
      </c>
      <c r="R10" s="403">
        <v>1.2</v>
      </c>
      <c r="S10" s="400">
        <f>SUMIFS(Таблица14[часы],Таблица14[коэф],"1,2",Таблица14[р/р],"4/16",Таблица14[Ф. И. О.],B11)</f>
        <v>0</v>
      </c>
      <c r="T10" s="409">
        <f t="shared" si="2"/>
        <v>0</v>
      </c>
      <c r="U10" s="401">
        <f>база!$M$5</f>
        <v>247.41720000000001</v>
      </c>
      <c r="V10" s="403">
        <v>1.2</v>
      </c>
      <c r="W10" s="400">
        <f>SUMIFS(Таблица14[часы],Таблица14[коэф],"1,2",Таблица14[р/р],"4/24",Таблица14[Ф. И. О.],B11)</f>
        <v>0</v>
      </c>
      <c r="X10" s="546">
        <f t="shared" si="3"/>
        <v>0</v>
      </c>
      <c r="Y10" s="801"/>
      <c r="Z10" s="797"/>
      <c r="AA10" s="786"/>
      <c r="AC10" s="754" t="str">
        <f>IF(SUMIFS(Таблица14[Столбец2],Таблица14[Ф. И. О.],B11)-Z6=0,"",SUMIFS(Таблица14[Столбец2],Таблица14[Ф. И. О.],B11)-Z6)</f>
        <v/>
      </c>
    </row>
    <row r="11" spans="1:29" ht="20.25" customHeight="1">
      <c r="A11" s="786"/>
      <c r="B11" s="216" t="str">
        <f>база!B2</f>
        <v>Авдокушина Елена Николаевна</v>
      </c>
      <c r="C11" s="789"/>
      <c r="D11" s="792"/>
      <c r="E11" s="389"/>
      <c r="F11" s="390"/>
      <c r="G11" s="555"/>
      <c r="H11" s="557">
        <f t="shared" si="0"/>
        <v>0</v>
      </c>
      <c r="I11" s="393"/>
      <c r="J11" s="390"/>
      <c r="K11" s="394"/>
      <c r="L11" s="524">
        <f t="shared" si="1"/>
        <v>0</v>
      </c>
      <c r="M11" s="396"/>
      <c r="N11" s="397"/>
      <c r="O11" s="397"/>
      <c r="P11" s="398"/>
      <c r="Q11" s="399">
        <f>база!$L$6</f>
        <v>261.04640000000001</v>
      </c>
      <c r="R11" s="390">
        <v>1.2</v>
      </c>
      <c r="S11" s="400">
        <f>SUMIFS(Таблица14[часы],Таблица14[коэф],"1,2",Таблица14[р/р],"5/16",Таблица14[Ф. И. О.],B11)</f>
        <v>0</v>
      </c>
      <c r="T11" s="392">
        <f t="shared" si="2"/>
        <v>0</v>
      </c>
      <c r="U11" s="401">
        <f>база!$M$6</f>
        <v>279.0496</v>
      </c>
      <c r="V11" s="390">
        <v>1.2</v>
      </c>
      <c r="W11" s="525">
        <f>SUMIFS(Таблица14[часы],Таблица14[коэф],"1,2",Таблица14[р/р],"5/24",Таблица14[Ф. И. О.],B11)</f>
        <v>0</v>
      </c>
      <c r="X11" s="546">
        <f t="shared" si="3"/>
        <v>0</v>
      </c>
      <c r="Y11" s="801"/>
      <c r="Z11" s="797"/>
      <c r="AA11" s="786"/>
      <c r="AC11" s="754" t="str">
        <f>IF(SUMIFS(Таблица14[часы],Таблица14[Ф. И. О.],B11)-Y6=0,"",SUMIFS(Таблица14[часы],Таблица14[Ф. И. О.],B11)-Y6)</f>
        <v/>
      </c>
    </row>
    <row r="12" spans="1:29">
      <c r="A12" s="786"/>
      <c r="C12" s="789"/>
      <c r="D12" s="792"/>
      <c r="E12" s="389"/>
      <c r="F12" s="390"/>
      <c r="G12" s="555"/>
      <c r="H12" s="557">
        <f t="shared" si="0"/>
        <v>0</v>
      </c>
      <c r="I12" s="393"/>
      <c r="J12" s="390"/>
      <c r="K12" s="394"/>
      <c r="L12" s="587">
        <f t="shared" si="1"/>
        <v>0</v>
      </c>
      <c r="M12" s="405"/>
      <c r="N12" s="394"/>
      <c r="O12" s="394"/>
      <c r="P12" s="406"/>
      <c r="Q12" s="407">
        <f>IF(D6&lt;=3,база!$L$4,
IF(D6=4,база!$L$5,
IF(D6=5,база!$L$6)))</f>
        <v>231.45480000000001</v>
      </c>
      <c r="R12" s="403">
        <v>1.3</v>
      </c>
      <c r="S12" s="408">
        <f>SUMIFS(Таблица14[часы],Таблица14[коэф],"1,3",Таблица14[р/р],"3/16",Таблица14[Ф. И. О.],B11)</f>
        <v>0</v>
      </c>
      <c r="T12" s="440">
        <f t="shared" si="2"/>
        <v>0</v>
      </c>
      <c r="U12" s="410">
        <f>IF(D6&lt;=3,база!$M$4,
IF(D6=4,база!$M$5,
IF(D6=5,база!$M$6)))</f>
        <v>247.41720000000001</v>
      </c>
      <c r="V12" s="411">
        <v>1.3</v>
      </c>
      <c r="W12" s="412">
        <f>SUMIFS(Таблица14[часы],Таблица14[коэф],"1,3",Таблица14[р/р],"3/24",Таблица14[Ф. И. О.],B11)</f>
        <v>0</v>
      </c>
      <c r="X12" s="546">
        <f t="shared" si="3"/>
        <v>0</v>
      </c>
      <c r="Y12" s="801"/>
      <c r="Z12" s="797"/>
      <c r="AA12" s="786"/>
    </row>
    <row r="13" spans="1:29">
      <c r="A13" s="786"/>
      <c r="B13" s="216"/>
      <c r="C13" s="789"/>
      <c r="D13" s="792"/>
      <c r="E13" s="389"/>
      <c r="F13" s="390"/>
      <c r="G13" s="555"/>
      <c r="H13" s="557">
        <f t="shared" si="0"/>
        <v>0</v>
      </c>
      <c r="I13" s="393"/>
      <c r="J13" s="390"/>
      <c r="K13" s="394"/>
      <c r="L13" s="524">
        <f t="shared" si="1"/>
        <v>0</v>
      </c>
      <c r="M13" s="413"/>
      <c r="N13" s="414"/>
      <c r="O13" s="414"/>
      <c r="P13" s="415"/>
      <c r="Q13" s="399">
        <f>база!$L$5</f>
        <v>231.45480000000001</v>
      </c>
      <c r="R13" s="390">
        <v>1.3</v>
      </c>
      <c r="S13" s="400">
        <f>SUMIFS(Таблица14[часы],Таблица14[коэф],"1,3",Таблица14[р/р],"4/16",Таблица14[Ф. И. О.],B11)</f>
        <v>0</v>
      </c>
      <c r="T13" s="409">
        <f t="shared" si="2"/>
        <v>0</v>
      </c>
      <c r="U13" s="410">
        <f>база!$M$5</f>
        <v>247.41720000000001</v>
      </c>
      <c r="V13" s="411">
        <v>1.3</v>
      </c>
      <c r="W13" s="412">
        <f>SUMIFS(Таблица14[часы],Таблица14[коэф],"1,3",Таблица14[р/р],"4/24",Таблица14[Ф. И. О.],B11)</f>
        <v>0</v>
      </c>
      <c r="X13" s="546">
        <f t="shared" si="3"/>
        <v>0</v>
      </c>
      <c r="Y13" s="801"/>
      <c r="Z13" s="797"/>
      <c r="AA13" s="786"/>
    </row>
    <row r="14" spans="1:29">
      <c r="A14" s="786"/>
      <c r="B14" s="216"/>
      <c r="C14" s="789"/>
      <c r="D14" s="792"/>
      <c r="E14" s="389"/>
      <c r="F14" s="390"/>
      <c r="G14" s="555"/>
      <c r="H14" s="557">
        <f t="shared" si="0"/>
        <v>0</v>
      </c>
      <c r="I14" s="393"/>
      <c r="J14" s="390"/>
      <c r="K14" s="394"/>
      <c r="L14" s="524">
        <f t="shared" si="1"/>
        <v>0</v>
      </c>
      <c r="M14" s="413"/>
      <c r="N14" s="414"/>
      <c r="O14" s="414"/>
      <c r="P14" s="415"/>
      <c r="Q14" s="416">
        <f>IF(D6&lt;=3,база!$L$4,
IF(D6=4,база!$L$5,
IF(D6=5,база!$L$6)))</f>
        <v>231.45480000000001</v>
      </c>
      <c r="R14" s="417">
        <v>1.4</v>
      </c>
      <c r="S14" s="418">
        <f>SUMIFS(Таблица14[часы],Таблица14[коэф],"1,4",Таблица14[р/р],"3/16",Таблица14[Ф. И. О.],B11)</f>
        <v>0</v>
      </c>
      <c r="T14" s="409">
        <f t="shared" si="2"/>
        <v>0</v>
      </c>
      <c r="U14" s="419">
        <f>IF(D6&lt;=3,база!$M$4,
IF(D6=4,база!$M$5,
IF(D6=5,база!$M$6)))</f>
        <v>247.41720000000001</v>
      </c>
      <c r="V14" s="417">
        <v>1.4</v>
      </c>
      <c r="W14" s="418">
        <f>SUMIFS(Таблица14[часы],Таблица14[коэф],"1,4",Таблица14[р/р],"3/24",Таблица14[Ф. И. О.],B11)</f>
        <v>0</v>
      </c>
      <c r="X14" s="546">
        <f t="shared" si="3"/>
        <v>0</v>
      </c>
      <c r="Y14" s="801"/>
      <c r="Z14" s="797"/>
      <c r="AA14" s="786"/>
    </row>
    <row r="15" spans="1:29">
      <c r="A15" s="786"/>
      <c r="B15" s="216"/>
      <c r="C15" s="789"/>
      <c r="D15" s="792"/>
      <c r="E15" s="420"/>
      <c r="F15" s="403"/>
      <c r="G15" s="558"/>
      <c r="H15" s="559">
        <f t="shared" si="0"/>
        <v>0</v>
      </c>
      <c r="I15" s="422"/>
      <c r="J15" s="403"/>
      <c r="K15" s="423"/>
      <c r="L15" s="587">
        <f t="shared" si="1"/>
        <v>0</v>
      </c>
      <c r="M15" s="413"/>
      <c r="N15" s="414"/>
      <c r="O15" s="414"/>
      <c r="P15" s="415"/>
      <c r="Q15" s="399">
        <f>база!$L$5</f>
        <v>231.45480000000001</v>
      </c>
      <c r="R15" s="390">
        <v>1.4</v>
      </c>
      <c r="S15" s="400">
        <f>SUMIFS(Таблица14[часы],Таблица14[коэф],"1,4",Таблица14[р/р],"4/16",Таблица14[Ф. И. О.],B11)</f>
        <v>0</v>
      </c>
      <c r="T15" s="392">
        <f t="shared" si="2"/>
        <v>0</v>
      </c>
      <c r="U15" s="401">
        <f>база!$M$5</f>
        <v>247.41720000000001</v>
      </c>
      <c r="V15" s="390">
        <v>1.4</v>
      </c>
      <c r="W15" s="400">
        <f>SUMIFS(Таблица14[часы],Таблица14[коэф],"1,4",Таблица14[р/р],"4/24",Таблица14[Ф. И. О.],B11)</f>
        <v>0</v>
      </c>
      <c r="X15" s="546">
        <f t="shared" si="3"/>
        <v>0</v>
      </c>
      <c r="Y15" s="801"/>
      <c r="Z15" s="797"/>
      <c r="AA15" s="786"/>
    </row>
    <row r="16" spans="1:29" ht="21" thickBot="1">
      <c r="A16" s="787"/>
      <c r="B16" s="203"/>
      <c r="C16" s="790"/>
      <c r="D16" s="793"/>
      <c r="E16" s="420"/>
      <c r="F16" s="403"/>
      <c r="G16" s="558"/>
      <c r="H16" s="559">
        <f t="shared" si="0"/>
        <v>0</v>
      </c>
      <c r="I16" s="422"/>
      <c r="J16" s="403"/>
      <c r="K16" s="423"/>
      <c r="L16" s="589">
        <f t="shared" si="1"/>
        <v>0</v>
      </c>
      <c r="M16" s="413"/>
      <c r="N16" s="414"/>
      <c r="O16" s="414"/>
      <c r="P16" s="415"/>
      <c r="Q16" s="407">
        <f>база!$L$6</f>
        <v>261.04640000000001</v>
      </c>
      <c r="R16" s="403">
        <v>1.4</v>
      </c>
      <c r="S16" s="408">
        <f>SUMIFS(Таблица14[часы],Таблица14[коэф],"1,4",Таблица14[р/р],"5/16",Таблица14[Ф. И. О.],B11)</f>
        <v>0</v>
      </c>
      <c r="T16" s="402">
        <f t="shared" si="2"/>
        <v>0</v>
      </c>
      <c r="U16" s="526">
        <f>база!$M$6</f>
        <v>279.0496</v>
      </c>
      <c r="V16" s="403">
        <v>1.4</v>
      </c>
      <c r="W16" s="527">
        <f>SUMIFS(Таблица14[часы],Таблица14[коэф],"1,4",Таблица14[р/р],"5/24",Таблица14[Ф. И. О.],B11)</f>
        <v>0</v>
      </c>
      <c r="X16" s="549">
        <f t="shared" si="3"/>
        <v>0</v>
      </c>
      <c r="Y16" s="802"/>
      <c r="Z16" s="798"/>
      <c r="AA16" s="787"/>
    </row>
    <row r="17" spans="1:29" ht="20.25" customHeight="1">
      <c r="A17" s="785">
        <v>2</v>
      </c>
      <c r="B17" s="216"/>
      <c r="C17" s="788">
        <f>INDEX(база!$E$2:$E$81, MATCH(B22,база!$B$2:$B$50,0))</f>
        <v>15799</v>
      </c>
      <c r="D17" s="791">
        <f>INDEX(база!$D$2:$D$89, MATCH(B22,база!$B$2:$B$50,0))</f>
        <v>3</v>
      </c>
      <c r="E17" s="377">
        <f>IF(D17&lt;=3,база!$I$4,
IF(D17=4,база!$I$5,
IF(D17=5,база!$I$6)))</f>
        <v>188.7912</v>
      </c>
      <c r="F17" s="378">
        <v>1</v>
      </c>
      <c r="G17" s="387">
        <f>SUMIFS(Таблица14[часы],Таблица14[коэф],"1",Таблица14[р/р],"2/4",Таблица14[Ф. И. О.],B22)</f>
        <v>0</v>
      </c>
      <c r="H17" s="380">
        <f>ROUND(E17*F17*G17*2,2)</f>
        <v>0</v>
      </c>
      <c r="I17" s="381">
        <f>IF(D17&lt;=3,база!$J$4,
IF(D17=4,база!$J$5,
IF(D17=5,база!$J$6)))</f>
        <v>196.05240000000001</v>
      </c>
      <c r="J17" s="378">
        <v>1</v>
      </c>
      <c r="K17" s="428">
        <f>SUMIFS(Таблица14[часы],Таблица14[коэф],"1",Таблица14[р/р],"2/8",Таблица14[Ф. И. О.],B22)</f>
        <v>0</v>
      </c>
      <c r="L17" s="383">
        <f>ROUND(I17*J17*K17*2,2)</f>
        <v>0</v>
      </c>
      <c r="M17" s="426"/>
      <c r="N17" s="428">
        <v>1</v>
      </c>
      <c r="O17" s="428">
        <f>SUMIFS(Data_Tech!$AM$3:$AM$67,Data_Tech!$E$3:$E$67,"1",Data_Tech!$G$3:$G$67,"3/12",Data_Tech!$F$3:$F$67,B22)</f>
        <v>0</v>
      </c>
      <c r="P17" s="385">
        <f>ROUND(M17*N17*O17,2)</f>
        <v>0</v>
      </c>
      <c r="Q17" s="429">
        <f>IF(D17&lt;=3,база!$L$4,
IF(D17=4,база!$L$5,
IF(D17=5,база!$L$6)))</f>
        <v>210.57480000000001</v>
      </c>
      <c r="R17" s="429">
        <v>1</v>
      </c>
      <c r="S17" s="430">
        <f>SUMIFS(Таблица14[часы],Таблица14[коэф],"1",Таблица14[р/р],"3/16",Таблица14[Ф. И. О.],B22)</f>
        <v>0</v>
      </c>
      <c r="T17" s="528">
        <f>ROUND(Q17*R17*S17*2,2)</f>
        <v>0</v>
      </c>
      <c r="U17" s="431">
        <f>IF(D17&lt;=3,база!$M$4,
IF(D17=4,база!$M$5,
IF(D17=5,база!$M$6)))</f>
        <v>225.09719999999999</v>
      </c>
      <c r="V17" s="378">
        <v>1</v>
      </c>
      <c r="W17" s="430">
        <f>SUMIFS(Таблица14[часы],Таблица14[коэф],"1",Таблица14[р/р],"3/24",Таблица14[Ф. И. О.],B22)</f>
        <v>0</v>
      </c>
      <c r="X17" s="528">
        <f>ROUND(U17*V17*W17*2,2)</f>
        <v>0</v>
      </c>
      <c r="Y17" s="800">
        <f t="shared" ref="Y17" si="4">SUM(G17:G27,K17:K27,O17:O27,S17:S27,W17:W27)</f>
        <v>0</v>
      </c>
      <c r="Z17" s="797">
        <f>IFERROR(SUM(H17:H27,L17:L27,T17:T27,X17:X27),"")</f>
        <v>0</v>
      </c>
      <c r="AA17" s="786"/>
    </row>
    <row r="18" spans="1:29" ht="20.25" customHeight="1">
      <c r="A18" s="786"/>
      <c r="B18" s="216"/>
      <c r="C18" s="789"/>
      <c r="D18" s="792"/>
      <c r="E18" s="389">
        <f>IF(D17&lt;=3,база!$I$4,
IF(D17=4,база!$I$5,
IF(D17=5,база!$I$6)))</f>
        <v>188.7912</v>
      </c>
      <c r="F18" s="390">
        <v>1</v>
      </c>
      <c r="G18" s="400">
        <f>SUMIFS(Таблица14[часы],Таблица14[коэф],"1",Таблица14[р/р],"3/4",Таблица14[Ф. И. О.],B22)</f>
        <v>0</v>
      </c>
      <c r="H18" s="392">
        <f t="shared" ref="H18:H27" si="5">ROUND(E18*F18*G18*2,2)</f>
        <v>0</v>
      </c>
      <c r="I18" s="393">
        <f>IF(D17&lt;=3,база!$J$4,
IF(D17=4,база!$J$5,
IF(D17=5,база!$J$6)))</f>
        <v>196.05240000000001</v>
      </c>
      <c r="J18" s="390">
        <v>1</v>
      </c>
      <c r="K18" s="434">
        <f>SUMIFS(Таблица14[часы],Таблица14[коэф],"1",Таблица14[р/р],"3/8",Таблица14[Ф. И. О.],B22)</f>
        <v>0</v>
      </c>
      <c r="L18" s="395">
        <f t="shared" ref="L18:L27" si="6">ROUND(I18*J18*K18*2,2)</f>
        <v>0</v>
      </c>
      <c r="M18" s="432"/>
      <c r="N18" s="434">
        <v>1</v>
      </c>
      <c r="O18" s="434">
        <f>SUMIFS(Data_Tech!$AM$3:$AM$67,Data_Tech!$E$3:$E$67,"1",Data_Tech!$G$3:$G$67,"4/12",Data_Tech!$F$3:$F$67,B22)</f>
        <v>0</v>
      </c>
      <c r="P18" s="406">
        <f>ROUND(M18*O18,2)</f>
        <v>0</v>
      </c>
      <c r="Q18" s="435">
        <f>база!$L$5</f>
        <v>231.45480000000001</v>
      </c>
      <c r="R18" s="435">
        <v>1</v>
      </c>
      <c r="S18" s="412">
        <f>SUMIFS(Таблица14[часы],Таблица14[коэф],"1",Таблица14[р/р],"4/16",Таблица14[Ф. И. О.],B22)</f>
        <v>0</v>
      </c>
      <c r="T18" s="529">
        <f t="shared" ref="T18:T27" si="7">ROUND(Q18*R18*S18*2,2)</f>
        <v>0</v>
      </c>
      <c r="U18" s="436">
        <f>база!$M$5</f>
        <v>247.41720000000001</v>
      </c>
      <c r="V18" s="390">
        <v>1</v>
      </c>
      <c r="W18" s="412">
        <f>SUMIFS(Таблица14[часы],Таблица14[коэф],"1",Таблица14[р/р],"4/24",Таблица14[Ф. И. О.],B22)</f>
        <v>0</v>
      </c>
      <c r="X18" s="530">
        <f t="shared" ref="X18:X27" si="8">ROUND(U18*V18*W18*2,2)</f>
        <v>0</v>
      </c>
      <c r="Y18" s="801"/>
      <c r="Z18" s="797"/>
      <c r="AA18" s="786"/>
    </row>
    <row r="19" spans="1:29" ht="20.25" customHeight="1">
      <c r="A19" s="786"/>
      <c r="B19" s="216"/>
      <c r="C19" s="789"/>
      <c r="D19" s="792"/>
      <c r="E19" s="389"/>
      <c r="F19" s="390"/>
      <c r="G19" s="400"/>
      <c r="H19" s="392">
        <f t="shared" si="5"/>
        <v>0</v>
      </c>
      <c r="I19" s="393"/>
      <c r="J19" s="390"/>
      <c r="K19" s="434"/>
      <c r="L19" s="395">
        <f t="shared" si="6"/>
        <v>0</v>
      </c>
      <c r="M19" s="432"/>
      <c r="N19" s="434"/>
      <c r="O19" s="434"/>
      <c r="P19" s="406"/>
      <c r="Q19" s="399">
        <f>база!$L$6</f>
        <v>261.04640000000001</v>
      </c>
      <c r="R19" s="390">
        <v>1</v>
      </c>
      <c r="S19" s="400">
        <f>SUMIFS(Таблица14[часы],Таблица14[коэф],"1",Таблица14[р/р],"5/16",Таблица14[Ф. И. О.],B22)</f>
        <v>0</v>
      </c>
      <c r="T19" s="531">
        <f t="shared" si="7"/>
        <v>0</v>
      </c>
      <c r="U19" s="436">
        <f>база!$M$6</f>
        <v>279.0496</v>
      </c>
      <c r="V19" s="390">
        <v>1</v>
      </c>
      <c r="W19" s="412">
        <f>SUMIFS(Таблица14[часы],Таблица14[коэф],"1",Таблица14[р/р],"5/24",Таблица14[Ф. И. О.],B22)</f>
        <v>0</v>
      </c>
      <c r="X19" s="529">
        <f t="shared" si="8"/>
        <v>0</v>
      </c>
      <c r="Y19" s="801"/>
      <c r="Z19" s="797"/>
      <c r="AA19" s="786"/>
    </row>
    <row r="20" spans="1:29" ht="20.25" customHeight="1">
      <c r="A20" s="786"/>
      <c r="B20" s="216"/>
      <c r="C20" s="789"/>
      <c r="D20" s="792"/>
      <c r="E20" s="437"/>
      <c r="F20" s="438"/>
      <c r="G20" s="439"/>
      <c r="H20" s="440">
        <f t="shared" si="5"/>
        <v>0</v>
      </c>
      <c r="I20" s="515">
        <f>база!$J$5</f>
        <v>215.4924</v>
      </c>
      <c r="J20" s="438">
        <v>1.5</v>
      </c>
      <c r="K20" s="442">
        <f>SUMIFS(Таблица14[часы],Таблица14[коэф],"1,5",Таблица14[р/р],"4/8",Таблица14[Ф. И. О.],B22)</f>
        <v>0</v>
      </c>
      <c r="L20" s="532">
        <f t="shared" si="6"/>
        <v>0</v>
      </c>
      <c r="M20" s="441"/>
      <c r="N20" s="442"/>
      <c r="O20" s="442"/>
      <c r="P20" s="415"/>
      <c r="Q20" s="443">
        <f>IF(D17&lt;=3,база!$L$4,
IF(D17=4,база!$L$5,
IF(D17=5,база!$L$6)))</f>
        <v>210.57480000000001</v>
      </c>
      <c r="R20" s="438">
        <v>1.2</v>
      </c>
      <c r="S20" s="439">
        <f>SUMIFS(Таблица14[часы],Таблица14[коэф],"1,2",Таблица14[р/р],"3/16",Таблица14[Ф. И. О.],B22)</f>
        <v>0</v>
      </c>
      <c r="T20" s="440">
        <f t="shared" si="7"/>
        <v>0</v>
      </c>
      <c r="U20" s="444">
        <f>IF(D17&lt;=3,база!$M$4,
IF(D17=4,база!$M$5,
IF(D17=5,база!$M$6)))</f>
        <v>225.09719999999999</v>
      </c>
      <c r="V20" s="438">
        <v>1.2</v>
      </c>
      <c r="W20" s="533">
        <f>SUMIFS(Таблица14[часы],Таблица14[коэф],"1,2",Таблица14[р/р],"3/24",Таблица14[Ф. И. О.],B22)</f>
        <v>0</v>
      </c>
      <c r="X20" s="534">
        <f t="shared" si="8"/>
        <v>0</v>
      </c>
      <c r="Y20" s="801"/>
      <c r="Z20" s="797"/>
      <c r="AA20" s="786"/>
    </row>
    <row r="21" spans="1:29" ht="20.25" customHeight="1">
      <c r="A21" s="786"/>
      <c r="B21" s="216"/>
      <c r="C21" s="789"/>
      <c r="D21" s="792"/>
      <c r="E21" s="389"/>
      <c r="F21" s="390"/>
      <c r="G21" s="400"/>
      <c r="H21" s="392">
        <f t="shared" si="5"/>
        <v>0</v>
      </c>
      <c r="I21" s="393">
        <f>база!$J$6</f>
        <v>243.04319999999998</v>
      </c>
      <c r="J21" s="390">
        <v>1.5</v>
      </c>
      <c r="K21" s="434">
        <f>SUMIFS(Таблица14[часы],Таблица14[коэф],"1,5",Таблица14[р/р],"5/8",Таблица14[Ф. И. О.],B22)</f>
        <v>0</v>
      </c>
      <c r="L21" s="395">
        <f t="shared" si="6"/>
        <v>0</v>
      </c>
      <c r="M21" s="432"/>
      <c r="N21" s="434"/>
      <c r="O21" s="434"/>
      <c r="P21" s="406"/>
      <c r="Q21" s="399">
        <f>база!$L$5</f>
        <v>231.45480000000001</v>
      </c>
      <c r="R21" s="390">
        <v>1.2</v>
      </c>
      <c r="S21" s="400">
        <f>SUMIFS(Таблица14[часы],Таблица14[коэф],"1,2",Таблица14[р/р],"4/16",Таблица14[Ф. И. О.],B22)</f>
        <v>0</v>
      </c>
      <c r="T21" s="392">
        <f t="shared" si="7"/>
        <v>0</v>
      </c>
      <c r="U21" s="436">
        <f>база!$M$5</f>
        <v>247.41720000000001</v>
      </c>
      <c r="V21" s="390">
        <v>1.2</v>
      </c>
      <c r="W21" s="412">
        <f>SUMIFS(Таблица14[часы],Таблица14[коэф],"1,2",Таблица14[р/р],"4/24",Таблица14[Ф. И. О.],B22)</f>
        <v>0</v>
      </c>
      <c r="X21" s="529">
        <f t="shared" si="8"/>
        <v>0</v>
      </c>
      <c r="Y21" s="801"/>
      <c r="Z21" s="797"/>
      <c r="AA21" s="786"/>
    </row>
    <row r="22" spans="1:29" ht="20.25" customHeight="1">
      <c r="A22" s="786"/>
      <c r="B22" s="216" t="str">
        <f>база!B3</f>
        <v>Аксенов Александр Юрьевич</v>
      </c>
      <c r="C22" s="789"/>
      <c r="D22" s="792"/>
      <c r="E22" s="437"/>
      <c r="F22" s="438"/>
      <c r="G22" s="439"/>
      <c r="H22" s="440">
        <f t="shared" si="5"/>
        <v>0</v>
      </c>
      <c r="I22" s="515"/>
      <c r="J22" s="438"/>
      <c r="K22" s="442"/>
      <c r="L22" s="532">
        <f t="shared" si="6"/>
        <v>0</v>
      </c>
      <c r="M22" s="441"/>
      <c r="N22" s="442"/>
      <c r="O22" s="442"/>
      <c r="P22" s="415"/>
      <c r="Q22" s="443">
        <f>база!$L$6</f>
        <v>261.04640000000001</v>
      </c>
      <c r="R22" s="438">
        <v>1.2</v>
      </c>
      <c r="S22" s="439">
        <f>SUMIFS(Таблица14[часы],Таблица14[коэф],"1,2",Таблица14[р/р],"5/16",Таблица14[Ф. И. О.],B22)</f>
        <v>0</v>
      </c>
      <c r="T22" s="440">
        <f t="shared" si="7"/>
        <v>0</v>
      </c>
      <c r="U22" s="444">
        <f>база!$M$6</f>
        <v>279.0496</v>
      </c>
      <c r="V22" s="438">
        <v>1.2</v>
      </c>
      <c r="W22" s="533">
        <f>SUMIFS(Таблица14[часы],Таблица14[коэф],"1,2",Таблица14[р/р],"5/24",Таблица14[Ф. И. О.],B22)</f>
        <v>0</v>
      </c>
      <c r="X22" s="534">
        <f t="shared" si="8"/>
        <v>0</v>
      </c>
      <c r="Y22" s="801"/>
      <c r="Z22" s="797"/>
      <c r="AA22" s="786"/>
      <c r="AC22" s="754" t="str">
        <f>IF(SUMIFS(Таблица14[Столбец2],Таблица14[Ф. И. О.],B22)-Z17=0,"",SUMIFS(Таблица14[Столбец2],Таблица14[Ф. И. О.],B22)-Z17)</f>
        <v/>
      </c>
    </row>
    <row r="23" spans="1:29" ht="20.25" customHeight="1">
      <c r="A23" s="786"/>
      <c r="B23" s="216"/>
      <c r="C23" s="789"/>
      <c r="D23" s="792"/>
      <c r="E23" s="389"/>
      <c r="F23" s="390"/>
      <c r="G23" s="400"/>
      <c r="H23" s="392">
        <f t="shared" si="5"/>
        <v>0</v>
      </c>
      <c r="I23" s="393"/>
      <c r="J23" s="390"/>
      <c r="K23" s="434"/>
      <c r="L23" s="395">
        <f t="shared" si="6"/>
        <v>0</v>
      </c>
      <c r="M23" s="432"/>
      <c r="N23" s="434"/>
      <c r="O23" s="434"/>
      <c r="P23" s="406"/>
      <c r="Q23" s="399">
        <f>IF(D17&lt;=3,база!$L$4,
IF(D17=4,база!$L$5,
IF(D17=5,база!$L$6)))</f>
        <v>210.57480000000001</v>
      </c>
      <c r="R23" s="390">
        <v>1.3</v>
      </c>
      <c r="S23" s="400">
        <f>SUMIFS(Таблица14[часы],Таблица14[коэф],"1,3",Таблица14[р/р],"3/16",Таблица14[Ф. И. О.],B22)</f>
        <v>0</v>
      </c>
      <c r="T23" s="392">
        <f t="shared" si="7"/>
        <v>0</v>
      </c>
      <c r="U23" s="436">
        <f>IF(D17&lt;=3,база!$M$4,
IF(D17=4,база!$M$5,
IF(D17=5,база!$M$6)))</f>
        <v>225.09719999999999</v>
      </c>
      <c r="V23" s="390">
        <v>1.3</v>
      </c>
      <c r="W23" s="412">
        <f>SUMIFS(Таблица14[часы],Таблица14[коэф],"1,3",Таблица14[р/р],"3/24",Таблица14[Ф. И. О.],B22)</f>
        <v>0</v>
      </c>
      <c r="X23" s="529">
        <f t="shared" si="8"/>
        <v>0</v>
      </c>
      <c r="Y23" s="801"/>
      <c r="Z23" s="797"/>
      <c r="AA23" s="786"/>
      <c r="AC23" s="754" t="str">
        <f>IF(SUMIFS(Таблица14[часы],Таблица14[Ф. И. О.],B22)-Y17=0,"",SUMIFS(Таблица14[часы],Таблица14[Ф. И. О.],B22)-Y17)</f>
        <v/>
      </c>
    </row>
    <row r="24" spans="1:29" ht="20.25" customHeight="1">
      <c r="A24" s="786"/>
      <c r="B24" s="216"/>
      <c r="C24" s="789"/>
      <c r="D24" s="792"/>
      <c r="E24" s="389"/>
      <c r="F24" s="390"/>
      <c r="G24" s="400"/>
      <c r="H24" s="392">
        <f t="shared" si="5"/>
        <v>0</v>
      </c>
      <c r="I24" s="393"/>
      <c r="J24" s="390"/>
      <c r="K24" s="434"/>
      <c r="L24" s="395">
        <f t="shared" si="6"/>
        <v>0</v>
      </c>
      <c r="M24" s="432"/>
      <c r="N24" s="434"/>
      <c r="O24" s="434"/>
      <c r="P24" s="406"/>
      <c r="Q24" s="399">
        <f>база!$L$5</f>
        <v>231.45480000000001</v>
      </c>
      <c r="R24" s="390">
        <v>1.3</v>
      </c>
      <c r="S24" s="400">
        <f>SUMIFS(Таблица14[часы],Таблица14[коэф],"1,3",Таблица14[р/р],"4/16",Таблица14[Ф. И. О.],B22)</f>
        <v>0</v>
      </c>
      <c r="T24" s="392">
        <f t="shared" si="7"/>
        <v>0</v>
      </c>
      <c r="U24" s="436">
        <f>база!$M$5</f>
        <v>247.41720000000001</v>
      </c>
      <c r="V24" s="390">
        <v>1.3</v>
      </c>
      <c r="W24" s="412">
        <f>SUMIFS(Таблица14[часы],Таблица14[коэф],"1,3",Таблица14[р/р],"4/24",Таблица14[Ф. И. О.],B22)</f>
        <v>0</v>
      </c>
      <c r="X24" s="529">
        <f t="shared" si="8"/>
        <v>0</v>
      </c>
      <c r="Y24" s="801"/>
      <c r="Z24" s="797"/>
      <c r="AA24" s="786"/>
    </row>
    <row r="25" spans="1:29" ht="20.25" customHeight="1">
      <c r="A25" s="786"/>
      <c r="B25" s="216"/>
      <c r="C25" s="789"/>
      <c r="D25" s="792"/>
      <c r="E25" s="437"/>
      <c r="F25" s="438"/>
      <c r="G25" s="439"/>
      <c r="H25" s="440">
        <f t="shared" si="5"/>
        <v>0</v>
      </c>
      <c r="I25" s="515"/>
      <c r="J25" s="438"/>
      <c r="K25" s="442"/>
      <c r="L25" s="532">
        <f t="shared" si="6"/>
        <v>0</v>
      </c>
      <c r="M25" s="441"/>
      <c r="N25" s="442"/>
      <c r="O25" s="442"/>
      <c r="P25" s="415"/>
      <c r="Q25" s="443">
        <f>IF(D17&lt;=3,база!$L$4,
IF(D17=4,база!$L$5,
IF(D17=5,база!$L$6)))</f>
        <v>210.57480000000001</v>
      </c>
      <c r="R25" s="438">
        <v>1.4</v>
      </c>
      <c r="S25" s="439">
        <f>SUMIFS(Таблица14[часы],Таблица14[коэф],"1,4",Таблица14[р/р],"3/16",Таблица14[Ф. И. О.],B22)</f>
        <v>0</v>
      </c>
      <c r="T25" s="440">
        <f t="shared" si="7"/>
        <v>0</v>
      </c>
      <c r="U25" s="444">
        <f>IF(D17&lt;=3,база!$M$4,
IF(D17=4,база!$M$5,
IF(D17=5,база!$M$6)))</f>
        <v>225.09719999999999</v>
      </c>
      <c r="V25" s="438">
        <v>1.4</v>
      </c>
      <c r="W25" s="533">
        <f>SUMIFS(Таблица14[часы],Таблица14[коэф],"1,4",Таблица14[р/р],"3/24",Таблица14[Ф. И. О.],B22)</f>
        <v>0</v>
      </c>
      <c r="X25" s="534">
        <f t="shared" si="8"/>
        <v>0</v>
      </c>
      <c r="Y25" s="801"/>
      <c r="Z25" s="797"/>
      <c r="AA25" s="786"/>
    </row>
    <row r="26" spans="1:29" ht="20.25" customHeight="1">
      <c r="A26" s="786"/>
      <c r="B26" s="216"/>
      <c r="C26" s="789"/>
      <c r="D26" s="792"/>
      <c r="E26" s="389"/>
      <c r="F26" s="390"/>
      <c r="G26" s="400"/>
      <c r="H26" s="392">
        <f t="shared" si="5"/>
        <v>0</v>
      </c>
      <c r="I26" s="393"/>
      <c r="J26" s="390"/>
      <c r="K26" s="434"/>
      <c r="L26" s="395">
        <f t="shared" si="6"/>
        <v>0</v>
      </c>
      <c r="M26" s="432"/>
      <c r="N26" s="434"/>
      <c r="O26" s="434"/>
      <c r="P26" s="406"/>
      <c r="Q26" s="399">
        <f>база!$L$5</f>
        <v>231.45480000000001</v>
      </c>
      <c r="R26" s="390">
        <v>1.4</v>
      </c>
      <c r="S26" s="400">
        <f>SUMIFS(Таблица14[часы],Таблица14[коэф],"1,4",Таблица14[р/р],"4/16",Таблица14[Ф. И. О.],B22)</f>
        <v>0</v>
      </c>
      <c r="T26" s="392">
        <f t="shared" si="7"/>
        <v>0</v>
      </c>
      <c r="U26" s="436">
        <f>база!$M$5</f>
        <v>247.41720000000001</v>
      </c>
      <c r="V26" s="390">
        <v>1.4</v>
      </c>
      <c r="W26" s="412">
        <f>SUMIFS(Таблица14[часы],Таблица14[коэф],"1,4",Таблица14[р/р],"4/24",Таблица14[Ф. И. О.],B22)</f>
        <v>0</v>
      </c>
      <c r="X26" s="529">
        <f t="shared" si="8"/>
        <v>0</v>
      </c>
      <c r="Y26" s="801"/>
      <c r="Z26" s="797"/>
      <c r="AA26" s="786"/>
    </row>
    <row r="27" spans="1:29" ht="20.25" customHeight="1" thickBot="1">
      <c r="A27" s="787"/>
      <c r="B27" s="203"/>
      <c r="C27" s="790"/>
      <c r="D27" s="793"/>
      <c r="E27" s="445"/>
      <c r="F27" s="446"/>
      <c r="G27" s="447"/>
      <c r="H27" s="535">
        <f t="shared" si="5"/>
        <v>0</v>
      </c>
      <c r="I27" s="536"/>
      <c r="J27" s="446"/>
      <c r="K27" s="449"/>
      <c r="L27" s="537">
        <f t="shared" si="6"/>
        <v>0</v>
      </c>
      <c r="M27" s="448"/>
      <c r="N27" s="449"/>
      <c r="O27" s="449"/>
      <c r="P27" s="538"/>
      <c r="Q27" s="450">
        <f>база!$L$6</f>
        <v>261.04640000000001</v>
      </c>
      <c r="R27" s="446">
        <v>1.4</v>
      </c>
      <c r="S27" s="447">
        <f>SUMIFS(Таблица14[часы],Таблица14[коэф],"1,4",Таблица14[р/р],"5/16",Таблица14[Ф. И. О.],B22)</f>
        <v>0</v>
      </c>
      <c r="T27" s="535">
        <f t="shared" si="7"/>
        <v>0</v>
      </c>
      <c r="U27" s="539">
        <f>база!$M$6</f>
        <v>279.0496</v>
      </c>
      <c r="V27" s="446">
        <v>1.4</v>
      </c>
      <c r="W27" s="540">
        <f>SUMIFS(Таблица14[часы],Таблица14[коэф],"1,4",Таблица14[р/р],"5/24",Таблица14[Ф. И. О.],B22)</f>
        <v>0</v>
      </c>
      <c r="X27" s="541">
        <f t="shared" si="8"/>
        <v>0</v>
      </c>
      <c r="Y27" s="802"/>
      <c r="Z27" s="798"/>
      <c r="AA27" s="787"/>
    </row>
    <row r="28" spans="1:29" ht="18.75" customHeight="1">
      <c r="A28" s="785">
        <v>3</v>
      </c>
      <c r="B28" s="216"/>
      <c r="C28" s="788">
        <f>INDEX(база!$E$2:$E$81, MATCH(B33,база!$B$2:$B$50,0))</f>
        <v>15791</v>
      </c>
      <c r="D28" s="791">
        <f>INDEX(база!$D$2:$D$89, MATCH(B33,база!$B$2:$B$50,0))</f>
        <v>4</v>
      </c>
      <c r="E28" s="451">
        <f>IF(D28&lt;=3,база!$I$4,
IF(D28=4,база!$I$5,
IF(D28=5,база!$I$6)))</f>
        <v>207.5112</v>
      </c>
      <c r="F28" s="417">
        <v>1</v>
      </c>
      <c r="G28" s="418">
        <f>SUMIFS(Таблица14[часы],Таблица14[коэф],"1",Таблица14[р/р],"2/4",Таблица14[Ф. И. О.],B33)</f>
        <v>0</v>
      </c>
      <c r="H28" s="542">
        <f>ROUND(E28*F28*G28*2,2)</f>
        <v>0</v>
      </c>
      <c r="I28" s="377">
        <f>IF(D28&lt;=3,база!$J$4,
IF(D28=4,база!$J$5,
IF(D28=5,база!$J$6)))</f>
        <v>215.4924</v>
      </c>
      <c r="J28" s="378">
        <v>1</v>
      </c>
      <c r="K28" s="428">
        <f>SUMIFS(Таблица14[часы],Таблица14[коэф],"1",Таблица14[р/р],"2/8",Таблица14[Ф. И. О.],B33)</f>
        <v>0</v>
      </c>
      <c r="L28" s="383">
        <f>ROUND(I28*J28*K28*2,2)</f>
        <v>0</v>
      </c>
      <c r="M28" s="452"/>
      <c r="N28" s="453">
        <v>1</v>
      </c>
      <c r="O28" s="453">
        <f>SUMIFS(Data_Tech!$AM$3:$AM$67,Data_Tech!$E$3:$E$67,"1",Data_Tech!$G$3:$G$67,"3/12",Data_Tech!$F$3:$F$67,B33)</f>
        <v>0</v>
      </c>
      <c r="P28" s="453">
        <f>ROUND(M28*N28*O28,2)</f>
        <v>0</v>
      </c>
      <c r="Q28" s="416">
        <f>IF(D28&lt;=3,база!$L$4,
IF(D28=4,база!$L$5,
IF(D28=5,база!$L$6)))</f>
        <v>231.45480000000001</v>
      </c>
      <c r="R28" s="417">
        <v>1</v>
      </c>
      <c r="S28" s="418">
        <f>SUMIFS(Таблица14[часы],Таблица14[коэф],"1",Таблица14[р/р],"3/16",Таблица14[Ф. И. О.],B33)</f>
        <v>0</v>
      </c>
      <c r="T28" s="380">
        <f>ROUND(Q28*R28*S28*2,2)</f>
        <v>0</v>
      </c>
      <c r="U28" s="454">
        <f>IF(D28&lt;=3,база!$M$4,
IF(D28=4,база!$M$5,
IF(D28=5,база!$M$6)))</f>
        <v>247.41720000000001</v>
      </c>
      <c r="V28" s="417">
        <v>1</v>
      </c>
      <c r="W28" s="455">
        <f>SUMIFS(Таблица14[часы],Таблица14[коэф],"1",Таблица14[р/р],"3/24",Таблица14[Ф. И. О.],B33)</f>
        <v>0</v>
      </c>
      <c r="X28" s="543">
        <f>ROUND(U28*V28*W28*2,2)</f>
        <v>0</v>
      </c>
      <c r="Y28" s="800">
        <f t="shared" ref="Y28" si="9">SUM(G28:G38,K28:K38,O28:O38,S28:S38,W28:W38)</f>
        <v>0</v>
      </c>
      <c r="Z28" s="797">
        <f>IFERROR(SUM(H28:H38,L28:L38,T28:T38,X28:X38),"")</f>
        <v>0</v>
      </c>
      <c r="AA28" s="785"/>
    </row>
    <row r="29" spans="1:29" ht="18.75" customHeight="1">
      <c r="A29" s="786"/>
      <c r="B29" s="216"/>
      <c r="C29" s="789"/>
      <c r="D29" s="792"/>
      <c r="E29" s="393">
        <f>IF(D28&lt;=3,база!$I$4,
IF(D28=4,база!$I$5,
IF(D28=5,база!$I$6)))</f>
        <v>207.5112</v>
      </c>
      <c r="F29" s="390">
        <v>1</v>
      </c>
      <c r="G29" s="400">
        <f>SUMIFS(Таблица14[часы],Таблица14[коэф],"1",Таблица14[р/р],"3/4",Таблица14[Ф. И. О.],B33)</f>
        <v>0</v>
      </c>
      <c r="H29" s="544">
        <f t="shared" ref="H29:H38" si="10">ROUND(E29*F29*G29*2,2)</f>
        <v>0</v>
      </c>
      <c r="I29" s="389">
        <f>IF(D28&lt;=3,база!$J$4,
IF(D28=4,база!$J$5,
IF(D28=5,база!$J$6)))</f>
        <v>215.4924</v>
      </c>
      <c r="J29" s="390">
        <v>1</v>
      </c>
      <c r="K29" s="434">
        <f>SUMIFS(Таблица14[часы],Таблица14[коэф],"1",Таблица14[р/р],"3/8",Таблица14[Ф. И. О.],B33)</f>
        <v>0</v>
      </c>
      <c r="L29" s="395">
        <f t="shared" ref="L29:L38" si="11">ROUND(I29*J29*K29*2,2)</f>
        <v>0</v>
      </c>
      <c r="M29" s="432"/>
      <c r="N29" s="434">
        <v>1</v>
      </c>
      <c r="O29" s="434">
        <f>SUMIFS(Data_Tech!$AM$3:$AM$67,Data_Tech!$E$3:$E$67,"1",Data_Tech!$G$3:$G$67,"4/12",Data_Tech!$F$3:$F$67,B33)</f>
        <v>0</v>
      </c>
      <c r="P29" s="434">
        <f>ROUND(M29*O29,2)</f>
        <v>0</v>
      </c>
      <c r="Q29" s="399">
        <f>база!$L$5</f>
        <v>231.45480000000001</v>
      </c>
      <c r="R29" s="390">
        <v>1</v>
      </c>
      <c r="S29" s="400">
        <f>SUMIFS(Таблица14[часы],Таблица14[коэф],"1",Таблица14[р/р],"4/16",Таблица14[Ф. И. О.],B33)</f>
        <v>0</v>
      </c>
      <c r="T29" s="392">
        <f t="shared" ref="T29:T38" si="12">ROUND(Q29*R29*S29*2,2)</f>
        <v>0</v>
      </c>
      <c r="U29" s="410">
        <f>база!$M$5</f>
        <v>247.41720000000001</v>
      </c>
      <c r="V29" s="390">
        <v>1</v>
      </c>
      <c r="W29" s="412">
        <f>SUMIFS(Таблица14[часы],Таблица14[коэф],"1",Таблица14[р/р],"4/24",Таблица14[Ф. И. О.],B33)</f>
        <v>0</v>
      </c>
      <c r="X29" s="545">
        <f t="shared" ref="X29:X38" si="13">ROUND(U29*V29*W29*2,2)</f>
        <v>0</v>
      </c>
      <c r="Y29" s="801"/>
      <c r="Z29" s="797"/>
      <c r="AA29" s="786"/>
    </row>
    <row r="30" spans="1:29" ht="18.75" customHeight="1">
      <c r="A30" s="786"/>
      <c r="B30" s="216"/>
      <c r="C30" s="789"/>
      <c r="D30" s="792"/>
      <c r="E30" s="393"/>
      <c r="F30" s="390"/>
      <c r="G30" s="400"/>
      <c r="H30" s="544">
        <f t="shared" si="10"/>
        <v>0</v>
      </c>
      <c r="I30" s="389"/>
      <c r="J30" s="390"/>
      <c r="K30" s="434"/>
      <c r="L30" s="395">
        <f t="shared" si="11"/>
        <v>0</v>
      </c>
      <c r="M30" s="432"/>
      <c r="N30" s="434"/>
      <c r="O30" s="434"/>
      <c r="P30" s="434"/>
      <c r="Q30" s="399">
        <f>база!$L$6</f>
        <v>261.04640000000001</v>
      </c>
      <c r="R30" s="390">
        <v>1</v>
      </c>
      <c r="S30" s="400">
        <f>SUMIFS(Таблица14[часы],Таблица14[коэф],"1",Таблица14[р/р],"5/16",Таблица14[Ф. И. О.],B33)</f>
        <v>0</v>
      </c>
      <c r="T30" s="392">
        <f t="shared" si="12"/>
        <v>0</v>
      </c>
      <c r="U30" s="410">
        <f>база!$M$6</f>
        <v>279.0496</v>
      </c>
      <c r="V30" s="390">
        <v>1</v>
      </c>
      <c r="W30" s="412">
        <f>SUMIFS(Таблица14[часы],Таблица14[коэф],"1",Таблица14[р/р],"5/24",Таблица14[Ф. И. О.],B33)</f>
        <v>0</v>
      </c>
      <c r="X30" s="545">
        <f t="shared" si="13"/>
        <v>0</v>
      </c>
      <c r="Y30" s="801"/>
      <c r="Z30" s="797"/>
      <c r="AA30" s="786"/>
    </row>
    <row r="31" spans="1:29" ht="18.75" customHeight="1">
      <c r="A31" s="786"/>
      <c r="B31" s="216"/>
      <c r="C31" s="789"/>
      <c r="D31" s="792"/>
      <c r="E31" s="393"/>
      <c r="F31" s="390"/>
      <c r="G31" s="400"/>
      <c r="H31" s="544">
        <f t="shared" si="10"/>
        <v>0</v>
      </c>
      <c r="I31" s="389">
        <f>база!$J$5</f>
        <v>215.4924</v>
      </c>
      <c r="J31" s="390">
        <v>1.5</v>
      </c>
      <c r="K31" s="434">
        <f>SUMIFS(Таблица14[часы],Таблица14[коэф],"1,5",Таблица14[р/р],"4/8",Таблица14[Ф. И. О.],B33)</f>
        <v>0</v>
      </c>
      <c r="L31" s="395">
        <f t="shared" si="11"/>
        <v>0</v>
      </c>
      <c r="M31" s="432"/>
      <c r="N31" s="434"/>
      <c r="O31" s="434"/>
      <c r="P31" s="434"/>
      <c r="Q31" s="399">
        <f>IF(D28&lt;=3,база!$L$4,
IF(D28=4,база!$L$5,
IF(D28=5,база!$L$6)))</f>
        <v>231.45480000000001</v>
      </c>
      <c r="R31" s="390">
        <v>1.2</v>
      </c>
      <c r="S31" s="400">
        <f>SUMIFS(Таблица14[часы],Таблица14[коэф],"1,2",Таблица14[р/р],"3/16",Таблица14[Ф. И. О.],B33)</f>
        <v>0</v>
      </c>
      <c r="T31" s="392">
        <f t="shared" si="12"/>
        <v>0</v>
      </c>
      <c r="U31" s="410">
        <f>IF(D28&lt;=3,база!$M$4,
IF(D28=4,база!$M$5,
IF(D28=5,база!$M$6)))</f>
        <v>247.41720000000001</v>
      </c>
      <c r="V31" s="390">
        <v>1.2</v>
      </c>
      <c r="W31" s="412">
        <f>SUMIFS(Таблица14[часы],Таблица14[коэф],"1,2",Таблица14[р/р],"3/24",Таблица14[Ф. И. О.],B33)</f>
        <v>0</v>
      </c>
      <c r="X31" s="545">
        <f t="shared" si="13"/>
        <v>0</v>
      </c>
      <c r="Y31" s="801"/>
      <c r="Z31" s="797"/>
      <c r="AA31" s="786"/>
    </row>
    <row r="32" spans="1:29" ht="18.75" customHeight="1">
      <c r="A32" s="786"/>
      <c r="B32" s="216"/>
      <c r="C32" s="789"/>
      <c r="D32" s="792"/>
      <c r="E32" s="393"/>
      <c r="F32" s="390"/>
      <c r="G32" s="400"/>
      <c r="H32" s="544">
        <f t="shared" si="10"/>
        <v>0</v>
      </c>
      <c r="I32" s="389">
        <f>база!$J$6</f>
        <v>243.04319999999998</v>
      </c>
      <c r="J32" s="390">
        <v>1.5</v>
      </c>
      <c r="K32" s="434">
        <f>SUMIFS(Таблица14[часы],Таблица14[коэф],"1,5",Таблица14[р/р],"5/8",Таблица14[Ф. И. О.],B33)</f>
        <v>0</v>
      </c>
      <c r="L32" s="395">
        <f t="shared" si="11"/>
        <v>0</v>
      </c>
      <c r="M32" s="432"/>
      <c r="N32" s="434"/>
      <c r="O32" s="434"/>
      <c r="P32" s="434"/>
      <c r="Q32" s="399">
        <f>база!$L$5</f>
        <v>231.45480000000001</v>
      </c>
      <c r="R32" s="390">
        <v>1.2</v>
      </c>
      <c r="S32" s="400">
        <f>SUMIFS(Таблица14[часы],Таблица14[коэф],"1,2",Таблица14[р/р],"4/16",Таблица14[Ф. И. О.],B33)</f>
        <v>0</v>
      </c>
      <c r="T32" s="392">
        <f t="shared" si="12"/>
        <v>0</v>
      </c>
      <c r="U32" s="410">
        <f>база!$M$5</f>
        <v>247.41720000000001</v>
      </c>
      <c r="V32" s="390">
        <v>1.2</v>
      </c>
      <c r="W32" s="412">
        <f>SUMIFS(Таблица14[часы],Таблица14[коэф],"1,2",Таблица14[р/р],"4/24",Таблица14[Ф. И. О.],B33)</f>
        <v>0</v>
      </c>
      <c r="X32" s="545">
        <f t="shared" si="13"/>
        <v>0</v>
      </c>
      <c r="Y32" s="801"/>
      <c r="Z32" s="797"/>
      <c r="AA32" s="786"/>
      <c r="AC32" s="754" t="str">
        <f>IF(SUMIFS(Таблица14[Столбец2],Таблица14[Ф. И. О.],B33)-Z28=0,"",SUMIFS(Таблица14[Столбец2],Таблица14[Ф. И. О.],B33)-Z28)</f>
        <v/>
      </c>
    </row>
    <row r="33" spans="1:29" ht="20.25" customHeight="1">
      <c r="A33" s="786"/>
      <c r="B33" s="216" t="str">
        <f>база!B4</f>
        <v>Аксенова Диана Владимировна</v>
      </c>
      <c r="C33" s="789"/>
      <c r="D33" s="792"/>
      <c r="E33" s="393"/>
      <c r="F33" s="390"/>
      <c r="G33" s="400"/>
      <c r="H33" s="544">
        <f t="shared" si="10"/>
        <v>0</v>
      </c>
      <c r="I33" s="389"/>
      <c r="J33" s="390"/>
      <c r="K33" s="434"/>
      <c r="L33" s="395">
        <f t="shared" si="11"/>
        <v>0</v>
      </c>
      <c r="M33" s="432"/>
      <c r="N33" s="434"/>
      <c r="O33" s="434"/>
      <c r="P33" s="434"/>
      <c r="Q33" s="399">
        <f>база!$L$6</f>
        <v>261.04640000000001</v>
      </c>
      <c r="R33" s="390">
        <v>1.2</v>
      </c>
      <c r="S33" s="400">
        <f>SUMIFS(Таблица14[часы],Таблица14[коэф],"1,2",Таблица14[р/р],"5/16",Таблица14[Ф. И. О.],B33)</f>
        <v>0</v>
      </c>
      <c r="T33" s="392">
        <f t="shared" si="12"/>
        <v>0</v>
      </c>
      <c r="U33" s="410">
        <f>база!$M$6</f>
        <v>279.0496</v>
      </c>
      <c r="V33" s="390">
        <v>1.2</v>
      </c>
      <c r="W33" s="412">
        <f>SUMIFS(Таблица14[часы],Таблица14[коэф],"1,2",Таблица14[р/р],"5/24",Таблица14[Ф. И. О.],B33)</f>
        <v>0</v>
      </c>
      <c r="X33" s="545">
        <f t="shared" si="13"/>
        <v>0</v>
      </c>
      <c r="Y33" s="801"/>
      <c r="Z33" s="797"/>
      <c r="AA33" s="786"/>
      <c r="AC33" s="754" t="str">
        <f>IF(SUMIFS(Таблица14[часы],Таблица14[Ф. И. О.],B33)-Y28=0,"",SUMIFS(Таблица14[часы],Таблица14[Ф. И. О.],B33)-Y28)</f>
        <v/>
      </c>
    </row>
    <row r="34" spans="1:29" ht="18.75" customHeight="1">
      <c r="A34" s="786"/>
      <c r="B34" s="216"/>
      <c r="C34" s="789"/>
      <c r="D34" s="792"/>
      <c r="E34" s="393"/>
      <c r="F34" s="390"/>
      <c r="G34" s="400"/>
      <c r="H34" s="544">
        <f t="shared" si="10"/>
        <v>0</v>
      </c>
      <c r="I34" s="389"/>
      <c r="J34" s="390"/>
      <c r="K34" s="434"/>
      <c r="L34" s="395">
        <f t="shared" si="11"/>
        <v>0</v>
      </c>
      <c r="M34" s="432"/>
      <c r="N34" s="434"/>
      <c r="O34" s="434"/>
      <c r="P34" s="434"/>
      <c r="Q34" s="399">
        <f>IF(D28&lt;=3,база!$L$4,
IF(D28=4,база!$L$5,
IF(D28=5,база!$L$6)))</f>
        <v>231.45480000000001</v>
      </c>
      <c r="R34" s="390">
        <v>1.3</v>
      </c>
      <c r="S34" s="400">
        <f>SUMIFS(Таблица14[часы],Таблица14[коэф],"1,3",Таблица14[р/р],"3/16",Таблица14[Ф. И. О.],B33)</f>
        <v>0</v>
      </c>
      <c r="T34" s="392">
        <f t="shared" si="12"/>
        <v>0</v>
      </c>
      <c r="U34" s="410">
        <f>IF(D28&lt;=3,база!$M$4,
IF(D28=4,база!$M$5,
IF(D28=5,база!$M$6)))</f>
        <v>247.41720000000001</v>
      </c>
      <c r="V34" s="390">
        <v>1.3</v>
      </c>
      <c r="W34" s="412">
        <f>SUMIFS(Таблица14[часы],Таблица14[коэф],"1,3",Таблица14[р/р],"3/24",Таблица14[Ф. И. О.],B33)</f>
        <v>0</v>
      </c>
      <c r="X34" s="545">
        <f t="shared" si="13"/>
        <v>0</v>
      </c>
      <c r="Y34" s="801"/>
      <c r="Z34" s="797"/>
      <c r="AA34" s="786"/>
    </row>
    <row r="35" spans="1:29" ht="18.75" customHeight="1">
      <c r="A35" s="786"/>
      <c r="B35" s="216"/>
      <c r="C35" s="789"/>
      <c r="D35" s="792"/>
      <c r="E35" s="393"/>
      <c r="F35" s="390"/>
      <c r="G35" s="400"/>
      <c r="H35" s="544">
        <f t="shared" si="10"/>
        <v>0</v>
      </c>
      <c r="I35" s="389"/>
      <c r="J35" s="390"/>
      <c r="K35" s="434"/>
      <c r="L35" s="395">
        <f t="shared" si="11"/>
        <v>0</v>
      </c>
      <c r="M35" s="432"/>
      <c r="N35" s="434"/>
      <c r="O35" s="434"/>
      <c r="P35" s="434"/>
      <c r="Q35" s="399">
        <f>база!$L$5</f>
        <v>231.45480000000001</v>
      </c>
      <c r="R35" s="390">
        <v>1.3</v>
      </c>
      <c r="S35" s="400">
        <f>SUMIFS(Таблица14[часы],Таблица14[коэф],"1,3",Таблица14[р/р],"4/16",Таблица14[Ф. И. О.],B33)</f>
        <v>0</v>
      </c>
      <c r="T35" s="392">
        <f t="shared" si="12"/>
        <v>0</v>
      </c>
      <c r="U35" s="410">
        <f>база!$M$5</f>
        <v>247.41720000000001</v>
      </c>
      <c r="V35" s="390">
        <v>1.3</v>
      </c>
      <c r="W35" s="412">
        <f>SUMIFS(Таблица14[часы],Таблица14[коэф],"1,3",Таблица14[р/р],"4/24",Таблица14[Ф. И. О.],B33)</f>
        <v>0</v>
      </c>
      <c r="X35" s="545">
        <f t="shared" si="13"/>
        <v>0</v>
      </c>
      <c r="Y35" s="801"/>
      <c r="Z35" s="797"/>
      <c r="AA35" s="786"/>
    </row>
    <row r="36" spans="1:29" ht="18.75" customHeight="1">
      <c r="A36" s="786"/>
      <c r="B36" s="216"/>
      <c r="C36" s="789"/>
      <c r="D36" s="792"/>
      <c r="E36" s="393"/>
      <c r="F36" s="390"/>
      <c r="G36" s="400"/>
      <c r="H36" s="544">
        <f t="shared" si="10"/>
        <v>0</v>
      </c>
      <c r="I36" s="389"/>
      <c r="J36" s="390"/>
      <c r="K36" s="434"/>
      <c r="L36" s="395">
        <f t="shared" si="11"/>
        <v>0</v>
      </c>
      <c r="M36" s="432"/>
      <c r="N36" s="434"/>
      <c r="O36" s="434"/>
      <c r="P36" s="434"/>
      <c r="Q36" s="399">
        <f>IF(D28&lt;=3,база!$L$4,
IF(D28=4,база!$L$5,
IF(D28=5,база!$L$6)))</f>
        <v>231.45480000000001</v>
      </c>
      <c r="R36" s="390">
        <v>1.4</v>
      </c>
      <c r="S36" s="400">
        <f>SUMIFS(Таблица14[часы],Таблица14[коэф],"1,4",Таблица14[р/р],"3/16",Таблица14[Ф. И. О.],B33)</f>
        <v>0</v>
      </c>
      <c r="T36" s="392">
        <f t="shared" si="12"/>
        <v>0</v>
      </c>
      <c r="U36" s="410">
        <f>IF(D28&lt;=3,база!$M$4,
IF(D28=4,база!$M$5,
IF(D28=5,база!$M$6)))</f>
        <v>247.41720000000001</v>
      </c>
      <c r="V36" s="390">
        <v>1.4</v>
      </c>
      <c r="W36" s="412">
        <f>SUMIFS(Таблица14[часы],Таблица14[коэф],"1,4",Таблица14[р/р],"3/24",Таблица14[Ф. И. О.],B33)</f>
        <v>0</v>
      </c>
      <c r="X36" s="545">
        <f t="shared" si="13"/>
        <v>0</v>
      </c>
      <c r="Y36" s="801"/>
      <c r="Z36" s="797"/>
      <c r="AA36" s="786"/>
    </row>
    <row r="37" spans="1:29" ht="18.75" customHeight="1">
      <c r="A37" s="786"/>
      <c r="B37" s="216"/>
      <c r="C37" s="789"/>
      <c r="D37" s="792"/>
      <c r="E37" s="393"/>
      <c r="F37" s="390"/>
      <c r="G37" s="400"/>
      <c r="H37" s="544">
        <f t="shared" si="10"/>
        <v>0</v>
      </c>
      <c r="I37" s="389"/>
      <c r="J37" s="390"/>
      <c r="K37" s="434"/>
      <c r="L37" s="395">
        <f t="shared" si="11"/>
        <v>0</v>
      </c>
      <c r="M37" s="432"/>
      <c r="N37" s="434"/>
      <c r="O37" s="434"/>
      <c r="P37" s="434"/>
      <c r="Q37" s="399">
        <f>база!$L$5</f>
        <v>231.45480000000001</v>
      </c>
      <c r="R37" s="390">
        <v>1.4</v>
      </c>
      <c r="S37" s="400">
        <f>SUMIFS(Таблица14[часы],Таблица14[коэф],"1,4",Таблица14[р/р],"4/16",Таблица14[Ф. И. О.],B33)</f>
        <v>0</v>
      </c>
      <c r="T37" s="392">
        <f t="shared" si="12"/>
        <v>0</v>
      </c>
      <c r="U37" s="410">
        <f>база!$M$5</f>
        <v>247.41720000000001</v>
      </c>
      <c r="V37" s="390">
        <v>1.4</v>
      </c>
      <c r="W37" s="412">
        <f>SUMIFS(Таблица14[часы],Таблица14[коэф],"1,4",Таблица14[р/р],"4/24",Таблица14[Ф. И. О.],B33)</f>
        <v>0</v>
      </c>
      <c r="X37" s="545">
        <f t="shared" si="13"/>
        <v>0</v>
      </c>
      <c r="Y37" s="801"/>
      <c r="Z37" s="797"/>
      <c r="AA37" s="786"/>
    </row>
    <row r="38" spans="1:29" ht="19.5" customHeight="1" thickBot="1">
      <c r="A38" s="787"/>
      <c r="B38" s="216"/>
      <c r="C38" s="790"/>
      <c r="D38" s="793"/>
      <c r="E38" s="422"/>
      <c r="F38" s="403"/>
      <c r="G38" s="408"/>
      <c r="H38" s="546">
        <f t="shared" si="10"/>
        <v>0</v>
      </c>
      <c r="I38" s="473"/>
      <c r="J38" s="464"/>
      <c r="K38" s="457"/>
      <c r="L38" s="458">
        <f t="shared" si="11"/>
        <v>0</v>
      </c>
      <c r="M38" s="459"/>
      <c r="N38" s="460"/>
      <c r="O38" s="460"/>
      <c r="P38" s="460"/>
      <c r="Q38" s="407">
        <f>база!$L$6</f>
        <v>261.04640000000001</v>
      </c>
      <c r="R38" s="403">
        <v>1.4</v>
      </c>
      <c r="S38" s="408">
        <f>SUMIFS(Таблица14[часы],Таблица14[коэф],"1,4",Таблица14[р/р],"5/16",Таблица14[Ф. И. О.],B33)</f>
        <v>0</v>
      </c>
      <c r="T38" s="409">
        <f t="shared" si="12"/>
        <v>0</v>
      </c>
      <c r="U38" s="461">
        <f>база!$M$6</f>
        <v>279.0496</v>
      </c>
      <c r="V38" s="403">
        <v>1.4</v>
      </c>
      <c r="W38" s="527">
        <f>SUMIFS(Таблица14[часы],Таблица14[коэф],"1,4",Таблица14[р/р],"5/24",Таблица14[Ф. И. О.],B33)</f>
        <v>0</v>
      </c>
      <c r="X38" s="547">
        <f t="shared" si="13"/>
        <v>0</v>
      </c>
      <c r="Y38" s="802"/>
      <c r="Z38" s="798"/>
      <c r="AA38" s="787"/>
    </row>
    <row r="39" spans="1:29">
      <c r="A39" s="785">
        <v>4</v>
      </c>
      <c r="B39" s="236"/>
      <c r="C39" s="788">
        <f>INDEX(база!$E$2:$E$81, MATCH(B44,база!$B$2:$B$50,0))</f>
        <v>15816</v>
      </c>
      <c r="D39" s="791">
        <f>INDEX(база!$D$2:$D$89, MATCH(B44,база!$B$2:$B$50,0))</f>
        <v>3</v>
      </c>
      <c r="E39" s="381">
        <f>IF(D39&lt;=3,база!$I$4,
IF(D39=4,база!$I$5,
IF(D39=5,база!$I$6)))</f>
        <v>188.7912</v>
      </c>
      <c r="F39" s="378">
        <v>1</v>
      </c>
      <c r="G39" s="387">
        <f>SUMIFS(Таблица14[часы],Таблица14[коэф],"1",Таблица14[р/р],"2/4",Таблица14[Ф. И. О.],B44)</f>
        <v>0</v>
      </c>
      <c r="H39" s="548">
        <f>ROUND(E39*F39*G39*2,2)</f>
        <v>0</v>
      </c>
      <c r="I39" s="377">
        <f>IF(D39&lt;=3,база!$J$4,
IF(D39=4,база!$J$5,
IF(D39=5,база!$J$6)))</f>
        <v>196.05240000000001</v>
      </c>
      <c r="J39" s="378">
        <v>1</v>
      </c>
      <c r="K39" s="428">
        <f>SUMIFS(Таблица14[часы],Таблица14[коэф],"1",Таблица14[р/р],"2/8",Таблица14[Ф. И. О.],B44)</f>
        <v>0</v>
      </c>
      <c r="L39" s="383">
        <f>ROUND(I39*J39*K39*2,2)</f>
        <v>0</v>
      </c>
      <c r="M39" s="426"/>
      <c r="N39" s="428">
        <v>1</v>
      </c>
      <c r="O39" s="428">
        <f>SUMIFS(Data_Tech!$AM$3:$AM$67,Data_Tech!$E$3:$E$67,"1",Data_Tech!$G$3:$G$67,"3/12",Data_Tech!$F$3:$F$67,B44)</f>
        <v>0</v>
      </c>
      <c r="P39" s="428">
        <f>ROUND(M39*N39*O39,2)</f>
        <v>0</v>
      </c>
      <c r="Q39" s="386">
        <f>IF(D39&lt;=3,база!$L$4,
IF(D39=4,база!$L$5,
IF(D39=5,база!$L$6)))</f>
        <v>210.57480000000001</v>
      </c>
      <c r="R39" s="378">
        <v>1</v>
      </c>
      <c r="S39" s="387">
        <f>SUMIFS(Таблица14[часы],Таблица14[коэф],"1",Таблица14[р/р],"3/16",Таблица14[Ф. И. О.],B44)</f>
        <v>0</v>
      </c>
      <c r="T39" s="380">
        <f>ROUND(Q39*R39*S39*2,2)</f>
        <v>0</v>
      </c>
      <c r="U39" s="462">
        <f>IF(D39&lt;=3,база!$M$4,
IF(D39=4,база!$M$5,
IF(D39=5,база!$M$6)))</f>
        <v>225.09719999999999</v>
      </c>
      <c r="V39" s="378">
        <v>1</v>
      </c>
      <c r="W39" s="430">
        <f>SUMIFS(Таблица14[часы],Таблица14[коэф],"1",Таблица14[р/р],"3/24",Таблица14[Ф. И. О.],B44)</f>
        <v>0</v>
      </c>
      <c r="X39" s="543">
        <f>ROUND(U39*V39*W39*2,2)</f>
        <v>0</v>
      </c>
      <c r="Y39" s="795">
        <f>SUM(G39:G49,K39:K49,O39:O49,S39:S49,W39:W49)</f>
        <v>0</v>
      </c>
      <c r="Z39" s="797">
        <f>IFERROR(SUM(H39:H49,L39:L49,T39:T49,X39:X49),"")</f>
        <v>0</v>
      </c>
      <c r="AA39" s="786"/>
    </row>
    <row r="40" spans="1:29">
      <c r="A40" s="786"/>
      <c r="B40" s="216"/>
      <c r="C40" s="789"/>
      <c r="D40" s="792"/>
      <c r="E40" s="393">
        <f>IF(D39&lt;=3,база!$I$4,
IF(D39=4,база!$I$5,
IF(D39=5,база!$I$6)))</f>
        <v>188.7912</v>
      </c>
      <c r="F40" s="390">
        <v>1</v>
      </c>
      <c r="G40" s="400">
        <f>SUMIFS(Таблица14[часы],Таблица14[коэф],"1",Таблица14[р/р],"3/4",Таблица14[Ф. И. О.],B44)</f>
        <v>0</v>
      </c>
      <c r="H40" s="544">
        <f t="shared" ref="H40:H49" si="14">ROUND(E40*F40*G40*2,2)</f>
        <v>0</v>
      </c>
      <c r="I40" s="389">
        <f>IF(D39&lt;=3,база!$J$4,
IF(D39=4,база!$J$5,
IF(D39=5,база!$J$6)))</f>
        <v>196.05240000000001</v>
      </c>
      <c r="J40" s="390">
        <v>1</v>
      </c>
      <c r="K40" s="434">
        <f>SUMIFS(Таблица14[часы],Таблица14[коэф],"1",Таблица14[р/р],"3/8",Таблица14[Ф. И. О.],B44)</f>
        <v>0</v>
      </c>
      <c r="L40" s="395">
        <f t="shared" ref="L40:L49" si="15">ROUND(I40*J40*K40*2,2)</f>
        <v>0</v>
      </c>
      <c r="M40" s="432"/>
      <c r="N40" s="434">
        <v>1</v>
      </c>
      <c r="O40" s="434">
        <f>SUMIFS(Data_Tech!$AM$3:$AM$67,Data_Tech!$E$3:$E$67,"1",Data_Tech!$G$3:$G$67,"4/12",Data_Tech!$F$3:$F$67,B44)</f>
        <v>0</v>
      </c>
      <c r="P40" s="434">
        <f>ROUND(M40*O40,2)</f>
        <v>0</v>
      </c>
      <c r="Q40" s="399">
        <f>база!$L$5</f>
        <v>231.45480000000001</v>
      </c>
      <c r="R40" s="390">
        <v>1</v>
      </c>
      <c r="S40" s="400">
        <f>SUMIFS(Таблица14[часы],Таблица14[коэф],"1",Таблица14[р/р],"4/16",Таблица14[Ф. И. О.],B44)</f>
        <v>0</v>
      </c>
      <c r="T40" s="392">
        <f t="shared" ref="T40:T49" si="16">ROUND(Q40*R40*S40*2,2)</f>
        <v>0</v>
      </c>
      <c r="U40" s="410">
        <f>база!$M$5</f>
        <v>247.41720000000001</v>
      </c>
      <c r="V40" s="390">
        <v>1</v>
      </c>
      <c r="W40" s="412">
        <f>SUMIFS(Таблица14[часы],Таблица14[коэф],"1",Таблица14[р/р],"4/24",Таблица14[Ф. И. О.],B44)</f>
        <v>0</v>
      </c>
      <c r="X40" s="545">
        <f t="shared" ref="X40:X49" si="17">ROUND(U40*V40*W40*2,2)</f>
        <v>0</v>
      </c>
      <c r="Y40" s="795"/>
      <c r="Z40" s="797"/>
      <c r="AA40" s="786"/>
    </row>
    <row r="41" spans="1:29">
      <c r="A41" s="786"/>
      <c r="B41" s="216"/>
      <c r="C41" s="789"/>
      <c r="D41" s="792"/>
      <c r="E41" s="393"/>
      <c r="F41" s="390"/>
      <c r="G41" s="400"/>
      <c r="H41" s="544">
        <f t="shared" si="14"/>
        <v>0</v>
      </c>
      <c r="I41" s="389"/>
      <c r="J41" s="390"/>
      <c r="K41" s="434"/>
      <c r="L41" s="395">
        <f t="shared" si="15"/>
        <v>0</v>
      </c>
      <c r="M41" s="432"/>
      <c r="N41" s="434"/>
      <c r="O41" s="434"/>
      <c r="P41" s="434"/>
      <c r="Q41" s="399">
        <f>база!$L$6</f>
        <v>261.04640000000001</v>
      </c>
      <c r="R41" s="390">
        <v>1</v>
      </c>
      <c r="S41" s="400">
        <f>SUMIFS(Таблица14[часы],Таблица14[коэф],"1",Таблица14[р/р],"5/16",Таблица14[Ф. И. О.],B44)</f>
        <v>0</v>
      </c>
      <c r="T41" s="392">
        <f t="shared" si="16"/>
        <v>0</v>
      </c>
      <c r="U41" s="410">
        <f>база!$M$6</f>
        <v>279.0496</v>
      </c>
      <c r="V41" s="390">
        <v>1</v>
      </c>
      <c r="W41" s="412">
        <f>SUMIFS(Таблица14[часы],Таблица14[коэф],"1",Таблица14[р/р],"5/24",Таблица14[Ф. И. О.],B44)</f>
        <v>0</v>
      </c>
      <c r="X41" s="545">
        <f t="shared" si="17"/>
        <v>0</v>
      </c>
      <c r="Y41" s="795"/>
      <c r="Z41" s="797"/>
      <c r="AA41" s="786"/>
    </row>
    <row r="42" spans="1:29">
      <c r="A42" s="786"/>
      <c r="B42" s="216"/>
      <c r="C42" s="789"/>
      <c r="D42" s="792"/>
      <c r="E42" s="393"/>
      <c r="F42" s="390"/>
      <c r="G42" s="400"/>
      <c r="H42" s="544">
        <f t="shared" si="14"/>
        <v>0</v>
      </c>
      <c r="I42" s="389">
        <f>база!$J$5</f>
        <v>215.4924</v>
      </c>
      <c r="J42" s="390">
        <v>1.5</v>
      </c>
      <c r="K42" s="434">
        <f>SUMIFS(Таблица14[часы],Таблица14[коэф],"1,5",Таблица14[р/р],"4/8",Таблица14[Ф. И. О.],B44)</f>
        <v>0</v>
      </c>
      <c r="L42" s="395">
        <f t="shared" si="15"/>
        <v>0</v>
      </c>
      <c r="M42" s="432"/>
      <c r="N42" s="434"/>
      <c r="O42" s="434"/>
      <c r="P42" s="434"/>
      <c r="Q42" s="399">
        <f>IF(D39&lt;=3,база!$L$4,
IF(D39=4,база!$L$5,
IF(D39=5,база!$L$6)))</f>
        <v>210.57480000000001</v>
      </c>
      <c r="R42" s="390">
        <v>1.2</v>
      </c>
      <c r="S42" s="400">
        <f>SUMIFS(Таблица14[часы],Таблица14[коэф],"1,2",Таблица14[р/р],"3/16",Таблица14[Ф. И. О.],B44)</f>
        <v>0</v>
      </c>
      <c r="T42" s="392">
        <f t="shared" si="16"/>
        <v>0</v>
      </c>
      <c r="U42" s="410">
        <f>IF(D39&lt;=3,база!$M$4,
IF(D39=4,база!$M$5,
IF(D39=5,база!$M$6)))</f>
        <v>225.09719999999999</v>
      </c>
      <c r="V42" s="390">
        <v>1.2</v>
      </c>
      <c r="W42" s="412">
        <f>SUMIFS(Таблица14[часы],Таблица14[коэф],"1,2",Таблица14[р/р],"3/24",Таблица14[Ф. И. О.],B44)</f>
        <v>0</v>
      </c>
      <c r="X42" s="545">
        <f t="shared" si="17"/>
        <v>0</v>
      </c>
      <c r="Y42" s="795"/>
      <c r="Z42" s="797"/>
      <c r="AA42" s="786"/>
    </row>
    <row r="43" spans="1:29">
      <c r="A43" s="786"/>
      <c r="B43" s="216"/>
      <c r="C43" s="789"/>
      <c r="D43" s="792"/>
      <c r="E43" s="393"/>
      <c r="F43" s="390"/>
      <c r="G43" s="400"/>
      <c r="H43" s="544">
        <f t="shared" si="14"/>
        <v>0</v>
      </c>
      <c r="I43" s="389">
        <f>база!$J$6</f>
        <v>243.04319999999998</v>
      </c>
      <c r="J43" s="390">
        <v>1.5</v>
      </c>
      <c r="K43" s="434">
        <f>SUMIFS(Таблица14[часы],Таблица14[коэф],"1,5",Таблица14[р/р],"5/8",Таблица14[Ф. И. О.],B44)</f>
        <v>0</v>
      </c>
      <c r="L43" s="395">
        <f t="shared" si="15"/>
        <v>0</v>
      </c>
      <c r="M43" s="432"/>
      <c r="N43" s="434"/>
      <c r="O43" s="434"/>
      <c r="P43" s="434"/>
      <c r="Q43" s="399">
        <f>база!$L$5</f>
        <v>231.45480000000001</v>
      </c>
      <c r="R43" s="390">
        <v>1.2</v>
      </c>
      <c r="S43" s="400">
        <f>SUMIFS(Таблица14[часы],Таблица14[коэф],"1,2",Таблица14[р/р],"4/16",Таблица14[Ф. И. О.],B44)</f>
        <v>0</v>
      </c>
      <c r="T43" s="392">
        <f t="shared" si="16"/>
        <v>0</v>
      </c>
      <c r="U43" s="410">
        <f>база!$M$5</f>
        <v>247.41720000000001</v>
      </c>
      <c r="V43" s="390">
        <v>1.2</v>
      </c>
      <c r="W43" s="412">
        <f>SUMIFS(Таблица14[часы],Таблица14[коэф],"1,2",Таблица14[р/р],"4/24",Таблица14[Ф. И. О.],B44)</f>
        <v>0</v>
      </c>
      <c r="X43" s="545">
        <f t="shared" si="17"/>
        <v>0</v>
      </c>
      <c r="Y43" s="795"/>
      <c r="Z43" s="797"/>
      <c r="AA43" s="786"/>
    </row>
    <row r="44" spans="1:29" ht="22.5" customHeight="1">
      <c r="A44" s="786"/>
      <c r="B44" s="216" t="str">
        <f>база!B5</f>
        <v>Александрович Екатерина Сергеевна</v>
      </c>
      <c r="C44" s="789"/>
      <c r="D44" s="792"/>
      <c r="E44" s="393"/>
      <c r="F44" s="390"/>
      <c r="G44" s="400"/>
      <c r="H44" s="544">
        <f t="shared" si="14"/>
        <v>0</v>
      </c>
      <c r="I44" s="389"/>
      <c r="J44" s="390"/>
      <c r="K44" s="434"/>
      <c r="L44" s="395">
        <f t="shared" si="15"/>
        <v>0</v>
      </c>
      <c r="M44" s="432"/>
      <c r="N44" s="434"/>
      <c r="O44" s="434"/>
      <c r="P44" s="434"/>
      <c r="Q44" s="399">
        <f>база!$L$6</f>
        <v>261.04640000000001</v>
      </c>
      <c r="R44" s="390">
        <v>1.2</v>
      </c>
      <c r="S44" s="400">
        <f>SUMIFS(Таблица14[часы],Таблица14[коэф],"1,2",Таблица14[р/р],"5/16",Таблица14[Ф. И. О.],B44)</f>
        <v>0</v>
      </c>
      <c r="T44" s="392">
        <f t="shared" si="16"/>
        <v>0</v>
      </c>
      <c r="U44" s="410">
        <f>база!$M$6</f>
        <v>279.0496</v>
      </c>
      <c r="V44" s="390">
        <v>1.2</v>
      </c>
      <c r="W44" s="412">
        <f>SUMIFS(Таблица14[часы],Таблица14[коэф],"1,2",Таблица14[р/р],"5/24",Таблица14[Ф. И. О.],B44)</f>
        <v>0</v>
      </c>
      <c r="X44" s="545">
        <f t="shared" si="17"/>
        <v>0</v>
      </c>
      <c r="Y44" s="795"/>
      <c r="Z44" s="797"/>
      <c r="AA44" s="786"/>
      <c r="AC44" s="754" t="str">
        <f>IF(SUMIFS(Таблица14[Столбец2],Таблица14[Ф. И. О.],B44)-Z39=0,"",SUMIFS(Таблица14[Столбец2],Таблица14[Ф. И. О.],B44)-Z39)</f>
        <v/>
      </c>
    </row>
    <row r="45" spans="1:29">
      <c r="A45" s="786"/>
      <c r="B45" s="216"/>
      <c r="C45" s="789"/>
      <c r="D45" s="792"/>
      <c r="E45" s="393"/>
      <c r="F45" s="390"/>
      <c r="G45" s="400"/>
      <c r="H45" s="544">
        <f t="shared" si="14"/>
        <v>0</v>
      </c>
      <c r="I45" s="389"/>
      <c r="J45" s="390"/>
      <c r="K45" s="434"/>
      <c r="L45" s="395">
        <f t="shared" si="15"/>
        <v>0</v>
      </c>
      <c r="M45" s="432"/>
      <c r="N45" s="434"/>
      <c r="O45" s="434"/>
      <c r="P45" s="434"/>
      <c r="Q45" s="399">
        <f>IF(D39&lt;=3,база!$L$4,
IF(D39=4,база!$L$5,
IF(D39=5,база!$L$6)))</f>
        <v>210.57480000000001</v>
      </c>
      <c r="R45" s="390">
        <v>1.3</v>
      </c>
      <c r="S45" s="400">
        <f>SUMIFS(Таблица14[часы],Таблица14[коэф],"1,3",Таблица14[р/р],"3/16",Таблица14[Ф. И. О.],B44)</f>
        <v>0</v>
      </c>
      <c r="T45" s="392">
        <f t="shared" si="16"/>
        <v>0</v>
      </c>
      <c r="U45" s="410">
        <f>IF(D39&lt;=3,база!$M$4,
IF(D39=4,база!$M$5,
IF(D39=5,база!$M$6)))</f>
        <v>225.09719999999999</v>
      </c>
      <c r="V45" s="390">
        <v>1.3</v>
      </c>
      <c r="W45" s="412">
        <f>SUMIFS(Таблица14[часы],Таблица14[коэф],"1,3",Таблица14[р/р],"3/24",Таблица14[Ф. И. О.],B44)</f>
        <v>0</v>
      </c>
      <c r="X45" s="545">
        <f t="shared" si="17"/>
        <v>0</v>
      </c>
      <c r="Y45" s="795"/>
      <c r="Z45" s="797"/>
      <c r="AA45" s="786"/>
      <c r="AC45" s="754" t="str">
        <f>IF(SUMIFS(Таблица14[часы],Таблица14[Ф. И. О.],B44)-Y39=0,"",SUMIFS(Таблица14[часы],Таблица14[Ф. И. О.],B44)-Y39)</f>
        <v/>
      </c>
    </row>
    <row r="46" spans="1:29">
      <c r="A46" s="786"/>
      <c r="B46" s="216"/>
      <c r="C46" s="789"/>
      <c r="D46" s="792"/>
      <c r="E46" s="393"/>
      <c r="F46" s="390"/>
      <c r="G46" s="400"/>
      <c r="H46" s="544">
        <f t="shared" si="14"/>
        <v>0</v>
      </c>
      <c r="I46" s="389"/>
      <c r="J46" s="390"/>
      <c r="K46" s="434"/>
      <c r="L46" s="395">
        <f t="shared" si="15"/>
        <v>0</v>
      </c>
      <c r="M46" s="432"/>
      <c r="N46" s="434"/>
      <c r="O46" s="434"/>
      <c r="P46" s="434"/>
      <c r="Q46" s="399">
        <f>база!$L$5</f>
        <v>231.45480000000001</v>
      </c>
      <c r="R46" s="390">
        <v>1.3</v>
      </c>
      <c r="S46" s="400">
        <f>SUMIFS(Таблица14[часы],Таблица14[коэф],"1,3",Таблица14[р/р],"4/16",Таблица14[Ф. И. О.],B44)</f>
        <v>0</v>
      </c>
      <c r="T46" s="392">
        <f t="shared" si="16"/>
        <v>0</v>
      </c>
      <c r="U46" s="410">
        <f>база!$M$5</f>
        <v>247.41720000000001</v>
      </c>
      <c r="V46" s="390">
        <v>1.3</v>
      </c>
      <c r="W46" s="412">
        <f>SUMIFS(Таблица14[часы],Таблица14[коэф],"1,3",Таблица14[р/р],"4/24",Таблица14[Ф. И. О.],B44)</f>
        <v>0</v>
      </c>
      <c r="X46" s="545">
        <f t="shared" si="17"/>
        <v>0</v>
      </c>
      <c r="Y46" s="795"/>
      <c r="Z46" s="797"/>
      <c r="AA46" s="786"/>
    </row>
    <row r="47" spans="1:29">
      <c r="A47" s="786"/>
      <c r="B47" s="216"/>
      <c r="C47" s="789"/>
      <c r="D47" s="792"/>
      <c r="E47" s="393"/>
      <c r="F47" s="390"/>
      <c r="G47" s="400"/>
      <c r="H47" s="544">
        <f t="shared" si="14"/>
        <v>0</v>
      </c>
      <c r="I47" s="389"/>
      <c r="J47" s="390"/>
      <c r="K47" s="434"/>
      <c r="L47" s="395">
        <f t="shared" si="15"/>
        <v>0</v>
      </c>
      <c r="M47" s="432"/>
      <c r="N47" s="434"/>
      <c r="O47" s="434"/>
      <c r="P47" s="434"/>
      <c r="Q47" s="399">
        <f>IF(D39&lt;=3,база!$L$4,
IF(D39=4,база!$L$5,
IF(D39=5,база!$L$6)))</f>
        <v>210.57480000000001</v>
      </c>
      <c r="R47" s="390">
        <v>1.4</v>
      </c>
      <c r="S47" s="400">
        <f>SUMIFS(Таблица14[часы],Таблица14[коэф],"1,4",Таблица14[р/р],"3/16",Таблица14[Ф. И. О.],B44)</f>
        <v>0</v>
      </c>
      <c r="T47" s="392">
        <f t="shared" si="16"/>
        <v>0</v>
      </c>
      <c r="U47" s="410">
        <f>IF(D39&lt;=3,база!$M$4,
IF(D39=4,база!$M$5,
IF(D39=5,база!$M$6)))</f>
        <v>225.09719999999999</v>
      </c>
      <c r="V47" s="390">
        <v>1.4</v>
      </c>
      <c r="W47" s="412">
        <f>SUMIFS(Таблица14[часы],Таблица14[коэф],"1,4",Таблица14[р/р],"3/24",Таблица14[Ф. И. О.],B44)</f>
        <v>0</v>
      </c>
      <c r="X47" s="545">
        <f t="shared" si="17"/>
        <v>0</v>
      </c>
      <c r="Y47" s="795"/>
      <c r="Z47" s="797"/>
      <c r="AA47" s="786"/>
    </row>
    <row r="48" spans="1:29">
      <c r="A48" s="786"/>
      <c r="B48" s="216"/>
      <c r="C48" s="789"/>
      <c r="D48" s="792"/>
      <c r="E48" s="393"/>
      <c r="F48" s="390"/>
      <c r="G48" s="400"/>
      <c r="H48" s="544">
        <f t="shared" si="14"/>
        <v>0</v>
      </c>
      <c r="I48" s="389"/>
      <c r="J48" s="390"/>
      <c r="K48" s="434"/>
      <c r="L48" s="395">
        <f t="shared" si="15"/>
        <v>0</v>
      </c>
      <c r="M48" s="432"/>
      <c r="N48" s="434"/>
      <c r="O48" s="434"/>
      <c r="P48" s="434"/>
      <c r="Q48" s="399">
        <f>база!$L$5</f>
        <v>231.45480000000001</v>
      </c>
      <c r="R48" s="390">
        <v>1.4</v>
      </c>
      <c r="S48" s="400">
        <f>SUMIFS(Таблица14[часы],Таблица14[коэф],"1,4",Таблица14[р/р],"4/16",Таблица14[Ф. И. О.],B44)</f>
        <v>0</v>
      </c>
      <c r="T48" s="392">
        <f t="shared" si="16"/>
        <v>0</v>
      </c>
      <c r="U48" s="410">
        <f>база!$M$5</f>
        <v>247.41720000000001</v>
      </c>
      <c r="V48" s="390">
        <v>1.4</v>
      </c>
      <c r="W48" s="412">
        <f>SUMIFS(Таблица14[часы],Таблица14[коэф],"1,4",Таблица14[р/р],"4/24",Таблица14[Ф. И. О.],B44)</f>
        <v>0</v>
      </c>
      <c r="X48" s="545">
        <f t="shared" si="17"/>
        <v>0</v>
      </c>
      <c r="Y48" s="795"/>
      <c r="Z48" s="797"/>
      <c r="AA48" s="786"/>
    </row>
    <row r="49" spans="1:29" ht="21" thickBot="1">
      <c r="A49" s="787"/>
      <c r="B49" s="203"/>
      <c r="C49" s="790"/>
      <c r="D49" s="793"/>
      <c r="E49" s="463"/>
      <c r="F49" s="464"/>
      <c r="G49" s="465"/>
      <c r="H49" s="549">
        <f t="shared" si="14"/>
        <v>0</v>
      </c>
      <c r="I49" s="473"/>
      <c r="J49" s="464"/>
      <c r="K49" s="457"/>
      <c r="L49" s="458">
        <f t="shared" si="15"/>
        <v>0</v>
      </c>
      <c r="M49" s="466"/>
      <c r="N49" s="457"/>
      <c r="O49" s="457"/>
      <c r="P49" s="457"/>
      <c r="Q49" s="467">
        <f>база!$L$6</f>
        <v>261.04640000000001</v>
      </c>
      <c r="R49" s="464">
        <v>1.4</v>
      </c>
      <c r="S49" s="465">
        <f>SUMIFS(Таблица14[часы],Таблица14[коэф],"1,4",Таблица14[р/р],"5/16",Таблица14[Ф. И. О.],B44)</f>
        <v>0</v>
      </c>
      <c r="T49" s="468">
        <f t="shared" si="16"/>
        <v>0</v>
      </c>
      <c r="U49" s="469">
        <f>база!$M$6</f>
        <v>279.0496</v>
      </c>
      <c r="V49" s="464">
        <v>1.4</v>
      </c>
      <c r="W49" s="470">
        <f>SUMIFS(Таблица14[часы],Таблица14[коэф],"1,4",Таблица14[р/р],"5/24",Таблица14[Ф. И. О.],B44)</f>
        <v>0</v>
      </c>
      <c r="X49" s="547">
        <f t="shared" si="17"/>
        <v>0</v>
      </c>
      <c r="Y49" s="796"/>
      <c r="Z49" s="798"/>
      <c r="AA49" s="787"/>
    </row>
    <row r="50" spans="1:29">
      <c r="A50" s="785">
        <v>5</v>
      </c>
      <c r="B50" s="216"/>
      <c r="C50" s="824">
        <f>INDEX(база!$E$2:$E$81, MATCH(B55,база!$B$2:$B$50,0))</f>
        <v>16475</v>
      </c>
      <c r="D50" s="824">
        <f>INDEX(база!$D$2:$D$89, MATCH(B55,база!$B$2:$B$50,0))</f>
        <v>3</v>
      </c>
      <c r="E50" s="377">
        <f>IF(D50&lt;=3,база!$I$4,
IF(D50=4,база!$I$5,
IF(D50=5,база!$I$6)))</f>
        <v>188.7912</v>
      </c>
      <c r="F50" s="378">
        <v>1</v>
      </c>
      <c r="G50" s="387">
        <f>SUMIFS(Таблица14[часы],Таблица14[коэф],"1",Таблица14[р/р],"2/4",Таблица14[Ф. И. О.],B55)</f>
        <v>0</v>
      </c>
      <c r="H50" s="380">
        <f>ROUND(E50*F50*G50*2,2)</f>
        <v>0</v>
      </c>
      <c r="I50" s="381">
        <f>IF(D50&lt;=3,база!$J$4,
IF(D50=4,база!$J$5,
IF(D50=5,база!$J$6)))</f>
        <v>196.05240000000001</v>
      </c>
      <c r="J50" s="378">
        <v>1</v>
      </c>
      <c r="K50" s="428">
        <f>SUMIFS(Таблица14[часы],Таблица14[коэф],"1",Таблица14[р/р],"2/8",Таблица14[Ф. И. О.],B55)</f>
        <v>0</v>
      </c>
      <c r="L50" s="383">
        <f>ROUND(I50*J50*K50*2,2)</f>
        <v>0</v>
      </c>
      <c r="M50" s="426"/>
      <c r="N50" s="428">
        <v>1</v>
      </c>
      <c r="O50" s="428">
        <f>SUMIFS(Data_Tech!$AM$3:$AM$67,Data_Tech!$E$3:$E$67,"1",Data_Tech!$G$3:$G$67,"3/12",Data_Tech!$F$3:$F$67,B55)</f>
        <v>0</v>
      </c>
      <c r="P50" s="428">
        <f>ROUND(M50*N50*O50,2)</f>
        <v>0</v>
      </c>
      <c r="Q50" s="386">
        <f>IF(D50&lt;=3,база!$L$4,
IF(D50=4,база!$L$5,
IF(D50=5,база!$L$6)))</f>
        <v>210.57480000000001</v>
      </c>
      <c r="R50" s="378">
        <v>1</v>
      </c>
      <c r="S50" s="387">
        <f>SUMIFS(Таблица14[часы],Таблица14[коэф],"1",Таблица14[р/р],"3/16",Таблица14[Ф. И. О.],B55)</f>
        <v>0</v>
      </c>
      <c r="T50" s="548">
        <f>ROUND(Q50*R50*S50*2,2)</f>
        <v>0</v>
      </c>
      <c r="U50" s="471">
        <f>IF(D50&lt;=3,база!$M$4,
IF(D50=4,база!$M$5,
IF(D50=5,база!$M$6)))</f>
        <v>225.09719999999999</v>
      </c>
      <c r="V50" s="378">
        <v>1</v>
      </c>
      <c r="W50" s="430">
        <f>SUMIFS(Таблица14[часы],Таблица14[коэф],"1",Таблица14[р/р],"3/24",Таблица14[Ф. И. О.],B55)</f>
        <v>0</v>
      </c>
      <c r="X50" s="543">
        <f>ROUND(U50*V50*W50*2,2)</f>
        <v>0</v>
      </c>
      <c r="Y50" s="795">
        <f>SUM(G50:G60,K50:K60,O50:O60,S50:S60,W50:W60)</f>
        <v>0</v>
      </c>
      <c r="Z50" s="797">
        <f>IFERROR(SUM(H50:H60,L50:L60,T50:T60,X50:X60),"")</f>
        <v>0</v>
      </c>
      <c r="AA50" s="785"/>
    </row>
    <row r="51" spans="1:29">
      <c r="A51" s="786"/>
      <c r="B51" s="216"/>
      <c r="C51" s="825"/>
      <c r="D51" s="825"/>
      <c r="E51" s="389">
        <f>IF(D50&lt;=3,база!$I$4,
IF(D50=4,база!$I$5,
IF(D50=5,база!$I$6)))</f>
        <v>188.7912</v>
      </c>
      <c r="F51" s="390">
        <v>1</v>
      </c>
      <c r="G51" s="400">
        <f>SUMIFS(Таблица14[часы],Таблица14[коэф],"1",Таблица14[р/р],"3/4",Таблица14[Ф. И. О.],B55)</f>
        <v>0</v>
      </c>
      <c r="H51" s="392">
        <f t="shared" ref="H51:H60" si="18">ROUND(E51*F51*G51*2,2)</f>
        <v>0</v>
      </c>
      <c r="I51" s="393">
        <f>IF(D50&lt;=3,база!$J$4,
IF(D50=4,база!$J$5,
IF(D50=5,база!$J$6)))</f>
        <v>196.05240000000001</v>
      </c>
      <c r="J51" s="390">
        <v>1</v>
      </c>
      <c r="K51" s="434">
        <f>SUMIFS(Таблица14[часы],Таблица14[коэф],"1",Таблица14[р/р],"3/8",Таблица14[Ф. И. О.],B55)</f>
        <v>0</v>
      </c>
      <c r="L51" s="395">
        <f t="shared" ref="L51:L60" si="19">ROUND(I51*J51*K51*2,2)</f>
        <v>0</v>
      </c>
      <c r="M51" s="432"/>
      <c r="N51" s="434">
        <v>1</v>
      </c>
      <c r="O51" s="434">
        <f>SUMIFS(Data_Tech!$AM$3:$AM$67,Data_Tech!$E$3:$E$67,"1",Data_Tech!$G$3:$G$67,"4/12",Data_Tech!$F$3:$F$67,B55)</f>
        <v>0</v>
      </c>
      <c r="P51" s="434">
        <f>ROUND(M51*O51,2)</f>
        <v>0</v>
      </c>
      <c r="Q51" s="399">
        <f>база!$L$5</f>
        <v>231.45480000000001</v>
      </c>
      <c r="R51" s="390">
        <v>1</v>
      </c>
      <c r="S51" s="400">
        <f>SUMIFS(Таблица14[часы],Таблица14[коэф],"1",Таблица14[р/р],"4/16",Таблица14[Ф. И. О.],B55)</f>
        <v>0</v>
      </c>
      <c r="T51" s="544">
        <f t="shared" ref="T51:T60" si="20">ROUND(Q51*R51*S51*2,2)</f>
        <v>0</v>
      </c>
      <c r="U51" s="472">
        <f>база!$M$5</f>
        <v>247.41720000000001</v>
      </c>
      <c r="V51" s="390">
        <v>1</v>
      </c>
      <c r="W51" s="412">
        <f>SUMIFS(Таблица14[часы],Таблица14[коэф],"1",Таблица14[р/р],"4/24",Таблица14[Ф. И. О.],B55)</f>
        <v>0</v>
      </c>
      <c r="X51" s="545">
        <f t="shared" ref="X51:X60" si="21">ROUND(U51*V51*W51*2,2)</f>
        <v>0</v>
      </c>
      <c r="Y51" s="795"/>
      <c r="Z51" s="797"/>
      <c r="AA51" s="786"/>
    </row>
    <row r="52" spans="1:29">
      <c r="A52" s="786"/>
      <c r="B52" s="216"/>
      <c r="C52" s="825"/>
      <c r="D52" s="825"/>
      <c r="E52" s="389"/>
      <c r="F52" s="390"/>
      <c r="G52" s="400"/>
      <c r="H52" s="392">
        <f t="shared" si="18"/>
        <v>0</v>
      </c>
      <c r="I52" s="393"/>
      <c r="J52" s="390"/>
      <c r="K52" s="434"/>
      <c r="L52" s="395">
        <f t="shared" si="19"/>
        <v>0</v>
      </c>
      <c r="M52" s="432"/>
      <c r="N52" s="434"/>
      <c r="O52" s="434"/>
      <c r="P52" s="434"/>
      <c r="Q52" s="399">
        <f>база!$L$6</f>
        <v>261.04640000000001</v>
      </c>
      <c r="R52" s="390">
        <v>1</v>
      </c>
      <c r="S52" s="400">
        <f>SUMIFS(Таблица14[часы],Таблица14[коэф],"1",Таблица14[р/р],"5/16",Таблица14[Ф. И. О.],B55)</f>
        <v>0</v>
      </c>
      <c r="T52" s="544">
        <f t="shared" si="20"/>
        <v>0</v>
      </c>
      <c r="U52" s="472">
        <f>база!$M$6</f>
        <v>279.0496</v>
      </c>
      <c r="V52" s="390">
        <v>1</v>
      </c>
      <c r="W52" s="412">
        <f>SUMIFS(Таблица14[часы],Таблица14[коэф],"1",Таблица14[р/р],"5/24",Таблица14[Ф. И. О.],B55)</f>
        <v>0</v>
      </c>
      <c r="X52" s="545">
        <f t="shared" si="21"/>
        <v>0</v>
      </c>
      <c r="Y52" s="795"/>
      <c r="Z52" s="797"/>
      <c r="AA52" s="786"/>
    </row>
    <row r="53" spans="1:29">
      <c r="A53" s="786"/>
      <c r="B53" s="216"/>
      <c r="C53" s="825"/>
      <c r="D53" s="825"/>
      <c r="E53" s="389"/>
      <c r="F53" s="390"/>
      <c r="G53" s="400"/>
      <c r="H53" s="392">
        <f t="shared" si="18"/>
        <v>0</v>
      </c>
      <c r="I53" s="393">
        <f>база!$J$5</f>
        <v>215.4924</v>
      </c>
      <c r="J53" s="390">
        <v>1.5</v>
      </c>
      <c r="K53" s="434">
        <f>SUMIFS(Таблица14[часы],Таблица14[коэф],"1,5",Таблица14[р/р],"4/8",Таблица14[Ф. И. О.],B55)</f>
        <v>0</v>
      </c>
      <c r="L53" s="395">
        <f t="shared" si="19"/>
        <v>0</v>
      </c>
      <c r="M53" s="432"/>
      <c r="N53" s="434"/>
      <c r="O53" s="434"/>
      <c r="P53" s="434"/>
      <c r="Q53" s="399">
        <f>IF(D50&lt;=3,база!$L$4,
IF(D50=4,база!$L$5,
IF(D50=5,база!$L$6)))</f>
        <v>210.57480000000001</v>
      </c>
      <c r="R53" s="390">
        <v>1.2</v>
      </c>
      <c r="S53" s="400">
        <f>SUMIFS(Таблица14[часы],Таблица14[коэф],"1,2",Таблица14[р/р],"3/16",Таблица14[Ф. И. О.],B55)</f>
        <v>0</v>
      </c>
      <c r="T53" s="544">
        <f t="shared" si="20"/>
        <v>0</v>
      </c>
      <c r="U53" s="472">
        <f>IF(D50&lt;=3,база!$M$4,
IF(D50=4,база!$M$5,
IF(D50=5,база!$M$6)))</f>
        <v>225.09719999999999</v>
      </c>
      <c r="V53" s="390">
        <v>1.2</v>
      </c>
      <c r="W53" s="412">
        <f>SUMIFS(Таблица14[часы],Таблица14[коэф],"1,2",Таблица14[р/р],"3/24",Таблица14[Ф. И. О.],B55)</f>
        <v>0</v>
      </c>
      <c r="X53" s="545">
        <f t="shared" si="21"/>
        <v>0</v>
      </c>
      <c r="Y53" s="795"/>
      <c r="Z53" s="797"/>
      <c r="AA53" s="786"/>
    </row>
    <row r="54" spans="1:29">
      <c r="A54" s="786"/>
      <c r="B54" s="216"/>
      <c r="C54" s="825"/>
      <c r="D54" s="825"/>
      <c r="E54" s="389"/>
      <c r="F54" s="390"/>
      <c r="G54" s="400"/>
      <c r="H54" s="392">
        <f t="shared" si="18"/>
        <v>0</v>
      </c>
      <c r="I54" s="393">
        <f>база!$J$6</f>
        <v>243.04319999999998</v>
      </c>
      <c r="J54" s="390">
        <v>1.5</v>
      </c>
      <c r="K54" s="434">
        <f>SUMIFS(Таблица14[часы],Таблица14[коэф],"1,5",Таблица14[р/р],"5/8",Таблица14[Ф. И. О.],B55)</f>
        <v>0</v>
      </c>
      <c r="L54" s="395">
        <f t="shared" si="19"/>
        <v>0</v>
      </c>
      <c r="M54" s="432"/>
      <c r="N54" s="434"/>
      <c r="O54" s="434"/>
      <c r="P54" s="434"/>
      <c r="Q54" s="399">
        <f>база!$L$5</f>
        <v>231.45480000000001</v>
      </c>
      <c r="R54" s="390">
        <v>1.2</v>
      </c>
      <c r="S54" s="400">
        <f>SUMIFS(Таблица14[часы],Таблица14[коэф],"1,2",Таблица14[р/р],"4/16",Таблица14[Ф. И. О.],B55)</f>
        <v>0</v>
      </c>
      <c r="T54" s="544">
        <f t="shared" si="20"/>
        <v>0</v>
      </c>
      <c r="U54" s="472">
        <f>база!$M$5</f>
        <v>247.41720000000001</v>
      </c>
      <c r="V54" s="390">
        <v>1.2</v>
      </c>
      <c r="W54" s="412">
        <f>SUMIFS(Таблица14[часы],Таблица14[коэф],"1,2",Таблица14[р/р],"4/24",Таблица14[Ф. И. О.],B55)</f>
        <v>0</v>
      </c>
      <c r="X54" s="545">
        <f t="shared" si="21"/>
        <v>0</v>
      </c>
      <c r="Y54" s="795"/>
      <c r="Z54" s="797"/>
      <c r="AA54" s="786"/>
      <c r="AC54" s="754" t="str">
        <f>IF(SUMIFS(Таблица14[Столбец2],Таблица14[Ф. И. О.],B55)-Z50=0,"",SUMIFS(Таблица14[Столбец2],Таблица14[Ф. И. О.],B55)-Z50)</f>
        <v/>
      </c>
    </row>
    <row r="55" spans="1:29">
      <c r="A55" s="786"/>
      <c r="B55" s="216" t="str">
        <f>база!B6</f>
        <v>Алиева Диана Арифовна</v>
      </c>
      <c r="C55" s="825"/>
      <c r="D55" s="825"/>
      <c r="E55" s="389"/>
      <c r="F55" s="390"/>
      <c r="G55" s="400"/>
      <c r="H55" s="392">
        <f t="shared" si="18"/>
        <v>0</v>
      </c>
      <c r="I55" s="393"/>
      <c r="J55" s="390"/>
      <c r="K55" s="434"/>
      <c r="L55" s="395">
        <f t="shared" si="19"/>
        <v>0</v>
      </c>
      <c r="M55" s="432"/>
      <c r="N55" s="434"/>
      <c r="O55" s="434"/>
      <c r="P55" s="434"/>
      <c r="Q55" s="399">
        <f>база!$L$6</f>
        <v>261.04640000000001</v>
      </c>
      <c r="R55" s="390">
        <v>1.2</v>
      </c>
      <c r="S55" s="400">
        <f>SUMIFS(Таблица14[часы],Таблица14[коэф],"1,2",Таблица14[р/р],"5/16",Таблица14[Ф. И. О.],B55)</f>
        <v>0</v>
      </c>
      <c r="T55" s="544">
        <f t="shared" si="20"/>
        <v>0</v>
      </c>
      <c r="U55" s="472">
        <f>база!$M$6</f>
        <v>279.0496</v>
      </c>
      <c r="V55" s="390">
        <v>1.2</v>
      </c>
      <c r="W55" s="412">
        <f>SUMIFS(Таблица14[часы],Таблица14[коэф],"1,2",Таблица14[р/р],"5/24",Таблица14[Ф. И. О.],B55)</f>
        <v>0</v>
      </c>
      <c r="X55" s="545">
        <f t="shared" si="21"/>
        <v>0</v>
      </c>
      <c r="Y55" s="795"/>
      <c r="Z55" s="797"/>
      <c r="AA55" s="786"/>
      <c r="AC55" s="754" t="str">
        <f>IF(SUMIFS(Таблица14[часы],Таблица14[Ф. И. О.],B55)-Y50=0,"",SUMIFS(Таблица14[часы],Таблица14[Ф. И. О.],B55)-Y50)</f>
        <v/>
      </c>
    </row>
    <row r="56" spans="1:29">
      <c r="A56" s="786"/>
      <c r="B56" s="216"/>
      <c r="C56" s="825"/>
      <c r="D56" s="825"/>
      <c r="E56" s="389"/>
      <c r="F56" s="390"/>
      <c r="G56" s="400"/>
      <c r="H56" s="392">
        <f t="shared" si="18"/>
        <v>0</v>
      </c>
      <c r="I56" s="393"/>
      <c r="J56" s="390"/>
      <c r="K56" s="434"/>
      <c r="L56" s="395">
        <f t="shared" si="19"/>
        <v>0</v>
      </c>
      <c r="M56" s="432"/>
      <c r="N56" s="434"/>
      <c r="O56" s="434"/>
      <c r="P56" s="434"/>
      <c r="Q56" s="399">
        <f>IF(D50&lt;=3,база!$L$4,
IF(D50=4,база!$L$5,
IF(D50=5,база!$L$6)))</f>
        <v>210.57480000000001</v>
      </c>
      <c r="R56" s="390">
        <v>1.3</v>
      </c>
      <c r="S56" s="400">
        <f>SUMIFS(Таблица14[часы],Таблица14[коэф],"1,3",Таблица14[р/р],"3/16",Таблица14[Ф. И. О.],B55)</f>
        <v>0</v>
      </c>
      <c r="T56" s="544">
        <f t="shared" si="20"/>
        <v>0</v>
      </c>
      <c r="U56" s="472">
        <f>IF(D50&lt;=3,база!$M$4,
IF(D50=4,база!$M$5,
IF(D50=5,база!$M$6)))</f>
        <v>225.09719999999999</v>
      </c>
      <c r="V56" s="390">
        <v>1.3</v>
      </c>
      <c r="W56" s="412">
        <f>SUMIFS(Таблица14[часы],Таблица14[коэф],"1,3",Таблица14[р/р],"3/24",Таблица14[Ф. И. О.],B55)</f>
        <v>0</v>
      </c>
      <c r="X56" s="545">
        <f t="shared" si="21"/>
        <v>0</v>
      </c>
      <c r="Y56" s="795"/>
      <c r="Z56" s="797"/>
      <c r="AA56" s="786"/>
    </row>
    <row r="57" spans="1:29">
      <c r="A57" s="786"/>
      <c r="B57" s="216"/>
      <c r="C57" s="825"/>
      <c r="D57" s="825"/>
      <c r="E57" s="389"/>
      <c r="F57" s="390"/>
      <c r="G57" s="400"/>
      <c r="H57" s="392">
        <f t="shared" si="18"/>
        <v>0</v>
      </c>
      <c r="I57" s="393"/>
      <c r="J57" s="390"/>
      <c r="K57" s="434"/>
      <c r="L57" s="395">
        <f t="shared" si="19"/>
        <v>0</v>
      </c>
      <c r="M57" s="432"/>
      <c r="N57" s="434"/>
      <c r="O57" s="434"/>
      <c r="P57" s="434"/>
      <c r="Q57" s="399">
        <f>база!$L$5</f>
        <v>231.45480000000001</v>
      </c>
      <c r="R57" s="390">
        <v>1.3</v>
      </c>
      <c r="S57" s="400">
        <f>SUMIFS(Таблица14[часы],Таблица14[коэф],"1,3",Таблица14[р/р],"4/16",Таблица14[Ф. И. О.],B55)</f>
        <v>0</v>
      </c>
      <c r="T57" s="544">
        <f t="shared" si="20"/>
        <v>0</v>
      </c>
      <c r="U57" s="472">
        <f>база!$M$5</f>
        <v>247.41720000000001</v>
      </c>
      <c r="V57" s="390">
        <v>1.3</v>
      </c>
      <c r="W57" s="412">
        <f>SUMIFS(Таблица14[часы],Таблица14[коэф],"1,3",Таблица14[р/р],"4/24",Таблица14[Ф. И. О.],B55)</f>
        <v>0</v>
      </c>
      <c r="X57" s="545">
        <f t="shared" si="21"/>
        <v>0</v>
      </c>
      <c r="Y57" s="795"/>
      <c r="Z57" s="797"/>
      <c r="AA57" s="786"/>
    </row>
    <row r="58" spans="1:29">
      <c r="A58" s="786"/>
      <c r="B58" s="216"/>
      <c r="C58" s="825"/>
      <c r="D58" s="825"/>
      <c r="E58" s="389"/>
      <c r="F58" s="390"/>
      <c r="G58" s="400"/>
      <c r="H58" s="392">
        <f t="shared" si="18"/>
        <v>0</v>
      </c>
      <c r="I58" s="393"/>
      <c r="J58" s="390"/>
      <c r="K58" s="434"/>
      <c r="L58" s="395">
        <f t="shared" si="19"/>
        <v>0</v>
      </c>
      <c r="M58" s="432"/>
      <c r="N58" s="434"/>
      <c r="O58" s="434"/>
      <c r="P58" s="434"/>
      <c r="Q58" s="399">
        <f>IF(D50&lt;=3,база!$L$4,
IF(D50=4,база!$L$5,
IF(D50=5,база!$L$6)))</f>
        <v>210.57480000000001</v>
      </c>
      <c r="R58" s="390">
        <v>1.4</v>
      </c>
      <c r="S58" s="400">
        <f>SUMIFS(Таблица14[часы],Таблица14[коэф],"1,4",Таблица14[р/р],"3/16",Таблица14[Ф. И. О.],B55)</f>
        <v>0</v>
      </c>
      <c r="T58" s="544">
        <f t="shared" si="20"/>
        <v>0</v>
      </c>
      <c r="U58" s="472">
        <f>IF(D50&lt;=3,база!$M$4,
IF(D50=4,база!$M$5,
IF(D50=5,база!$M$6)))</f>
        <v>225.09719999999999</v>
      </c>
      <c r="V58" s="390">
        <v>1.4</v>
      </c>
      <c r="W58" s="412">
        <f>SUMIFS(Таблица14[часы],Таблица14[коэф],"1,4",Таблица14[р/р],"3/24",Таблица14[Ф. И. О.],B55)</f>
        <v>0</v>
      </c>
      <c r="X58" s="545">
        <f t="shared" si="21"/>
        <v>0</v>
      </c>
      <c r="Y58" s="795"/>
      <c r="Z58" s="797"/>
      <c r="AA58" s="786"/>
    </row>
    <row r="59" spans="1:29">
      <c r="A59" s="786"/>
      <c r="B59" s="216"/>
      <c r="C59" s="825"/>
      <c r="D59" s="825"/>
      <c r="E59" s="389"/>
      <c r="F59" s="390"/>
      <c r="G59" s="400"/>
      <c r="H59" s="392">
        <f t="shared" si="18"/>
        <v>0</v>
      </c>
      <c r="I59" s="393"/>
      <c r="J59" s="390"/>
      <c r="K59" s="434"/>
      <c r="L59" s="395">
        <f t="shared" si="19"/>
        <v>0</v>
      </c>
      <c r="M59" s="432"/>
      <c r="N59" s="434"/>
      <c r="O59" s="434"/>
      <c r="P59" s="434"/>
      <c r="Q59" s="399">
        <f>база!$L$5</f>
        <v>231.45480000000001</v>
      </c>
      <c r="R59" s="390">
        <v>1.4</v>
      </c>
      <c r="S59" s="400">
        <f>SUMIFS(Таблица14[часы],Таблица14[коэф],"1,4",Таблица14[р/р],"4/16",Таблица14[Ф. И. О.],B55)</f>
        <v>0</v>
      </c>
      <c r="T59" s="544">
        <f t="shared" si="20"/>
        <v>0</v>
      </c>
      <c r="U59" s="472">
        <f>база!$M$5</f>
        <v>247.41720000000001</v>
      </c>
      <c r="V59" s="390">
        <v>1.4</v>
      </c>
      <c r="W59" s="412">
        <f>SUMIFS(Таблица14[часы],Таблица14[коэф],"1,4",Таблица14[р/р],"4/24",Таблица14[Ф. И. О.],B55)</f>
        <v>0</v>
      </c>
      <c r="X59" s="545">
        <f t="shared" si="21"/>
        <v>0</v>
      </c>
      <c r="Y59" s="795"/>
      <c r="Z59" s="797"/>
      <c r="AA59" s="786"/>
    </row>
    <row r="60" spans="1:29" ht="21" thickBot="1">
      <c r="A60" s="787"/>
      <c r="B60" s="203"/>
      <c r="C60" s="826"/>
      <c r="D60" s="826"/>
      <c r="E60" s="473"/>
      <c r="F60" s="464"/>
      <c r="G60" s="465"/>
      <c r="H60" s="468">
        <f t="shared" si="18"/>
        <v>0</v>
      </c>
      <c r="I60" s="463"/>
      <c r="J60" s="464"/>
      <c r="K60" s="457"/>
      <c r="L60" s="458">
        <f t="shared" si="19"/>
        <v>0</v>
      </c>
      <c r="M60" s="432"/>
      <c r="N60" s="434"/>
      <c r="O60" s="434"/>
      <c r="P60" s="434"/>
      <c r="Q60" s="467">
        <f>база!$L$6</f>
        <v>261.04640000000001</v>
      </c>
      <c r="R60" s="464">
        <v>1.4</v>
      </c>
      <c r="S60" s="465">
        <f>SUMIFS(Таблица14[часы],Таблица14[коэф],"1,4",Таблица14[р/р],"5/16",Таблица14[Ф. И. О.],B55)</f>
        <v>0</v>
      </c>
      <c r="T60" s="549">
        <f t="shared" si="20"/>
        <v>0</v>
      </c>
      <c r="U60" s="474">
        <f>база!$M$6</f>
        <v>279.0496</v>
      </c>
      <c r="V60" s="464">
        <v>1.4</v>
      </c>
      <c r="W60" s="470">
        <f>SUMIFS(Таблица14[часы],Таблица14[коэф],"1,4",Таблица14[р/р],"5/24",Таблица14[Ф. И. О.],B55)</f>
        <v>0</v>
      </c>
      <c r="X60" s="547">
        <f t="shared" si="21"/>
        <v>0</v>
      </c>
      <c r="Y60" s="796"/>
      <c r="Z60" s="798"/>
      <c r="AA60" s="787"/>
    </row>
    <row r="61" spans="1:29">
      <c r="A61" s="785">
        <v>6</v>
      </c>
      <c r="B61" s="216"/>
      <c r="C61" s="824">
        <f>INDEX(база!$E$2:$E$81, MATCH(B66,база!$B$2:$B$50,0))</f>
        <v>17290</v>
      </c>
      <c r="D61" s="824">
        <f>INDEX(база!$D$2:$D$89, MATCH(B66,база!$B$2:$B$50,0))</f>
        <v>3</v>
      </c>
      <c r="E61" s="377">
        <f>IF(D61&lt;=3,база!$I$4,
IF(D61=4,база!$I$5,
IF(D61=5,база!$I$6)))</f>
        <v>188.7912</v>
      </c>
      <c r="F61" s="378">
        <v>1</v>
      </c>
      <c r="G61" s="387">
        <f>SUMIFS(Таблица14[часы],Таблица14[коэф],"1",Таблица14[р/р],"2/4",Таблица14[Ф. И. О.],B66)</f>
        <v>0</v>
      </c>
      <c r="H61" s="380">
        <f>ROUND(E61*F61*G61*2,2)</f>
        <v>0</v>
      </c>
      <c r="I61" s="451">
        <f>IF(D61&lt;=3,база!$J$4,
IF(D61=4,база!$J$5,
IF(D61=5,база!$J$6)))</f>
        <v>196.05240000000001</v>
      </c>
      <c r="J61" s="417">
        <v>1</v>
      </c>
      <c r="K61" s="453">
        <f>SUMIFS(Таблица14[часы],Таблица14[коэф],"1",Таблица14[р/р],"2/8",Таблица14[Ф. И. О.],B66)</f>
        <v>0</v>
      </c>
      <c r="L61" s="453">
        <f>ROUND(I61*J61*K61*2,2)</f>
        <v>0</v>
      </c>
      <c r="M61" s="434"/>
      <c r="N61" s="434">
        <v>1</v>
      </c>
      <c r="O61" s="434">
        <f>SUMIFS(Data_Tech!$AM$3:$AM$67,Data_Tech!$E$3:$E$67,"1",Data_Tech!$G$3:$G$67,"3/12",Data_Tech!$F$3:$F$67,B66)</f>
        <v>0</v>
      </c>
      <c r="P61" s="406">
        <f>ROUND(M61*N61*O61,2)</f>
        <v>0</v>
      </c>
      <c r="Q61" s="377">
        <f>IF(D61&lt;=3,база!$L$4,
IF(D61=4,база!$L$5,
IF(D61=5,база!$L$6)))</f>
        <v>210.57480000000001</v>
      </c>
      <c r="R61" s="378">
        <v>1</v>
      </c>
      <c r="S61" s="387">
        <f>SUMIFS(Таблица14[часы],Таблица14[коэф],"1",Таблица14[р/р],"3/16",Таблица14[Ф. И. О.],B66)</f>
        <v>0</v>
      </c>
      <c r="T61" s="380">
        <f>ROUND(Q61*R61*S61*2,2)</f>
        <v>0</v>
      </c>
      <c r="U61" s="454">
        <f>IF(D61&lt;=3,база!$M$4,
IF(D61=4,база!$M$5,
IF(D61=5,база!$M$6)))</f>
        <v>225.09719999999999</v>
      </c>
      <c r="V61" s="417">
        <v>1</v>
      </c>
      <c r="W61" s="455">
        <f>SUMIFS(Таблица14[часы],Таблица14[коэф],"1",Таблица14[р/р],"3/24",Таблица14[Ф. И. О.],B66)</f>
        <v>0</v>
      </c>
      <c r="X61" s="543">
        <f>ROUND(U61*V61*W61*2,2)</f>
        <v>0</v>
      </c>
      <c r="Y61" s="795">
        <f>SUM(G61:G71,K61:K71,O61:O71,S61:S71,W61:W71)</f>
        <v>0</v>
      </c>
      <c r="Z61" s="797">
        <f>IFERROR(SUM(H61:H71,L61:L71,T61:T71,X61:X71),"")</f>
        <v>0</v>
      </c>
      <c r="AA61" s="786"/>
    </row>
    <row r="62" spans="1:29">
      <c r="A62" s="786"/>
      <c r="B62" s="216"/>
      <c r="C62" s="825"/>
      <c r="D62" s="825"/>
      <c r="E62" s="389">
        <f>IF(D61&lt;=3,база!$I$4,
IF(D61=4,база!$I$5,
IF(D61=5,база!$I$6)))</f>
        <v>188.7912</v>
      </c>
      <c r="F62" s="390">
        <v>1</v>
      </c>
      <c r="G62" s="400">
        <f>SUMIFS(Таблица14[часы],Таблица14[коэф],"1",Таблица14[р/р],"3/4",Таблица14[Ф. И. О.],B66)</f>
        <v>0</v>
      </c>
      <c r="H62" s="392">
        <f t="shared" ref="H62:H71" si="22">ROUND(E62*F62*G62*2,2)</f>
        <v>0</v>
      </c>
      <c r="I62" s="393">
        <f>IF(D61&lt;=3,база!$J$4,
IF(D61=4,база!$J$5,
IF(D61=5,база!$J$6)))</f>
        <v>196.05240000000001</v>
      </c>
      <c r="J62" s="390">
        <v>1</v>
      </c>
      <c r="K62" s="434">
        <f>SUMIFS(Таблица14[часы],Таблица14[коэф],"1",Таблица14[р/р],"3/8",Таблица14[Ф. И. О.],B66)</f>
        <v>0</v>
      </c>
      <c r="L62" s="434">
        <f t="shared" ref="L62:L71" si="23">ROUND(I62*J62*K62*2,2)</f>
        <v>0</v>
      </c>
      <c r="M62" s="434"/>
      <c r="N62" s="434">
        <v>1</v>
      </c>
      <c r="O62" s="434">
        <f>SUMIFS(Data_Tech!$AM$3:$AM$67,Data_Tech!$E$3:$E$67,"1",Data_Tech!$G$3:$G$67,"4/12",Data_Tech!$F$3:$F$67,B66)</f>
        <v>0</v>
      </c>
      <c r="P62" s="406">
        <f>ROUND(M62*O62,2)</f>
        <v>0</v>
      </c>
      <c r="Q62" s="389">
        <f>база!$L$5</f>
        <v>231.45480000000001</v>
      </c>
      <c r="R62" s="390">
        <v>1</v>
      </c>
      <c r="S62" s="400">
        <f>SUMIFS(Таблица14[часы],Таблица14[коэф],"1",Таблица14[р/р],"4/16",Таблица14[Ф. И. О.],B66)</f>
        <v>0</v>
      </c>
      <c r="T62" s="392">
        <f t="shared" ref="T62:T71" si="24">ROUND(Q62*R62*S62*2,2)</f>
        <v>0</v>
      </c>
      <c r="U62" s="410">
        <f>база!$M$5</f>
        <v>247.41720000000001</v>
      </c>
      <c r="V62" s="390">
        <v>1</v>
      </c>
      <c r="W62" s="412">
        <f>SUMIFS(Таблица14[часы],Таблица14[коэф],"1",Таблица14[р/р],"4/24",Таблица14[Ф. И. О.],B66)</f>
        <v>0</v>
      </c>
      <c r="X62" s="545">
        <f t="shared" ref="X62:X71" si="25">ROUND(U62*V62*W62*2,2)</f>
        <v>0</v>
      </c>
      <c r="Y62" s="795"/>
      <c r="Z62" s="797"/>
      <c r="AA62" s="786"/>
    </row>
    <row r="63" spans="1:29">
      <c r="A63" s="786"/>
      <c r="B63" s="216"/>
      <c r="C63" s="825"/>
      <c r="D63" s="825"/>
      <c r="E63" s="389"/>
      <c r="F63" s="390"/>
      <c r="G63" s="400"/>
      <c r="H63" s="392">
        <f t="shared" si="22"/>
        <v>0</v>
      </c>
      <c r="I63" s="393"/>
      <c r="J63" s="390"/>
      <c r="K63" s="434"/>
      <c r="L63" s="434">
        <f t="shared" si="23"/>
        <v>0</v>
      </c>
      <c r="M63" s="434"/>
      <c r="N63" s="434"/>
      <c r="O63" s="434"/>
      <c r="P63" s="406"/>
      <c r="Q63" s="389">
        <f>база!$L$6</f>
        <v>261.04640000000001</v>
      </c>
      <c r="R63" s="390">
        <v>1</v>
      </c>
      <c r="S63" s="400">
        <f>SUMIFS(Таблица14[часы],Таблица14[коэф],"1",Таблица14[р/р],"5/16",Таблица14[Ф. И. О.],B66)</f>
        <v>0</v>
      </c>
      <c r="T63" s="392">
        <f t="shared" si="24"/>
        <v>0</v>
      </c>
      <c r="U63" s="410">
        <f>база!$M$6</f>
        <v>279.0496</v>
      </c>
      <c r="V63" s="390">
        <v>1</v>
      </c>
      <c r="W63" s="412">
        <f>SUMIFS(Таблица14[часы],Таблица14[коэф],"1",Таблица14[р/р],"5/24",Таблица14[Ф. И. О.],B66)</f>
        <v>0</v>
      </c>
      <c r="X63" s="545">
        <f t="shared" si="25"/>
        <v>0</v>
      </c>
      <c r="Y63" s="795"/>
      <c r="Z63" s="797"/>
      <c r="AA63" s="786"/>
    </row>
    <row r="64" spans="1:29">
      <c r="A64" s="786"/>
      <c r="B64" s="216"/>
      <c r="C64" s="825"/>
      <c r="D64" s="825"/>
      <c r="E64" s="389"/>
      <c r="F64" s="390"/>
      <c r="G64" s="400"/>
      <c r="H64" s="392">
        <f t="shared" si="22"/>
        <v>0</v>
      </c>
      <c r="I64" s="393">
        <f>база!$J$5</f>
        <v>215.4924</v>
      </c>
      <c r="J64" s="390">
        <v>1.5</v>
      </c>
      <c r="K64" s="434">
        <f>SUMIFS(Таблица14[часы],Таблица14[коэф],"1,5",Таблица14[р/р],"4/8",Таблица14[Ф. И. О.],B66)</f>
        <v>0</v>
      </c>
      <c r="L64" s="434">
        <f t="shared" si="23"/>
        <v>0</v>
      </c>
      <c r="M64" s="434"/>
      <c r="N64" s="434"/>
      <c r="O64" s="434"/>
      <c r="P64" s="406"/>
      <c r="Q64" s="389">
        <f>IF(D61&lt;=3,база!$L$4,
IF(D61=4,база!$L$5,
IF(D61=5,база!$L$6)))</f>
        <v>210.57480000000001</v>
      </c>
      <c r="R64" s="390">
        <v>1.2</v>
      </c>
      <c r="S64" s="400">
        <f>SUMIFS(Таблица14[часы],Таблица14[коэф],"1,2",Таблица14[р/р],"3/16",Таблица14[Ф. И. О.],B66)</f>
        <v>0</v>
      </c>
      <c r="T64" s="392">
        <f t="shared" si="24"/>
        <v>0</v>
      </c>
      <c r="U64" s="410">
        <f>IF(D61&lt;=3,база!$M$4,
IF(D61=4,база!$M$5,
IF(D61=5,база!$M$6)))</f>
        <v>225.09719999999999</v>
      </c>
      <c r="V64" s="390">
        <v>1.2</v>
      </c>
      <c r="W64" s="412">
        <f>SUMIFS(Таблица14[часы],Таблица14[коэф],"1,2",Таблица14[р/р],"3/24",Таблица14[Ф. И. О.],B66)</f>
        <v>0</v>
      </c>
      <c r="X64" s="545">
        <f t="shared" si="25"/>
        <v>0</v>
      </c>
      <c r="Y64" s="795"/>
      <c r="Z64" s="797"/>
      <c r="AA64" s="786"/>
    </row>
    <row r="65" spans="1:29">
      <c r="A65" s="786"/>
      <c r="B65" s="216"/>
      <c r="C65" s="825"/>
      <c r="D65" s="825"/>
      <c r="E65" s="389"/>
      <c r="F65" s="390"/>
      <c r="G65" s="400"/>
      <c r="H65" s="392">
        <f t="shared" si="22"/>
        <v>0</v>
      </c>
      <c r="I65" s="393">
        <f>база!$J$6</f>
        <v>243.04319999999998</v>
      </c>
      <c r="J65" s="390">
        <v>1.5</v>
      </c>
      <c r="K65" s="434">
        <f>SUMIFS(Таблица14[часы],Таблица14[коэф],"1,5",Таблица14[р/р],"5/8",Таблица14[Ф. И. О.],B66)</f>
        <v>0</v>
      </c>
      <c r="L65" s="434">
        <f t="shared" si="23"/>
        <v>0</v>
      </c>
      <c r="M65" s="434"/>
      <c r="N65" s="434"/>
      <c r="O65" s="434"/>
      <c r="P65" s="406"/>
      <c r="Q65" s="389">
        <f>база!$L$5</f>
        <v>231.45480000000001</v>
      </c>
      <c r="R65" s="390">
        <v>1.2</v>
      </c>
      <c r="S65" s="400">
        <f>SUMIFS(Таблица14[часы],Таблица14[коэф],"1,2",Таблица14[р/р],"4/16",Таблица14[Ф. И. О.],B66)</f>
        <v>0</v>
      </c>
      <c r="T65" s="392">
        <f t="shared" si="24"/>
        <v>0</v>
      </c>
      <c r="U65" s="410">
        <f>база!$M$5</f>
        <v>247.41720000000001</v>
      </c>
      <c r="V65" s="390">
        <v>1.2</v>
      </c>
      <c r="W65" s="412">
        <f>SUMIFS(Таблица14[часы],Таблица14[коэф],"1,2",Таблица14[р/р],"4/24",Таблица14[Ф. И. О.],B66)</f>
        <v>0</v>
      </c>
      <c r="X65" s="545">
        <f t="shared" si="25"/>
        <v>0</v>
      </c>
      <c r="Y65" s="795"/>
      <c r="Z65" s="797"/>
      <c r="AA65" s="786"/>
    </row>
    <row r="66" spans="1:29">
      <c r="A66" s="786"/>
      <c r="B66" s="216" t="str">
        <f>база!B7</f>
        <v>Аполосова Ольга Николаевна</v>
      </c>
      <c r="C66" s="825"/>
      <c r="D66" s="825"/>
      <c r="E66" s="389"/>
      <c r="F66" s="390"/>
      <c r="G66" s="400"/>
      <c r="H66" s="392">
        <f t="shared" si="22"/>
        <v>0</v>
      </c>
      <c r="I66" s="393"/>
      <c r="J66" s="390"/>
      <c r="K66" s="434"/>
      <c r="L66" s="434">
        <f t="shared" si="23"/>
        <v>0</v>
      </c>
      <c r="M66" s="434"/>
      <c r="N66" s="434"/>
      <c r="O66" s="434"/>
      <c r="P66" s="406"/>
      <c r="Q66" s="389">
        <f>база!$L$6</f>
        <v>261.04640000000001</v>
      </c>
      <c r="R66" s="390">
        <v>1.2</v>
      </c>
      <c r="S66" s="400">
        <f>SUMIFS(Таблица14[часы],Таблица14[коэф],"1,2",Таблица14[р/р],"5/16",Таблица14[Ф. И. О.],B66)</f>
        <v>0</v>
      </c>
      <c r="T66" s="392">
        <f t="shared" si="24"/>
        <v>0</v>
      </c>
      <c r="U66" s="410">
        <f>база!$M$6</f>
        <v>279.0496</v>
      </c>
      <c r="V66" s="390">
        <v>1.2</v>
      </c>
      <c r="W66" s="412">
        <f>SUMIFS(Таблица14[часы],Таблица14[коэф],"1,2",Таблица14[р/р],"5/24",Таблица14[Ф. И. О.],B66)</f>
        <v>0</v>
      </c>
      <c r="X66" s="545">
        <f t="shared" si="25"/>
        <v>0</v>
      </c>
      <c r="Y66" s="795"/>
      <c r="Z66" s="797"/>
      <c r="AA66" s="786"/>
      <c r="AC66" s="754" t="str">
        <f>IF(SUMIFS(Таблица14[Столбец2],Таблица14[Ф. И. О.],B66)-Z61=0,"",SUMIFS(Таблица14[Столбец2],Таблица14[Ф. И. О.],B66)-Z61)</f>
        <v/>
      </c>
    </row>
    <row r="67" spans="1:29">
      <c r="A67" s="786"/>
      <c r="B67" s="216"/>
      <c r="C67" s="825"/>
      <c r="D67" s="825"/>
      <c r="E67" s="389"/>
      <c r="F67" s="390"/>
      <c r="G67" s="400"/>
      <c r="H67" s="392">
        <f t="shared" si="22"/>
        <v>0</v>
      </c>
      <c r="I67" s="393"/>
      <c r="J67" s="390"/>
      <c r="K67" s="434"/>
      <c r="L67" s="434">
        <f t="shared" si="23"/>
        <v>0</v>
      </c>
      <c r="M67" s="434"/>
      <c r="N67" s="434"/>
      <c r="O67" s="434"/>
      <c r="P67" s="406"/>
      <c r="Q67" s="389">
        <f>IF(D61&lt;=3,база!$L$4,
IF(D61=4,база!$L$5,
IF(D61=5,база!$L$6)))</f>
        <v>210.57480000000001</v>
      </c>
      <c r="R67" s="390">
        <v>1.3</v>
      </c>
      <c r="S67" s="400">
        <f>SUMIFS(Таблица14[часы],Таблица14[коэф],"1,3",Таблица14[р/р],"3/16",Таблица14[Ф. И. О.],B66)</f>
        <v>0</v>
      </c>
      <c r="T67" s="392">
        <f t="shared" si="24"/>
        <v>0</v>
      </c>
      <c r="U67" s="410">
        <f>IF(D61&lt;=3,база!$M$4,
IF(D61=4,база!$M$5,
IF(D61=5,база!$M$6)))</f>
        <v>225.09719999999999</v>
      </c>
      <c r="V67" s="390">
        <v>1.3</v>
      </c>
      <c r="W67" s="412">
        <f>SUMIFS(Таблица14[часы],Таблица14[коэф],"1,3",Таблица14[р/р],"3/24",Таблица14[Ф. И. О.],B66)</f>
        <v>0</v>
      </c>
      <c r="X67" s="545">
        <f t="shared" si="25"/>
        <v>0</v>
      </c>
      <c r="Y67" s="795"/>
      <c r="Z67" s="797"/>
      <c r="AA67" s="786"/>
      <c r="AC67" s="754" t="str">
        <f>IF(SUMIFS(Таблица14[часы],Таблица14[Ф. И. О.],B66)-Y61=0,"",SUMIFS(Таблица14[часы],Таблица14[Ф. И. О.],B66)-Y61)</f>
        <v/>
      </c>
    </row>
    <row r="68" spans="1:29">
      <c r="A68" s="786"/>
      <c r="B68" s="216"/>
      <c r="C68" s="825"/>
      <c r="D68" s="825"/>
      <c r="E68" s="389"/>
      <c r="F68" s="390"/>
      <c r="G68" s="400"/>
      <c r="H68" s="392">
        <f t="shared" si="22"/>
        <v>0</v>
      </c>
      <c r="I68" s="393"/>
      <c r="J68" s="390"/>
      <c r="K68" s="434"/>
      <c r="L68" s="434">
        <f t="shared" si="23"/>
        <v>0</v>
      </c>
      <c r="M68" s="434"/>
      <c r="N68" s="434"/>
      <c r="O68" s="434"/>
      <c r="P68" s="406"/>
      <c r="Q68" s="389">
        <f>база!$L$5</f>
        <v>231.45480000000001</v>
      </c>
      <c r="R68" s="390">
        <v>1.3</v>
      </c>
      <c r="S68" s="400">
        <f>SUMIFS(Таблица14[часы],Таблица14[коэф],"1,3",Таблица14[р/р],"4/16",Таблица14[Ф. И. О.],B66)</f>
        <v>0</v>
      </c>
      <c r="T68" s="392">
        <f t="shared" si="24"/>
        <v>0</v>
      </c>
      <c r="U68" s="410">
        <f>база!$M$5</f>
        <v>247.41720000000001</v>
      </c>
      <c r="V68" s="390">
        <v>1.3</v>
      </c>
      <c r="W68" s="412">
        <f>SUMIFS(Таблица14[часы],Таблица14[коэф],"1,3",Таблица14[р/р],"4/24",Таблица14[Ф. И. О.],B66)</f>
        <v>0</v>
      </c>
      <c r="X68" s="545">
        <f t="shared" si="25"/>
        <v>0</v>
      </c>
      <c r="Y68" s="795"/>
      <c r="Z68" s="797"/>
      <c r="AA68" s="786"/>
    </row>
    <row r="69" spans="1:29">
      <c r="A69" s="786"/>
      <c r="B69" s="216"/>
      <c r="C69" s="825"/>
      <c r="D69" s="825"/>
      <c r="E69" s="389"/>
      <c r="F69" s="390"/>
      <c r="G69" s="400"/>
      <c r="H69" s="392">
        <f t="shared" si="22"/>
        <v>0</v>
      </c>
      <c r="I69" s="393"/>
      <c r="J69" s="390"/>
      <c r="K69" s="434"/>
      <c r="L69" s="434">
        <f t="shared" si="23"/>
        <v>0</v>
      </c>
      <c r="M69" s="434"/>
      <c r="N69" s="434"/>
      <c r="O69" s="434"/>
      <c r="P69" s="406"/>
      <c r="Q69" s="389">
        <f>IF(D61&lt;=3,база!$L$4,
IF(D61=4,база!$L$5,
IF(D61=5,база!$L$6)))</f>
        <v>210.57480000000001</v>
      </c>
      <c r="R69" s="390">
        <v>1.4</v>
      </c>
      <c r="S69" s="400">
        <f>SUMIFS(Таблица14[часы],Таблица14[коэф],"1,4",Таблица14[р/р],"3/16",Таблица14[Ф. И. О.],B66)</f>
        <v>0</v>
      </c>
      <c r="T69" s="392">
        <f t="shared" si="24"/>
        <v>0</v>
      </c>
      <c r="U69" s="410">
        <f>IF(D61&lt;=3,база!$M$4,
IF(D61=4,база!$M$5,
IF(D61=5,база!$M$6)))</f>
        <v>225.09719999999999</v>
      </c>
      <c r="V69" s="390">
        <v>1.4</v>
      </c>
      <c r="W69" s="412">
        <f>SUMIFS(Таблица14[часы],Таблица14[коэф],"1,4",Таблица14[р/р],"3/24",Таблица14[Ф. И. О.],B66)</f>
        <v>0</v>
      </c>
      <c r="X69" s="545">
        <f t="shared" si="25"/>
        <v>0</v>
      </c>
      <c r="Y69" s="795"/>
      <c r="Z69" s="797"/>
      <c r="AA69" s="786"/>
    </row>
    <row r="70" spans="1:29">
      <c r="A70" s="786"/>
      <c r="B70" s="216"/>
      <c r="C70" s="825"/>
      <c r="D70" s="825"/>
      <c r="E70" s="389"/>
      <c r="F70" s="390"/>
      <c r="G70" s="400"/>
      <c r="H70" s="392">
        <f t="shared" si="22"/>
        <v>0</v>
      </c>
      <c r="I70" s="393"/>
      <c r="J70" s="390"/>
      <c r="K70" s="434"/>
      <c r="L70" s="434">
        <f t="shared" si="23"/>
        <v>0</v>
      </c>
      <c r="M70" s="434"/>
      <c r="N70" s="434"/>
      <c r="O70" s="434"/>
      <c r="P70" s="406"/>
      <c r="Q70" s="389">
        <f>база!$L$5</f>
        <v>231.45480000000001</v>
      </c>
      <c r="R70" s="390">
        <v>1.4</v>
      </c>
      <c r="S70" s="400">
        <f>SUMIFS(Таблица14[часы],Таблица14[коэф],"1,4",Таблица14[р/р],"4/16",Таблица14[Ф. И. О.],B66)</f>
        <v>0</v>
      </c>
      <c r="T70" s="392">
        <f t="shared" si="24"/>
        <v>0</v>
      </c>
      <c r="U70" s="410">
        <f>база!$M$5</f>
        <v>247.41720000000001</v>
      </c>
      <c r="V70" s="390">
        <v>1.4</v>
      </c>
      <c r="W70" s="412">
        <f>SUMIFS(Таблица14[часы],Таблица14[коэф],"1,4",Таблица14[р/р],"4/24",Таблица14[Ф. И. О.],B66)</f>
        <v>0</v>
      </c>
      <c r="X70" s="545">
        <f t="shared" si="25"/>
        <v>0</v>
      </c>
      <c r="Y70" s="795"/>
      <c r="Z70" s="797"/>
      <c r="AA70" s="786"/>
    </row>
    <row r="71" spans="1:29" ht="21" thickBot="1">
      <c r="A71" s="787"/>
      <c r="B71" s="203"/>
      <c r="C71" s="826"/>
      <c r="D71" s="826"/>
      <c r="E71" s="473"/>
      <c r="F71" s="464"/>
      <c r="G71" s="465"/>
      <c r="H71" s="468">
        <f t="shared" si="22"/>
        <v>0</v>
      </c>
      <c r="I71" s="463"/>
      <c r="J71" s="464"/>
      <c r="K71" s="457"/>
      <c r="L71" s="457">
        <f t="shared" si="23"/>
        <v>0</v>
      </c>
      <c r="M71" s="457"/>
      <c r="N71" s="457"/>
      <c r="O71" s="457"/>
      <c r="P71" s="476"/>
      <c r="Q71" s="473">
        <f>база!$L$6</f>
        <v>261.04640000000001</v>
      </c>
      <c r="R71" s="464">
        <v>1.4</v>
      </c>
      <c r="S71" s="465">
        <f>SUMIFS(Таблица14[часы],Таблица14[коэф],"1,4",Таблица14[р/р],"5/16",Таблица14[Ф. И. О.],B66)</f>
        <v>0</v>
      </c>
      <c r="T71" s="468">
        <f t="shared" si="24"/>
        <v>0</v>
      </c>
      <c r="U71" s="469">
        <f>база!$M$6</f>
        <v>279.0496</v>
      </c>
      <c r="V71" s="464">
        <v>1.4</v>
      </c>
      <c r="W71" s="470">
        <f>SUMIFS(Таблица14[часы],Таблица14[коэф],"1,4",Таблица14[р/р],"5/24",Таблица14[Ф. И. О.],B66)</f>
        <v>0</v>
      </c>
      <c r="X71" s="547">
        <f t="shared" si="25"/>
        <v>0</v>
      </c>
      <c r="Y71" s="796"/>
      <c r="Z71" s="798"/>
      <c r="AA71" s="787"/>
    </row>
    <row r="72" spans="1:29">
      <c r="A72" s="785">
        <v>7</v>
      </c>
      <c r="B72" s="216"/>
      <c r="C72" s="824">
        <f>INDEX(база!$E$2:$E$81, MATCH(B77,база!$B$2:$B$50,0))</f>
        <v>17296</v>
      </c>
      <c r="D72" s="824">
        <f>INDEX(база!$D$2:$D$89, MATCH(B77,база!$B$2:$B$50,0))</f>
        <v>3</v>
      </c>
      <c r="E72" s="377">
        <f>IF(D72&lt;=3,база!$I$4,
IF(D72=4,база!$I$5,
IF(D72=5,база!$I$6)))</f>
        <v>188.7912</v>
      </c>
      <c r="F72" s="378">
        <v>1</v>
      </c>
      <c r="G72" s="387">
        <f>SUMIFS(Таблица14[часы],Таблица14[коэф],"1",Таблица14[р/р],"2/4",Таблица14[Ф. И. О.],B77)</f>
        <v>0</v>
      </c>
      <c r="H72" s="548">
        <f>ROUND(E72*F72*G72*2,2)</f>
        <v>0</v>
      </c>
      <c r="I72" s="377">
        <f>IF(D72&lt;=3,база!$J$4,
IF(D72=4,база!$J$5,
IF(D72=5,база!$J$6)))</f>
        <v>196.05240000000001</v>
      </c>
      <c r="J72" s="378">
        <v>1</v>
      </c>
      <c r="K72" s="428">
        <f>SUMIFS(Таблица14[часы],Таблица14[коэф],"1",Таблица14[р/р],"2/8",Таблица14[Ф. И. О.],B77)</f>
        <v>0</v>
      </c>
      <c r="L72" s="383">
        <f>ROUND(I72*J72*K72*2,2)</f>
        <v>0</v>
      </c>
      <c r="M72" s="426"/>
      <c r="N72" s="428">
        <v>1</v>
      </c>
      <c r="O72" s="428">
        <f>SUMIFS(Data_Tech!$AM$3:$AM$67,Data_Tech!$E$3:$E$67,"1",Data_Tech!$G$3:$G$67,"3/12",Data_Tech!$F$3:$F$67,B77)</f>
        <v>0</v>
      </c>
      <c r="P72" s="383">
        <f>ROUND(M72*N72*O72,2)</f>
        <v>0</v>
      </c>
      <c r="Q72" s="381">
        <f>IF(D72&lt;=3,база!$L$4,
IF(D72=4,база!$L$5,
IF(D72=5,база!$L$6)))</f>
        <v>210.57480000000001</v>
      </c>
      <c r="R72" s="378">
        <v>1</v>
      </c>
      <c r="S72" s="387">
        <f>SUMIFS(Таблица14[часы],Таблица14[коэф],"1",Таблица14[р/р],"3/16",Таблица14[Ф. И. О.],B77)</f>
        <v>0</v>
      </c>
      <c r="T72" s="380">
        <f>ROUND(Q72*R72*S72*2,2)</f>
        <v>0</v>
      </c>
      <c r="U72" s="462">
        <f>IF(D72&lt;=3,база!$M$4,
IF(D72=4,база!$M$5,
IF(D72=5,база!$M$6)))</f>
        <v>225.09719999999999</v>
      </c>
      <c r="V72" s="378">
        <v>1</v>
      </c>
      <c r="W72" s="430">
        <f>SUMIFS(Таблица14[часы],Таблица14[коэф],"1",Таблица14[р/р],"3/24",Таблица14[Ф. И. О.],B77)</f>
        <v>0</v>
      </c>
      <c r="X72" s="543">
        <f>ROUND(U72*V72*W72*2,2)</f>
        <v>0</v>
      </c>
      <c r="Y72" s="795">
        <f>SUM(G72:G82,K72:K82,O72:O82,S72:S82,W72:W82)</f>
        <v>0</v>
      </c>
      <c r="Z72" s="797">
        <f>IFERROR(SUM(H72:H82,L72:L82,T72:T82,X72:X82),"")</f>
        <v>0</v>
      </c>
      <c r="AA72" s="786"/>
    </row>
    <row r="73" spans="1:29">
      <c r="A73" s="786"/>
      <c r="B73" s="216"/>
      <c r="C73" s="825"/>
      <c r="D73" s="825"/>
      <c r="E73" s="389">
        <f>IF(D72&lt;=3,база!$I$4,
IF(D72=4,база!$I$5,
IF(D72=5,база!$I$6)))</f>
        <v>188.7912</v>
      </c>
      <c r="F73" s="390">
        <v>1</v>
      </c>
      <c r="G73" s="400">
        <f>SUMIFS(Таблица14[часы],Таблица14[коэф],"1",Таблица14[р/р],"3/4",Таблица14[Ф. И. О.],B77)</f>
        <v>0</v>
      </c>
      <c r="H73" s="544">
        <f t="shared" ref="H73:H82" si="26">ROUND(E73*F73*G73*2,2)</f>
        <v>0</v>
      </c>
      <c r="I73" s="389">
        <f>IF(D72&lt;=3,база!$J$4,
IF(D72=4,база!$J$5,
IF(D72=5,база!$J$6)))</f>
        <v>196.05240000000001</v>
      </c>
      <c r="J73" s="390">
        <v>1</v>
      </c>
      <c r="K73" s="434">
        <f>SUMIFS(Таблица14[часы],Таблица14[коэф],"1",Таблица14[р/р],"3/8",Таблица14[Ф. И. О.],B77)</f>
        <v>0</v>
      </c>
      <c r="L73" s="395">
        <f t="shared" ref="L73:L82" si="27">ROUND(I73*J73*K73*2,2)</f>
        <v>0</v>
      </c>
      <c r="M73" s="432"/>
      <c r="N73" s="434">
        <v>1</v>
      </c>
      <c r="O73" s="434">
        <f>SUMIFS(Data_Tech!$AM$3:$AM$67,Data_Tech!$E$3:$E$67,"1",Data_Tech!$G$3:$G$67,"4/12",Data_Tech!$F$3:$F$67,B77)</f>
        <v>0</v>
      </c>
      <c r="P73" s="395">
        <f>ROUND(M73*O73,2)</f>
        <v>0</v>
      </c>
      <c r="Q73" s="393">
        <f>база!$L$5</f>
        <v>231.45480000000001</v>
      </c>
      <c r="R73" s="390">
        <v>1</v>
      </c>
      <c r="S73" s="400">
        <f>SUMIFS(Таблица14[часы],Таблица14[коэф],"1",Таблица14[р/р],"4/16",Таблица14[Ф. И. О.],B77)</f>
        <v>0</v>
      </c>
      <c r="T73" s="392">
        <f t="shared" ref="T73:T82" si="28">ROUND(Q73*R73*S73*2,2)</f>
        <v>0</v>
      </c>
      <c r="U73" s="410">
        <f>база!$M$5</f>
        <v>247.41720000000001</v>
      </c>
      <c r="V73" s="390">
        <v>1</v>
      </c>
      <c r="W73" s="412">
        <f>SUMIFS(Таблица14[часы],Таблица14[коэф],"1",Таблица14[р/р],"4/24",Таблица14[Ф. И. О.],B77)</f>
        <v>0</v>
      </c>
      <c r="X73" s="545">
        <f t="shared" ref="X73:X82" si="29">ROUND(U73*V73*W73*2,2)</f>
        <v>0</v>
      </c>
      <c r="Y73" s="795"/>
      <c r="Z73" s="797"/>
      <c r="AA73" s="786"/>
    </row>
    <row r="74" spans="1:29">
      <c r="A74" s="786"/>
      <c r="B74" s="216"/>
      <c r="C74" s="825"/>
      <c r="D74" s="825"/>
      <c r="E74" s="389"/>
      <c r="F74" s="390"/>
      <c r="G74" s="400"/>
      <c r="H74" s="544">
        <f t="shared" si="26"/>
        <v>0</v>
      </c>
      <c r="I74" s="389"/>
      <c r="J74" s="390"/>
      <c r="K74" s="434"/>
      <c r="L74" s="395">
        <f t="shared" si="27"/>
        <v>0</v>
      </c>
      <c r="M74" s="432"/>
      <c r="N74" s="434"/>
      <c r="O74" s="434"/>
      <c r="P74" s="395"/>
      <c r="Q74" s="393">
        <f>база!$L$6</f>
        <v>261.04640000000001</v>
      </c>
      <c r="R74" s="390">
        <v>1</v>
      </c>
      <c r="S74" s="400">
        <f>SUMIFS(Таблица14[часы],Таблица14[коэф],"1",Таблица14[р/р],"5/16",Таблица14[Ф. И. О.],B77)</f>
        <v>0</v>
      </c>
      <c r="T74" s="392">
        <f t="shared" si="28"/>
        <v>0</v>
      </c>
      <c r="U74" s="410">
        <f>база!$M$6</f>
        <v>279.0496</v>
      </c>
      <c r="V74" s="390">
        <v>1</v>
      </c>
      <c r="W74" s="412">
        <f>SUMIFS(Таблица14[часы],Таблица14[коэф],"1",Таблица14[р/р],"5/24",Таблица14[Ф. И. О.],B77)</f>
        <v>0</v>
      </c>
      <c r="X74" s="545">
        <f t="shared" si="29"/>
        <v>0</v>
      </c>
      <c r="Y74" s="795"/>
      <c r="Z74" s="797"/>
      <c r="AA74" s="786"/>
    </row>
    <row r="75" spans="1:29">
      <c r="A75" s="786"/>
      <c r="B75" s="216"/>
      <c r="C75" s="825"/>
      <c r="D75" s="825"/>
      <c r="E75" s="389"/>
      <c r="F75" s="390"/>
      <c r="G75" s="400"/>
      <c r="H75" s="544">
        <f t="shared" si="26"/>
        <v>0</v>
      </c>
      <c r="I75" s="389">
        <f>база!$J$5</f>
        <v>215.4924</v>
      </c>
      <c r="J75" s="390">
        <v>1.5</v>
      </c>
      <c r="K75" s="434">
        <f>SUMIFS(Таблица14[часы],Таблица14[коэф],"1,5",Таблица14[р/р],"4/8",Таблица14[Ф. И. О.],B77)</f>
        <v>0</v>
      </c>
      <c r="L75" s="395">
        <f t="shared" si="27"/>
        <v>0</v>
      </c>
      <c r="M75" s="432"/>
      <c r="N75" s="434"/>
      <c r="O75" s="434"/>
      <c r="P75" s="395"/>
      <c r="Q75" s="393">
        <f>IF(D72&lt;=3,база!$L$4,
IF(D72=4,база!$L$5,
IF(D72=5,база!$L$6)))</f>
        <v>210.57480000000001</v>
      </c>
      <c r="R75" s="390">
        <v>1.2</v>
      </c>
      <c r="S75" s="400">
        <f>SUMIFS(Таблица14[часы],Таблица14[коэф],"1,2",Таблица14[р/р],"3/16",Таблица14[Ф. И. О.],B77)</f>
        <v>0</v>
      </c>
      <c r="T75" s="392">
        <f t="shared" si="28"/>
        <v>0</v>
      </c>
      <c r="U75" s="410">
        <f>IF(D72&lt;=3,база!$M$4,
IF(D72=4,база!$M$5,
IF(D72=5,база!$M$6)))</f>
        <v>225.09719999999999</v>
      </c>
      <c r="V75" s="390">
        <v>1.2</v>
      </c>
      <c r="W75" s="412">
        <f>SUMIFS(Таблица14[часы],Таблица14[коэф],"1,2",Таблица14[р/р],"3/24",Таблица14[Ф. И. О.],B77)</f>
        <v>0</v>
      </c>
      <c r="X75" s="545">
        <f t="shared" si="29"/>
        <v>0</v>
      </c>
      <c r="Y75" s="795"/>
      <c r="Z75" s="797"/>
      <c r="AA75" s="786"/>
    </row>
    <row r="76" spans="1:29">
      <c r="A76" s="786"/>
      <c r="B76" s="216"/>
      <c r="C76" s="825"/>
      <c r="D76" s="825"/>
      <c r="E76" s="389"/>
      <c r="F76" s="390"/>
      <c r="G76" s="400"/>
      <c r="H76" s="544">
        <f t="shared" si="26"/>
        <v>0</v>
      </c>
      <c r="I76" s="389">
        <f>база!$J$6</f>
        <v>243.04319999999998</v>
      </c>
      <c r="J76" s="390">
        <v>1.5</v>
      </c>
      <c r="K76" s="434">
        <f>SUMIFS(Таблица14[часы],Таблица14[коэф],"1,5",Таблица14[р/р],"5/8",Таблица14[Ф. И. О.],B77)</f>
        <v>0</v>
      </c>
      <c r="L76" s="395">
        <f t="shared" si="27"/>
        <v>0</v>
      </c>
      <c r="M76" s="432"/>
      <c r="N76" s="434"/>
      <c r="O76" s="434"/>
      <c r="P76" s="395"/>
      <c r="Q76" s="393">
        <f>база!$L$5</f>
        <v>231.45480000000001</v>
      </c>
      <c r="R76" s="390">
        <v>1.2</v>
      </c>
      <c r="S76" s="400">
        <f>SUMIFS(Таблица14[часы],Таблица14[коэф],"1,2",Таблица14[р/р],"4/16",Таблица14[Ф. И. О.],B77)</f>
        <v>0</v>
      </c>
      <c r="T76" s="392">
        <f t="shared" si="28"/>
        <v>0</v>
      </c>
      <c r="U76" s="410">
        <f>база!$M$5</f>
        <v>247.41720000000001</v>
      </c>
      <c r="V76" s="390">
        <v>1.2</v>
      </c>
      <c r="W76" s="412">
        <f>SUMIFS(Таблица14[часы],Таблица14[коэф],"1,2",Таблица14[р/р],"4/24",Таблица14[Ф. И. О.],B77)</f>
        <v>0</v>
      </c>
      <c r="X76" s="545">
        <f t="shared" si="29"/>
        <v>0</v>
      </c>
      <c r="Y76" s="795"/>
      <c r="Z76" s="797"/>
      <c r="AA76" s="786"/>
      <c r="AC76" s="754" t="str">
        <f>IF(SUMIFS(Таблица14[Столбец2],Таблица14[Ф. И. О.],B77)-Z72=0,"",SUMIFS(Таблица14[Столбец2],Таблица14[Ф. И. О.],B77)-Z72)</f>
        <v/>
      </c>
    </row>
    <row r="77" spans="1:29">
      <c r="A77" s="786"/>
      <c r="B77" s="216" t="str">
        <f>база!B8</f>
        <v>Аполосова Юлиана Александровна</v>
      </c>
      <c r="C77" s="825"/>
      <c r="D77" s="825"/>
      <c r="E77" s="389"/>
      <c r="F77" s="390"/>
      <c r="G77" s="400"/>
      <c r="H77" s="544">
        <f t="shared" si="26"/>
        <v>0</v>
      </c>
      <c r="I77" s="389"/>
      <c r="J77" s="390"/>
      <c r="K77" s="434"/>
      <c r="L77" s="395">
        <f t="shared" si="27"/>
        <v>0</v>
      </c>
      <c r="M77" s="432"/>
      <c r="N77" s="434"/>
      <c r="O77" s="434"/>
      <c r="P77" s="395"/>
      <c r="Q77" s="393">
        <f>база!$L$6</f>
        <v>261.04640000000001</v>
      </c>
      <c r="R77" s="390">
        <v>1.2</v>
      </c>
      <c r="S77" s="400">
        <f>SUMIFS(Таблица14[часы],Таблица14[коэф],"1,2",Таблица14[р/р],"5/16",Таблица14[Ф. И. О.],B77)</f>
        <v>0</v>
      </c>
      <c r="T77" s="392">
        <f t="shared" si="28"/>
        <v>0</v>
      </c>
      <c r="U77" s="410">
        <f>база!$M$6</f>
        <v>279.0496</v>
      </c>
      <c r="V77" s="390">
        <v>1.2</v>
      </c>
      <c r="W77" s="412">
        <f>SUMIFS(Таблица14[часы],Таблица14[коэф],"1,2",Таблица14[р/р],"5/24",Таблица14[Ф. И. О.],B77)</f>
        <v>0</v>
      </c>
      <c r="X77" s="545">
        <f t="shared" si="29"/>
        <v>0</v>
      </c>
      <c r="Y77" s="795"/>
      <c r="Z77" s="797"/>
      <c r="AA77" s="786"/>
      <c r="AC77" s="754" t="str">
        <f>IF(SUMIFS(Таблица14[часы],Таблица14[Ф. И. О.],B77)-Y72=0,"",SUMIFS(Таблица14[часы],Таблица14[Ф. И. О.],B77)-Y72)</f>
        <v/>
      </c>
    </row>
    <row r="78" spans="1:29">
      <c r="A78" s="786"/>
      <c r="B78" s="216"/>
      <c r="C78" s="825"/>
      <c r="D78" s="825"/>
      <c r="E78" s="389"/>
      <c r="F78" s="390"/>
      <c r="G78" s="400"/>
      <c r="H78" s="544">
        <f t="shared" si="26"/>
        <v>0</v>
      </c>
      <c r="I78" s="389"/>
      <c r="J78" s="390"/>
      <c r="K78" s="434"/>
      <c r="L78" s="395">
        <f t="shared" si="27"/>
        <v>0</v>
      </c>
      <c r="M78" s="432"/>
      <c r="N78" s="434"/>
      <c r="O78" s="434"/>
      <c r="P78" s="395"/>
      <c r="Q78" s="393">
        <f>IF(D72&lt;=3,база!$L$4,
IF(D72=4,база!$L$5,
IF(D72=5,база!$L$6)))</f>
        <v>210.57480000000001</v>
      </c>
      <c r="R78" s="390">
        <v>1.3</v>
      </c>
      <c r="S78" s="400">
        <f>SUMIFS(Таблица14[часы],Таблица14[коэф],"1,3",Таблица14[р/р],"3/16",Таблица14[Ф. И. О.],B77)</f>
        <v>0</v>
      </c>
      <c r="T78" s="392">
        <f t="shared" si="28"/>
        <v>0</v>
      </c>
      <c r="U78" s="410">
        <f>IF(D72&lt;=3,база!$M$4,
IF(D72=4,база!$M$5,
IF(D72=5,база!$M$6)))</f>
        <v>225.09719999999999</v>
      </c>
      <c r="V78" s="390">
        <v>1.3</v>
      </c>
      <c r="W78" s="412">
        <f>SUMIFS(Таблица14[часы],Таблица14[коэф],"1,3",Таблица14[р/р],"3/24",Таблица14[Ф. И. О.],B77)</f>
        <v>0</v>
      </c>
      <c r="X78" s="545">
        <f t="shared" si="29"/>
        <v>0</v>
      </c>
      <c r="Y78" s="795"/>
      <c r="Z78" s="797"/>
      <c r="AA78" s="786"/>
    </row>
    <row r="79" spans="1:29">
      <c r="A79" s="786"/>
      <c r="B79" s="216"/>
      <c r="C79" s="825"/>
      <c r="D79" s="825"/>
      <c r="E79" s="389"/>
      <c r="F79" s="390"/>
      <c r="G79" s="400"/>
      <c r="H79" s="544">
        <f t="shared" si="26"/>
        <v>0</v>
      </c>
      <c r="I79" s="389"/>
      <c r="J79" s="390"/>
      <c r="K79" s="434"/>
      <c r="L79" s="395">
        <f t="shared" si="27"/>
        <v>0</v>
      </c>
      <c r="M79" s="432"/>
      <c r="N79" s="434"/>
      <c r="O79" s="434"/>
      <c r="P79" s="395"/>
      <c r="Q79" s="393">
        <f>база!$L$5</f>
        <v>231.45480000000001</v>
      </c>
      <c r="R79" s="390">
        <v>1.3</v>
      </c>
      <c r="S79" s="400">
        <f>SUMIFS(Таблица14[часы],Таблица14[коэф],"1,3",Таблица14[р/р],"4/16",Таблица14[Ф. И. О.],B77)</f>
        <v>0</v>
      </c>
      <c r="T79" s="392">
        <f t="shared" si="28"/>
        <v>0</v>
      </c>
      <c r="U79" s="410">
        <f>база!$M$5</f>
        <v>247.41720000000001</v>
      </c>
      <c r="V79" s="390">
        <v>1.3</v>
      </c>
      <c r="W79" s="412">
        <f>SUMIFS(Таблица14[часы],Таблица14[коэф],"1,3",Таблица14[р/р],"4/24",Таблица14[Ф. И. О.],B77)</f>
        <v>0</v>
      </c>
      <c r="X79" s="545">
        <f t="shared" si="29"/>
        <v>0</v>
      </c>
      <c r="Y79" s="795"/>
      <c r="Z79" s="797"/>
      <c r="AA79" s="786"/>
    </row>
    <row r="80" spans="1:29">
      <c r="A80" s="786"/>
      <c r="B80" s="216"/>
      <c r="C80" s="825"/>
      <c r="D80" s="825"/>
      <c r="E80" s="389"/>
      <c r="F80" s="390"/>
      <c r="G80" s="400"/>
      <c r="H80" s="544">
        <f t="shared" si="26"/>
        <v>0</v>
      </c>
      <c r="I80" s="389"/>
      <c r="J80" s="390"/>
      <c r="K80" s="434"/>
      <c r="L80" s="395">
        <f t="shared" si="27"/>
        <v>0</v>
      </c>
      <c r="M80" s="432"/>
      <c r="N80" s="434"/>
      <c r="O80" s="434"/>
      <c r="P80" s="395"/>
      <c r="Q80" s="393">
        <f>IF(D72&lt;=3,база!$L$4,
IF(D72=4,база!$L$5,
IF(D72=5,база!$L$6)))</f>
        <v>210.57480000000001</v>
      </c>
      <c r="R80" s="390">
        <v>1.4</v>
      </c>
      <c r="S80" s="400">
        <f>SUMIFS(Таблица14[часы],Таблица14[коэф],"1,4",Таблица14[р/р],"3/16",Таблица14[Ф. И. О.],B77)</f>
        <v>0</v>
      </c>
      <c r="T80" s="392">
        <f t="shared" si="28"/>
        <v>0</v>
      </c>
      <c r="U80" s="410">
        <f>IF(D72&lt;=3,база!$M$4,
IF(D72=4,база!$M$5,
IF(D72=5,база!$M$6)))</f>
        <v>225.09719999999999</v>
      </c>
      <c r="V80" s="390">
        <v>1.4</v>
      </c>
      <c r="W80" s="412">
        <f>SUMIFS(Таблица14[часы],Таблица14[коэф],"1,4",Таблица14[р/р],"3/24",Таблица14[Ф. И. О.],B77)</f>
        <v>0</v>
      </c>
      <c r="X80" s="545">
        <f t="shared" si="29"/>
        <v>0</v>
      </c>
      <c r="Y80" s="795"/>
      <c r="Z80" s="797"/>
      <c r="AA80" s="786"/>
    </row>
    <row r="81" spans="1:29">
      <c r="A81" s="786"/>
      <c r="B81" s="216"/>
      <c r="C81" s="825"/>
      <c r="D81" s="825"/>
      <c r="E81" s="389"/>
      <c r="F81" s="390"/>
      <c r="G81" s="400"/>
      <c r="H81" s="544">
        <f t="shared" si="26"/>
        <v>0</v>
      </c>
      <c r="I81" s="389"/>
      <c r="J81" s="390"/>
      <c r="K81" s="434"/>
      <c r="L81" s="395">
        <f t="shared" si="27"/>
        <v>0</v>
      </c>
      <c r="M81" s="432"/>
      <c r="N81" s="434"/>
      <c r="O81" s="434"/>
      <c r="P81" s="395"/>
      <c r="Q81" s="393">
        <f>база!$L$5</f>
        <v>231.45480000000001</v>
      </c>
      <c r="R81" s="390">
        <v>1.4</v>
      </c>
      <c r="S81" s="400">
        <f>SUMIFS(Таблица14[часы],Таблица14[коэф],"1,4",Таблица14[р/р],"4/16",Таблица14[Ф. И. О.],B77)</f>
        <v>0</v>
      </c>
      <c r="T81" s="392">
        <f t="shared" si="28"/>
        <v>0</v>
      </c>
      <c r="U81" s="410">
        <f>база!$M$5</f>
        <v>247.41720000000001</v>
      </c>
      <c r="V81" s="390">
        <v>1.4</v>
      </c>
      <c r="W81" s="412">
        <f>SUMIFS(Таблица14[часы],Таблица14[коэф],"1,4",Таблица14[р/р],"4/24",Таблица14[Ф. И. О.],B77)</f>
        <v>0</v>
      </c>
      <c r="X81" s="545">
        <f t="shared" si="29"/>
        <v>0</v>
      </c>
      <c r="Y81" s="795"/>
      <c r="Z81" s="797"/>
      <c r="AA81" s="786"/>
    </row>
    <row r="82" spans="1:29" ht="21" thickBot="1">
      <c r="A82" s="787"/>
      <c r="B82" s="203"/>
      <c r="C82" s="826"/>
      <c r="D82" s="826"/>
      <c r="E82" s="473"/>
      <c r="F82" s="464"/>
      <c r="G82" s="465"/>
      <c r="H82" s="549">
        <f t="shared" si="26"/>
        <v>0</v>
      </c>
      <c r="I82" s="473"/>
      <c r="J82" s="464"/>
      <c r="K82" s="457"/>
      <c r="L82" s="458">
        <f t="shared" si="27"/>
        <v>0</v>
      </c>
      <c r="M82" s="466"/>
      <c r="N82" s="457"/>
      <c r="O82" s="457"/>
      <c r="P82" s="458"/>
      <c r="Q82" s="463">
        <f>база!$L$6</f>
        <v>261.04640000000001</v>
      </c>
      <c r="R82" s="464">
        <v>1.4</v>
      </c>
      <c r="S82" s="465">
        <f>SUMIFS(Таблица14[часы],Таблица14[коэф],"1,4",Таблица14[р/р],"5/16",Таблица14[Ф. И. О.],B77)</f>
        <v>0</v>
      </c>
      <c r="T82" s="468">
        <f t="shared" si="28"/>
        <v>0</v>
      </c>
      <c r="U82" s="469">
        <f>база!$M$6</f>
        <v>279.0496</v>
      </c>
      <c r="V82" s="464">
        <v>1.4</v>
      </c>
      <c r="W82" s="470">
        <f>SUMIFS(Таблица14[часы],Таблица14[коэф],"1,4",Таблица14[р/р],"5/24",Таблица14[Ф. И. О.],B77)</f>
        <v>0</v>
      </c>
      <c r="X82" s="547">
        <f t="shared" si="29"/>
        <v>0</v>
      </c>
      <c r="Y82" s="796"/>
      <c r="Z82" s="798"/>
      <c r="AA82" s="787"/>
    </row>
    <row r="83" spans="1:29">
      <c r="A83" s="785">
        <v>8</v>
      </c>
      <c r="B83" s="216"/>
      <c r="C83" s="824">
        <f>INDEX(база!$E$2:$E$81, MATCH(B88,база!$B$2:$B$50,0))</f>
        <v>16809</v>
      </c>
      <c r="D83" s="824">
        <f>INDEX(база!$D$2:$D$89, MATCH(B88,база!$B$2:$B$50,0))</f>
        <v>3</v>
      </c>
      <c r="E83" s="377">
        <f>IF(D83&lt;=3,база!$I$4,
IF(D83=4,база!$I$5,
IF(D83=5,база!$I$6)))</f>
        <v>188.7912</v>
      </c>
      <c r="F83" s="378">
        <v>1</v>
      </c>
      <c r="G83" s="387">
        <f>SUMIFS(Таблица14[часы],Таблица14[коэф],"1",Таблица14[р/р],"2/4",Таблица14[Ф. И. О.],B88)</f>
        <v>0</v>
      </c>
      <c r="H83" s="380">
        <f>ROUND(E83*F83*G83*2,2)</f>
        <v>0</v>
      </c>
      <c r="I83" s="451">
        <f>IF(D83&lt;=3,база!$J$4,
IF(D83=4,база!$J$5,
IF(D83=5,база!$J$6)))</f>
        <v>196.05240000000001</v>
      </c>
      <c r="J83" s="417">
        <v>1</v>
      </c>
      <c r="K83" s="453">
        <f>SUMIFS(Таблица14[часы],Таблица14[коэф],"1",Таблица14[р/р],"2/8",Таблица14[Ф. И. О.],B88)</f>
        <v>0</v>
      </c>
      <c r="L83" s="453">
        <f>ROUND(I83*J83*K83*2,2)</f>
        <v>0</v>
      </c>
      <c r="M83" s="453"/>
      <c r="N83" s="453">
        <v>1</v>
      </c>
      <c r="O83" s="453">
        <f>SUMIFS(Data_Tech!$AM$3:$AM$67,Data_Tech!$E$3:$E$67,"1",Data_Tech!$G$3:$G$67,"3/12",Data_Tech!$F$3:$F$67,B88)</f>
        <v>0</v>
      </c>
      <c r="P83" s="398">
        <f>ROUND(M83*N83*O83,2)</f>
        <v>0</v>
      </c>
      <c r="Q83" s="377">
        <f>IF(D83&lt;=3,база!$L$4,
IF(D83=4,база!$L$5,
IF(D83=5,база!$L$6)))</f>
        <v>210.57480000000001</v>
      </c>
      <c r="R83" s="378">
        <v>1</v>
      </c>
      <c r="S83" s="387">
        <f>SUMIFS(Таблица14[часы],Таблица14[коэф],"1",Таблица14[р/р],"3/16",Таблица14[Ф. И. О.],B88)</f>
        <v>0</v>
      </c>
      <c r="T83" s="380">
        <f>ROUND(Q83*R83*S83*2,2)</f>
        <v>0</v>
      </c>
      <c r="U83" s="454">
        <f>IF(D83&lt;=3,база!$M$4,
IF(D83=4,база!$M$5,
IF(D83=5,база!$M$6)))</f>
        <v>225.09719999999999</v>
      </c>
      <c r="V83" s="417">
        <v>1</v>
      </c>
      <c r="W83" s="455">
        <f>SUMIFS(Таблица14[часы],Таблица14[коэф],"1",Таблица14[р/р],"3/24",Таблица14[Ф. И. О.],B88)</f>
        <v>0</v>
      </c>
      <c r="X83" s="543">
        <f>ROUND(U83*V83*W83*2,2)</f>
        <v>0</v>
      </c>
      <c r="Y83" s="795">
        <f>SUM(G83:G93,K83:K93,O83:O93,S83:S93,W83:W93)</f>
        <v>0</v>
      </c>
      <c r="Z83" s="797">
        <f>IFERROR(SUM(H83:H93,L83:L93,T83:T93,X83:X93),"")</f>
        <v>0</v>
      </c>
      <c r="AA83" s="786"/>
    </row>
    <row r="84" spans="1:29">
      <c r="A84" s="786"/>
      <c r="B84" s="216"/>
      <c r="C84" s="825"/>
      <c r="D84" s="825"/>
      <c r="E84" s="389">
        <f>IF(D83&lt;=3,база!$I$4,
IF(D83=4,база!$I$5,
IF(D83=5,база!$I$6)))</f>
        <v>188.7912</v>
      </c>
      <c r="F84" s="390">
        <v>1</v>
      </c>
      <c r="G84" s="400">
        <f>SUMIFS(Таблица14[часы],Таблица14[коэф],"1",Таблица14[р/р],"3/4",Таблица14[Ф. И. О.],B88)</f>
        <v>0</v>
      </c>
      <c r="H84" s="392">
        <f t="shared" ref="H84:H93" si="30">ROUND(E84*F84*G84*2,2)</f>
        <v>0</v>
      </c>
      <c r="I84" s="393">
        <f>IF(D83&lt;=3,база!$J$4,
IF(D83=4,база!$J$5,
IF(D83=5,база!$J$6)))</f>
        <v>196.05240000000001</v>
      </c>
      <c r="J84" s="390">
        <v>1</v>
      </c>
      <c r="K84" s="434">
        <f>SUMIFS(Таблица14[часы],Таблица14[коэф],"1",Таблица14[р/р],"3/8",Таблица14[Ф. И. О.],B88)</f>
        <v>0</v>
      </c>
      <c r="L84" s="434">
        <f t="shared" ref="L84:L93" si="31">ROUND(I84*J84*K84*2,2)</f>
        <v>0</v>
      </c>
      <c r="M84" s="434"/>
      <c r="N84" s="434">
        <v>1</v>
      </c>
      <c r="O84" s="434">
        <f>SUMIFS(Data_Tech!$AM$3:$AM$67,Data_Tech!$E$3:$E$67,"1",Data_Tech!$G$3:$G$67,"4/12",Data_Tech!$F$3:$F$67,B88)</f>
        <v>0</v>
      </c>
      <c r="P84" s="406">
        <f>ROUND(M84*O84,2)</f>
        <v>0</v>
      </c>
      <c r="Q84" s="389">
        <f>база!$L$5</f>
        <v>231.45480000000001</v>
      </c>
      <c r="R84" s="390">
        <v>1</v>
      </c>
      <c r="S84" s="400">
        <f>SUMIFS(Таблица14[часы],Таблица14[коэф],"1",Таблица14[р/р],"4/16",Таблица14[Ф. И. О.],B88)</f>
        <v>0</v>
      </c>
      <c r="T84" s="392">
        <f t="shared" ref="T84:T93" si="32">ROUND(Q84*R84*S84*2,2)</f>
        <v>0</v>
      </c>
      <c r="U84" s="410">
        <f>база!$M$5</f>
        <v>247.41720000000001</v>
      </c>
      <c r="V84" s="390">
        <v>1</v>
      </c>
      <c r="W84" s="412">
        <f>SUMIFS(Таблица14[часы],Таблица14[коэф],"1",Таблица14[р/р],"4/24",Таблица14[Ф. И. О.],B88)</f>
        <v>0</v>
      </c>
      <c r="X84" s="545">
        <f t="shared" ref="X84:X93" si="33">ROUND(U84*V84*W84*2,2)</f>
        <v>0</v>
      </c>
      <c r="Y84" s="795"/>
      <c r="Z84" s="797"/>
      <c r="AA84" s="786"/>
    </row>
    <row r="85" spans="1:29">
      <c r="A85" s="786"/>
      <c r="B85" s="216"/>
      <c r="C85" s="825"/>
      <c r="D85" s="825"/>
      <c r="E85" s="389"/>
      <c r="F85" s="390"/>
      <c r="G85" s="400"/>
      <c r="H85" s="392">
        <f t="shared" si="30"/>
        <v>0</v>
      </c>
      <c r="I85" s="393"/>
      <c r="J85" s="390"/>
      <c r="K85" s="434"/>
      <c r="L85" s="434">
        <f t="shared" si="31"/>
        <v>0</v>
      </c>
      <c r="M85" s="434"/>
      <c r="N85" s="434"/>
      <c r="O85" s="434"/>
      <c r="P85" s="406"/>
      <c r="Q85" s="389">
        <f>база!$L$6</f>
        <v>261.04640000000001</v>
      </c>
      <c r="R85" s="390">
        <v>1</v>
      </c>
      <c r="S85" s="400">
        <f>SUMIFS(Таблица14[часы],Таблица14[коэф],"1",Таблица14[р/р],"5/16",Таблица14[Ф. И. О.],B88)</f>
        <v>0</v>
      </c>
      <c r="T85" s="392">
        <f t="shared" si="32"/>
        <v>0</v>
      </c>
      <c r="U85" s="410">
        <f>база!$M$6</f>
        <v>279.0496</v>
      </c>
      <c r="V85" s="390">
        <v>1</v>
      </c>
      <c r="W85" s="412">
        <f>SUMIFS(Таблица14[часы],Таблица14[коэф],"1",Таблица14[р/р],"5/24",Таблица14[Ф. И. О.],B88)</f>
        <v>0</v>
      </c>
      <c r="X85" s="545">
        <f t="shared" si="33"/>
        <v>0</v>
      </c>
      <c r="Y85" s="795"/>
      <c r="Z85" s="797"/>
      <c r="AA85" s="786"/>
    </row>
    <row r="86" spans="1:29">
      <c r="A86" s="786"/>
      <c r="B86" s="216"/>
      <c r="C86" s="825"/>
      <c r="D86" s="825"/>
      <c r="E86" s="389"/>
      <c r="F86" s="390"/>
      <c r="G86" s="400"/>
      <c r="H86" s="392">
        <f t="shared" si="30"/>
        <v>0</v>
      </c>
      <c r="I86" s="393">
        <f>база!$J$5</f>
        <v>215.4924</v>
      </c>
      <c r="J86" s="390">
        <v>1.5</v>
      </c>
      <c r="K86" s="434">
        <f>SUMIFS(Таблица14[часы],Таблица14[коэф],"1,5",Таблица14[р/р],"4/8",Таблица14[Ф. И. О.],B88)</f>
        <v>0</v>
      </c>
      <c r="L86" s="434">
        <f t="shared" si="31"/>
        <v>0</v>
      </c>
      <c r="M86" s="434"/>
      <c r="N86" s="434"/>
      <c r="O86" s="434"/>
      <c r="P86" s="406"/>
      <c r="Q86" s="389">
        <f>IF(D83&lt;=3,база!$L$4,
IF(D83=4,база!$L$5,
IF(D83=5,база!$L$6)))</f>
        <v>210.57480000000001</v>
      </c>
      <c r="R86" s="390">
        <v>1.2</v>
      </c>
      <c r="S86" s="400">
        <f>SUMIFS(Таблица14[часы],Таблица14[коэф],"1,2",Таблица14[р/р],"3/16",Таблица14[Ф. И. О.],B88)</f>
        <v>0</v>
      </c>
      <c r="T86" s="392">
        <f t="shared" si="32"/>
        <v>0</v>
      </c>
      <c r="U86" s="410">
        <f>IF(D83&lt;=3,база!$M$4,
IF(D83=4,база!$M$5,
IF(D83=5,база!$M$6)))</f>
        <v>225.09719999999999</v>
      </c>
      <c r="V86" s="390">
        <v>1.2</v>
      </c>
      <c r="W86" s="412">
        <f>SUMIFS(Таблица14[часы],Таблица14[коэф],"1,2",Таблица14[р/р],"3/24",Таблица14[Ф. И. О.],B88)</f>
        <v>0</v>
      </c>
      <c r="X86" s="545">
        <f t="shared" si="33"/>
        <v>0</v>
      </c>
      <c r="Y86" s="795"/>
      <c r="Z86" s="797"/>
      <c r="AA86" s="786"/>
    </row>
    <row r="87" spans="1:29">
      <c r="A87" s="786"/>
      <c r="B87" s="216"/>
      <c r="C87" s="825"/>
      <c r="D87" s="825"/>
      <c r="E87" s="389"/>
      <c r="F87" s="390"/>
      <c r="G87" s="400"/>
      <c r="H87" s="392">
        <f t="shared" si="30"/>
        <v>0</v>
      </c>
      <c r="I87" s="393">
        <f>база!$J$6</f>
        <v>243.04319999999998</v>
      </c>
      <c r="J87" s="390">
        <v>1.5</v>
      </c>
      <c r="K87" s="434">
        <f>SUMIFS(Таблица14[часы],Таблица14[коэф],"1,5",Таблица14[р/р],"5/8",Таблица14[Ф. И. О.],B88)</f>
        <v>0</v>
      </c>
      <c r="L87" s="434">
        <f t="shared" si="31"/>
        <v>0</v>
      </c>
      <c r="M87" s="434"/>
      <c r="N87" s="434"/>
      <c r="O87" s="434"/>
      <c r="P87" s="406"/>
      <c r="Q87" s="389">
        <f>база!$L$5</f>
        <v>231.45480000000001</v>
      </c>
      <c r="R87" s="390">
        <v>1.2</v>
      </c>
      <c r="S87" s="400">
        <f>SUMIFS(Таблица14[часы],Таблица14[коэф],"1,2",Таблица14[р/р],"4/16",Таблица14[Ф. И. О.],B88)</f>
        <v>0</v>
      </c>
      <c r="T87" s="392">
        <f t="shared" si="32"/>
        <v>0</v>
      </c>
      <c r="U87" s="410">
        <f>база!$M$5</f>
        <v>247.41720000000001</v>
      </c>
      <c r="V87" s="390">
        <v>1.2</v>
      </c>
      <c r="W87" s="412">
        <f>SUMIFS(Таблица14[часы],Таблица14[коэф],"1,2",Таблица14[р/р],"4/24",Таблица14[Ф. И. О.],B88)</f>
        <v>0</v>
      </c>
      <c r="X87" s="545">
        <f t="shared" si="33"/>
        <v>0</v>
      </c>
      <c r="Y87" s="795"/>
      <c r="Z87" s="797"/>
      <c r="AA87" s="786"/>
    </row>
    <row r="88" spans="1:29">
      <c r="A88" s="786"/>
      <c r="B88" s="216" t="str">
        <f>база!B9</f>
        <v>Бадьялова Елена Сергеевна</v>
      </c>
      <c r="C88" s="825"/>
      <c r="D88" s="825"/>
      <c r="E88" s="389"/>
      <c r="F88" s="390"/>
      <c r="G88" s="400"/>
      <c r="H88" s="392">
        <f t="shared" si="30"/>
        <v>0</v>
      </c>
      <c r="I88" s="393"/>
      <c r="J88" s="390"/>
      <c r="K88" s="434"/>
      <c r="L88" s="434">
        <f t="shared" si="31"/>
        <v>0</v>
      </c>
      <c r="M88" s="434"/>
      <c r="N88" s="434"/>
      <c r="O88" s="434"/>
      <c r="P88" s="406"/>
      <c r="Q88" s="389">
        <f>база!$L$6</f>
        <v>261.04640000000001</v>
      </c>
      <c r="R88" s="390">
        <v>1.2</v>
      </c>
      <c r="S88" s="400">
        <f>SUMIFS(Таблица14[часы],Таблица14[коэф],"1,2",Таблица14[р/р],"5/16",Таблица14[Ф. И. О.],B88)</f>
        <v>0</v>
      </c>
      <c r="T88" s="392">
        <f t="shared" si="32"/>
        <v>0</v>
      </c>
      <c r="U88" s="410">
        <f>база!$M$6</f>
        <v>279.0496</v>
      </c>
      <c r="V88" s="390">
        <v>1.2</v>
      </c>
      <c r="W88" s="412">
        <f>SUMIFS(Таблица14[часы],Таблица14[коэф],"1,2",Таблица14[р/р],"5/24",Таблица14[Ф. И. О.],B88)</f>
        <v>0</v>
      </c>
      <c r="X88" s="545">
        <f t="shared" si="33"/>
        <v>0</v>
      </c>
      <c r="Y88" s="795"/>
      <c r="Z88" s="797"/>
      <c r="AA88" s="786"/>
      <c r="AC88" s="754" t="str">
        <f>IF(SUMIFS(Таблица14[Столбец2],Таблица14[Ф. И. О.],B88)-Z83=0,"",SUMIFS(Таблица14[Столбец2],Таблица14[Ф. И. О.],B88)-Z83)</f>
        <v/>
      </c>
    </row>
    <row r="89" spans="1:29">
      <c r="A89" s="786"/>
      <c r="B89" s="216"/>
      <c r="C89" s="825"/>
      <c r="D89" s="825"/>
      <c r="E89" s="389"/>
      <c r="F89" s="390"/>
      <c r="G89" s="400"/>
      <c r="H89" s="392">
        <f t="shared" si="30"/>
        <v>0</v>
      </c>
      <c r="I89" s="393"/>
      <c r="J89" s="390"/>
      <c r="K89" s="434"/>
      <c r="L89" s="434">
        <f t="shared" si="31"/>
        <v>0</v>
      </c>
      <c r="M89" s="434"/>
      <c r="N89" s="434"/>
      <c r="O89" s="434"/>
      <c r="P89" s="406"/>
      <c r="Q89" s="389">
        <f>IF(D83&lt;=3,база!$L$4,
IF(D83=4,база!$L$5,
IF(D83=5,база!$L$6)))</f>
        <v>210.57480000000001</v>
      </c>
      <c r="R89" s="390">
        <v>1.3</v>
      </c>
      <c r="S89" s="400">
        <f>SUMIFS(Таблица14[часы],Таблица14[коэф],"1,3",Таблица14[р/р],"3/16",Таблица14[Ф. И. О.],B88)</f>
        <v>0</v>
      </c>
      <c r="T89" s="392">
        <f t="shared" si="32"/>
        <v>0</v>
      </c>
      <c r="U89" s="410">
        <f>IF(D83&lt;=3,база!$M$4,
IF(D83=4,база!$M$5,
IF(D83=5,база!$M$6)))</f>
        <v>225.09719999999999</v>
      </c>
      <c r="V89" s="390">
        <v>1.3</v>
      </c>
      <c r="W89" s="412">
        <f>SUMIFS(Таблица14[часы],Таблица14[коэф],"1,3",Таблица14[р/р],"3/24",Таблица14[Ф. И. О.],B88)</f>
        <v>0</v>
      </c>
      <c r="X89" s="545">
        <f t="shared" si="33"/>
        <v>0</v>
      </c>
      <c r="Y89" s="795"/>
      <c r="Z89" s="797"/>
      <c r="AA89" s="786"/>
      <c r="AC89" s="754" t="str">
        <f>IF(SUMIFS(Таблица14[часы],Таблица14[Ф. И. О.],B88)-Y83=0,"",SUMIFS(Таблица14[часы],Таблица14[Ф. И. О.],B88)-Y83)</f>
        <v/>
      </c>
    </row>
    <row r="90" spans="1:29">
      <c r="A90" s="786"/>
      <c r="B90" s="216"/>
      <c r="C90" s="825"/>
      <c r="D90" s="825"/>
      <c r="E90" s="389"/>
      <c r="F90" s="390"/>
      <c r="G90" s="400"/>
      <c r="H90" s="392">
        <f t="shared" si="30"/>
        <v>0</v>
      </c>
      <c r="I90" s="393"/>
      <c r="J90" s="390"/>
      <c r="K90" s="434"/>
      <c r="L90" s="434">
        <f t="shared" si="31"/>
        <v>0</v>
      </c>
      <c r="M90" s="434"/>
      <c r="N90" s="434"/>
      <c r="O90" s="434"/>
      <c r="P90" s="406"/>
      <c r="Q90" s="389">
        <f>база!$L$5</f>
        <v>231.45480000000001</v>
      </c>
      <c r="R90" s="390">
        <v>1.3</v>
      </c>
      <c r="S90" s="400">
        <f>SUMIFS(Таблица14[часы],Таблица14[коэф],"1,3",Таблица14[р/р],"4/16",Таблица14[Ф. И. О.],B88)</f>
        <v>0</v>
      </c>
      <c r="T90" s="392">
        <f t="shared" si="32"/>
        <v>0</v>
      </c>
      <c r="U90" s="410">
        <f>база!$M$5</f>
        <v>247.41720000000001</v>
      </c>
      <c r="V90" s="390">
        <v>1.3</v>
      </c>
      <c r="W90" s="412">
        <f>SUMIFS(Таблица14[часы],Таблица14[коэф],"1,3",Таблица14[р/р],"4/24",Таблица14[Ф. И. О.],B88)</f>
        <v>0</v>
      </c>
      <c r="X90" s="545">
        <f t="shared" si="33"/>
        <v>0</v>
      </c>
      <c r="Y90" s="795"/>
      <c r="Z90" s="797"/>
      <c r="AA90" s="786"/>
    </row>
    <row r="91" spans="1:29">
      <c r="A91" s="786"/>
      <c r="B91" s="216"/>
      <c r="C91" s="825"/>
      <c r="D91" s="825"/>
      <c r="E91" s="389"/>
      <c r="F91" s="390"/>
      <c r="G91" s="400"/>
      <c r="H91" s="392">
        <f t="shared" si="30"/>
        <v>0</v>
      </c>
      <c r="I91" s="393"/>
      <c r="J91" s="390"/>
      <c r="K91" s="434"/>
      <c r="L91" s="434">
        <f t="shared" si="31"/>
        <v>0</v>
      </c>
      <c r="M91" s="434"/>
      <c r="N91" s="434"/>
      <c r="O91" s="434"/>
      <c r="P91" s="406"/>
      <c r="Q91" s="389">
        <f>IF(D83&lt;=3,база!$L$4,
IF(D83=4,база!$L$5,
IF(D83=5,база!$L$6)))</f>
        <v>210.57480000000001</v>
      </c>
      <c r="R91" s="390">
        <v>1.4</v>
      </c>
      <c r="S91" s="400">
        <f>SUMIFS(Таблица14[часы],Таблица14[коэф],"1,4",Таблица14[р/р],"3/16",Таблица14[Ф. И. О.],B88)</f>
        <v>0</v>
      </c>
      <c r="T91" s="392">
        <f t="shared" si="32"/>
        <v>0</v>
      </c>
      <c r="U91" s="410">
        <f>IF(D83&lt;=3,база!$M$4,
IF(D83=4,база!$M$5,
IF(D83=5,база!$M$6)))</f>
        <v>225.09719999999999</v>
      </c>
      <c r="V91" s="390">
        <v>1.4</v>
      </c>
      <c r="W91" s="412">
        <f>SUMIFS(Таблица14[часы],Таблица14[коэф],"1,4",Таблица14[р/р],"3/24",Таблица14[Ф. И. О.],B88)</f>
        <v>0</v>
      </c>
      <c r="X91" s="545">
        <f t="shared" si="33"/>
        <v>0</v>
      </c>
      <c r="Y91" s="795"/>
      <c r="Z91" s="797"/>
      <c r="AA91" s="786"/>
    </row>
    <row r="92" spans="1:29">
      <c r="A92" s="786"/>
      <c r="B92" s="216"/>
      <c r="C92" s="825"/>
      <c r="D92" s="825"/>
      <c r="E92" s="389"/>
      <c r="F92" s="390"/>
      <c r="G92" s="400"/>
      <c r="H92" s="392">
        <f t="shared" si="30"/>
        <v>0</v>
      </c>
      <c r="I92" s="393"/>
      <c r="J92" s="390"/>
      <c r="K92" s="434"/>
      <c r="L92" s="434">
        <f t="shared" si="31"/>
        <v>0</v>
      </c>
      <c r="M92" s="434"/>
      <c r="N92" s="434"/>
      <c r="O92" s="434"/>
      <c r="P92" s="406"/>
      <c r="Q92" s="389">
        <f>база!$L$5</f>
        <v>231.45480000000001</v>
      </c>
      <c r="R92" s="390">
        <v>1.4</v>
      </c>
      <c r="S92" s="400">
        <f>SUMIFS(Таблица14[часы],Таблица14[коэф],"1,4",Таблица14[р/р],"4/16",Таблица14[Ф. И. О.],B88)</f>
        <v>0</v>
      </c>
      <c r="T92" s="392">
        <f t="shared" si="32"/>
        <v>0</v>
      </c>
      <c r="U92" s="410">
        <f>база!$M$5</f>
        <v>247.41720000000001</v>
      </c>
      <c r="V92" s="390">
        <v>1.4</v>
      </c>
      <c r="W92" s="412">
        <f>SUMIFS(Таблица14[часы],Таблица14[коэф],"1,4",Таблица14[р/р],"4/24",Таблица14[Ф. И. О.],B88)</f>
        <v>0</v>
      </c>
      <c r="X92" s="545">
        <f t="shared" si="33"/>
        <v>0</v>
      </c>
      <c r="Y92" s="795"/>
      <c r="Z92" s="797"/>
      <c r="AA92" s="786"/>
    </row>
    <row r="93" spans="1:29" ht="21" thickBot="1">
      <c r="A93" s="787"/>
      <c r="B93" s="203"/>
      <c r="C93" s="826"/>
      <c r="D93" s="826"/>
      <c r="E93" s="473"/>
      <c r="F93" s="464"/>
      <c r="G93" s="465"/>
      <c r="H93" s="468">
        <f t="shared" si="30"/>
        <v>0</v>
      </c>
      <c r="I93" s="463"/>
      <c r="J93" s="464"/>
      <c r="K93" s="457"/>
      <c r="L93" s="457">
        <f t="shared" si="31"/>
        <v>0</v>
      </c>
      <c r="M93" s="457"/>
      <c r="N93" s="457"/>
      <c r="O93" s="457"/>
      <c r="P93" s="476"/>
      <c r="Q93" s="473">
        <f>база!$L$6</f>
        <v>261.04640000000001</v>
      </c>
      <c r="R93" s="464">
        <v>1.4</v>
      </c>
      <c r="S93" s="465">
        <f>SUMIFS(Таблица14[часы],Таблица14[коэф],"1,4",Таблица14[р/р],"5/16",Таблица14[Ф. И. О.],B88)</f>
        <v>0</v>
      </c>
      <c r="T93" s="468">
        <f t="shared" si="32"/>
        <v>0</v>
      </c>
      <c r="U93" s="469">
        <f>база!$M$6</f>
        <v>279.0496</v>
      </c>
      <c r="V93" s="464">
        <v>1.4</v>
      </c>
      <c r="W93" s="470">
        <f>SUMIFS(Таблица14[часы],Таблица14[коэф],"1,4",Таблица14[р/р],"5/24",Таблица14[Ф. И. О.],B88)</f>
        <v>0</v>
      </c>
      <c r="X93" s="547">
        <f t="shared" si="33"/>
        <v>0</v>
      </c>
      <c r="Y93" s="796"/>
      <c r="Z93" s="798"/>
      <c r="AA93" s="787"/>
    </row>
    <row r="94" spans="1:29">
      <c r="A94" s="785">
        <v>9</v>
      </c>
      <c r="B94" s="216"/>
      <c r="C94" s="824">
        <f>INDEX(база!$E$2:$E$81, MATCH(B99,база!$B$2:$B$50,0))</f>
        <v>17169</v>
      </c>
      <c r="D94" s="824">
        <f>INDEX(база!$D$2:$D$89, MATCH(B99,база!$B$2:$B$50,0))</f>
        <v>3</v>
      </c>
      <c r="E94" s="377">
        <f>IF(D94&lt;=3,база!$I$4,
IF(D94=4,база!$I$5,
IF(D94=5,база!$I$6)))</f>
        <v>188.7912</v>
      </c>
      <c r="F94" s="378">
        <v>1</v>
      </c>
      <c r="G94" s="387">
        <f>SUMIFS(Таблица14[часы],Таблица14[коэф],"1",Таблица14[р/р],"2/4",Таблица14[Ф. И. О.],B99)</f>
        <v>0</v>
      </c>
      <c r="H94" s="380">
        <f>ROUND(E94*F94*G94*2,2)</f>
        <v>0</v>
      </c>
      <c r="I94" s="451">
        <f>IF(D94&lt;=3,база!$J$4,
IF(D94=4,база!$J$5,
IF(D94=5,база!$J$6)))</f>
        <v>196.05240000000001</v>
      </c>
      <c r="J94" s="417">
        <v>1</v>
      </c>
      <c r="K94" s="453">
        <f>SUMIFS(Таблица14[часы],Таблица14[коэф],"1",Таблица14[р/р],"2/8",Таблица14[Ф. И. О.],B99)</f>
        <v>0</v>
      </c>
      <c r="L94" s="453">
        <f>ROUND(I94*J94*K94*2,2)</f>
        <v>0</v>
      </c>
      <c r="M94" s="453"/>
      <c r="N94" s="453">
        <v>1</v>
      </c>
      <c r="O94" s="453">
        <f>SUMIFS(Data_Tech!$AM$3:$AM$67,Data_Tech!$E$3:$E$67,"1",Data_Tech!$G$3:$G$67,"3/12",Data_Tech!$F$3:$F$67,B99)</f>
        <v>0</v>
      </c>
      <c r="P94" s="398">
        <f>ROUND(M94*N94*O94,2)</f>
        <v>0</v>
      </c>
      <c r="Q94" s="377">
        <f>IF(D94&lt;=3,база!$L$4,
IF(D94=4,база!$L$5,
IF(D94=5,база!$L$6)))</f>
        <v>210.57480000000001</v>
      </c>
      <c r="R94" s="378">
        <v>1</v>
      </c>
      <c r="S94" s="387">
        <f>SUMIFS(Таблица14[часы],Таблица14[коэф],"1",Таблица14[р/р],"3/16",Таблица14[Ф. И. О.],B99)</f>
        <v>0</v>
      </c>
      <c r="T94" s="548">
        <f>ROUND(Q94*R94*S94*2,2)</f>
        <v>0</v>
      </c>
      <c r="U94" s="471">
        <f>IF(D94&lt;=3,база!$M$4,
IF(D94=4,база!$M$5,
IF(D94=5,база!$M$6)))</f>
        <v>225.09719999999999</v>
      </c>
      <c r="V94" s="378">
        <v>1</v>
      </c>
      <c r="W94" s="477">
        <f>SUMIFS(Таблица14[часы],Таблица14[коэф],"1",Таблица14[р/р],"3/24",Таблица14[Ф. И. О.],B99)</f>
        <v>0</v>
      </c>
      <c r="X94" s="543">
        <f>ROUND(U94*V94*W94*2,2)</f>
        <v>0</v>
      </c>
      <c r="Y94" s="795">
        <f t="shared" ref="Y94" si="34">SUM(G94:G104,K94:K104,O94:O104,S94:S104,W94:W104)</f>
        <v>0</v>
      </c>
      <c r="Z94" s="797">
        <f t="shared" ref="Z94" si="35">IFERROR(SUM(H94:H104,L94:L104,T94:T104,X94:X104),"")</f>
        <v>0</v>
      </c>
      <c r="AA94" s="786"/>
    </row>
    <row r="95" spans="1:29">
      <c r="A95" s="786"/>
      <c r="B95" s="216"/>
      <c r="C95" s="825"/>
      <c r="D95" s="825"/>
      <c r="E95" s="389">
        <f>IF(D94&lt;=3,база!$I$4,
IF(D94=4,база!$I$5,
IF(D94=5,база!$I$6)))</f>
        <v>188.7912</v>
      </c>
      <c r="F95" s="390">
        <v>1</v>
      </c>
      <c r="G95" s="400">
        <f>SUMIFS(Таблица14[часы],Таблица14[коэф],"1",Таблица14[р/р],"3/4",Таблица14[Ф. И. О.],B99)</f>
        <v>0</v>
      </c>
      <c r="H95" s="392">
        <f t="shared" ref="H95:H104" si="36">ROUND(E95*F95*G95*2,2)</f>
        <v>0</v>
      </c>
      <c r="I95" s="393">
        <f>IF(D94&lt;=3,база!$J$4,
IF(D94=4,база!$J$5,
IF(D94=5,база!$J$6)))</f>
        <v>196.05240000000001</v>
      </c>
      <c r="J95" s="390">
        <v>1</v>
      </c>
      <c r="K95" s="434">
        <f>SUMIFS(Таблица14[часы],Таблица14[коэф],"1",Таблица14[р/р],"3/8",Таблица14[Ф. И. О.],B99)</f>
        <v>0</v>
      </c>
      <c r="L95" s="434">
        <f t="shared" ref="L95:L104" si="37">ROUND(I95*J95*K95*2,2)</f>
        <v>0</v>
      </c>
      <c r="M95" s="434"/>
      <c r="N95" s="434">
        <v>1</v>
      </c>
      <c r="O95" s="434">
        <f>SUMIFS(Data_Tech!$AM$3:$AM$67,Data_Tech!$E$3:$E$67,"1",Data_Tech!$G$3:$G$67,"4/12",Data_Tech!$F$3:$F$67,B99)</f>
        <v>0</v>
      </c>
      <c r="P95" s="406">
        <f>ROUND(M95*O95,2)</f>
        <v>0</v>
      </c>
      <c r="Q95" s="389">
        <f>база!$L$5</f>
        <v>231.45480000000001</v>
      </c>
      <c r="R95" s="390">
        <v>1</v>
      </c>
      <c r="S95" s="400">
        <f>SUMIFS(Таблица14[часы],Таблица14[коэф],"1",Таблица14[р/р],"4/16",Таблица14[Ф. И. О.],B99)</f>
        <v>0</v>
      </c>
      <c r="T95" s="544">
        <f t="shared" ref="T95:T104" si="38">ROUND(Q95*R95*S95*2,2)</f>
        <v>0</v>
      </c>
      <c r="U95" s="472">
        <f>база!$M$5</f>
        <v>247.41720000000001</v>
      </c>
      <c r="V95" s="390">
        <v>1</v>
      </c>
      <c r="W95" s="478">
        <f>SUMIFS(Таблица14[часы],Таблица14[коэф],"1",Таблица14[р/р],"4/24",Таблица14[Ф. И. О.],B99)</f>
        <v>0</v>
      </c>
      <c r="X95" s="545">
        <f t="shared" ref="X95:X104" si="39">ROUND(U95*V95*W95*2,2)</f>
        <v>0</v>
      </c>
      <c r="Y95" s="795"/>
      <c r="Z95" s="797"/>
      <c r="AA95" s="786"/>
    </row>
    <row r="96" spans="1:29">
      <c r="A96" s="786"/>
      <c r="B96" s="216"/>
      <c r="C96" s="825"/>
      <c r="D96" s="825"/>
      <c r="E96" s="389"/>
      <c r="F96" s="390"/>
      <c r="G96" s="400"/>
      <c r="H96" s="392">
        <f t="shared" si="36"/>
        <v>0</v>
      </c>
      <c r="I96" s="393"/>
      <c r="J96" s="390"/>
      <c r="K96" s="434"/>
      <c r="L96" s="434">
        <f t="shared" si="37"/>
        <v>0</v>
      </c>
      <c r="M96" s="434"/>
      <c r="N96" s="434"/>
      <c r="O96" s="434"/>
      <c r="P96" s="406"/>
      <c r="Q96" s="389">
        <f>база!$L$6</f>
        <v>261.04640000000001</v>
      </c>
      <c r="R96" s="390">
        <v>1</v>
      </c>
      <c r="S96" s="400">
        <f>SUMIFS(Таблица14[часы],Таблица14[коэф],"1",Таблица14[р/р],"5/16",Таблица14[Ф. И. О.],B99)</f>
        <v>0</v>
      </c>
      <c r="T96" s="544">
        <f t="shared" si="38"/>
        <v>0</v>
      </c>
      <c r="U96" s="472">
        <f>база!$M$6</f>
        <v>279.0496</v>
      </c>
      <c r="V96" s="390">
        <v>1</v>
      </c>
      <c r="W96" s="478">
        <f>SUMIFS(Таблица14[часы],Таблица14[коэф],"1",Таблица14[р/р],"5/24",Таблица14[Ф. И. О.],B99)</f>
        <v>0</v>
      </c>
      <c r="X96" s="545">
        <f t="shared" si="39"/>
        <v>0</v>
      </c>
      <c r="Y96" s="795"/>
      <c r="Z96" s="797"/>
      <c r="AA96" s="786"/>
    </row>
    <row r="97" spans="1:29">
      <c r="A97" s="786"/>
      <c r="B97" s="216"/>
      <c r="C97" s="825"/>
      <c r="D97" s="825"/>
      <c r="E97" s="389"/>
      <c r="F97" s="390"/>
      <c r="G97" s="400"/>
      <c r="H97" s="392">
        <f t="shared" si="36"/>
        <v>0</v>
      </c>
      <c r="I97" s="393">
        <f>база!$J$5</f>
        <v>215.4924</v>
      </c>
      <c r="J97" s="390">
        <v>1.5</v>
      </c>
      <c r="K97" s="434">
        <f>SUMIFS(Таблица14[часы],Таблица14[коэф],"1,5",Таблица14[р/р],"4/8",Таблица14[Ф. И. О.],B99)</f>
        <v>0</v>
      </c>
      <c r="L97" s="434">
        <f t="shared" si="37"/>
        <v>0</v>
      </c>
      <c r="M97" s="434"/>
      <c r="N97" s="434"/>
      <c r="O97" s="434"/>
      <c r="P97" s="406"/>
      <c r="Q97" s="389">
        <f>IF(D94&lt;=3,база!$L$4,
IF(D94=4,база!$L$5,
IF(D94=5,база!$L$6)))</f>
        <v>210.57480000000001</v>
      </c>
      <c r="R97" s="390">
        <v>1.2</v>
      </c>
      <c r="S97" s="400">
        <f>SUMIFS(Таблица14[часы],Таблица14[коэф],"1,2",Таблица14[р/р],"3/16",Таблица14[Ф. И. О.],B99)</f>
        <v>0</v>
      </c>
      <c r="T97" s="544">
        <f t="shared" si="38"/>
        <v>0</v>
      </c>
      <c r="U97" s="472">
        <f>IF(D94&lt;=3,база!$M$4,
IF(D94=4,база!$M$5,
IF(D94=5,база!$M$6)))</f>
        <v>225.09719999999999</v>
      </c>
      <c r="V97" s="390">
        <v>1.2</v>
      </c>
      <c r="W97" s="478">
        <f>SUMIFS(Таблица14[часы],Таблица14[коэф],"1,2",Таблица14[р/р],"3/24",Таблица14[Ф. И. О.],B99)</f>
        <v>0</v>
      </c>
      <c r="X97" s="545">
        <f t="shared" si="39"/>
        <v>0</v>
      </c>
      <c r="Y97" s="795"/>
      <c r="Z97" s="797"/>
      <c r="AA97" s="786"/>
    </row>
    <row r="98" spans="1:29">
      <c r="A98" s="786"/>
      <c r="B98" s="216"/>
      <c r="C98" s="825"/>
      <c r="D98" s="825"/>
      <c r="E98" s="389"/>
      <c r="F98" s="390"/>
      <c r="G98" s="400"/>
      <c r="H98" s="392">
        <f t="shared" si="36"/>
        <v>0</v>
      </c>
      <c r="I98" s="393">
        <f>база!$J$6</f>
        <v>243.04319999999998</v>
      </c>
      <c r="J98" s="390">
        <v>1.5</v>
      </c>
      <c r="K98" s="434">
        <f>SUMIFS(Таблица14[часы],Таблица14[коэф],"1,5",Таблица14[р/р],"5/8",Таблица14[Ф. И. О.],B99)</f>
        <v>0</v>
      </c>
      <c r="L98" s="434">
        <f t="shared" si="37"/>
        <v>0</v>
      </c>
      <c r="M98" s="434"/>
      <c r="N98" s="434"/>
      <c r="O98" s="434"/>
      <c r="P98" s="406"/>
      <c r="Q98" s="389">
        <f>база!$L$5</f>
        <v>231.45480000000001</v>
      </c>
      <c r="R98" s="390">
        <v>1.2</v>
      </c>
      <c r="S98" s="400">
        <f>SUMIFS(Таблица14[часы],Таблица14[коэф],"1,2",Таблица14[р/р],"4/16",Таблица14[Ф. И. О.],B99)</f>
        <v>0</v>
      </c>
      <c r="T98" s="544">
        <f t="shared" si="38"/>
        <v>0</v>
      </c>
      <c r="U98" s="472">
        <f>база!$M$5</f>
        <v>247.41720000000001</v>
      </c>
      <c r="V98" s="390">
        <v>1.2</v>
      </c>
      <c r="W98" s="478">
        <f>SUMIFS(Таблица14[часы],Таблица14[коэф],"1,2",Таблица14[р/р],"4/24",Таблица14[Ф. И. О.],B99)</f>
        <v>0</v>
      </c>
      <c r="X98" s="545">
        <f t="shared" si="39"/>
        <v>0</v>
      </c>
      <c r="Y98" s="795"/>
      <c r="Z98" s="797"/>
      <c r="AA98" s="786"/>
      <c r="AC98" s="754" t="str">
        <f>IF(SUMIFS(Таблица14[Столбец2],Таблица14[Ф. И. О.],B99)-Z94=0,"",SUMIFS(Таблица14[Столбец2],Таблица14[Ф. И. О.],B99)-Z94)</f>
        <v/>
      </c>
    </row>
    <row r="99" spans="1:29" ht="20.25" customHeight="1">
      <c r="A99" s="786"/>
      <c r="B99" s="216" t="str">
        <f>база!B10</f>
        <v>Бекетова Надежда Ильинична</v>
      </c>
      <c r="C99" s="825"/>
      <c r="D99" s="825"/>
      <c r="E99" s="389"/>
      <c r="F99" s="390"/>
      <c r="G99" s="400"/>
      <c r="H99" s="392">
        <f t="shared" si="36"/>
        <v>0</v>
      </c>
      <c r="I99" s="393"/>
      <c r="J99" s="390"/>
      <c r="K99" s="434"/>
      <c r="L99" s="434">
        <f t="shared" si="37"/>
        <v>0</v>
      </c>
      <c r="M99" s="434"/>
      <c r="N99" s="434"/>
      <c r="O99" s="434"/>
      <c r="P99" s="406"/>
      <c r="Q99" s="389">
        <f>база!$L$6</f>
        <v>261.04640000000001</v>
      </c>
      <c r="R99" s="390">
        <v>1.2</v>
      </c>
      <c r="S99" s="400">
        <f>SUMIFS(Таблица14[часы],Таблица14[коэф],"1,2",Таблица14[р/р],"5/16",Таблица14[Ф. И. О.],B99)</f>
        <v>0</v>
      </c>
      <c r="T99" s="544">
        <f t="shared" si="38"/>
        <v>0</v>
      </c>
      <c r="U99" s="472">
        <f>база!$M$6</f>
        <v>279.0496</v>
      </c>
      <c r="V99" s="390">
        <v>1.2</v>
      </c>
      <c r="W99" s="478">
        <f>SUMIFS(Таблица14[часы],Таблица14[коэф],"1,2",Таблица14[р/р],"5/24",Таблица14[Ф. И. О.],B99)</f>
        <v>0</v>
      </c>
      <c r="X99" s="545">
        <f t="shared" si="39"/>
        <v>0</v>
      </c>
      <c r="Y99" s="795"/>
      <c r="Z99" s="797"/>
      <c r="AA99" s="786"/>
      <c r="AC99" s="754" t="str">
        <f>IF(SUMIFS(Таблица14[часы],Таблица14[Ф. И. О.],B99)-Y94=0,"",SUMIFS(Таблица14[часы],Таблица14[Ф. И. О.],B99)-Y94)</f>
        <v/>
      </c>
    </row>
    <row r="100" spans="1:29">
      <c r="A100" s="786"/>
      <c r="B100" s="216"/>
      <c r="C100" s="825"/>
      <c r="D100" s="825"/>
      <c r="E100" s="389"/>
      <c r="F100" s="390"/>
      <c r="G100" s="400"/>
      <c r="H100" s="392">
        <f t="shared" si="36"/>
        <v>0</v>
      </c>
      <c r="I100" s="393"/>
      <c r="J100" s="390"/>
      <c r="K100" s="434"/>
      <c r="L100" s="434">
        <f t="shared" si="37"/>
        <v>0</v>
      </c>
      <c r="M100" s="434"/>
      <c r="N100" s="434"/>
      <c r="O100" s="434"/>
      <c r="P100" s="406"/>
      <c r="Q100" s="389">
        <f>IF(D94&lt;=3,база!$L$4,
IF(D94=4,база!$L$5,
IF(D94=5,база!$L$6)))</f>
        <v>210.57480000000001</v>
      </c>
      <c r="R100" s="390">
        <v>1.3</v>
      </c>
      <c r="S100" s="400">
        <f>SUMIFS(Таблица14[часы],Таблица14[коэф],"1,3",Таблица14[р/р],"3/16",Таблица14[Ф. И. О.],B99)</f>
        <v>0</v>
      </c>
      <c r="T100" s="544">
        <f t="shared" si="38"/>
        <v>0</v>
      </c>
      <c r="U100" s="472">
        <f>IF(D94&lt;=3,база!$M$4,
IF(D94=4,база!$M$5,
IF(D94=5,база!$M$6)))</f>
        <v>225.09719999999999</v>
      </c>
      <c r="V100" s="390">
        <v>1.3</v>
      </c>
      <c r="W100" s="478">
        <f>SUMIFS(Таблица14[часы],Таблица14[коэф],"1,3",Таблица14[р/р],"3/24",Таблица14[Ф. И. О.],B99)</f>
        <v>0</v>
      </c>
      <c r="X100" s="545">
        <f t="shared" si="39"/>
        <v>0</v>
      </c>
      <c r="Y100" s="795"/>
      <c r="Z100" s="797"/>
      <c r="AA100" s="786"/>
    </row>
    <row r="101" spans="1:29">
      <c r="A101" s="786"/>
      <c r="B101" s="216"/>
      <c r="C101" s="825"/>
      <c r="D101" s="825"/>
      <c r="E101" s="389"/>
      <c r="F101" s="390"/>
      <c r="G101" s="400"/>
      <c r="H101" s="392">
        <f t="shared" si="36"/>
        <v>0</v>
      </c>
      <c r="I101" s="393"/>
      <c r="J101" s="390"/>
      <c r="K101" s="434"/>
      <c r="L101" s="434">
        <f t="shared" si="37"/>
        <v>0</v>
      </c>
      <c r="M101" s="434"/>
      <c r="N101" s="434"/>
      <c r="O101" s="434"/>
      <c r="P101" s="406"/>
      <c r="Q101" s="389">
        <f>база!$L$5</f>
        <v>231.45480000000001</v>
      </c>
      <c r="R101" s="390">
        <v>1.3</v>
      </c>
      <c r="S101" s="400">
        <f>SUMIFS(Таблица14[часы],Таблица14[коэф],"1,3",Таблица14[р/р],"4/16",Таблица14[Ф. И. О.],B99)</f>
        <v>0</v>
      </c>
      <c r="T101" s="544">
        <f t="shared" si="38"/>
        <v>0</v>
      </c>
      <c r="U101" s="472">
        <f>база!$M$5</f>
        <v>247.41720000000001</v>
      </c>
      <c r="V101" s="390">
        <v>1.3</v>
      </c>
      <c r="W101" s="478">
        <f>SUMIFS(Таблица14[часы],Таблица14[коэф],"1,3",Таблица14[р/р],"4/24",Таблица14[Ф. И. О.],B99)</f>
        <v>0</v>
      </c>
      <c r="X101" s="545">
        <f t="shared" si="39"/>
        <v>0</v>
      </c>
      <c r="Y101" s="795"/>
      <c r="Z101" s="797"/>
      <c r="AA101" s="786"/>
    </row>
    <row r="102" spans="1:29">
      <c r="A102" s="786"/>
      <c r="B102" s="216"/>
      <c r="C102" s="825"/>
      <c r="D102" s="825"/>
      <c r="E102" s="389"/>
      <c r="F102" s="390"/>
      <c r="G102" s="400"/>
      <c r="H102" s="392">
        <f t="shared" si="36"/>
        <v>0</v>
      </c>
      <c r="I102" s="393"/>
      <c r="J102" s="390"/>
      <c r="K102" s="434"/>
      <c r="L102" s="434">
        <f t="shared" si="37"/>
        <v>0</v>
      </c>
      <c r="M102" s="434"/>
      <c r="N102" s="434"/>
      <c r="O102" s="434"/>
      <c r="P102" s="406"/>
      <c r="Q102" s="389">
        <f>IF(D94&lt;=3,база!$L$4,
IF(D94=4,база!$L$5,
IF(D94=5,база!$L$6)))</f>
        <v>210.57480000000001</v>
      </c>
      <c r="R102" s="390">
        <v>1.4</v>
      </c>
      <c r="S102" s="400">
        <f>SUMIFS(Таблица14[часы],Таблица14[коэф],"1,4",Таблица14[р/р],"3/16",Таблица14[Ф. И. О.],B99)</f>
        <v>0</v>
      </c>
      <c r="T102" s="544">
        <f t="shared" si="38"/>
        <v>0</v>
      </c>
      <c r="U102" s="472">
        <f>IF(D94&lt;=3,база!$M$4,
IF(D94=4,база!$M$5,
IF(D94=5,база!$M$6)))</f>
        <v>225.09719999999999</v>
      </c>
      <c r="V102" s="390">
        <v>1.4</v>
      </c>
      <c r="W102" s="478">
        <f>SUMIFS(Таблица14[часы],Таблица14[коэф],"1,4",Таблица14[р/р],"3/24",Таблица14[Ф. И. О.],B99)</f>
        <v>0</v>
      </c>
      <c r="X102" s="545">
        <f t="shared" si="39"/>
        <v>0</v>
      </c>
      <c r="Y102" s="795"/>
      <c r="Z102" s="797"/>
      <c r="AA102" s="786"/>
    </row>
    <row r="103" spans="1:29">
      <c r="A103" s="786"/>
      <c r="B103" s="216"/>
      <c r="C103" s="825"/>
      <c r="D103" s="825"/>
      <c r="E103" s="389"/>
      <c r="F103" s="390"/>
      <c r="G103" s="400"/>
      <c r="H103" s="392">
        <f t="shared" si="36"/>
        <v>0</v>
      </c>
      <c r="I103" s="393"/>
      <c r="J103" s="390"/>
      <c r="K103" s="434"/>
      <c r="L103" s="434">
        <f t="shared" si="37"/>
        <v>0</v>
      </c>
      <c r="M103" s="434"/>
      <c r="N103" s="434"/>
      <c r="O103" s="434"/>
      <c r="P103" s="406"/>
      <c r="Q103" s="389">
        <f>база!$L$5</f>
        <v>231.45480000000001</v>
      </c>
      <c r="R103" s="390">
        <v>1.4</v>
      </c>
      <c r="S103" s="400">
        <f>SUMIFS(Таблица14[часы],Таблица14[коэф],"1,4",Таблица14[р/р],"4/16",Таблица14[Ф. И. О.],B99)</f>
        <v>0</v>
      </c>
      <c r="T103" s="544">
        <f t="shared" si="38"/>
        <v>0</v>
      </c>
      <c r="U103" s="472">
        <f>база!$M$5</f>
        <v>247.41720000000001</v>
      </c>
      <c r="V103" s="390">
        <v>1.4</v>
      </c>
      <c r="W103" s="478">
        <f>SUMIFS(Таблица14[часы],Таблица14[коэф],"1,4",Таблица14[р/р],"4/24",Таблица14[Ф. И. О.],B99)</f>
        <v>0</v>
      </c>
      <c r="X103" s="545">
        <f t="shared" si="39"/>
        <v>0</v>
      </c>
      <c r="Y103" s="795"/>
      <c r="Z103" s="797"/>
      <c r="AA103" s="786"/>
    </row>
    <row r="104" spans="1:29" ht="21" thickBot="1">
      <c r="A104" s="787"/>
      <c r="B104" s="216"/>
      <c r="C104" s="826"/>
      <c r="D104" s="826"/>
      <c r="E104" s="420"/>
      <c r="F104" s="403"/>
      <c r="G104" s="408"/>
      <c r="H104" s="409">
        <f t="shared" si="36"/>
        <v>0</v>
      </c>
      <c r="I104" s="422"/>
      <c r="J104" s="403"/>
      <c r="K104" s="460"/>
      <c r="L104" s="460">
        <f t="shared" si="37"/>
        <v>0</v>
      </c>
      <c r="M104" s="460"/>
      <c r="N104" s="460"/>
      <c r="O104" s="460"/>
      <c r="P104" s="479"/>
      <c r="Q104" s="420">
        <f>база!$L$6</f>
        <v>261.04640000000001</v>
      </c>
      <c r="R104" s="403">
        <v>1.4</v>
      </c>
      <c r="S104" s="408">
        <f>SUMIFS(Таблица14[часы],Таблица14[коэф],"1,4",Таблица14[р/р],"5/16",Таблица14[Ф. И. О.],B99)</f>
        <v>0</v>
      </c>
      <c r="T104" s="546">
        <f t="shared" si="38"/>
        <v>0</v>
      </c>
      <c r="U104" s="474">
        <f>база!$M$6</f>
        <v>279.0496</v>
      </c>
      <c r="V104" s="464">
        <v>1.4</v>
      </c>
      <c r="W104" s="480">
        <f>SUMIFS(Таблица14[часы],Таблица14[коэф],"1,4",Таблица14[р/р],"5/24",Таблица14[Ф. И. О.],B99)</f>
        <v>0</v>
      </c>
      <c r="X104" s="547">
        <f t="shared" si="39"/>
        <v>0</v>
      </c>
      <c r="Y104" s="796"/>
      <c r="Z104" s="798"/>
      <c r="AA104" s="787"/>
    </row>
    <row r="105" spans="1:29">
      <c r="A105" s="785">
        <v>10</v>
      </c>
      <c r="B105" s="236"/>
      <c r="C105" s="824">
        <f>INDEX(база!$E$2:$E$81, MATCH(B110,база!$B$2:$B$50,0))</f>
        <v>16250</v>
      </c>
      <c r="D105" s="824">
        <f>INDEX(база!$D$2:$D$89, MATCH(B110,база!$B$2:$B$50,0))</f>
        <v>3</v>
      </c>
      <c r="E105" s="377">
        <f>IF(D105&lt;=3,база!$I$4,
IF(D105=4,база!$I$5,
IF(D105=5,база!$I$6)))</f>
        <v>188.7912</v>
      </c>
      <c r="F105" s="378">
        <v>1</v>
      </c>
      <c r="G105" s="387">
        <f>SUMIFS(Таблица14[часы],Таблица14[коэф],"1",Таблица14[р/р],"2/4",Таблица14[Ф. И. О.],B110)</f>
        <v>0</v>
      </c>
      <c r="H105" s="380">
        <f>ROUND(E105*F105*G105*2,2)</f>
        <v>0</v>
      </c>
      <c r="I105" s="381">
        <f>IF(D105&lt;=3,база!$J$4,
IF(D105=4,база!$J$5,
IF(D105=5,база!$J$6)))</f>
        <v>196.05240000000001</v>
      </c>
      <c r="J105" s="378">
        <v>1</v>
      </c>
      <c r="K105" s="428">
        <f>SUMIFS(Таблица14[часы],Таблица14[коэф],"1",Таблица14[р/р],"2/8",Таблица14[Ф. И. О.],B110)</f>
        <v>0</v>
      </c>
      <c r="L105" s="428">
        <f>ROUND(I105*J105*K105*2,2)</f>
        <v>0</v>
      </c>
      <c r="M105" s="428"/>
      <c r="N105" s="428">
        <v>1</v>
      </c>
      <c r="O105" s="428">
        <f>SUMIFS(Data_Tech!$AM$3:$AM$67,Data_Tech!$E$3:$E$67,"1",Data_Tech!$G$3:$G$67,"3/12",Data_Tech!$F$3:$F$67,B110)</f>
        <v>0</v>
      </c>
      <c r="P105" s="385">
        <f>ROUND(M105*N105*O105,2)</f>
        <v>0</v>
      </c>
      <c r="Q105" s="377">
        <f>IF(D105&lt;=3,база!$L$4,
IF(D105=4,база!$L$5,
IF(D105=5,база!$L$6)))</f>
        <v>210.57480000000001</v>
      </c>
      <c r="R105" s="378">
        <v>1</v>
      </c>
      <c r="S105" s="387">
        <f>SUMIFS(Таблица14[часы],Таблица14[коэф],"1",Таблица14[р/р],"3/16",Таблица14[Ф. И. О.],B110)</f>
        <v>0</v>
      </c>
      <c r="T105" s="380">
        <f>ROUND(Q105*R105*S105*2,2)</f>
        <v>0</v>
      </c>
      <c r="U105" s="462">
        <f>IF(D105&lt;=3,база!$M$4,
IF(D105=4,база!$M$5,
IF(D105=5,база!$M$6)))</f>
        <v>225.09719999999999</v>
      </c>
      <c r="V105" s="378">
        <v>1</v>
      </c>
      <c r="W105" s="477">
        <f>SUMIFS(Таблица14[часы],Таблица14[коэф],"1",Таблица14[р/р],"3/24",Таблица14[Ф. И. О.],B110)</f>
        <v>0</v>
      </c>
      <c r="X105" s="543">
        <f>ROUND(U105*V105*W105*2,2)</f>
        <v>0</v>
      </c>
      <c r="Y105" s="795">
        <f t="shared" ref="Y105" si="40">SUM(G105:G115,K105:K115,O105:O115,S105:S115,W105:W115)</f>
        <v>0</v>
      </c>
      <c r="Z105" s="797">
        <f t="shared" ref="Z105" si="41">IFERROR(SUM(H105:H115,L105:L115,T105:T115,X105:X115),"")</f>
        <v>0</v>
      </c>
      <c r="AA105" s="786"/>
    </row>
    <row r="106" spans="1:29">
      <c r="A106" s="786"/>
      <c r="B106" s="216"/>
      <c r="C106" s="825"/>
      <c r="D106" s="825"/>
      <c r="E106" s="389">
        <f>IF(D105&lt;=3,база!$I$4,
IF(D105=4,база!$I$5,
IF(D105=5,база!$I$6)))</f>
        <v>188.7912</v>
      </c>
      <c r="F106" s="390">
        <v>1</v>
      </c>
      <c r="G106" s="400">
        <f>SUMIFS(Таблица14[часы],Таблица14[коэф],"1",Таблица14[р/р],"3/4",Таблица14[Ф. И. О.],B110)</f>
        <v>0</v>
      </c>
      <c r="H106" s="392">
        <f t="shared" ref="H106:H115" si="42">ROUND(E106*F106*G106*2,2)</f>
        <v>0</v>
      </c>
      <c r="I106" s="393">
        <f>IF(D105&lt;=3,база!$J$4,
IF(D105=4,база!$J$5,
IF(D105=5,база!$J$6)))</f>
        <v>196.05240000000001</v>
      </c>
      <c r="J106" s="390">
        <v>1</v>
      </c>
      <c r="K106" s="434">
        <f>SUMIFS(Таблица14[часы],Таблица14[коэф],"1",Таблица14[р/р],"3/8",Таблица14[Ф. И. О.],B110)</f>
        <v>0</v>
      </c>
      <c r="L106" s="434">
        <f t="shared" ref="L106:L115" si="43">ROUND(I106*J106*K106*2,2)</f>
        <v>0</v>
      </c>
      <c r="M106" s="434"/>
      <c r="N106" s="434">
        <v>1</v>
      </c>
      <c r="O106" s="434">
        <f>SUMIFS(Data_Tech!$AM$3:$AM$67,Data_Tech!$E$3:$E$67,"1",Data_Tech!$G$3:$G$67,"4/12",Data_Tech!$F$3:$F$67,B110)</f>
        <v>0</v>
      </c>
      <c r="P106" s="406">
        <f>ROUND(M106*O106,2)</f>
        <v>0</v>
      </c>
      <c r="Q106" s="389">
        <f>база!$L$5</f>
        <v>231.45480000000001</v>
      </c>
      <c r="R106" s="390">
        <v>1</v>
      </c>
      <c r="S106" s="400">
        <f>SUMIFS(Таблица14[часы],Таблица14[коэф],"1",Таблица14[р/р],"4/16",Таблица14[Ф. И. О.],B110)</f>
        <v>0</v>
      </c>
      <c r="T106" s="392">
        <f t="shared" ref="T106:T115" si="44">ROUND(Q106*R106*S106*2,2)</f>
        <v>0</v>
      </c>
      <c r="U106" s="410">
        <f>база!$M$5</f>
        <v>247.41720000000001</v>
      </c>
      <c r="V106" s="390">
        <v>1</v>
      </c>
      <c r="W106" s="478">
        <f>SUMIFS(Таблица14[часы],Таблица14[коэф],"1",Таблица14[р/р],"4/24",Таблица14[Ф. И. О.],B110)</f>
        <v>0</v>
      </c>
      <c r="X106" s="545">
        <f t="shared" ref="X106:X115" si="45">ROUND(U106*V106*W106*2,2)</f>
        <v>0</v>
      </c>
      <c r="Y106" s="795"/>
      <c r="Z106" s="797"/>
      <c r="AA106" s="786"/>
    </row>
    <row r="107" spans="1:29">
      <c r="A107" s="786"/>
      <c r="B107" s="216"/>
      <c r="C107" s="825"/>
      <c r="D107" s="825"/>
      <c r="E107" s="389"/>
      <c r="F107" s="390"/>
      <c r="G107" s="400"/>
      <c r="H107" s="392">
        <f t="shared" si="42"/>
        <v>0</v>
      </c>
      <c r="I107" s="393"/>
      <c r="J107" s="390"/>
      <c r="K107" s="434"/>
      <c r="L107" s="434">
        <f t="shared" si="43"/>
        <v>0</v>
      </c>
      <c r="M107" s="434"/>
      <c r="N107" s="434"/>
      <c r="O107" s="434"/>
      <c r="P107" s="406"/>
      <c r="Q107" s="389">
        <f>база!$L$6</f>
        <v>261.04640000000001</v>
      </c>
      <c r="R107" s="390">
        <v>1</v>
      </c>
      <c r="S107" s="400">
        <f>SUMIFS(Таблица14[часы],Таблица14[коэф],"1",Таблица14[р/р],"5/16",Таблица14[Ф. И. О.],B110)</f>
        <v>0</v>
      </c>
      <c r="T107" s="392">
        <f t="shared" si="44"/>
        <v>0</v>
      </c>
      <c r="U107" s="410">
        <f>база!$M$6</f>
        <v>279.0496</v>
      </c>
      <c r="V107" s="390">
        <v>1</v>
      </c>
      <c r="W107" s="478">
        <f>SUMIFS(Таблица14[часы],Таблица14[коэф],"1",Таблица14[р/р],"5/24",Таблица14[Ф. И. О.],B110)</f>
        <v>0</v>
      </c>
      <c r="X107" s="545">
        <f t="shared" si="45"/>
        <v>0</v>
      </c>
      <c r="Y107" s="795"/>
      <c r="Z107" s="797"/>
      <c r="AA107" s="786"/>
    </row>
    <row r="108" spans="1:29">
      <c r="A108" s="786"/>
      <c r="B108" s="216"/>
      <c r="C108" s="825"/>
      <c r="D108" s="825"/>
      <c r="E108" s="389"/>
      <c r="F108" s="390"/>
      <c r="G108" s="400"/>
      <c r="H108" s="392">
        <f t="shared" si="42"/>
        <v>0</v>
      </c>
      <c r="I108" s="393">
        <f>база!$J$5</f>
        <v>215.4924</v>
      </c>
      <c r="J108" s="390">
        <v>1.5</v>
      </c>
      <c r="K108" s="434">
        <f>SUMIFS(Таблица14[часы],Таблица14[коэф],"1,5",Таблица14[р/р],"4/8",Таблица14[Ф. И. О.],B110)</f>
        <v>0</v>
      </c>
      <c r="L108" s="434">
        <f t="shared" si="43"/>
        <v>0</v>
      </c>
      <c r="M108" s="434"/>
      <c r="N108" s="434"/>
      <c r="O108" s="434"/>
      <c r="P108" s="406"/>
      <c r="Q108" s="389">
        <f>IF(D105&lt;=3,база!$L$4,
IF(D105=4,база!$L$5,
IF(D105=5,база!$L$6)))</f>
        <v>210.57480000000001</v>
      </c>
      <c r="R108" s="390">
        <v>1.2</v>
      </c>
      <c r="S108" s="400">
        <f>SUMIFS(Таблица14[часы],Таблица14[коэф],"1,2",Таблица14[р/р],"3/16",Таблица14[Ф. И. О.],B110)</f>
        <v>0</v>
      </c>
      <c r="T108" s="392">
        <f t="shared" si="44"/>
        <v>0</v>
      </c>
      <c r="U108" s="410">
        <f>IF(D105&lt;=3,база!$M$4,
IF(D105=4,база!$M$5,
IF(D105=5,база!$M$6)))</f>
        <v>225.09719999999999</v>
      </c>
      <c r="V108" s="390">
        <v>1.2</v>
      </c>
      <c r="W108" s="478">
        <f>SUMIFS(Таблица14[часы],Таблица14[коэф],"1,2",Таблица14[р/р],"3/24",Таблица14[Ф. И. О.],B110)</f>
        <v>0</v>
      </c>
      <c r="X108" s="545">
        <f t="shared" si="45"/>
        <v>0</v>
      </c>
      <c r="Y108" s="795"/>
      <c r="Z108" s="797"/>
      <c r="AA108" s="786"/>
    </row>
    <row r="109" spans="1:29">
      <c r="A109" s="786"/>
      <c r="B109" s="216"/>
      <c r="C109" s="825"/>
      <c r="D109" s="825"/>
      <c r="E109" s="389"/>
      <c r="F109" s="390"/>
      <c r="G109" s="400"/>
      <c r="H109" s="392">
        <f t="shared" si="42"/>
        <v>0</v>
      </c>
      <c r="I109" s="393">
        <f>база!$J$6</f>
        <v>243.04319999999998</v>
      </c>
      <c r="J109" s="390">
        <v>1.5</v>
      </c>
      <c r="K109" s="434">
        <f>SUMIFS(Таблица14[часы],Таблица14[коэф],"1,5",Таблица14[р/р],"5/8",Таблица14[Ф. И. О.],B110)</f>
        <v>0</v>
      </c>
      <c r="L109" s="434">
        <f t="shared" si="43"/>
        <v>0</v>
      </c>
      <c r="M109" s="434"/>
      <c r="N109" s="434"/>
      <c r="O109" s="434"/>
      <c r="P109" s="406"/>
      <c r="Q109" s="389">
        <f>база!$L$5</f>
        <v>231.45480000000001</v>
      </c>
      <c r="R109" s="390">
        <v>1.2</v>
      </c>
      <c r="S109" s="400">
        <f>SUMIFS(Таблица14[часы],Таблица14[коэф],"1,2",Таблица14[р/р],"4/16",Таблица14[Ф. И. О.],B110)</f>
        <v>0</v>
      </c>
      <c r="T109" s="392">
        <f t="shared" si="44"/>
        <v>0</v>
      </c>
      <c r="U109" s="410">
        <f>база!$M$5</f>
        <v>247.41720000000001</v>
      </c>
      <c r="V109" s="390">
        <v>1.2</v>
      </c>
      <c r="W109" s="478">
        <f>SUMIFS(Таблица14[часы],Таблица14[коэф],"1,2",Таблица14[р/р],"4/24",Таблица14[Ф. И. О.],B110)</f>
        <v>0</v>
      </c>
      <c r="X109" s="545">
        <f t="shared" si="45"/>
        <v>0</v>
      </c>
      <c r="Y109" s="795"/>
      <c r="Z109" s="797"/>
      <c r="AA109" s="786"/>
    </row>
    <row r="110" spans="1:29">
      <c r="A110" s="786"/>
      <c r="B110" s="216" t="str">
        <f>база!B11</f>
        <v>Бородицкая Ирина Борисовна</v>
      </c>
      <c r="C110" s="825"/>
      <c r="D110" s="825"/>
      <c r="E110" s="389"/>
      <c r="F110" s="390"/>
      <c r="G110" s="400"/>
      <c r="H110" s="392">
        <f t="shared" si="42"/>
        <v>0</v>
      </c>
      <c r="I110" s="393"/>
      <c r="J110" s="390"/>
      <c r="K110" s="434"/>
      <c r="L110" s="434">
        <f t="shared" si="43"/>
        <v>0</v>
      </c>
      <c r="M110" s="434"/>
      <c r="N110" s="434"/>
      <c r="O110" s="434"/>
      <c r="P110" s="406"/>
      <c r="Q110" s="389">
        <f>база!$L$6</f>
        <v>261.04640000000001</v>
      </c>
      <c r="R110" s="390">
        <v>1.2</v>
      </c>
      <c r="S110" s="400">
        <f>SUMIFS(Таблица14[часы],Таблица14[коэф],"1,2",Таблица14[р/р],"5/16",Таблица14[Ф. И. О.],B110)</f>
        <v>0</v>
      </c>
      <c r="T110" s="392">
        <f t="shared" si="44"/>
        <v>0</v>
      </c>
      <c r="U110" s="410">
        <f>база!$M$6</f>
        <v>279.0496</v>
      </c>
      <c r="V110" s="390">
        <v>1.2</v>
      </c>
      <c r="W110" s="478">
        <f>SUMIFS(Таблица14[часы],Таблица14[коэф],"1,2",Таблица14[р/р],"5/24",Таблица14[Ф. И. О.],B110)</f>
        <v>0</v>
      </c>
      <c r="X110" s="545">
        <f t="shared" si="45"/>
        <v>0</v>
      </c>
      <c r="Y110" s="795"/>
      <c r="Z110" s="797"/>
      <c r="AA110" s="786"/>
      <c r="AC110" s="754" t="str">
        <f>IF(SUMIFS(Таблица14[Столбец2],Таблица14[Ф. И. О.],B110)-Z105=0,"",SUMIFS(Таблица14[Столбец2],Таблица14[Ф. И. О.],B110)-Z105)</f>
        <v/>
      </c>
    </row>
    <row r="111" spans="1:29">
      <c r="A111" s="786"/>
      <c r="B111" s="216"/>
      <c r="C111" s="825"/>
      <c r="D111" s="825"/>
      <c r="E111" s="389"/>
      <c r="F111" s="390"/>
      <c r="G111" s="400"/>
      <c r="H111" s="392">
        <f t="shared" si="42"/>
        <v>0</v>
      </c>
      <c r="I111" s="393"/>
      <c r="J111" s="390"/>
      <c r="K111" s="434"/>
      <c r="L111" s="434">
        <f t="shared" si="43"/>
        <v>0</v>
      </c>
      <c r="M111" s="434"/>
      <c r="N111" s="434"/>
      <c r="O111" s="434"/>
      <c r="P111" s="406"/>
      <c r="Q111" s="389">
        <f>IF(D105&lt;=3,база!$L$4,
IF(D105=4,база!$L$5,
IF(D105=5,база!$L$6)))</f>
        <v>210.57480000000001</v>
      </c>
      <c r="R111" s="390">
        <v>1.3</v>
      </c>
      <c r="S111" s="400">
        <f>SUMIFS(Таблица14[часы],Таблица14[коэф],"1,3",Таблица14[р/р],"3/16",Таблица14[Ф. И. О.],B110)</f>
        <v>0</v>
      </c>
      <c r="T111" s="392">
        <f t="shared" si="44"/>
        <v>0</v>
      </c>
      <c r="U111" s="410">
        <f>IF(D105&lt;=3,база!$M$4,
IF(D105=4,база!$M$5,
IF(D105=5,база!$M$6)))</f>
        <v>225.09719999999999</v>
      </c>
      <c r="V111" s="390">
        <v>1.3</v>
      </c>
      <c r="W111" s="478">
        <f>SUMIFS(Таблица14[часы],Таблица14[коэф],"1,3",Таблица14[р/р],"3/24",Таблица14[Ф. И. О.],B110)</f>
        <v>0</v>
      </c>
      <c r="X111" s="545">
        <f t="shared" si="45"/>
        <v>0</v>
      </c>
      <c r="Y111" s="795"/>
      <c r="Z111" s="797"/>
      <c r="AA111" s="786"/>
      <c r="AC111" s="754" t="str">
        <f>IF(SUMIFS(Таблица14[часы],Таблица14[Ф. И. О.],B110)-Y105=0,"",SUMIFS(Таблица14[часы],Таблица14[Ф. И. О.],B110)-Y105)</f>
        <v/>
      </c>
    </row>
    <row r="112" spans="1:29">
      <c r="A112" s="786"/>
      <c r="B112" s="216"/>
      <c r="C112" s="825"/>
      <c r="D112" s="825"/>
      <c r="E112" s="389"/>
      <c r="F112" s="390"/>
      <c r="G112" s="400"/>
      <c r="H112" s="392">
        <f t="shared" si="42"/>
        <v>0</v>
      </c>
      <c r="I112" s="393"/>
      <c r="J112" s="390"/>
      <c r="K112" s="434"/>
      <c r="L112" s="434">
        <f t="shared" si="43"/>
        <v>0</v>
      </c>
      <c r="M112" s="434"/>
      <c r="N112" s="434"/>
      <c r="O112" s="434"/>
      <c r="P112" s="406"/>
      <c r="Q112" s="389">
        <f>база!$L$5</f>
        <v>231.45480000000001</v>
      </c>
      <c r="R112" s="390">
        <v>1.3</v>
      </c>
      <c r="S112" s="400">
        <f>SUMIFS(Таблица14[часы],Таблица14[коэф],"1,3",Таблица14[р/р],"4/16",Таблица14[Ф. И. О.],B110)</f>
        <v>0</v>
      </c>
      <c r="T112" s="392">
        <f t="shared" si="44"/>
        <v>0</v>
      </c>
      <c r="U112" s="410">
        <f>база!$M$5</f>
        <v>247.41720000000001</v>
      </c>
      <c r="V112" s="390">
        <v>1.3</v>
      </c>
      <c r="W112" s="478">
        <f>SUMIFS(Таблица14[часы],Таблица14[коэф],"1,3",Таблица14[р/р],"4/24",Таблица14[Ф. И. О.],B110)</f>
        <v>0</v>
      </c>
      <c r="X112" s="545">
        <f t="shared" si="45"/>
        <v>0</v>
      </c>
      <c r="Y112" s="795"/>
      <c r="Z112" s="797"/>
      <c r="AA112" s="786"/>
    </row>
    <row r="113" spans="1:29">
      <c r="A113" s="786"/>
      <c r="B113" s="216"/>
      <c r="C113" s="825"/>
      <c r="D113" s="825"/>
      <c r="E113" s="389"/>
      <c r="F113" s="390"/>
      <c r="G113" s="400"/>
      <c r="H113" s="392">
        <f t="shared" si="42"/>
        <v>0</v>
      </c>
      <c r="I113" s="393"/>
      <c r="J113" s="390"/>
      <c r="K113" s="434"/>
      <c r="L113" s="434">
        <f t="shared" si="43"/>
        <v>0</v>
      </c>
      <c r="M113" s="434"/>
      <c r="N113" s="434"/>
      <c r="O113" s="434"/>
      <c r="P113" s="406"/>
      <c r="Q113" s="389">
        <f>IF(D105&lt;=3,база!$L$4,
IF(D105=4,база!$L$5,
IF(D105=5,база!$L$6)))</f>
        <v>210.57480000000001</v>
      </c>
      <c r="R113" s="390">
        <v>1.4</v>
      </c>
      <c r="S113" s="400">
        <f>SUMIFS(Таблица14[часы],Таблица14[коэф],"1,4",Таблица14[р/р],"3/16",Таблица14[Ф. И. О.],B110)</f>
        <v>0</v>
      </c>
      <c r="T113" s="392">
        <f t="shared" si="44"/>
        <v>0</v>
      </c>
      <c r="U113" s="410">
        <f>IF(D105&lt;=3,база!$M$4,
IF(D105=4,база!$M$5,
IF(D105=5,база!$M$6)))</f>
        <v>225.09719999999999</v>
      </c>
      <c r="V113" s="390">
        <v>1.4</v>
      </c>
      <c r="W113" s="478">
        <f>SUMIFS(Таблица14[часы],Таблица14[коэф],"1,4",Таблица14[р/р],"3/24",Таблица14[Ф. И. О.],B110)</f>
        <v>0</v>
      </c>
      <c r="X113" s="545">
        <f t="shared" si="45"/>
        <v>0</v>
      </c>
      <c r="Y113" s="795"/>
      <c r="Z113" s="797"/>
      <c r="AA113" s="786"/>
    </row>
    <row r="114" spans="1:29">
      <c r="A114" s="786"/>
      <c r="B114" s="216"/>
      <c r="C114" s="825"/>
      <c r="D114" s="825"/>
      <c r="E114" s="389"/>
      <c r="F114" s="390"/>
      <c r="G114" s="400"/>
      <c r="H114" s="392">
        <f t="shared" si="42"/>
        <v>0</v>
      </c>
      <c r="I114" s="393"/>
      <c r="J114" s="390"/>
      <c r="K114" s="434"/>
      <c r="L114" s="434">
        <f t="shared" si="43"/>
        <v>0</v>
      </c>
      <c r="M114" s="434"/>
      <c r="N114" s="434"/>
      <c r="O114" s="434"/>
      <c r="P114" s="406"/>
      <c r="Q114" s="389">
        <f>база!$L$5</f>
        <v>231.45480000000001</v>
      </c>
      <c r="R114" s="390">
        <v>1.4</v>
      </c>
      <c r="S114" s="400">
        <f>SUMIFS(Таблица14[часы],Таблица14[коэф],"1,4",Таблица14[р/р],"4/16",Таблица14[Ф. И. О.],B110)</f>
        <v>0</v>
      </c>
      <c r="T114" s="392">
        <f t="shared" si="44"/>
        <v>0</v>
      </c>
      <c r="U114" s="410">
        <f>база!$M$5</f>
        <v>247.41720000000001</v>
      </c>
      <c r="V114" s="390">
        <v>1.4</v>
      </c>
      <c r="W114" s="478">
        <f>SUMIFS(Таблица14[часы],Таблица14[коэф],"1,4",Таблица14[р/р],"4/24",Таблица14[Ф. И. О.],B110)</f>
        <v>0</v>
      </c>
      <c r="X114" s="545">
        <f t="shared" si="45"/>
        <v>0</v>
      </c>
      <c r="Y114" s="795"/>
      <c r="Z114" s="797"/>
      <c r="AA114" s="786"/>
    </row>
    <row r="115" spans="1:29" ht="21" thickBot="1">
      <c r="A115" s="787"/>
      <c r="B115" s="203"/>
      <c r="C115" s="826"/>
      <c r="D115" s="826"/>
      <c r="E115" s="473"/>
      <c r="F115" s="464"/>
      <c r="G115" s="465"/>
      <c r="H115" s="468">
        <f t="shared" si="42"/>
        <v>0</v>
      </c>
      <c r="I115" s="463"/>
      <c r="J115" s="464"/>
      <c r="K115" s="457"/>
      <c r="L115" s="457">
        <f t="shared" si="43"/>
        <v>0</v>
      </c>
      <c r="M115" s="457"/>
      <c r="N115" s="457"/>
      <c r="O115" s="457"/>
      <c r="P115" s="476"/>
      <c r="Q115" s="473">
        <f>база!$L$6</f>
        <v>261.04640000000001</v>
      </c>
      <c r="R115" s="464">
        <v>1.4</v>
      </c>
      <c r="S115" s="465">
        <f>SUMIFS(Таблица14[часы],Таблица14[коэф],"1,4",Таблица14[р/р],"5/16",Таблица14[Ф. И. О.],B110)</f>
        <v>0</v>
      </c>
      <c r="T115" s="468">
        <f t="shared" si="44"/>
        <v>0</v>
      </c>
      <c r="U115" s="469">
        <f>база!$M$6</f>
        <v>279.0496</v>
      </c>
      <c r="V115" s="464">
        <v>1.4</v>
      </c>
      <c r="W115" s="480">
        <f>SUMIFS(Таблица14[часы],Таблица14[коэф],"1,4",Таблица14[р/р],"5/24",Таблица14[Ф. И. О.],B110)</f>
        <v>0</v>
      </c>
      <c r="X115" s="547">
        <f t="shared" si="45"/>
        <v>0</v>
      </c>
      <c r="Y115" s="796"/>
      <c r="Z115" s="798"/>
      <c r="AA115" s="787"/>
    </row>
    <row r="116" spans="1:29">
      <c r="A116" s="785">
        <v>11</v>
      </c>
      <c r="B116" s="216"/>
      <c r="C116" s="788">
        <f>INDEX(база!$E$2:$E$81, MATCH(B121,база!$B$2:$B$50,0))</f>
        <v>16960</v>
      </c>
      <c r="D116" s="791">
        <f>INDEX(база!$D$2:$D$89, MATCH(B121,база!$B$2:$B$50,0))</f>
        <v>3</v>
      </c>
      <c r="E116" s="451">
        <f>IF(D116&lt;=3,база!$I$4,
IF(D116=4,база!$I$5,
IF(D116=5,база!$I$6)))</f>
        <v>188.7912</v>
      </c>
      <c r="F116" s="417">
        <v>1</v>
      </c>
      <c r="G116" s="418">
        <f>SUMIFS(Таблица14[часы],Таблица14[коэф],"1",Таблица14[р/р],"2/4",Таблица14[Ф. И. О.],B121)</f>
        <v>0</v>
      </c>
      <c r="H116" s="542">
        <f>ROUND(E116*F116*G116*2,2)</f>
        <v>0</v>
      </c>
      <c r="I116" s="377">
        <f>IF(D116&lt;=3,база!$J$4,
IF(D116=4,база!$J$5,
IF(D116=5,база!$J$6)))</f>
        <v>196.05240000000001</v>
      </c>
      <c r="J116" s="378">
        <v>1</v>
      </c>
      <c r="K116" s="428">
        <f>SUMIFS(Таблица14[часы],Таблица14[коэф],"1",Таблица14[р/р],"2/8",Таблица14[Ф. И. О.],B121)</f>
        <v>0</v>
      </c>
      <c r="L116" s="428">
        <f>ROUND(I116*J116*K116*2,2)</f>
        <v>0</v>
      </c>
      <c r="M116" s="428"/>
      <c r="N116" s="428">
        <v>1</v>
      </c>
      <c r="O116" s="428">
        <f>SUMIFS(Data_Tech!$AM$3:$AM$67,Data_Tech!$E$3:$E$67,"1",Data_Tech!$G$3:$G$67,"3/12",Data_Tech!$F$3:$F$67,B121)</f>
        <v>0</v>
      </c>
      <c r="P116" s="383">
        <f>ROUND(M116*N116*O116,2)</f>
        <v>0</v>
      </c>
      <c r="Q116" s="481">
        <f>IF(D116&lt;=3,база!$L$4,
IF(D116=4,база!$L$5,
IF(D116=5,база!$L$6)))</f>
        <v>210.57480000000001</v>
      </c>
      <c r="R116" s="417">
        <v>1</v>
      </c>
      <c r="S116" s="418">
        <f>SUMIFS(Таблица14[часы],Таблица14[коэф],"1",Таблица14[р/р],"3/16",Таблица14[Ф. И. О.],B121)</f>
        <v>0</v>
      </c>
      <c r="T116" s="542">
        <f>ROUND(Q116*R116*S116*2,2)</f>
        <v>0</v>
      </c>
      <c r="U116" s="471">
        <f>IF(D116&lt;=3,база!$M$4,
IF(D116=4,база!$M$5,
IF(D116=5,база!$M$6)))</f>
        <v>225.09719999999999</v>
      </c>
      <c r="V116" s="378">
        <v>1</v>
      </c>
      <c r="W116" s="430">
        <f>SUMIFS(Таблица14[часы],Таблица14[коэф],"1",Таблица14[р/р],"3/24",Таблица14[Ф. И. О.],B121)</f>
        <v>0</v>
      </c>
      <c r="X116" s="543">
        <f>ROUND(U116*V116*W116*2,2)</f>
        <v>0</v>
      </c>
      <c r="Y116" s="795">
        <f t="shared" ref="Y116" si="46">SUM(G116:G126,K116:K126,O116:O126,S116:S126,W116:W126)</f>
        <v>0</v>
      </c>
      <c r="Z116" s="797">
        <f t="shared" ref="Z116" si="47">IFERROR(SUM(H116:H126,L116:L126,T116:T126,X116:X126),"")</f>
        <v>0</v>
      </c>
      <c r="AA116" s="786"/>
    </row>
    <row r="117" spans="1:29">
      <c r="A117" s="786"/>
      <c r="B117" s="216"/>
      <c r="C117" s="789"/>
      <c r="D117" s="792"/>
      <c r="E117" s="393">
        <f>IF(D116&lt;=3,база!$I$4,
IF(D116=4,база!$I$5,
IF(D116=5,база!$I$6)))</f>
        <v>188.7912</v>
      </c>
      <c r="F117" s="390">
        <v>1</v>
      </c>
      <c r="G117" s="400">
        <f>SUMIFS(Таблица14[часы],Таблица14[коэф],"1",Таблица14[р/р],"3/4",Таблица14[Ф. И. О.],B121)</f>
        <v>0</v>
      </c>
      <c r="H117" s="544">
        <f t="shared" ref="H117:H126" si="48">ROUND(E117*F117*G117*2,2)</f>
        <v>0</v>
      </c>
      <c r="I117" s="389">
        <f>IF(D116&lt;=3,база!$J$4,
IF(D116=4,база!$J$5,
IF(D116=5,база!$J$6)))</f>
        <v>196.05240000000001</v>
      </c>
      <c r="J117" s="390">
        <v>1</v>
      </c>
      <c r="K117" s="434">
        <f>SUMIFS(Таблица14[часы],Таблица14[коэф],"1",Таблица14[р/р],"3/8",Таблица14[Ф. И. О.],B121)</f>
        <v>0</v>
      </c>
      <c r="L117" s="434">
        <f t="shared" ref="L117:L126" si="49">ROUND(I117*J117*K117*2,2)</f>
        <v>0</v>
      </c>
      <c r="M117" s="434"/>
      <c r="N117" s="434">
        <v>1</v>
      </c>
      <c r="O117" s="434">
        <f>SUMIFS(Data_Tech!$AM$3:$AM$67,Data_Tech!$E$3:$E$67,"1",Data_Tech!$G$3:$G$67,"4/12",Data_Tech!$F$3:$F$67,B121)</f>
        <v>0</v>
      </c>
      <c r="P117" s="395">
        <f>ROUND(M117*O117,2)</f>
        <v>0</v>
      </c>
      <c r="Q117" s="389">
        <f>база!$L$5</f>
        <v>231.45480000000001</v>
      </c>
      <c r="R117" s="390">
        <v>1</v>
      </c>
      <c r="S117" s="400">
        <f>SUMIFS(Таблица14[часы],Таблица14[коэф],"1",Таблица14[р/р],"4/16",Таблица14[Ф. И. О.],B121)</f>
        <v>0</v>
      </c>
      <c r="T117" s="544">
        <f t="shared" ref="T117:T126" si="50">ROUND(Q117*R117*S117*2,2)</f>
        <v>0</v>
      </c>
      <c r="U117" s="472">
        <f>база!$M$5</f>
        <v>247.41720000000001</v>
      </c>
      <c r="V117" s="390">
        <v>1</v>
      </c>
      <c r="W117" s="412">
        <f>SUMIFS(Таблица14[часы],Таблица14[коэф],"1",Таблица14[р/р],"4/24",Таблица14[Ф. И. О.],B121)</f>
        <v>0</v>
      </c>
      <c r="X117" s="545">
        <f t="shared" ref="X117:X126" si="51">ROUND(U117*V117*W117*2,2)</f>
        <v>0</v>
      </c>
      <c r="Y117" s="795"/>
      <c r="Z117" s="797"/>
      <c r="AA117" s="786"/>
    </row>
    <row r="118" spans="1:29">
      <c r="A118" s="786"/>
      <c r="B118" s="216"/>
      <c r="C118" s="789"/>
      <c r="D118" s="792"/>
      <c r="E118" s="393"/>
      <c r="F118" s="390"/>
      <c r="G118" s="400"/>
      <c r="H118" s="544">
        <f t="shared" si="48"/>
        <v>0</v>
      </c>
      <c r="I118" s="389"/>
      <c r="J118" s="390"/>
      <c r="K118" s="434"/>
      <c r="L118" s="434">
        <f t="shared" si="49"/>
        <v>0</v>
      </c>
      <c r="M118" s="434"/>
      <c r="N118" s="434"/>
      <c r="O118" s="434"/>
      <c r="P118" s="395"/>
      <c r="Q118" s="389">
        <f>база!$L$6</f>
        <v>261.04640000000001</v>
      </c>
      <c r="R118" s="390">
        <v>1</v>
      </c>
      <c r="S118" s="400">
        <f>SUMIFS(Таблица14[часы],Таблица14[коэф],"1",Таблица14[р/р],"5/16",Таблица14[Ф. И. О.],B121)</f>
        <v>0</v>
      </c>
      <c r="T118" s="544">
        <f t="shared" si="50"/>
        <v>0</v>
      </c>
      <c r="U118" s="472">
        <f>база!$M$6</f>
        <v>279.0496</v>
      </c>
      <c r="V118" s="390">
        <v>1</v>
      </c>
      <c r="W118" s="412">
        <f>SUMIFS(Таблица14[часы],Таблица14[коэф],"1",Таблица14[р/р],"5/24",Таблица14[Ф. И. О.],B121)</f>
        <v>0</v>
      </c>
      <c r="X118" s="545">
        <f t="shared" si="51"/>
        <v>0</v>
      </c>
      <c r="Y118" s="795"/>
      <c r="Z118" s="797"/>
      <c r="AA118" s="786"/>
    </row>
    <row r="119" spans="1:29">
      <c r="A119" s="786"/>
      <c r="B119" s="216"/>
      <c r="C119" s="789"/>
      <c r="D119" s="792"/>
      <c r="E119" s="393"/>
      <c r="F119" s="390"/>
      <c r="G119" s="400"/>
      <c r="H119" s="544">
        <f t="shared" si="48"/>
        <v>0</v>
      </c>
      <c r="I119" s="389">
        <f>база!$J$5</f>
        <v>215.4924</v>
      </c>
      <c r="J119" s="390">
        <v>1.5</v>
      </c>
      <c r="K119" s="434">
        <f>SUMIFS(Таблица14[часы],Таблица14[коэф],"1,5",Таблица14[р/р],"4/8",Таблица14[Ф. И. О.],B121)</f>
        <v>0</v>
      </c>
      <c r="L119" s="434">
        <f t="shared" si="49"/>
        <v>0</v>
      </c>
      <c r="M119" s="434"/>
      <c r="N119" s="434"/>
      <c r="O119" s="434"/>
      <c r="P119" s="395"/>
      <c r="Q119" s="389">
        <f>IF(D116&lt;=3,база!$L$4,
IF(D116=4,база!$L$5,
IF(D116=5,база!$L$6)))</f>
        <v>210.57480000000001</v>
      </c>
      <c r="R119" s="390">
        <v>1.2</v>
      </c>
      <c r="S119" s="400">
        <f>SUMIFS(Таблица14[часы],Таблица14[коэф],"1,2",Таблица14[р/р],"3/16",Таблица14[Ф. И. О.],B121)</f>
        <v>0</v>
      </c>
      <c r="T119" s="544">
        <f t="shared" si="50"/>
        <v>0</v>
      </c>
      <c r="U119" s="472">
        <f>IF(D116&lt;=3,база!$M$4,
IF(D116=4,база!$M$5,
IF(D116=5,база!$M$6)))</f>
        <v>225.09719999999999</v>
      </c>
      <c r="V119" s="390">
        <v>1.2</v>
      </c>
      <c r="W119" s="412">
        <f>SUMIFS(Таблица14[часы],Таблица14[коэф],"1,2",Таблица14[р/р],"3/24",Таблица14[Ф. И. О.],B121)</f>
        <v>0</v>
      </c>
      <c r="X119" s="545">
        <f t="shared" si="51"/>
        <v>0</v>
      </c>
      <c r="Y119" s="795"/>
      <c r="Z119" s="797"/>
      <c r="AA119" s="786"/>
    </row>
    <row r="120" spans="1:29">
      <c r="A120" s="786"/>
      <c r="B120" s="216"/>
      <c r="C120" s="789"/>
      <c r="D120" s="792"/>
      <c r="E120" s="393"/>
      <c r="F120" s="390"/>
      <c r="G120" s="400"/>
      <c r="H120" s="544">
        <f t="shared" si="48"/>
        <v>0</v>
      </c>
      <c r="I120" s="389">
        <f>база!$J$6</f>
        <v>243.04319999999998</v>
      </c>
      <c r="J120" s="390">
        <v>1.5</v>
      </c>
      <c r="K120" s="434">
        <f>SUMIFS(Таблица14[часы],Таблица14[коэф],"1,5",Таблица14[р/р],"5/8",Таблица14[Ф. И. О.],B121)</f>
        <v>0</v>
      </c>
      <c r="L120" s="434">
        <f t="shared" si="49"/>
        <v>0</v>
      </c>
      <c r="M120" s="434"/>
      <c r="N120" s="434"/>
      <c r="O120" s="434"/>
      <c r="P120" s="395"/>
      <c r="Q120" s="389">
        <f>база!$L$5</f>
        <v>231.45480000000001</v>
      </c>
      <c r="R120" s="390">
        <v>1.2</v>
      </c>
      <c r="S120" s="400">
        <f>SUMIFS(Таблица14[часы],Таблица14[коэф],"1,2",Таблица14[р/р],"4/16",Таблица14[Ф. И. О.],B121)</f>
        <v>0</v>
      </c>
      <c r="T120" s="544">
        <f t="shared" si="50"/>
        <v>0</v>
      </c>
      <c r="U120" s="472">
        <f>база!$M$5</f>
        <v>247.41720000000001</v>
      </c>
      <c r="V120" s="390">
        <v>1.2</v>
      </c>
      <c r="W120" s="412">
        <f>SUMIFS(Таблица14[часы],Таблица14[коэф],"1,2",Таблица14[р/р],"4/24",Таблица14[Ф. И. О.],B121)</f>
        <v>0</v>
      </c>
      <c r="X120" s="545">
        <f t="shared" si="51"/>
        <v>0</v>
      </c>
      <c r="Y120" s="795"/>
      <c r="Z120" s="797"/>
      <c r="AA120" s="786"/>
      <c r="AC120" s="754" t="str">
        <f>IF(SUMIFS(Таблица14[Столбец2],Таблица14[Ф. И. О.],B121)-Z116=0,"",SUMIFS(Таблица14[Столбец2],Таблица14[Ф. И. О.],B121)-Z116)</f>
        <v/>
      </c>
    </row>
    <row r="121" spans="1:29">
      <c r="A121" s="786"/>
      <c r="B121" s="216" t="str">
        <f>база!B12</f>
        <v>Бунчук Виктория Ивановна</v>
      </c>
      <c r="C121" s="789"/>
      <c r="D121" s="792"/>
      <c r="E121" s="393"/>
      <c r="F121" s="390"/>
      <c r="G121" s="400"/>
      <c r="H121" s="544">
        <f t="shared" si="48"/>
        <v>0</v>
      </c>
      <c r="I121" s="389"/>
      <c r="J121" s="390"/>
      <c r="K121" s="434"/>
      <c r="L121" s="434">
        <f t="shared" si="49"/>
        <v>0</v>
      </c>
      <c r="M121" s="434"/>
      <c r="N121" s="434"/>
      <c r="O121" s="434"/>
      <c r="P121" s="395"/>
      <c r="Q121" s="389">
        <f>база!$L$6</f>
        <v>261.04640000000001</v>
      </c>
      <c r="R121" s="390">
        <v>1.2</v>
      </c>
      <c r="S121" s="400">
        <f>SUMIFS(Таблица14[часы],Таблица14[коэф],"1,2",Таблица14[р/р],"5/16",Таблица14[Ф. И. О.],B121)</f>
        <v>0</v>
      </c>
      <c r="T121" s="544">
        <f t="shared" si="50"/>
        <v>0</v>
      </c>
      <c r="U121" s="472">
        <f>база!$M$6</f>
        <v>279.0496</v>
      </c>
      <c r="V121" s="390">
        <v>1.2</v>
      </c>
      <c r="W121" s="412">
        <f>SUMIFS(Таблица14[часы],Таблица14[коэф],"1,2",Таблица14[р/р],"5/24",Таблица14[Ф. И. О.],B121)</f>
        <v>0</v>
      </c>
      <c r="X121" s="545">
        <f t="shared" si="51"/>
        <v>0</v>
      </c>
      <c r="Y121" s="795"/>
      <c r="Z121" s="797"/>
      <c r="AA121" s="786"/>
      <c r="AC121" s="754" t="str">
        <f>IF(SUMIFS(Таблица14[часы],Таблица14[Ф. И. О.],B121)-Y116=0,"",SUMIFS(Таблица14[часы],Таблица14[Ф. И. О.],B121)-Y116)</f>
        <v/>
      </c>
    </row>
    <row r="122" spans="1:29">
      <c r="A122" s="786"/>
      <c r="B122" s="216"/>
      <c r="C122" s="789"/>
      <c r="D122" s="792"/>
      <c r="E122" s="393"/>
      <c r="F122" s="390"/>
      <c r="G122" s="400"/>
      <c r="H122" s="544">
        <f t="shared" si="48"/>
        <v>0</v>
      </c>
      <c r="I122" s="389"/>
      <c r="J122" s="390"/>
      <c r="K122" s="434"/>
      <c r="L122" s="434">
        <f t="shared" si="49"/>
        <v>0</v>
      </c>
      <c r="M122" s="434"/>
      <c r="N122" s="434"/>
      <c r="O122" s="434"/>
      <c r="P122" s="395"/>
      <c r="Q122" s="389">
        <f>IF(D116&lt;=3,база!$L$4,
IF(D116=4,база!$L$5,
IF(D116=5,база!$L$6)))</f>
        <v>210.57480000000001</v>
      </c>
      <c r="R122" s="390">
        <v>1.3</v>
      </c>
      <c r="S122" s="400">
        <f>SUMIFS(Таблица14[часы],Таблица14[коэф],"1,3",Таблица14[р/р],"3/16",Таблица14[Ф. И. О.],B121)</f>
        <v>0</v>
      </c>
      <c r="T122" s="544">
        <f t="shared" si="50"/>
        <v>0</v>
      </c>
      <c r="U122" s="472">
        <f>IF(D116&lt;=3,база!$M$4,
IF(D116=4,база!$M$5,
IF(D116=5,база!$M$6)))</f>
        <v>225.09719999999999</v>
      </c>
      <c r="V122" s="390">
        <v>1.3</v>
      </c>
      <c r="W122" s="412">
        <f>SUMIFS(Таблица14[часы],Таблица14[коэф],"1,3",Таблица14[р/р],"3/24",Таблица14[Ф. И. О.],B121)</f>
        <v>0</v>
      </c>
      <c r="X122" s="545">
        <f t="shared" si="51"/>
        <v>0</v>
      </c>
      <c r="Y122" s="795"/>
      <c r="Z122" s="797"/>
      <c r="AA122" s="786"/>
    </row>
    <row r="123" spans="1:29">
      <c r="A123" s="786"/>
      <c r="B123" s="216"/>
      <c r="C123" s="789"/>
      <c r="D123" s="792"/>
      <c r="E123" s="393"/>
      <c r="F123" s="390"/>
      <c r="G123" s="400"/>
      <c r="H123" s="544">
        <f t="shared" si="48"/>
        <v>0</v>
      </c>
      <c r="I123" s="389"/>
      <c r="J123" s="390"/>
      <c r="K123" s="434"/>
      <c r="L123" s="434">
        <f t="shared" si="49"/>
        <v>0</v>
      </c>
      <c r="M123" s="434"/>
      <c r="N123" s="434"/>
      <c r="O123" s="434"/>
      <c r="P123" s="395"/>
      <c r="Q123" s="389">
        <f>база!$L$5</f>
        <v>231.45480000000001</v>
      </c>
      <c r="R123" s="390">
        <v>1.3</v>
      </c>
      <c r="S123" s="400">
        <f>SUMIFS(Таблица14[часы],Таблица14[коэф],"1,3",Таблица14[р/р],"4/16",Таблица14[Ф. И. О.],B121)</f>
        <v>0</v>
      </c>
      <c r="T123" s="544">
        <f t="shared" si="50"/>
        <v>0</v>
      </c>
      <c r="U123" s="472">
        <f>база!$M$5</f>
        <v>247.41720000000001</v>
      </c>
      <c r="V123" s="390">
        <v>1.3</v>
      </c>
      <c r="W123" s="412">
        <f>SUMIFS(Таблица14[часы],Таблица14[коэф],"1,3",Таблица14[р/р],"4/24",Таблица14[Ф. И. О.],B121)</f>
        <v>0</v>
      </c>
      <c r="X123" s="545">
        <f t="shared" si="51"/>
        <v>0</v>
      </c>
      <c r="Y123" s="795"/>
      <c r="Z123" s="797"/>
      <c r="AA123" s="786"/>
    </row>
    <row r="124" spans="1:29">
      <c r="A124" s="786"/>
      <c r="B124" s="216"/>
      <c r="C124" s="789"/>
      <c r="D124" s="792"/>
      <c r="E124" s="393"/>
      <c r="F124" s="390"/>
      <c r="G124" s="400"/>
      <c r="H124" s="544">
        <f t="shared" si="48"/>
        <v>0</v>
      </c>
      <c r="I124" s="389"/>
      <c r="J124" s="390"/>
      <c r="K124" s="434"/>
      <c r="L124" s="434">
        <f t="shared" si="49"/>
        <v>0</v>
      </c>
      <c r="M124" s="434"/>
      <c r="N124" s="434"/>
      <c r="O124" s="434"/>
      <c r="P124" s="395"/>
      <c r="Q124" s="389">
        <f>IF(D116&lt;=3,база!$L$4,
IF(D116=4,база!$L$5,
IF(D116=5,база!$L$6)))</f>
        <v>210.57480000000001</v>
      </c>
      <c r="R124" s="390">
        <v>1.4</v>
      </c>
      <c r="S124" s="400">
        <f>SUMIFS(Таблица14[часы],Таблица14[коэф],"1,4",Таблица14[р/р],"3/16",Таблица14[Ф. И. О.],B121)</f>
        <v>0</v>
      </c>
      <c r="T124" s="544">
        <f t="shared" si="50"/>
        <v>0</v>
      </c>
      <c r="U124" s="472">
        <f>IF(D116&lt;=3,база!$M$4,
IF(D116=4,база!$M$5,
IF(D116=5,база!$M$6)))</f>
        <v>225.09719999999999</v>
      </c>
      <c r="V124" s="390">
        <v>1.4</v>
      </c>
      <c r="W124" s="412">
        <f>SUMIFS(Таблица14[часы],Таблица14[коэф],"1,4",Таблица14[р/р],"3/24",Таблица14[Ф. И. О.],B121)</f>
        <v>0</v>
      </c>
      <c r="X124" s="545">
        <f t="shared" si="51"/>
        <v>0</v>
      </c>
      <c r="Y124" s="795"/>
      <c r="Z124" s="797"/>
      <c r="AA124" s="786"/>
    </row>
    <row r="125" spans="1:29">
      <c r="A125" s="786"/>
      <c r="B125" s="216"/>
      <c r="C125" s="789"/>
      <c r="D125" s="792"/>
      <c r="E125" s="393"/>
      <c r="F125" s="390"/>
      <c r="G125" s="400"/>
      <c r="H125" s="544">
        <f t="shared" si="48"/>
        <v>0</v>
      </c>
      <c r="I125" s="389"/>
      <c r="J125" s="390"/>
      <c r="K125" s="434"/>
      <c r="L125" s="434">
        <f t="shared" si="49"/>
        <v>0</v>
      </c>
      <c r="M125" s="434"/>
      <c r="N125" s="434"/>
      <c r="O125" s="434"/>
      <c r="P125" s="395"/>
      <c r="Q125" s="389">
        <f>база!$L$5</f>
        <v>231.45480000000001</v>
      </c>
      <c r="R125" s="390">
        <v>1.4</v>
      </c>
      <c r="S125" s="400">
        <f>SUMIFS(Таблица14[часы],Таблица14[коэф],"1,4",Таблица14[р/р],"4/16",Таблица14[Ф. И. О.],B121)</f>
        <v>0</v>
      </c>
      <c r="T125" s="544">
        <f t="shared" si="50"/>
        <v>0</v>
      </c>
      <c r="U125" s="472">
        <f>база!$M$5</f>
        <v>247.41720000000001</v>
      </c>
      <c r="V125" s="390">
        <v>1.4</v>
      </c>
      <c r="W125" s="412">
        <f>SUMIFS(Таблица14[часы],Таблица14[коэф],"1,4",Таблица14[р/р],"4/24",Таблица14[Ф. И. О.],B121)</f>
        <v>0</v>
      </c>
      <c r="X125" s="545">
        <f t="shared" si="51"/>
        <v>0</v>
      </c>
      <c r="Y125" s="795"/>
      <c r="Z125" s="797"/>
      <c r="AA125" s="786"/>
    </row>
    <row r="126" spans="1:29" ht="21" thickBot="1">
      <c r="A126" s="787"/>
      <c r="B126" s="216"/>
      <c r="C126" s="790"/>
      <c r="D126" s="793"/>
      <c r="E126" s="422"/>
      <c r="F126" s="403"/>
      <c r="G126" s="408"/>
      <c r="H126" s="546">
        <f t="shared" si="48"/>
        <v>0</v>
      </c>
      <c r="I126" s="420"/>
      <c r="J126" s="403"/>
      <c r="K126" s="460"/>
      <c r="L126" s="460">
        <f t="shared" si="49"/>
        <v>0</v>
      </c>
      <c r="M126" s="460"/>
      <c r="N126" s="460"/>
      <c r="O126" s="460"/>
      <c r="P126" s="424"/>
      <c r="Q126" s="420">
        <f>база!$L$6</f>
        <v>261.04640000000001</v>
      </c>
      <c r="R126" s="403">
        <v>1.4</v>
      </c>
      <c r="S126" s="408">
        <f>SUMIFS(Таблица14[часы],Таблица14[коэф],"1,4",Таблица14[р/р],"5/16",Таблица14[Ф. И. О.],B121)</f>
        <v>0</v>
      </c>
      <c r="T126" s="546">
        <f t="shared" si="50"/>
        <v>0</v>
      </c>
      <c r="U126" s="482">
        <f>база!$M$6</f>
        <v>279.0496</v>
      </c>
      <c r="V126" s="403">
        <v>1.4</v>
      </c>
      <c r="W126" s="527">
        <f>SUMIFS(Таблица14[часы],Таблица14[коэф],"1,4",Таблица14[р/р],"5/24",Таблица14[Ф. И. О.],B121)</f>
        <v>0</v>
      </c>
      <c r="X126" s="550">
        <f t="shared" si="51"/>
        <v>0</v>
      </c>
      <c r="Y126" s="796"/>
      <c r="Z126" s="798"/>
      <c r="AA126" s="787"/>
    </row>
    <row r="127" spans="1:29">
      <c r="A127" s="785">
        <v>12</v>
      </c>
      <c r="B127" s="522"/>
      <c r="C127" s="788">
        <f>INDEX(база!$E$2:$E$81, MATCH(B132,база!$B$2:$B$50,0))</f>
        <v>17350</v>
      </c>
      <c r="D127" s="791">
        <f>INDEX(база!$D$2:$D$89, MATCH(B132,база!$B$2:$B$50,0))</f>
        <v>3</v>
      </c>
      <c r="E127" s="381">
        <f>IF(D127&lt;=3,база!$I$4,
IF(D127=4,база!$I$5,
IF(D127=5,база!$I$6)))</f>
        <v>188.7912</v>
      </c>
      <c r="F127" s="378">
        <v>1</v>
      </c>
      <c r="G127" s="387">
        <f>SUMIFS(Таблица14[часы],Таблица14[коэф],"1",Таблица14[р/р],"2/4",Таблица14[Ф. И. О.],B132)</f>
        <v>0</v>
      </c>
      <c r="H127" s="548">
        <f>ROUND(E127*F127*G127*2,2)</f>
        <v>0</v>
      </c>
      <c r="I127" s="377">
        <f>IF(D127&lt;=3,база!$J$4,
IF(D127=4,база!$J$5,
IF(D127=5,база!$J$6)))</f>
        <v>196.05240000000001</v>
      </c>
      <c r="J127" s="378">
        <v>1</v>
      </c>
      <c r="K127" s="428">
        <f>SUMIFS(Таблица14[часы],Таблица14[коэф],"1",Таблица14[р/р],"2/8",Таблица14[Ф. И. О.],B132)</f>
        <v>0</v>
      </c>
      <c r="L127" s="428">
        <f>ROUND(I127*J127*K127*2,2)</f>
        <v>0</v>
      </c>
      <c r="M127" s="428"/>
      <c r="N127" s="428">
        <v>1</v>
      </c>
      <c r="O127" s="428">
        <f>SUMIFS(Data_Tech!$AM$3:$AM$67,Data_Tech!$E$3:$E$67,"1",Data_Tech!$G$3:$G$67,"3/12",Data_Tech!$F$3:$F$67,B132)</f>
        <v>0</v>
      </c>
      <c r="P127" s="383">
        <f>ROUND(M127*N127*O127,2)</f>
        <v>0</v>
      </c>
      <c r="Q127" s="377">
        <f>IF(D127&lt;=3,база!$L$4,
IF(D127=4,база!$L$5,
IF(D127=5,база!$L$6)))</f>
        <v>210.57480000000001</v>
      </c>
      <c r="R127" s="378">
        <v>1</v>
      </c>
      <c r="S127" s="387">
        <f>SUMIFS(Таблица14[часы],Таблица14[коэф],"1",Таблица14[р/р],"3/16",Таблица14[Ф. И. О.],B132)</f>
        <v>0</v>
      </c>
      <c r="T127" s="548">
        <f>ROUND(Q127*R127*S127*2,2)</f>
        <v>0</v>
      </c>
      <c r="U127" s="471">
        <f>IF(D127&lt;=3,база!$M$4,
IF(D127=4,база!$M$5,
IF(D127=5,база!$M$6)))</f>
        <v>225.09719999999999</v>
      </c>
      <c r="V127" s="378">
        <v>1</v>
      </c>
      <c r="W127" s="430">
        <f>SUMIFS(Таблица14[часы],Таблица14[коэф],"1",Таблица14[р/р],"3/24",Таблица14[Ф. И. О.],B132)</f>
        <v>0</v>
      </c>
      <c r="X127" s="543">
        <f>ROUND(U127*V127*W127*2,2)</f>
        <v>0</v>
      </c>
      <c r="Y127" s="795">
        <f t="shared" ref="Y127" si="52">SUM(G127:G137,K127:K137,O127:O137,S127:S137,W127:W137)</f>
        <v>0</v>
      </c>
      <c r="Z127" s="797">
        <f t="shared" ref="Z127" si="53">IFERROR(SUM(H127:H137,L127:L137,T127:T137,X127:X137),"")</f>
        <v>0</v>
      </c>
      <c r="AA127" s="786"/>
    </row>
    <row r="128" spans="1:29">
      <c r="A128" s="786"/>
      <c r="B128" s="216"/>
      <c r="C128" s="789"/>
      <c r="D128" s="792"/>
      <c r="E128" s="393">
        <f>IF(D127&lt;=3,база!$I$4,
IF(D127=4,база!$I$5,
IF(D127=5,база!$I$6)))</f>
        <v>188.7912</v>
      </c>
      <c r="F128" s="390">
        <v>1</v>
      </c>
      <c r="G128" s="400">
        <f>SUMIFS(Таблица14[часы],Таблица14[коэф],"1",Таблица14[р/р],"3/4",Таблица14[Ф. И. О.],B132)</f>
        <v>0</v>
      </c>
      <c r="H128" s="544">
        <f t="shared" ref="H128:H137" si="54">ROUND(E128*F128*G128*2,2)</f>
        <v>0</v>
      </c>
      <c r="I128" s="389">
        <f>IF(D127&lt;=3,база!$J$4,
IF(D127=4,база!$J$5,
IF(D127=5,база!$J$6)))</f>
        <v>196.05240000000001</v>
      </c>
      <c r="J128" s="390">
        <v>1</v>
      </c>
      <c r="K128" s="434">
        <f>SUMIFS(Таблица14[часы],Таблица14[коэф],"1",Таблица14[р/р],"3/8",Таблица14[Ф. И. О.],B132)</f>
        <v>0</v>
      </c>
      <c r="L128" s="434">
        <f t="shared" ref="L128:L137" si="55">ROUND(I128*J128*K128*2,2)</f>
        <v>0</v>
      </c>
      <c r="M128" s="434"/>
      <c r="N128" s="434">
        <v>1</v>
      </c>
      <c r="O128" s="434">
        <f>SUMIFS(Data_Tech!$AM$3:$AM$67,Data_Tech!$E$3:$E$67,"1",Data_Tech!$G$3:$G$67,"4/12",Data_Tech!$F$3:$F$67,B132)</f>
        <v>0</v>
      </c>
      <c r="P128" s="395">
        <f>ROUND(M128*O128,2)</f>
        <v>0</v>
      </c>
      <c r="Q128" s="389">
        <f>база!$L$5</f>
        <v>231.45480000000001</v>
      </c>
      <c r="R128" s="390">
        <v>1</v>
      </c>
      <c r="S128" s="400">
        <f>SUMIFS(Таблица14[часы],Таблица14[коэф],"1",Таблица14[р/р],"4/16",Таблица14[Ф. И. О.],B132)</f>
        <v>0</v>
      </c>
      <c r="T128" s="544">
        <f t="shared" ref="T128:T137" si="56">ROUND(Q128*R128*S128*2,2)</f>
        <v>0</v>
      </c>
      <c r="U128" s="472">
        <f>база!$M$5</f>
        <v>247.41720000000001</v>
      </c>
      <c r="V128" s="390">
        <v>1</v>
      </c>
      <c r="W128" s="412">
        <f>SUMIFS(Таблица14[часы],Таблица14[коэф],"1",Таблица14[р/р],"4/24",Таблица14[Ф. И. О.],B132)</f>
        <v>0</v>
      </c>
      <c r="X128" s="545">
        <f t="shared" ref="X128:X137" si="57">ROUND(U128*V128*W128*2,2)</f>
        <v>0</v>
      </c>
      <c r="Y128" s="795"/>
      <c r="Z128" s="797"/>
      <c r="AA128" s="786"/>
    </row>
    <row r="129" spans="1:29">
      <c r="A129" s="786"/>
      <c r="B129" s="216"/>
      <c r="C129" s="789"/>
      <c r="D129" s="792"/>
      <c r="E129" s="393"/>
      <c r="F129" s="390"/>
      <c r="G129" s="400"/>
      <c r="H129" s="544">
        <f t="shared" si="54"/>
        <v>0</v>
      </c>
      <c r="I129" s="389"/>
      <c r="J129" s="390"/>
      <c r="K129" s="434"/>
      <c r="L129" s="434">
        <f t="shared" si="55"/>
        <v>0</v>
      </c>
      <c r="M129" s="434"/>
      <c r="N129" s="434"/>
      <c r="O129" s="434"/>
      <c r="P129" s="395"/>
      <c r="Q129" s="389">
        <f>база!$L$6</f>
        <v>261.04640000000001</v>
      </c>
      <c r="R129" s="390">
        <v>1</v>
      </c>
      <c r="S129" s="400">
        <f>SUMIFS(Таблица14[часы],Таблица14[коэф],"1",Таблица14[р/р],"5/16",Таблица14[Ф. И. О.],B132)</f>
        <v>0</v>
      </c>
      <c r="T129" s="544">
        <f t="shared" si="56"/>
        <v>0</v>
      </c>
      <c r="U129" s="472">
        <f>база!$M$6</f>
        <v>279.0496</v>
      </c>
      <c r="V129" s="390">
        <v>1</v>
      </c>
      <c r="W129" s="412">
        <f>SUMIFS(Таблица14[часы],Таблица14[коэф],"1",Таблица14[р/р],"5/24",Таблица14[Ф. И. О.],B132)</f>
        <v>0</v>
      </c>
      <c r="X129" s="545">
        <f t="shared" si="57"/>
        <v>0</v>
      </c>
      <c r="Y129" s="795"/>
      <c r="Z129" s="797"/>
      <c r="AA129" s="786"/>
    </row>
    <row r="130" spans="1:29">
      <c r="A130" s="786"/>
      <c r="B130" s="216"/>
      <c r="C130" s="789"/>
      <c r="D130" s="792"/>
      <c r="E130" s="393"/>
      <c r="F130" s="390"/>
      <c r="G130" s="400"/>
      <c r="H130" s="544">
        <f t="shared" si="54"/>
        <v>0</v>
      </c>
      <c r="I130" s="389">
        <f>база!$J$5</f>
        <v>215.4924</v>
      </c>
      <c r="J130" s="390">
        <v>1.5</v>
      </c>
      <c r="K130" s="434">
        <f>SUMIFS(Таблица14[часы],Таблица14[коэф],"1,5",Таблица14[р/р],"4/8",Таблица14[Ф. И. О.],B132)</f>
        <v>0</v>
      </c>
      <c r="L130" s="434">
        <f t="shared" si="55"/>
        <v>0</v>
      </c>
      <c r="M130" s="434"/>
      <c r="N130" s="434"/>
      <c r="O130" s="434"/>
      <c r="P130" s="395"/>
      <c r="Q130" s="389">
        <f>IF(D127&lt;=3,база!$L$4,
IF(D127=4,база!$L$5,
IF(D127=5,база!$L$6)))</f>
        <v>210.57480000000001</v>
      </c>
      <c r="R130" s="390">
        <v>1.2</v>
      </c>
      <c r="S130" s="400">
        <f>SUMIFS(Таблица14[часы],Таблица14[коэф],"1,2",Таблица14[р/р],"3/16",Таблица14[Ф. И. О.],B132)</f>
        <v>0</v>
      </c>
      <c r="T130" s="544">
        <f t="shared" si="56"/>
        <v>0</v>
      </c>
      <c r="U130" s="472">
        <f>IF(D127&lt;=3,база!$M$4,
IF(D127=4,база!$M$5,
IF(D127=5,база!$M$6)))</f>
        <v>225.09719999999999</v>
      </c>
      <c r="V130" s="390">
        <v>1.2</v>
      </c>
      <c r="W130" s="412">
        <f>SUMIFS(Таблица14[часы],Таблица14[коэф],"1,2",Таблица14[р/р],"3/24",Таблица14[Ф. И. О.],B132)</f>
        <v>0</v>
      </c>
      <c r="X130" s="545">
        <f t="shared" si="57"/>
        <v>0</v>
      </c>
      <c r="Y130" s="795"/>
      <c r="Z130" s="797"/>
      <c r="AA130" s="786"/>
    </row>
    <row r="131" spans="1:29">
      <c r="A131" s="786"/>
      <c r="B131" s="216"/>
      <c r="C131" s="789"/>
      <c r="D131" s="792"/>
      <c r="E131" s="393"/>
      <c r="F131" s="390"/>
      <c r="G131" s="400"/>
      <c r="H131" s="544">
        <f t="shared" si="54"/>
        <v>0</v>
      </c>
      <c r="I131" s="389">
        <f>база!$J$6</f>
        <v>243.04319999999998</v>
      </c>
      <c r="J131" s="390">
        <v>1.5</v>
      </c>
      <c r="K131" s="434">
        <f>SUMIFS(Таблица14[часы],Таблица14[коэф],"1,5",Таблица14[р/р],"5/8",Таблица14[Ф. И. О.],B132)</f>
        <v>0</v>
      </c>
      <c r="L131" s="434">
        <f t="shared" si="55"/>
        <v>0</v>
      </c>
      <c r="M131" s="434"/>
      <c r="N131" s="434"/>
      <c r="O131" s="434"/>
      <c r="P131" s="395"/>
      <c r="Q131" s="389">
        <f>база!$L$5</f>
        <v>231.45480000000001</v>
      </c>
      <c r="R131" s="390">
        <v>1.2</v>
      </c>
      <c r="S131" s="400">
        <f>SUMIFS(Таблица14[часы],Таблица14[коэф],"1,2",Таблица14[р/р],"4/16",Таблица14[Ф. И. О.],B132)</f>
        <v>0</v>
      </c>
      <c r="T131" s="544">
        <f t="shared" si="56"/>
        <v>0</v>
      </c>
      <c r="U131" s="472">
        <f>база!$M$5</f>
        <v>247.41720000000001</v>
      </c>
      <c r="V131" s="390">
        <v>1.2</v>
      </c>
      <c r="W131" s="412">
        <f>SUMIFS(Таблица14[часы],Таблица14[коэф],"1,2",Таблица14[р/р],"4/24",Таблица14[Ф. И. О.],B132)</f>
        <v>0</v>
      </c>
      <c r="X131" s="545">
        <f t="shared" si="57"/>
        <v>0</v>
      </c>
      <c r="Y131" s="795"/>
      <c r="Z131" s="797"/>
      <c r="AA131" s="786"/>
    </row>
    <row r="132" spans="1:29" ht="21" customHeight="1">
      <c r="A132" s="786"/>
      <c r="B132" s="216" t="str">
        <f>база!B13</f>
        <v>Бутова Юлия Сергеевна</v>
      </c>
      <c r="C132" s="789"/>
      <c r="D132" s="792"/>
      <c r="E132" s="393"/>
      <c r="F132" s="390"/>
      <c r="G132" s="400"/>
      <c r="H132" s="544">
        <f t="shared" si="54"/>
        <v>0</v>
      </c>
      <c r="I132" s="389"/>
      <c r="J132" s="390"/>
      <c r="K132" s="434"/>
      <c r="L132" s="434">
        <f t="shared" si="55"/>
        <v>0</v>
      </c>
      <c r="M132" s="434"/>
      <c r="N132" s="434"/>
      <c r="O132" s="434"/>
      <c r="P132" s="395"/>
      <c r="Q132" s="389">
        <f>база!$L$6</f>
        <v>261.04640000000001</v>
      </c>
      <c r="R132" s="390">
        <v>1.2</v>
      </c>
      <c r="S132" s="400">
        <f>SUMIFS(Таблица14[часы],Таблица14[коэф],"1,2",Таблица14[р/р],"5/16",Таблица14[Ф. И. О.],B132)</f>
        <v>0</v>
      </c>
      <c r="T132" s="544">
        <f t="shared" si="56"/>
        <v>0</v>
      </c>
      <c r="U132" s="472">
        <f>база!$M$6</f>
        <v>279.0496</v>
      </c>
      <c r="V132" s="390">
        <v>1.2</v>
      </c>
      <c r="W132" s="412">
        <f>SUMIFS(Таблица14[часы],Таблица14[коэф],"1,2",Таблица14[р/р],"5/24",Таблица14[Ф. И. О.],B132)</f>
        <v>0</v>
      </c>
      <c r="X132" s="545">
        <f t="shared" si="57"/>
        <v>0</v>
      </c>
      <c r="Y132" s="795"/>
      <c r="Z132" s="797"/>
      <c r="AA132" s="786"/>
      <c r="AC132" s="754" t="str">
        <f>IF(SUMIFS(Таблица14[Столбец2],Таблица14[Ф. И. О.],B132)-Z127=0,"",SUMIFS(Таблица14[Столбец2],Таблица14[Ф. И. О.],B132)-Z127)</f>
        <v/>
      </c>
    </row>
    <row r="133" spans="1:29">
      <c r="A133" s="786"/>
      <c r="B133" s="216"/>
      <c r="C133" s="789"/>
      <c r="D133" s="792"/>
      <c r="E133" s="393"/>
      <c r="F133" s="390"/>
      <c r="G133" s="400"/>
      <c r="H133" s="544">
        <f t="shared" si="54"/>
        <v>0</v>
      </c>
      <c r="I133" s="389"/>
      <c r="J133" s="390"/>
      <c r="K133" s="434"/>
      <c r="L133" s="434">
        <f t="shared" si="55"/>
        <v>0</v>
      </c>
      <c r="M133" s="434"/>
      <c r="N133" s="434"/>
      <c r="O133" s="434"/>
      <c r="P133" s="395"/>
      <c r="Q133" s="389">
        <f>IF(D127&lt;=3,база!$L$4,
IF(D127=4,база!$L$5,
IF(D127=5,база!$L$6)))</f>
        <v>210.57480000000001</v>
      </c>
      <c r="R133" s="390">
        <v>1.3</v>
      </c>
      <c r="S133" s="400">
        <f>SUMIFS(Таблица14[часы],Таблица14[коэф],"1,3",Таблица14[р/р],"3/16",Таблица14[Ф. И. О.],B132)</f>
        <v>0</v>
      </c>
      <c r="T133" s="544">
        <f t="shared" si="56"/>
        <v>0</v>
      </c>
      <c r="U133" s="472">
        <f>IF(D127&lt;=3,база!$M$4,
IF(D127=4,база!$M$5,
IF(D127=5,база!$M$6)))</f>
        <v>225.09719999999999</v>
      </c>
      <c r="V133" s="390">
        <v>1.3</v>
      </c>
      <c r="W133" s="412">
        <f>SUMIFS(Таблица14[часы],Таблица14[коэф],"1,3",Таблица14[р/р],"3/24",Таблица14[Ф. И. О.],B132)</f>
        <v>0</v>
      </c>
      <c r="X133" s="545">
        <f t="shared" si="57"/>
        <v>0</v>
      </c>
      <c r="Y133" s="795"/>
      <c r="Z133" s="797"/>
      <c r="AA133" s="786"/>
      <c r="AC133" s="754" t="str">
        <f>IF(SUMIFS(Таблица14[часы],Таблица14[Ф. И. О.],B132)-Y127=0,"",SUMIFS(Таблица14[часы],Таблица14[Ф. И. О.],B132)-Y127)</f>
        <v/>
      </c>
    </row>
    <row r="134" spans="1:29">
      <c r="A134" s="786"/>
      <c r="B134" s="216"/>
      <c r="C134" s="789"/>
      <c r="D134" s="792"/>
      <c r="E134" s="393"/>
      <c r="F134" s="390"/>
      <c r="G134" s="400"/>
      <c r="H134" s="544">
        <f t="shared" si="54"/>
        <v>0</v>
      </c>
      <c r="I134" s="389"/>
      <c r="J134" s="390"/>
      <c r="K134" s="434"/>
      <c r="L134" s="434">
        <f t="shared" si="55"/>
        <v>0</v>
      </c>
      <c r="M134" s="434"/>
      <c r="N134" s="434"/>
      <c r="O134" s="434"/>
      <c r="P134" s="395"/>
      <c r="Q134" s="389">
        <f>база!$L$5</f>
        <v>231.45480000000001</v>
      </c>
      <c r="R134" s="390">
        <v>1.3</v>
      </c>
      <c r="S134" s="400">
        <f>SUMIFS(Таблица14[часы],Таблица14[коэф],"1,3",Таблица14[р/р],"4/16",Таблица14[Ф. И. О.],B132)</f>
        <v>0</v>
      </c>
      <c r="T134" s="544">
        <f t="shared" si="56"/>
        <v>0</v>
      </c>
      <c r="U134" s="472">
        <f>база!$M$5</f>
        <v>247.41720000000001</v>
      </c>
      <c r="V134" s="390">
        <v>1.3</v>
      </c>
      <c r="W134" s="412">
        <f>SUMIFS(Таблица14[часы],Таблица14[коэф],"1,3",Таблица14[р/р],"4/24",Таблица14[Ф. И. О.],B132)</f>
        <v>0</v>
      </c>
      <c r="X134" s="545">
        <f t="shared" si="57"/>
        <v>0</v>
      </c>
      <c r="Y134" s="795"/>
      <c r="Z134" s="797"/>
      <c r="AA134" s="786"/>
    </row>
    <row r="135" spans="1:29">
      <c r="A135" s="786"/>
      <c r="B135" s="216"/>
      <c r="C135" s="789"/>
      <c r="D135" s="792"/>
      <c r="E135" s="393"/>
      <c r="F135" s="390"/>
      <c r="G135" s="400"/>
      <c r="H135" s="544">
        <f t="shared" si="54"/>
        <v>0</v>
      </c>
      <c r="I135" s="389"/>
      <c r="J135" s="390"/>
      <c r="K135" s="434"/>
      <c r="L135" s="434">
        <f t="shared" si="55"/>
        <v>0</v>
      </c>
      <c r="M135" s="434"/>
      <c r="N135" s="434"/>
      <c r="O135" s="434"/>
      <c r="P135" s="395"/>
      <c r="Q135" s="389">
        <f>IF(D127&lt;=3,база!$L$4,
IF(D127=4,база!$L$5,
IF(D127=5,база!$L$6)))</f>
        <v>210.57480000000001</v>
      </c>
      <c r="R135" s="390">
        <v>1.4</v>
      </c>
      <c r="S135" s="400">
        <f>SUMIFS(Таблица14[часы],Таблица14[коэф],"1,4",Таблица14[р/р],"3/16",Таблица14[Ф. И. О.],B132)</f>
        <v>0</v>
      </c>
      <c r="T135" s="544">
        <f t="shared" si="56"/>
        <v>0</v>
      </c>
      <c r="U135" s="472">
        <f>IF(D127&lt;=3,база!$M$4,
IF(D127=4,база!$M$5,
IF(D127=5,база!$M$6)))</f>
        <v>225.09719999999999</v>
      </c>
      <c r="V135" s="390">
        <v>1.4</v>
      </c>
      <c r="W135" s="412">
        <f>SUMIFS(Таблица14[часы],Таблица14[коэф],"1,4",Таблица14[р/р],"3/24",Таблица14[Ф. И. О.],B132)</f>
        <v>0</v>
      </c>
      <c r="X135" s="545">
        <f t="shared" si="57"/>
        <v>0</v>
      </c>
      <c r="Y135" s="795"/>
      <c r="Z135" s="797"/>
      <c r="AA135" s="786"/>
    </row>
    <row r="136" spans="1:29">
      <c r="A136" s="786"/>
      <c r="B136" s="216"/>
      <c r="C136" s="789"/>
      <c r="D136" s="792"/>
      <c r="E136" s="393"/>
      <c r="F136" s="390"/>
      <c r="G136" s="400"/>
      <c r="H136" s="544">
        <f t="shared" si="54"/>
        <v>0</v>
      </c>
      <c r="I136" s="389"/>
      <c r="J136" s="390"/>
      <c r="K136" s="434"/>
      <c r="L136" s="434">
        <f t="shared" si="55"/>
        <v>0</v>
      </c>
      <c r="M136" s="434"/>
      <c r="N136" s="434"/>
      <c r="O136" s="434"/>
      <c r="P136" s="395"/>
      <c r="Q136" s="389">
        <f>база!$L$5</f>
        <v>231.45480000000001</v>
      </c>
      <c r="R136" s="390">
        <v>1.4</v>
      </c>
      <c r="S136" s="400">
        <f>SUMIFS(Таблица14[часы],Таблица14[коэф],"1,4",Таблица14[р/р],"4/16",Таблица14[Ф. И. О.],B132)</f>
        <v>0</v>
      </c>
      <c r="T136" s="544">
        <f t="shared" si="56"/>
        <v>0</v>
      </c>
      <c r="U136" s="472">
        <f>база!$M$5</f>
        <v>247.41720000000001</v>
      </c>
      <c r="V136" s="390">
        <v>1.4</v>
      </c>
      <c r="W136" s="412">
        <f>SUMIFS(Таблица14[часы],Таблица14[коэф],"1,4",Таблица14[р/р],"4/24",Таблица14[Ф. И. О.],B132)</f>
        <v>0</v>
      </c>
      <c r="X136" s="545">
        <f t="shared" si="57"/>
        <v>0</v>
      </c>
      <c r="Y136" s="795"/>
      <c r="Z136" s="797"/>
      <c r="AA136" s="786"/>
    </row>
    <row r="137" spans="1:29" ht="21" thickBot="1">
      <c r="A137" s="787"/>
      <c r="B137" s="203"/>
      <c r="C137" s="790"/>
      <c r="D137" s="793"/>
      <c r="E137" s="463"/>
      <c r="F137" s="464"/>
      <c r="G137" s="465"/>
      <c r="H137" s="549">
        <f t="shared" si="54"/>
        <v>0</v>
      </c>
      <c r="I137" s="473"/>
      <c r="J137" s="464"/>
      <c r="K137" s="457"/>
      <c r="L137" s="457">
        <f t="shared" si="55"/>
        <v>0</v>
      </c>
      <c r="M137" s="457"/>
      <c r="N137" s="457"/>
      <c r="O137" s="457"/>
      <c r="P137" s="458"/>
      <c r="Q137" s="473">
        <f>база!$L$6</f>
        <v>261.04640000000001</v>
      </c>
      <c r="R137" s="464">
        <v>1.4</v>
      </c>
      <c r="S137" s="465">
        <f>SUMIFS(Таблица14[часы],Таблица14[коэф],"1,4",Таблица14[р/р],"5/16",Таблица14[Ф. И. О.],B132)</f>
        <v>0</v>
      </c>
      <c r="T137" s="549">
        <f t="shared" si="56"/>
        <v>0</v>
      </c>
      <c r="U137" s="474">
        <f>база!$M$6</f>
        <v>279.0496</v>
      </c>
      <c r="V137" s="464">
        <v>1.4</v>
      </c>
      <c r="W137" s="470">
        <f>SUMIFS(Таблица14[часы],Таблица14[коэф],"1,4",Таблица14[р/р],"5/24",Таблица14[Ф. И. О.],B132)</f>
        <v>0</v>
      </c>
      <c r="X137" s="547">
        <f t="shared" si="57"/>
        <v>0</v>
      </c>
      <c r="Y137" s="796"/>
      <c r="Z137" s="798"/>
      <c r="AA137" s="787"/>
    </row>
    <row r="138" spans="1:29">
      <c r="A138" s="785">
        <v>13</v>
      </c>
      <c r="B138" s="216"/>
      <c r="C138" s="788">
        <f>INDEX(база!$E$2:$E$81, MATCH(B143,база!$B$2:$B$50,0))</f>
        <v>17332</v>
      </c>
      <c r="D138" s="791">
        <f>INDEX(база!$D$2:$D$89, MATCH(B143,база!$B$2:$B$50,0))</f>
        <v>3</v>
      </c>
      <c r="E138" s="377">
        <f>IF(D138&lt;=3,база!$I$4,
IF(D138=4,база!$I$5,
IF(D138=5,база!$I$6)))</f>
        <v>188.7912</v>
      </c>
      <c r="F138" s="378">
        <v>1</v>
      </c>
      <c r="G138" s="387">
        <f>SUMIFS(Таблица14[часы],Таблица14[коэф],"1",Таблица14[р/р],"2/4",Таблица14[Ф. И. О.],B143)</f>
        <v>0</v>
      </c>
      <c r="H138" s="380">
        <f>ROUND(E138*F138*G138*2,2)</f>
        <v>0</v>
      </c>
      <c r="I138" s="451">
        <f>IF(D138&lt;=3,база!$J$4,
IF(D138=4,база!$J$5,
IF(D138=5,база!$J$6)))</f>
        <v>196.05240000000001</v>
      </c>
      <c r="J138" s="417">
        <v>1</v>
      </c>
      <c r="K138" s="453">
        <f>SUMIFS(Таблица14[часы],Таблица14[коэф],"1",Таблица14[р/р],"2/8",Таблица14[Ф. И. О.],B143)</f>
        <v>0</v>
      </c>
      <c r="L138" s="453">
        <f>ROUND(I138*J138*K138*2,2)</f>
        <v>0</v>
      </c>
      <c r="M138" s="453"/>
      <c r="N138" s="453">
        <v>1</v>
      </c>
      <c r="O138" s="453">
        <f>SUMIFS(Data_Tech!$AM$3:$AM$67,Data_Tech!$E$3:$E$67,"1",Data_Tech!$G$3:$G$67,"3/12",Data_Tech!$F$3:$F$67,B143)</f>
        <v>0</v>
      </c>
      <c r="P138" s="398">
        <f>ROUND(M138*N138*O138,2)</f>
        <v>0</v>
      </c>
      <c r="Q138" s="377">
        <f>IF(D138&lt;=3,база!$L$4,
IF(D138=4,база!$L$5,
IF(D138=5,база!$L$6)))</f>
        <v>210.57480000000001</v>
      </c>
      <c r="R138" s="378">
        <v>1</v>
      </c>
      <c r="S138" s="387">
        <f>SUMIFS(Таблица14[часы],Таблица14[коэф],"1",Таблица14[р/р],"3/16",Таблица14[Ф. И. О.],B143)</f>
        <v>0</v>
      </c>
      <c r="T138" s="380">
        <f>ROUND(Q138*R138*S138*2,2)</f>
        <v>0</v>
      </c>
      <c r="U138" s="462">
        <f>IF(D138&lt;=3,база!$M$4,
IF(D138=4,база!$M$5,
IF(D138=5,база!$M$6)))</f>
        <v>225.09719999999999</v>
      </c>
      <c r="V138" s="378">
        <v>1</v>
      </c>
      <c r="W138" s="483">
        <f>SUMIFS(Таблица14[часы],Таблица14[коэф],"1",Таблица14[р/р],"3/24",Таблица14[Ф. И. О.],B143)</f>
        <v>0</v>
      </c>
      <c r="X138" s="543">
        <f>ROUND(U138*V138*W138*2,2)</f>
        <v>0</v>
      </c>
      <c r="Y138" s="795">
        <f t="shared" ref="Y138" si="58">SUM(G138:G148,K138:K148,O138:O148,S138:S148,W138:W148)</f>
        <v>0</v>
      </c>
      <c r="Z138" s="797">
        <f t="shared" ref="Z138" si="59">IFERROR(SUM(H138:H148,L138:L148,T138:T148,X138:X148),"")</f>
        <v>0</v>
      </c>
      <c r="AA138" s="786"/>
    </row>
    <row r="139" spans="1:29">
      <c r="A139" s="786"/>
      <c r="B139" s="216"/>
      <c r="C139" s="789"/>
      <c r="D139" s="792"/>
      <c r="E139" s="389">
        <f>IF(D138&lt;=3,база!$I$4,
IF(D138=4,база!$I$5,
IF(D138=5,база!$I$6)))</f>
        <v>188.7912</v>
      </c>
      <c r="F139" s="390">
        <v>1</v>
      </c>
      <c r="G139" s="400">
        <f>SUMIFS(Таблица14[часы],Таблица14[коэф],"1",Таблица14[р/р],"3/4",Таблица14[Ф. И. О.],B143)</f>
        <v>0</v>
      </c>
      <c r="H139" s="392">
        <f t="shared" ref="H139:H148" si="60">ROUND(E139*F139*G139*2,2)</f>
        <v>0</v>
      </c>
      <c r="I139" s="393">
        <f>IF(D138&lt;=3,база!$J$4,
IF(D138=4,база!$J$5,
IF(D138=5,база!$J$6)))</f>
        <v>196.05240000000001</v>
      </c>
      <c r="J139" s="390">
        <v>1</v>
      </c>
      <c r="K139" s="434">
        <f>SUMIFS(Таблица14[часы],Таблица14[коэф],"1",Таблица14[р/р],"3/8",Таблица14[Ф. И. О.],B143)</f>
        <v>0</v>
      </c>
      <c r="L139" s="434">
        <f t="shared" ref="L139:L148" si="61">ROUND(I139*J139*K139*2,2)</f>
        <v>0</v>
      </c>
      <c r="M139" s="434"/>
      <c r="N139" s="434">
        <v>1</v>
      </c>
      <c r="O139" s="434">
        <f>SUMIFS(Data_Tech!$AM$3:$AM$67,Data_Tech!$E$3:$E$67,"1",Data_Tech!$G$3:$G$67,"4/12",Data_Tech!$F$3:$F$67,B143)</f>
        <v>0</v>
      </c>
      <c r="P139" s="406">
        <f>ROUND(M139*O139,2)</f>
        <v>0</v>
      </c>
      <c r="Q139" s="389">
        <f>база!$L$5</f>
        <v>231.45480000000001</v>
      </c>
      <c r="R139" s="390">
        <v>1</v>
      </c>
      <c r="S139" s="400">
        <f>SUMIFS(Таблица14[часы],Таблица14[коэф],"1",Таблица14[р/р],"4/16",Таблица14[Ф. И. О.],B143)</f>
        <v>0</v>
      </c>
      <c r="T139" s="392">
        <f t="shared" ref="T139:T148" si="62">ROUND(Q139*R139*S139*2,2)</f>
        <v>0</v>
      </c>
      <c r="U139" s="410">
        <f>база!$M$5</f>
        <v>247.41720000000001</v>
      </c>
      <c r="V139" s="390">
        <v>1</v>
      </c>
      <c r="W139" s="478">
        <f>SUMIFS(Таблица14[часы],Таблица14[коэф],"1",Таблица14[р/р],"4/24",Таблица14[Ф. И. О.],B143)</f>
        <v>0</v>
      </c>
      <c r="X139" s="545">
        <f t="shared" ref="X139:X148" si="63">ROUND(U139*V139*W139*2,2)</f>
        <v>0</v>
      </c>
      <c r="Y139" s="795"/>
      <c r="Z139" s="797"/>
      <c r="AA139" s="786"/>
    </row>
    <row r="140" spans="1:29">
      <c r="A140" s="786"/>
      <c r="B140" s="216"/>
      <c r="C140" s="789"/>
      <c r="D140" s="792"/>
      <c r="E140" s="389"/>
      <c r="F140" s="390"/>
      <c r="G140" s="400"/>
      <c r="H140" s="392">
        <f t="shared" si="60"/>
        <v>0</v>
      </c>
      <c r="I140" s="393"/>
      <c r="J140" s="390"/>
      <c r="K140" s="434"/>
      <c r="L140" s="434">
        <f t="shared" si="61"/>
        <v>0</v>
      </c>
      <c r="M140" s="434"/>
      <c r="N140" s="434"/>
      <c r="O140" s="434"/>
      <c r="P140" s="406"/>
      <c r="Q140" s="389">
        <f>база!$L$6</f>
        <v>261.04640000000001</v>
      </c>
      <c r="R140" s="390">
        <v>1</v>
      </c>
      <c r="S140" s="400">
        <f>SUMIFS(Таблица14[часы],Таблица14[коэф],"1",Таблица14[р/р],"5/16",Таблица14[Ф. И. О.],B143)</f>
        <v>0</v>
      </c>
      <c r="T140" s="392">
        <f t="shared" si="62"/>
        <v>0</v>
      </c>
      <c r="U140" s="410">
        <f>база!$M$6</f>
        <v>279.0496</v>
      </c>
      <c r="V140" s="390">
        <v>1</v>
      </c>
      <c r="W140" s="478">
        <f>SUMIFS(Таблица14[часы],Таблица14[коэф],"1",Таблица14[р/р],"5/24",Таблица14[Ф. И. О.],B143)</f>
        <v>0</v>
      </c>
      <c r="X140" s="545">
        <f t="shared" si="63"/>
        <v>0</v>
      </c>
      <c r="Y140" s="795"/>
      <c r="Z140" s="797"/>
      <c r="AA140" s="786"/>
    </row>
    <row r="141" spans="1:29">
      <c r="A141" s="786"/>
      <c r="B141" s="216"/>
      <c r="C141" s="789"/>
      <c r="D141" s="792"/>
      <c r="E141" s="389"/>
      <c r="F141" s="390"/>
      <c r="G141" s="400"/>
      <c r="H141" s="392">
        <f t="shared" si="60"/>
        <v>0</v>
      </c>
      <c r="I141" s="393">
        <f>база!$J$5</f>
        <v>215.4924</v>
      </c>
      <c r="J141" s="390">
        <v>1.5</v>
      </c>
      <c r="K141" s="434">
        <f>SUMIFS(Таблица14[часы],Таблица14[коэф],"1,5",Таблица14[р/р],"4/8",Таблица14[Ф. И. О.],B143)</f>
        <v>0</v>
      </c>
      <c r="L141" s="434">
        <f t="shared" si="61"/>
        <v>0</v>
      </c>
      <c r="M141" s="434"/>
      <c r="N141" s="434"/>
      <c r="O141" s="434"/>
      <c r="P141" s="406"/>
      <c r="Q141" s="389">
        <f>IF(D138&lt;=3,база!$L$4,
IF(D138=4,база!$L$5,
IF(D138=5,база!$L$6)))</f>
        <v>210.57480000000001</v>
      </c>
      <c r="R141" s="390">
        <v>1.2</v>
      </c>
      <c r="S141" s="400">
        <f>SUMIFS(Таблица14[часы],Таблица14[коэф],"1,2",Таблица14[р/р],"3/16",Таблица14[Ф. И. О.],B143)</f>
        <v>0</v>
      </c>
      <c r="T141" s="392">
        <f t="shared" si="62"/>
        <v>0</v>
      </c>
      <c r="U141" s="410">
        <f>IF(D138&lt;=3,база!$M$4,
IF(D138=4,база!$M$5,
IF(D138=5,база!$M$6)))</f>
        <v>225.09719999999999</v>
      </c>
      <c r="V141" s="390">
        <v>1.2</v>
      </c>
      <c r="W141" s="478">
        <f>SUMIFS(Таблица14[часы],Таблица14[коэф],"1,2",Таблица14[р/р],"3/24",Таблица14[Ф. И. О.],B143)</f>
        <v>0</v>
      </c>
      <c r="X141" s="545">
        <f t="shared" si="63"/>
        <v>0</v>
      </c>
      <c r="Y141" s="795"/>
      <c r="Z141" s="797"/>
      <c r="AA141" s="786"/>
    </row>
    <row r="142" spans="1:29">
      <c r="A142" s="786"/>
      <c r="B142" s="216"/>
      <c r="C142" s="789"/>
      <c r="D142" s="792"/>
      <c r="E142" s="389"/>
      <c r="F142" s="390"/>
      <c r="G142" s="400"/>
      <c r="H142" s="392">
        <f t="shared" si="60"/>
        <v>0</v>
      </c>
      <c r="I142" s="393">
        <f>база!$J$6</f>
        <v>243.04319999999998</v>
      </c>
      <c r="J142" s="390">
        <v>1.5</v>
      </c>
      <c r="K142" s="434">
        <f>SUMIFS(Таблица14[часы],Таблица14[коэф],"1,5",Таблица14[р/р],"5/8",Таблица14[Ф. И. О.],B143)</f>
        <v>0</v>
      </c>
      <c r="L142" s="434">
        <f t="shared" si="61"/>
        <v>0</v>
      </c>
      <c r="M142" s="434"/>
      <c r="N142" s="434"/>
      <c r="O142" s="434"/>
      <c r="P142" s="406"/>
      <c r="Q142" s="389">
        <f>база!$L$5</f>
        <v>231.45480000000001</v>
      </c>
      <c r="R142" s="390">
        <v>1.2</v>
      </c>
      <c r="S142" s="400">
        <f>SUMIFS(Таблица14[часы],Таблица14[коэф],"1,2",Таблица14[р/р],"4/16",Таблица14[Ф. И. О.],B143)</f>
        <v>0</v>
      </c>
      <c r="T142" s="392">
        <f t="shared" si="62"/>
        <v>0</v>
      </c>
      <c r="U142" s="410">
        <f>база!$M$5</f>
        <v>247.41720000000001</v>
      </c>
      <c r="V142" s="390">
        <v>1.2</v>
      </c>
      <c r="W142" s="478">
        <f>SUMIFS(Таблица14[часы],Таблица14[коэф],"1,2",Таблица14[р/р],"4/24",Таблица14[Ф. И. О.],B143)</f>
        <v>0</v>
      </c>
      <c r="X142" s="545">
        <f t="shared" si="63"/>
        <v>0</v>
      </c>
      <c r="Y142" s="795"/>
      <c r="Z142" s="797"/>
      <c r="AA142" s="786"/>
      <c r="AC142" s="754" t="str">
        <f>IF(SUMIFS(Таблица14[Столбец2],Таблица14[Ф. И. О.],B143)-Z138=0,"",SUMIFS(Таблица14[Столбец2],Таблица14[Ф. И. О.],B143)-Z138)</f>
        <v/>
      </c>
    </row>
    <row r="143" spans="1:29">
      <c r="A143" s="786"/>
      <c r="B143" s="216" t="str">
        <f>база!B14</f>
        <v>Васильева Марина Витальевна</v>
      </c>
      <c r="C143" s="789"/>
      <c r="D143" s="792"/>
      <c r="E143" s="389"/>
      <c r="F143" s="390"/>
      <c r="G143" s="400"/>
      <c r="H143" s="392">
        <f t="shared" si="60"/>
        <v>0</v>
      </c>
      <c r="I143" s="393"/>
      <c r="J143" s="390"/>
      <c r="K143" s="434"/>
      <c r="L143" s="434">
        <f t="shared" si="61"/>
        <v>0</v>
      </c>
      <c r="M143" s="434"/>
      <c r="N143" s="434"/>
      <c r="O143" s="434"/>
      <c r="P143" s="406"/>
      <c r="Q143" s="389">
        <f>база!$L$6</f>
        <v>261.04640000000001</v>
      </c>
      <c r="R143" s="390">
        <v>1.2</v>
      </c>
      <c r="S143" s="400">
        <f>SUMIFS(Таблица14[часы],Таблица14[коэф],"1,2",Таблица14[р/р],"5/16",Таблица14[Ф. И. О.],B143)</f>
        <v>0</v>
      </c>
      <c r="T143" s="392">
        <f t="shared" si="62"/>
        <v>0</v>
      </c>
      <c r="U143" s="410">
        <f>база!$M$6</f>
        <v>279.0496</v>
      </c>
      <c r="V143" s="390">
        <v>1.2</v>
      </c>
      <c r="W143" s="478">
        <f>SUMIFS(Таблица14[часы],Таблица14[коэф],"1,2",Таблица14[р/р],"5/24",Таблица14[Ф. И. О.],B143)</f>
        <v>0</v>
      </c>
      <c r="X143" s="545">
        <f t="shared" si="63"/>
        <v>0</v>
      </c>
      <c r="Y143" s="795"/>
      <c r="Z143" s="797"/>
      <c r="AA143" s="786"/>
      <c r="AC143" s="754" t="str">
        <f>IF(SUMIFS(Таблица14[часы],Таблица14[Ф. И. О.],B143)-Y138=0,"",SUMIFS(Таблица14[часы],Таблица14[Ф. И. О.],B143)-Y138)</f>
        <v/>
      </c>
    </row>
    <row r="144" spans="1:29">
      <c r="A144" s="786"/>
      <c r="B144" s="216"/>
      <c r="C144" s="789"/>
      <c r="D144" s="792"/>
      <c r="E144" s="389"/>
      <c r="F144" s="390"/>
      <c r="G144" s="400"/>
      <c r="H144" s="392">
        <f t="shared" si="60"/>
        <v>0</v>
      </c>
      <c r="I144" s="393"/>
      <c r="J144" s="390"/>
      <c r="K144" s="434"/>
      <c r="L144" s="434">
        <f t="shared" si="61"/>
        <v>0</v>
      </c>
      <c r="M144" s="434"/>
      <c r="N144" s="434"/>
      <c r="O144" s="434"/>
      <c r="P144" s="406"/>
      <c r="Q144" s="389">
        <f>IF(D138&lt;=3,база!$L$4,
IF(D138=4,база!$L$5,
IF(D138=5,база!$L$6)))</f>
        <v>210.57480000000001</v>
      </c>
      <c r="R144" s="390">
        <v>1.3</v>
      </c>
      <c r="S144" s="400">
        <f>SUMIFS(Таблица14[часы],Таблица14[коэф],"1,3",Таблица14[р/р],"3/16",Таблица14[Ф. И. О.],B143)</f>
        <v>0</v>
      </c>
      <c r="T144" s="392">
        <f t="shared" si="62"/>
        <v>0</v>
      </c>
      <c r="U144" s="410">
        <f>IF(D138&lt;=3,база!$M$4,
IF(D138=4,база!$M$5,
IF(D138=5,база!$M$6)))</f>
        <v>225.09719999999999</v>
      </c>
      <c r="V144" s="390">
        <v>1.3</v>
      </c>
      <c r="W144" s="478">
        <f>SUMIFS(Таблица14[часы],Таблица14[коэф],"1,3",Таблица14[р/р],"3/24",Таблица14[Ф. И. О.],B143)</f>
        <v>0</v>
      </c>
      <c r="X144" s="545">
        <f t="shared" si="63"/>
        <v>0</v>
      </c>
      <c r="Y144" s="795"/>
      <c r="Z144" s="797"/>
      <c r="AA144" s="786"/>
    </row>
    <row r="145" spans="1:29">
      <c r="A145" s="786"/>
      <c r="B145" s="216"/>
      <c r="C145" s="789"/>
      <c r="D145" s="792"/>
      <c r="E145" s="389"/>
      <c r="F145" s="390"/>
      <c r="G145" s="400"/>
      <c r="H145" s="392">
        <f t="shared" si="60"/>
        <v>0</v>
      </c>
      <c r="I145" s="393"/>
      <c r="J145" s="390"/>
      <c r="K145" s="434"/>
      <c r="L145" s="434">
        <f t="shared" si="61"/>
        <v>0</v>
      </c>
      <c r="M145" s="434"/>
      <c r="N145" s="434"/>
      <c r="O145" s="434"/>
      <c r="P145" s="406"/>
      <c r="Q145" s="389">
        <f>база!$L$5</f>
        <v>231.45480000000001</v>
      </c>
      <c r="R145" s="390">
        <v>1.3</v>
      </c>
      <c r="S145" s="400">
        <f>SUMIFS(Таблица14[часы],Таблица14[коэф],"1,3",Таблица14[р/р],"4/16",Таблица14[Ф. И. О.],B143)</f>
        <v>0</v>
      </c>
      <c r="T145" s="392">
        <f t="shared" si="62"/>
        <v>0</v>
      </c>
      <c r="U145" s="410">
        <f>база!$M$5</f>
        <v>247.41720000000001</v>
      </c>
      <c r="V145" s="390">
        <v>1.3</v>
      </c>
      <c r="W145" s="478">
        <f>SUMIFS(Таблица14[часы],Таблица14[коэф],"1,3",Таблица14[р/р],"4/24",Таблица14[Ф. И. О.],B143)</f>
        <v>0</v>
      </c>
      <c r="X145" s="545">
        <f t="shared" si="63"/>
        <v>0</v>
      </c>
      <c r="Y145" s="795"/>
      <c r="Z145" s="797"/>
      <c r="AA145" s="786"/>
    </row>
    <row r="146" spans="1:29">
      <c r="A146" s="786"/>
      <c r="B146" s="216"/>
      <c r="C146" s="789"/>
      <c r="D146" s="792"/>
      <c r="E146" s="389"/>
      <c r="F146" s="390"/>
      <c r="G146" s="400"/>
      <c r="H146" s="392">
        <f t="shared" si="60"/>
        <v>0</v>
      </c>
      <c r="I146" s="393"/>
      <c r="J146" s="390"/>
      <c r="K146" s="434"/>
      <c r="L146" s="434">
        <f t="shared" si="61"/>
        <v>0</v>
      </c>
      <c r="M146" s="434"/>
      <c r="N146" s="434"/>
      <c r="O146" s="434"/>
      <c r="P146" s="406"/>
      <c r="Q146" s="389">
        <f>IF(D138&lt;=3,база!$L$4,
IF(D138=4,база!$L$5,
IF(D138=5,база!$L$6)))</f>
        <v>210.57480000000001</v>
      </c>
      <c r="R146" s="390">
        <v>1.4</v>
      </c>
      <c r="S146" s="400">
        <f>SUMIFS(Таблица14[часы],Таблица14[коэф],"1,4",Таблица14[р/р],"3/16",Таблица14[Ф. И. О.],B143)</f>
        <v>0</v>
      </c>
      <c r="T146" s="392">
        <f t="shared" si="62"/>
        <v>0</v>
      </c>
      <c r="U146" s="410">
        <f>IF(D138&lt;=3,база!$M$4,
IF(D138=4,база!$M$5,
IF(D138=5,база!$M$6)))</f>
        <v>225.09719999999999</v>
      </c>
      <c r="V146" s="390">
        <v>1.4</v>
      </c>
      <c r="W146" s="478">
        <f>SUMIFS(Таблица14[часы],Таблица14[коэф],"1,4",Таблица14[р/р],"3/24",Таблица14[Ф. И. О.],B143)</f>
        <v>0</v>
      </c>
      <c r="X146" s="545">
        <f t="shared" si="63"/>
        <v>0</v>
      </c>
      <c r="Y146" s="795"/>
      <c r="Z146" s="797"/>
      <c r="AA146" s="786"/>
    </row>
    <row r="147" spans="1:29">
      <c r="A147" s="786"/>
      <c r="B147" s="216"/>
      <c r="C147" s="789"/>
      <c r="D147" s="792"/>
      <c r="E147" s="389"/>
      <c r="F147" s="390"/>
      <c r="G147" s="400"/>
      <c r="H147" s="392">
        <f t="shared" si="60"/>
        <v>0</v>
      </c>
      <c r="I147" s="393"/>
      <c r="J147" s="390"/>
      <c r="K147" s="434"/>
      <c r="L147" s="434">
        <f t="shared" si="61"/>
        <v>0</v>
      </c>
      <c r="M147" s="434"/>
      <c r="N147" s="434"/>
      <c r="O147" s="434"/>
      <c r="P147" s="406"/>
      <c r="Q147" s="389">
        <f>база!$L$5</f>
        <v>231.45480000000001</v>
      </c>
      <c r="R147" s="390">
        <v>1.4</v>
      </c>
      <c r="S147" s="400">
        <f>SUMIFS(Таблица14[часы],Таблица14[коэф],"1,4",Таблица14[р/р],"4/16",Таблица14[Ф. И. О.],B143)</f>
        <v>0</v>
      </c>
      <c r="T147" s="392">
        <f t="shared" si="62"/>
        <v>0</v>
      </c>
      <c r="U147" s="410">
        <f>база!$M$5</f>
        <v>247.41720000000001</v>
      </c>
      <c r="V147" s="390">
        <v>1.4</v>
      </c>
      <c r="W147" s="478">
        <f>SUMIFS(Таблица14[часы],Таблица14[коэф],"1,4",Таблица14[р/р],"4/24",Таблица14[Ф. И. О.],B143)</f>
        <v>0</v>
      </c>
      <c r="X147" s="545">
        <f t="shared" si="63"/>
        <v>0</v>
      </c>
      <c r="Y147" s="795"/>
      <c r="Z147" s="797"/>
      <c r="AA147" s="786"/>
    </row>
    <row r="148" spans="1:29" ht="21" thickBot="1">
      <c r="A148" s="787"/>
      <c r="B148" s="216"/>
      <c r="C148" s="790"/>
      <c r="D148" s="793"/>
      <c r="E148" s="420"/>
      <c r="F148" s="403"/>
      <c r="G148" s="408"/>
      <c r="H148" s="409">
        <f t="shared" si="60"/>
        <v>0</v>
      </c>
      <c r="I148" s="422"/>
      <c r="J148" s="403"/>
      <c r="K148" s="460"/>
      <c r="L148" s="460">
        <f t="shared" si="61"/>
        <v>0</v>
      </c>
      <c r="M148" s="460"/>
      <c r="N148" s="460"/>
      <c r="O148" s="460"/>
      <c r="P148" s="479"/>
      <c r="Q148" s="420">
        <f>база!$L$6</f>
        <v>261.04640000000001</v>
      </c>
      <c r="R148" s="403">
        <v>1.4</v>
      </c>
      <c r="S148" s="408">
        <f>SUMIFS(Таблица14[часы],Таблица14[коэф],"1,4",Таблица14[р/р],"5/16",Таблица14[Ф. И. О.],B143)</f>
        <v>0</v>
      </c>
      <c r="T148" s="409">
        <f t="shared" si="62"/>
        <v>0</v>
      </c>
      <c r="U148" s="461">
        <f>база!$M$6</f>
        <v>279.0496</v>
      </c>
      <c r="V148" s="403">
        <v>1.4</v>
      </c>
      <c r="W148" s="551">
        <f>SUMIFS(Таблица14[часы],Таблица14[коэф],"1,4",Таблица14[р/р],"5/24",Таблица14[Ф. И. О.],B143)</f>
        <v>0</v>
      </c>
      <c r="X148" s="550">
        <f t="shared" si="63"/>
        <v>0</v>
      </c>
      <c r="Y148" s="796"/>
      <c r="Z148" s="798"/>
      <c r="AA148" s="787"/>
    </row>
    <row r="149" spans="1:29">
      <c r="A149" s="785">
        <v>14</v>
      </c>
      <c r="B149" s="236"/>
      <c r="C149" s="788">
        <f>INDEX(база!$E$2:$E$81, MATCH(B154,база!$B$2:$B$50,0))</f>
        <v>17198</v>
      </c>
      <c r="D149" s="791">
        <f>INDEX(база!$D$2:$D$89, MATCH(B154,база!$B$2:$B$50,0))</f>
        <v>3</v>
      </c>
      <c r="E149" s="377">
        <f>IF(D149&lt;=3,база!$I$4,
IF(D149=4,база!$I$5,
IF(D149=5,база!$I$6)))</f>
        <v>188.7912</v>
      </c>
      <c r="F149" s="378">
        <v>1</v>
      </c>
      <c r="G149" s="387">
        <f>SUMIFS(Таблица14[часы],Таблица14[коэф],"1",Таблица14[р/р],"2/4",Таблица14[Ф. И. О.],B154)</f>
        <v>0</v>
      </c>
      <c r="H149" s="380">
        <f>ROUND(E149*F149*G149*2,2)</f>
        <v>0</v>
      </c>
      <c r="I149" s="381">
        <f>IF(D149&lt;=3,база!$J$4,
IF(D149=4,база!$J$5,
IF(D149=5,база!$J$6)))</f>
        <v>196.05240000000001</v>
      </c>
      <c r="J149" s="378">
        <v>1</v>
      </c>
      <c r="K149" s="428">
        <f>SUMIFS(Таблица14[часы],Таблица14[коэф],"1",Таблица14[р/р],"2/8",Таблица14[Ф. И. О.],B154)</f>
        <v>0</v>
      </c>
      <c r="L149" s="428">
        <f>ROUND(I149*J149*K149*2,2)</f>
        <v>0</v>
      </c>
      <c r="M149" s="428"/>
      <c r="N149" s="428">
        <v>1</v>
      </c>
      <c r="O149" s="428">
        <f>SUMIFS(Data_Tech!$AM$3:$AM$67,Data_Tech!$E$3:$E$67,"1",Data_Tech!$G$3:$G$67,"3/12",Data_Tech!$F$3:$F$67,B154)</f>
        <v>0</v>
      </c>
      <c r="P149" s="385">
        <f>ROUND(M149*N149*O149,2)</f>
        <v>0</v>
      </c>
      <c r="Q149" s="377">
        <f>IF(D149&lt;=3,база!$L$4,
IF(D149=4,база!$L$5,
IF(D149=5,база!$L$6)))</f>
        <v>210.57480000000001</v>
      </c>
      <c r="R149" s="378">
        <v>1</v>
      </c>
      <c r="S149" s="387">
        <f>SUMIFS(Таблица14[часы],Таблица14[коэф],"1",Таблица14[р/р],"3/16",Таблица14[Ф. И. О.],B154)</f>
        <v>0</v>
      </c>
      <c r="T149" s="380">
        <f>ROUND(Q149*R149*S149*2,2)</f>
        <v>0</v>
      </c>
      <c r="U149" s="462">
        <f>IF(D149&lt;=3,база!$M$4,
IF(D149=4,база!$M$5,
IF(D149=5,база!$M$6)))</f>
        <v>225.09719999999999</v>
      </c>
      <c r="V149" s="378">
        <v>1</v>
      </c>
      <c r="W149" s="477">
        <f>SUMIFS(Таблица14[часы],Таблица14[коэф],"1",Таблица14[р/р],"3/24",Таблица14[Ф. И. О.],B154)</f>
        <v>0</v>
      </c>
      <c r="X149" s="543">
        <f>ROUND(U149*V149*W149*2,2)</f>
        <v>0</v>
      </c>
      <c r="Y149" s="795">
        <f t="shared" ref="Y149" si="64">SUM(G149:G159,K149:K159,O149:O159,S149:S159,W149:W159)</f>
        <v>0</v>
      </c>
      <c r="Z149" s="797">
        <f t="shared" ref="Z149" si="65">IFERROR(SUM(H149:H159,L149:L159,T149:T159,X149:X159),"")</f>
        <v>0</v>
      </c>
      <c r="AA149" s="786"/>
    </row>
    <row r="150" spans="1:29">
      <c r="A150" s="786"/>
      <c r="B150" s="216"/>
      <c r="C150" s="789"/>
      <c r="D150" s="792"/>
      <c r="E150" s="389">
        <f>IF(D149&lt;=3,база!$I$4,
IF(D149=4,база!$I$5,
IF(D149=5,база!$I$6)))</f>
        <v>188.7912</v>
      </c>
      <c r="F150" s="390">
        <v>1</v>
      </c>
      <c r="G150" s="400">
        <f>SUMIFS(Таблица14[часы],Таблица14[коэф],"1",Таблица14[р/р],"3/4",Таблица14[Ф. И. О.],B154)</f>
        <v>0</v>
      </c>
      <c r="H150" s="392">
        <f t="shared" ref="H150:H159" si="66">ROUND(E150*F150*G150*2,2)</f>
        <v>0</v>
      </c>
      <c r="I150" s="393">
        <f>IF(D149&lt;=3,база!$J$4,
IF(D149=4,база!$J$5,
IF(D149=5,база!$J$6)))</f>
        <v>196.05240000000001</v>
      </c>
      <c r="J150" s="390">
        <v>1</v>
      </c>
      <c r="K150" s="434">
        <f>SUMIFS(Таблица14[часы],Таблица14[коэф],"1",Таблица14[р/р],"3/8",Таблица14[Ф. И. О.],B154)</f>
        <v>0</v>
      </c>
      <c r="L150" s="434">
        <f t="shared" ref="L150:L159" si="67">ROUND(I150*J150*K150*2,2)</f>
        <v>0</v>
      </c>
      <c r="M150" s="434"/>
      <c r="N150" s="434">
        <v>1</v>
      </c>
      <c r="O150" s="434">
        <f>SUMIFS(Data_Tech!$AM$3:$AM$67,Data_Tech!$E$3:$E$67,"1",Data_Tech!$G$3:$G$67,"4/12",Data_Tech!$F$3:$F$67,B154)</f>
        <v>0</v>
      </c>
      <c r="P150" s="406">
        <f>ROUND(M150*O150,2)</f>
        <v>0</v>
      </c>
      <c r="Q150" s="389">
        <f>база!$L$5</f>
        <v>231.45480000000001</v>
      </c>
      <c r="R150" s="390">
        <v>1</v>
      </c>
      <c r="S150" s="400">
        <f>SUMIFS(Таблица14[часы],Таблица14[коэф],"1",Таблица14[р/р],"4/16",Таблица14[Ф. И. О.],B154)</f>
        <v>0</v>
      </c>
      <c r="T150" s="392">
        <f t="shared" ref="T150:T159" si="68">ROUND(Q150*R150*S150*2,2)</f>
        <v>0</v>
      </c>
      <c r="U150" s="410">
        <f>база!$M$5</f>
        <v>247.41720000000001</v>
      </c>
      <c r="V150" s="390">
        <v>1</v>
      </c>
      <c r="W150" s="478">
        <f>SUMIFS(Таблица14[часы],Таблица14[коэф],"1",Таблица14[р/р],"4/24",Таблица14[Ф. И. О.],B154)</f>
        <v>0</v>
      </c>
      <c r="X150" s="545">
        <f t="shared" ref="X150:X159" si="69">ROUND(U150*V150*W150*2,2)</f>
        <v>0</v>
      </c>
      <c r="Y150" s="795"/>
      <c r="Z150" s="797"/>
      <c r="AA150" s="786"/>
    </row>
    <row r="151" spans="1:29">
      <c r="A151" s="786"/>
      <c r="B151" s="216"/>
      <c r="C151" s="789"/>
      <c r="D151" s="792"/>
      <c r="E151" s="389"/>
      <c r="F151" s="390"/>
      <c r="G151" s="400"/>
      <c r="H151" s="392">
        <f t="shared" si="66"/>
        <v>0</v>
      </c>
      <c r="I151" s="393"/>
      <c r="J151" s="390"/>
      <c r="K151" s="434"/>
      <c r="L151" s="434">
        <f t="shared" si="67"/>
        <v>0</v>
      </c>
      <c r="M151" s="434"/>
      <c r="N151" s="434"/>
      <c r="O151" s="434"/>
      <c r="P151" s="406"/>
      <c r="Q151" s="389">
        <f>база!$L$6</f>
        <v>261.04640000000001</v>
      </c>
      <c r="R151" s="390">
        <v>1</v>
      </c>
      <c r="S151" s="400">
        <f>SUMIFS(Таблица14[часы],Таблица14[коэф],"1",Таблица14[р/р],"5/16",Таблица14[Ф. И. О.],B154)</f>
        <v>0</v>
      </c>
      <c r="T151" s="392">
        <f t="shared" si="68"/>
        <v>0</v>
      </c>
      <c r="U151" s="410">
        <f>база!$M$6</f>
        <v>279.0496</v>
      </c>
      <c r="V151" s="390">
        <v>1</v>
      </c>
      <c r="W151" s="478">
        <f>SUMIFS(Таблица14[часы],Таблица14[коэф],"1",Таблица14[р/р],"5/24",Таблица14[Ф. И. О.],B154)</f>
        <v>0</v>
      </c>
      <c r="X151" s="545">
        <f t="shared" si="69"/>
        <v>0</v>
      </c>
      <c r="Y151" s="795"/>
      <c r="Z151" s="797"/>
      <c r="AA151" s="786"/>
    </row>
    <row r="152" spans="1:29">
      <c r="A152" s="786"/>
      <c r="B152" s="216"/>
      <c r="C152" s="789"/>
      <c r="D152" s="792"/>
      <c r="E152" s="389"/>
      <c r="F152" s="390"/>
      <c r="G152" s="400"/>
      <c r="H152" s="392">
        <f t="shared" si="66"/>
        <v>0</v>
      </c>
      <c r="I152" s="393">
        <f>база!$J$5</f>
        <v>215.4924</v>
      </c>
      <c r="J152" s="390">
        <v>1.5</v>
      </c>
      <c r="K152" s="434">
        <f>SUMIFS(Таблица14[часы],Таблица14[коэф],"1,5",Таблица14[р/р],"4/8",Таблица14[Ф. И. О.],B154)</f>
        <v>0</v>
      </c>
      <c r="L152" s="434">
        <f t="shared" si="67"/>
        <v>0</v>
      </c>
      <c r="M152" s="434"/>
      <c r="N152" s="434"/>
      <c r="O152" s="434"/>
      <c r="P152" s="406"/>
      <c r="Q152" s="389">
        <f>IF(D149&lt;=3,база!$L$4,
IF(D149=4,база!$L$5,
IF(D149=5,база!$L$6)))</f>
        <v>210.57480000000001</v>
      </c>
      <c r="R152" s="390">
        <v>1.2</v>
      </c>
      <c r="S152" s="400">
        <f>SUMIFS(Таблица14[часы],Таблица14[коэф],"1,2",Таблица14[р/р],"3/16",Таблица14[Ф. И. О.],B154)</f>
        <v>0</v>
      </c>
      <c r="T152" s="392">
        <f t="shared" si="68"/>
        <v>0</v>
      </c>
      <c r="U152" s="410">
        <f>IF(D149&lt;=3,база!$M$4,
IF(D149=4,база!$M$5,
IF(D149=5,база!$M$6)))</f>
        <v>225.09719999999999</v>
      </c>
      <c r="V152" s="390">
        <v>1.2</v>
      </c>
      <c r="W152" s="478">
        <f>SUMIFS(Таблица14[часы],Таблица14[коэф],"1,2",Таблица14[р/р],"3/24",Таблица14[Ф. И. О.],B154)</f>
        <v>0</v>
      </c>
      <c r="X152" s="545">
        <f t="shared" si="69"/>
        <v>0</v>
      </c>
      <c r="Y152" s="795"/>
      <c r="Z152" s="797"/>
      <c r="AA152" s="786"/>
    </row>
    <row r="153" spans="1:29">
      <c r="A153" s="786"/>
      <c r="B153" s="216"/>
      <c r="C153" s="789"/>
      <c r="D153" s="792"/>
      <c r="E153" s="389"/>
      <c r="F153" s="390"/>
      <c r="G153" s="400"/>
      <c r="H153" s="392">
        <f t="shared" si="66"/>
        <v>0</v>
      </c>
      <c r="I153" s="393">
        <f>база!$J$6</f>
        <v>243.04319999999998</v>
      </c>
      <c r="J153" s="390">
        <v>1.5</v>
      </c>
      <c r="K153" s="434">
        <f>SUMIFS(Таблица14[часы],Таблица14[коэф],"1,5",Таблица14[р/р],"5/8",Таблица14[Ф. И. О.],B154)</f>
        <v>0</v>
      </c>
      <c r="L153" s="434">
        <f t="shared" si="67"/>
        <v>0</v>
      </c>
      <c r="M153" s="434"/>
      <c r="N153" s="434"/>
      <c r="O153" s="434"/>
      <c r="P153" s="406"/>
      <c r="Q153" s="389">
        <f>база!$L$5</f>
        <v>231.45480000000001</v>
      </c>
      <c r="R153" s="390">
        <v>1.2</v>
      </c>
      <c r="S153" s="400">
        <f>SUMIFS(Таблица14[часы],Таблица14[коэф],"1,2",Таблица14[р/р],"4/16",Таблица14[Ф. И. О.],B154)</f>
        <v>0</v>
      </c>
      <c r="T153" s="392">
        <f t="shared" si="68"/>
        <v>0</v>
      </c>
      <c r="U153" s="410">
        <f>база!$M$5</f>
        <v>247.41720000000001</v>
      </c>
      <c r="V153" s="390">
        <v>1.2</v>
      </c>
      <c r="W153" s="478">
        <f>SUMIFS(Таблица14[часы],Таблица14[коэф],"1,2",Таблица14[р/р],"4/24",Таблица14[Ф. И. О.],B154)</f>
        <v>0</v>
      </c>
      <c r="X153" s="545">
        <f t="shared" si="69"/>
        <v>0</v>
      </c>
      <c r="Y153" s="795"/>
      <c r="Z153" s="797"/>
      <c r="AA153" s="786"/>
    </row>
    <row r="154" spans="1:29">
      <c r="A154" s="786"/>
      <c r="B154" s="216" t="str">
        <f>база!B15</f>
        <v>Волошина Светлана Владимировна</v>
      </c>
      <c r="C154" s="789"/>
      <c r="D154" s="792"/>
      <c r="E154" s="389"/>
      <c r="F154" s="390"/>
      <c r="G154" s="400"/>
      <c r="H154" s="392">
        <f t="shared" si="66"/>
        <v>0</v>
      </c>
      <c r="I154" s="393"/>
      <c r="J154" s="390"/>
      <c r="K154" s="434"/>
      <c r="L154" s="434">
        <f t="shared" si="67"/>
        <v>0</v>
      </c>
      <c r="M154" s="434"/>
      <c r="N154" s="434"/>
      <c r="O154" s="434"/>
      <c r="P154" s="406"/>
      <c r="Q154" s="389">
        <f>база!$L$6</f>
        <v>261.04640000000001</v>
      </c>
      <c r="R154" s="390">
        <v>1.2</v>
      </c>
      <c r="S154" s="400">
        <f>SUMIFS(Таблица14[часы],Таблица14[коэф],"1,2",Таблица14[р/р],"5/16",Таблица14[Ф. И. О.],B154)</f>
        <v>0</v>
      </c>
      <c r="T154" s="392">
        <f t="shared" si="68"/>
        <v>0</v>
      </c>
      <c r="U154" s="410">
        <f>база!$M$6</f>
        <v>279.0496</v>
      </c>
      <c r="V154" s="390">
        <v>1.2</v>
      </c>
      <c r="W154" s="478">
        <f>SUMIFS(Таблица14[часы],Таблица14[коэф],"1,2",Таблица14[р/р],"5/24",Таблица14[Ф. И. О.],B154)</f>
        <v>0</v>
      </c>
      <c r="X154" s="545">
        <f t="shared" si="69"/>
        <v>0</v>
      </c>
      <c r="Y154" s="795"/>
      <c r="Z154" s="797"/>
      <c r="AA154" s="786"/>
      <c r="AC154" s="754" t="str">
        <f>IF(SUMIFS(Таблица14[Столбец2],Таблица14[Ф. И. О.],B154)-Z149=0,"",SUMIFS(Таблица14[Столбец2],Таблица14[Ф. И. О.],B154)-Z149)</f>
        <v/>
      </c>
    </row>
    <row r="155" spans="1:29">
      <c r="A155" s="786"/>
      <c r="B155" s="216"/>
      <c r="C155" s="789"/>
      <c r="D155" s="792"/>
      <c r="E155" s="389"/>
      <c r="F155" s="390"/>
      <c r="G155" s="400"/>
      <c r="H155" s="392">
        <f t="shared" si="66"/>
        <v>0</v>
      </c>
      <c r="I155" s="393"/>
      <c r="J155" s="390"/>
      <c r="K155" s="434"/>
      <c r="L155" s="434">
        <f t="shared" si="67"/>
        <v>0</v>
      </c>
      <c r="M155" s="434"/>
      <c r="N155" s="434"/>
      <c r="O155" s="434"/>
      <c r="P155" s="406"/>
      <c r="Q155" s="389">
        <f>IF(D149&lt;=3,база!$L$4,
IF(D149=4,база!$L$5,
IF(D149=5,база!$L$6)))</f>
        <v>210.57480000000001</v>
      </c>
      <c r="R155" s="390">
        <v>1.3</v>
      </c>
      <c r="S155" s="400">
        <f>SUMIFS(Таблица14[часы],Таблица14[коэф],"1,3",Таблица14[р/р],"3/16",Таблица14[Ф. И. О.],B154)</f>
        <v>0</v>
      </c>
      <c r="T155" s="392">
        <f t="shared" si="68"/>
        <v>0</v>
      </c>
      <c r="U155" s="410">
        <f>IF(D149&lt;=3,база!$M$4,
IF(D149=4,база!$M$5,
IF(D149=5,база!$M$6)))</f>
        <v>225.09719999999999</v>
      </c>
      <c r="V155" s="390">
        <v>1.3</v>
      </c>
      <c r="W155" s="478">
        <f>SUMIFS(Таблица14[часы],Таблица14[коэф],"1,3",Таблица14[р/р],"3/24",Таблица14[Ф. И. О.],B154)</f>
        <v>0</v>
      </c>
      <c r="X155" s="545">
        <f t="shared" si="69"/>
        <v>0</v>
      </c>
      <c r="Y155" s="795"/>
      <c r="Z155" s="797"/>
      <c r="AA155" s="786"/>
      <c r="AC155" s="754" t="str">
        <f>IF(SUMIFS(Таблица14[часы],Таблица14[Ф. И. О.],B154)-Y149=0,"",SUMIFS(Таблица14[часы],Таблица14[Ф. И. О.],B154)-Y149)</f>
        <v/>
      </c>
    </row>
    <row r="156" spans="1:29">
      <c r="A156" s="786"/>
      <c r="B156" s="216"/>
      <c r="C156" s="789"/>
      <c r="D156" s="792"/>
      <c r="E156" s="389"/>
      <c r="F156" s="390"/>
      <c r="G156" s="400"/>
      <c r="H156" s="392">
        <f t="shared" si="66"/>
        <v>0</v>
      </c>
      <c r="I156" s="393"/>
      <c r="J156" s="390"/>
      <c r="K156" s="434"/>
      <c r="L156" s="434">
        <f t="shared" si="67"/>
        <v>0</v>
      </c>
      <c r="M156" s="434"/>
      <c r="N156" s="434"/>
      <c r="O156" s="434"/>
      <c r="P156" s="406"/>
      <c r="Q156" s="389">
        <f>база!$L$5</f>
        <v>231.45480000000001</v>
      </c>
      <c r="R156" s="390">
        <v>1.3</v>
      </c>
      <c r="S156" s="400">
        <f>SUMIFS(Таблица14[часы],Таблица14[коэф],"1,3",Таблица14[р/р],"4/16",Таблица14[Ф. И. О.],B154)</f>
        <v>0</v>
      </c>
      <c r="T156" s="392">
        <f t="shared" si="68"/>
        <v>0</v>
      </c>
      <c r="U156" s="410">
        <f>база!$M$5</f>
        <v>247.41720000000001</v>
      </c>
      <c r="V156" s="390">
        <v>1.3</v>
      </c>
      <c r="W156" s="478">
        <f>SUMIFS(Таблица14[часы],Таблица14[коэф],"1,3",Таблица14[р/р],"4/24",Таблица14[Ф. И. О.],B154)</f>
        <v>0</v>
      </c>
      <c r="X156" s="545">
        <f t="shared" si="69"/>
        <v>0</v>
      </c>
      <c r="Y156" s="795"/>
      <c r="Z156" s="797"/>
      <c r="AA156" s="786"/>
    </row>
    <row r="157" spans="1:29">
      <c r="A157" s="786"/>
      <c r="B157" s="216"/>
      <c r="C157" s="789"/>
      <c r="D157" s="792"/>
      <c r="E157" s="389"/>
      <c r="F157" s="390"/>
      <c r="G157" s="400"/>
      <c r="H157" s="392">
        <f t="shared" si="66"/>
        <v>0</v>
      </c>
      <c r="I157" s="393"/>
      <c r="J157" s="390"/>
      <c r="K157" s="434"/>
      <c r="L157" s="434">
        <f t="shared" si="67"/>
        <v>0</v>
      </c>
      <c r="M157" s="434"/>
      <c r="N157" s="434"/>
      <c r="O157" s="434"/>
      <c r="P157" s="406"/>
      <c r="Q157" s="389">
        <f>IF(D149&lt;=3,база!$L$4,
IF(D149=4,база!$L$5,
IF(D149=5,база!$L$6)))</f>
        <v>210.57480000000001</v>
      </c>
      <c r="R157" s="390">
        <v>1.4</v>
      </c>
      <c r="S157" s="400">
        <f>SUMIFS(Таблица14[часы],Таблица14[коэф],"1,4",Таблица14[р/р],"3/16",Таблица14[Ф. И. О.],B154)</f>
        <v>0</v>
      </c>
      <c r="T157" s="392">
        <f t="shared" si="68"/>
        <v>0</v>
      </c>
      <c r="U157" s="410">
        <f>IF(D149&lt;=3,база!$M$4,
IF(D149=4,база!$M$5,
IF(D149=5,база!$M$6)))</f>
        <v>225.09719999999999</v>
      </c>
      <c r="V157" s="390">
        <v>1.4</v>
      </c>
      <c r="W157" s="478">
        <f>SUMIFS(Таблица14[часы],Таблица14[коэф],"1,4",Таблица14[р/р],"3/24",Таблица14[Ф. И. О.],B154)</f>
        <v>0</v>
      </c>
      <c r="X157" s="545">
        <f t="shared" si="69"/>
        <v>0</v>
      </c>
      <c r="Y157" s="795"/>
      <c r="Z157" s="797"/>
      <c r="AA157" s="786"/>
    </row>
    <row r="158" spans="1:29">
      <c r="A158" s="786"/>
      <c r="B158" s="216"/>
      <c r="C158" s="789"/>
      <c r="D158" s="792"/>
      <c r="E158" s="389"/>
      <c r="F158" s="390"/>
      <c r="G158" s="400"/>
      <c r="H158" s="392">
        <f t="shared" si="66"/>
        <v>0</v>
      </c>
      <c r="I158" s="393"/>
      <c r="J158" s="390"/>
      <c r="K158" s="434"/>
      <c r="L158" s="434">
        <f t="shared" si="67"/>
        <v>0</v>
      </c>
      <c r="M158" s="434"/>
      <c r="N158" s="434"/>
      <c r="O158" s="434"/>
      <c r="P158" s="406"/>
      <c r="Q158" s="389">
        <f>база!$L$5</f>
        <v>231.45480000000001</v>
      </c>
      <c r="R158" s="390">
        <v>1.4</v>
      </c>
      <c r="S158" s="400">
        <f>SUMIFS(Таблица14[часы],Таблица14[коэф],"1,4",Таблица14[р/р],"4/16",Таблица14[Ф. И. О.],B154)</f>
        <v>0</v>
      </c>
      <c r="T158" s="392">
        <f t="shared" si="68"/>
        <v>0</v>
      </c>
      <c r="U158" s="410">
        <f>база!$M$5</f>
        <v>247.41720000000001</v>
      </c>
      <c r="V158" s="390">
        <v>1.4</v>
      </c>
      <c r="W158" s="478">
        <f>SUMIFS(Таблица14[часы],Таблица14[коэф],"1,4",Таблица14[р/р],"4/24",Таблица14[Ф. И. О.],B154)</f>
        <v>0</v>
      </c>
      <c r="X158" s="545">
        <f t="shared" si="69"/>
        <v>0</v>
      </c>
      <c r="Y158" s="795"/>
      <c r="Z158" s="797"/>
      <c r="AA158" s="786"/>
    </row>
    <row r="159" spans="1:29" ht="21" thickBot="1">
      <c r="A159" s="787"/>
      <c r="B159" s="203"/>
      <c r="C159" s="790"/>
      <c r="D159" s="793"/>
      <c r="E159" s="473"/>
      <c r="F159" s="464"/>
      <c r="G159" s="465"/>
      <c r="H159" s="468">
        <f t="shared" si="66"/>
        <v>0</v>
      </c>
      <c r="I159" s="463"/>
      <c r="J159" s="464"/>
      <c r="K159" s="457"/>
      <c r="L159" s="457">
        <f t="shared" si="67"/>
        <v>0</v>
      </c>
      <c r="M159" s="457"/>
      <c r="N159" s="457"/>
      <c r="O159" s="457"/>
      <c r="P159" s="476"/>
      <c r="Q159" s="473">
        <f>база!$L$6</f>
        <v>261.04640000000001</v>
      </c>
      <c r="R159" s="464">
        <v>1.4</v>
      </c>
      <c r="S159" s="465">
        <f>SUMIFS(Таблица14[часы],Таблица14[коэф],"1,4",Таблица14[р/р],"5/16",Таблица14[Ф. И. О.],B154)</f>
        <v>0</v>
      </c>
      <c r="T159" s="468">
        <f t="shared" si="68"/>
        <v>0</v>
      </c>
      <c r="U159" s="469">
        <f>база!$M$6</f>
        <v>279.0496</v>
      </c>
      <c r="V159" s="464">
        <v>1.4</v>
      </c>
      <c r="W159" s="480">
        <f>SUMIFS(Таблица14[часы],Таблица14[коэф],"1,4",Таблица14[р/р],"5/24",Таблица14[Ф. И. О.],B154)</f>
        <v>0</v>
      </c>
      <c r="X159" s="547">
        <f t="shared" si="69"/>
        <v>0</v>
      </c>
      <c r="Y159" s="796"/>
      <c r="Z159" s="798"/>
      <c r="AA159" s="787"/>
    </row>
    <row r="160" spans="1:29">
      <c r="A160" s="785">
        <v>15</v>
      </c>
      <c r="B160" s="216"/>
      <c r="C160" s="788">
        <f>INDEX(база!$E$2:$E$81, MATCH(B165,база!$B$2:$B$50,0))</f>
        <v>17115</v>
      </c>
      <c r="D160" s="791">
        <f>INDEX(база!$D$2:$D$89, MATCH(B165,база!$B$2:$B$50,0))</f>
        <v>3</v>
      </c>
      <c r="E160" s="451">
        <f>IF(D160&lt;=3,база!$I$4,
IF(D160=4,база!$I$5,
IF(D160=5,база!$I$6)))</f>
        <v>188.7912</v>
      </c>
      <c r="F160" s="417">
        <v>1</v>
      </c>
      <c r="G160" s="418">
        <f>SUMIFS(Таблица14[часы],Таблица14[коэф],"1",Таблица14[р/р],"2/4",Таблица14[Ф. И. О.],B165)</f>
        <v>0</v>
      </c>
      <c r="H160" s="542">
        <f>ROUND(E160*F160*G160*2,2)</f>
        <v>0</v>
      </c>
      <c r="I160" s="377">
        <f>IF(D160&lt;=3,база!$J$4,
IF(D160=4,база!$J$5,
IF(D160=5,база!$J$6)))</f>
        <v>196.05240000000001</v>
      </c>
      <c r="J160" s="378">
        <v>1</v>
      </c>
      <c r="K160" s="428">
        <f>SUMIFS(Таблица14[часы],Таблица14[коэф],"1",Таблица14[р/р],"2/8",Таблица14[Ф. И. О.],B165)</f>
        <v>0</v>
      </c>
      <c r="L160" s="428">
        <f>ROUND(I160*J160*K160*2,2)</f>
        <v>0</v>
      </c>
      <c r="M160" s="428"/>
      <c r="N160" s="428">
        <v>1</v>
      </c>
      <c r="O160" s="428">
        <f>SUMIFS(Data_Tech!$AM$3:$AM$67,Data_Tech!$E$3:$E$67,"1",Data_Tech!$G$3:$G$67,"3/12",Data_Tech!$F$3:$F$67,B165)</f>
        <v>0</v>
      </c>
      <c r="P160" s="383">
        <f>ROUND(M160*N160*O160,2)</f>
        <v>0</v>
      </c>
      <c r="Q160" s="377">
        <f>IF(D160&lt;=3,база!$L$4,
IF(D160=4,база!$L$5,
IF(D160=5,база!$L$6)))</f>
        <v>210.57480000000001</v>
      </c>
      <c r="R160" s="417">
        <v>1</v>
      </c>
      <c r="S160" s="418">
        <f>SUMIFS(Таблица14[часы],Таблица14[коэф],"1",Таблица14[р/р],"3/16",Таблица14[Ф. И. О.],B165)</f>
        <v>0</v>
      </c>
      <c r="T160" s="542">
        <f>ROUND(Q160*R160*S160*2,2)</f>
        <v>0</v>
      </c>
      <c r="U160" s="471">
        <f>IF(D160&lt;=3,база!$M$4,
IF(D160=4,база!$M$5,
IF(D160=5,база!$M$6)))</f>
        <v>225.09719999999999</v>
      </c>
      <c r="V160" s="378">
        <v>1</v>
      </c>
      <c r="W160" s="430">
        <f>SUMIFS(Таблица14[часы],Таблица14[коэф],"1",Таблица14[р/р],"3/24",Таблица14[Ф. И. О.],B165)</f>
        <v>0</v>
      </c>
      <c r="X160" s="543">
        <f>ROUND(U160*V160*W160*2,2)</f>
        <v>0</v>
      </c>
      <c r="Y160" s="795">
        <f t="shared" ref="Y160" si="70">SUM(G160:G170,K160:K170,O160:O170,S160:S170,W160:W170)</f>
        <v>0</v>
      </c>
      <c r="Z160" s="797">
        <f t="shared" ref="Z160" si="71">IFERROR(SUM(H160:H170,L160:L170,T160:T170,X160:X170),"")</f>
        <v>0</v>
      </c>
      <c r="AA160" s="786"/>
    </row>
    <row r="161" spans="1:29">
      <c r="A161" s="786"/>
      <c r="B161" s="216"/>
      <c r="C161" s="789"/>
      <c r="D161" s="792"/>
      <c r="E161" s="393">
        <f>IF(D160&lt;=3,база!$I$4,
IF(D160=4,база!$I$5,
IF(D160=5,база!$I$6)))</f>
        <v>188.7912</v>
      </c>
      <c r="F161" s="390">
        <v>1</v>
      </c>
      <c r="G161" s="400">
        <f>SUMIFS(Таблица14[часы],Таблица14[коэф],"1",Таблица14[р/р],"3/4",Таблица14[Ф. И. О.],B165)</f>
        <v>0</v>
      </c>
      <c r="H161" s="544">
        <f t="shared" ref="H161:H170" si="72">ROUND(E161*F161*G161*2,2)</f>
        <v>0</v>
      </c>
      <c r="I161" s="389">
        <f>IF(D160&lt;=3,база!$J$4,
IF(D160=4,база!$J$5,
IF(D160=5,база!$J$6)))</f>
        <v>196.05240000000001</v>
      </c>
      <c r="J161" s="390">
        <v>1</v>
      </c>
      <c r="K161" s="434">
        <f>SUMIFS(Таблица14[часы],Таблица14[коэф],"1",Таблица14[р/р],"3/8",Таблица14[Ф. И. О.],B165)</f>
        <v>0</v>
      </c>
      <c r="L161" s="434">
        <f t="shared" ref="L161:L170" si="73">ROUND(I161*J161*K161*2,2)</f>
        <v>0</v>
      </c>
      <c r="M161" s="434"/>
      <c r="N161" s="434">
        <v>1</v>
      </c>
      <c r="O161" s="434">
        <f>SUMIFS(Data_Tech!$AM$3:$AM$67,Data_Tech!$E$3:$E$67,"1",Data_Tech!$G$3:$G$67,"4/12",Data_Tech!$F$3:$F$67,B165)</f>
        <v>0</v>
      </c>
      <c r="P161" s="395">
        <f>ROUND(M161*O161,2)</f>
        <v>0</v>
      </c>
      <c r="Q161" s="389">
        <f>база!$L$5</f>
        <v>231.45480000000001</v>
      </c>
      <c r="R161" s="390">
        <v>1</v>
      </c>
      <c r="S161" s="400">
        <f>SUMIFS(Таблица14[часы],Таблица14[коэф],"1",Таблица14[р/р],"4/16",Таблица14[Ф. И. О.],B165)</f>
        <v>0</v>
      </c>
      <c r="T161" s="544">
        <f t="shared" ref="T161:T170" si="74">ROUND(Q161*R161*S161*2,2)</f>
        <v>0</v>
      </c>
      <c r="U161" s="472">
        <f>база!$M$5</f>
        <v>247.41720000000001</v>
      </c>
      <c r="V161" s="390">
        <v>1</v>
      </c>
      <c r="W161" s="412">
        <f>SUMIFS(Таблица14[часы],Таблица14[коэф],"1",Таблица14[р/р],"4/24",Таблица14[Ф. И. О.],B165)</f>
        <v>0</v>
      </c>
      <c r="X161" s="545">
        <f t="shared" ref="X161:X170" si="75">ROUND(U161*V161*W161*2,2)</f>
        <v>0</v>
      </c>
      <c r="Y161" s="795"/>
      <c r="Z161" s="797"/>
      <c r="AA161" s="786"/>
    </row>
    <row r="162" spans="1:29">
      <c r="A162" s="786"/>
      <c r="B162" s="216"/>
      <c r="C162" s="789"/>
      <c r="D162" s="792"/>
      <c r="E162" s="393"/>
      <c r="F162" s="390"/>
      <c r="G162" s="400"/>
      <c r="H162" s="544">
        <f t="shared" si="72"/>
        <v>0</v>
      </c>
      <c r="I162" s="389"/>
      <c r="J162" s="390"/>
      <c r="K162" s="434"/>
      <c r="L162" s="434">
        <f t="shared" si="73"/>
        <v>0</v>
      </c>
      <c r="M162" s="434"/>
      <c r="N162" s="434"/>
      <c r="O162" s="434"/>
      <c r="P162" s="395"/>
      <c r="Q162" s="389">
        <f>база!$L$6</f>
        <v>261.04640000000001</v>
      </c>
      <c r="R162" s="390">
        <v>1</v>
      </c>
      <c r="S162" s="400">
        <f>SUMIFS(Таблица14[часы],Таблица14[коэф],"1",Таблица14[р/р],"5/16",Таблица14[Ф. И. О.],B165)</f>
        <v>0</v>
      </c>
      <c r="T162" s="544">
        <f t="shared" si="74"/>
        <v>0</v>
      </c>
      <c r="U162" s="472">
        <f>база!$M$6</f>
        <v>279.0496</v>
      </c>
      <c r="V162" s="390">
        <v>1</v>
      </c>
      <c r="W162" s="412">
        <f>SUMIFS(Таблица14[часы],Таблица14[коэф],"1",Таблица14[р/р],"5/24",Таблица14[Ф. И. О.],B165)</f>
        <v>0</v>
      </c>
      <c r="X162" s="545">
        <f t="shared" si="75"/>
        <v>0</v>
      </c>
      <c r="Y162" s="795"/>
      <c r="Z162" s="797"/>
      <c r="AA162" s="786"/>
    </row>
    <row r="163" spans="1:29">
      <c r="A163" s="786"/>
      <c r="B163" s="216"/>
      <c r="C163" s="789"/>
      <c r="D163" s="792"/>
      <c r="E163" s="393"/>
      <c r="F163" s="390"/>
      <c r="G163" s="400"/>
      <c r="H163" s="544">
        <f t="shared" si="72"/>
        <v>0</v>
      </c>
      <c r="I163" s="389">
        <f>база!$J$5</f>
        <v>215.4924</v>
      </c>
      <c r="J163" s="390">
        <v>1.5</v>
      </c>
      <c r="K163" s="434">
        <f>SUMIFS(Таблица14[часы],Таблица14[коэф],"1,5",Таблица14[р/р],"4/8",Таблица14[Ф. И. О.],B165)</f>
        <v>0</v>
      </c>
      <c r="L163" s="434">
        <f t="shared" si="73"/>
        <v>0</v>
      </c>
      <c r="M163" s="434"/>
      <c r="N163" s="434"/>
      <c r="O163" s="434"/>
      <c r="P163" s="395"/>
      <c r="Q163" s="389">
        <f>IF(D160&lt;=3,база!$L$4,
IF(D160=4,база!$L$5,
IF(D160=5,база!$L$6)))</f>
        <v>210.57480000000001</v>
      </c>
      <c r="R163" s="390">
        <v>1.2</v>
      </c>
      <c r="S163" s="400">
        <f>SUMIFS(Таблица14[часы],Таблица14[коэф],"1,2",Таблица14[р/р],"3/16",Таблица14[Ф. И. О.],B165)</f>
        <v>0</v>
      </c>
      <c r="T163" s="544">
        <f t="shared" si="74"/>
        <v>0</v>
      </c>
      <c r="U163" s="472">
        <f>IF(D160&lt;=3,база!$M$4,
IF(D160=4,база!$M$5,
IF(D160=5,база!$M$6)))</f>
        <v>225.09719999999999</v>
      </c>
      <c r="V163" s="390">
        <v>1.2</v>
      </c>
      <c r="W163" s="412">
        <f>SUMIFS(Таблица14[часы],Таблица14[коэф],"1,2",Таблица14[р/р],"3/24",Таблица14[Ф. И. О.],B165)</f>
        <v>0</v>
      </c>
      <c r="X163" s="545">
        <f t="shared" si="75"/>
        <v>0</v>
      </c>
      <c r="Y163" s="795"/>
      <c r="Z163" s="797"/>
      <c r="AA163" s="786"/>
    </row>
    <row r="164" spans="1:29">
      <c r="A164" s="786"/>
      <c r="B164" s="216"/>
      <c r="C164" s="789"/>
      <c r="D164" s="792"/>
      <c r="E164" s="393"/>
      <c r="F164" s="390"/>
      <c r="G164" s="400"/>
      <c r="H164" s="544">
        <f t="shared" si="72"/>
        <v>0</v>
      </c>
      <c r="I164" s="389">
        <f>база!$J$6</f>
        <v>243.04319999999998</v>
      </c>
      <c r="J164" s="390">
        <v>1.5</v>
      </c>
      <c r="K164" s="434">
        <f>SUMIFS(Таблица14[часы],Таблица14[коэф],"1,5",Таблица14[р/р],"5/8",Таблица14[Ф. И. О.],B165)</f>
        <v>0</v>
      </c>
      <c r="L164" s="434">
        <f t="shared" si="73"/>
        <v>0</v>
      </c>
      <c r="M164" s="434"/>
      <c r="N164" s="434"/>
      <c r="O164" s="434"/>
      <c r="P164" s="395"/>
      <c r="Q164" s="389">
        <f>база!$L$5</f>
        <v>231.45480000000001</v>
      </c>
      <c r="R164" s="390">
        <v>1.2</v>
      </c>
      <c r="S164" s="400">
        <f>SUMIFS(Таблица14[часы],Таблица14[коэф],"1,2",Таблица14[р/р],"4/16",Таблица14[Ф. И. О.],B165)</f>
        <v>0</v>
      </c>
      <c r="T164" s="544">
        <f t="shared" si="74"/>
        <v>0</v>
      </c>
      <c r="U164" s="472">
        <f>база!$M$5</f>
        <v>247.41720000000001</v>
      </c>
      <c r="V164" s="390">
        <v>1.2</v>
      </c>
      <c r="W164" s="412">
        <f>SUMIFS(Таблица14[часы],Таблица14[коэф],"1,2",Таблица14[р/р],"4/24",Таблица14[Ф. И. О.],B165)</f>
        <v>0</v>
      </c>
      <c r="X164" s="545">
        <f t="shared" si="75"/>
        <v>0</v>
      </c>
      <c r="Y164" s="795"/>
      <c r="Z164" s="797"/>
      <c r="AA164" s="786"/>
      <c r="AC164" s="754" t="str">
        <f>IF(SUMIFS(Таблица14[Столбец2],Таблица14[Ф. И. О.],B165)-Z160=0,"",SUMIFS(Таблица14[Столбец2],Таблица14[Ф. И. О.],B165)-Z160)</f>
        <v/>
      </c>
    </row>
    <row r="165" spans="1:29">
      <c r="A165" s="786"/>
      <c r="B165" s="216" t="str">
        <f>база!B16</f>
        <v>Глинка Екатерина Юрьевна</v>
      </c>
      <c r="C165" s="789"/>
      <c r="D165" s="792"/>
      <c r="E165" s="393"/>
      <c r="F165" s="390"/>
      <c r="G165" s="400"/>
      <c r="H165" s="544">
        <f t="shared" si="72"/>
        <v>0</v>
      </c>
      <c r="I165" s="389"/>
      <c r="J165" s="390"/>
      <c r="K165" s="434"/>
      <c r="L165" s="434">
        <f t="shared" si="73"/>
        <v>0</v>
      </c>
      <c r="M165" s="434"/>
      <c r="N165" s="434"/>
      <c r="O165" s="434"/>
      <c r="P165" s="395"/>
      <c r="Q165" s="389">
        <f>база!$L$6</f>
        <v>261.04640000000001</v>
      </c>
      <c r="R165" s="390">
        <v>1.2</v>
      </c>
      <c r="S165" s="400">
        <f>SUMIFS(Таблица14[часы],Таблица14[коэф],"1,2",Таблица14[р/р],"5/16",Таблица14[Ф. И. О.],B165)</f>
        <v>0</v>
      </c>
      <c r="T165" s="544">
        <f t="shared" si="74"/>
        <v>0</v>
      </c>
      <c r="U165" s="472">
        <f>база!$M$6</f>
        <v>279.0496</v>
      </c>
      <c r="V165" s="390">
        <v>1.2</v>
      </c>
      <c r="W165" s="412">
        <f>SUMIFS(Таблица14[часы],Таблица14[коэф],"1,2",Таблица14[р/р],"5/24",Таблица14[Ф. И. О.],B165)</f>
        <v>0</v>
      </c>
      <c r="X165" s="545">
        <f t="shared" si="75"/>
        <v>0</v>
      </c>
      <c r="Y165" s="795"/>
      <c r="Z165" s="797"/>
      <c r="AA165" s="786"/>
      <c r="AC165" s="754" t="str">
        <f>IF(SUMIFS(Таблица14[часы],Таблица14[Ф. И. О.],B165)-Y160=0,"",SUMIFS(Таблица14[часы],Таблица14[Ф. И. О.],B165)-Y160)</f>
        <v/>
      </c>
    </row>
    <row r="166" spans="1:29">
      <c r="A166" s="786"/>
      <c r="B166" s="216"/>
      <c r="C166" s="789"/>
      <c r="D166" s="792"/>
      <c r="E166" s="393"/>
      <c r="F166" s="390"/>
      <c r="G166" s="400"/>
      <c r="H166" s="544">
        <f t="shared" si="72"/>
        <v>0</v>
      </c>
      <c r="I166" s="389"/>
      <c r="J166" s="390"/>
      <c r="K166" s="434"/>
      <c r="L166" s="434">
        <f t="shared" si="73"/>
        <v>0</v>
      </c>
      <c r="M166" s="434"/>
      <c r="N166" s="434"/>
      <c r="O166" s="434"/>
      <c r="P166" s="395"/>
      <c r="Q166" s="389">
        <f>IF(D160&lt;=3,база!$L$4,
IF(D160=4,база!$L$5,
IF(D160=5,база!$L$6)))</f>
        <v>210.57480000000001</v>
      </c>
      <c r="R166" s="390">
        <v>1.3</v>
      </c>
      <c r="S166" s="400">
        <f>SUMIFS(Таблица14[часы],Таблица14[коэф],"1,3",Таблица14[р/р],"3/16",Таблица14[Ф. И. О.],B165)</f>
        <v>0</v>
      </c>
      <c r="T166" s="544">
        <f t="shared" si="74"/>
        <v>0</v>
      </c>
      <c r="U166" s="472">
        <f>IF(D160&lt;=3,база!$M$4,
IF(D160=4,база!$M$5,
IF(D160=5,база!$M$6)))</f>
        <v>225.09719999999999</v>
      </c>
      <c r="V166" s="390">
        <v>1.3</v>
      </c>
      <c r="W166" s="412">
        <f>SUMIFS(Таблица14[часы],Таблица14[коэф],"1,3",Таблица14[р/р],"3/24",Таблица14[Ф. И. О.],B165)</f>
        <v>0</v>
      </c>
      <c r="X166" s="545">
        <f t="shared" si="75"/>
        <v>0</v>
      </c>
      <c r="Y166" s="795"/>
      <c r="Z166" s="797"/>
      <c r="AA166" s="786"/>
    </row>
    <row r="167" spans="1:29">
      <c r="A167" s="786"/>
      <c r="B167" s="216"/>
      <c r="C167" s="789"/>
      <c r="D167" s="792"/>
      <c r="E167" s="393"/>
      <c r="F167" s="390"/>
      <c r="G167" s="400"/>
      <c r="H167" s="544">
        <f t="shared" si="72"/>
        <v>0</v>
      </c>
      <c r="I167" s="389"/>
      <c r="J167" s="390"/>
      <c r="K167" s="434"/>
      <c r="L167" s="434">
        <f t="shared" si="73"/>
        <v>0</v>
      </c>
      <c r="M167" s="434"/>
      <c r="N167" s="434"/>
      <c r="O167" s="434"/>
      <c r="P167" s="395"/>
      <c r="Q167" s="389">
        <f>база!$L$5</f>
        <v>231.45480000000001</v>
      </c>
      <c r="R167" s="390">
        <v>1.3</v>
      </c>
      <c r="S167" s="400">
        <f>SUMIFS(Таблица14[часы],Таблица14[коэф],"1,3",Таблица14[р/р],"4/16",Таблица14[Ф. И. О.],B165)</f>
        <v>0</v>
      </c>
      <c r="T167" s="544">
        <f t="shared" si="74"/>
        <v>0</v>
      </c>
      <c r="U167" s="472">
        <f>база!$M$5</f>
        <v>247.41720000000001</v>
      </c>
      <c r="V167" s="390">
        <v>1.3</v>
      </c>
      <c r="W167" s="412">
        <f>SUMIFS(Таблица14[часы],Таблица14[коэф],"1,3",Таблица14[р/р],"4/24",Таблица14[Ф. И. О.],B165)</f>
        <v>0</v>
      </c>
      <c r="X167" s="545">
        <f t="shared" si="75"/>
        <v>0</v>
      </c>
      <c r="Y167" s="795"/>
      <c r="Z167" s="797"/>
      <c r="AA167" s="786"/>
    </row>
    <row r="168" spans="1:29">
      <c r="A168" s="786"/>
      <c r="B168" s="216"/>
      <c r="C168" s="789"/>
      <c r="D168" s="792"/>
      <c r="E168" s="393"/>
      <c r="F168" s="390"/>
      <c r="G168" s="400"/>
      <c r="H168" s="544">
        <f t="shared" si="72"/>
        <v>0</v>
      </c>
      <c r="I168" s="389"/>
      <c r="J168" s="390"/>
      <c r="K168" s="434"/>
      <c r="L168" s="434">
        <f t="shared" si="73"/>
        <v>0</v>
      </c>
      <c r="M168" s="434"/>
      <c r="N168" s="434"/>
      <c r="O168" s="434"/>
      <c r="P168" s="395"/>
      <c r="Q168" s="389">
        <f>IF(D160&lt;=3,база!$L$4,
IF(D160=4,база!$L$5,
IF(D160=5,база!$L$6)))</f>
        <v>210.57480000000001</v>
      </c>
      <c r="R168" s="390">
        <v>1.4</v>
      </c>
      <c r="S168" s="400">
        <f>SUMIFS(Таблица14[часы],Таблица14[коэф],"1,4",Таблица14[р/р],"3/16",Таблица14[Ф. И. О.],B165)</f>
        <v>0</v>
      </c>
      <c r="T168" s="544">
        <f t="shared" si="74"/>
        <v>0</v>
      </c>
      <c r="U168" s="472">
        <f>IF(D160&lt;=3,база!$M$4,
IF(D160=4,база!$M$5,
IF(D160=5,база!$M$6)))</f>
        <v>225.09719999999999</v>
      </c>
      <c r="V168" s="390">
        <v>1.4</v>
      </c>
      <c r="W168" s="412">
        <f>SUMIFS(Таблица14[часы],Таблица14[коэф],"1,4",Таблица14[р/р],"3/24",Таблица14[Ф. И. О.],B165)</f>
        <v>0</v>
      </c>
      <c r="X168" s="545">
        <f t="shared" si="75"/>
        <v>0</v>
      </c>
      <c r="Y168" s="795"/>
      <c r="Z168" s="797"/>
      <c r="AA168" s="786"/>
    </row>
    <row r="169" spans="1:29">
      <c r="A169" s="786"/>
      <c r="B169" s="216"/>
      <c r="C169" s="789"/>
      <c r="D169" s="792"/>
      <c r="E169" s="393"/>
      <c r="F169" s="390"/>
      <c r="G169" s="400"/>
      <c r="H169" s="544">
        <f t="shared" si="72"/>
        <v>0</v>
      </c>
      <c r="I169" s="389"/>
      <c r="J169" s="390"/>
      <c r="K169" s="434"/>
      <c r="L169" s="434">
        <f t="shared" si="73"/>
        <v>0</v>
      </c>
      <c r="M169" s="434"/>
      <c r="N169" s="434"/>
      <c r="O169" s="434"/>
      <c r="P169" s="395"/>
      <c r="Q169" s="389">
        <f>база!$L$5</f>
        <v>231.45480000000001</v>
      </c>
      <c r="R169" s="390">
        <v>1.4</v>
      </c>
      <c r="S169" s="400">
        <f>SUMIFS(Таблица14[часы],Таблица14[коэф],"1,4",Таблица14[р/р],"4/16",Таблица14[Ф. И. О.],B165)</f>
        <v>0</v>
      </c>
      <c r="T169" s="544">
        <f t="shared" si="74"/>
        <v>0</v>
      </c>
      <c r="U169" s="472">
        <f>база!$M$5</f>
        <v>247.41720000000001</v>
      </c>
      <c r="V169" s="390">
        <v>1.4</v>
      </c>
      <c r="W169" s="412">
        <f>SUMIFS(Таблица14[часы],Таблица14[коэф],"1,4",Таблица14[р/р],"4/24",Таблица14[Ф. И. О.],B165)</f>
        <v>0</v>
      </c>
      <c r="X169" s="545">
        <f t="shared" si="75"/>
        <v>0</v>
      </c>
      <c r="Y169" s="795"/>
      <c r="Z169" s="797"/>
      <c r="AA169" s="786"/>
    </row>
    <row r="170" spans="1:29" ht="21" thickBot="1">
      <c r="A170" s="787"/>
      <c r="B170" s="216"/>
      <c r="C170" s="790"/>
      <c r="D170" s="793"/>
      <c r="E170" s="422"/>
      <c r="F170" s="403"/>
      <c r="G170" s="408"/>
      <c r="H170" s="546">
        <f t="shared" si="72"/>
        <v>0</v>
      </c>
      <c r="I170" s="420"/>
      <c r="J170" s="403"/>
      <c r="K170" s="460"/>
      <c r="L170" s="460">
        <f t="shared" si="73"/>
        <v>0</v>
      </c>
      <c r="M170" s="460"/>
      <c r="N170" s="460"/>
      <c r="O170" s="460"/>
      <c r="P170" s="424"/>
      <c r="Q170" s="420">
        <f>база!$L$6</f>
        <v>261.04640000000001</v>
      </c>
      <c r="R170" s="403">
        <v>1.4</v>
      </c>
      <c r="S170" s="408">
        <f>SUMIFS(Таблица14[часы],Таблица14[коэф],"1,4",Таблица14[р/р],"5/16",Таблица14[Ф. И. О.],B165)</f>
        <v>0</v>
      </c>
      <c r="T170" s="546">
        <f t="shared" si="74"/>
        <v>0</v>
      </c>
      <c r="U170" s="482">
        <f>база!$M$6</f>
        <v>279.0496</v>
      </c>
      <c r="V170" s="403">
        <v>1.4</v>
      </c>
      <c r="W170" s="527">
        <f>SUMIFS(Таблица14[часы],Таблица14[коэф],"1,4",Таблица14[р/р],"5/24",Таблица14[Ф. И. О.],B165)</f>
        <v>0</v>
      </c>
      <c r="X170" s="550">
        <f t="shared" si="75"/>
        <v>0</v>
      </c>
      <c r="Y170" s="796"/>
      <c r="Z170" s="798"/>
      <c r="AA170" s="787"/>
    </row>
    <row r="171" spans="1:29">
      <c r="A171" s="785">
        <v>16</v>
      </c>
      <c r="B171" s="236"/>
      <c r="C171" s="788">
        <f>INDEX(база!$E$2:$E$81, MATCH(B176,база!$B$2:$B$50,0))</f>
        <v>15880</v>
      </c>
      <c r="D171" s="791">
        <f>INDEX(база!$D$2:$D$89, MATCH(B176,база!$B$2:$B$50,0))</f>
        <v>3</v>
      </c>
      <c r="E171" s="381">
        <f>IF(D171&lt;=3,база!$I$4,
IF(D171=4,база!$I$5,
IF(D171=5,база!$I$6)))</f>
        <v>188.7912</v>
      </c>
      <c r="F171" s="378">
        <v>1</v>
      </c>
      <c r="G171" s="387">
        <f>SUMIFS(Таблица14[часы],Таблица14[коэф],"1",Таблица14[р/р],"2/4",Таблица14[Ф. И. О.],B176)</f>
        <v>0</v>
      </c>
      <c r="H171" s="548">
        <f>ROUND(E171*F171*G171*2,2)</f>
        <v>0</v>
      </c>
      <c r="I171" s="377">
        <f>IF(D171&lt;=3,база!$J$4,
IF(D171=4,база!$J$5,
IF(D171=5,база!$J$6)))</f>
        <v>196.05240000000001</v>
      </c>
      <c r="J171" s="378">
        <v>1</v>
      </c>
      <c r="K171" s="428">
        <f>SUMIFS(Таблица14[часы],Таблица14[коэф],"1",Таблица14[р/р],"2/8",Таблица14[Ф. И. О.],B176)</f>
        <v>0</v>
      </c>
      <c r="L171" s="428">
        <f>ROUND(I171*J171*K171*2,2)</f>
        <v>0</v>
      </c>
      <c r="M171" s="428"/>
      <c r="N171" s="428">
        <v>1</v>
      </c>
      <c r="O171" s="428">
        <f>SUMIFS(Data_Tech!$AM$3:$AM$67,Data_Tech!$E$3:$E$67,"1",Data_Tech!$G$3:$G$67,"3/12",Data_Tech!$F$3:$F$67,B176)</f>
        <v>0</v>
      </c>
      <c r="P171" s="383">
        <f>ROUND(M171*N171*O171,2)</f>
        <v>0</v>
      </c>
      <c r="Q171" s="377">
        <f>IF(D171&lt;=3,база!$L$4,
IF(D171=4,база!$L$5,
IF(D171=5,база!$L$6)))</f>
        <v>210.57480000000001</v>
      </c>
      <c r="R171" s="378">
        <v>1</v>
      </c>
      <c r="S171" s="387">
        <f>SUMIFS(Таблица14[часы],Таблица14[коэф],"1",Таблица14[р/р],"3/16",Таблица14[Ф. И. О.],B176)</f>
        <v>0</v>
      </c>
      <c r="T171" s="548">
        <f>ROUND(Q171*R171*S171*2,2)</f>
        <v>0</v>
      </c>
      <c r="U171" s="471">
        <f>IF(D171&lt;=3,база!$M$4,
IF(D171=4,база!$M$5,
IF(D171=5,база!$M$6)))</f>
        <v>225.09719999999999</v>
      </c>
      <c r="V171" s="378">
        <v>1</v>
      </c>
      <c r="W171" s="430">
        <f>SUMIFS(Таблица14[часы],Таблица14[коэф],"1",Таблица14[р/р],"3/24",Таблица14[Ф. И. О.],B176)</f>
        <v>0</v>
      </c>
      <c r="X171" s="543">
        <f>ROUND(U171*V171*W171*2,2)</f>
        <v>0</v>
      </c>
      <c r="Y171" s="795">
        <f t="shared" ref="Y171" si="76">SUM(G171:G181,K171:K181,O171:O181,S171:S181,W171:W181)</f>
        <v>0</v>
      </c>
      <c r="Z171" s="797">
        <f t="shared" ref="Z171" si="77">IFERROR(SUM(H171:H181,L171:L181,T171:T181,X171:X181),"")</f>
        <v>0</v>
      </c>
      <c r="AA171" s="786"/>
    </row>
    <row r="172" spans="1:29">
      <c r="A172" s="786"/>
      <c r="B172" s="216"/>
      <c r="C172" s="789"/>
      <c r="D172" s="792"/>
      <c r="E172" s="393">
        <f>IF(D171&lt;=3,база!$I$4,
IF(D171=4,база!$I$5,
IF(D171=5,база!$I$6)))</f>
        <v>188.7912</v>
      </c>
      <c r="F172" s="390">
        <v>1</v>
      </c>
      <c r="G172" s="400">
        <f>SUMIFS(Таблица14[часы],Таблица14[коэф],"1",Таблица14[р/р],"3/4",Таблица14[Ф. И. О.],B176)</f>
        <v>0</v>
      </c>
      <c r="H172" s="544">
        <f t="shared" ref="H172:H181" si="78">ROUND(E172*F172*G172*2,2)</f>
        <v>0</v>
      </c>
      <c r="I172" s="389">
        <f>IF(D171&lt;=3,база!$J$4,
IF(D171=4,база!$J$5,
IF(D171=5,база!$J$6)))</f>
        <v>196.05240000000001</v>
      </c>
      <c r="J172" s="390">
        <v>1</v>
      </c>
      <c r="K172" s="434">
        <f>SUMIFS(Таблица14[часы],Таблица14[коэф],"1",Таблица14[р/р],"3/8",Таблица14[Ф. И. О.],B176)</f>
        <v>0</v>
      </c>
      <c r="L172" s="434">
        <f t="shared" ref="L172:L181" si="79">ROUND(I172*J172*K172*2,2)</f>
        <v>0</v>
      </c>
      <c r="M172" s="434"/>
      <c r="N172" s="434">
        <v>1</v>
      </c>
      <c r="O172" s="434">
        <f>SUMIFS(Data_Tech!$AM$3:$AM$67,Data_Tech!$E$3:$E$67,"1",Data_Tech!$G$3:$G$67,"4/12",Data_Tech!$F$3:$F$67,B176)</f>
        <v>0</v>
      </c>
      <c r="P172" s="395">
        <f>ROUND(M172*O172,2)</f>
        <v>0</v>
      </c>
      <c r="Q172" s="389">
        <f>база!$L$5</f>
        <v>231.45480000000001</v>
      </c>
      <c r="R172" s="390">
        <v>1</v>
      </c>
      <c r="S172" s="400">
        <f>SUMIFS(Таблица14[часы],Таблица14[коэф],"1",Таблица14[р/р],"4/16",Таблица14[Ф. И. О.],B176)</f>
        <v>0</v>
      </c>
      <c r="T172" s="544">
        <f t="shared" ref="T172:T181" si="80">ROUND(Q172*R172*S172*2,2)</f>
        <v>0</v>
      </c>
      <c r="U172" s="472">
        <f>база!$M$5</f>
        <v>247.41720000000001</v>
      </c>
      <c r="V172" s="390">
        <v>1</v>
      </c>
      <c r="W172" s="412">
        <f>SUMIFS(Таблица14[часы],Таблица14[коэф],"1",Таблица14[р/р],"4/24",Таблица14[Ф. И. О.],B176)</f>
        <v>0</v>
      </c>
      <c r="X172" s="545">
        <f t="shared" ref="X172:X181" si="81">ROUND(U172*V172*W172*2,2)</f>
        <v>0</v>
      </c>
      <c r="Y172" s="795"/>
      <c r="Z172" s="797"/>
      <c r="AA172" s="786"/>
    </row>
    <row r="173" spans="1:29">
      <c r="A173" s="786"/>
      <c r="B173" s="216"/>
      <c r="C173" s="789"/>
      <c r="D173" s="792"/>
      <c r="E173" s="393"/>
      <c r="F173" s="390"/>
      <c r="G173" s="400"/>
      <c r="H173" s="544">
        <f t="shared" si="78"/>
        <v>0</v>
      </c>
      <c r="I173" s="389"/>
      <c r="J173" s="390"/>
      <c r="K173" s="434"/>
      <c r="L173" s="434">
        <f t="shared" si="79"/>
        <v>0</v>
      </c>
      <c r="M173" s="434"/>
      <c r="N173" s="434"/>
      <c r="O173" s="434"/>
      <c r="P173" s="395"/>
      <c r="Q173" s="389">
        <f>база!$L$6</f>
        <v>261.04640000000001</v>
      </c>
      <c r="R173" s="390">
        <v>1</v>
      </c>
      <c r="S173" s="400">
        <f>SUMIFS(Таблица14[часы],Таблица14[коэф],"1",Таблица14[р/р],"5/16",Таблица14[Ф. И. О.],B176)</f>
        <v>0</v>
      </c>
      <c r="T173" s="544">
        <f t="shared" si="80"/>
        <v>0</v>
      </c>
      <c r="U173" s="472">
        <f>база!$M$6</f>
        <v>279.0496</v>
      </c>
      <c r="V173" s="390">
        <v>1</v>
      </c>
      <c r="W173" s="412">
        <f>SUMIFS(Таблица14[часы],Таблица14[коэф],"1",Таблица14[р/р],"5/24",Таблица14[Ф. И. О.],B176)</f>
        <v>0</v>
      </c>
      <c r="X173" s="545">
        <f t="shared" si="81"/>
        <v>0</v>
      </c>
      <c r="Y173" s="795"/>
      <c r="Z173" s="797"/>
      <c r="AA173" s="786"/>
    </row>
    <row r="174" spans="1:29">
      <c r="A174" s="786"/>
      <c r="B174" s="216"/>
      <c r="C174" s="789"/>
      <c r="D174" s="792"/>
      <c r="E174" s="393"/>
      <c r="F174" s="390"/>
      <c r="G174" s="400"/>
      <c r="H174" s="544">
        <f t="shared" si="78"/>
        <v>0</v>
      </c>
      <c r="I174" s="389">
        <f>база!$J$5</f>
        <v>215.4924</v>
      </c>
      <c r="J174" s="390">
        <v>1.5</v>
      </c>
      <c r="K174" s="434">
        <f>SUMIFS(Таблица14[часы],Таблица14[коэф],"1,5",Таблица14[р/р],"4/8",Таблица14[Ф. И. О.],B176)</f>
        <v>0</v>
      </c>
      <c r="L174" s="434">
        <f t="shared" si="79"/>
        <v>0</v>
      </c>
      <c r="M174" s="434"/>
      <c r="N174" s="434"/>
      <c r="O174" s="434"/>
      <c r="P174" s="395"/>
      <c r="Q174" s="389">
        <f>IF(D171&lt;=3,база!$L$4,
IF(D171=4,база!$L$5,
IF(D171=5,база!$L$6)))</f>
        <v>210.57480000000001</v>
      </c>
      <c r="R174" s="390">
        <v>1.2</v>
      </c>
      <c r="S174" s="400">
        <f>SUMIFS(Таблица14[часы],Таблица14[коэф],"1,2",Таблица14[р/р],"3/16",Таблица14[Ф. И. О.],B176)</f>
        <v>0</v>
      </c>
      <c r="T174" s="544">
        <f t="shared" si="80"/>
        <v>0</v>
      </c>
      <c r="U174" s="472">
        <f>IF(D171&lt;=3,база!$M$4,
IF(D171=4,база!$M$5,
IF(D171=5,база!$M$6)))</f>
        <v>225.09719999999999</v>
      </c>
      <c r="V174" s="390">
        <v>1.2</v>
      </c>
      <c r="W174" s="412">
        <f>SUMIFS(Таблица14[часы],Таблица14[коэф],"1,2",Таблица14[р/р],"3/24",Таблица14[Ф. И. О.],B176)</f>
        <v>0</v>
      </c>
      <c r="X174" s="545">
        <f t="shared" si="81"/>
        <v>0</v>
      </c>
      <c r="Y174" s="795"/>
      <c r="Z174" s="797"/>
      <c r="AA174" s="786"/>
    </row>
    <row r="175" spans="1:29">
      <c r="A175" s="786"/>
      <c r="B175" s="216"/>
      <c r="C175" s="789"/>
      <c r="D175" s="792"/>
      <c r="E175" s="393"/>
      <c r="F175" s="390"/>
      <c r="G175" s="400"/>
      <c r="H175" s="544">
        <f t="shared" si="78"/>
        <v>0</v>
      </c>
      <c r="I175" s="389">
        <f>база!$J$6</f>
        <v>243.04319999999998</v>
      </c>
      <c r="J175" s="390">
        <v>1.5</v>
      </c>
      <c r="K175" s="434">
        <f>SUMIFS(Таблица14[часы],Таблица14[коэф],"1,5",Таблица14[р/р],"5/8",Таблица14[Ф. И. О.],B176)</f>
        <v>0</v>
      </c>
      <c r="L175" s="434">
        <f t="shared" si="79"/>
        <v>0</v>
      </c>
      <c r="M175" s="434"/>
      <c r="N175" s="434"/>
      <c r="O175" s="434"/>
      <c r="P175" s="395"/>
      <c r="Q175" s="389">
        <f>база!$L$5</f>
        <v>231.45480000000001</v>
      </c>
      <c r="R175" s="390">
        <v>1.2</v>
      </c>
      <c r="S175" s="400">
        <f>SUMIFS(Таблица14[часы],Таблица14[коэф],"1,2",Таблица14[р/р],"4/16",Таблица14[Ф. И. О.],B176)</f>
        <v>0</v>
      </c>
      <c r="T175" s="544">
        <f t="shared" si="80"/>
        <v>0</v>
      </c>
      <c r="U175" s="472">
        <f>база!$M$5</f>
        <v>247.41720000000001</v>
      </c>
      <c r="V175" s="390">
        <v>1.2</v>
      </c>
      <c r="W175" s="412">
        <f>SUMIFS(Таблица14[часы],Таблица14[коэф],"1,2",Таблица14[р/р],"4/24",Таблица14[Ф. И. О.],B176)</f>
        <v>0</v>
      </c>
      <c r="X175" s="545">
        <f t="shared" si="81"/>
        <v>0</v>
      </c>
      <c r="Y175" s="795"/>
      <c r="Z175" s="797"/>
      <c r="AA175" s="786"/>
    </row>
    <row r="176" spans="1:29">
      <c r="A176" s="786"/>
      <c r="B176" s="216" t="str">
        <f>база!B17</f>
        <v>Грешнова Ольга Викторовна</v>
      </c>
      <c r="C176" s="789"/>
      <c r="D176" s="792"/>
      <c r="E176" s="393"/>
      <c r="F176" s="390"/>
      <c r="G176" s="400"/>
      <c r="H176" s="544">
        <f t="shared" si="78"/>
        <v>0</v>
      </c>
      <c r="I176" s="389"/>
      <c r="J176" s="390"/>
      <c r="K176" s="434"/>
      <c r="L176" s="434">
        <f t="shared" si="79"/>
        <v>0</v>
      </c>
      <c r="M176" s="434"/>
      <c r="N176" s="434"/>
      <c r="O176" s="434"/>
      <c r="P176" s="395"/>
      <c r="Q176" s="389">
        <f>база!$L$6</f>
        <v>261.04640000000001</v>
      </c>
      <c r="R176" s="390">
        <v>1.2</v>
      </c>
      <c r="S176" s="400">
        <f>SUMIFS(Таблица14[часы],Таблица14[коэф],"1,2",Таблица14[р/р],"5/16",Таблица14[Ф. И. О.],B176)</f>
        <v>0</v>
      </c>
      <c r="T176" s="544">
        <f t="shared" si="80"/>
        <v>0</v>
      </c>
      <c r="U176" s="472">
        <f>база!$M$6</f>
        <v>279.0496</v>
      </c>
      <c r="V176" s="390">
        <v>1.2</v>
      </c>
      <c r="W176" s="412">
        <f>SUMIFS(Таблица14[часы],Таблица14[коэф],"1,2",Таблица14[р/р],"5/24",Таблица14[Ф. И. О.],B176)</f>
        <v>0</v>
      </c>
      <c r="X176" s="545">
        <f t="shared" si="81"/>
        <v>0</v>
      </c>
      <c r="Y176" s="795"/>
      <c r="Z176" s="797"/>
      <c r="AA176" s="786"/>
      <c r="AC176" s="754" t="str">
        <f>IF(SUMIFS(Таблица14[Столбец2],Таблица14[Ф. И. О.],B176)-Z171=0,"",SUMIFS(Таблица14[Столбец2],Таблица14[Ф. И. О.],B176)-Z171)</f>
        <v/>
      </c>
    </row>
    <row r="177" spans="1:29">
      <c r="A177" s="786"/>
      <c r="B177" s="216"/>
      <c r="C177" s="789"/>
      <c r="D177" s="792"/>
      <c r="E177" s="393"/>
      <c r="F177" s="390"/>
      <c r="G177" s="400"/>
      <c r="H177" s="544">
        <f t="shared" si="78"/>
        <v>0</v>
      </c>
      <c r="I177" s="389"/>
      <c r="J177" s="390"/>
      <c r="K177" s="434"/>
      <c r="L177" s="434">
        <f t="shared" si="79"/>
        <v>0</v>
      </c>
      <c r="M177" s="434"/>
      <c r="N177" s="434"/>
      <c r="O177" s="434"/>
      <c r="P177" s="395"/>
      <c r="Q177" s="389">
        <f>IF(D171&lt;=3,база!$L$4,
IF(D171=4,база!$L$5,
IF(D171=5,база!$L$6)))</f>
        <v>210.57480000000001</v>
      </c>
      <c r="R177" s="390">
        <v>1.3</v>
      </c>
      <c r="S177" s="400">
        <f>SUMIFS(Таблица14[часы],Таблица14[коэф],"1,3",Таблица14[р/р],"3/16",Таблица14[Ф. И. О.],B176)</f>
        <v>0</v>
      </c>
      <c r="T177" s="544">
        <f t="shared" si="80"/>
        <v>0</v>
      </c>
      <c r="U177" s="472">
        <f>IF(D171&lt;=3,база!$M$4,
IF(D171=4,база!$M$5,
IF(D171=5,база!$M$6)))</f>
        <v>225.09719999999999</v>
      </c>
      <c r="V177" s="390">
        <v>1.3</v>
      </c>
      <c r="W177" s="412">
        <f>SUMIFS(Таблица14[часы],Таблица14[коэф],"1,3",Таблица14[р/р],"3/24",Таблица14[Ф. И. О.],B176)</f>
        <v>0</v>
      </c>
      <c r="X177" s="545">
        <f t="shared" si="81"/>
        <v>0</v>
      </c>
      <c r="Y177" s="795"/>
      <c r="Z177" s="797"/>
      <c r="AA177" s="786"/>
      <c r="AC177" s="754" t="str">
        <f>IF(SUMIFS(Таблица14[часы],Таблица14[Ф. И. О.],B176)-Y171=0,"",SUMIFS(Таблица14[часы],Таблица14[Ф. И. О.],B176)-Y171)</f>
        <v/>
      </c>
    </row>
    <row r="178" spans="1:29">
      <c r="A178" s="786"/>
      <c r="B178" s="216"/>
      <c r="C178" s="789"/>
      <c r="D178" s="792"/>
      <c r="E178" s="393"/>
      <c r="F178" s="390"/>
      <c r="G178" s="400"/>
      <c r="H178" s="544">
        <f t="shared" si="78"/>
        <v>0</v>
      </c>
      <c r="I178" s="389"/>
      <c r="J178" s="390"/>
      <c r="K178" s="434"/>
      <c r="L178" s="434">
        <f t="shared" si="79"/>
        <v>0</v>
      </c>
      <c r="M178" s="434"/>
      <c r="N178" s="434"/>
      <c r="O178" s="434"/>
      <c r="P178" s="395"/>
      <c r="Q178" s="389">
        <f>база!$L$5</f>
        <v>231.45480000000001</v>
      </c>
      <c r="R178" s="390">
        <v>1.3</v>
      </c>
      <c r="S178" s="400">
        <f>SUMIFS(Таблица14[часы],Таблица14[коэф],"1,3",Таблица14[р/р],"4/16",Таблица14[Ф. И. О.],B176)</f>
        <v>0</v>
      </c>
      <c r="T178" s="544">
        <f t="shared" si="80"/>
        <v>0</v>
      </c>
      <c r="U178" s="472">
        <f>база!$M$5</f>
        <v>247.41720000000001</v>
      </c>
      <c r="V178" s="390">
        <v>1.3</v>
      </c>
      <c r="W178" s="412">
        <f>SUMIFS(Таблица14[часы],Таблица14[коэф],"1,3",Таблица14[р/р],"4/24",Таблица14[Ф. И. О.],B176)</f>
        <v>0</v>
      </c>
      <c r="X178" s="545">
        <f t="shared" si="81"/>
        <v>0</v>
      </c>
      <c r="Y178" s="795"/>
      <c r="Z178" s="797"/>
      <c r="AA178" s="786"/>
    </row>
    <row r="179" spans="1:29">
      <c r="A179" s="786"/>
      <c r="B179" s="216"/>
      <c r="C179" s="789"/>
      <c r="D179" s="792"/>
      <c r="E179" s="393"/>
      <c r="F179" s="390"/>
      <c r="G179" s="400"/>
      <c r="H179" s="544">
        <f t="shared" si="78"/>
        <v>0</v>
      </c>
      <c r="I179" s="389"/>
      <c r="J179" s="390"/>
      <c r="K179" s="434"/>
      <c r="L179" s="434">
        <f t="shared" si="79"/>
        <v>0</v>
      </c>
      <c r="M179" s="434"/>
      <c r="N179" s="434"/>
      <c r="O179" s="434"/>
      <c r="P179" s="395"/>
      <c r="Q179" s="389">
        <f>IF(D171&lt;=3,база!$L$4,
IF(D171=4,база!$L$5,
IF(D171=5,база!$L$6)))</f>
        <v>210.57480000000001</v>
      </c>
      <c r="R179" s="390">
        <v>1.4</v>
      </c>
      <c r="S179" s="400">
        <f>SUMIFS(Таблица14[часы],Таблица14[коэф],"1,4",Таблица14[р/р],"3/16",Таблица14[Ф. И. О.],B176)</f>
        <v>0</v>
      </c>
      <c r="T179" s="544">
        <f t="shared" si="80"/>
        <v>0</v>
      </c>
      <c r="U179" s="472">
        <f>IF(D171&lt;=3,база!$M$4,
IF(D171=4,база!$M$5,
IF(D171=5,база!$M$6)))</f>
        <v>225.09719999999999</v>
      </c>
      <c r="V179" s="390">
        <v>1.4</v>
      </c>
      <c r="W179" s="412">
        <f>SUMIFS(Таблица14[часы],Таблица14[коэф],"1,4",Таблица14[р/р],"3/24",Таблица14[Ф. И. О.],B176)</f>
        <v>0</v>
      </c>
      <c r="X179" s="545">
        <f t="shared" si="81"/>
        <v>0</v>
      </c>
      <c r="Y179" s="795"/>
      <c r="Z179" s="797"/>
      <c r="AA179" s="786"/>
    </row>
    <row r="180" spans="1:29">
      <c r="A180" s="786"/>
      <c r="B180" s="216"/>
      <c r="C180" s="789"/>
      <c r="D180" s="792"/>
      <c r="E180" s="393"/>
      <c r="F180" s="390"/>
      <c r="G180" s="400"/>
      <c r="H180" s="544">
        <f t="shared" si="78"/>
        <v>0</v>
      </c>
      <c r="I180" s="389"/>
      <c r="J180" s="390"/>
      <c r="K180" s="434"/>
      <c r="L180" s="434">
        <f t="shared" si="79"/>
        <v>0</v>
      </c>
      <c r="M180" s="434"/>
      <c r="N180" s="434"/>
      <c r="O180" s="434"/>
      <c r="P180" s="395"/>
      <c r="Q180" s="389">
        <f>база!$L$5</f>
        <v>231.45480000000001</v>
      </c>
      <c r="R180" s="390">
        <v>1.4</v>
      </c>
      <c r="S180" s="400">
        <f>SUMIFS(Таблица14[часы],Таблица14[коэф],"1,4",Таблица14[р/р],"4/16",Таблица14[Ф. И. О.],B176)</f>
        <v>0</v>
      </c>
      <c r="T180" s="544">
        <f t="shared" si="80"/>
        <v>0</v>
      </c>
      <c r="U180" s="472">
        <f>база!$M$5</f>
        <v>247.41720000000001</v>
      </c>
      <c r="V180" s="390">
        <v>1.4</v>
      </c>
      <c r="W180" s="412">
        <f>SUMIFS(Таблица14[часы],Таблица14[коэф],"1,4",Таблица14[р/р],"4/24",Таблица14[Ф. И. О.],B176)</f>
        <v>0</v>
      </c>
      <c r="X180" s="545">
        <f t="shared" si="81"/>
        <v>0</v>
      </c>
      <c r="Y180" s="795"/>
      <c r="Z180" s="797"/>
      <c r="AA180" s="786"/>
    </row>
    <row r="181" spans="1:29" ht="21" thickBot="1">
      <c r="A181" s="787"/>
      <c r="B181" s="203"/>
      <c r="C181" s="790"/>
      <c r="D181" s="793"/>
      <c r="E181" s="463"/>
      <c r="F181" s="464"/>
      <c r="G181" s="465"/>
      <c r="H181" s="549">
        <f t="shared" si="78"/>
        <v>0</v>
      </c>
      <c r="I181" s="473"/>
      <c r="J181" s="464"/>
      <c r="K181" s="457"/>
      <c r="L181" s="457">
        <f t="shared" si="79"/>
        <v>0</v>
      </c>
      <c r="M181" s="457"/>
      <c r="N181" s="457"/>
      <c r="O181" s="457"/>
      <c r="P181" s="458"/>
      <c r="Q181" s="473">
        <f>база!$L$6</f>
        <v>261.04640000000001</v>
      </c>
      <c r="R181" s="464">
        <v>1.4</v>
      </c>
      <c r="S181" s="465">
        <f>SUMIFS(Таблица14[часы],Таблица14[коэф],"1,4",Таблица14[р/р],"5/16",Таблица14[Ф. И. О.],B176)</f>
        <v>0</v>
      </c>
      <c r="T181" s="549">
        <f t="shared" si="80"/>
        <v>0</v>
      </c>
      <c r="U181" s="474">
        <f>база!$M$6</f>
        <v>279.0496</v>
      </c>
      <c r="V181" s="464">
        <v>1.4</v>
      </c>
      <c r="W181" s="470">
        <f>SUMIFS(Таблица14[часы],Таблица14[коэф],"1,4",Таблица14[р/р],"5/24",Таблица14[Ф. И. О.],B176)</f>
        <v>0</v>
      </c>
      <c r="X181" s="547">
        <f t="shared" si="81"/>
        <v>0</v>
      </c>
      <c r="Y181" s="796"/>
      <c r="Z181" s="798"/>
      <c r="AA181" s="787"/>
    </row>
    <row r="182" spans="1:29">
      <c r="A182" s="785">
        <v>17</v>
      </c>
      <c r="B182" s="216"/>
      <c r="C182" s="788">
        <f>INDEX(база!$E$2:$E$81, MATCH(B187,база!$B$2:$B$50,0))</f>
        <v>15894</v>
      </c>
      <c r="D182" s="791">
        <f>INDEX(база!$D$2:$D$89, MATCH(B187,база!$B$2:$B$50,0))</f>
        <v>3</v>
      </c>
      <c r="E182" s="377">
        <f>IF(D182&lt;=3,база!$I$4,
IF(D182=4,база!$I$5,
IF(D182=5,база!$I$6)))</f>
        <v>188.7912</v>
      </c>
      <c r="F182" s="378">
        <v>1</v>
      </c>
      <c r="G182" s="387">
        <f>SUMIFS(Таблица14[часы],Таблица14[коэф],"1",Таблица14[р/р],"2/4",Таблица14[Ф. И. О.],B187)</f>
        <v>0</v>
      </c>
      <c r="H182" s="380">
        <f>ROUND(E182*F182*G182*2,2)</f>
        <v>0</v>
      </c>
      <c r="I182" s="451">
        <f>IF(D182&lt;=3,база!$J$4,
IF(D182=4,база!$J$5,
IF(D182=5,база!$J$6)))</f>
        <v>196.05240000000001</v>
      </c>
      <c r="J182" s="417">
        <v>1</v>
      </c>
      <c r="K182" s="453">
        <f>SUMIFS(Таблица14[часы],Таблица14[коэф],"1",Таблица14[р/р],"2/8",Таблица14[Ф. И. О.],B187)</f>
        <v>0</v>
      </c>
      <c r="L182" s="453">
        <f>ROUND(I182*J182*K182*2,2)</f>
        <v>0</v>
      </c>
      <c r="M182" s="453"/>
      <c r="N182" s="453">
        <v>1</v>
      </c>
      <c r="O182" s="453">
        <f>SUMIFS(Data_Tech!$AM$3:$AM$67,Data_Tech!$E$3:$E$67,"1",Data_Tech!$G$3:$G$67,"3/12",Data_Tech!$F$3:$F$67,B187)</f>
        <v>0</v>
      </c>
      <c r="P182" s="398">
        <f>ROUND(M182*N182*O182,2)</f>
        <v>0</v>
      </c>
      <c r="Q182" s="377">
        <f>IF(D182&lt;=3,база!$L$4,
IF(D182=4,база!$L$5,
IF(D182=5,база!$L$6)))</f>
        <v>210.57480000000001</v>
      </c>
      <c r="R182" s="378">
        <v>1</v>
      </c>
      <c r="S182" s="387">
        <f>SUMIFS(Таблица14[часы],Таблица14[коэф],"1",Таблица14[р/р],"3/16",Таблица14[Ф. И. О.],B187)</f>
        <v>0</v>
      </c>
      <c r="T182" s="380">
        <f>ROUND(Q182*R182*S182*2,2)</f>
        <v>0</v>
      </c>
      <c r="U182" s="454">
        <f>IF(D182&lt;=3,база!$M$4,
IF(D182=4,база!$M$5,
IF(D182=5,база!$M$6)))</f>
        <v>225.09719999999999</v>
      </c>
      <c r="V182" s="417">
        <v>1</v>
      </c>
      <c r="W182" s="455">
        <f>SUMIFS(Таблица14[часы],Таблица14[коэф],"1",Таблица14[р/р],"3/24",Таблица14[Ф. И. О.],B187)</f>
        <v>0</v>
      </c>
      <c r="X182" s="543">
        <f>ROUND(U182*V182*W182*2,2)</f>
        <v>0</v>
      </c>
      <c r="Y182" s="795">
        <f>SUM(G182:G192,K182:K192,O182:O192,S182:S192,W182:W192)</f>
        <v>0</v>
      </c>
      <c r="Z182" s="797">
        <f t="shared" ref="Z182" si="82">IFERROR(SUM(H182:H192,L182:L192,T182:T192,X182:X192),"")</f>
        <v>0</v>
      </c>
      <c r="AA182" s="786"/>
    </row>
    <row r="183" spans="1:29">
      <c r="A183" s="786"/>
      <c r="B183" s="216"/>
      <c r="C183" s="789"/>
      <c r="D183" s="792"/>
      <c r="E183" s="389">
        <f>IF(D182&lt;=3,база!$I$4,
IF(D182=4,база!$I$5,
IF(D182=5,база!$I$6)))</f>
        <v>188.7912</v>
      </c>
      <c r="F183" s="390">
        <v>1</v>
      </c>
      <c r="G183" s="400">
        <f>SUMIFS(Таблица14[часы],Таблица14[коэф],"1",Таблица14[р/р],"3/4",Таблица14[Ф. И. О.],B187)</f>
        <v>0</v>
      </c>
      <c r="H183" s="392">
        <f t="shared" ref="H183:H192" si="83">ROUND(E183*F183*G183*2,2)</f>
        <v>0</v>
      </c>
      <c r="I183" s="393">
        <f>IF(D182&lt;=3,база!$J$4,
IF(D182=4,база!$J$5,
IF(D182=5,база!$J$6)))</f>
        <v>196.05240000000001</v>
      </c>
      <c r="J183" s="390">
        <v>1</v>
      </c>
      <c r="K183" s="434">
        <f>SUMIFS(Таблица14[часы],Таблица14[коэф],"1",Таблица14[р/р],"3/8",Таблица14[Ф. И. О.],B187)</f>
        <v>0</v>
      </c>
      <c r="L183" s="434">
        <f t="shared" ref="L183:L192" si="84">ROUND(I183*J183*K183*2,2)</f>
        <v>0</v>
      </c>
      <c r="M183" s="434"/>
      <c r="N183" s="434">
        <v>1</v>
      </c>
      <c r="O183" s="434">
        <f>SUMIFS(Data_Tech!$AM$3:$AM$67,Data_Tech!$E$3:$E$67,"1",Data_Tech!$G$3:$G$67,"4/12",Data_Tech!$F$3:$F$67,B187)</f>
        <v>0</v>
      </c>
      <c r="P183" s="406">
        <f>ROUND(M183*O183,2)</f>
        <v>0</v>
      </c>
      <c r="Q183" s="389">
        <f>база!$L$5</f>
        <v>231.45480000000001</v>
      </c>
      <c r="R183" s="390">
        <v>1</v>
      </c>
      <c r="S183" s="400">
        <f>SUMIFS(Таблица14[часы],Таблица14[коэф],"1",Таблица14[р/р],"4/16",Таблица14[Ф. И. О.],B187)</f>
        <v>0</v>
      </c>
      <c r="T183" s="392">
        <f t="shared" ref="T183:T192" si="85">ROUND(Q183*R183*S183*2,2)</f>
        <v>0</v>
      </c>
      <c r="U183" s="410">
        <f>база!$M$5</f>
        <v>247.41720000000001</v>
      </c>
      <c r="V183" s="390">
        <v>1</v>
      </c>
      <c r="W183" s="412">
        <f>SUMIFS(Таблица14[часы],Таблица14[коэф],"1",Таблица14[р/р],"4/24",Таблица14[Ф. И. О.],B187)</f>
        <v>0</v>
      </c>
      <c r="X183" s="545">
        <f t="shared" ref="X183:X192" si="86">ROUND(U183*V183*W183*2,2)</f>
        <v>0</v>
      </c>
      <c r="Y183" s="795"/>
      <c r="Z183" s="797"/>
      <c r="AA183" s="786"/>
    </row>
    <row r="184" spans="1:29">
      <c r="A184" s="786"/>
      <c r="B184" s="216"/>
      <c r="C184" s="789"/>
      <c r="D184" s="792"/>
      <c r="E184" s="389"/>
      <c r="F184" s="390"/>
      <c r="G184" s="400"/>
      <c r="H184" s="392">
        <f t="shared" si="83"/>
        <v>0</v>
      </c>
      <c r="I184" s="393"/>
      <c r="J184" s="390"/>
      <c r="K184" s="434"/>
      <c r="L184" s="434">
        <f t="shared" si="84"/>
        <v>0</v>
      </c>
      <c r="M184" s="434"/>
      <c r="N184" s="434"/>
      <c r="O184" s="434"/>
      <c r="P184" s="406"/>
      <c r="Q184" s="389">
        <f>база!$L$6</f>
        <v>261.04640000000001</v>
      </c>
      <c r="R184" s="390">
        <v>1</v>
      </c>
      <c r="S184" s="400">
        <f>SUMIFS(Таблица14[часы],Таблица14[коэф],"1",Таблица14[р/р],"5/16",Таблица14[Ф. И. О.],B187)</f>
        <v>0</v>
      </c>
      <c r="T184" s="392">
        <f t="shared" si="85"/>
        <v>0</v>
      </c>
      <c r="U184" s="410">
        <f>база!$M$6</f>
        <v>279.0496</v>
      </c>
      <c r="V184" s="390">
        <v>1</v>
      </c>
      <c r="W184" s="412">
        <f>SUMIFS(Таблица14[часы],Таблица14[коэф],"1",Таблица14[р/р],"5/24",Таблица14[Ф. И. О.],B187)</f>
        <v>0</v>
      </c>
      <c r="X184" s="545">
        <f t="shared" si="86"/>
        <v>0</v>
      </c>
      <c r="Y184" s="795"/>
      <c r="Z184" s="797"/>
      <c r="AA184" s="786"/>
    </row>
    <row r="185" spans="1:29">
      <c r="A185" s="786"/>
      <c r="B185" s="216"/>
      <c r="C185" s="789"/>
      <c r="D185" s="792"/>
      <c r="E185" s="389"/>
      <c r="F185" s="390"/>
      <c r="G185" s="400"/>
      <c r="H185" s="392">
        <f t="shared" si="83"/>
        <v>0</v>
      </c>
      <c r="I185" s="393">
        <f>база!$J$5</f>
        <v>215.4924</v>
      </c>
      <c r="J185" s="390">
        <v>1.5</v>
      </c>
      <c r="K185" s="434">
        <f>SUMIFS(Таблица14[часы],Таблица14[коэф],"1,5",Таблица14[р/р],"4/8",Таблица14[Ф. И. О.],B187)</f>
        <v>0</v>
      </c>
      <c r="L185" s="434">
        <f t="shared" si="84"/>
        <v>0</v>
      </c>
      <c r="M185" s="434"/>
      <c r="N185" s="434"/>
      <c r="O185" s="434"/>
      <c r="P185" s="406"/>
      <c r="Q185" s="389">
        <f>IF(D182&lt;=3,база!$L$4,
IF(D182=4,база!$L$5,
IF(D182=5,база!$L$6)))</f>
        <v>210.57480000000001</v>
      </c>
      <c r="R185" s="390">
        <v>1.2</v>
      </c>
      <c r="S185" s="400">
        <f>SUMIFS(Таблица14[часы],Таблица14[коэф],"1,2",Таблица14[р/р],"3/16",Таблица14[Ф. И. О.],B187)</f>
        <v>0</v>
      </c>
      <c r="T185" s="392">
        <f t="shared" si="85"/>
        <v>0</v>
      </c>
      <c r="U185" s="410">
        <f>IF(D182&lt;=3,база!$M$4,
IF(D182=4,база!$M$5,
IF(D182=5,база!$M$6)))</f>
        <v>225.09719999999999</v>
      </c>
      <c r="V185" s="390">
        <v>1.2</v>
      </c>
      <c r="W185" s="412">
        <f>SUMIFS(Таблица14[часы],Таблица14[коэф],"1,2",Таблица14[р/р],"3/24",Таблица14[Ф. И. О.],B187)</f>
        <v>0</v>
      </c>
      <c r="X185" s="545">
        <f t="shared" si="86"/>
        <v>0</v>
      </c>
      <c r="Y185" s="795"/>
      <c r="Z185" s="797"/>
      <c r="AA185" s="786"/>
    </row>
    <row r="186" spans="1:29">
      <c r="A186" s="786"/>
      <c r="B186" s="216"/>
      <c r="C186" s="789"/>
      <c r="D186" s="792"/>
      <c r="E186" s="389"/>
      <c r="F186" s="390"/>
      <c r="G186" s="400"/>
      <c r="H186" s="392">
        <f t="shared" si="83"/>
        <v>0</v>
      </c>
      <c r="I186" s="393">
        <f>база!$J$6</f>
        <v>243.04319999999998</v>
      </c>
      <c r="J186" s="390">
        <v>1.5</v>
      </c>
      <c r="K186" s="434">
        <f>SUMIFS(Таблица14[часы],Таблица14[коэф],"1,5",Таблица14[р/р],"5/8",Таблица14[Ф. И. О.],B187)</f>
        <v>0</v>
      </c>
      <c r="L186" s="434">
        <f t="shared" si="84"/>
        <v>0</v>
      </c>
      <c r="M186" s="434"/>
      <c r="N186" s="434"/>
      <c r="O186" s="434"/>
      <c r="P186" s="406"/>
      <c r="Q186" s="389">
        <f>база!$L$5</f>
        <v>231.45480000000001</v>
      </c>
      <c r="R186" s="390">
        <v>1.2</v>
      </c>
      <c r="S186" s="400">
        <f>SUMIFS(Таблица14[часы],Таблица14[коэф],"1,2",Таблица14[р/р],"4/16",Таблица14[Ф. И. О.],B187)</f>
        <v>0</v>
      </c>
      <c r="T186" s="392">
        <f t="shared" si="85"/>
        <v>0</v>
      </c>
      <c r="U186" s="410">
        <f>база!$M$5</f>
        <v>247.41720000000001</v>
      </c>
      <c r="V186" s="390">
        <v>1.2</v>
      </c>
      <c r="W186" s="412">
        <f>SUMIFS(Таблица14[часы],Таблица14[коэф],"1,2",Таблица14[р/р],"4/24",Таблица14[Ф. И. О.],B187)</f>
        <v>0</v>
      </c>
      <c r="X186" s="545">
        <f t="shared" si="86"/>
        <v>0</v>
      </c>
      <c r="Y186" s="795"/>
      <c r="Z186" s="797"/>
      <c r="AA186" s="786"/>
      <c r="AC186" s="754" t="str">
        <f>IF(SUMIFS(Таблица14[Столбец2],Таблица14[Ф. И. О.],B187)-Z182=0,"",SUMIFS(Таблица14[Столбец2],Таблица14[Ф. И. О.],B187)-Z182)</f>
        <v/>
      </c>
    </row>
    <row r="187" spans="1:29">
      <c r="A187" s="786"/>
      <c r="B187" s="216" t="str">
        <f>база!B18</f>
        <v>Груздева Олеся Изидоровна</v>
      </c>
      <c r="C187" s="789"/>
      <c r="D187" s="792"/>
      <c r="E187" s="389"/>
      <c r="F187" s="390"/>
      <c r="G187" s="400"/>
      <c r="H187" s="392">
        <f t="shared" si="83"/>
        <v>0</v>
      </c>
      <c r="I187" s="393"/>
      <c r="J187" s="390"/>
      <c r="K187" s="434"/>
      <c r="L187" s="434">
        <f t="shared" si="84"/>
        <v>0</v>
      </c>
      <c r="M187" s="434"/>
      <c r="N187" s="434"/>
      <c r="O187" s="434"/>
      <c r="P187" s="406"/>
      <c r="Q187" s="389">
        <f>база!$L$6</f>
        <v>261.04640000000001</v>
      </c>
      <c r="R187" s="390">
        <v>1.2</v>
      </c>
      <c r="S187" s="400">
        <f>SUMIFS(Таблица14[часы],Таблица14[коэф],"1,2",Таблица14[р/р],"5/16",Таблица14[Ф. И. О.],B187)</f>
        <v>0</v>
      </c>
      <c r="T187" s="392">
        <f t="shared" si="85"/>
        <v>0</v>
      </c>
      <c r="U187" s="410">
        <f>база!$M$6</f>
        <v>279.0496</v>
      </c>
      <c r="V187" s="390">
        <v>1.2</v>
      </c>
      <c r="W187" s="412">
        <f>SUMIFS(Таблица14[часы],Таблица14[коэф],"1,2",Таблица14[р/р],"5/24",Таблица14[Ф. И. О.],B187)</f>
        <v>0</v>
      </c>
      <c r="X187" s="545">
        <f t="shared" si="86"/>
        <v>0</v>
      </c>
      <c r="Y187" s="795"/>
      <c r="Z187" s="797"/>
      <c r="AA187" s="786"/>
      <c r="AC187" s="754" t="str">
        <f>IF(SUMIFS(Таблица14[часы],Таблица14[Ф. И. О.],B187)-Y182=0,"",SUMIFS(Таблица14[часы],Таблица14[Ф. И. О.],B187)-Y182)</f>
        <v/>
      </c>
    </row>
    <row r="188" spans="1:29">
      <c r="A188" s="786"/>
      <c r="B188" s="216"/>
      <c r="C188" s="789"/>
      <c r="D188" s="792"/>
      <c r="E188" s="389"/>
      <c r="F188" s="390"/>
      <c r="G188" s="400"/>
      <c r="H188" s="392">
        <f t="shared" si="83"/>
        <v>0</v>
      </c>
      <c r="I188" s="393"/>
      <c r="J188" s="390"/>
      <c r="K188" s="434"/>
      <c r="L188" s="434">
        <f t="shared" si="84"/>
        <v>0</v>
      </c>
      <c r="M188" s="434"/>
      <c r="N188" s="434"/>
      <c r="O188" s="434"/>
      <c r="P188" s="406"/>
      <c r="Q188" s="389">
        <f>IF(D182&lt;=3,база!$L$4,
IF(D182=4,база!$L$5,
IF(D182=5,база!$L$6)))</f>
        <v>210.57480000000001</v>
      </c>
      <c r="R188" s="390">
        <v>1.3</v>
      </c>
      <c r="S188" s="400">
        <f>SUMIFS(Таблица14[часы],Таблица14[коэф],"1,3",Таблица14[р/р],"3/16",Таблица14[Ф. И. О.],B187)</f>
        <v>0</v>
      </c>
      <c r="T188" s="392">
        <f t="shared" si="85"/>
        <v>0</v>
      </c>
      <c r="U188" s="410">
        <f>IF(D182&lt;=3,база!$M$4,
IF(D182=4,база!$M$5,
IF(D182=5,база!$M$6)))</f>
        <v>225.09719999999999</v>
      </c>
      <c r="V188" s="390">
        <v>1.3</v>
      </c>
      <c r="W188" s="412">
        <f>SUMIFS(Таблица14[часы],Таблица14[коэф],"1,3",Таблица14[р/р],"3/24",Таблица14[Ф. И. О.],B187)</f>
        <v>0</v>
      </c>
      <c r="X188" s="545">
        <f t="shared" si="86"/>
        <v>0</v>
      </c>
      <c r="Y188" s="795"/>
      <c r="Z188" s="797"/>
      <c r="AA188" s="786"/>
    </row>
    <row r="189" spans="1:29">
      <c r="A189" s="786"/>
      <c r="B189" s="216"/>
      <c r="C189" s="789"/>
      <c r="D189" s="792"/>
      <c r="E189" s="389"/>
      <c r="F189" s="390"/>
      <c r="G189" s="400"/>
      <c r="H189" s="392">
        <f t="shared" si="83"/>
        <v>0</v>
      </c>
      <c r="I189" s="393"/>
      <c r="J189" s="390"/>
      <c r="K189" s="434"/>
      <c r="L189" s="434">
        <f t="shared" si="84"/>
        <v>0</v>
      </c>
      <c r="M189" s="434"/>
      <c r="N189" s="434"/>
      <c r="O189" s="434"/>
      <c r="P189" s="406"/>
      <c r="Q189" s="389">
        <f>база!$L$5</f>
        <v>231.45480000000001</v>
      </c>
      <c r="R189" s="390">
        <v>1.3</v>
      </c>
      <c r="S189" s="400">
        <f>SUMIFS(Таблица14[часы],Таблица14[коэф],"1,3",Таблица14[р/р],"4/16",Таблица14[Ф. И. О.],B187)</f>
        <v>0</v>
      </c>
      <c r="T189" s="392">
        <f t="shared" si="85"/>
        <v>0</v>
      </c>
      <c r="U189" s="410">
        <f>база!$M$5</f>
        <v>247.41720000000001</v>
      </c>
      <c r="V189" s="390">
        <v>1.3</v>
      </c>
      <c r="W189" s="412">
        <f>SUMIFS(Таблица14[часы],Таблица14[коэф],"1,3",Таблица14[р/р],"4/24",Таблица14[Ф. И. О.],B187)</f>
        <v>0</v>
      </c>
      <c r="X189" s="545">
        <f t="shared" si="86"/>
        <v>0</v>
      </c>
      <c r="Y189" s="795"/>
      <c r="Z189" s="797"/>
      <c r="AA189" s="786"/>
    </row>
    <row r="190" spans="1:29">
      <c r="A190" s="786"/>
      <c r="B190" s="216"/>
      <c r="C190" s="789"/>
      <c r="D190" s="792"/>
      <c r="E190" s="389"/>
      <c r="F190" s="390"/>
      <c r="G190" s="400"/>
      <c r="H190" s="392">
        <f t="shared" si="83"/>
        <v>0</v>
      </c>
      <c r="I190" s="393"/>
      <c r="J190" s="390"/>
      <c r="K190" s="434"/>
      <c r="L190" s="434">
        <f t="shared" si="84"/>
        <v>0</v>
      </c>
      <c r="M190" s="434"/>
      <c r="N190" s="434"/>
      <c r="O190" s="434"/>
      <c r="P190" s="406"/>
      <c r="Q190" s="389">
        <f>IF(D182&lt;=3,база!$L$4,
IF(D182=4,база!$L$5,
IF(D182=5,база!$L$6)))</f>
        <v>210.57480000000001</v>
      </c>
      <c r="R190" s="390">
        <v>1.4</v>
      </c>
      <c r="S190" s="400">
        <f>SUMIFS(Таблица14[часы],Таблица14[коэф],"1,4",Таблица14[р/р],"3/16",Таблица14[Ф. И. О.],B187)</f>
        <v>0</v>
      </c>
      <c r="T190" s="392">
        <f t="shared" si="85"/>
        <v>0</v>
      </c>
      <c r="U190" s="410">
        <f>IF(D182&lt;=3,база!$M$4,
IF(D182=4,база!$M$5,
IF(D182=5,база!$M$6)))</f>
        <v>225.09719999999999</v>
      </c>
      <c r="V190" s="390">
        <v>1.4</v>
      </c>
      <c r="W190" s="412">
        <f>SUMIFS(Таблица14[часы],Таблица14[коэф],"1,4",Таблица14[р/р],"3/24",Таблица14[Ф. И. О.],B187)</f>
        <v>0</v>
      </c>
      <c r="X190" s="545">
        <f t="shared" si="86"/>
        <v>0</v>
      </c>
      <c r="Y190" s="795"/>
      <c r="Z190" s="797"/>
      <c r="AA190" s="786"/>
    </row>
    <row r="191" spans="1:29">
      <c r="A191" s="786"/>
      <c r="B191" s="216"/>
      <c r="C191" s="789"/>
      <c r="D191" s="792"/>
      <c r="E191" s="389"/>
      <c r="F191" s="390"/>
      <c r="G191" s="400"/>
      <c r="H191" s="392">
        <f t="shared" si="83"/>
        <v>0</v>
      </c>
      <c r="I191" s="393"/>
      <c r="J191" s="390"/>
      <c r="K191" s="434"/>
      <c r="L191" s="434">
        <f t="shared" si="84"/>
        <v>0</v>
      </c>
      <c r="M191" s="434"/>
      <c r="N191" s="434"/>
      <c r="O191" s="434"/>
      <c r="P191" s="406"/>
      <c r="Q191" s="389">
        <f>база!$L$5</f>
        <v>231.45480000000001</v>
      </c>
      <c r="R191" s="390">
        <v>1.4</v>
      </c>
      <c r="S191" s="400">
        <f>SUMIFS(Таблица14[часы],Таблица14[коэф],"1,4",Таблица14[р/р],"4/16",Таблица14[Ф. И. О.],B187)</f>
        <v>0</v>
      </c>
      <c r="T191" s="392">
        <f t="shared" si="85"/>
        <v>0</v>
      </c>
      <c r="U191" s="410">
        <f>база!$M$5</f>
        <v>247.41720000000001</v>
      </c>
      <c r="V191" s="390">
        <v>1.4</v>
      </c>
      <c r="W191" s="412">
        <f>SUMIFS(Таблица14[часы],Таблица14[коэф],"1,4",Таблица14[р/р],"4/24",Таблица14[Ф. И. О.],B187)</f>
        <v>0</v>
      </c>
      <c r="X191" s="545">
        <f t="shared" si="86"/>
        <v>0</v>
      </c>
      <c r="Y191" s="795"/>
      <c r="Z191" s="797"/>
      <c r="AA191" s="786"/>
    </row>
    <row r="192" spans="1:29" ht="21" thickBot="1">
      <c r="A192" s="787"/>
      <c r="B192" s="216"/>
      <c r="C192" s="790"/>
      <c r="D192" s="793"/>
      <c r="E192" s="420"/>
      <c r="F192" s="403"/>
      <c r="G192" s="408"/>
      <c r="H192" s="409">
        <f t="shared" si="83"/>
        <v>0</v>
      </c>
      <c r="I192" s="422"/>
      <c r="J192" s="403"/>
      <c r="K192" s="460"/>
      <c r="L192" s="460">
        <f t="shared" si="84"/>
        <v>0</v>
      </c>
      <c r="M192" s="460"/>
      <c r="N192" s="460"/>
      <c r="O192" s="460"/>
      <c r="P192" s="479"/>
      <c r="Q192" s="420">
        <f>база!$L$6</f>
        <v>261.04640000000001</v>
      </c>
      <c r="R192" s="403">
        <v>1.4</v>
      </c>
      <c r="S192" s="408">
        <f>SUMIFS(Таблица14[часы],Таблица14[коэф],"1,4",Таблица14[р/р],"5/16",Таблица14[Ф. И. О.],B187)</f>
        <v>0</v>
      </c>
      <c r="T192" s="409">
        <f t="shared" si="85"/>
        <v>0</v>
      </c>
      <c r="U192" s="461">
        <f>база!$M$6</f>
        <v>279.0496</v>
      </c>
      <c r="V192" s="403">
        <v>1.4</v>
      </c>
      <c r="W192" s="527">
        <f>SUMIFS(Таблица14[часы],Таблица14[коэф],"1,4",Таблица14[р/р],"5/24",Таблица14[Ф. И. О.],B187)</f>
        <v>0</v>
      </c>
      <c r="X192" s="550">
        <f t="shared" si="86"/>
        <v>0</v>
      </c>
      <c r="Y192" s="796"/>
      <c r="Z192" s="798"/>
      <c r="AA192" s="787"/>
    </row>
    <row r="193" spans="1:29">
      <c r="A193" s="785">
        <v>18</v>
      </c>
      <c r="B193" s="236"/>
      <c r="C193" s="788">
        <f>INDEX(база!$E$2:$E$81, MATCH(B198,база!$B$2:$B$50,0))</f>
        <v>17160</v>
      </c>
      <c r="D193" s="791">
        <f>INDEX(база!$D$2:$D$89, MATCH(B198,база!$B$2:$B$50,0))</f>
        <v>3</v>
      </c>
      <c r="E193" s="377">
        <f>IF(D193&lt;=3,база!$I$4,
IF(D193=4,база!$I$5,
IF(D193=5,база!$I$6)))</f>
        <v>188.7912</v>
      </c>
      <c r="F193" s="378">
        <v>1</v>
      </c>
      <c r="G193" s="387">
        <f>SUMIFS(Таблица14[часы],Таблица14[коэф],"1",Таблица14[р/р],"2/4",Таблица14[Ф. И. О.],B198)</f>
        <v>0</v>
      </c>
      <c r="H193" s="380">
        <f>ROUND(E193*F193*G193*2,2)</f>
        <v>0</v>
      </c>
      <c r="I193" s="381">
        <f>IF(D193&lt;=3,база!$J$4,
IF(D193=4,база!$J$5,
IF(D193=5,база!$J$6)))</f>
        <v>196.05240000000001</v>
      </c>
      <c r="J193" s="378">
        <v>1</v>
      </c>
      <c r="K193" s="428">
        <f>SUMIFS(Таблица14[часы],Таблица14[коэф],"1",Таблица14[р/р],"2/8",Таблица14[Ф. И. О.],B198)</f>
        <v>0</v>
      </c>
      <c r="L193" s="428">
        <f>ROUND(I193*J193*K193*2,2)</f>
        <v>0</v>
      </c>
      <c r="M193" s="428"/>
      <c r="N193" s="428">
        <v>1</v>
      </c>
      <c r="O193" s="428">
        <f>SUMIFS(Data_Tech!$AM$3:$AM$67,Data_Tech!$E$3:$E$67,"1",Data_Tech!$G$3:$G$67,"3/12",Data_Tech!$F$3:$F$67,B198)</f>
        <v>0</v>
      </c>
      <c r="P193" s="385">
        <f>ROUND(M193*N193*O193,2)</f>
        <v>0</v>
      </c>
      <c r="Q193" s="377">
        <f>IF(D193&lt;=3,база!$L$4,
IF(D193=4,база!$L$5,
IF(D193=5,база!$L$6)))</f>
        <v>210.57480000000001</v>
      </c>
      <c r="R193" s="378">
        <v>1</v>
      </c>
      <c r="S193" s="387">
        <f>SUMIFS(Таблица14[часы],Таблица14[коэф],"1",Таблица14[р/р],"3/16",Таблица14[Ф. И. О.],B198)</f>
        <v>0</v>
      </c>
      <c r="T193" s="380">
        <f>ROUND(Q193*R193*S193*2,2)</f>
        <v>0</v>
      </c>
      <c r="U193" s="462">
        <f>IF(D193&lt;=3,база!$M$4,
IF(D193=4,база!$M$5,
IF(D193=5,база!$M$6)))</f>
        <v>225.09719999999999</v>
      </c>
      <c r="V193" s="378">
        <v>1</v>
      </c>
      <c r="W193" s="430">
        <f>SUMIFS(Таблица14[часы],Таблица14[коэф],"1",Таблица14[р/р],"3/24",Таблица14[Ф. И. О.],B198)</f>
        <v>0</v>
      </c>
      <c r="X193" s="543">
        <f>ROUND(U193*V193*W193*2,2)</f>
        <v>0</v>
      </c>
      <c r="Y193" s="795">
        <f t="shared" ref="Y193" si="87">SUM(G193:G203,K193:K203,O193:O203,S193:S203,W193:W203)</f>
        <v>0</v>
      </c>
      <c r="Z193" s="797">
        <f t="shared" ref="Z193" si="88">IFERROR(SUM(H193:H203,L193:L203,T193:T203,X193:X203),"")</f>
        <v>0</v>
      </c>
      <c r="AA193" s="786"/>
    </row>
    <row r="194" spans="1:29">
      <c r="A194" s="786"/>
      <c r="B194" s="216"/>
      <c r="C194" s="789"/>
      <c r="D194" s="792"/>
      <c r="E194" s="389">
        <f>IF(D193&lt;=3,база!$I$4,
IF(D193=4,база!$I$5,
IF(D193=5,база!$I$6)))</f>
        <v>188.7912</v>
      </c>
      <c r="F194" s="390">
        <v>1</v>
      </c>
      <c r="G194" s="400">
        <f>SUMIFS(Таблица14[часы],Таблица14[коэф],"1",Таблица14[р/р],"3/4",Таблица14[Ф. И. О.],B198)</f>
        <v>0</v>
      </c>
      <c r="H194" s="392">
        <f t="shared" ref="H194:H203" si="89">ROUND(E194*F194*G194*2,2)</f>
        <v>0</v>
      </c>
      <c r="I194" s="393">
        <f>IF(D193&lt;=3,база!$J$4,
IF(D193=4,база!$J$5,
IF(D193=5,база!$J$6)))</f>
        <v>196.05240000000001</v>
      </c>
      <c r="J194" s="390">
        <v>1</v>
      </c>
      <c r="K194" s="434">
        <f>SUMIFS(Таблица14[часы],Таблица14[коэф],"1",Таблица14[р/р],"3/8",Таблица14[Ф. И. О.],B198)</f>
        <v>0</v>
      </c>
      <c r="L194" s="434">
        <f t="shared" ref="L194:L203" si="90">ROUND(I194*J194*K194*2,2)</f>
        <v>0</v>
      </c>
      <c r="M194" s="434"/>
      <c r="N194" s="434">
        <v>1</v>
      </c>
      <c r="O194" s="434">
        <f>SUMIFS(Data_Tech!$AM$3:$AM$67,Data_Tech!$E$3:$E$67,"1",Data_Tech!$G$3:$G$67,"4/12",Data_Tech!$F$3:$F$67,B198)</f>
        <v>0</v>
      </c>
      <c r="P194" s="406">
        <f>ROUND(M194*O194,2)</f>
        <v>0</v>
      </c>
      <c r="Q194" s="389">
        <f>база!$L$5</f>
        <v>231.45480000000001</v>
      </c>
      <c r="R194" s="390">
        <v>1</v>
      </c>
      <c r="S194" s="400">
        <f>SUMIFS(Таблица14[часы],Таблица14[коэф],"1",Таблица14[р/р],"4/16",Таблица14[Ф. И. О.],B198)</f>
        <v>0</v>
      </c>
      <c r="T194" s="392">
        <f t="shared" ref="T194:T203" si="91">ROUND(Q194*R194*S194*2,2)</f>
        <v>0</v>
      </c>
      <c r="U194" s="410">
        <f>база!$M$5</f>
        <v>247.41720000000001</v>
      </c>
      <c r="V194" s="390">
        <v>1</v>
      </c>
      <c r="W194" s="412">
        <f>SUMIFS(Таблица14[часы],Таблица14[коэф],"1",Таблица14[р/р],"4/24",Таблица14[Ф. И. О.],B198)</f>
        <v>0</v>
      </c>
      <c r="X194" s="545">
        <f t="shared" ref="X194:X203" si="92">ROUND(U194*V194*W194*2,2)</f>
        <v>0</v>
      </c>
      <c r="Y194" s="795"/>
      <c r="Z194" s="797"/>
      <c r="AA194" s="786"/>
    </row>
    <row r="195" spans="1:29">
      <c r="A195" s="786"/>
      <c r="B195" s="216"/>
      <c r="C195" s="789"/>
      <c r="D195" s="792"/>
      <c r="E195" s="389"/>
      <c r="F195" s="390"/>
      <c r="G195" s="400"/>
      <c r="H195" s="392">
        <f t="shared" si="89"/>
        <v>0</v>
      </c>
      <c r="I195" s="393"/>
      <c r="J195" s="390"/>
      <c r="K195" s="434"/>
      <c r="L195" s="434">
        <f t="shared" si="90"/>
        <v>0</v>
      </c>
      <c r="M195" s="434"/>
      <c r="N195" s="434"/>
      <c r="O195" s="434"/>
      <c r="P195" s="406"/>
      <c r="Q195" s="389">
        <f>база!$L$6</f>
        <v>261.04640000000001</v>
      </c>
      <c r="R195" s="390">
        <v>1</v>
      </c>
      <c r="S195" s="400">
        <f>SUMIFS(Таблица14[часы],Таблица14[коэф],"1",Таблица14[р/р],"5/16",Таблица14[Ф. И. О.],B198)</f>
        <v>0</v>
      </c>
      <c r="T195" s="392">
        <f t="shared" si="91"/>
        <v>0</v>
      </c>
      <c r="U195" s="410">
        <f>база!$M$6</f>
        <v>279.0496</v>
      </c>
      <c r="V195" s="390">
        <v>1</v>
      </c>
      <c r="W195" s="412">
        <f>SUMIFS(Таблица14[часы],Таблица14[коэф],"1",Таблица14[р/р],"5/24",Таблица14[Ф. И. О.],B198)</f>
        <v>0</v>
      </c>
      <c r="X195" s="545">
        <f t="shared" si="92"/>
        <v>0</v>
      </c>
      <c r="Y195" s="795"/>
      <c r="Z195" s="797"/>
      <c r="AA195" s="786"/>
    </row>
    <row r="196" spans="1:29">
      <c r="A196" s="786"/>
      <c r="B196" s="216"/>
      <c r="C196" s="789"/>
      <c r="D196" s="792"/>
      <c r="E196" s="389"/>
      <c r="F196" s="390"/>
      <c r="G196" s="400"/>
      <c r="H196" s="392">
        <f t="shared" si="89"/>
        <v>0</v>
      </c>
      <c r="I196" s="393">
        <f>база!$J$5</f>
        <v>215.4924</v>
      </c>
      <c r="J196" s="390">
        <v>1.5</v>
      </c>
      <c r="K196" s="434">
        <f>SUMIFS(Таблица14[часы],Таблица14[коэф],"1,5",Таблица14[р/р],"4/8",Таблица14[Ф. И. О.],B198)</f>
        <v>0</v>
      </c>
      <c r="L196" s="434">
        <f t="shared" si="90"/>
        <v>0</v>
      </c>
      <c r="M196" s="434"/>
      <c r="N196" s="434"/>
      <c r="O196" s="434"/>
      <c r="P196" s="406"/>
      <c r="Q196" s="389">
        <f>IF(D193&lt;=3,база!$L$4,
IF(D193=4,база!$L$5,
IF(D193=5,база!$L$6)))</f>
        <v>210.57480000000001</v>
      </c>
      <c r="R196" s="390">
        <v>1.2</v>
      </c>
      <c r="S196" s="400">
        <f>SUMIFS(Таблица14[часы],Таблица14[коэф],"1,2",Таблица14[р/р],"3/16",Таблица14[Ф. И. О.],B198)</f>
        <v>0</v>
      </c>
      <c r="T196" s="392">
        <f t="shared" si="91"/>
        <v>0</v>
      </c>
      <c r="U196" s="410">
        <f>IF(D193&lt;=3,база!$M$4,
IF(D193=4,база!$M$5,
IF(D193=5,база!$M$6)))</f>
        <v>225.09719999999999</v>
      </c>
      <c r="V196" s="390">
        <v>1.2</v>
      </c>
      <c r="W196" s="412">
        <f>SUMIFS(Таблица14[часы],Таблица14[коэф],"1,2",Таблица14[р/р],"3/24",Таблица14[Ф. И. О.],B198)</f>
        <v>0</v>
      </c>
      <c r="X196" s="545">
        <f t="shared" si="92"/>
        <v>0</v>
      </c>
      <c r="Y196" s="795"/>
      <c r="Z196" s="797"/>
      <c r="AA196" s="786"/>
    </row>
    <row r="197" spans="1:29">
      <c r="A197" s="786"/>
      <c r="B197" s="216"/>
      <c r="C197" s="789"/>
      <c r="D197" s="792"/>
      <c r="E197" s="389"/>
      <c r="F197" s="390"/>
      <c r="G197" s="400"/>
      <c r="H197" s="392">
        <f t="shared" si="89"/>
        <v>0</v>
      </c>
      <c r="I197" s="393">
        <f>база!$J$6</f>
        <v>243.04319999999998</v>
      </c>
      <c r="J197" s="390">
        <v>1.5</v>
      </c>
      <c r="K197" s="434">
        <f>SUMIFS(Таблица14[часы],Таблица14[коэф],"1,5",Таблица14[р/р],"5/8",Таблица14[Ф. И. О.],B198)</f>
        <v>0</v>
      </c>
      <c r="L197" s="434">
        <f t="shared" si="90"/>
        <v>0</v>
      </c>
      <c r="M197" s="434"/>
      <c r="N197" s="434"/>
      <c r="O197" s="434"/>
      <c r="P197" s="406"/>
      <c r="Q197" s="389">
        <f>база!$L$5</f>
        <v>231.45480000000001</v>
      </c>
      <c r="R197" s="390">
        <v>1.2</v>
      </c>
      <c r="S197" s="400">
        <f>SUMIFS(Таблица14[часы],Таблица14[коэф],"1,2",Таблица14[р/р],"4/16",Таблица14[Ф. И. О.],B198)</f>
        <v>0</v>
      </c>
      <c r="T197" s="392">
        <f t="shared" si="91"/>
        <v>0</v>
      </c>
      <c r="U197" s="410">
        <f>база!$M$5</f>
        <v>247.41720000000001</v>
      </c>
      <c r="V197" s="390">
        <v>1.2</v>
      </c>
      <c r="W197" s="412">
        <f>SUMIFS(Таблица14[часы],Таблица14[коэф],"1,2",Таблица14[р/р],"4/24",Таблица14[Ф. И. О.],B198)</f>
        <v>0</v>
      </c>
      <c r="X197" s="545">
        <f t="shared" si="92"/>
        <v>0</v>
      </c>
      <c r="Y197" s="795"/>
      <c r="Z197" s="797"/>
      <c r="AA197" s="786"/>
    </row>
    <row r="198" spans="1:29" ht="15.75" customHeight="1">
      <c r="A198" s="786"/>
      <c r="B198" s="216" t="str">
        <f>база!B19</f>
        <v>Дорофеева Юлия Николаевна</v>
      </c>
      <c r="C198" s="789"/>
      <c r="D198" s="792"/>
      <c r="E198" s="389"/>
      <c r="F198" s="390"/>
      <c r="G198" s="400"/>
      <c r="H198" s="392">
        <f t="shared" si="89"/>
        <v>0</v>
      </c>
      <c r="I198" s="393"/>
      <c r="J198" s="390"/>
      <c r="K198" s="434"/>
      <c r="L198" s="434">
        <f t="shared" si="90"/>
        <v>0</v>
      </c>
      <c r="M198" s="434"/>
      <c r="N198" s="434"/>
      <c r="O198" s="434"/>
      <c r="P198" s="406"/>
      <c r="Q198" s="389">
        <f>база!$L$6</f>
        <v>261.04640000000001</v>
      </c>
      <c r="R198" s="390">
        <v>1.2</v>
      </c>
      <c r="S198" s="400">
        <f>SUMIFS(Таблица14[часы],Таблица14[коэф],"1,2",Таблица14[р/р],"5/16",Таблица14[Ф. И. О.],B198)</f>
        <v>0</v>
      </c>
      <c r="T198" s="392">
        <f t="shared" si="91"/>
        <v>0</v>
      </c>
      <c r="U198" s="410">
        <f>база!$M$6</f>
        <v>279.0496</v>
      </c>
      <c r="V198" s="390">
        <v>1.2</v>
      </c>
      <c r="W198" s="412">
        <f>SUMIFS(Таблица14[часы],Таблица14[коэф],"1,2",Таблица14[р/р],"5/24",Таблица14[Ф. И. О.],B198)</f>
        <v>0</v>
      </c>
      <c r="X198" s="545">
        <f t="shared" si="92"/>
        <v>0</v>
      </c>
      <c r="Y198" s="795"/>
      <c r="Z198" s="797"/>
      <c r="AA198" s="786"/>
      <c r="AC198" s="754" t="str">
        <f>IF(SUMIFS(Таблица14[Столбец2],Таблица14[Ф. И. О.],B198)-Z193=0,"",SUMIFS(Таблица14[Столбец2],Таблица14[Ф. И. О.],B198)-Z193)</f>
        <v/>
      </c>
    </row>
    <row r="199" spans="1:29">
      <c r="A199" s="786"/>
      <c r="B199" s="216"/>
      <c r="C199" s="789"/>
      <c r="D199" s="792"/>
      <c r="E199" s="389"/>
      <c r="F199" s="390"/>
      <c r="G199" s="400"/>
      <c r="H199" s="392">
        <f t="shared" si="89"/>
        <v>0</v>
      </c>
      <c r="I199" s="393"/>
      <c r="J199" s="390"/>
      <c r="K199" s="434"/>
      <c r="L199" s="434">
        <f t="shared" si="90"/>
        <v>0</v>
      </c>
      <c r="M199" s="434"/>
      <c r="N199" s="434"/>
      <c r="O199" s="434"/>
      <c r="P199" s="406"/>
      <c r="Q199" s="389">
        <f>IF(D193&lt;=3,база!$L$4,
IF(D193=4,база!$L$5,
IF(D193=5,база!$L$6)))</f>
        <v>210.57480000000001</v>
      </c>
      <c r="R199" s="390">
        <v>1.3</v>
      </c>
      <c r="S199" s="400">
        <f>SUMIFS(Таблица14[часы],Таблица14[коэф],"1,3",Таблица14[р/р],"3/16",Таблица14[Ф. И. О.],B198)</f>
        <v>0</v>
      </c>
      <c r="T199" s="392">
        <f t="shared" si="91"/>
        <v>0</v>
      </c>
      <c r="U199" s="410">
        <f>IF(D193&lt;=3,база!$M$4,
IF(D193=4,база!$M$5,
IF(D193=5,база!$M$6)))</f>
        <v>225.09719999999999</v>
      </c>
      <c r="V199" s="390">
        <v>1.3</v>
      </c>
      <c r="W199" s="412">
        <f>SUMIFS(Таблица14[часы],Таблица14[коэф],"1,3",Таблица14[р/р],"3/24",Таблица14[Ф. И. О.],B198)</f>
        <v>0</v>
      </c>
      <c r="X199" s="545">
        <f t="shared" si="92"/>
        <v>0</v>
      </c>
      <c r="Y199" s="795"/>
      <c r="Z199" s="797"/>
      <c r="AA199" s="786"/>
      <c r="AC199" s="754" t="str">
        <f>IF(SUMIFS(Таблица14[часы],Таблица14[Ф. И. О.],B198)-Y193=0,"",SUMIFS(Таблица14[часы],Таблица14[Ф. И. О.],B198)-Y193)</f>
        <v/>
      </c>
    </row>
    <row r="200" spans="1:29">
      <c r="A200" s="786"/>
      <c r="B200" s="216"/>
      <c r="C200" s="789"/>
      <c r="D200" s="792"/>
      <c r="E200" s="389"/>
      <c r="F200" s="390"/>
      <c r="G200" s="400"/>
      <c r="H200" s="392">
        <f t="shared" si="89"/>
        <v>0</v>
      </c>
      <c r="I200" s="393"/>
      <c r="J200" s="390"/>
      <c r="K200" s="434"/>
      <c r="L200" s="434">
        <f t="shared" si="90"/>
        <v>0</v>
      </c>
      <c r="M200" s="434"/>
      <c r="N200" s="434"/>
      <c r="O200" s="434"/>
      <c r="P200" s="406"/>
      <c r="Q200" s="389">
        <f>база!$L$5</f>
        <v>231.45480000000001</v>
      </c>
      <c r="R200" s="390">
        <v>1.3</v>
      </c>
      <c r="S200" s="400">
        <f>SUMIFS(Таблица14[часы],Таблица14[коэф],"1,3",Таблица14[р/р],"4/16",Таблица14[Ф. И. О.],B198)</f>
        <v>0</v>
      </c>
      <c r="T200" s="392">
        <f t="shared" si="91"/>
        <v>0</v>
      </c>
      <c r="U200" s="410">
        <f>база!$M$5</f>
        <v>247.41720000000001</v>
      </c>
      <c r="V200" s="390">
        <v>1.3</v>
      </c>
      <c r="W200" s="412">
        <f>SUMIFS(Таблица14[часы],Таблица14[коэф],"1,3",Таблица14[р/р],"4/24",Таблица14[Ф. И. О.],B198)</f>
        <v>0</v>
      </c>
      <c r="X200" s="545">
        <f t="shared" si="92"/>
        <v>0</v>
      </c>
      <c r="Y200" s="795"/>
      <c r="Z200" s="797"/>
      <c r="AA200" s="786"/>
    </row>
    <row r="201" spans="1:29">
      <c r="A201" s="786"/>
      <c r="B201" s="216"/>
      <c r="C201" s="789"/>
      <c r="D201" s="792"/>
      <c r="E201" s="389"/>
      <c r="F201" s="390"/>
      <c r="G201" s="400"/>
      <c r="H201" s="392">
        <f t="shared" si="89"/>
        <v>0</v>
      </c>
      <c r="I201" s="393"/>
      <c r="J201" s="390"/>
      <c r="K201" s="434"/>
      <c r="L201" s="434">
        <f t="shared" si="90"/>
        <v>0</v>
      </c>
      <c r="M201" s="434"/>
      <c r="N201" s="434"/>
      <c r="O201" s="434"/>
      <c r="P201" s="406"/>
      <c r="Q201" s="389">
        <f>IF(D193&lt;=3,база!$L$4,
IF(D193=4,база!$L$5,
IF(D193=5,база!$L$6)))</f>
        <v>210.57480000000001</v>
      </c>
      <c r="R201" s="390">
        <v>1.4</v>
      </c>
      <c r="S201" s="400">
        <f>SUMIFS(Таблица14[часы],Таблица14[коэф],"1,4",Таблица14[р/р],"3/16",Таблица14[Ф. И. О.],B198)</f>
        <v>0</v>
      </c>
      <c r="T201" s="392">
        <f t="shared" si="91"/>
        <v>0</v>
      </c>
      <c r="U201" s="410">
        <f>IF(D193&lt;=3,база!$M$4,
IF(D193=4,база!$M$5,
IF(D193=5,база!$M$6)))</f>
        <v>225.09719999999999</v>
      </c>
      <c r="V201" s="390">
        <v>1.4</v>
      </c>
      <c r="W201" s="412">
        <f>SUMIFS(Таблица14[часы],Таблица14[коэф],"1,4",Таблица14[р/р],"3/24",Таблица14[Ф. И. О.],B198)</f>
        <v>0</v>
      </c>
      <c r="X201" s="545">
        <f t="shared" si="92"/>
        <v>0</v>
      </c>
      <c r="Y201" s="795"/>
      <c r="Z201" s="797"/>
      <c r="AA201" s="786"/>
    </row>
    <row r="202" spans="1:29">
      <c r="A202" s="786"/>
      <c r="B202" s="216"/>
      <c r="C202" s="789"/>
      <c r="D202" s="792"/>
      <c r="E202" s="389"/>
      <c r="F202" s="390"/>
      <c r="G202" s="400"/>
      <c r="H202" s="392">
        <f t="shared" si="89"/>
        <v>0</v>
      </c>
      <c r="I202" s="393"/>
      <c r="J202" s="390"/>
      <c r="K202" s="434"/>
      <c r="L202" s="434">
        <f t="shared" si="90"/>
        <v>0</v>
      </c>
      <c r="M202" s="434"/>
      <c r="N202" s="434"/>
      <c r="O202" s="434"/>
      <c r="P202" s="406"/>
      <c r="Q202" s="389">
        <f>база!$L$5</f>
        <v>231.45480000000001</v>
      </c>
      <c r="R202" s="390">
        <v>1.4</v>
      </c>
      <c r="S202" s="400">
        <f>SUMIFS(Таблица14[часы],Таблица14[коэф],"1,4",Таблица14[р/р],"4/16",Таблица14[Ф. И. О.],B198)</f>
        <v>0</v>
      </c>
      <c r="T202" s="392">
        <f t="shared" si="91"/>
        <v>0</v>
      </c>
      <c r="U202" s="410">
        <f>база!$M$5</f>
        <v>247.41720000000001</v>
      </c>
      <c r="V202" s="390">
        <v>1.4</v>
      </c>
      <c r="W202" s="412">
        <f>SUMIFS(Таблица14[часы],Таблица14[коэф],"1,4",Таблица14[р/р],"4/24",Таблица14[Ф. И. О.],B198)</f>
        <v>0</v>
      </c>
      <c r="X202" s="545">
        <f t="shared" si="92"/>
        <v>0</v>
      </c>
      <c r="Y202" s="795"/>
      <c r="Z202" s="797"/>
      <c r="AA202" s="786"/>
    </row>
    <row r="203" spans="1:29" ht="21" thickBot="1">
      <c r="A203" s="787"/>
      <c r="B203" s="203"/>
      <c r="C203" s="790"/>
      <c r="D203" s="793"/>
      <c r="E203" s="473"/>
      <c r="F203" s="464"/>
      <c r="G203" s="465"/>
      <c r="H203" s="468">
        <f t="shared" si="89"/>
        <v>0</v>
      </c>
      <c r="I203" s="463"/>
      <c r="J203" s="464"/>
      <c r="K203" s="457"/>
      <c r="L203" s="457">
        <f t="shared" si="90"/>
        <v>0</v>
      </c>
      <c r="M203" s="457"/>
      <c r="N203" s="457"/>
      <c r="O203" s="457"/>
      <c r="P203" s="476"/>
      <c r="Q203" s="473">
        <f>база!$L$6</f>
        <v>261.04640000000001</v>
      </c>
      <c r="R203" s="464">
        <v>1.4</v>
      </c>
      <c r="S203" s="465">
        <f>SUMIFS(Таблица14[часы],Таблица14[коэф],"1,4",Таблица14[р/р],"5/16",Таблица14[Ф. И. О.],B198)</f>
        <v>0</v>
      </c>
      <c r="T203" s="468">
        <f t="shared" si="91"/>
        <v>0</v>
      </c>
      <c r="U203" s="469">
        <f>база!$M$6</f>
        <v>279.0496</v>
      </c>
      <c r="V203" s="464">
        <v>1.4</v>
      </c>
      <c r="W203" s="470">
        <f>SUMIFS(Таблица14[часы],Таблица14[коэф],"1,4",Таблица14[р/р],"5/24",Таблица14[Ф. И. О.],B198)</f>
        <v>0</v>
      </c>
      <c r="X203" s="547">
        <f t="shared" si="92"/>
        <v>0</v>
      </c>
      <c r="Y203" s="796"/>
      <c r="Z203" s="798"/>
      <c r="AA203" s="787"/>
    </row>
    <row r="204" spans="1:29">
      <c r="A204" s="785">
        <v>19</v>
      </c>
      <c r="B204" s="216"/>
      <c r="C204" s="788">
        <f>INDEX(база!$E$2:$E$81, MATCH(B209,база!$B$2:$B$50,0))</f>
        <v>16860</v>
      </c>
      <c r="D204" s="791">
        <f>INDEX(база!$D$2:$D$89, MATCH(B209,база!$B$2:$B$50,0))</f>
        <v>3</v>
      </c>
      <c r="E204" s="451">
        <f>IF(D204&lt;=3,база!$I$4,
IF(D204=4,база!$I$5,
IF(D204=5,база!$I$6)))</f>
        <v>188.7912</v>
      </c>
      <c r="F204" s="417">
        <v>1</v>
      </c>
      <c r="G204" s="418">
        <f>SUMIFS(Таблица14[часы],Таблица14[коэф],"1",Таблица14[р/р],"2/4",Таблица14[Ф. И. О.],B209)</f>
        <v>0</v>
      </c>
      <c r="H204" s="542">
        <f>ROUND(E204*F204*G204*2,2)</f>
        <v>0</v>
      </c>
      <c r="I204" s="377">
        <f>IF(D204&lt;=3,база!$J$4,
IF(D204=4,база!$J$5,
IF(D204=5,база!$J$6)))</f>
        <v>196.05240000000001</v>
      </c>
      <c r="J204" s="378">
        <v>1</v>
      </c>
      <c r="K204" s="428">
        <f>SUMIFS(Таблица14[часы],Таблица14[коэф],"1",Таблица14[р/р],"2/8",Таблица14[Ф. И. О.],B209)</f>
        <v>0</v>
      </c>
      <c r="L204" s="383">
        <f>ROUND(I204*J204*K204*2,2)</f>
        <v>0</v>
      </c>
      <c r="M204" s="452"/>
      <c r="N204" s="453">
        <v>1</v>
      </c>
      <c r="O204" s="453">
        <f>SUMIFS(Data_Tech!$AM$3:$AM$67,Data_Tech!$E$3:$E$67,"1",Data_Tech!$G$3:$G$67,"3/12",Data_Tech!$F$3:$F$67,B209)</f>
        <v>0</v>
      </c>
      <c r="P204" s="453">
        <f>ROUND(M204*N204*O204,2)</f>
        <v>0</v>
      </c>
      <c r="Q204" s="416">
        <f>IF(D204&lt;=3,база!$L$4,
IF(D204=4,база!$L$5,
IF(D204=5,база!$L$6)))</f>
        <v>210.57480000000001</v>
      </c>
      <c r="R204" s="417">
        <v>1</v>
      </c>
      <c r="S204" s="418">
        <f>SUMIFS(Таблица14[часы],Таблица14[коэф],"1",Таблица14[р/р],"3/16",Таблица14[Ф. И. О.],B209)</f>
        <v>0</v>
      </c>
      <c r="T204" s="542">
        <f>ROUND(Q204*R204*S204*2,2)</f>
        <v>0</v>
      </c>
      <c r="U204" s="471">
        <f>IF(D204&lt;=3,база!$M$4,
IF(D204=4,база!$M$5,
IF(D204=5,база!$M$6)))</f>
        <v>225.09719999999999</v>
      </c>
      <c r="V204" s="378">
        <v>1</v>
      </c>
      <c r="W204" s="430">
        <f>SUMIFS(Таблица14[часы],Таблица14[коэф],"1",Таблица14[р/р],"3/24",Таблица14[Ф. И. О.],B209)</f>
        <v>0</v>
      </c>
      <c r="X204" s="543">
        <f>ROUND(U204*V204*W204*2,2)</f>
        <v>0</v>
      </c>
      <c r="Y204" s="795">
        <f t="shared" ref="Y204" si="93">SUM(G204:G214,K204:K214,O204:O214,S204:S214,W204:W214)</f>
        <v>0</v>
      </c>
      <c r="Z204" s="797">
        <f t="shared" ref="Z204" si="94">IFERROR(SUM(H204:H214,L204:L214,T204:T214,X204:X214),"")</f>
        <v>0</v>
      </c>
      <c r="AA204" s="786"/>
    </row>
    <row r="205" spans="1:29">
      <c r="A205" s="786"/>
      <c r="B205" s="216"/>
      <c r="C205" s="789"/>
      <c r="D205" s="792"/>
      <c r="E205" s="393">
        <f>IF(D204&lt;=3,база!$I$4,
IF(D204=4,база!$I$5,
IF(D204=5,база!$I$6)))</f>
        <v>188.7912</v>
      </c>
      <c r="F205" s="390">
        <v>1</v>
      </c>
      <c r="G205" s="400">
        <f>SUMIFS(Таблица14[часы],Таблица14[коэф],"1",Таблица14[р/р],"3/4",Таблица14[Ф. И. О.],B209)</f>
        <v>0</v>
      </c>
      <c r="H205" s="544">
        <f t="shared" ref="H205:H214" si="95">ROUND(E205*F205*G205*2,2)</f>
        <v>0</v>
      </c>
      <c r="I205" s="389">
        <f>IF(D204&lt;=3,база!$J$4,
IF(D204=4,база!$J$5,
IF(D204=5,база!$J$6)))</f>
        <v>196.05240000000001</v>
      </c>
      <c r="J205" s="390">
        <v>1</v>
      </c>
      <c r="K205" s="434">
        <f>SUMIFS(Таблица14[часы],Таблица14[коэф],"1",Таблица14[р/р],"3/8",Таблица14[Ф. И. О.],B209)</f>
        <v>0</v>
      </c>
      <c r="L205" s="395">
        <f t="shared" ref="L205:L214" si="96">ROUND(I205*J205*K205*2,2)</f>
        <v>0</v>
      </c>
      <c r="M205" s="432"/>
      <c r="N205" s="434">
        <v>1</v>
      </c>
      <c r="O205" s="434">
        <f>SUMIFS(Data_Tech!$AM$3:$AM$67,Data_Tech!$E$3:$E$67,"1",Data_Tech!$G$3:$G$67,"4/12",Data_Tech!$F$3:$F$67,B209)</f>
        <v>0</v>
      </c>
      <c r="P205" s="434">
        <f>ROUND(M205*O205,2)</f>
        <v>0</v>
      </c>
      <c r="Q205" s="399">
        <f>база!$L$5</f>
        <v>231.45480000000001</v>
      </c>
      <c r="R205" s="390">
        <v>1</v>
      </c>
      <c r="S205" s="400">
        <f>SUMIFS(Таблица14[часы],Таблица14[коэф],"1",Таблица14[р/р],"4/16",Таблица14[Ф. И. О.],B209)</f>
        <v>0</v>
      </c>
      <c r="T205" s="544">
        <f t="shared" ref="T205:T214" si="97">ROUND(Q205*R205*S205*2,2)</f>
        <v>0</v>
      </c>
      <c r="U205" s="472">
        <f>база!$M$5</f>
        <v>247.41720000000001</v>
      </c>
      <c r="V205" s="390">
        <v>1</v>
      </c>
      <c r="W205" s="412">
        <f>SUMIFS(Таблица14[часы],Таблица14[коэф],"1",Таблица14[р/р],"4/24",Таблица14[Ф. И. О.],B209)</f>
        <v>0</v>
      </c>
      <c r="X205" s="545">
        <f t="shared" ref="X205:X214" si="98">ROUND(U205*V205*W205*2,2)</f>
        <v>0</v>
      </c>
      <c r="Y205" s="795"/>
      <c r="Z205" s="797"/>
      <c r="AA205" s="786"/>
    </row>
    <row r="206" spans="1:29">
      <c r="A206" s="786"/>
      <c r="B206" s="216"/>
      <c r="C206" s="789"/>
      <c r="D206" s="792"/>
      <c r="E206" s="393"/>
      <c r="F206" s="390"/>
      <c r="G206" s="400"/>
      <c r="H206" s="544">
        <f t="shared" si="95"/>
        <v>0</v>
      </c>
      <c r="I206" s="389"/>
      <c r="J206" s="390"/>
      <c r="K206" s="434"/>
      <c r="L206" s="395">
        <f t="shared" si="96"/>
        <v>0</v>
      </c>
      <c r="M206" s="432"/>
      <c r="N206" s="434"/>
      <c r="O206" s="434"/>
      <c r="P206" s="434"/>
      <c r="Q206" s="399">
        <f>база!$L$6</f>
        <v>261.04640000000001</v>
      </c>
      <c r="R206" s="390">
        <v>1</v>
      </c>
      <c r="S206" s="400">
        <f>SUMIFS(Таблица14[часы],Таблица14[коэф],"1",Таблица14[р/р],"5/16",Таблица14[Ф. И. О.],B209)</f>
        <v>0</v>
      </c>
      <c r="T206" s="544">
        <f t="shared" si="97"/>
        <v>0</v>
      </c>
      <c r="U206" s="472">
        <f>база!$M$6</f>
        <v>279.0496</v>
      </c>
      <c r="V206" s="390">
        <v>1</v>
      </c>
      <c r="W206" s="412">
        <f>SUMIFS(Таблица14[часы],Таблица14[коэф],"1",Таблица14[р/р],"5/24",Таблица14[Ф. И. О.],B209)</f>
        <v>0</v>
      </c>
      <c r="X206" s="545">
        <f t="shared" si="98"/>
        <v>0</v>
      </c>
      <c r="Y206" s="795"/>
      <c r="Z206" s="797"/>
      <c r="AA206" s="786"/>
    </row>
    <row r="207" spans="1:29">
      <c r="A207" s="786"/>
      <c r="B207" s="216"/>
      <c r="C207" s="789"/>
      <c r="D207" s="792"/>
      <c r="E207" s="393"/>
      <c r="F207" s="390"/>
      <c r="G207" s="400"/>
      <c r="H207" s="544">
        <f t="shared" si="95"/>
        <v>0</v>
      </c>
      <c r="I207" s="389">
        <f>база!$J$5</f>
        <v>215.4924</v>
      </c>
      <c r="J207" s="390">
        <v>1.5</v>
      </c>
      <c r="K207" s="434">
        <f>SUMIFS(Таблица14[часы],Таблица14[коэф],"1,5",Таблица14[р/р],"4/8",Таблица14[Ф. И. О.],B209)</f>
        <v>0</v>
      </c>
      <c r="L207" s="395">
        <f t="shared" si="96"/>
        <v>0</v>
      </c>
      <c r="M207" s="432"/>
      <c r="N207" s="434"/>
      <c r="O207" s="434"/>
      <c r="P207" s="434"/>
      <c r="Q207" s="399">
        <f>IF(D204&lt;=3,база!$L$4,
IF(D204=4,база!$L$5,
IF(D204=5,база!$L$6)))</f>
        <v>210.57480000000001</v>
      </c>
      <c r="R207" s="390">
        <v>1.2</v>
      </c>
      <c r="S207" s="400">
        <f>SUMIFS(Таблица14[часы],Таблица14[коэф],"1,2",Таблица14[р/р],"3/16",Таблица14[Ф. И. О.],B209)</f>
        <v>0</v>
      </c>
      <c r="T207" s="544">
        <f t="shared" si="97"/>
        <v>0</v>
      </c>
      <c r="U207" s="472">
        <f>IF(D204&lt;=3,база!$M$4,
IF(D204=4,база!$M$5,
IF(D204=5,база!$M$6)))</f>
        <v>225.09719999999999</v>
      </c>
      <c r="V207" s="390">
        <v>1.2</v>
      </c>
      <c r="W207" s="412">
        <f>SUMIFS(Таблица14[часы],Таблица14[коэф],"1,2",Таблица14[р/р],"3/24",Таблица14[Ф. И. О.],B209)</f>
        <v>0</v>
      </c>
      <c r="X207" s="545">
        <f t="shared" si="98"/>
        <v>0</v>
      </c>
      <c r="Y207" s="795"/>
      <c r="Z207" s="797"/>
      <c r="AA207" s="786"/>
    </row>
    <row r="208" spans="1:29">
      <c r="A208" s="786"/>
      <c r="B208" s="216"/>
      <c r="C208" s="789"/>
      <c r="D208" s="792"/>
      <c r="E208" s="393"/>
      <c r="F208" s="390"/>
      <c r="G208" s="400"/>
      <c r="H208" s="544">
        <f t="shared" si="95"/>
        <v>0</v>
      </c>
      <c r="I208" s="389">
        <f>база!$J$6</f>
        <v>243.04319999999998</v>
      </c>
      <c r="J208" s="390">
        <v>1.5</v>
      </c>
      <c r="K208" s="434">
        <f>SUMIFS(Таблица14[часы],Таблица14[коэф],"1,5",Таблица14[р/р],"5/8",Таблица14[Ф. И. О.],B209)</f>
        <v>0</v>
      </c>
      <c r="L208" s="395">
        <f t="shared" si="96"/>
        <v>0</v>
      </c>
      <c r="M208" s="432"/>
      <c r="N208" s="434"/>
      <c r="O208" s="434"/>
      <c r="P208" s="434"/>
      <c r="Q208" s="399">
        <f>база!$L$5</f>
        <v>231.45480000000001</v>
      </c>
      <c r="R208" s="390">
        <v>1.2</v>
      </c>
      <c r="S208" s="400">
        <f>SUMIFS(Таблица14[часы],Таблица14[коэф],"1,2",Таблица14[р/р],"4/16",Таблица14[Ф. И. О.],B209)</f>
        <v>0</v>
      </c>
      <c r="T208" s="544">
        <f t="shared" si="97"/>
        <v>0</v>
      </c>
      <c r="U208" s="472">
        <f>база!$M$5</f>
        <v>247.41720000000001</v>
      </c>
      <c r="V208" s="390">
        <v>1.2</v>
      </c>
      <c r="W208" s="412">
        <f>SUMIFS(Таблица14[часы],Таблица14[коэф],"1,2",Таблица14[р/р],"4/24",Таблица14[Ф. И. О.],B209)</f>
        <v>0</v>
      </c>
      <c r="X208" s="545">
        <f t="shared" si="98"/>
        <v>0</v>
      </c>
      <c r="Y208" s="795"/>
      <c r="Z208" s="797"/>
      <c r="AA208" s="786"/>
      <c r="AC208" s="754" t="str">
        <f>IF(SUMIFS(Таблица14[Столбец2],Таблица14[Ф. И. О.],B209)-Z204=0,"",SUMIFS(Таблица14[Столбец2],Таблица14[Ф. И. О.],B209)-Z204)</f>
        <v/>
      </c>
    </row>
    <row r="209" spans="1:29" ht="18" customHeight="1">
      <c r="A209" s="786"/>
      <c r="B209" s="216" t="str">
        <f>база!B20</f>
        <v>Егоров Дмитрий Геннадьевич</v>
      </c>
      <c r="C209" s="789"/>
      <c r="D209" s="792"/>
      <c r="E209" s="393"/>
      <c r="F209" s="390"/>
      <c r="G209" s="400"/>
      <c r="H209" s="544">
        <f t="shared" si="95"/>
        <v>0</v>
      </c>
      <c r="I209" s="389"/>
      <c r="J209" s="390"/>
      <c r="K209" s="434"/>
      <c r="L209" s="395">
        <f t="shared" si="96"/>
        <v>0</v>
      </c>
      <c r="M209" s="432"/>
      <c r="N209" s="434"/>
      <c r="O209" s="434"/>
      <c r="P209" s="434"/>
      <c r="Q209" s="399">
        <f>база!$L$6</f>
        <v>261.04640000000001</v>
      </c>
      <c r="R209" s="390">
        <v>1.2</v>
      </c>
      <c r="S209" s="400">
        <f>SUMIFS(Таблица14[часы],Таблица14[коэф],"1,2",Таблица14[р/р],"5/16",Таблица14[Ф. И. О.],B209)</f>
        <v>0</v>
      </c>
      <c r="T209" s="544">
        <f t="shared" si="97"/>
        <v>0</v>
      </c>
      <c r="U209" s="472">
        <f>база!$M$6</f>
        <v>279.0496</v>
      </c>
      <c r="V209" s="390">
        <v>1.2</v>
      </c>
      <c r="W209" s="412">
        <f>SUMIFS(Таблица14[часы],Таблица14[коэф],"1,2",Таблица14[р/р],"5/24",Таблица14[Ф. И. О.],B209)</f>
        <v>0</v>
      </c>
      <c r="X209" s="545">
        <f t="shared" si="98"/>
        <v>0</v>
      </c>
      <c r="Y209" s="795"/>
      <c r="Z209" s="797"/>
      <c r="AA209" s="786"/>
      <c r="AC209" s="754" t="str">
        <f>IF(SUMIFS(Таблица14[часы],Таблица14[Ф. И. О.],B209)-Y204=0,"",SUMIFS(Таблица14[часы],Таблица14[Ф. И. О.],B209)-Y204)</f>
        <v/>
      </c>
    </row>
    <row r="210" spans="1:29">
      <c r="A210" s="786"/>
      <c r="B210" s="216"/>
      <c r="C210" s="789"/>
      <c r="D210" s="792"/>
      <c r="E210" s="393"/>
      <c r="F210" s="390"/>
      <c r="G210" s="400"/>
      <c r="H210" s="544">
        <f t="shared" si="95"/>
        <v>0</v>
      </c>
      <c r="I210" s="389"/>
      <c r="J210" s="390"/>
      <c r="K210" s="434"/>
      <c r="L210" s="395">
        <f t="shared" si="96"/>
        <v>0</v>
      </c>
      <c r="M210" s="432"/>
      <c r="N210" s="434"/>
      <c r="O210" s="434"/>
      <c r="P210" s="434"/>
      <c r="Q210" s="399">
        <f>IF(D204&lt;=3,база!$L$4,
IF(D204=4,база!$L$5,
IF(D204=5,база!$L$6)))</f>
        <v>210.57480000000001</v>
      </c>
      <c r="R210" s="390">
        <v>1.3</v>
      </c>
      <c r="S210" s="400">
        <f>SUMIFS(Таблица14[часы],Таблица14[коэф],"1,3",Таблица14[р/р],"3/16",Таблица14[Ф. И. О.],B209)</f>
        <v>0</v>
      </c>
      <c r="T210" s="544">
        <f t="shared" si="97"/>
        <v>0</v>
      </c>
      <c r="U210" s="472">
        <f>IF(D204&lt;=3,база!$M$4,
IF(D204=4,база!$M$5,
IF(D204=5,база!$M$6)))</f>
        <v>225.09719999999999</v>
      </c>
      <c r="V210" s="390">
        <v>1.3</v>
      </c>
      <c r="W210" s="412">
        <f>SUMIFS(Таблица14[часы],Таблица14[коэф],"1,3",Таблица14[р/р],"3/24",Таблица14[Ф. И. О.],B209)</f>
        <v>0</v>
      </c>
      <c r="X210" s="545">
        <f t="shared" si="98"/>
        <v>0</v>
      </c>
      <c r="Y210" s="795"/>
      <c r="Z210" s="797"/>
      <c r="AA210" s="786"/>
    </row>
    <row r="211" spans="1:29">
      <c r="A211" s="786"/>
      <c r="B211" s="216"/>
      <c r="C211" s="789"/>
      <c r="D211" s="792"/>
      <c r="E211" s="393"/>
      <c r="F211" s="390"/>
      <c r="G211" s="400"/>
      <c r="H211" s="544">
        <f t="shared" si="95"/>
        <v>0</v>
      </c>
      <c r="I211" s="389"/>
      <c r="J211" s="390"/>
      <c r="K211" s="434"/>
      <c r="L211" s="395">
        <f t="shared" si="96"/>
        <v>0</v>
      </c>
      <c r="M211" s="432"/>
      <c r="N211" s="434"/>
      <c r="O211" s="434"/>
      <c r="P211" s="434"/>
      <c r="Q211" s="399">
        <f>база!$L$5</f>
        <v>231.45480000000001</v>
      </c>
      <c r="R211" s="390">
        <v>1.3</v>
      </c>
      <c r="S211" s="400">
        <f>SUMIFS(Таблица14[часы],Таблица14[коэф],"1,3",Таблица14[р/р],"4/16",Таблица14[Ф. И. О.],B209)</f>
        <v>0</v>
      </c>
      <c r="T211" s="544">
        <f t="shared" si="97"/>
        <v>0</v>
      </c>
      <c r="U211" s="472">
        <f>база!$M$5</f>
        <v>247.41720000000001</v>
      </c>
      <c r="V211" s="390">
        <v>1.3</v>
      </c>
      <c r="W211" s="412">
        <f>SUMIFS(Таблица14[часы],Таблица14[коэф],"1,3",Таблица14[р/р],"4/24",Таблица14[Ф. И. О.],B209)</f>
        <v>0</v>
      </c>
      <c r="X211" s="545">
        <f t="shared" si="98"/>
        <v>0</v>
      </c>
      <c r="Y211" s="795"/>
      <c r="Z211" s="797"/>
      <c r="AA211" s="786"/>
    </row>
    <row r="212" spans="1:29">
      <c r="A212" s="786"/>
      <c r="B212" s="216"/>
      <c r="C212" s="789"/>
      <c r="D212" s="792"/>
      <c r="E212" s="393"/>
      <c r="F212" s="390"/>
      <c r="G212" s="400"/>
      <c r="H212" s="544">
        <f t="shared" si="95"/>
        <v>0</v>
      </c>
      <c r="I212" s="389"/>
      <c r="J212" s="390"/>
      <c r="K212" s="434"/>
      <c r="L212" s="395">
        <f t="shared" si="96"/>
        <v>0</v>
      </c>
      <c r="M212" s="432"/>
      <c r="N212" s="434"/>
      <c r="O212" s="434"/>
      <c r="P212" s="434"/>
      <c r="Q212" s="399">
        <f>IF(D204&lt;=3,база!$L$4,
IF(D204=4,база!$L$5,
IF(D204=5,база!$L$6)))</f>
        <v>210.57480000000001</v>
      </c>
      <c r="R212" s="390">
        <v>1.4</v>
      </c>
      <c r="S212" s="400">
        <f>SUMIFS(Таблица14[часы],Таблица14[коэф],"1,4",Таблица14[р/р],"3/16",Таблица14[Ф. И. О.],B209)</f>
        <v>0</v>
      </c>
      <c r="T212" s="544">
        <f t="shared" si="97"/>
        <v>0</v>
      </c>
      <c r="U212" s="472">
        <f>IF(D204&lt;=3,база!$M$4,
IF(D204=4,база!$M$5,
IF(D204=5,база!$M$6)))</f>
        <v>225.09719999999999</v>
      </c>
      <c r="V212" s="390">
        <v>1.4</v>
      </c>
      <c r="W212" s="412">
        <f>SUMIFS(Таблица14[часы],Таблица14[коэф],"1,4",Таблица14[р/р],"3/24",Таблица14[Ф. И. О.],B209)</f>
        <v>0</v>
      </c>
      <c r="X212" s="545">
        <f t="shared" si="98"/>
        <v>0</v>
      </c>
      <c r="Y212" s="795"/>
      <c r="Z212" s="797"/>
      <c r="AA212" s="786"/>
    </row>
    <row r="213" spans="1:29">
      <c r="A213" s="786"/>
      <c r="B213" s="216"/>
      <c r="C213" s="789"/>
      <c r="D213" s="792"/>
      <c r="E213" s="393"/>
      <c r="F213" s="390"/>
      <c r="G213" s="400"/>
      <c r="H213" s="544">
        <f t="shared" si="95"/>
        <v>0</v>
      </c>
      <c r="I213" s="389"/>
      <c r="J213" s="390"/>
      <c r="K213" s="434"/>
      <c r="L213" s="395">
        <f t="shared" si="96"/>
        <v>0</v>
      </c>
      <c r="M213" s="432"/>
      <c r="N213" s="434"/>
      <c r="O213" s="434"/>
      <c r="P213" s="434"/>
      <c r="Q213" s="399">
        <f>база!$L$5</f>
        <v>231.45480000000001</v>
      </c>
      <c r="R213" s="390">
        <v>1.4</v>
      </c>
      <c r="S213" s="400">
        <f>SUMIFS(Таблица14[часы],Таблица14[коэф],"1,4",Таблица14[р/р],"4/16",Таблица14[Ф. И. О.],B209)</f>
        <v>0</v>
      </c>
      <c r="T213" s="544">
        <f t="shared" si="97"/>
        <v>0</v>
      </c>
      <c r="U213" s="472">
        <f>база!$M$5</f>
        <v>247.41720000000001</v>
      </c>
      <c r="V213" s="390">
        <v>1.4</v>
      </c>
      <c r="W213" s="412">
        <f>SUMIFS(Таблица14[часы],Таблица14[коэф],"1,4",Таблица14[р/р],"4/24",Таблица14[Ф. И. О.],B209)</f>
        <v>0</v>
      </c>
      <c r="X213" s="545">
        <f t="shared" si="98"/>
        <v>0</v>
      </c>
      <c r="Y213" s="795"/>
      <c r="Z213" s="797"/>
      <c r="AA213" s="786"/>
    </row>
    <row r="214" spans="1:29" ht="21" thickBot="1">
      <c r="A214" s="787"/>
      <c r="B214" s="203"/>
      <c r="C214" s="790"/>
      <c r="D214" s="793"/>
      <c r="E214" s="463"/>
      <c r="F214" s="464"/>
      <c r="G214" s="465"/>
      <c r="H214" s="549">
        <f t="shared" si="95"/>
        <v>0</v>
      </c>
      <c r="I214" s="473"/>
      <c r="J214" s="464"/>
      <c r="K214" s="457"/>
      <c r="L214" s="458">
        <f t="shared" si="96"/>
        <v>0</v>
      </c>
      <c r="M214" s="466"/>
      <c r="N214" s="457"/>
      <c r="O214" s="457"/>
      <c r="P214" s="457"/>
      <c r="Q214" s="467">
        <f>база!$L$6</f>
        <v>261.04640000000001</v>
      </c>
      <c r="R214" s="464">
        <v>1.4</v>
      </c>
      <c r="S214" s="465">
        <f>SUMIFS(Таблица14[часы],Таблица14[коэф],"1,4",Таблица14[р/р],"5/16",Таблица14[Ф. И. О.],B209)</f>
        <v>0</v>
      </c>
      <c r="T214" s="549">
        <f t="shared" si="97"/>
        <v>0</v>
      </c>
      <c r="U214" s="474">
        <f>база!$M$6</f>
        <v>279.0496</v>
      </c>
      <c r="V214" s="464">
        <v>1.4</v>
      </c>
      <c r="W214" s="470">
        <f>SUMIFS(Таблица14[часы],Таблица14[коэф],"1,4",Таблица14[р/р],"5/24",Таблица14[Ф. И. О.],B209)</f>
        <v>0</v>
      </c>
      <c r="X214" s="547">
        <f t="shared" si="98"/>
        <v>0</v>
      </c>
      <c r="Y214" s="796"/>
      <c r="Z214" s="798"/>
      <c r="AA214" s="787"/>
    </row>
    <row r="215" spans="1:29">
      <c r="A215" s="785">
        <v>20</v>
      </c>
      <c r="B215" s="216"/>
      <c r="C215" s="788">
        <f>INDEX(база!$E$2:$E$81, MATCH(B220,база!$B$2:$B$50,0))</f>
        <v>15590</v>
      </c>
      <c r="D215" s="791">
        <f>INDEX(база!$D$2:$D$89, MATCH(B220,база!$B$2:$B$50,0))</f>
        <v>3</v>
      </c>
      <c r="E215" s="451">
        <f>IF(D215&lt;=3,база!$I$4,
IF(D215=4,база!$I$5,
IF(D215=5,база!$I$6)))</f>
        <v>188.7912</v>
      </c>
      <c r="F215" s="417">
        <v>1</v>
      </c>
      <c r="G215" s="418">
        <f>SUMIFS(Таблица14[часы],Таблица14[коэф],"1",Таблица14[р/р],"2/4",Таблица14[Ф. И. О.],B220)</f>
        <v>0</v>
      </c>
      <c r="H215" s="542">
        <f>ROUND(E215*F215*G215*2,2)</f>
        <v>0</v>
      </c>
      <c r="I215" s="481">
        <f>IF(D215&lt;=3,база!$J$4,
IF(D215=4,база!$J$5,
IF(D215=5,база!$J$6)))</f>
        <v>196.05240000000001</v>
      </c>
      <c r="J215" s="417">
        <v>1</v>
      </c>
      <c r="K215" s="453">
        <f>SUMIFS(Таблица14[часы],Таблица14[коэф],"1",Таблица14[р/р],"2/8",Таблица14[Ф. И. О.],B220)</f>
        <v>0</v>
      </c>
      <c r="L215" s="484">
        <f>ROUND(I215*J215*K215*2,2)</f>
        <v>0</v>
      </c>
      <c r="M215" s="452"/>
      <c r="N215" s="453">
        <v>1</v>
      </c>
      <c r="O215" s="453">
        <f>SUMIFS(Data_Tech!$AM$3:$AM$67,Data_Tech!$E$3:$E$67,"1",Data_Tech!$G$3:$G$67,"3/12",Data_Tech!$F$3:$F$67,B220)</f>
        <v>0</v>
      </c>
      <c r="P215" s="453">
        <f>ROUND(M215*N215*O215,2)</f>
        <v>0</v>
      </c>
      <c r="Q215" s="416">
        <f>IF(D215&lt;=3,база!$L$4,
IF(D215=4,база!$L$5,
IF(D215=5,база!$L$6)))</f>
        <v>210.57480000000001</v>
      </c>
      <c r="R215" s="417">
        <v>1</v>
      </c>
      <c r="S215" s="418">
        <f>SUMIFS(Таблица14[часы],Таблица14[коэф],"1",Таблица14[р/р],"3/16",Таблица14[Ф. И. О.],B220)</f>
        <v>0</v>
      </c>
      <c r="T215" s="542">
        <f>ROUND(Q215*R215*S215*2,2)</f>
        <v>0</v>
      </c>
      <c r="U215" s="485">
        <f>IF(D215&lt;=3,база!$M$4,
IF(D215=4,база!$M$5,
IF(D215=5,база!$M$6)))</f>
        <v>225.09719999999999</v>
      </c>
      <c r="V215" s="417">
        <v>1</v>
      </c>
      <c r="W215" s="455">
        <f>SUMIFS(Таблица14[часы],Таблица14[коэф],"1",Таблица14[р/р],"3/24",Таблица14[Ф. И. О.],B220)</f>
        <v>0</v>
      </c>
      <c r="X215" s="552">
        <f>ROUND(U215*V215*W215*2,2)</f>
        <v>0</v>
      </c>
      <c r="Y215" s="795">
        <f>SUM(G215:G225,K215:K225,O215:O225,S215:S225,W215:W225)</f>
        <v>0</v>
      </c>
      <c r="Z215" s="797">
        <f t="shared" ref="Z215" si="99">IFERROR(SUM(H215:H225,L215:L225,T215:T225,X215:X225),"")</f>
        <v>0</v>
      </c>
      <c r="AA215" s="786"/>
    </row>
    <row r="216" spans="1:29">
      <c r="A216" s="786"/>
      <c r="B216" s="216"/>
      <c r="C216" s="789"/>
      <c r="D216" s="792"/>
      <c r="E216" s="393">
        <f>IF(D215&lt;=3,база!$I$4,
IF(D215=4,база!$I$5,
IF(D215=5,база!$I$6)))</f>
        <v>188.7912</v>
      </c>
      <c r="F216" s="390">
        <v>1</v>
      </c>
      <c r="G216" s="400">
        <f>SUMIFS(Таблица14[часы],Таблица14[коэф],"1",Таблица14[р/р],"3/4",Таблица14[Ф. И. О.],B220)</f>
        <v>0</v>
      </c>
      <c r="H216" s="544">
        <f t="shared" ref="H216:H225" si="100">ROUND(E216*F216*G216*2,2)</f>
        <v>0</v>
      </c>
      <c r="I216" s="389">
        <f>IF(D215&lt;=3,база!$J$4,
IF(D215=4,база!$J$5,
IF(D215=5,база!$J$6)))</f>
        <v>196.05240000000001</v>
      </c>
      <c r="J216" s="390">
        <v>1</v>
      </c>
      <c r="K216" s="434">
        <f>SUMIFS(Таблица14[часы],Таблица14[коэф],"1",Таблица14[р/р],"3/8",Таблица14[Ф. И. О.],B220)</f>
        <v>0</v>
      </c>
      <c r="L216" s="395">
        <f t="shared" ref="L216:L225" si="101">ROUND(I216*J216*K216*2,2)</f>
        <v>0</v>
      </c>
      <c r="M216" s="432"/>
      <c r="N216" s="434">
        <v>1</v>
      </c>
      <c r="O216" s="434">
        <f>SUMIFS(Data_Tech!$AM$3:$AM$67,Data_Tech!$E$3:$E$67,"1",Data_Tech!$G$3:$G$67,"4/12",Data_Tech!$F$3:$F$67,B220)</f>
        <v>0</v>
      </c>
      <c r="P216" s="434">
        <f>ROUND(M216*O216,2)</f>
        <v>0</v>
      </c>
      <c r="Q216" s="399">
        <f>база!$L$5</f>
        <v>231.45480000000001</v>
      </c>
      <c r="R216" s="390">
        <v>1</v>
      </c>
      <c r="S216" s="400">
        <f>SUMIFS(Таблица14[часы],Таблица14[коэф],"1",Таблица14[р/р],"4/16",Таблица14[Ф. И. О.],B220)</f>
        <v>0</v>
      </c>
      <c r="T216" s="544">
        <f t="shared" ref="T216:T225" si="102">ROUND(Q216*R216*S216*2,2)</f>
        <v>0</v>
      </c>
      <c r="U216" s="472">
        <f>база!$M$5</f>
        <v>247.41720000000001</v>
      </c>
      <c r="V216" s="390">
        <v>1</v>
      </c>
      <c r="W216" s="412">
        <f>SUMIFS(Таблица14[часы],Таблица14[коэф],"1",Таблица14[р/р],"4/24",Таблица14[Ф. И. О.],B220)</f>
        <v>0</v>
      </c>
      <c r="X216" s="545">
        <f t="shared" ref="X216:X225" si="103">ROUND(U216*V216*W216*2,2)</f>
        <v>0</v>
      </c>
      <c r="Y216" s="795"/>
      <c r="Z216" s="797"/>
      <c r="AA216" s="786"/>
    </row>
    <row r="217" spans="1:29">
      <c r="A217" s="786"/>
      <c r="B217" s="216"/>
      <c r="C217" s="789"/>
      <c r="D217" s="792"/>
      <c r="E217" s="393"/>
      <c r="F217" s="390"/>
      <c r="G217" s="400"/>
      <c r="H217" s="544">
        <f t="shared" si="100"/>
        <v>0</v>
      </c>
      <c r="I217" s="389"/>
      <c r="J217" s="390"/>
      <c r="K217" s="434"/>
      <c r="L217" s="395">
        <f t="shared" si="101"/>
        <v>0</v>
      </c>
      <c r="M217" s="432"/>
      <c r="N217" s="434"/>
      <c r="O217" s="434"/>
      <c r="P217" s="434"/>
      <c r="Q217" s="399">
        <f>база!$L$6</f>
        <v>261.04640000000001</v>
      </c>
      <c r="R217" s="390">
        <v>1</v>
      </c>
      <c r="S217" s="400">
        <f>SUMIFS(Таблица14[часы],Таблица14[коэф],"1",Таблица14[р/р],"5/16",Таблица14[Ф. И. О.],B220)</f>
        <v>0</v>
      </c>
      <c r="T217" s="544">
        <f t="shared" si="102"/>
        <v>0</v>
      </c>
      <c r="U217" s="472">
        <f>база!$M$6</f>
        <v>279.0496</v>
      </c>
      <c r="V217" s="390">
        <v>1</v>
      </c>
      <c r="W217" s="412">
        <f>SUMIFS(Таблица14[часы],Таблица14[коэф],"1",Таблица14[р/р],"5/24",Таблица14[Ф. И. О.],B220)</f>
        <v>0</v>
      </c>
      <c r="X217" s="545">
        <f t="shared" si="103"/>
        <v>0</v>
      </c>
      <c r="Y217" s="795"/>
      <c r="Z217" s="797"/>
      <c r="AA217" s="786"/>
    </row>
    <row r="218" spans="1:29">
      <c r="A218" s="786"/>
      <c r="B218" s="216"/>
      <c r="C218" s="789"/>
      <c r="D218" s="792"/>
      <c r="E218" s="393"/>
      <c r="F218" s="390"/>
      <c r="G218" s="400"/>
      <c r="H218" s="544">
        <f t="shared" si="100"/>
        <v>0</v>
      </c>
      <c r="I218" s="389">
        <f>база!$J$5</f>
        <v>215.4924</v>
      </c>
      <c r="J218" s="390">
        <v>1.5</v>
      </c>
      <c r="K218" s="434">
        <f>SUMIFS(Таблица14[часы],Таблица14[коэф],"1,5",Таблица14[р/р],"4/8",Таблица14[Ф. И. О.],B220)</f>
        <v>0</v>
      </c>
      <c r="L218" s="395">
        <f t="shared" si="101"/>
        <v>0</v>
      </c>
      <c r="M218" s="432"/>
      <c r="N218" s="434"/>
      <c r="O218" s="434"/>
      <c r="P218" s="434"/>
      <c r="Q218" s="399">
        <f>IF(D215&lt;=3,база!$L$4,
IF(D215=4,база!$L$5,
IF(D215=5,база!$L$6)))</f>
        <v>210.57480000000001</v>
      </c>
      <c r="R218" s="390">
        <v>1.2</v>
      </c>
      <c r="S218" s="400">
        <f>SUMIFS(Таблица14[часы],Таблица14[коэф],"1,2",Таблица14[р/р],"3/16",Таблица14[Ф. И. О.],B220)</f>
        <v>0</v>
      </c>
      <c r="T218" s="544">
        <f t="shared" si="102"/>
        <v>0</v>
      </c>
      <c r="U218" s="472">
        <f>IF(D215&lt;=3,база!$M$4,
IF(D215=4,база!$M$5,
IF(D215=5,база!$M$6)))</f>
        <v>225.09719999999999</v>
      </c>
      <c r="V218" s="390">
        <v>1.2</v>
      </c>
      <c r="W218" s="412">
        <f>SUMIFS(Таблица14[часы],Таблица14[коэф],"1,2",Таблица14[р/р],"3/24",Таблица14[Ф. И. О.],B220)</f>
        <v>0</v>
      </c>
      <c r="X218" s="545">
        <f t="shared" si="103"/>
        <v>0</v>
      </c>
      <c r="Y218" s="795"/>
      <c r="Z218" s="797"/>
      <c r="AA218" s="786"/>
    </row>
    <row r="219" spans="1:29">
      <c r="A219" s="786"/>
      <c r="B219" s="216"/>
      <c r="C219" s="789"/>
      <c r="D219" s="792"/>
      <c r="E219" s="393"/>
      <c r="F219" s="390"/>
      <c r="G219" s="400"/>
      <c r="H219" s="544">
        <f t="shared" si="100"/>
        <v>0</v>
      </c>
      <c r="I219" s="389">
        <f>база!$J$6</f>
        <v>243.04319999999998</v>
      </c>
      <c r="J219" s="390">
        <v>1.5</v>
      </c>
      <c r="K219" s="434">
        <f>SUMIFS(Таблица14[часы],Таблица14[коэф],"1,5",Таблица14[р/р],"5/8",Таблица14[Ф. И. О.],B220)</f>
        <v>0</v>
      </c>
      <c r="L219" s="395">
        <f t="shared" si="101"/>
        <v>0</v>
      </c>
      <c r="M219" s="432"/>
      <c r="N219" s="434"/>
      <c r="O219" s="434"/>
      <c r="P219" s="434"/>
      <c r="Q219" s="399">
        <f>база!$L$5</f>
        <v>231.45480000000001</v>
      </c>
      <c r="R219" s="390">
        <v>1.2</v>
      </c>
      <c r="S219" s="400">
        <f>SUMIFS(Таблица14[часы],Таблица14[коэф],"1,2",Таблица14[р/р],"4/16",Таблица14[Ф. И. О.],B220)</f>
        <v>0</v>
      </c>
      <c r="T219" s="544">
        <f t="shared" si="102"/>
        <v>0</v>
      </c>
      <c r="U219" s="472">
        <f>база!$M$5</f>
        <v>247.41720000000001</v>
      </c>
      <c r="V219" s="390">
        <v>1.2</v>
      </c>
      <c r="W219" s="412">
        <f>SUMIFS(Таблица14[часы],Таблица14[коэф],"1,2",Таблица14[р/р],"4/24",Таблица14[Ф. И. О.],B220)</f>
        <v>0</v>
      </c>
      <c r="X219" s="545">
        <f t="shared" si="103"/>
        <v>0</v>
      </c>
      <c r="Y219" s="795"/>
      <c r="Z219" s="797"/>
      <c r="AA219" s="786"/>
    </row>
    <row r="220" spans="1:29" ht="22.5" customHeight="1">
      <c r="A220" s="786"/>
      <c r="B220" s="216" t="str">
        <f>база!B21</f>
        <v>Егорова Татьяна Владимировна</v>
      </c>
      <c r="C220" s="789"/>
      <c r="D220" s="792"/>
      <c r="E220" s="393"/>
      <c r="F220" s="390"/>
      <c r="G220" s="400"/>
      <c r="H220" s="544">
        <f t="shared" si="100"/>
        <v>0</v>
      </c>
      <c r="I220" s="389"/>
      <c r="J220" s="390"/>
      <c r="K220" s="434"/>
      <c r="L220" s="395">
        <f t="shared" si="101"/>
        <v>0</v>
      </c>
      <c r="M220" s="432"/>
      <c r="N220" s="434"/>
      <c r="O220" s="434"/>
      <c r="P220" s="434"/>
      <c r="Q220" s="399">
        <f>база!$L$6</f>
        <v>261.04640000000001</v>
      </c>
      <c r="R220" s="390">
        <v>1.2</v>
      </c>
      <c r="S220" s="400">
        <f>SUMIFS(Таблица14[часы],Таблица14[коэф],"1,2",Таблица14[р/р],"5/16",Таблица14[Ф. И. О.],B220)</f>
        <v>0</v>
      </c>
      <c r="T220" s="544">
        <f t="shared" si="102"/>
        <v>0</v>
      </c>
      <c r="U220" s="472">
        <f>база!$M$6</f>
        <v>279.0496</v>
      </c>
      <c r="V220" s="390">
        <v>1.2</v>
      </c>
      <c r="W220" s="412">
        <f>SUMIFS(Таблица14[часы],Таблица14[коэф],"1,2",Таблица14[р/р],"5/24",Таблица14[Ф. И. О.],B220)</f>
        <v>0</v>
      </c>
      <c r="X220" s="545">
        <f t="shared" si="103"/>
        <v>0</v>
      </c>
      <c r="Y220" s="795"/>
      <c r="Z220" s="797"/>
      <c r="AA220" s="786"/>
      <c r="AC220" s="754" t="str">
        <f>IF(SUMIFS(Таблица14[Столбец2],Таблица14[Ф. И. О.],B220)-Z215=0,"",SUMIFS(Таблица14[Столбец2],Таблица14[Ф. И. О.],B220)-Z215)</f>
        <v/>
      </c>
    </row>
    <row r="221" spans="1:29">
      <c r="A221" s="786"/>
      <c r="B221" s="216"/>
      <c r="C221" s="789"/>
      <c r="D221" s="792"/>
      <c r="E221" s="393"/>
      <c r="F221" s="390"/>
      <c r="G221" s="400"/>
      <c r="H221" s="544">
        <f t="shared" si="100"/>
        <v>0</v>
      </c>
      <c r="I221" s="389"/>
      <c r="J221" s="390"/>
      <c r="K221" s="434"/>
      <c r="L221" s="395">
        <f t="shared" si="101"/>
        <v>0</v>
      </c>
      <c r="M221" s="432"/>
      <c r="N221" s="434"/>
      <c r="O221" s="434"/>
      <c r="P221" s="434"/>
      <c r="Q221" s="399">
        <f>IF(D215&lt;=3,база!$L$4,
IF(D215=4,база!$L$5,
IF(D215=5,база!$L$6)))</f>
        <v>210.57480000000001</v>
      </c>
      <c r="R221" s="390">
        <v>1.3</v>
      </c>
      <c r="S221" s="400">
        <f>SUMIFS(Таблица14[часы],Таблица14[коэф],"1,3",Таблица14[р/р],"3/16",Таблица14[Ф. И. О.],B220)</f>
        <v>0</v>
      </c>
      <c r="T221" s="544">
        <f t="shared" si="102"/>
        <v>0</v>
      </c>
      <c r="U221" s="472">
        <f>IF(D215&lt;=3,база!$M$4,
IF(D215=4,база!$M$5,
IF(D215=5,база!$M$6)))</f>
        <v>225.09719999999999</v>
      </c>
      <c r="V221" s="390">
        <v>1.3</v>
      </c>
      <c r="W221" s="412">
        <f>SUMIFS(Таблица14[часы],Таблица14[коэф],"1,3",Таблица14[р/р],"3/24",Таблица14[Ф. И. О.],B220)</f>
        <v>0</v>
      </c>
      <c r="X221" s="545">
        <f t="shared" si="103"/>
        <v>0</v>
      </c>
      <c r="Y221" s="795"/>
      <c r="Z221" s="797"/>
      <c r="AA221" s="786"/>
      <c r="AC221" s="754" t="str">
        <f>IF(SUMIFS(Таблица14[часы],Таблица14[Ф. И. О.],B220)-Y215=0,"",SUMIFS(Таблица14[часы],Таблица14[Ф. И. О.],B220)-Y215)</f>
        <v/>
      </c>
    </row>
    <row r="222" spans="1:29">
      <c r="A222" s="786"/>
      <c r="B222" s="216"/>
      <c r="C222" s="789"/>
      <c r="D222" s="792"/>
      <c r="E222" s="393"/>
      <c r="F222" s="390"/>
      <c r="G222" s="400"/>
      <c r="H222" s="544">
        <f t="shared" si="100"/>
        <v>0</v>
      </c>
      <c r="I222" s="389"/>
      <c r="J222" s="390"/>
      <c r="K222" s="434"/>
      <c r="L222" s="395">
        <f t="shared" si="101"/>
        <v>0</v>
      </c>
      <c r="M222" s="432"/>
      <c r="N222" s="434"/>
      <c r="O222" s="434"/>
      <c r="P222" s="434"/>
      <c r="Q222" s="399">
        <f>база!$L$5</f>
        <v>231.45480000000001</v>
      </c>
      <c r="R222" s="390">
        <v>1.3</v>
      </c>
      <c r="S222" s="400">
        <f>SUMIFS(Таблица14[часы],Таблица14[коэф],"1,3",Таблица14[р/р],"4/16",Таблица14[Ф. И. О.],B220)</f>
        <v>0</v>
      </c>
      <c r="T222" s="544">
        <f t="shared" si="102"/>
        <v>0</v>
      </c>
      <c r="U222" s="472">
        <f>база!$M$5</f>
        <v>247.41720000000001</v>
      </c>
      <c r="V222" s="390">
        <v>1.3</v>
      </c>
      <c r="W222" s="412">
        <f>SUMIFS(Таблица14[часы],Таблица14[коэф],"1,3",Таблица14[р/р],"4/24",Таблица14[Ф. И. О.],B220)</f>
        <v>0</v>
      </c>
      <c r="X222" s="545">
        <f t="shared" si="103"/>
        <v>0</v>
      </c>
      <c r="Y222" s="795"/>
      <c r="Z222" s="797"/>
      <c r="AA222" s="786"/>
    </row>
    <row r="223" spans="1:29">
      <c r="A223" s="786"/>
      <c r="B223" s="216"/>
      <c r="C223" s="789"/>
      <c r="D223" s="792"/>
      <c r="E223" s="393"/>
      <c r="F223" s="390"/>
      <c r="G223" s="400"/>
      <c r="H223" s="544">
        <f t="shared" si="100"/>
        <v>0</v>
      </c>
      <c r="I223" s="389"/>
      <c r="J223" s="390"/>
      <c r="K223" s="434"/>
      <c r="L223" s="395">
        <f t="shared" si="101"/>
        <v>0</v>
      </c>
      <c r="M223" s="432"/>
      <c r="N223" s="434"/>
      <c r="O223" s="434"/>
      <c r="P223" s="434"/>
      <c r="Q223" s="399">
        <f>IF(D215&lt;=3,база!$L$4,
IF(D215=4,база!$L$5,
IF(D215=5,база!$L$6)))</f>
        <v>210.57480000000001</v>
      </c>
      <c r="R223" s="390">
        <v>1.4</v>
      </c>
      <c r="S223" s="400">
        <f>SUMIFS(Таблица14[часы],Таблица14[коэф],"1,4",Таблица14[р/р],"3/16",Таблица14[Ф. И. О.],B220)</f>
        <v>0</v>
      </c>
      <c r="T223" s="544">
        <f t="shared" si="102"/>
        <v>0</v>
      </c>
      <c r="U223" s="472">
        <f>IF(D215&lt;=3,база!$M$4,
IF(D215=4,база!$M$5,
IF(D215=5,база!$M$6)))</f>
        <v>225.09719999999999</v>
      </c>
      <c r="V223" s="390">
        <v>1.4</v>
      </c>
      <c r="W223" s="412">
        <f>SUMIFS(Таблица14[часы],Таблица14[коэф],"1,4",Таблица14[р/р],"3/24",Таблица14[Ф. И. О.],B220)</f>
        <v>0</v>
      </c>
      <c r="X223" s="545">
        <f t="shared" si="103"/>
        <v>0</v>
      </c>
      <c r="Y223" s="795"/>
      <c r="Z223" s="797"/>
      <c r="AA223" s="786"/>
    </row>
    <row r="224" spans="1:29">
      <c r="A224" s="786"/>
      <c r="B224" s="216"/>
      <c r="C224" s="789"/>
      <c r="D224" s="792"/>
      <c r="E224" s="393"/>
      <c r="F224" s="390"/>
      <c r="G224" s="400"/>
      <c r="H224" s="544">
        <f t="shared" si="100"/>
        <v>0</v>
      </c>
      <c r="I224" s="389"/>
      <c r="J224" s="390"/>
      <c r="K224" s="434"/>
      <c r="L224" s="395">
        <f t="shared" si="101"/>
        <v>0</v>
      </c>
      <c r="M224" s="432"/>
      <c r="N224" s="434"/>
      <c r="O224" s="434"/>
      <c r="P224" s="434"/>
      <c r="Q224" s="399">
        <f>база!$L$5</f>
        <v>231.45480000000001</v>
      </c>
      <c r="R224" s="390">
        <v>1.4</v>
      </c>
      <c r="S224" s="400">
        <f>SUMIFS(Таблица14[часы],Таблица14[коэф],"1,4",Таблица14[р/р],"4/16",Таблица14[Ф. И. О.],B220)</f>
        <v>0</v>
      </c>
      <c r="T224" s="544">
        <f t="shared" si="102"/>
        <v>0</v>
      </c>
      <c r="U224" s="472">
        <f>база!$M$5</f>
        <v>247.41720000000001</v>
      </c>
      <c r="V224" s="390">
        <v>1.4</v>
      </c>
      <c r="W224" s="412">
        <f>SUMIFS(Таблица14[часы],Таблица14[коэф],"1,4",Таблица14[р/р],"4/24",Таблица14[Ф. И. О.],B220)</f>
        <v>0</v>
      </c>
      <c r="X224" s="545">
        <f t="shared" si="103"/>
        <v>0</v>
      </c>
      <c r="Y224" s="795"/>
      <c r="Z224" s="797"/>
      <c r="AA224" s="786"/>
    </row>
    <row r="225" spans="1:29" ht="21" thickBot="1">
      <c r="A225" s="787"/>
      <c r="B225" s="216"/>
      <c r="C225" s="790"/>
      <c r="D225" s="793"/>
      <c r="E225" s="422"/>
      <c r="F225" s="403"/>
      <c r="G225" s="408"/>
      <c r="H225" s="546">
        <f t="shared" si="100"/>
        <v>0</v>
      </c>
      <c r="I225" s="420"/>
      <c r="J225" s="403"/>
      <c r="K225" s="460"/>
      <c r="L225" s="424">
        <f t="shared" si="101"/>
        <v>0</v>
      </c>
      <c r="M225" s="459"/>
      <c r="N225" s="460"/>
      <c r="O225" s="460"/>
      <c r="P225" s="460"/>
      <c r="Q225" s="407">
        <f>база!$L$6</f>
        <v>261.04640000000001</v>
      </c>
      <c r="R225" s="403">
        <v>1.4</v>
      </c>
      <c r="S225" s="408">
        <f>SUMIFS(Таблица14[часы],Таблица14[коэф],"1,4",Таблица14[р/р],"5/16",Таблица14[Ф. И. О.],B220)</f>
        <v>0</v>
      </c>
      <c r="T225" s="546">
        <f t="shared" si="102"/>
        <v>0</v>
      </c>
      <c r="U225" s="482">
        <f>база!$M$6</f>
        <v>279.0496</v>
      </c>
      <c r="V225" s="403">
        <v>1.4</v>
      </c>
      <c r="W225" s="527">
        <f>SUMIFS(Таблица14[часы],Таблица14[коэф],"1,4",Таблица14[р/р],"5/24",Таблица14[Ф. И. О.],B220)</f>
        <v>0</v>
      </c>
      <c r="X225" s="550">
        <f t="shared" si="103"/>
        <v>0</v>
      </c>
      <c r="Y225" s="796"/>
      <c r="Z225" s="798"/>
      <c r="AA225" s="787"/>
    </row>
    <row r="226" spans="1:29">
      <c r="A226" s="785">
        <v>21</v>
      </c>
      <c r="B226" s="236"/>
      <c r="C226" s="788">
        <f>INDEX(база!$E$2:$E$81, MATCH(B231,база!$B$2:$B$50,0))</f>
        <v>16771</v>
      </c>
      <c r="D226" s="791">
        <f>INDEX(база!$D$2:$D$89, MATCH(B231,база!$B$2:$B$50,0))</f>
        <v>3</v>
      </c>
      <c r="E226" s="381">
        <f>IF(D226&lt;=3,база!$I$4,
IF(D226=4,база!$I$5,
IF(D226=5,база!$I$6)))</f>
        <v>188.7912</v>
      </c>
      <c r="F226" s="378">
        <v>1</v>
      </c>
      <c r="G226" s="387">
        <f>SUMIFS(Таблица14[часы],Таблица14[коэф],"1",Таблица14[р/р],"2/4",Таблица14[Ф. И. О.],B231)</f>
        <v>0</v>
      </c>
      <c r="H226" s="380">
        <f>ROUND(E226*F226*G226*2,2)</f>
        <v>0</v>
      </c>
      <c r="I226" s="377">
        <f>IF(D226&lt;=3,база!$J$4,
IF(D226=4,база!$J$5,
IF(D226=5,база!$J$6)))</f>
        <v>196.05240000000001</v>
      </c>
      <c r="J226" s="378">
        <v>1</v>
      </c>
      <c r="K226" s="428">
        <f>SUMIFS(Таблица14[часы],Таблица14[коэф],"1",Таблица14[р/р],"2/8",Таблица14[Ф. И. О.],B231)</f>
        <v>0</v>
      </c>
      <c r="L226" s="383">
        <f>ROUND(I226*J226*K226*2,2)</f>
        <v>0</v>
      </c>
      <c r="M226" s="426"/>
      <c r="N226" s="428">
        <v>1</v>
      </c>
      <c r="O226" s="428">
        <f>SUMIFS(Data_Tech!$AM$3:$AM$67,Data_Tech!$E$3:$E$67,"1",Data_Tech!$G$3:$G$67,"3/12",Data_Tech!$F$3:$F$67,B231)</f>
        <v>0</v>
      </c>
      <c r="P226" s="428">
        <f>ROUND(M226*N226*O226,2)</f>
        <v>0</v>
      </c>
      <c r="Q226" s="386">
        <f>IF(D226&lt;=3,база!$L$4,
IF(D226=4,база!$L$5,
IF(D226=5,база!$L$6)))</f>
        <v>210.57480000000001</v>
      </c>
      <c r="R226" s="378">
        <v>1</v>
      </c>
      <c r="S226" s="387">
        <f>SUMIFS(Таблица14[часы],Таблица14[коэф],"1",Таблица14[р/р],"3/16",Таблица14[Ф. И. О.],B231)</f>
        <v>0</v>
      </c>
      <c r="T226" s="548">
        <f>ROUND(Q226*R226*S226*2,2)</f>
        <v>0</v>
      </c>
      <c r="U226" s="471">
        <f>IF(D226&lt;=3,база!$M$4,
IF(D226=4,база!$M$5,
IF(D226=5,база!$M$6)))</f>
        <v>225.09719999999999</v>
      </c>
      <c r="V226" s="378">
        <v>1</v>
      </c>
      <c r="W226" s="430">
        <f>SUMIFS(Таблица14[часы],Таблица14[коэф],"1",Таблица14[р/р],"3/24",Таблица14[Ф. И. О.],B231)</f>
        <v>0</v>
      </c>
      <c r="X226" s="543">
        <f>ROUND(U226*V226*W226*2,2)</f>
        <v>0</v>
      </c>
      <c r="Y226" s="795">
        <f t="shared" ref="Y226" si="104">SUM(G226:G236,K226:K236,O226:O236,S226:S236,W226:W236)</f>
        <v>0</v>
      </c>
      <c r="Z226" s="797">
        <f t="shared" ref="Z226" si="105">IFERROR(SUM(H226:H236,L226:L236,T226:T236,X226:X236),"")</f>
        <v>0</v>
      </c>
      <c r="AA226" s="786"/>
    </row>
    <row r="227" spans="1:29">
      <c r="A227" s="786"/>
      <c r="B227" s="216"/>
      <c r="C227" s="789"/>
      <c r="D227" s="792"/>
      <c r="E227" s="393">
        <f>IF(D226&lt;=3,база!$I$4,
IF(D226=4,база!$I$5,
IF(D226=5,база!$I$6)))</f>
        <v>188.7912</v>
      </c>
      <c r="F227" s="390">
        <v>1</v>
      </c>
      <c r="G227" s="400">
        <f>SUMIFS(Таблица14[часы],Таблица14[коэф],"1",Таблица14[р/р],"3/4",Таблица14[Ф. И. О.],B231)</f>
        <v>0</v>
      </c>
      <c r="H227" s="542">
        <f t="shared" ref="H227:H236" si="106">ROUND(E227*F227*G227*2,2)</f>
        <v>0</v>
      </c>
      <c r="I227" s="389">
        <f>IF(D226&lt;=3,база!$J$4,
IF(D226=4,база!$J$5,
IF(D226=5,база!$J$6)))</f>
        <v>196.05240000000001</v>
      </c>
      <c r="J227" s="390">
        <v>1</v>
      </c>
      <c r="K227" s="434">
        <f>SUMIFS(Таблица14[часы],Таблица14[коэф],"1",Таблица14[р/р],"3/8",Таблица14[Ф. И. О.],B231)</f>
        <v>0</v>
      </c>
      <c r="L227" s="395">
        <f t="shared" ref="L227:L236" si="107">ROUND(I227*J227*K227*2,2)</f>
        <v>0</v>
      </c>
      <c r="M227" s="432"/>
      <c r="N227" s="434">
        <v>1</v>
      </c>
      <c r="O227" s="434">
        <f>SUMIFS(Data_Tech!$AM$3:$AM$67,Data_Tech!$E$3:$E$67,"1",Data_Tech!$G$3:$G$67,"4/12",Data_Tech!$F$3:$F$67,B231)</f>
        <v>0</v>
      </c>
      <c r="P227" s="434">
        <f>ROUND(M227*O227,2)</f>
        <v>0</v>
      </c>
      <c r="Q227" s="399">
        <f>база!$L$5</f>
        <v>231.45480000000001</v>
      </c>
      <c r="R227" s="390">
        <v>1</v>
      </c>
      <c r="S227" s="400">
        <f>SUMIFS(Таблица14[часы],Таблица14[коэф],"1",Таблица14[р/р],"4/16",Таблица14[Ф. И. О.],B231)</f>
        <v>0</v>
      </c>
      <c r="T227" s="544">
        <f t="shared" ref="T227:T236" si="108">ROUND(Q227*R227*S227*2,2)</f>
        <v>0</v>
      </c>
      <c r="U227" s="472">
        <f>база!$M$5</f>
        <v>247.41720000000001</v>
      </c>
      <c r="V227" s="390">
        <v>1</v>
      </c>
      <c r="W227" s="412">
        <f>SUMIFS(Таблица14[часы],Таблица14[коэф],"1",Таблица14[р/р],"4/24",Таблица14[Ф. И. О.],B231)</f>
        <v>0</v>
      </c>
      <c r="X227" s="545">
        <f t="shared" ref="X227:X236" si="109">ROUND(U227*V227*W227*2,2)</f>
        <v>0</v>
      </c>
      <c r="Y227" s="795"/>
      <c r="Z227" s="797"/>
      <c r="AA227" s="786"/>
    </row>
    <row r="228" spans="1:29">
      <c r="A228" s="786"/>
      <c r="B228" s="216"/>
      <c r="C228" s="789"/>
      <c r="D228" s="792"/>
      <c r="E228" s="393"/>
      <c r="F228" s="390"/>
      <c r="G228" s="400"/>
      <c r="H228" s="544">
        <f t="shared" si="106"/>
        <v>0</v>
      </c>
      <c r="I228" s="389"/>
      <c r="J228" s="390"/>
      <c r="K228" s="434"/>
      <c r="L228" s="395">
        <f t="shared" si="107"/>
        <v>0</v>
      </c>
      <c r="M228" s="432"/>
      <c r="N228" s="434"/>
      <c r="O228" s="434"/>
      <c r="P228" s="434"/>
      <c r="Q228" s="399">
        <f>база!$L$6</f>
        <v>261.04640000000001</v>
      </c>
      <c r="R228" s="390">
        <v>1</v>
      </c>
      <c r="S228" s="400">
        <f>SUMIFS(Таблица14[часы],Таблица14[коэф],"1",Таблица14[р/р],"5/16",Таблица14[Ф. И. О.],B231)</f>
        <v>0</v>
      </c>
      <c r="T228" s="544">
        <f t="shared" si="108"/>
        <v>0</v>
      </c>
      <c r="U228" s="472">
        <f>база!$M$6</f>
        <v>279.0496</v>
      </c>
      <c r="V228" s="390">
        <v>1</v>
      </c>
      <c r="W228" s="412">
        <f>SUMIFS(Таблица14[часы],Таблица14[коэф],"1",Таблица14[р/р],"5/24",Таблица14[Ф. И. О.],B231)</f>
        <v>0</v>
      </c>
      <c r="X228" s="545">
        <f t="shared" si="109"/>
        <v>0</v>
      </c>
      <c r="Y228" s="795"/>
      <c r="Z228" s="797"/>
      <c r="AA228" s="786"/>
    </row>
    <row r="229" spans="1:29">
      <c r="A229" s="786"/>
      <c r="B229" s="216"/>
      <c r="C229" s="789"/>
      <c r="D229" s="792"/>
      <c r="E229" s="393"/>
      <c r="F229" s="390"/>
      <c r="G229" s="400"/>
      <c r="H229" s="544">
        <f t="shared" si="106"/>
        <v>0</v>
      </c>
      <c r="I229" s="389">
        <f>база!$J$5</f>
        <v>215.4924</v>
      </c>
      <c r="J229" s="390">
        <v>1.5</v>
      </c>
      <c r="K229" s="434">
        <f>SUMIFS(Таблица14[часы],Таблица14[коэф],"1,5",Таблица14[р/р],"4/8",Таблица14[Ф. И. О.],B231)</f>
        <v>0</v>
      </c>
      <c r="L229" s="395">
        <f t="shared" si="107"/>
        <v>0</v>
      </c>
      <c r="M229" s="432"/>
      <c r="N229" s="434"/>
      <c r="O229" s="434"/>
      <c r="P229" s="434"/>
      <c r="Q229" s="399">
        <f>IF(D226&lt;=3,база!$L$4,
IF(D226=4,база!$L$5,
IF(D226=5,база!$L$6)))</f>
        <v>210.57480000000001</v>
      </c>
      <c r="R229" s="390">
        <v>1.2</v>
      </c>
      <c r="S229" s="400">
        <f>SUMIFS(Таблица14[часы],Таблица14[коэф],"1,2",Таблица14[р/р],"3/16",Таблица14[Ф. И. О.],B231)</f>
        <v>0</v>
      </c>
      <c r="T229" s="544">
        <f t="shared" si="108"/>
        <v>0</v>
      </c>
      <c r="U229" s="472">
        <f>IF(D226&lt;=3,база!$M$4,
IF(D226=4,база!$M$5,
IF(D226=5,база!$M$6)))</f>
        <v>225.09719999999999</v>
      </c>
      <c r="V229" s="390">
        <v>1.2</v>
      </c>
      <c r="W229" s="412">
        <f>SUMIFS(Таблица14[часы],Таблица14[коэф],"1,2",Таблица14[р/р],"3/24",Таблица14[Ф. И. О.],B231)</f>
        <v>0</v>
      </c>
      <c r="X229" s="545">
        <f t="shared" si="109"/>
        <v>0</v>
      </c>
      <c r="Y229" s="795"/>
      <c r="Z229" s="797"/>
      <c r="AA229" s="786"/>
    </row>
    <row r="230" spans="1:29">
      <c r="A230" s="786"/>
      <c r="B230" s="216"/>
      <c r="C230" s="789"/>
      <c r="D230" s="792"/>
      <c r="E230" s="393"/>
      <c r="F230" s="390"/>
      <c r="G230" s="400"/>
      <c r="H230" s="544">
        <f t="shared" si="106"/>
        <v>0</v>
      </c>
      <c r="I230" s="389">
        <f>база!$J$6</f>
        <v>243.04319999999998</v>
      </c>
      <c r="J230" s="390">
        <v>1.5</v>
      </c>
      <c r="K230" s="434">
        <f>SUMIFS(Таблица14[часы],Таблица14[коэф],"1,5",Таблица14[р/р],"5/8",Таблица14[Ф. И. О.],B231)</f>
        <v>0</v>
      </c>
      <c r="L230" s="395">
        <f t="shared" si="107"/>
        <v>0</v>
      </c>
      <c r="M230" s="432"/>
      <c r="N230" s="434"/>
      <c r="O230" s="434"/>
      <c r="P230" s="434"/>
      <c r="Q230" s="399">
        <f>база!$L$5</f>
        <v>231.45480000000001</v>
      </c>
      <c r="R230" s="390">
        <v>1.2</v>
      </c>
      <c r="S230" s="400">
        <f>SUMIFS(Таблица14[часы],Таблица14[коэф],"1,2",Таблица14[р/р],"4/16",Таблица14[Ф. И. О.],B231)</f>
        <v>0</v>
      </c>
      <c r="T230" s="544">
        <f t="shared" si="108"/>
        <v>0</v>
      </c>
      <c r="U230" s="472">
        <f>база!$M$5</f>
        <v>247.41720000000001</v>
      </c>
      <c r="V230" s="390">
        <v>1.2</v>
      </c>
      <c r="W230" s="412">
        <f>SUMIFS(Таблица14[часы],Таблица14[коэф],"1,2",Таблица14[р/р],"4/24",Таблица14[Ф. И. О.],B231)</f>
        <v>0</v>
      </c>
      <c r="X230" s="545">
        <f t="shared" si="109"/>
        <v>0</v>
      </c>
      <c r="Y230" s="795"/>
      <c r="Z230" s="797"/>
      <c r="AA230" s="786"/>
      <c r="AC230" s="754" t="str">
        <f>IF(SUMIFS(Таблица14[Столбец2],Таблица14[Ф. И. О.],B231)-Z226=0,"",SUMIFS(Таблица14[Столбец2],Таблица14[Ф. И. О.],B231)-Z226)</f>
        <v/>
      </c>
    </row>
    <row r="231" spans="1:29">
      <c r="A231" s="786"/>
      <c r="B231" s="216" t="str">
        <f>база!B22</f>
        <v>Елькина Татьяна Владимировна</v>
      </c>
      <c r="C231" s="789"/>
      <c r="D231" s="792"/>
      <c r="E231" s="393"/>
      <c r="F231" s="390"/>
      <c r="G231" s="400"/>
      <c r="H231" s="544">
        <f t="shared" si="106"/>
        <v>0</v>
      </c>
      <c r="I231" s="389"/>
      <c r="J231" s="390"/>
      <c r="K231" s="434"/>
      <c r="L231" s="395">
        <f t="shared" si="107"/>
        <v>0</v>
      </c>
      <c r="M231" s="432"/>
      <c r="N231" s="434"/>
      <c r="O231" s="434"/>
      <c r="P231" s="434"/>
      <c r="Q231" s="399">
        <f>база!$L$6</f>
        <v>261.04640000000001</v>
      </c>
      <c r="R231" s="390">
        <v>1.2</v>
      </c>
      <c r="S231" s="400">
        <f>SUMIFS(Таблица14[часы],Таблица14[коэф],"1,2",Таблица14[р/р],"5/16",Таблица14[Ф. И. О.],B231)</f>
        <v>0</v>
      </c>
      <c r="T231" s="544">
        <f t="shared" si="108"/>
        <v>0</v>
      </c>
      <c r="U231" s="472">
        <f>база!$M$6</f>
        <v>279.0496</v>
      </c>
      <c r="V231" s="390">
        <v>1.2</v>
      </c>
      <c r="W231" s="412">
        <f>SUMIFS(Таблица14[часы],Таблица14[коэф],"1,2",Таблица14[р/р],"5/24",Таблица14[Ф. И. О.],B231)</f>
        <v>0</v>
      </c>
      <c r="X231" s="545">
        <f t="shared" si="109"/>
        <v>0</v>
      </c>
      <c r="Y231" s="795"/>
      <c r="Z231" s="797"/>
      <c r="AA231" s="786"/>
      <c r="AC231" s="754" t="str">
        <f>IF(SUMIFS(Таблица14[часы],Таблица14[Ф. И. О.],B231)-Y226=0,"",SUMIFS(Таблица14[часы],Таблица14[Ф. И. О.],B231)-Y226)</f>
        <v/>
      </c>
    </row>
    <row r="232" spans="1:29">
      <c r="A232" s="786"/>
      <c r="B232" s="216"/>
      <c r="C232" s="789"/>
      <c r="D232" s="792"/>
      <c r="E232" s="393"/>
      <c r="F232" s="390"/>
      <c r="G232" s="400"/>
      <c r="H232" s="544">
        <f t="shared" si="106"/>
        <v>0</v>
      </c>
      <c r="I232" s="389"/>
      <c r="J232" s="390"/>
      <c r="K232" s="434"/>
      <c r="L232" s="395">
        <f t="shared" si="107"/>
        <v>0</v>
      </c>
      <c r="M232" s="432"/>
      <c r="N232" s="434"/>
      <c r="O232" s="434"/>
      <c r="P232" s="434"/>
      <c r="Q232" s="399">
        <f>IF(D226&lt;=3,база!$L$4,
IF(D226=4,база!$L$5,
IF(D226=5,база!$L$6)))</f>
        <v>210.57480000000001</v>
      </c>
      <c r="R232" s="390">
        <v>1.3</v>
      </c>
      <c r="S232" s="400">
        <f>SUMIFS(Таблица14[часы],Таблица14[коэф],"1,3",Таблица14[р/р],"3/16",Таблица14[Ф. И. О.],B231)</f>
        <v>0</v>
      </c>
      <c r="T232" s="544">
        <f t="shared" si="108"/>
        <v>0</v>
      </c>
      <c r="U232" s="472">
        <f>IF(D226&lt;=3,база!$M$4,
IF(D226=4,база!$M$5,
IF(D226=5,база!$M$6)))</f>
        <v>225.09719999999999</v>
      </c>
      <c r="V232" s="390">
        <v>1.3</v>
      </c>
      <c r="W232" s="412">
        <f>SUMIFS(Таблица14[часы],Таблица14[коэф],"1,3",Таблица14[р/р],"3/24",Таблица14[Ф. И. О.],B231)</f>
        <v>0</v>
      </c>
      <c r="X232" s="545">
        <f t="shared" si="109"/>
        <v>0</v>
      </c>
      <c r="Y232" s="795"/>
      <c r="Z232" s="797"/>
      <c r="AA232" s="786"/>
    </row>
    <row r="233" spans="1:29">
      <c r="A233" s="786"/>
      <c r="B233" s="216"/>
      <c r="C233" s="789"/>
      <c r="D233" s="792"/>
      <c r="E233" s="393"/>
      <c r="F233" s="390"/>
      <c r="G233" s="400"/>
      <c r="H233" s="544">
        <f t="shared" si="106"/>
        <v>0</v>
      </c>
      <c r="I233" s="389"/>
      <c r="J233" s="390"/>
      <c r="K233" s="434"/>
      <c r="L233" s="395">
        <f t="shared" si="107"/>
        <v>0</v>
      </c>
      <c r="M233" s="432"/>
      <c r="N233" s="434"/>
      <c r="O233" s="434"/>
      <c r="P233" s="434"/>
      <c r="Q233" s="399">
        <f>база!$L$5</f>
        <v>231.45480000000001</v>
      </c>
      <c r="R233" s="390">
        <v>1.3</v>
      </c>
      <c r="S233" s="400">
        <f>SUMIFS(Таблица14[часы],Таблица14[коэф],"1,3",Таблица14[р/р],"4/16",Таблица14[Ф. И. О.],B231)</f>
        <v>0</v>
      </c>
      <c r="T233" s="544">
        <f t="shared" si="108"/>
        <v>0</v>
      </c>
      <c r="U233" s="472">
        <f>база!$M$5</f>
        <v>247.41720000000001</v>
      </c>
      <c r="V233" s="390">
        <v>1.3</v>
      </c>
      <c r="W233" s="412">
        <f>SUMIFS(Таблица14[часы],Таблица14[коэф],"1,3",Таблица14[р/р],"4/24",Таблица14[Ф. И. О.],B231)</f>
        <v>0</v>
      </c>
      <c r="X233" s="545">
        <f t="shared" si="109"/>
        <v>0</v>
      </c>
      <c r="Y233" s="795"/>
      <c r="Z233" s="797"/>
      <c r="AA233" s="786"/>
    </row>
    <row r="234" spans="1:29">
      <c r="A234" s="786"/>
      <c r="B234" s="216"/>
      <c r="C234" s="789"/>
      <c r="D234" s="792"/>
      <c r="E234" s="393"/>
      <c r="F234" s="390"/>
      <c r="G234" s="400"/>
      <c r="H234" s="544">
        <f t="shared" si="106"/>
        <v>0</v>
      </c>
      <c r="I234" s="389"/>
      <c r="J234" s="390"/>
      <c r="K234" s="434"/>
      <c r="L234" s="395">
        <f t="shared" si="107"/>
        <v>0</v>
      </c>
      <c r="M234" s="432"/>
      <c r="N234" s="434"/>
      <c r="O234" s="434"/>
      <c r="P234" s="434"/>
      <c r="Q234" s="399">
        <f>IF(D226&lt;=3,база!$L$4,
IF(D226=4,база!$L$5,
IF(D226=5,база!$L$6)))</f>
        <v>210.57480000000001</v>
      </c>
      <c r="R234" s="390">
        <v>1.4</v>
      </c>
      <c r="S234" s="400">
        <f>SUMIFS(Таблица14[часы],Таблица14[коэф],"1,4",Таблица14[р/р],"3/16",Таблица14[Ф. И. О.],B231)</f>
        <v>0</v>
      </c>
      <c r="T234" s="544">
        <f t="shared" si="108"/>
        <v>0</v>
      </c>
      <c r="U234" s="472">
        <f>IF(D226&lt;=3,база!$M$4,
IF(D226=4,база!$M$5,
IF(D226=5,база!$M$6)))</f>
        <v>225.09719999999999</v>
      </c>
      <c r="V234" s="390">
        <v>1.4</v>
      </c>
      <c r="W234" s="412">
        <f>SUMIFS(Таблица14[часы],Таблица14[коэф],"1,4",Таблица14[р/р],"3/24",Таблица14[Ф. И. О.],B231)</f>
        <v>0</v>
      </c>
      <c r="X234" s="545">
        <f t="shared" si="109"/>
        <v>0</v>
      </c>
      <c r="Y234" s="795"/>
      <c r="Z234" s="797"/>
      <c r="AA234" s="786"/>
    </row>
    <row r="235" spans="1:29">
      <c r="A235" s="786"/>
      <c r="B235" s="216"/>
      <c r="C235" s="789"/>
      <c r="D235" s="792"/>
      <c r="E235" s="393"/>
      <c r="F235" s="390"/>
      <c r="G235" s="400"/>
      <c r="H235" s="544">
        <f t="shared" si="106"/>
        <v>0</v>
      </c>
      <c r="I235" s="389"/>
      <c r="J235" s="390"/>
      <c r="K235" s="434"/>
      <c r="L235" s="395">
        <f t="shared" si="107"/>
        <v>0</v>
      </c>
      <c r="M235" s="432"/>
      <c r="N235" s="434"/>
      <c r="O235" s="434"/>
      <c r="P235" s="434"/>
      <c r="Q235" s="399">
        <f>база!$L$5</f>
        <v>231.45480000000001</v>
      </c>
      <c r="R235" s="390">
        <v>1.4</v>
      </c>
      <c r="S235" s="400">
        <f>SUMIFS(Таблица14[часы],Таблица14[коэф],"1,4",Таблица14[р/р],"4/16",Таблица14[Ф. И. О.],B231)</f>
        <v>0</v>
      </c>
      <c r="T235" s="544">
        <f t="shared" si="108"/>
        <v>0</v>
      </c>
      <c r="U235" s="472">
        <f>база!$M$5</f>
        <v>247.41720000000001</v>
      </c>
      <c r="V235" s="390">
        <v>1.4</v>
      </c>
      <c r="W235" s="412">
        <f>SUMIFS(Таблица14[часы],Таблица14[коэф],"1,4",Таблица14[р/р],"4/24",Таблица14[Ф. И. О.],B231)</f>
        <v>0</v>
      </c>
      <c r="X235" s="545">
        <f t="shared" si="109"/>
        <v>0</v>
      </c>
      <c r="Y235" s="795"/>
      <c r="Z235" s="797"/>
      <c r="AA235" s="786"/>
    </row>
    <row r="236" spans="1:29" ht="21" thickBot="1">
      <c r="A236" s="787"/>
      <c r="B236" s="203"/>
      <c r="C236" s="790"/>
      <c r="D236" s="793"/>
      <c r="E236" s="463"/>
      <c r="F236" s="464"/>
      <c r="G236" s="465"/>
      <c r="H236" s="549">
        <f t="shared" si="106"/>
        <v>0</v>
      </c>
      <c r="I236" s="473"/>
      <c r="J236" s="464"/>
      <c r="K236" s="457"/>
      <c r="L236" s="458">
        <f t="shared" si="107"/>
        <v>0</v>
      </c>
      <c r="M236" s="466"/>
      <c r="N236" s="457"/>
      <c r="O236" s="457"/>
      <c r="P236" s="457"/>
      <c r="Q236" s="467">
        <f>база!$L$6</f>
        <v>261.04640000000001</v>
      </c>
      <c r="R236" s="464">
        <v>1.4</v>
      </c>
      <c r="S236" s="465">
        <f>SUMIFS(Таблица14[часы],Таблица14[коэф],"1,4",Таблица14[р/р],"5/16",Таблица14[Ф. И. О.],B231)</f>
        <v>0</v>
      </c>
      <c r="T236" s="549">
        <f t="shared" si="108"/>
        <v>0</v>
      </c>
      <c r="U236" s="474">
        <f>база!$M$6</f>
        <v>279.0496</v>
      </c>
      <c r="V236" s="464">
        <v>1.4</v>
      </c>
      <c r="W236" s="470">
        <f>SUMIFS(Таблица14[часы],Таблица14[коэф],"1,4",Таблица14[р/р],"5/24",Таблица14[Ф. И. О.],B231)</f>
        <v>0</v>
      </c>
      <c r="X236" s="547">
        <f t="shared" si="109"/>
        <v>0</v>
      </c>
      <c r="Y236" s="796"/>
      <c r="Z236" s="798"/>
      <c r="AA236" s="787"/>
    </row>
    <row r="237" spans="1:29">
      <c r="A237" s="785">
        <v>22</v>
      </c>
      <c r="B237" s="236"/>
      <c r="C237" s="788">
        <f>INDEX(база!$E$2:$E$81, MATCH(B242,база!$B$2:$B$50,0))</f>
        <v>17345</v>
      </c>
      <c r="D237" s="791">
        <f>INDEX(база!$D$2:$D$89, MATCH(B242,база!$B$2:$B$50,0))</f>
        <v>3</v>
      </c>
      <c r="E237" s="381">
        <f>IF(D237&lt;=3,база!$I$4,
IF(D237=4,база!$I$5,
IF(D237=5,база!$I$6)))</f>
        <v>188.7912</v>
      </c>
      <c r="F237" s="378">
        <v>1</v>
      </c>
      <c r="G237" s="387">
        <f>SUMIFS(Таблица14[часы],Таблица14[коэф],"1",Таблица14[р/р],"2/4",Таблица14[Ф. И. О.],B242)</f>
        <v>0</v>
      </c>
      <c r="H237" s="380">
        <f>ROUND(E237*F237*G237*2,2)</f>
        <v>0</v>
      </c>
      <c r="I237" s="377">
        <f>IF(D237&lt;=3,база!$J$4,
IF(D237=4,база!$J$5,
IF(D237=5,база!$J$6)))</f>
        <v>196.05240000000001</v>
      </c>
      <c r="J237" s="378">
        <v>1</v>
      </c>
      <c r="K237" s="428">
        <f>SUMIFS(Таблица14[часы],Таблица14[коэф],"1",Таблица14[р/р],"2/8",Таблица14[Ф. И. О.],B242)</f>
        <v>0</v>
      </c>
      <c r="L237" s="383">
        <f>ROUND(I237*J237*K237*2,2)</f>
        <v>0</v>
      </c>
      <c r="M237" s="426"/>
      <c r="N237" s="428">
        <v>1</v>
      </c>
      <c r="O237" s="428">
        <f>SUMIFS(Data_Tech!$AM$3:$AM$67,Data_Tech!$E$3:$E$67,"1",Data_Tech!$G$3:$G$67,"3/12",Data_Tech!$F$3:$F$67,B242)</f>
        <v>0</v>
      </c>
      <c r="P237" s="428">
        <f>ROUND(M237*N237*O237,2)</f>
        <v>0</v>
      </c>
      <c r="Q237" s="386">
        <f>IF(D237&lt;=3,база!$L$4,
IF(D237=4,база!$L$5,
IF(D237=5,база!$L$6)))</f>
        <v>210.57480000000001</v>
      </c>
      <c r="R237" s="378">
        <v>1</v>
      </c>
      <c r="S237" s="387">
        <f>SUMIFS(Таблица14[часы],Таблица14[коэф],"1",Таблица14[р/р],"3/16",Таблица14[Ф. И. О.],B242)</f>
        <v>0</v>
      </c>
      <c r="T237" s="548">
        <f>ROUND(Q237*R237*S237*2,2)</f>
        <v>0</v>
      </c>
      <c r="U237" s="471">
        <f>IF(D237&lt;=3,база!$M$4,
IF(D237=4,база!$M$5,
IF(D237=5,база!$M$6)))</f>
        <v>225.09719999999999</v>
      </c>
      <c r="V237" s="378">
        <v>1</v>
      </c>
      <c r="W237" s="430">
        <f>SUMIFS(Таблица14[часы],Таблица14[коэф],"1",Таблица14[р/р],"3/24",Таблица14[Ф. И. О.],B242)</f>
        <v>0</v>
      </c>
      <c r="X237" s="543">
        <f>ROUND(U237*V237*W237*2,2)</f>
        <v>0</v>
      </c>
      <c r="Y237" s="795">
        <f t="shared" ref="Y237" si="110">SUM(G237:G247,K237:K247,O237:O247,S237:S247,W237:W247)</f>
        <v>0</v>
      </c>
      <c r="Z237" s="797">
        <f t="shared" ref="Z237" si="111">IFERROR(SUM(H237:H247,L237:L247,T237:T247,X237:X247),"")</f>
        <v>0</v>
      </c>
      <c r="AA237" s="786"/>
    </row>
    <row r="238" spans="1:29">
      <c r="A238" s="786"/>
      <c r="B238" s="216"/>
      <c r="C238" s="789"/>
      <c r="D238" s="792"/>
      <c r="E238" s="393">
        <f>IF(D237&lt;=3,база!$I$4,
IF(D237=4,база!$I$5,
IF(D237=5,база!$I$6)))</f>
        <v>188.7912</v>
      </c>
      <c r="F238" s="390">
        <v>1</v>
      </c>
      <c r="G238" s="400">
        <f>SUMIFS(Таблица14[часы],Таблица14[коэф],"1",Таблица14[р/р],"3/4",Таблица14[Ф. И. О.],B242)</f>
        <v>0</v>
      </c>
      <c r="H238" s="542">
        <f t="shared" ref="H238:H247" si="112">ROUND(E238*F238*G238*2,2)</f>
        <v>0</v>
      </c>
      <c r="I238" s="389">
        <f>IF(D237&lt;=3,база!$J$4,
IF(D237=4,база!$J$5,
IF(D237=5,база!$J$6)))</f>
        <v>196.05240000000001</v>
      </c>
      <c r="J238" s="390">
        <v>1</v>
      </c>
      <c r="K238" s="434">
        <f>SUMIFS(Таблица14[часы],Таблица14[коэф],"1",Таблица14[р/р],"3/8",Таблица14[Ф. И. О.],B242)</f>
        <v>0</v>
      </c>
      <c r="L238" s="395">
        <f t="shared" ref="L238:L247" si="113">ROUND(I238*J238*K238*2,2)</f>
        <v>0</v>
      </c>
      <c r="M238" s="432"/>
      <c r="N238" s="434">
        <v>1</v>
      </c>
      <c r="O238" s="434">
        <f>SUMIFS(Data_Tech!$AM$3:$AM$67,Data_Tech!$E$3:$E$67,"1",Data_Tech!$G$3:$G$67,"4/12",Data_Tech!$F$3:$F$67,B242)</f>
        <v>0</v>
      </c>
      <c r="P238" s="434">
        <f>ROUND(M238*O238,2)</f>
        <v>0</v>
      </c>
      <c r="Q238" s="399">
        <f>база!$L$5</f>
        <v>231.45480000000001</v>
      </c>
      <c r="R238" s="390">
        <v>1</v>
      </c>
      <c r="S238" s="400">
        <f>SUMIFS(Таблица14[часы],Таблица14[коэф],"1",Таблица14[р/р],"4/16",Таблица14[Ф. И. О.],B242)</f>
        <v>0</v>
      </c>
      <c r="T238" s="544">
        <f t="shared" ref="T238:T247" si="114">ROUND(Q238*R238*S238*2,2)</f>
        <v>0</v>
      </c>
      <c r="U238" s="472">
        <f>база!$M$5</f>
        <v>247.41720000000001</v>
      </c>
      <c r="V238" s="390">
        <v>1</v>
      </c>
      <c r="W238" s="412">
        <f>SUMIFS(Таблица14[часы],Таблица14[коэф],"1",Таблица14[р/р],"4/24",Таблица14[Ф. И. О.],B242)</f>
        <v>0</v>
      </c>
      <c r="X238" s="545">
        <f t="shared" ref="X238:X247" si="115">ROUND(U238*V238*W238*2,2)</f>
        <v>0</v>
      </c>
      <c r="Y238" s="795"/>
      <c r="Z238" s="797"/>
      <c r="AA238" s="786"/>
    </row>
    <row r="239" spans="1:29">
      <c r="A239" s="786"/>
      <c r="B239" s="216"/>
      <c r="C239" s="789"/>
      <c r="D239" s="792"/>
      <c r="E239" s="393"/>
      <c r="F239" s="390"/>
      <c r="G239" s="400"/>
      <c r="H239" s="544">
        <f t="shared" si="112"/>
        <v>0</v>
      </c>
      <c r="I239" s="389"/>
      <c r="J239" s="390"/>
      <c r="K239" s="434"/>
      <c r="L239" s="395">
        <f t="shared" si="113"/>
        <v>0</v>
      </c>
      <c r="M239" s="432"/>
      <c r="N239" s="434"/>
      <c r="O239" s="434"/>
      <c r="P239" s="434"/>
      <c r="Q239" s="399">
        <f>база!$L$6</f>
        <v>261.04640000000001</v>
      </c>
      <c r="R239" s="390">
        <v>1</v>
      </c>
      <c r="S239" s="400">
        <f>SUMIFS(Таблица14[часы],Таблица14[коэф],"1",Таблица14[р/р],"5/16",Таблица14[Ф. И. О.],B242)</f>
        <v>0</v>
      </c>
      <c r="T239" s="544">
        <f t="shared" si="114"/>
        <v>0</v>
      </c>
      <c r="U239" s="472">
        <f>база!$M$6</f>
        <v>279.0496</v>
      </c>
      <c r="V239" s="390">
        <v>1</v>
      </c>
      <c r="W239" s="412">
        <f>SUMIFS(Таблица14[часы],Таблица14[коэф],"1",Таблица14[р/р],"5/24",Таблица14[Ф. И. О.],B242)</f>
        <v>0</v>
      </c>
      <c r="X239" s="545">
        <f t="shared" si="115"/>
        <v>0</v>
      </c>
      <c r="Y239" s="795"/>
      <c r="Z239" s="797"/>
      <c r="AA239" s="786"/>
    </row>
    <row r="240" spans="1:29">
      <c r="A240" s="786"/>
      <c r="B240" s="216"/>
      <c r="C240" s="789"/>
      <c r="D240" s="792"/>
      <c r="E240" s="393"/>
      <c r="F240" s="390"/>
      <c r="G240" s="400"/>
      <c r="H240" s="544">
        <f t="shared" si="112"/>
        <v>0</v>
      </c>
      <c r="I240" s="389">
        <f>база!$J$5</f>
        <v>215.4924</v>
      </c>
      <c r="J240" s="390">
        <v>1.5</v>
      </c>
      <c r="K240" s="434">
        <f>SUMIFS(Таблица14[часы],Таблица14[коэф],"1,5",Таблица14[р/р],"4/8",Таблица14[Ф. И. О.],B242)</f>
        <v>0</v>
      </c>
      <c r="L240" s="395">
        <f t="shared" si="113"/>
        <v>0</v>
      </c>
      <c r="M240" s="432"/>
      <c r="N240" s="434"/>
      <c r="O240" s="434"/>
      <c r="P240" s="434"/>
      <c r="Q240" s="399">
        <f>IF(D237&lt;=3,база!$L$4,
IF(D237=4,база!$L$5,
IF(D237=5,база!$L$6)))</f>
        <v>210.57480000000001</v>
      </c>
      <c r="R240" s="390">
        <v>1.2</v>
      </c>
      <c r="S240" s="400">
        <f>SUMIFS(Таблица14[часы],Таблица14[коэф],"1,2",Таблица14[р/р],"3/16",Таблица14[Ф. И. О.],B242)</f>
        <v>0</v>
      </c>
      <c r="T240" s="544">
        <f t="shared" si="114"/>
        <v>0</v>
      </c>
      <c r="U240" s="472">
        <f>IF(D237&lt;=3,база!$M$4,
IF(D237=4,база!$M$5,
IF(D237=5,база!$M$6)))</f>
        <v>225.09719999999999</v>
      </c>
      <c r="V240" s="390">
        <v>1.2</v>
      </c>
      <c r="W240" s="412">
        <f>SUMIFS(Таблица14[часы],Таблица14[коэф],"1,2",Таблица14[р/р],"3/24",Таблица14[Ф. И. О.],B242)</f>
        <v>0</v>
      </c>
      <c r="X240" s="545">
        <f t="shared" si="115"/>
        <v>0</v>
      </c>
      <c r="Y240" s="795"/>
      <c r="Z240" s="797"/>
      <c r="AA240" s="786"/>
    </row>
    <row r="241" spans="1:29">
      <c r="A241" s="786"/>
      <c r="B241" s="216"/>
      <c r="C241" s="789"/>
      <c r="D241" s="792"/>
      <c r="E241" s="393"/>
      <c r="F241" s="390"/>
      <c r="G241" s="400"/>
      <c r="H241" s="544">
        <f t="shared" si="112"/>
        <v>0</v>
      </c>
      <c r="I241" s="389">
        <f>база!$J$6</f>
        <v>243.04319999999998</v>
      </c>
      <c r="J241" s="390">
        <v>1.5</v>
      </c>
      <c r="K241" s="434">
        <f>SUMIFS(Таблица14[часы],Таблица14[коэф],"1,5",Таблица14[р/р],"5/8",Таблица14[Ф. И. О.],B242)</f>
        <v>0</v>
      </c>
      <c r="L241" s="395">
        <f t="shared" si="113"/>
        <v>0</v>
      </c>
      <c r="M241" s="432"/>
      <c r="N241" s="434"/>
      <c r="O241" s="434"/>
      <c r="P241" s="434"/>
      <c r="Q241" s="399">
        <f>база!$L$5</f>
        <v>231.45480000000001</v>
      </c>
      <c r="R241" s="390">
        <v>1.2</v>
      </c>
      <c r="S241" s="400">
        <f>SUMIFS(Таблица14[часы],Таблица14[коэф],"1,2",Таблица14[р/р],"4/16",Таблица14[Ф. И. О.],B242)</f>
        <v>0</v>
      </c>
      <c r="T241" s="544">
        <f t="shared" si="114"/>
        <v>0</v>
      </c>
      <c r="U241" s="472">
        <f>база!$M$5</f>
        <v>247.41720000000001</v>
      </c>
      <c r="V241" s="390">
        <v>1.2</v>
      </c>
      <c r="W241" s="412">
        <f>SUMIFS(Таблица14[часы],Таблица14[коэф],"1,2",Таблица14[р/р],"4/24",Таблица14[Ф. И. О.],B242)</f>
        <v>0</v>
      </c>
      <c r="X241" s="545">
        <f t="shared" si="115"/>
        <v>0</v>
      </c>
      <c r="Y241" s="795"/>
      <c r="Z241" s="797"/>
      <c r="AA241" s="786"/>
    </row>
    <row r="242" spans="1:29">
      <c r="A242" s="786"/>
      <c r="B242" s="216" t="str">
        <f>база!B23</f>
        <v>Ерошевич Дарья Александровна</v>
      </c>
      <c r="C242" s="789"/>
      <c r="D242" s="792"/>
      <c r="E242" s="393"/>
      <c r="F242" s="390"/>
      <c r="G242" s="400"/>
      <c r="H242" s="544">
        <f t="shared" si="112"/>
        <v>0</v>
      </c>
      <c r="I242" s="389"/>
      <c r="J242" s="390"/>
      <c r="K242" s="434"/>
      <c r="L242" s="395">
        <f t="shared" si="113"/>
        <v>0</v>
      </c>
      <c r="M242" s="432"/>
      <c r="N242" s="434"/>
      <c r="O242" s="434"/>
      <c r="P242" s="434"/>
      <c r="Q242" s="399">
        <f>база!$L$6</f>
        <v>261.04640000000001</v>
      </c>
      <c r="R242" s="390">
        <v>1.2</v>
      </c>
      <c r="S242" s="400">
        <f>SUMIFS(Таблица14[часы],Таблица14[коэф],"1,2",Таблица14[р/р],"5/16",Таблица14[Ф. И. О.],B242)</f>
        <v>0</v>
      </c>
      <c r="T242" s="544">
        <f t="shared" si="114"/>
        <v>0</v>
      </c>
      <c r="U242" s="472">
        <f>база!$M$6</f>
        <v>279.0496</v>
      </c>
      <c r="V242" s="390">
        <v>1.2</v>
      </c>
      <c r="W242" s="412">
        <f>SUMIFS(Таблица14[часы],Таблица14[коэф],"1,2",Таблица14[р/р],"5/24",Таблица14[Ф. И. О.],B242)</f>
        <v>0</v>
      </c>
      <c r="X242" s="545">
        <f t="shared" si="115"/>
        <v>0</v>
      </c>
      <c r="Y242" s="795"/>
      <c r="Z242" s="797"/>
      <c r="AA242" s="786"/>
      <c r="AC242" s="754" t="str">
        <f>IF(SUMIFS(Таблица14[Столбец2],Таблица14[Ф. И. О.],B242)-Z237=0,"",SUMIFS(Таблица14[Столбец2],Таблица14[Ф. И. О.],B242)-Z237)</f>
        <v/>
      </c>
    </row>
    <row r="243" spans="1:29">
      <c r="A243" s="786"/>
      <c r="B243" s="216"/>
      <c r="C243" s="789"/>
      <c r="D243" s="792"/>
      <c r="E243" s="393"/>
      <c r="F243" s="390"/>
      <c r="G243" s="400"/>
      <c r="H243" s="544">
        <f t="shared" si="112"/>
        <v>0</v>
      </c>
      <c r="I243" s="389"/>
      <c r="J243" s="390"/>
      <c r="K243" s="434"/>
      <c r="L243" s="395">
        <f t="shared" si="113"/>
        <v>0</v>
      </c>
      <c r="M243" s="432"/>
      <c r="N243" s="434"/>
      <c r="O243" s="434"/>
      <c r="P243" s="434"/>
      <c r="Q243" s="399">
        <f>IF(D237&lt;=3,база!$L$4,
IF(D237=4,база!$L$5,
IF(D237=5,база!$L$6)))</f>
        <v>210.57480000000001</v>
      </c>
      <c r="R243" s="390">
        <v>1.3</v>
      </c>
      <c r="S243" s="400">
        <f>SUMIFS(Таблица14[часы],Таблица14[коэф],"1,3",Таблица14[р/р],"3/16",Таблица14[Ф. И. О.],B242)</f>
        <v>0</v>
      </c>
      <c r="T243" s="544">
        <f t="shared" si="114"/>
        <v>0</v>
      </c>
      <c r="U243" s="472">
        <f>IF(D237&lt;=3,база!$M$4,
IF(D237=4,база!$M$5,
IF(D237=5,база!$M$6)))</f>
        <v>225.09719999999999</v>
      </c>
      <c r="V243" s="390">
        <v>1.3</v>
      </c>
      <c r="W243" s="412">
        <f>SUMIFS(Таблица14[часы],Таблица14[коэф],"1,3",Таблица14[р/р],"3/24",Таблица14[Ф. И. О.],B242)</f>
        <v>0</v>
      </c>
      <c r="X243" s="545">
        <f t="shared" si="115"/>
        <v>0</v>
      </c>
      <c r="Y243" s="795"/>
      <c r="Z243" s="797"/>
      <c r="AA243" s="786"/>
      <c r="AC243" s="754" t="str">
        <f>IF(SUMIFS(Таблица14[часы],Таблица14[Ф. И. О.],B242)-Y237=0,"",SUMIFS(Таблица14[часы],Таблица14[Ф. И. О.],B242)-Y237)</f>
        <v/>
      </c>
    </row>
    <row r="244" spans="1:29">
      <c r="A244" s="786"/>
      <c r="B244" s="216"/>
      <c r="C244" s="789"/>
      <c r="D244" s="792"/>
      <c r="E244" s="393"/>
      <c r="F244" s="390"/>
      <c r="G244" s="400"/>
      <c r="H244" s="544">
        <f t="shared" si="112"/>
        <v>0</v>
      </c>
      <c r="I244" s="389"/>
      <c r="J244" s="390"/>
      <c r="K244" s="434"/>
      <c r="L244" s="395">
        <f t="shared" si="113"/>
        <v>0</v>
      </c>
      <c r="M244" s="432"/>
      <c r="N244" s="434"/>
      <c r="O244" s="434"/>
      <c r="P244" s="434"/>
      <c r="Q244" s="399">
        <f>база!$L$5</f>
        <v>231.45480000000001</v>
      </c>
      <c r="R244" s="390">
        <v>1.3</v>
      </c>
      <c r="S244" s="400">
        <f>SUMIFS(Таблица14[часы],Таблица14[коэф],"1,3",Таблица14[р/р],"4/16",Таблица14[Ф. И. О.],B242)</f>
        <v>0</v>
      </c>
      <c r="T244" s="544">
        <f t="shared" si="114"/>
        <v>0</v>
      </c>
      <c r="U244" s="472">
        <f>база!$M$5</f>
        <v>247.41720000000001</v>
      </c>
      <c r="V244" s="390">
        <v>1.3</v>
      </c>
      <c r="W244" s="412">
        <f>SUMIFS(Таблица14[часы],Таблица14[коэф],"1,3",Таблица14[р/р],"4/24",Таблица14[Ф. И. О.],B242)</f>
        <v>0</v>
      </c>
      <c r="X244" s="545">
        <f t="shared" si="115"/>
        <v>0</v>
      </c>
      <c r="Y244" s="795"/>
      <c r="Z244" s="797"/>
      <c r="AA244" s="786"/>
    </row>
    <row r="245" spans="1:29">
      <c r="A245" s="786"/>
      <c r="B245" s="216"/>
      <c r="C245" s="789"/>
      <c r="D245" s="792"/>
      <c r="E245" s="393"/>
      <c r="F245" s="390"/>
      <c r="G245" s="400"/>
      <c r="H245" s="544">
        <f t="shared" si="112"/>
        <v>0</v>
      </c>
      <c r="I245" s="389"/>
      <c r="J245" s="390"/>
      <c r="K245" s="434"/>
      <c r="L245" s="395">
        <f t="shared" si="113"/>
        <v>0</v>
      </c>
      <c r="M245" s="432"/>
      <c r="N245" s="434"/>
      <c r="O245" s="434"/>
      <c r="P245" s="434"/>
      <c r="Q245" s="399">
        <f>IF(D237&lt;=3,база!$L$4,
IF(D237=4,база!$L$5,
IF(D237=5,база!$L$6)))</f>
        <v>210.57480000000001</v>
      </c>
      <c r="R245" s="390">
        <v>1.4</v>
      </c>
      <c r="S245" s="400">
        <f>SUMIFS(Таблица14[часы],Таблица14[коэф],"1,4",Таблица14[р/р],"3/16",Таблица14[Ф. И. О.],B242)</f>
        <v>0</v>
      </c>
      <c r="T245" s="544">
        <f t="shared" si="114"/>
        <v>0</v>
      </c>
      <c r="U245" s="472">
        <f>IF(D237&lt;=3,база!$M$4,
IF(D237=4,база!$M$5,
IF(D237=5,база!$M$6)))</f>
        <v>225.09719999999999</v>
      </c>
      <c r="V245" s="390">
        <v>1.4</v>
      </c>
      <c r="W245" s="412">
        <f>SUMIFS(Таблица14[часы],Таблица14[коэф],"1,4",Таблица14[р/р],"3/24",Таблица14[Ф. И. О.],B242)</f>
        <v>0</v>
      </c>
      <c r="X245" s="545">
        <f t="shared" si="115"/>
        <v>0</v>
      </c>
      <c r="Y245" s="795"/>
      <c r="Z245" s="797"/>
      <c r="AA245" s="786"/>
    </row>
    <row r="246" spans="1:29">
      <c r="A246" s="786"/>
      <c r="B246" s="216"/>
      <c r="C246" s="789"/>
      <c r="D246" s="792"/>
      <c r="E246" s="393"/>
      <c r="F246" s="390"/>
      <c r="G246" s="400"/>
      <c r="H246" s="544">
        <f t="shared" si="112"/>
        <v>0</v>
      </c>
      <c r="I246" s="389"/>
      <c r="J246" s="390"/>
      <c r="K246" s="434"/>
      <c r="L246" s="395">
        <f t="shared" si="113"/>
        <v>0</v>
      </c>
      <c r="M246" s="432"/>
      <c r="N246" s="434"/>
      <c r="O246" s="434"/>
      <c r="P246" s="434"/>
      <c r="Q246" s="399">
        <f>база!$L$5</f>
        <v>231.45480000000001</v>
      </c>
      <c r="R246" s="390">
        <v>1.4</v>
      </c>
      <c r="S246" s="400">
        <f>SUMIFS(Таблица14[часы],Таблица14[коэф],"1,4",Таблица14[р/р],"4/16",Таблица14[Ф. И. О.],B242)</f>
        <v>0</v>
      </c>
      <c r="T246" s="544">
        <f t="shared" si="114"/>
        <v>0</v>
      </c>
      <c r="U246" s="472">
        <f>база!$M$5</f>
        <v>247.41720000000001</v>
      </c>
      <c r="V246" s="390">
        <v>1.4</v>
      </c>
      <c r="W246" s="412">
        <f>SUMIFS(Таблица14[часы],Таблица14[коэф],"1,4",Таблица14[р/р],"4/24",Таблица14[Ф. И. О.],B242)</f>
        <v>0</v>
      </c>
      <c r="X246" s="545">
        <f t="shared" si="115"/>
        <v>0</v>
      </c>
      <c r="Y246" s="795"/>
      <c r="Z246" s="797"/>
      <c r="AA246" s="786"/>
    </row>
    <row r="247" spans="1:29" ht="21" thickBot="1">
      <c r="A247" s="787"/>
      <c r="B247" s="203"/>
      <c r="C247" s="790"/>
      <c r="D247" s="793"/>
      <c r="E247" s="463"/>
      <c r="F247" s="464"/>
      <c r="G247" s="465"/>
      <c r="H247" s="549">
        <f t="shared" si="112"/>
        <v>0</v>
      </c>
      <c r="I247" s="473"/>
      <c r="J247" s="464"/>
      <c r="K247" s="457"/>
      <c r="L247" s="458">
        <f t="shared" si="113"/>
        <v>0</v>
      </c>
      <c r="M247" s="466"/>
      <c r="N247" s="457"/>
      <c r="O247" s="457"/>
      <c r="P247" s="457"/>
      <c r="Q247" s="467">
        <f>база!$L$6</f>
        <v>261.04640000000001</v>
      </c>
      <c r="R247" s="464">
        <v>1.4</v>
      </c>
      <c r="S247" s="465">
        <f>SUMIFS(Таблица14[часы],Таблица14[коэф],"1,4",Таблица14[р/р],"5/16",Таблица14[Ф. И. О.],B242)</f>
        <v>0</v>
      </c>
      <c r="T247" s="549">
        <f t="shared" si="114"/>
        <v>0</v>
      </c>
      <c r="U247" s="474">
        <f>база!$M$6</f>
        <v>279.0496</v>
      </c>
      <c r="V247" s="464">
        <v>1.4</v>
      </c>
      <c r="W247" s="470">
        <f>SUMIFS(Таблица14[часы],Таблица14[коэф],"1,4",Таблица14[р/р],"5/24",Таблица14[Ф. И. О.],B242)</f>
        <v>0</v>
      </c>
      <c r="X247" s="547">
        <f t="shared" si="115"/>
        <v>0</v>
      </c>
      <c r="Y247" s="796"/>
      <c r="Z247" s="798"/>
      <c r="AA247" s="787"/>
    </row>
    <row r="248" spans="1:29">
      <c r="A248" s="785">
        <v>23</v>
      </c>
      <c r="B248" s="236"/>
      <c r="C248" s="788">
        <f>INDEX(база!$E$2:$E$81, MATCH(B253,база!$B$2:$B$50,0))</f>
        <v>15340</v>
      </c>
      <c r="D248" s="791">
        <f>INDEX(база!$D$2:$D$89, MATCH(B253,база!$B$2:$B$50,0))</f>
        <v>3</v>
      </c>
      <c r="E248" s="381">
        <f>IF(D248&lt;=3,база!$I$4,
IF(D248=4,база!$I$5,
IF(D248=5,база!$I$6)))</f>
        <v>188.7912</v>
      </c>
      <c r="F248" s="378">
        <v>1</v>
      </c>
      <c r="G248" s="387">
        <f>SUMIFS(Таблица14[часы],Таблица14[коэф],"1",Таблица14[р/р],"2/4",Таблица14[Ф. И. О.],B253)</f>
        <v>0</v>
      </c>
      <c r="H248" s="380">
        <f>ROUND(E248*F248*G248*2,2)</f>
        <v>0</v>
      </c>
      <c r="I248" s="377">
        <f>IF(D248&lt;=3,база!$J$4,
IF(D248=4,база!$J$5,
IF(D248=5,база!$J$6)))</f>
        <v>196.05240000000001</v>
      </c>
      <c r="J248" s="378">
        <v>1</v>
      </c>
      <c r="K248" s="428">
        <f>SUMIFS(Таблица14[часы],Таблица14[коэф],"1",Таблица14[р/р],"2/8",Таблица14[Ф. И. О.],B253)</f>
        <v>0</v>
      </c>
      <c r="L248" s="383">
        <f>ROUND(I248*J248*K248*2,2)</f>
        <v>0</v>
      </c>
      <c r="M248" s="426"/>
      <c r="N248" s="428">
        <v>1</v>
      </c>
      <c r="O248" s="428">
        <f>SUMIFS(Data_Tech!$AM$3:$AM$67,Data_Tech!$E$3:$E$67,"1",Data_Tech!$G$3:$G$67,"3/12",Data_Tech!$F$3:$F$67,B253)</f>
        <v>0</v>
      </c>
      <c r="P248" s="428">
        <f>ROUND(M248*N248*O248,2)</f>
        <v>0</v>
      </c>
      <c r="Q248" s="386">
        <f>IF(D248&lt;=3,база!$L$4,
IF(D248=4,база!$L$5,
IF(D248=5,база!$L$6)))</f>
        <v>210.57480000000001</v>
      </c>
      <c r="R248" s="378">
        <v>1</v>
      </c>
      <c r="S248" s="387">
        <f>SUMIFS(Таблица14[часы],Таблица14[коэф],"1",Таблица14[р/р],"3/16",Таблица14[Ф. И. О.],B253)</f>
        <v>0</v>
      </c>
      <c r="T248" s="548">
        <f>ROUND(Q248*R248*S248*2,2)</f>
        <v>0</v>
      </c>
      <c r="U248" s="471">
        <f>IF(D248&lt;=3,база!$M$4,
IF(D248=4,база!$M$5,
IF(D248=5,база!$M$6)))</f>
        <v>225.09719999999999</v>
      </c>
      <c r="V248" s="378">
        <v>1</v>
      </c>
      <c r="W248" s="430">
        <f>SUMIFS(Таблица14[часы],Таблица14[коэф],"1",Таблица14[р/р],"3/24",Таблица14[Ф. И. О.],B253)</f>
        <v>0</v>
      </c>
      <c r="X248" s="543">
        <f>ROUND(U248*V248*W248*2,2)</f>
        <v>0</v>
      </c>
      <c r="Y248" s="795">
        <f t="shared" ref="Y248" si="116">SUM(G248:G258,K248:K258,O248:O258,S248:S258,W248:W258)</f>
        <v>0</v>
      </c>
      <c r="Z248" s="797">
        <f t="shared" ref="Z248" si="117">IFERROR(SUM(H248:H258,L248:L258,T248:T258,X248:X258),"")</f>
        <v>0</v>
      </c>
      <c r="AA248" s="786"/>
    </row>
    <row r="249" spans="1:29">
      <c r="A249" s="786"/>
      <c r="B249" s="216"/>
      <c r="C249" s="789"/>
      <c r="D249" s="792"/>
      <c r="E249" s="393">
        <f>IF(D248&lt;=3,база!$I$4,
IF(D248=4,база!$I$5,
IF(D248=5,база!$I$6)))</f>
        <v>188.7912</v>
      </c>
      <c r="F249" s="390">
        <v>1</v>
      </c>
      <c r="G249" s="400">
        <f>SUMIFS(Таблица14[часы],Таблица14[коэф],"1",Таблица14[р/р],"3/4",Таблица14[Ф. И. О.],B253)</f>
        <v>0</v>
      </c>
      <c r="H249" s="542">
        <f t="shared" ref="H249:H258" si="118">ROUND(E249*F249*G249*2,2)</f>
        <v>0</v>
      </c>
      <c r="I249" s="389">
        <f>IF(D248&lt;=3,база!$J$4,
IF(D248=4,база!$J$5,
IF(D248=5,база!$J$6)))</f>
        <v>196.05240000000001</v>
      </c>
      <c r="J249" s="390">
        <v>1</v>
      </c>
      <c r="K249" s="434">
        <f>SUMIFS(Таблица14[часы],Таблица14[коэф],"1",Таблица14[р/р],"3/8",Таблица14[Ф. И. О.],B253)</f>
        <v>0</v>
      </c>
      <c r="L249" s="395">
        <f t="shared" ref="L249:L258" si="119">ROUND(I249*J249*K249*2,2)</f>
        <v>0</v>
      </c>
      <c r="M249" s="432"/>
      <c r="N249" s="434">
        <v>1</v>
      </c>
      <c r="O249" s="434">
        <f>SUMIFS(Data_Tech!$AM$3:$AM$67,Data_Tech!$E$3:$E$67,"1",Data_Tech!$G$3:$G$67,"4/12",Data_Tech!$F$3:$F$67,B253)</f>
        <v>0</v>
      </c>
      <c r="P249" s="434">
        <f>ROUND(M249*O249,2)</f>
        <v>0</v>
      </c>
      <c r="Q249" s="399">
        <f>база!$L$5</f>
        <v>231.45480000000001</v>
      </c>
      <c r="R249" s="390">
        <v>1</v>
      </c>
      <c r="S249" s="400">
        <f>SUMIFS(Таблица14[часы],Таблица14[коэф],"1",Таблица14[р/р],"4/16",Таблица14[Ф. И. О.],B253)</f>
        <v>0</v>
      </c>
      <c r="T249" s="544">
        <f t="shared" ref="T249:T258" si="120">ROUND(Q249*R249*S249*2,2)</f>
        <v>0</v>
      </c>
      <c r="U249" s="472">
        <f>база!$M$5</f>
        <v>247.41720000000001</v>
      </c>
      <c r="V249" s="390">
        <v>1</v>
      </c>
      <c r="W249" s="412">
        <f>SUMIFS(Таблица14[часы],Таблица14[коэф],"1",Таблица14[р/р],"4/24",Таблица14[Ф. И. О.],B253)</f>
        <v>0</v>
      </c>
      <c r="X249" s="545">
        <f t="shared" ref="X249:X258" si="121">ROUND(U249*V249*W249*2,2)</f>
        <v>0</v>
      </c>
      <c r="Y249" s="795"/>
      <c r="Z249" s="797"/>
      <c r="AA249" s="786"/>
    </row>
    <row r="250" spans="1:29">
      <c r="A250" s="786"/>
      <c r="B250" s="216"/>
      <c r="C250" s="789"/>
      <c r="D250" s="792"/>
      <c r="E250" s="393"/>
      <c r="F250" s="390"/>
      <c r="G250" s="400"/>
      <c r="H250" s="544">
        <f t="shared" si="118"/>
        <v>0</v>
      </c>
      <c r="I250" s="389"/>
      <c r="J250" s="390"/>
      <c r="K250" s="434"/>
      <c r="L250" s="395">
        <f t="shared" si="119"/>
        <v>0</v>
      </c>
      <c r="M250" s="432"/>
      <c r="N250" s="434"/>
      <c r="O250" s="434"/>
      <c r="P250" s="434"/>
      <c r="Q250" s="399">
        <f>база!$L$6</f>
        <v>261.04640000000001</v>
      </c>
      <c r="R250" s="390">
        <v>1</v>
      </c>
      <c r="S250" s="400">
        <f>SUMIFS(Таблица14[часы],Таблица14[коэф],"1",Таблица14[р/р],"5/16",Таблица14[Ф. И. О.],B253)</f>
        <v>0</v>
      </c>
      <c r="T250" s="544">
        <f t="shared" si="120"/>
        <v>0</v>
      </c>
      <c r="U250" s="472">
        <f>база!$M$6</f>
        <v>279.0496</v>
      </c>
      <c r="V250" s="390">
        <v>1</v>
      </c>
      <c r="W250" s="412">
        <f>SUMIFS(Таблица14[часы],Таблица14[коэф],"1",Таблица14[р/р],"5/24",Таблица14[Ф. И. О.],B253)</f>
        <v>0</v>
      </c>
      <c r="X250" s="545">
        <f t="shared" si="121"/>
        <v>0</v>
      </c>
      <c r="Y250" s="795"/>
      <c r="Z250" s="797"/>
      <c r="AA250" s="786"/>
    </row>
    <row r="251" spans="1:29">
      <c r="A251" s="786"/>
      <c r="B251" s="216"/>
      <c r="C251" s="789"/>
      <c r="D251" s="792"/>
      <c r="E251" s="393"/>
      <c r="F251" s="390"/>
      <c r="G251" s="400"/>
      <c r="H251" s="544">
        <f t="shared" si="118"/>
        <v>0</v>
      </c>
      <c r="I251" s="389">
        <f>база!$J$5</f>
        <v>215.4924</v>
      </c>
      <c r="J251" s="390">
        <v>1.5</v>
      </c>
      <c r="K251" s="434">
        <f>SUMIFS(Таблица14[часы],Таблица14[коэф],"1,5",Таблица14[р/р],"4/8",Таблица14[Ф. И. О.],B253)</f>
        <v>0</v>
      </c>
      <c r="L251" s="395">
        <f t="shared" si="119"/>
        <v>0</v>
      </c>
      <c r="M251" s="432"/>
      <c r="N251" s="434"/>
      <c r="O251" s="434"/>
      <c r="P251" s="434"/>
      <c r="Q251" s="399">
        <f>IF(D248&lt;=3,база!$L$4,
IF(D248=4,база!$L$5,
IF(D248=5,база!$L$6)))</f>
        <v>210.57480000000001</v>
      </c>
      <c r="R251" s="390">
        <v>1.2</v>
      </c>
      <c r="S251" s="400">
        <f>SUMIFS(Таблица14[часы],Таблица14[коэф],"1,2",Таблица14[р/р],"3/16",Таблица14[Ф. И. О.],B253)</f>
        <v>0</v>
      </c>
      <c r="T251" s="544">
        <f t="shared" si="120"/>
        <v>0</v>
      </c>
      <c r="U251" s="472">
        <f>IF(D248&lt;=3,база!$M$4,
IF(D248=4,база!$M$5,
IF(D248=5,база!$M$6)))</f>
        <v>225.09719999999999</v>
      </c>
      <c r="V251" s="390">
        <v>1.2</v>
      </c>
      <c r="W251" s="412">
        <f>SUMIFS(Таблица14[часы],Таблица14[коэф],"1,2",Таблица14[р/р],"3/24",Таблица14[Ф. И. О.],B253)</f>
        <v>0</v>
      </c>
      <c r="X251" s="545">
        <f t="shared" si="121"/>
        <v>0</v>
      </c>
      <c r="Y251" s="795"/>
      <c r="Z251" s="797"/>
      <c r="AA251" s="786"/>
    </row>
    <row r="252" spans="1:29">
      <c r="A252" s="786"/>
      <c r="B252" s="216"/>
      <c r="C252" s="789"/>
      <c r="D252" s="792"/>
      <c r="E252" s="393"/>
      <c r="F252" s="390"/>
      <c r="G252" s="400"/>
      <c r="H252" s="544">
        <f t="shared" si="118"/>
        <v>0</v>
      </c>
      <c r="I252" s="389">
        <f>база!$J$6</f>
        <v>243.04319999999998</v>
      </c>
      <c r="J252" s="390">
        <v>1.5</v>
      </c>
      <c r="K252" s="434">
        <f>SUMIFS(Таблица14[часы],Таблица14[коэф],"1,5",Таблица14[р/р],"5/8",Таблица14[Ф. И. О.],B253)</f>
        <v>0</v>
      </c>
      <c r="L252" s="395">
        <f t="shared" si="119"/>
        <v>0</v>
      </c>
      <c r="M252" s="432"/>
      <c r="N252" s="434"/>
      <c r="O252" s="434"/>
      <c r="P252" s="434"/>
      <c r="Q252" s="399">
        <f>база!$L$5</f>
        <v>231.45480000000001</v>
      </c>
      <c r="R252" s="390">
        <v>1.2</v>
      </c>
      <c r="S252" s="400">
        <f>SUMIFS(Таблица14[часы],Таблица14[коэф],"1,2",Таблица14[р/р],"4/16",Таблица14[Ф. И. О.],B253)</f>
        <v>0</v>
      </c>
      <c r="T252" s="544">
        <f t="shared" si="120"/>
        <v>0</v>
      </c>
      <c r="U252" s="472">
        <f>база!$M$5</f>
        <v>247.41720000000001</v>
      </c>
      <c r="V252" s="390">
        <v>1.2</v>
      </c>
      <c r="W252" s="412">
        <f>SUMIFS(Таблица14[часы],Таблица14[коэф],"1,2",Таблица14[р/р],"4/24",Таблица14[Ф. И. О.],B253)</f>
        <v>0</v>
      </c>
      <c r="X252" s="545">
        <f t="shared" si="121"/>
        <v>0</v>
      </c>
      <c r="Y252" s="795"/>
      <c r="Z252" s="797"/>
      <c r="AA252" s="786"/>
      <c r="AC252" s="754" t="str">
        <f>IF(SUMIFS(Таблица14[Столбец2],Таблица14[Ф. И. О.],B253)-Z248=0,"",SUMIFS(Таблица14[Столбец2],Таблица14[Ф. И. О.],B253)-Z248)</f>
        <v/>
      </c>
    </row>
    <row r="253" spans="1:29">
      <c r="A253" s="786"/>
      <c r="B253" s="216" t="str">
        <f>база!B24</f>
        <v>Ерошина Ирина Павловна</v>
      </c>
      <c r="C253" s="789"/>
      <c r="D253" s="792"/>
      <c r="E253" s="393"/>
      <c r="F253" s="390"/>
      <c r="G253" s="400"/>
      <c r="H253" s="544">
        <f t="shared" si="118"/>
        <v>0</v>
      </c>
      <c r="I253" s="389"/>
      <c r="J253" s="390"/>
      <c r="K253" s="434"/>
      <c r="L253" s="395">
        <f t="shared" si="119"/>
        <v>0</v>
      </c>
      <c r="M253" s="432"/>
      <c r="N253" s="434"/>
      <c r="O253" s="434"/>
      <c r="P253" s="434"/>
      <c r="Q253" s="399">
        <f>база!$L$6</f>
        <v>261.04640000000001</v>
      </c>
      <c r="R253" s="390">
        <v>1.2</v>
      </c>
      <c r="S253" s="400">
        <f>SUMIFS(Таблица14[часы],Таблица14[коэф],"1,2",Таблица14[р/р],"5/16",Таблица14[Ф. И. О.],B253)</f>
        <v>0</v>
      </c>
      <c r="T253" s="544">
        <f t="shared" si="120"/>
        <v>0</v>
      </c>
      <c r="U253" s="472">
        <f>база!$M$6</f>
        <v>279.0496</v>
      </c>
      <c r="V253" s="390">
        <v>1.2</v>
      </c>
      <c r="W253" s="412">
        <f>SUMIFS(Таблица14[часы],Таблица14[коэф],"1,2",Таблица14[р/р],"5/24",Таблица14[Ф. И. О.],B253)</f>
        <v>0</v>
      </c>
      <c r="X253" s="545">
        <f t="shared" si="121"/>
        <v>0</v>
      </c>
      <c r="Y253" s="795"/>
      <c r="Z253" s="797"/>
      <c r="AA253" s="786"/>
      <c r="AC253" s="754" t="str">
        <f>IF(SUMIFS(Таблица14[часы],Таблица14[Ф. И. О.],B253)-Y248=0,"",SUMIFS(Таблица14[часы],Таблица14[Ф. И. О.],B253)-Y248)</f>
        <v/>
      </c>
    </row>
    <row r="254" spans="1:29">
      <c r="A254" s="786"/>
      <c r="B254" s="216"/>
      <c r="C254" s="789"/>
      <c r="D254" s="792"/>
      <c r="E254" s="393"/>
      <c r="F254" s="390"/>
      <c r="G254" s="400"/>
      <c r="H254" s="544">
        <f t="shared" si="118"/>
        <v>0</v>
      </c>
      <c r="I254" s="389"/>
      <c r="J254" s="390"/>
      <c r="K254" s="434"/>
      <c r="L254" s="395">
        <f t="shared" si="119"/>
        <v>0</v>
      </c>
      <c r="M254" s="432"/>
      <c r="N254" s="434"/>
      <c r="O254" s="434"/>
      <c r="P254" s="434"/>
      <c r="Q254" s="399">
        <f>IF(D248&lt;=3,база!$L$4,
IF(D248=4,база!$L$5,
IF(D248=5,база!$L$6)))</f>
        <v>210.57480000000001</v>
      </c>
      <c r="R254" s="390">
        <v>1.3</v>
      </c>
      <c r="S254" s="400">
        <f>SUMIFS(Таблица14[часы],Таблица14[коэф],"1,3",Таблица14[р/р],"3/16",Таблица14[Ф. И. О.],B253)</f>
        <v>0</v>
      </c>
      <c r="T254" s="544">
        <f t="shared" si="120"/>
        <v>0</v>
      </c>
      <c r="U254" s="472">
        <f>IF(D248&lt;=3,база!$M$4,
IF(D248=4,база!$M$5,
IF(D248=5,база!$M$6)))</f>
        <v>225.09719999999999</v>
      </c>
      <c r="V254" s="390">
        <v>1.3</v>
      </c>
      <c r="W254" s="412">
        <f>SUMIFS(Таблица14[часы],Таблица14[коэф],"1,3",Таблица14[р/р],"3/24",Таблица14[Ф. И. О.],B253)</f>
        <v>0</v>
      </c>
      <c r="X254" s="545">
        <f t="shared" si="121"/>
        <v>0</v>
      </c>
      <c r="Y254" s="795"/>
      <c r="Z254" s="797"/>
      <c r="AA254" s="786"/>
    </row>
    <row r="255" spans="1:29">
      <c r="A255" s="786"/>
      <c r="B255" s="216"/>
      <c r="C255" s="789"/>
      <c r="D255" s="792"/>
      <c r="E255" s="393"/>
      <c r="F255" s="390"/>
      <c r="G255" s="400"/>
      <c r="H255" s="544">
        <f t="shared" si="118"/>
        <v>0</v>
      </c>
      <c r="I255" s="389"/>
      <c r="J255" s="390"/>
      <c r="K255" s="434"/>
      <c r="L255" s="395">
        <f t="shared" si="119"/>
        <v>0</v>
      </c>
      <c r="M255" s="432"/>
      <c r="N255" s="434"/>
      <c r="O255" s="434"/>
      <c r="P255" s="434"/>
      <c r="Q255" s="399">
        <f>база!$L$5</f>
        <v>231.45480000000001</v>
      </c>
      <c r="R255" s="390">
        <v>1.3</v>
      </c>
      <c r="S255" s="400">
        <f>SUMIFS(Таблица14[часы],Таблица14[коэф],"1,3",Таблица14[р/р],"4/16",Таблица14[Ф. И. О.],B253)</f>
        <v>0</v>
      </c>
      <c r="T255" s="544">
        <f t="shared" si="120"/>
        <v>0</v>
      </c>
      <c r="U255" s="472">
        <f>база!$M$5</f>
        <v>247.41720000000001</v>
      </c>
      <c r="V255" s="390">
        <v>1.3</v>
      </c>
      <c r="W255" s="412">
        <f>SUMIFS(Таблица14[часы],Таблица14[коэф],"1,3",Таблица14[р/р],"4/24",Таблица14[Ф. И. О.],B253)</f>
        <v>0</v>
      </c>
      <c r="X255" s="545">
        <f t="shared" si="121"/>
        <v>0</v>
      </c>
      <c r="Y255" s="795"/>
      <c r="Z255" s="797"/>
      <c r="AA255" s="786"/>
    </row>
    <row r="256" spans="1:29">
      <c r="A256" s="786"/>
      <c r="B256" s="216"/>
      <c r="C256" s="789"/>
      <c r="D256" s="792"/>
      <c r="E256" s="393"/>
      <c r="F256" s="390"/>
      <c r="G256" s="400"/>
      <c r="H256" s="544">
        <f t="shared" si="118"/>
        <v>0</v>
      </c>
      <c r="I256" s="389"/>
      <c r="J256" s="390"/>
      <c r="K256" s="434"/>
      <c r="L256" s="395">
        <f t="shared" si="119"/>
        <v>0</v>
      </c>
      <c r="M256" s="432"/>
      <c r="N256" s="434"/>
      <c r="O256" s="434"/>
      <c r="P256" s="434"/>
      <c r="Q256" s="399">
        <f>IF(D248&lt;=3,база!$L$4,
IF(D248=4,база!$L$5,
IF(D248=5,база!$L$6)))</f>
        <v>210.57480000000001</v>
      </c>
      <c r="R256" s="390">
        <v>1.4</v>
      </c>
      <c r="S256" s="400">
        <f>SUMIFS(Таблица14[часы],Таблица14[коэф],"1,4",Таблица14[р/р],"3/16",Таблица14[Ф. И. О.],B253)</f>
        <v>0</v>
      </c>
      <c r="T256" s="544">
        <f t="shared" si="120"/>
        <v>0</v>
      </c>
      <c r="U256" s="472">
        <f>IF(D248&lt;=3,база!$M$4,
IF(D248=4,база!$M$5,
IF(D248=5,база!$M$6)))</f>
        <v>225.09719999999999</v>
      </c>
      <c r="V256" s="390">
        <v>1.4</v>
      </c>
      <c r="W256" s="412">
        <f>SUMIFS(Таблица14[часы],Таблица14[коэф],"1,4",Таблица14[р/р],"3/24",Таблица14[Ф. И. О.],B253)</f>
        <v>0</v>
      </c>
      <c r="X256" s="545">
        <f t="shared" si="121"/>
        <v>0</v>
      </c>
      <c r="Y256" s="795"/>
      <c r="Z256" s="797"/>
      <c r="AA256" s="786"/>
    </row>
    <row r="257" spans="1:29">
      <c r="A257" s="786"/>
      <c r="B257" s="216"/>
      <c r="C257" s="789"/>
      <c r="D257" s="792"/>
      <c r="E257" s="393"/>
      <c r="F257" s="390"/>
      <c r="G257" s="400"/>
      <c r="H257" s="544">
        <f t="shared" si="118"/>
        <v>0</v>
      </c>
      <c r="I257" s="389"/>
      <c r="J257" s="390"/>
      <c r="K257" s="434"/>
      <c r="L257" s="395">
        <f t="shared" si="119"/>
        <v>0</v>
      </c>
      <c r="M257" s="432"/>
      <c r="N257" s="434"/>
      <c r="O257" s="434"/>
      <c r="P257" s="434"/>
      <c r="Q257" s="399">
        <f>база!$L$5</f>
        <v>231.45480000000001</v>
      </c>
      <c r="R257" s="390">
        <v>1.4</v>
      </c>
      <c r="S257" s="400">
        <f>SUMIFS(Таблица14[часы],Таблица14[коэф],"1,4",Таблица14[р/р],"4/16",Таблица14[Ф. И. О.],B253)</f>
        <v>0</v>
      </c>
      <c r="T257" s="544">
        <f t="shared" si="120"/>
        <v>0</v>
      </c>
      <c r="U257" s="472">
        <f>база!$M$5</f>
        <v>247.41720000000001</v>
      </c>
      <c r="V257" s="390">
        <v>1.4</v>
      </c>
      <c r="W257" s="412">
        <f>SUMIFS(Таблица14[часы],Таблица14[коэф],"1,4",Таблица14[р/р],"4/24",Таблица14[Ф. И. О.],B253)</f>
        <v>0</v>
      </c>
      <c r="X257" s="545">
        <f t="shared" si="121"/>
        <v>0</v>
      </c>
      <c r="Y257" s="795"/>
      <c r="Z257" s="797"/>
      <c r="AA257" s="786"/>
    </row>
    <row r="258" spans="1:29" ht="21" thickBot="1">
      <c r="A258" s="787"/>
      <c r="B258" s="203"/>
      <c r="C258" s="790"/>
      <c r="D258" s="793"/>
      <c r="E258" s="463"/>
      <c r="F258" s="464"/>
      <c r="G258" s="465"/>
      <c r="H258" s="549">
        <f t="shared" si="118"/>
        <v>0</v>
      </c>
      <c r="I258" s="473"/>
      <c r="J258" s="464"/>
      <c r="K258" s="457"/>
      <c r="L258" s="458">
        <f t="shared" si="119"/>
        <v>0</v>
      </c>
      <c r="M258" s="466"/>
      <c r="N258" s="457"/>
      <c r="O258" s="457"/>
      <c r="P258" s="457"/>
      <c r="Q258" s="467">
        <f>база!$L$6</f>
        <v>261.04640000000001</v>
      </c>
      <c r="R258" s="464">
        <v>1.4</v>
      </c>
      <c r="S258" s="465">
        <f>SUMIFS(Таблица14[часы],Таблица14[коэф],"1,4",Таблица14[р/р],"5/16",Таблица14[Ф. И. О.],B253)</f>
        <v>0</v>
      </c>
      <c r="T258" s="549">
        <f t="shared" si="120"/>
        <v>0</v>
      </c>
      <c r="U258" s="474">
        <f>база!$M$6</f>
        <v>279.0496</v>
      </c>
      <c r="V258" s="464">
        <v>1.4</v>
      </c>
      <c r="W258" s="470">
        <f>SUMIFS(Таблица14[часы],Таблица14[коэф],"1,4",Таблица14[р/р],"5/24",Таблица14[Ф. И. О.],B253)</f>
        <v>0</v>
      </c>
      <c r="X258" s="547">
        <f t="shared" si="121"/>
        <v>0</v>
      </c>
      <c r="Y258" s="796"/>
      <c r="Z258" s="798"/>
      <c r="AA258" s="787"/>
    </row>
    <row r="259" spans="1:29">
      <c r="A259" s="785">
        <v>24</v>
      </c>
      <c r="B259" s="236"/>
      <c r="C259" s="788">
        <f>INDEX(база!$E$2:$E$81, MATCH(B264,база!$B$2:$B$50,0))</f>
        <v>17309</v>
      </c>
      <c r="D259" s="791">
        <f>INDEX(база!$D$2:$D$89, MATCH(B264,база!$B$2:$B$50,0))</f>
        <v>3</v>
      </c>
      <c r="E259" s="381">
        <f>IF(D259&lt;=3,база!$I$4,
IF(D259=4,база!$I$5,
IF(D259=5,база!$I$6)))</f>
        <v>188.7912</v>
      </c>
      <c r="F259" s="378">
        <v>1</v>
      </c>
      <c r="G259" s="387">
        <f>SUMIFS(Таблица14[часы],Таблица14[коэф],"1",Таблица14[р/р],"2/4",Таблица14[Ф. И. О.],B264)</f>
        <v>0</v>
      </c>
      <c r="H259" s="380">
        <f>ROUND(E259*F259*G259*2,2)</f>
        <v>0</v>
      </c>
      <c r="I259" s="377">
        <f>IF(D259&lt;=3,база!$J$4,
IF(D259=4,база!$J$5,
IF(D259=5,база!$J$6)))</f>
        <v>196.05240000000001</v>
      </c>
      <c r="J259" s="378">
        <v>1</v>
      </c>
      <c r="K259" s="428">
        <f>SUMIFS(Таблица14[часы],Таблица14[коэф],"1",Таблица14[р/р],"2/8",Таблица14[Ф. И. О.],B264)</f>
        <v>0</v>
      </c>
      <c r="L259" s="383">
        <f>ROUND(I259*J259*K259*2,2)</f>
        <v>0</v>
      </c>
      <c r="M259" s="426"/>
      <c r="N259" s="428">
        <v>1</v>
      </c>
      <c r="O259" s="428">
        <f>SUMIFS(Data_Tech!$AM$3:$AM$67,Data_Tech!$E$3:$E$67,"1",Data_Tech!$G$3:$G$67,"3/12",Data_Tech!$F$3:$F$67,B264)</f>
        <v>0</v>
      </c>
      <c r="P259" s="428">
        <f>ROUND(M259*N259*O259,2)</f>
        <v>0</v>
      </c>
      <c r="Q259" s="386">
        <f>IF(D259&lt;=3,база!$L$4,
IF(D259=4,база!$L$5,
IF(D259=5,база!$L$6)))</f>
        <v>210.57480000000001</v>
      </c>
      <c r="R259" s="378">
        <v>1</v>
      </c>
      <c r="S259" s="387">
        <f>SUMIFS(Таблица14[часы],Таблица14[коэф],"1",Таблица14[р/р],"3/16",Таблица14[Ф. И. О.],B264)</f>
        <v>0</v>
      </c>
      <c r="T259" s="548">
        <f>ROUND(Q259*R259*S259*2,2)</f>
        <v>0</v>
      </c>
      <c r="U259" s="471">
        <f>IF(D259&lt;=3,база!$M$4,
IF(D259=4,база!$M$5,
IF(D259=5,база!$M$6)))</f>
        <v>225.09719999999999</v>
      </c>
      <c r="V259" s="378">
        <v>1</v>
      </c>
      <c r="W259" s="430">
        <f>SUMIFS(Таблица14[часы],Таблица14[коэф],"1",Таблица14[р/р],"3/24",Таблица14[Ф. И. О.],B264)</f>
        <v>0</v>
      </c>
      <c r="X259" s="543">
        <f>ROUND(U259*V259*W259*2,2)</f>
        <v>0</v>
      </c>
      <c r="Y259" s="795">
        <f t="shared" ref="Y259" si="122">SUM(G259:G269,K259:K269,O259:O269,S259:S269,W259:W269)</f>
        <v>0</v>
      </c>
      <c r="Z259" s="797">
        <f t="shared" ref="Z259" si="123">IFERROR(SUM(H259:H269,L259:L269,T259:T269,X259:X269),"")</f>
        <v>0</v>
      </c>
      <c r="AA259" s="786"/>
    </row>
    <row r="260" spans="1:29">
      <c r="A260" s="786"/>
      <c r="B260" s="216"/>
      <c r="C260" s="789"/>
      <c r="D260" s="792"/>
      <c r="E260" s="393">
        <f>IF(D259&lt;=3,база!$I$4,
IF(D259=4,база!$I$5,
IF(D259=5,база!$I$6)))</f>
        <v>188.7912</v>
      </c>
      <c r="F260" s="390">
        <v>1</v>
      </c>
      <c r="G260" s="400">
        <f>SUMIFS(Таблица14[часы],Таблица14[коэф],"1",Таблица14[р/р],"3/4",Таблица14[Ф. И. О.],B264)</f>
        <v>0</v>
      </c>
      <c r="H260" s="542">
        <f t="shared" ref="H260:H269" si="124">ROUND(E260*F260*G260*2,2)</f>
        <v>0</v>
      </c>
      <c r="I260" s="389">
        <f>IF(D259&lt;=3,база!$J$4,
IF(D259=4,база!$J$5,
IF(D259=5,база!$J$6)))</f>
        <v>196.05240000000001</v>
      </c>
      <c r="J260" s="390">
        <v>1</v>
      </c>
      <c r="K260" s="434">
        <f>SUMIFS(Таблица14[часы],Таблица14[коэф],"1",Таблица14[р/р],"3/8",Таблица14[Ф. И. О.],B264)</f>
        <v>0</v>
      </c>
      <c r="L260" s="395">
        <f t="shared" ref="L260:L269" si="125">ROUND(I260*J260*K260*2,2)</f>
        <v>0</v>
      </c>
      <c r="M260" s="432"/>
      <c r="N260" s="434">
        <v>1</v>
      </c>
      <c r="O260" s="434">
        <f>SUMIFS(Data_Tech!$AM$3:$AM$67,Data_Tech!$E$3:$E$67,"1",Data_Tech!$G$3:$G$67,"4/12",Data_Tech!$F$3:$F$67,B264)</f>
        <v>0</v>
      </c>
      <c r="P260" s="434">
        <f>ROUND(M260*O260,2)</f>
        <v>0</v>
      </c>
      <c r="Q260" s="399">
        <f>база!$L$5</f>
        <v>231.45480000000001</v>
      </c>
      <c r="R260" s="390">
        <v>1</v>
      </c>
      <c r="S260" s="400">
        <f>SUMIFS(Таблица14[часы],Таблица14[коэф],"1",Таблица14[р/р],"4/16",Таблица14[Ф. И. О.],B264)</f>
        <v>0</v>
      </c>
      <c r="T260" s="544">
        <f t="shared" ref="T260:T269" si="126">ROUND(Q260*R260*S260*2,2)</f>
        <v>0</v>
      </c>
      <c r="U260" s="472">
        <f>база!$M$5</f>
        <v>247.41720000000001</v>
      </c>
      <c r="V260" s="390">
        <v>1</v>
      </c>
      <c r="W260" s="412">
        <f>SUMIFS(Таблица14[часы],Таблица14[коэф],"1",Таблица14[р/р],"4/24",Таблица14[Ф. И. О.],B264)</f>
        <v>0</v>
      </c>
      <c r="X260" s="545">
        <f t="shared" ref="X260:X269" si="127">ROUND(U260*V260*W260*2,2)</f>
        <v>0</v>
      </c>
      <c r="Y260" s="795"/>
      <c r="Z260" s="797"/>
      <c r="AA260" s="786"/>
    </row>
    <row r="261" spans="1:29">
      <c r="A261" s="786"/>
      <c r="B261" s="216"/>
      <c r="C261" s="789"/>
      <c r="D261" s="792"/>
      <c r="E261" s="393"/>
      <c r="F261" s="390"/>
      <c r="G261" s="400"/>
      <c r="H261" s="544">
        <f t="shared" si="124"/>
        <v>0</v>
      </c>
      <c r="I261" s="389"/>
      <c r="J261" s="390"/>
      <c r="K261" s="434"/>
      <c r="L261" s="395">
        <f t="shared" si="125"/>
        <v>0</v>
      </c>
      <c r="M261" s="432"/>
      <c r="N261" s="434"/>
      <c r="O261" s="434"/>
      <c r="P261" s="434"/>
      <c r="Q261" s="399">
        <f>база!$L$6</f>
        <v>261.04640000000001</v>
      </c>
      <c r="R261" s="390">
        <v>1</v>
      </c>
      <c r="S261" s="400">
        <f>SUMIFS(Таблица14[часы],Таблица14[коэф],"1",Таблица14[р/р],"5/16",Таблица14[Ф. И. О.],B264)</f>
        <v>0</v>
      </c>
      <c r="T261" s="544">
        <f t="shared" si="126"/>
        <v>0</v>
      </c>
      <c r="U261" s="472">
        <f>база!$M$6</f>
        <v>279.0496</v>
      </c>
      <c r="V261" s="390">
        <v>1</v>
      </c>
      <c r="W261" s="412">
        <f>SUMIFS(Таблица14[часы],Таблица14[коэф],"1",Таблица14[р/р],"5/24",Таблица14[Ф. И. О.],B264)</f>
        <v>0</v>
      </c>
      <c r="X261" s="545">
        <f t="shared" si="127"/>
        <v>0</v>
      </c>
      <c r="Y261" s="795"/>
      <c r="Z261" s="797"/>
      <c r="AA261" s="786"/>
    </row>
    <row r="262" spans="1:29">
      <c r="A262" s="786"/>
      <c r="B262" s="216"/>
      <c r="C262" s="789"/>
      <c r="D262" s="792"/>
      <c r="E262" s="393"/>
      <c r="F262" s="390"/>
      <c r="G262" s="400"/>
      <c r="H262" s="544">
        <f t="shared" si="124"/>
        <v>0</v>
      </c>
      <c r="I262" s="389">
        <f>база!$J$5</f>
        <v>215.4924</v>
      </c>
      <c r="J262" s="390">
        <v>1.5</v>
      </c>
      <c r="K262" s="434">
        <f>SUMIFS(Таблица14[часы],Таблица14[коэф],"1,5",Таблица14[р/р],"4/8",Таблица14[Ф. И. О.],B264)</f>
        <v>0</v>
      </c>
      <c r="L262" s="395">
        <f t="shared" si="125"/>
        <v>0</v>
      </c>
      <c r="M262" s="432"/>
      <c r="N262" s="434"/>
      <c r="O262" s="434"/>
      <c r="P262" s="434"/>
      <c r="Q262" s="399">
        <f>IF(D259&lt;=3,база!$L$4,
IF(D259=4,база!$L$5,
IF(D259=5,база!$L$6)))</f>
        <v>210.57480000000001</v>
      </c>
      <c r="R262" s="390">
        <v>1.2</v>
      </c>
      <c r="S262" s="400">
        <f>SUMIFS(Таблица14[часы],Таблица14[коэф],"1,2",Таблица14[р/р],"3/16",Таблица14[Ф. И. О.],B264)</f>
        <v>0</v>
      </c>
      <c r="T262" s="544">
        <f t="shared" si="126"/>
        <v>0</v>
      </c>
      <c r="U262" s="472">
        <f>IF(D259&lt;=3,база!$M$4,
IF(D259=4,база!$M$5,
IF(D259=5,база!$M$6)))</f>
        <v>225.09719999999999</v>
      </c>
      <c r="V262" s="390">
        <v>1.2</v>
      </c>
      <c r="W262" s="412">
        <f>SUMIFS(Таблица14[часы],Таблица14[коэф],"1,2",Таблица14[р/р],"3/24",Таблица14[Ф. И. О.],B264)</f>
        <v>0</v>
      </c>
      <c r="X262" s="545">
        <f t="shared" si="127"/>
        <v>0</v>
      </c>
      <c r="Y262" s="795"/>
      <c r="Z262" s="797"/>
      <c r="AA262" s="786"/>
    </row>
    <row r="263" spans="1:29">
      <c r="A263" s="786"/>
      <c r="B263" s="216"/>
      <c r="C263" s="789"/>
      <c r="D263" s="792"/>
      <c r="E263" s="393"/>
      <c r="F263" s="390"/>
      <c r="G263" s="400"/>
      <c r="H263" s="544">
        <f t="shared" si="124"/>
        <v>0</v>
      </c>
      <c r="I263" s="389">
        <f>база!$J$6</f>
        <v>243.04319999999998</v>
      </c>
      <c r="J263" s="390">
        <v>1.5</v>
      </c>
      <c r="K263" s="434">
        <f>SUMIFS(Таблица14[часы],Таблица14[коэф],"1,5",Таблица14[р/р],"5/8",Таблица14[Ф. И. О.],B264)</f>
        <v>0</v>
      </c>
      <c r="L263" s="395">
        <f t="shared" si="125"/>
        <v>0</v>
      </c>
      <c r="M263" s="432"/>
      <c r="N263" s="434"/>
      <c r="O263" s="434"/>
      <c r="P263" s="434"/>
      <c r="Q263" s="399">
        <f>база!$L$5</f>
        <v>231.45480000000001</v>
      </c>
      <c r="R263" s="390">
        <v>1.2</v>
      </c>
      <c r="S263" s="400">
        <f>SUMIFS(Таблица14[часы],Таблица14[коэф],"1,2",Таблица14[р/р],"4/16",Таблица14[Ф. И. О.],B264)</f>
        <v>0</v>
      </c>
      <c r="T263" s="544">
        <f t="shared" si="126"/>
        <v>0</v>
      </c>
      <c r="U263" s="472">
        <f>база!$M$5</f>
        <v>247.41720000000001</v>
      </c>
      <c r="V263" s="390">
        <v>1.2</v>
      </c>
      <c r="W263" s="412">
        <f>SUMIFS(Таблица14[часы],Таблица14[коэф],"1,2",Таблица14[р/р],"4/24",Таблица14[Ф. И. О.],B264)</f>
        <v>0</v>
      </c>
      <c r="X263" s="545">
        <f t="shared" si="127"/>
        <v>0</v>
      </c>
      <c r="Y263" s="795"/>
      <c r="Z263" s="797"/>
      <c r="AA263" s="786"/>
    </row>
    <row r="264" spans="1:29">
      <c r="A264" s="786"/>
      <c r="B264" s="216" t="str">
        <f>база!B25</f>
        <v>Ескина Ксения Анатольевна</v>
      </c>
      <c r="C264" s="789"/>
      <c r="D264" s="792"/>
      <c r="E264" s="393"/>
      <c r="F264" s="390"/>
      <c r="G264" s="400"/>
      <c r="H264" s="544">
        <f t="shared" si="124"/>
        <v>0</v>
      </c>
      <c r="I264" s="389"/>
      <c r="J264" s="390"/>
      <c r="K264" s="434"/>
      <c r="L264" s="395">
        <f t="shared" si="125"/>
        <v>0</v>
      </c>
      <c r="M264" s="432"/>
      <c r="N264" s="434"/>
      <c r="O264" s="434"/>
      <c r="P264" s="434"/>
      <c r="Q264" s="399">
        <f>база!$L$6</f>
        <v>261.04640000000001</v>
      </c>
      <c r="R264" s="390">
        <v>1.2</v>
      </c>
      <c r="S264" s="400">
        <f>SUMIFS(Таблица14[часы],Таблица14[коэф],"1,2",Таблица14[р/р],"5/16",Таблица14[Ф. И. О.],B264)</f>
        <v>0</v>
      </c>
      <c r="T264" s="544">
        <f t="shared" si="126"/>
        <v>0</v>
      </c>
      <c r="U264" s="472">
        <f>база!$M$6</f>
        <v>279.0496</v>
      </c>
      <c r="V264" s="390">
        <v>1.2</v>
      </c>
      <c r="W264" s="412">
        <f>SUMIFS(Таблица14[часы],Таблица14[коэф],"1,2",Таблица14[р/р],"5/24",Таблица14[Ф. И. О.],B264)</f>
        <v>0</v>
      </c>
      <c r="X264" s="545">
        <f t="shared" si="127"/>
        <v>0</v>
      </c>
      <c r="Y264" s="795"/>
      <c r="Z264" s="797"/>
      <c r="AA264" s="786"/>
      <c r="AC264" s="754" t="str">
        <f>IF(SUMIFS(Таблица14[Столбец2],Таблица14[Ф. И. О.],B264)-Z259=0,"",SUMIFS(Таблица14[Столбец2],Таблица14[Ф. И. О.],B264)-Z259)</f>
        <v/>
      </c>
    </row>
    <row r="265" spans="1:29">
      <c r="A265" s="786"/>
      <c r="B265" s="216"/>
      <c r="C265" s="789"/>
      <c r="D265" s="792"/>
      <c r="E265" s="393"/>
      <c r="F265" s="390"/>
      <c r="G265" s="400"/>
      <c r="H265" s="544">
        <f t="shared" si="124"/>
        <v>0</v>
      </c>
      <c r="I265" s="389"/>
      <c r="J265" s="390"/>
      <c r="K265" s="434"/>
      <c r="L265" s="395">
        <f t="shared" si="125"/>
        <v>0</v>
      </c>
      <c r="M265" s="432"/>
      <c r="N265" s="434"/>
      <c r="O265" s="434"/>
      <c r="P265" s="434"/>
      <c r="Q265" s="399">
        <f>IF(D259&lt;=3,база!$L$4,
IF(D259=4,база!$L$5,
IF(D259=5,база!$L$6)))</f>
        <v>210.57480000000001</v>
      </c>
      <c r="R265" s="390">
        <v>1.3</v>
      </c>
      <c r="S265" s="400">
        <f>SUMIFS(Таблица14[часы],Таблица14[коэф],"1,3",Таблица14[р/р],"3/16",Таблица14[Ф. И. О.],B264)</f>
        <v>0</v>
      </c>
      <c r="T265" s="544">
        <f t="shared" si="126"/>
        <v>0</v>
      </c>
      <c r="U265" s="472">
        <f>IF(D259&lt;=3,база!$M$4,
IF(D259=4,база!$M$5,
IF(D259=5,база!$M$6)))</f>
        <v>225.09719999999999</v>
      </c>
      <c r="V265" s="390">
        <v>1.3</v>
      </c>
      <c r="W265" s="412">
        <f>SUMIFS(Таблица14[часы],Таблица14[коэф],"1,3",Таблица14[р/р],"3/24",Таблица14[Ф. И. О.],B264)</f>
        <v>0</v>
      </c>
      <c r="X265" s="545">
        <f t="shared" si="127"/>
        <v>0</v>
      </c>
      <c r="Y265" s="795"/>
      <c r="Z265" s="797"/>
      <c r="AA265" s="786"/>
      <c r="AC265" s="754" t="str">
        <f>IF(SUMIFS(Таблица14[часы],Таблица14[Ф. И. О.],B264)-Y259=0,"",SUMIFS(Таблица14[часы],Таблица14[Ф. И. О.],B264)-Y259)</f>
        <v/>
      </c>
    </row>
    <row r="266" spans="1:29">
      <c r="A266" s="786"/>
      <c r="B266" s="216"/>
      <c r="C266" s="789"/>
      <c r="D266" s="792"/>
      <c r="E266" s="393"/>
      <c r="F266" s="390"/>
      <c r="G266" s="400"/>
      <c r="H266" s="544">
        <f t="shared" si="124"/>
        <v>0</v>
      </c>
      <c r="I266" s="389"/>
      <c r="J266" s="390"/>
      <c r="K266" s="434"/>
      <c r="L266" s="395">
        <f t="shared" si="125"/>
        <v>0</v>
      </c>
      <c r="M266" s="432"/>
      <c r="N266" s="434"/>
      <c r="O266" s="434"/>
      <c r="P266" s="434"/>
      <c r="Q266" s="399">
        <f>база!$L$5</f>
        <v>231.45480000000001</v>
      </c>
      <c r="R266" s="390">
        <v>1.3</v>
      </c>
      <c r="S266" s="400">
        <f>SUMIFS(Таблица14[часы],Таблица14[коэф],"1,3",Таблица14[р/р],"4/16",Таблица14[Ф. И. О.],B264)</f>
        <v>0</v>
      </c>
      <c r="T266" s="544">
        <f t="shared" si="126"/>
        <v>0</v>
      </c>
      <c r="U266" s="472">
        <f>база!$M$5</f>
        <v>247.41720000000001</v>
      </c>
      <c r="V266" s="390">
        <v>1.3</v>
      </c>
      <c r="W266" s="412">
        <f>SUMIFS(Таблица14[часы],Таблица14[коэф],"1,3",Таблица14[р/р],"4/24",Таблица14[Ф. И. О.],B264)</f>
        <v>0</v>
      </c>
      <c r="X266" s="545">
        <f t="shared" si="127"/>
        <v>0</v>
      </c>
      <c r="Y266" s="795"/>
      <c r="Z266" s="797"/>
      <c r="AA266" s="786"/>
    </row>
    <row r="267" spans="1:29">
      <c r="A267" s="786"/>
      <c r="B267" s="216"/>
      <c r="C267" s="789"/>
      <c r="D267" s="792"/>
      <c r="E267" s="393"/>
      <c r="F267" s="390"/>
      <c r="G267" s="400"/>
      <c r="H267" s="544">
        <f t="shared" si="124"/>
        <v>0</v>
      </c>
      <c r="I267" s="389"/>
      <c r="J267" s="390"/>
      <c r="K267" s="434"/>
      <c r="L267" s="395">
        <f t="shared" si="125"/>
        <v>0</v>
      </c>
      <c r="M267" s="432"/>
      <c r="N267" s="434"/>
      <c r="O267" s="434"/>
      <c r="P267" s="434"/>
      <c r="Q267" s="399">
        <f>IF(D259&lt;=3,база!$L$4,
IF(D259=4,база!$L$5,
IF(D259=5,база!$L$6)))</f>
        <v>210.57480000000001</v>
      </c>
      <c r="R267" s="390">
        <v>1.4</v>
      </c>
      <c r="S267" s="400">
        <f>SUMIFS(Таблица14[часы],Таблица14[коэф],"1,4",Таблица14[р/р],"3/16",Таблица14[Ф. И. О.],B264)</f>
        <v>0</v>
      </c>
      <c r="T267" s="544">
        <f t="shared" si="126"/>
        <v>0</v>
      </c>
      <c r="U267" s="472">
        <f>IF(D259&lt;=3,база!$M$4,
IF(D259=4,база!$M$5,
IF(D259=5,база!$M$6)))</f>
        <v>225.09719999999999</v>
      </c>
      <c r="V267" s="390">
        <v>1.4</v>
      </c>
      <c r="W267" s="412">
        <f>SUMIFS(Таблица14[часы],Таблица14[коэф],"1,4",Таблица14[р/р],"3/24",Таблица14[Ф. И. О.],B264)</f>
        <v>0</v>
      </c>
      <c r="X267" s="545">
        <f t="shared" si="127"/>
        <v>0</v>
      </c>
      <c r="Y267" s="795"/>
      <c r="Z267" s="797"/>
      <c r="AA267" s="786"/>
    </row>
    <row r="268" spans="1:29">
      <c r="A268" s="786"/>
      <c r="B268" s="216"/>
      <c r="C268" s="789"/>
      <c r="D268" s="792"/>
      <c r="E268" s="393"/>
      <c r="F268" s="390"/>
      <c r="G268" s="400"/>
      <c r="H268" s="544">
        <f t="shared" si="124"/>
        <v>0</v>
      </c>
      <c r="I268" s="389"/>
      <c r="J268" s="390"/>
      <c r="K268" s="434"/>
      <c r="L268" s="395">
        <f t="shared" si="125"/>
        <v>0</v>
      </c>
      <c r="M268" s="432"/>
      <c r="N268" s="434"/>
      <c r="O268" s="434"/>
      <c r="P268" s="434"/>
      <c r="Q268" s="399">
        <f>база!$L$5</f>
        <v>231.45480000000001</v>
      </c>
      <c r="R268" s="390">
        <v>1.4</v>
      </c>
      <c r="S268" s="400">
        <f>SUMIFS(Таблица14[часы],Таблица14[коэф],"1,4",Таблица14[р/р],"4/16",Таблица14[Ф. И. О.],B264)</f>
        <v>0</v>
      </c>
      <c r="T268" s="544">
        <f t="shared" si="126"/>
        <v>0</v>
      </c>
      <c r="U268" s="472">
        <f>база!$M$5</f>
        <v>247.41720000000001</v>
      </c>
      <c r="V268" s="390">
        <v>1.4</v>
      </c>
      <c r="W268" s="412">
        <f>SUMIFS(Таблица14[часы],Таблица14[коэф],"1,4",Таблица14[р/р],"4/24",Таблица14[Ф. И. О.],B264)</f>
        <v>0</v>
      </c>
      <c r="X268" s="545">
        <f t="shared" si="127"/>
        <v>0</v>
      </c>
      <c r="Y268" s="795"/>
      <c r="Z268" s="797"/>
      <c r="AA268" s="786"/>
    </row>
    <row r="269" spans="1:29" ht="21" thickBot="1">
      <c r="A269" s="787"/>
      <c r="B269" s="203"/>
      <c r="C269" s="790"/>
      <c r="D269" s="793"/>
      <c r="E269" s="463"/>
      <c r="F269" s="464"/>
      <c r="G269" s="465"/>
      <c r="H269" s="549">
        <f t="shared" si="124"/>
        <v>0</v>
      </c>
      <c r="I269" s="473"/>
      <c r="J269" s="464"/>
      <c r="K269" s="457"/>
      <c r="L269" s="458">
        <f t="shared" si="125"/>
        <v>0</v>
      </c>
      <c r="M269" s="466"/>
      <c r="N269" s="457"/>
      <c r="O269" s="457"/>
      <c r="P269" s="457"/>
      <c r="Q269" s="467">
        <f>база!$L$6</f>
        <v>261.04640000000001</v>
      </c>
      <c r="R269" s="464">
        <v>1.4</v>
      </c>
      <c r="S269" s="465">
        <f>SUMIFS(Таблица14[часы],Таблица14[коэф],"1,4",Таблица14[р/р],"5/16",Таблица14[Ф. И. О.],B264)</f>
        <v>0</v>
      </c>
      <c r="T269" s="549">
        <f t="shared" si="126"/>
        <v>0</v>
      </c>
      <c r="U269" s="474">
        <f>база!$M$6</f>
        <v>279.0496</v>
      </c>
      <c r="V269" s="464">
        <v>1.4</v>
      </c>
      <c r="W269" s="470">
        <f>SUMIFS(Таблица14[часы],Таблица14[коэф],"1,4",Таблица14[р/р],"5/24",Таблица14[Ф. И. О.],B264)</f>
        <v>0</v>
      </c>
      <c r="X269" s="547">
        <f t="shared" si="127"/>
        <v>0</v>
      </c>
      <c r="Y269" s="796"/>
      <c r="Z269" s="798"/>
      <c r="AA269" s="787"/>
    </row>
    <row r="270" spans="1:29">
      <c r="A270" s="785">
        <v>25</v>
      </c>
      <c r="B270" s="236"/>
      <c r="C270" s="788">
        <f>INDEX(база!$E$2:$E$81, MATCH(B275,база!$B$2:$B$50,0))</f>
        <v>17346</v>
      </c>
      <c r="D270" s="791">
        <f>INDEX(база!$D$2:$D$89, MATCH(B275,база!$B$2:$B$50,0))</f>
        <v>3</v>
      </c>
      <c r="E270" s="381">
        <f>IF(D270&lt;=3,база!$I$4,
IF(D270=4,база!$I$5,
IF(D270=5,база!$I$6)))</f>
        <v>188.7912</v>
      </c>
      <c r="F270" s="378">
        <v>1</v>
      </c>
      <c r="G270" s="387">
        <f>SUMIFS(Таблица14[часы],Таблица14[коэф],"1",Таблица14[р/р],"2/4",Таблица14[Ф. И. О.],B275)</f>
        <v>0</v>
      </c>
      <c r="H270" s="380">
        <f>ROUND(E270*F270*G270*2,2)</f>
        <v>0</v>
      </c>
      <c r="I270" s="377">
        <f>IF(D270&lt;=3,база!$J$4,
IF(D270=4,база!$J$5,
IF(D270=5,база!$J$6)))</f>
        <v>196.05240000000001</v>
      </c>
      <c r="J270" s="378">
        <v>1</v>
      </c>
      <c r="K270" s="428">
        <f>SUMIFS(Таблица14[часы],Таблица14[коэф],"1",Таблица14[р/р],"2/8",Таблица14[Ф. И. О.],B275)</f>
        <v>0</v>
      </c>
      <c r="L270" s="383">
        <f>ROUND(I270*J270*K270*2,2)</f>
        <v>0</v>
      </c>
      <c r="M270" s="426"/>
      <c r="N270" s="428">
        <v>1</v>
      </c>
      <c r="O270" s="428">
        <f>SUMIFS(Data_Tech!$AM$3:$AM$67,Data_Tech!$E$3:$E$67,"1",Data_Tech!$G$3:$G$67,"3/12",Data_Tech!$F$3:$F$67,B275)</f>
        <v>0</v>
      </c>
      <c r="P270" s="428">
        <f>ROUND(M270*N270*O270,2)</f>
        <v>0</v>
      </c>
      <c r="Q270" s="386">
        <f>IF(D270&lt;=3,база!$L$4,
IF(D270=4,база!$L$5,
IF(D270=5,база!$L$6)))</f>
        <v>210.57480000000001</v>
      </c>
      <c r="R270" s="378">
        <v>1</v>
      </c>
      <c r="S270" s="387">
        <f>SUMIFS(Таблица14[часы],Таблица14[коэф],"1",Таблица14[р/р],"3/16",Таблица14[Ф. И. О.],B275)</f>
        <v>0</v>
      </c>
      <c r="T270" s="548">
        <f>ROUND(Q270*R270*S270*2,2)</f>
        <v>0</v>
      </c>
      <c r="U270" s="471">
        <f>IF(D270&lt;=3,база!$M$4,
IF(D270=4,база!$M$5,
IF(D270=5,база!$M$6)))</f>
        <v>225.09719999999999</v>
      </c>
      <c r="V270" s="378">
        <v>1</v>
      </c>
      <c r="W270" s="430">
        <f>SUMIFS(Таблица14[часы],Таблица14[коэф],"1",Таблица14[р/р],"3/24",Таблица14[Ф. И. О.],B275)</f>
        <v>0</v>
      </c>
      <c r="X270" s="543">
        <f>ROUND(U270*V270*W270*2,2)</f>
        <v>0</v>
      </c>
      <c r="Y270" s="795">
        <f t="shared" ref="Y270" si="128">SUM(G270:G280,K270:K280,O270:O280,S270:S280,W270:W280)</f>
        <v>0</v>
      </c>
      <c r="Z270" s="797">
        <f t="shared" ref="Z270" si="129">IFERROR(SUM(H270:H280,L270:L280,T270:T280,X270:X280),"")</f>
        <v>0</v>
      </c>
      <c r="AA270" s="786"/>
    </row>
    <row r="271" spans="1:29">
      <c r="A271" s="786"/>
      <c r="B271" s="216"/>
      <c r="C271" s="789"/>
      <c r="D271" s="792"/>
      <c r="E271" s="393">
        <f>IF(D270&lt;=3,база!$I$4,
IF(D270=4,база!$I$5,
IF(D270=5,база!$I$6)))</f>
        <v>188.7912</v>
      </c>
      <c r="F271" s="390">
        <v>1</v>
      </c>
      <c r="G271" s="400">
        <f>SUMIFS(Таблица14[часы],Таблица14[коэф],"1",Таблица14[р/р],"3/4",Таблица14[Ф. И. О.],B275)</f>
        <v>0</v>
      </c>
      <c r="H271" s="542">
        <f t="shared" ref="H271:H280" si="130">ROUND(E271*F271*G271*2,2)</f>
        <v>0</v>
      </c>
      <c r="I271" s="389">
        <f>IF(D270&lt;=3,база!$J$4,
IF(D270=4,база!$J$5,
IF(D270=5,база!$J$6)))</f>
        <v>196.05240000000001</v>
      </c>
      <c r="J271" s="390">
        <v>1</v>
      </c>
      <c r="K271" s="434">
        <f>SUMIFS(Таблица14[часы],Таблица14[коэф],"1",Таблица14[р/р],"3/8",Таблица14[Ф. И. О.],B275)</f>
        <v>0</v>
      </c>
      <c r="L271" s="395">
        <f t="shared" ref="L271:L280" si="131">ROUND(I271*J271*K271*2,2)</f>
        <v>0</v>
      </c>
      <c r="M271" s="432"/>
      <c r="N271" s="434">
        <v>1</v>
      </c>
      <c r="O271" s="434">
        <f>SUMIFS(Data_Tech!$AM$3:$AM$67,Data_Tech!$E$3:$E$67,"1",Data_Tech!$G$3:$G$67,"4/12",Data_Tech!$F$3:$F$67,B275)</f>
        <v>0</v>
      </c>
      <c r="P271" s="434">
        <f>ROUND(M271*O271,2)</f>
        <v>0</v>
      </c>
      <c r="Q271" s="399">
        <f>база!$L$5</f>
        <v>231.45480000000001</v>
      </c>
      <c r="R271" s="390">
        <v>1</v>
      </c>
      <c r="S271" s="400">
        <f>SUMIFS(Таблица14[часы],Таблица14[коэф],"1",Таблица14[р/р],"4/16",Таблица14[Ф. И. О.],B275)</f>
        <v>0</v>
      </c>
      <c r="T271" s="544">
        <f t="shared" ref="T271:T280" si="132">ROUND(Q271*R271*S271*2,2)</f>
        <v>0</v>
      </c>
      <c r="U271" s="472">
        <f>база!$M$5</f>
        <v>247.41720000000001</v>
      </c>
      <c r="V271" s="390">
        <v>1</v>
      </c>
      <c r="W271" s="412">
        <f>SUMIFS(Таблица14[часы],Таблица14[коэф],"1",Таблица14[р/р],"4/24",Таблица14[Ф. И. О.],B275)</f>
        <v>0</v>
      </c>
      <c r="X271" s="545">
        <f t="shared" ref="X271:X280" si="133">ROUND(U271*V271*W271*2,2)</f>
        <v>0</v>
      </c>
      <c r="Y271" s="795"/>
      <c r="Z271" s="797"/>
      <c r="AA271" s="786"/>
    </row>
    <row r="272" spans="1:29">
      <c r="A272" s="786"/>
      <c r="B272" s="216"/>
      <c r="C272" s="789"/>
      <c r="D272" s="792"/>
      <c r="E272" s="393"/>
      <c r="F272" s="390"/>
      <c r="G272" s="400"/>
      <c r="H272" s="544">
        <f t="shared" si="130"/>
        <v>0</v>
      </c>
      <c r="I272" s="389"/>
      <c r="J272" s="390"/>
      <c r="K272" s="434"/>
      <c r="L272" s="395">
        <f t="shared" si="131"/>
        <v>0</v>
      </c>
      <c r="M272" s="432"/>
      <c r="N272" s="434"/>
      <c r="O272" s="434"/>
      <c r="P272" s="434"/>
      <c r="Q272" s="399">
        <f>база!$L$6</f>
        <v>261.04640000000001</v>
      </c>
      <c r="R272" s="390">
        <v>1</v>
      </c>
      <c r="S272" s="400">
        <f>SUMIFS(Таблица14[часы],Таблица14[коэф],"1",Таблица14[р/р],"5/16",Таблица14[Ф. И. О.],B275)</f>
        <v>0</v>
      </c>
      <c r="T272" s="544">
        <f t="shared" si="132"/>
        <v>0</v>
      </c>
      <c r="U272" s="472">
        <f>база!$M$6</f>
        <v>279.0496</v>
      </c>
      <c r="V272" s="390">
        <v>1</v>
      </c>
      <c r="W272" s="412">
        <f>SUMIFS(Таблица14[часы],Таблица14[коэф],"1",Таблица14[р/р],"5/24",Таблица14[Ф. И. О.],B275)</f>
        <v>0</v>
      </c>
      <c r="X272" s="545">
        <f t="shared" si="133"/>
        <v>0</v>
      </c>
      <c r="Y272" s="795"/>
      <c r="Z272" s="797"/>
      <c r="AA272" s="786"/>
    </row>
    <row r="273" spans="1:29">
      <c r="A273" s="786"/>
      <c r="B273" s="216"/>
      <c r="C273" s="789"/>
      <c r="D273" s="792"/>
      <c r="E273" s="393"/>
      <c r="F273" s="390"/>
      <c r="G273" s="400"/>
      <c r="H273" s="544">
        <f t="shared" si="130"/>
        <v>0</v>
      </c>
      <c r="I273" s="389">
        <f>база!$J$5</f>
        <v>215.4924</v>
      </c>
      <c r="J273" s="390">
        <v>1.5</v>
      </c>
      <c r="K273" s="434">
        <f>SUMIFS(Таблица14[часы],Таблица14[коэф],"1,5",Таблица14[р/р],"4/8",Таблица14[Ф. И. О.],B275)</f>
        <v>0</v>
      </c>
      <c r="L273" s="395">
        <f t="shared" si="131"/>
        <v>0</v>
      </c>
      <c r="M273" s="432"/>
      <c r="N273" s="434"/>
      <c r="O273" s="434"/>
      <c r="P273" s="434"/>
      <c r="Q273" s="399">
        <f>IF(D270&lt;=3,база!$L$4,
IF(D270=4,база!$L$5,
IF(D270=5,база!$L$6)))</f>
        <v>210.57480000000001</v>
      </c>
      <c r="R273" s="390">
        <v>1.2</v>
      </c>
      <c r="S273" s="400">
        <f>SUMIFS(Таблица14[часы],Таблица14[коэф],"1,2",Таблица14[р/р],"3/16",Таблица14[Ф. И. О.],B275)</f>
        <v>0</v>
      </c>
      <c r="T273" s="544">
        <f t="shared" si="132"/>
        <v>0</v>
      </c>
      <c r="U273" s="472">
        <f>IF(D270&lt;=3,база!$M$4,
IF(D270=4,база!$M$5,
IF(D270=5,база!$M$6)))</f>
        <v>225.09719999999999</v>
      </c>
      <c r="V273" s="390">
        <v>1.2</v>
      </c>
      <c r="W273" s="412">
        <f>SUMIFS(Таблица14[часы],Таблица14[коэф],"1,2",Таблица14[р/р],"3/24",Таблица14[Ф. И. О.],B275)</f>
        <v>0</v>
      </c>
      <c r="X273" s="545">
        <f t="shared" si="133"/>
        <v>0</v>
      </c>
      <c r="Y273" s="795"/>
      <c r="Z273" s="797"/>
      <c r="AA273" s="786"/>
    </row>
    <row r="274" spans="1:29">
      <c r="A274" s="786"/>
      <c r="B274" s="216"/>
      <c r="C274" s="789"/>
      <c r="D274" s="792"/>
      <c r="E274" s="393"/>
      <c r="F274" s="390"/>
      <c r="G274" s="400"/>
      <c r="H274" s="544">
        <f t="shared" si="130"/>
        <v>0</v>
      </c>
      <c r="I274" s="389">
        <f>база!$J$6</f>
        <v>243.04319999999998</v>
      </c>
      <c r="J274" s="390">
        <v>1.5</v>
      </c>
      <c r="K274" s="434">
        <f>SUMIFS(Таблица14[часы],Таблица14[коэф],"1,5",Таблица14[р/р],"5/8",Таблица14[Ф. И. О.],B275)</f>
        <v>0</v>
      </c>
      <c r="L274" s="395">
        <f t="shared" si="131"/>
        <v>0</v>
      </c>
      <c r="M274" s="432"/>
      <c r="N274" s="434"/>
      <c r="O274" s="434"/>
      <c r="P274" s="434"/>
      <c r="Q274" s="399">
        <f>база!$L$5</f>
        <v>231.45480000000001</v>
      </c>
      <c r="R274" s="390">
        <v>1.2</v>
      </c>
      <c r="S274" s="400">
        <f>SUMIFS(Таблица14[часы],Таблица14[коэф],"1,2",Таблица14[р/р],"4/16",Таблица14[Ф. И. О.],B275)</f>
        <v>0</v>
      </c>
      <c r="T274" s="544">
        <f t="shared" si="132"/>
        <v>0</v>
      </c>
      <c r="U274" s="472">
        <f>база!$M$5</f>
        <v>247.41720000000001</v>
      </c>
      <c r="V274" s="390">
        <v>1.2</v>
      </c>
      <c r="W274" s="412">
        <f>SUMIFS(Таблица14[часы],Таблица14[коэф],"1,2",Таблица14[р/р],"4/24",Таблица14[Ф. И. О.],B275)</f>
        <v>0</v>
      </c>
      <c r="X274" s="545">
        <f t="shared" si="133"/>
        <v>0</v>
      </c>
      <c r="Y274" s="795"/>
      <c r="Z274" s="797"/>
      <c r="AA274" s="786"/>
      <c r="AC274" s="754" t="str">
        <f>IF(SUMIFS(Таблица14[Столбец2],Таблица14[Ф. И. О.],B275)-Z270=0,"",SUMIFS(Таблица14[Столбец2],Таблица14[Ф. И. О.],B275)-Z270)</f>
        <v/>
      </c>
    </row>
    <row r="275" spans="1:29">
      <c r="A275" s="786"/>
      <c r="B275" s="216" t="str">
        <f>база!B26</f>
        <v>Ефремова Юлия Сергеевна</v>
      </c>
      <c r="C275" s="789"/>
      <c r="D275" s="792"/>
      <c r="E275" s="393"/>
      <c r="F275" s="390"/>
      <c r="G275" s="400"/>
      <c r="H275" s="544">
        <f t="shared" si="130"/>
        <v>0</v>
      </c>
      <c r="I275" s="389"/>
      <c r="J275" s="390"/>
      <c r="K275" s="434"/>
      <c r="L275" s="395">
        <f t="shared" si="131"/>
        <v>0</v>
      </c>
      <c r="M275" s="432"/>
      <c r="N275" s="434"/>
      <c r="O275" s="434"/>
      <c r="P275" s="434"/>
      <c r="Q275" s="399">
        <f>база!$L$6</f>
        <v>261.04640000000001</v>
      </c>
      <c r="R275" s="390">
        <v>1.2</v>
      </c>
      <c r="S275" s="400">
        <f>SUMIFS(Таблица14[часы],Таблица14[коэф],"1,2",Таблица14[р/р],"5/16",Таблица14[Ф. И. О.],B275)</f>
        <v>0</v>
      </c>
      <c r="T275" s="544">
        <f t="shared" si="132"/>
        <v>0</v>
      </c>
      <c r="U275" s="472">
        <f>база!$M$6</f>
        <v>279.0496</v>
      </c>
      <c r="V275" s="390">
        <v>1.2</v>
      </c>
      <c r="W275" s="412">
        <f>SUMIFS(Таблица14[часы],Таблица14[коэф],"1,2",Таблица14[р/р],"5/24",Таблица14[Ф. И. О.],B275)</f>
        <v>0</v>
      </c>
      <c r="X275" s="545">
        <f t="shared" si="133"/>
        <v>0</v>
      </c>
      <c r="Y275" s="795"/>
      <c r="Z275" s="797"/>
      <c r="AA275" s="786"/>
      <c r="AC275" s="754" t="str">
        <f>IF(SUMIFS(Таблица14[часы],Таблица14[Ф. И. О.],B275)-Y270=0,"",SUMIFS(Таблица14[часы],Таблица14[Ф. И. О.],B275)-Y270)</f>
        <v/>
      </c>
    </row>
    <row r="276" spans="1:29">
      <c r="A276" s="786"/>
      <c r="B276" s="216"/>
      <c r="C276" s="789"/>
      <c r="D276" s="792"/>
      <c r="E276" s="393"/>
      <c r="F276" s="390"/>
      <c r="G276" s="400"/>
      <c r="H276" s="544">
        <f t="shared" si="130"/>
        <v>0</v>
      </c>
      <c r="I276" s="389"/>
      <c r="J276" s="390"/>
      <c r="K276" s="434"/>
      <c r="L276" s="395">
        <f t="shared" si="131"/>
        <v>0</v>
      </c>
      <c r="M276" s="432"/>
      <c r="N276" s="434"/>
      <c r="O276" s="434"/>
      <c r="P276" s="434"/>
      <c r="Q276" s="399">
        <f>IF(D270&lt;=3,база!$L$4,
IF(D270=4,база!$L$5,
IF(D270=5,база!$L$6)))</f>
        <v>210.57480000000001</v>
      </c>
      <c r="R276" s="390">
        <v>1.3</v>
      </c>
      <c r="S276" s="400">
        <f>SUMIFS(Таблица14[часы],Таблица14[коэф],"1,3",Таблица14[р/р],"3/16",Таблица14[Ф. И. О.],B275)</f>
        <v>0</v>
      </c>
      <c r="T276" s="544">
        <f t="shared" si="132"/>
        <v>0</v>
      </c>
      <c r="U276" s="472">
        <f>IF(D270&lt;=3,база!$M$4,
IF(D270=4,база!$M$5,
IF(D270=5,база!$M$6)))</f>
        <v>225.09719999999999</v>
      </c>
      <c r="V276" s="390">
        <v>1.3</v>
      </c>
      <c r="W276" s="412">
        <f>SUMIFS(Таблица14[часы],Таблица14[коэф],"1,3",Таблица14[р/р],"3/24",Таблица14[Ф. И. О.],B275)</f>
        <v>0</v>
      </c>
      <c r="X276" s="545">
        <f t="shared" si="133"/>
        <v>0</v>
      </c>
      <c r="Y276" s="795"/>
      <c r="Z276" s="797"/>
      <c r="AA276" s="786"/>
    </row>
    <row r="277" spans="1:29">
      <c r="A277" s="786"/>
      <c r="B277" s="216"/>
      <c r="C277" s="789"/>
      <c r="D277" s="792"/>
      <c r="E277" s="393"/>
      <c r="F277" s="390"/>
      <c r="G277" s="400"/>
      <c r="H277" s="544">
        <f t="shared" si="130"/>
        <v>0</v>
      </c>
      <c r="I277" s="389"/>
      <c r="J277" s="390"/>
      <c r="K277" s="434"/>
      <c r="L277" s="395">
        <f t="shared" si="131"/>
        <v>0</v>
      </c>
      <c r="M277" s="432"/>
      <c r="N277" s="434"/>
      <c r="O277" s="434"/>
      <c r="P277" s="434"/>
      <c r="Q277" s="399">
        <f>база!$L$5</f>
        <v>231.45480000000001</v>
      </c>
      <c r="R277" s="390">
        <v>1.3</v>
      </c>
      <c r="S277" s="400">
        <f>SUMIFS(Таблица14[часы],Таблица14[коэф],"1,3",Таблица14[р/р],"4/16",Таблица14[Ф. И. О.],B275)</f>
        <v>0</v>
      </c>
      <c r="T277" s="544">
        <f t="shared" si="132"/>
        <v>0</v>
      </c>
      <c r="U277" s="472">
        <f>база!$M$5</f>
        <v>247.41720000000001</v>
      </c>
      <c r="V277" s="390">
        <v>1.3</v>
      </c>
      <c r="W277" s="412">
        <f>SUMIFS(Таблица14[часы],Таблица14[коэф],"1,3",Таблица14[р/р],"4/24",Таблица14[Ф. И. О.],B275)</f>
        <v>0</v>
      </c>
      <c r="X277" s="545">
        <f t="shared" si="133"/>
        <v>0</v>
      </c>
      <c r="Y277" s="795"/>
      <c r="Z277" s="797"/>
      <c r="AA277" s="786"/>
    </row>
    <row r="278" spans="1:29">
      <c r="A278" s="786"/>
      <c r="B278" s="216"/>
      <c r="C278" s="789"/>
      <c r="D278" s="792"/>
      <c r="E278" s="393"/>
      <c r="F278" s="390"/>
      <c r="G278" s="400"/>
      <c r="H278" s="544">
        <f t="shared" si="130"/>
        <v>0</v>
      </c>
      <c r="I278" s="389"/>
      <c r="J278" s="390"/>
      <c r="K278" s="434"/>
      <c r="L278" s="395">
        <f t="shared" si="131"/>
        <v>0</v>
      </c>
      <c r="M278" s="432"/>
      <c r="N278" s="434"/>
      <c r="O278" s="434"/>
      <c r="P278" s="434"/>
      <c r="Q278" s="399">
        <f>IF(D270&lt;=3,база!$L$4,
IF(D270=4,база!$L$5,
IF(D270=5,база!$L$6)))</f>
        <v>210.57480000000001</v>
      </c>
      <c r="R278" s="390">
        <v>1.4</v>
      </c>
      <c r="S278" s="400">
        <f>SUMIFS(Таблица14[часы],Таблица14[коэф],"1,4",Таблица14[р/р],"3/16",Таблица14[Ф. И. О.],B275)</f>
        <v>0</v>
      </c>
      <c r="T278" s="544">
        <f t="shared" si="132"/>
        <v>0</v>
      </c>
      <c r="U278" s="472">
        <f>IF(D270&lt;=3,база!$M$4,
IF(D270=4,база!$M$5,
IF(D270=5,база!$M$6)))</f>
        <v>225.09719999999999</v>
      </c>
      <c r="V278" s="390">
        <v>1.4</v>
      </c>
      <c r="W278" s="412">
        <f>SUMIFS(Таблица14[часы],Таблица14[коэф],"1,4",Таблица14[р/р],"3/24",Таблица14[Ф. И. О.],B275)</f>
        <v>0</v>
      </c>
      <c r="X278" s="545">
        <f t="shared" si="133"/>
        <v>0</v>
      </c>
      <c r="Y278" s="795"/>
      <c r="Z278" s="797"/>
      <c r="AA278" s="786"/>
    </row>
    <row r="279" spans="1:29">
      <c r="A279" s="786"/>
      <c r="B279" s="216"/>
      <c r="C279" s="789"/>
      <c r="D279" s="792"/>
      <c r="E279" s="393"/>
      <c r="F279" s="390"/>
      <c r="G279" s="400"/>
      <c r="H279" s="544">
        <f t="shared" si="130"/>
        <v>0</v>
      </c>
      <c r="I279" s="389"/>
      <c r="J279" s="390"/>
      <c r="K279" s="434"/>
      <c r="L279" s="395">
        <f t="shared" si="131"/>
        <v>0</v>
      </c>
      <c r="M279" s="432"/>
      <c r="N279" s="434"/>
      <c r="O279" s="434"/>
      <c r="P279" s="434"/>
      <c r="Q279" s="399">
        <f>база!$L$5</f>
        <v>231.45480000000001</v>
      </c>
      <c r="R279" s="390">
        <v>1.4</v>
      </c>
      <c r="S279" s="400">
        <f>SUMIFS(Таблица14[часы],Таблица14[коэф],"1,4",Таблица14[р/р],"4/16",Таблица14[Ф. И. О.],B275)</f>
        <v>0</v>
      </c>
      <c r="T279" s="544">
        <f t="shared" si="132"/>
        <v>0</v>
      </c>
      <c r="U279" s="472">
        <f>база!$M$5</f>
        <v>247.41720000000001</v>
      </c>
      <c r="V279" s="390">
        <v>1.4</v>
      </c>
      <c r="W279" s="412">
        <f>SUMIFS(Таблица14[часы],Таблица14[коэф],"1,4",Таблица14[р/р],"4/24",Таблица14[Ф. И. О.],B275)</f>
        <v>0</v>
      </c>
      <c r="X279" s="545">
        <f t="shared" si="133"/>
        <v>0</v>
      </c>
      <c r="Y279" s="795"/>
      <c r="Z279" s="797"/>
      <c r="AA279" s="786"/>
    </row>
    <row r="280" spans="1:29" ht="21" thickBot="1">
      <c r="A280" s="787"/>
      <c r="B280" s="203"/>
      <c r="C280" s="790"/>
      <c r="D280" s="793"/>
      <c r="E280" s="463"/>
      <c r="F280" s="464"/>
      <c r="G280" s="465"/>
      <c r="H280" s="549">
        <f t="shared" si="130"/>
        <v>0</v>
      </c>
      <c r="I280" s="473"/>
      <c r="J280" s="464"/>
      <c r="K280" s="457"/>
      <c r="L280" s="458">
        <f t="shared" si="131"/>
        <v>0</v>
      </c>
      <c r="M280" s="466"/>
      <c r="N280" s="457"/>
      <c r="O280" s="457"/>
      <c r="P280" s="457"/>
      <c r="Q280" s="467">
        <f>база!$L$6</f>
        <v>261.04640000000001</v>
      </c>
      <c r="R280" s="464">
        <v>1.4</v>
      </c>
      <c r="S280" s="465">
        <f>SUMIFS(Таблица14[часы],Таблица14[коэф],"1,4",Таблица14[р/р],"5/16",Таблица14[Ф. И. О.],B275)</f>
        <v>0</v>
      </c>
      <c r="T280" s="549">
        <f t="shared" si="132"/>
        <v>0</v>
      </c>
      <c r="U280" s="474">
        <f>база!$M$6</f>
        <v>279.0496</v>
      </c>
      <c r="V280" s="464">
        <v>1.4</v>
      </c>
      <c r="W280" s="470">
        <f>SUMIFS(Таблица14[часы],Таблица14[коэф],"1,4",Таблица14[р/р],"5/24",Таблица14[Ф. И. О.],B275)</f>
        <v>0</v>
      </c>
      <c r="X280" s="547">
        <f t="shared" si="133"/>
        <v>0</v>
      </c>
      <c r="Y280" s="796"/>
      <c r="Z280" s="798"/>
      <c r="AA280" s="787"/>
    </row>
    <row r="281" spans="1:29">
      <c r="A281" s="785">
        <v>26</v>
      </c>
      <c r="B281" s="236"/>
      <c r="C281" s="788">
        <f>INDEX(база!$E$2:$E$81, MATCH(B286,база!$B$2:$B$50,0))</f>
        <v>15608</v>
      </c>
      <c r="D281" s="791">
        <f>INDEX(база!$D$2:$D$89, MATCH(B286,база!$B$2:$B$50,0))</f>
        <v>3</v>
      </c>
      <c r="E281" s="381">
        <f>IF(D281&lt;=3,база!$I$4,
IF(D281=4,база!$I$5,
IF(D281=5,база!$I$6)))</f>
        <v>188.7912</v>
      </c>
      <c r="F281" s="378">
        <v>1</v>
      </c>
      <c r="G281" s="387">
        <f>SUMIFS(Таблица14[часы],Таблица14[коэф],"1",Таблица14[р/р],"2/4",Таблица14[Ф. И. О.],B286)</f>
        <v>0</v>
      </c>
      <c r="H281" s="380">
        <f>ROUND(E281*F281*G281*2,2)</f>
        <v>0</v>
      </c>
      <c r="I281" s="377">
        <f>IF(D281&lt;=3,база!$J$4,
IF(D281=4,база!$J$5,
IF(D281=5,база!$J$6)))</f>
        <v>196.05240000000001</v>
      </c>
      <c r="J281" s="378">
        <v>1</v>
      </c>
      <c r="K281" s="428">
        <f>SUMIFS(Таблица14[часы],Таблица14[коэф],"1",Таблица14[р/р],"2/8",Таблица14[Ф. И. О.],B286)</f>
        <v>0</v>
      </c>
      <c r="L281" s="383">
        <f>ROUND(I281*J281*K281*2,2)</f>
        <v>0</v>
      </c>
      <c r="M281" s="426"/>
      <c r="N281" s="428">
        <v>1</v>
      </c>
      <c r="O281" s="428">
        <f>SUMIFS(Data_Tech!$AM$3:$AM$67,Data_Tech!$E$3:$E$67,"1",Data_Tech!$G$3:$G$67,"3/12",Data_Tech!$F$3:$F$67,B286)</f>
        <v>0</v>
      </c>
      <c r="P281" s="428">
        <f>ROUND(M281*N281*O281,2)</f>
        <v>0</v>
      </c>
      <c r="Q281" s="386">
        <f>IF(D281&lt;=3,база!$L$4,
IF(D281=4,база!$L$5,
IF(D281=5,база!$L$6)))</f>
        <v>210.57480000000001</v>
      </c>
      <c r="R281" s="378">
        <v>1</v>
      </c>
      <c r="S281" s="387">
        <f>SUMIFS(Таблица14[часы],Таблица14[коэф],"1",Таблица14[р/р],"3/16",Таблица14[Ф. И. О.],B286)</f>
        <v>0</v>
      </c>
      <c r="T281" s="548">
        <f>ROUND(Q281*R281*S281*2,2)</f>
        <v>0</v>
      </c>
      <c r="U281" s="471">
        <f>IF(D281&lt;=3,база!$M$4,
IF(D281=4,база!$M$5,
IF(D281=5,база!$M$6)))</f>
        <v>225.09719999999999</v>
      </c>
      <c r="V281" s="378">
        <v>1</v>
      </c>
      <c r="W281" s="430">
        <f>SUMIFS(Таблица14[часы],Таблица14[коэф],"1",Таблица14[р/р],"3/24",Таблица14[Ф. И. О.],B286)</f>
        <v>0</v>
      </c>
      <c r="X281" s="543">
        <f>ROUND(U281*V281*W281*2,2)</f>
        <v>0</v>
      </c>
      <c r="Y281" s="795">
        <f t="shared" ref="Y281" si="134">SUM(G281:G291,K281:K291,O281:O291,S281:S291,W281:W291)</f>
        <v>0</v>
      </c>
      <c r="Z281" s="797">
        <f t="shared" ref="Z281" si="135">IFERROR(SUM(H281:H291,L281:L291,T281:T291,X281:X291),"")</f>
        <v>0</v>
      </c>
      <c r="AA281" s="786"/>
    </row>
    <row r="282" spans="1:29">
      <c r="A282" s="786"/>
      <c r="B282" s="216"/>
      <c r="C282" s="789"/>
      <c r="D282" s="792"/>
      <c r="E282" s="393">
        <f>IF(D281&lt;=3,база!$I$4,
IF(D281=4,база!$I$5,
IF(D281=5,база!$I$6)))</f>
        <v>188.7912</v>
      </c>
      <c r="F282" s="390">
        <v>1</v>
      </c>
      <c r="G282" s="400">
        <f>SUMIFS(Таблица14[часы],Таблица14[коэф],"1",Таблица14[р/р],"3/4",Таблица14[Ф. И. О.],B286)</f>
        <v>0</v>
      </c>
      <c r="H282" s="542">
        <f t="shared" ref="H282:H291" si="136">ROUND(E282*F282*G282*2,2)</f>
        <v>0</v>
      </c>
      <c r="I282" s="389">
        <f>IF(D281&lt;=3,база!$J$4,
IF(D281=4,база!$J$5,
IF(D281=5,база!$J$6)))</f>
        <v>196.05240000000001</v>
      </c>
      <c r="J282" s="390">
        <v>1</v>
      </c>
      <c r="K282" s="434">
        <f>SUMIFS(Таблица14[часы],Таблица14[коэф],"1",Таблица14[р/р],"3/8",Таблица14[Ф. И. О.],B286)</f>
        <v>0</v>
      </c>
      <c r="L282" s="395">
        <f t="shared" ref="L282:L291" si="137">ROUND(I282*J282*K282*2,2)</f>
        <v>0</v>
      </c>
      <c r="M282" s="432"/>
      <c r="N282" s="434">
        <v>1</v>
      </c>
      <c r="O282" s="434">
        <f>SUMIFS(Data_Tech!$AM$3:$AM$67,Data_Tech!$E$3:$E$67,"1",Data_Tech!$G$3:$G$67,"4/12",Data_Tech!$F$3:$F$67,B286)</f>
        <v>0</v>
      </c>
      <c r="P282" s="434">
        <f>ROUND(M282*O282,2)</f>
        <v>0</v>
      </c>
      <c r="Q282" s="399">
        <f>база!$L$5</f>
        <v>231.45480000000001</v>
      </c>
      <c r="R282" s="390">
        <v>1</v>
      </c>
      <c r="S282" s="400">
        <f>SUMIFS(Таблица14[часы],Таблица14[коэф],"1",Таблица14[р/р],"4/16",Таблица14[Ф. И. О.],B286)</f>
        <v>0</v>
      </c>
      <c r="T282" s="544">
        <f t="shared" ref="T282:T291" si="138">ROUND(Q282*R282*S282*2,2)</f>
        <v>0</v>
      </c>
      <c r="U282" s="472">
        <f>база!$M$5</f>
        <v>247.41720000000001</v>
      </c>
      <c r="V282" s="390">
        <v>1</v>
      </c>
      <c r="W282" s="412">
        <f>SUMIFS(Таблица14[часы],Таблица14[коэф],"1",Таблица14[р/р],"4/24",Таблица14[Ф. И. О.],B286)</f>
        <v>0</v>
      </c>
      <c r="X282" s="545">
        <f t="shared" ref="X282:X291" si="139">ROUND(U282*V282*W282*2,2)</f>
        <v>0</v>
      </c>
      <c r="Y282" s="795"/>
      <c r="Z282" s="797"/>
      <c r="AA282" s="786"/>
    </row>
    <row r="283" spans="1:29">
      <c r="A283" s="786"/>
      <c r="B283" s="216"/>
      <c r="C283" s="789"/>
      <c r="D283" s="792"/>
      <c r="E283" s="393"/>
      <c r="F283" s="390"/>
      <c r="G283" s="400"/>
      <c r="H283" s="544">
        <f t="shared" si="136"/>
        <v>0</v>
      </c>
      <c r="I283" s="389"/>
      <c r="J283" s="390"/>
      <c r="K283" s="434"/>
      <c r="L283" s="395">
        <f t="shared" si="137"/>
        <v>0</v>
      </c>
      <c r="M283" s="432"/>
      <c r="N283" s="434"/>
      <c r="O283" s="434"/>
      <c r="P283" s="434"/>
      <c r="Q283" s="399">
        <f>база!$L$6</f>
        <v>261.04640000000001</v>
      </c>
      <c r="R283" s="390">
        <v>1</v>
      </c>
      <c r="S283" s="400">
        <f>SUMIFS(Таблица14[часы],Таблица14[коэф],"1",Таблица14[р/р],"5/16",Таблица14[Ф. И. О.],B286)</f>
        <v>0</v>
      </c>
      <c r="T283" s="544">
        <f t="shared" si="138"/>
        <v>0</v>
      </c>
      <c r="U283" s="472">
        <f>база!$M$6</f>
        <v>279.0496</v>
      </c>
      <c r="V283" s="390">
        <v>1</v>
      </c>
      <c r="W283" s="412">
        <f>SUMIFS(Таблица14[часы],Таблица14[коэф],"1",Таблица14[р/р],"5/24",Таблица14[Ф. И. О.],B286)</f>
        <v>0</v>
      </c>
      <c r="X283" s="545">
        <f t="shared" si="139"/>
        <v>0</v>
      </c>
      <c r="Y283" s="795"/>
      <c r="Z283" s="797"/>
      <c r="AA283" s="786"/>
    </row>
    <row r="284" spans="1:29">
      <c r="A284" s="786"/>
      <c r="B284" s="216"/>
      <c r="C284" s="789"/>
      <c r="D284" s="792"/>
      <c r="E284" s="393"/>
      <c r="F284" s="390"/>
      <c r="G284" s="400"/>
      <c r="H284" s="544">
        <f t="shared" si="136"/>
        <v>0</v>
      </c>
      <c r="I284" s="389">
        <f>база!$J$5</f>
        <v>215.4924</v>
      </c>
      <c r="J284" s="390">
        <v>1.5</v>
      </c>
      <c r="K284" s="434">
        <f>SUMIFS(Таблица14[часы],Таблица14[коэф],"1,5",Таблица14[р/р],"4/8",Таблица14[Ф. И. О.],B286)</f>
        <v>0</v>
      </c>
      <c r="L284" s="395">
        <f t="shared" si="137"/>
        <v>0</v>
      </c>
      <c r="M284" s="432"/>
      <c r="N284" s="434"/>
      <c r="O284" s="434"/>
      <c r="P284" s="434"/>
      <c r="Q284" s="399">
        <f>IF(D281&lt;=3,база!$L$4,
IF(D281=4,база!$L$5,
IF(D281=5,база!$L$6)))</f>
        <v>210.57480000000001</v>
      </c>
      <c r="R284" s="390">
        <v>1.2</v>
      </c>
      <c r="S284" s="400">
        <f>SUMIFS(Таблица14[часы],Таблица14[коэф],"1,2",Таблица14[р/р],"3/16",Таблица14[Ф. И. О.],B286)</f>
        <v>0</v>
      </c>
      <c r="T284" s="544">
        <f t="shared" si="138"/>
        <v>0</v>
      </c>
      <c r="U284" s="472">
        <f>IF(D281&lt;=3,база!$M$4,
IF(D281=4,база!$M$5,
IF(D281=5,база!$M$6)))</f>
        <v>225.09719999999999</v>
      </c>
      <c r="V284" s="390">
        <v>1.2</v>
      </c>
      <c r="W284" s="412">
        <f>SUMIFS(Таблица14[часы],Таблица14[коэф],"1,2",Таблица14[р/р],"3/24",Таблица14[Ф. И. О.],B286)</f>
        <v>0</v>
      </c>
      <c r="X284" s="545">
        <f t="shared" si="139"/>
        <v>0</v>
      </c>
      <c r="Y284" s="795"/>
      <c r="Z284" s="797"/>
      <c r="AA284" s="786"/>
    </row>
    <row r="285" spans="1:29">
      <c r="A285" s="786"/>
      <c r="B285" s="216"/>
      <c r="C285" s="789"/>
      <c r="D285" s="792"/>
      <c r="E285" s="393"/>
      <c r="F285" s="390"/>
      <c r="G285" s="400"/>
      <c r="H285" s="544">
        <f t="shared" si="136"/>
        <v>0</v>
      </c>
      <c r="I285" s="389">
        <f>база!$J$6</f>
        <v>243.04319999999998</v>
      </c>
      <c r="J285" s="390">
        <v>1.5</v>
      </c>
      <c r="K285" s="434">
        <f>SUMIFS(Таблица14[часы],Таблица14[коэф],"1,5",Таблица14[р/р],"5/8",Таблица14[Ф. И. О.],B286)</f>
        <v>0</v>
      </c>
      <c r="L285" s="395">
        <f t="shared" si="137"/>
        <v>0</v>
      </c>
      <c r="M285" s="432"/>
      <c r="N285" s="434"/>
      <c r="O285" s="434"/>
      <c r="P285" s="434"/>
      <c r="Q285" s="399">
        <f>база!$L$5</f>
        <v>231.45480000000001</v>
      </c>
      <c r="R285" s="390">
        <v>1.2</v>
      </c>
      <c r="S285" s="400">
        <f>SUMIFS(Таблица14[часы],Таблица14[коэф],"1,2",Таблица14[р/р],"4/16",Таблица14[Ф. И. О.],B286)</f>
        <v>0</v>
      </c>
      <c r="T285" s="544">
        <f t="shared" si="138"/>
        <v>0</v>
      </c>
      <c r="U285" s="472">
        <f>база!$M$5</f>
        <v>247.41720000000001</v>
      </c>
      <c r="V285" s="390">
        <v>1.2</v>
      </c>
      <c r="W285" s="412">
        <f>SUMIFS(Таблица14[часы],Таблица14[коэф],"1,2",Таблица14[р/р],"4/24",Таблица14[Ф. И. О.],B286)</f>
        <v>0</v>
      </c>
      <c r="X285" s="545">
        <f t="shared" si="139"/>
        <v>0</v>
      </c>
      <c r="Y285" s="795"/>
      <c r="Z285" s="797"/>
      <c r="AA285" s="786"/>
    </row>
    <row r="286" spans="1:29" ht="20.25" customHeight="1">
      <c r="A286" s="786"/>
      <c r="B286" s="216" t="str">
        <f>база!B27</f>
        <v>Журавлева Мария Валентиновна</v>
      </c>
      <c r="C286" s="789"/>
      <c r="D286" s="792"/>
      <c r="E286" s="393"/>
      <c r="F286" s="390"/>
      <c r="G286" s="400"/>
      <c r="H286" s="544">
        <f t="shared" si="136"/>
        <v>0</v>
      </c>
      <c r="I286" s="389"/>
      <c r="J286" s="390"/>
      <c r="K286" s="434"/>
      <c r="L286" s="395">
        <f t="shared" si="137"/>
        <v>0</v>
      </c>
      <c r="M286" s="432"/>
      <c r="N286" s="434"/>
      <c r="O286" s="434"/>
      <c r="P286" s="434"/>
      <c r="Q286" s="399">
        <f>база!$L$6</f>
        <v>261.04640000000001</v>
      </c>
      <c r="R286" s="390">
        <v>1.2</v>
      </c>
      <c r="S286" s="400">
        <f>SUMIFS(Таблица14[часы],Таблица14[коэф],"1,2",Таблица14[р/р],"5/16",Таблица14[Ф. И. О.],B286)</f>
        <v>0</v>
      </c>
      <c r="T286" s="544">
        <f t="shared" si="138"/>
        <v>0</v>
      </c>
      <c r="U286" s="472">
        <f>база!$M$6</f>
        <v>279.0496</v>
      </c>
      <c r="V286" s="390">
        <v>1.2</v>
      </c>
      <c r="W286" s="412">
        <f>SUMIFS(Таблица14[часы],Таблица14[коэф],"1,2",Таблица14[р/р],"5/24",Таблица14[Ф. И. О.],B286)</f>
        <v>0</v>
      </c>
      <c r="X286" s="545">
        <f t="shared" si="139"/>
        <v>0</v>
      </c>
      <c r="Y286" s="795"/>
      <c r="Z286" s="797"/>
      <c r="AA286" s="786"/>
      <c r="AC286" s="754" t="str">
        <f>IF(SUMIFS(Таблица14[Столбец2],Таблица14[Ф. И. О.],B286)-Z281=0,"",SUMIFS(Таблица14[Столбец2],Таблица14[Ф. И. О.],B286)-Z281)</f>
        <v/>
      </c>
    </row>
    <row r="287" spans="1:29">
      <c r="A287" s="786"/>
      <c r="B287" s="216"/>
      <c r="C287" s="789"/>
      <c r="D287" s="792"/>
      <c r="E287" s="393"/>
      <c r="F287" s="390"/>
      <c r="G287" s="400"/>
      <c r="H287" s="544">
        <f t="shared" si="136"/>
        <v>0</v>
      </c>
      <c r="I287" s="389"/>
      <c r="J287" s="390"/>
      <c r="K287" s="434"/>
      <c r="L287" s="395">
        <f t="shared" si="137"/>
        <v>0</v>
      </c>
      <c r="M287" s="432"/>
      <c r="N287" s="434"/>
      <c r="O287" s="434"/>
      <c r="P287" s="434"/>
      <c r="Q287" s="399">
        <f>IF(D281&lt;=3,база!$L$4,
IF(D281=4,база!$L$5,
IF(D281=5,база!$L$6)))</f>
        <v>210.57480000000001</v>
      </c>
      <c r="R287" s="390">
        <v>1.3</v>
      </c>
      <c r="S287" s="400">
        <f>SUMIFS(Таблица14[часы],Таблица14[коэф],"1,3",Таблица14[р/р],"3/16",Таблица14[Ф. И. О.],B286)</f>
        <v>0</v>
      </c>
      <c r="T287" s="544">
        <f t="shared" si="138"/>
        <v>0</v>
      </c>
      <c r="U287" s="472">
        <f>IF(D281&lt;=3,база!$M$4,
IF(D281=4,база!$M$5,
IF(D281=5,база!$M$6)))</f>
        <v>225.09719999999999</v>
      </c>
      <c r="V287" s="390">
        <v>1.3</v>
      </c>
      <c r="W287" s="412">
        <f>SUMIFS(Таблица14[часы],Таблица14[коэф],"1,3",Таблица14[р/р],"3/24",Таблица14[Ф. И. О.],B286)</f>
        <v>0</v>
      </c>
      <c r="X287" s="545">
        <f t="shared" si="139"/>
        <v>0</v>
      </c>
      <c r="Y287" s="795"/>
      <c r="Z287" s="797"/>
      <c r="AA287" s="786"/>
      <c r="AC287" s="754" t="str">
        <f>IF(SUMIFS(Таблица14[часы],Таблица14[Ф. И. О.],B286)-Y281=0,"",SUMIFS(Таблица14[часы],Таблица14[Ф. И. О.],B286)-Y281)</f>
        <v/>
      </c>
    </row>
    <row r="288" spans="1:29">
      <c r="A288" s="786"/>
      <c r="B288" s="216"/>
      <c r="C288" s="789"/>
      <c r="D288" s="792"/>
      <c r="E288" s="393"/>
      <c r="F288" s="390"/>
      <c r="G288" s="400"/>
      <c r="H288" s="544">
        <f t="shared" si="136"/>
        <v>0</v>
      </c>
      <c r="I288" s="389"/>
      <c r="J288" s="390"/>
      <c r="K288" s="434"/>
      <c r="L288" s="395">
        <f t="shared" si="137"/>
        <v>0</v>
      </c>
      <c r="M288" s="432"/>
      <c r="N288" s="434"/>
      <c r="O288" s="434"/>
      <c r="P288" s="434"/>
      <c r="Q288" s="399">
        <f>база!$L$5</f>
        <v>231.45480000000001</v>
      </c>
      <c r="R288" s="390">
        <v>1.3</v>
      </c>
      <c r="S288" s="400">
        <f>SUMIFS(Таблица14[часы],Таблица14[коэф],"1,3",Таблица14[р/р],"4/16",Таблица14[Ф. И. О.],B286)</f>
        <v>0</v>
      </c>
      <c r="T288" s="544">
        <f t="shared" si="138"/>
        <v>0</v>
      </c>
      <c r="U288" s="472">
        <f>база!$M$5</f>
        <v>247.41720000000001</v>
      </c>
      <c r="V288" s="390">
        <v>1.3</v>
      </c>
      <c r="W288" s="412">
        <f>SUMIFS(Таблица14[часы],Таблица14[коэф],"1,3",Таблица14[р/р],"4/24",Таблица14[Ф. И. О.],B286)</f>
        <v>0</v>
      </c>
      <c r="X288" s="545">
        <f t="shared" si="139"/>
        <v>0</v>
      </c>
      <c r="Y288" s="795"/>
      <c r="Z288" s="797"/>
      <c r="AA288" s="786"/>
    </row>
    <row r="289" spans="1:29">
      <c r="A289" s="786"/>
      <c r="B289" s="216"/>
      <c r="C289" s="789"/>
      <c r="D289" s="792"/>
      <c r="E289" s="393"/>
      <c r="F289" s="390"/>
      <c r="G289" s="400"/>
      <c r="H289" s="544">
        <f t="shared" si="136"/>
        <v>0</v>
      </c>
      <c r="I289" s="389"/>
      <c r="J289" s="390"/>
      <c r="K289" s="434"/>
      <c r="L289" s="395">
        <f t="shared" si="137"/>
        <v>0</v>
      </c>
      <c r="M289" s="432"/>
      <c r="N289" s="434"/>
      <c r="O289" s="434"/>
      <c r="P289" s="434"/>
      <c r="Q289" s="399">
        <f>IF(D281&lt;=3,база!$L$4,
IF(D281=4,база!$L$5,
IF(D281=5,база!$L$6)))</f>
        <v>210.57480000000001</v>
      </c>
      <c r="R289" s="390">
        <v>1.4</v>
      </c>
      <c r="S289" s="400">
        <f>SUMIFS(Таблица14[часы],Таблица14[коэф],"1,4",Таблица14[р/р],"3/16",Таблица14[Ф. И. О.],B286)</f>
        <v>0</v>
      </c>
      <c r="T289" s="544">
        <f t="shared" si="138"/>
        <v>0</v>
      </c>
      <c r="U289" s="472">
        <f>IF(D281&lt;=3,база!$M$4,
IF(D281=4,база!$M$5,
IF(D281=5,база!$M$6)))</f>
        <v>225.09719999999999</v>
      </c>
      <c r="V289" s="390">
        <v>1.4</v>
      </c>
      <c r="W289" s="412">
        <f>SUMIFS(Таблица14[часы],Таблица14[коэф],"1,4",Таблица14[р/р],"3/24",Таблица14[Ф. И. О.],B286)</f>
        <v>0</v>
      </c>
      <c r="X289" s="545">
        <f t="shared" si="139"/>
        <v>0</v>
      </c>
      <c r="Y289" s="795"/>
      <c r="Z289" s="797"/>
      <c r="AA289" s="786"/>
    </row>
    <row r="290" spans="1:29">
      <c r="A290" s="786"/>
      <c r="B290" s="216"/>
      <c r="C290" s="789"/>
      <c r="D290" s="792"/>
      <c r="E290" s="393"/>
      <c r="F290" s="390"/>
      <c r="G290" s="400"/>
      <c r="H290" s="544">
        <f t="shared" si="136"/>
        <v>0</v>
      </c>
      <c r="I290" s="389"/>
      <c r="J290" s="390"/>
      <c r="K290" s="434"/>
      <c r="L290" s="395">
        <f t="shared" si="137"/>
        <v>0</v>
      </c>
      <c r="M290" s="432"/>
      <c r="N290" s="434"/>
      <c r="O290" s="434"/>
      <c r="P290" s="434"/>
      <c r="Q290" s="399">
        <f>база!$L$5</f>
        <v>231.45480000000001</v>
      </c>
      <c r="R290" s="390">
        <v>1.4</v>
      </c>
      <c r="S290" s="400">
        <f>SUMIFS(Таблица14[часы],Таблица14[коэф],"1,4",Таблица14[р/р],"4/16",Таблица14[Ф. И. О.],B286)</f>
        <v>0</v>
      </c>
      <c r="T290" s="544">
        <f t="shared" si="138"/>
        <v>0</v>
      </c>
      <c r="U290" s="472">
        <f>база!$M$5</f>
        <v>247.41720000000001</v>
      </c>
      <c r="V290" s="390">
        <v>1.4</v>
      </c>
      <c r="W290" s="412">
        <f>SUMIFS(Таблица14[часы],Таблица14[коэф],"1,4",Таблица14[р/р],"4/24",Таблица14[Ф. И. О.],B286)</f>
        <v>0</v>
      </c>
      <c r="X290" s="545">
        <f t="shared" si="139"/>
        <v>0</v>
      </c>
      <c r="Y290" s="795"/>
      <c r="Z290" s="797"/>
      <c r="AA290" s="786"/>
    </row>
    <row r="291" spans="1:29" ht="21" thickBot="1">
      <c r="A291" s="787"/>
      <c r="B291" s="203"/>
      <c r="C291" s="790"/>
      <c r="D291" s="793"/>
      <c r="E291" s="463"/>
      <c r="F291" s="464"/>
      <c r="G291" s="465"/>
      <c r="H291" s="549">
        <f t="shared" si="136"/>
        <v>0</v>
      </c>
      <c r="I291" s="473"/>
      <c r="J291" s="464"/>
      <c r="K291" s="457"/>
      <c r="L291" s="458">
        <f t="shared" si="137"/>
        <v>0</v>
      </c>
      <c r="M291" s="466"/>
      <c r="N291" s="457"/>
      <c r="O291" s="457"/>
      <c r="P291" s="457"/>
      <c r="Q291" s="467">
        <f>база!$L$6</f>
        <v>261.04640000000001</v>
      </c>
      <c r="R291" s="464">
        <v>1.4</v>
      </c>
      <c r="S291" s="465">
        <f>SUMIFS(Таблица14[часы],Таблица14[коэф],"1,4",Таблица14[р/р],"5/16",Таблица14[Ф. И. О.],B286)</f>
        <v>0</v>
      </c>
      <c r="T291" s="549">
        <f t="shared" si="138"/>
        <v>0</v>
      </c>
      <c r="U291" s="474">
        <f>база!$M$6</f>
        <v>279.0496</v>
      </c>
      <c r="V291" s="464">
        <v>1.4</v>
      </c>
      <c r="W291" s="470">
        <f>SUMIFS(Таблица14[часы],Таблица14[коэф],"1,4",Таблица14[р/р],"5/24",Таблица14[Ф. И. О.],B286)</f>
        <v>0</v>
      </c>
      <c r="X291" s="547">
        <f t="shared" si="139"/>
        <v>0</v>
      </c>
      <c r="Y291" s="796"/>
      <c r="Z291" s="798"/>
      <c r="AA291" s="787"/>
    </row>
    <row r="292" spans="1:29">
      <c r="A292" s="785">
        <v>27</v>
      </c>
      <c r="B292" s="236"/>
      <c r="C292" s="788">
        <f>INDEX(база!$E$2:$E$81, MATCH(B297,база!$B$2:$B$50,0))</f>
        <v>17129</v>
      </c>
      <c r="D292" s="791">
        <f>INDEX(база!$D$2:$D$89, MATCH(B297,база!$B$2:$B$50,0))</f>
        <v>3</v>
      </c>
      <c r="E292" s="381">
        <f>IF(D292&lt;=3,база!$I$4,
IF(D292=4,база!$I$5,
IF(D292=5,база!$I$6)))</f>
        <v>188.7912</v>
      </c>
      <c r="F292" s="378">
        <v>1</v>
      </c>
      <c r="G292" s="387">
        <f>SUMIFS(Таблица14[часы],Таблица14[коэф],"1",Таблица14[р/р],"2/4",Таблица14[Ф. И. О.],B297)</f>
        <v>0</v>
      </c>
      <c r="H292" s="380">
        <f>ROUND(E292*F292*G292*2,2)</f>
        <v>0</v>
      </c>
      <c r="I292" s="377">
        <f>IF(D292&lt;=3,база!$J$4,
IF(D292=4,база!$J$5,
IF(D292=5,база!$J$6)))</f>
        <v>196.05240000000001</v>
      </c>
      <c r="J292" s="378">
        <v>1</v>
      </c>
      <c r="K292" s="428">
        <f>SUMIFS(Таблица14[часы],Таблица14[коэф],"1",Таблица14[р/р],"2/8",Таблица14[Ф. И. О.],B297)</f>
        <v>0</v>
      </c>
      <c r="L292" s="383">
        <f>ROUND(I292*J292*K292*2,2)</f>
        <v>0</v>
      </c>
      <c r="M292" s="426"/>
      <c r="N292" s="428">
        <v>1</v>
      </c>
      <c r="O292" s="428">
        <f>SUMIFS(Data_Tech!$AM$3:$AM$67,Data_Tech!$E$3:$E$67,"1",Data_Tech!$G$3:$G$67,"3/12",Data_Tech!$F$3:$F$67,B297)</f>
        <v>0</v>
      </c>
      <c r="P292" s="428">
        <f>ROUND(M292*N292*O292,2)</f>
        <v>0</v>
      </c>
      <c r="Q292" s="386">
        <f>IF(D292&lt;=3,база!$L$4,
IF(D292=4,база!$L$5,
IF(D292=5,база!$L$6)))</f>
        <v>210.57480000000001</v>
      </c>
      <c r="R292" s="378">
        <v>1</v>
      </c>
      <c r="S292" s="387">
        <f>SUMIFS(Таблица14[часы],Таблица14[коэф],"1",Таблица14[р/р],"3/16",Таблица14[Ф. И. О.],B297)</f>
        <v>0</v>
      </c>
      <c r="T292" s="548">
        <f>ROUND(Q292*R292*S292*2,2)</f>
        <v>0</v>
      </c>
      <c r="U292" s="471">
        <f>IF(D292&lt;=3,база!$M$4,
IF(D292=4,база!$M$5,
IF(D292=5,база!$M$6)))</f>
        <v>225.09719999999999</v>
      </c>
      <c r="V292" s="378">
        <v>1</v>
      </c>
      <c r="W292" s="430">
        <f>SUMIFS(Таблица14[часы],Таблица14[коэф],"1",Таблица14[р/р],"3/24",Таблица14[Ф. И. О.],B297)</f>
        <v>0</v>
      </c>
      <c r="X292" s="543">
        <f>ROUND(U292*V292*W292*2,2)</f>
        <v>0</v>
      </c>
      <c r="Y292" s="795">
        <f t="shared" ref="Y292" si="140">SUM(G292:G302,K292:K302,O292:O302,S292:S302,W292:W302)</f>
        <v>0</v>
      </c>
      <c r="Z292" s="797">
        <f t="shared" ref="Z292" si="141">IFERROR(SUM(H292:H302,L292:L302,T292:T302,X292:X302),"")</f>
        <v>0</v>
      </c>
      <c r="AA292" s="786"/>
    </row>
    <row r="293" spans="1:29">
      <c r="A293" s="786"/>
      <c r="B293" s="216"/>
      <c r="C293" s="789"/>
      <c r="D293" s="792"/>
      <c r="E293" s="393">
        <f>IF(D292&lt;=3,база!$I$4,
IF(D292=4,база!$I$5,
IF(D292=5,база!$I$6)))</f>
        <v>188.7912</v>
      </c>
      <c r="F293" s="390">
        <v>1</v>
      </c>
      <c r="G293" s="400">
        <f>SUMIFS(Таблица14[часы],Таблица14[коэф],"1",Таблица14[р/р],"3/4",Таблица14[Ф. И. О.],B297)</f>
        <v>0</v>
      </c>
      <c r="H293" s="542">
        <f t="shared" ref="H293:H302" si="142">ROUND(E293*F293*G293*2,2)</f>
        <v>0</v>
      </c>
      <c r="I293" s="389">
        <f>IF(D292&lt;=3,база!$J$4,
IF(D292=4,база!$J$5,
IF(D292=5,база!$J$6)))</f>
        <v>196.05240000000001</v>
      </c>
      <c r="J293" s="390">
        <v>1</v>
      </c>
      <c r="K293" s="434">
        <f>SUMIFS(Таблица14[часы],Таблица14[коэф],"1",Таблица14[р/р],"3/8",Таблица14[Ф. И. О.],B297)</f>
        <v>0</v>
      </c>
      <c r="L293" s="395">
        <f t="shared" ref="L293:L302" si="143">ROUND(I293*J293*K293*2,2)</f>
        <v>0</v>
      </c>
      <c r="M293" s="432"/>
      <c r="N293" s="434">
        <v>1</v>
      </c>
      <c r="O293" s="434">
        <f>SUMIFS(Data_Tech!$AM$3:$AM$67,Data_Tech!$E$3:$E$67,"1",Data_Tech!$G$3:$G$67,"4/12",Data_Tech!$F$3:$F$67,B297)</f>
        <v>0</v>
      </c>
      <c r="P293" s="434">
        <f>ROUND(M293*O293,2)</f>
        <v>0</v>
      </c>
      <c r="Q293" s="399">
        <f>база!$L$5</f>
        <v>231.45480000000001</v>
      </c>
      <c r="R293" s="390">
        <v>1</v>
      </c>
      <c r="S293" s="400">
        <f>SUMIFS(Таблица14[часы],Таблица14[коэф],"1",Таблица14[р/р],"4/16",Таблица14[Ф. И. О.],B297)</f>
        <v>0</v>
      </c>
      <c r="T293" s="544">
        <f t="shared" ref="T293:T302" si="144">ROUND(Q293*R293*S293*2,2)</f>
        <v>0</v>
      </c>
      <c r="U293" s="472">
        <f>база!$M$5</f>
        <v>247.41720000000001</v>
      </c>
      <c r="V293" s="390">
        <v>1</v>
      </c>
      <c r="W293" s="412">
        <f>SUMIFS(Таблица14[часы],Таблица14[коэф],"1",Таблица14[р/р],"4/24",Таблица14[Ф. И. О.],B297)</f>
        <v>0</v>
      </c>
      <c r="X293" s="545">
        <f t="shared" ref="X293:X302" si="145">ROUND(U293*V293*W293*2,2)</f>
        <v>0</v>
      </c>
      <c r="Y293" s="795"/>
      <c r="Z293" s="797"/>
      <c r="AA293" s="786"/>
    </row>
    <row r="294" spans="1:29">
      <c r="A294" s="786"/>
      <c r="B294" s="216"/>
      <c r="C294" s="789"/>
      <c r="D294" s="792"/>
      <c r="E294" s="393"/>
      <c r="F294" s="390"/>
      <c r="G294" s="400"/>
      <c r="H294" s="544">
        <f t="shared" si="142"/>
        <v>0</v>
      </c>
      <c r="I294" s="389"/>
      <c r="J294" s="390"/>
      <c r="K294" s="434"/>
      <c r="L294" s="395">
        <f t="shared" si="143"/>
        <v>0</v>
      </c>
      <c r="M294" s="432"/>
      <c r="N294" s="434"/>
      <c r="O294" s="434"/>
      <c r="P294" s="434"/>
      <c r="Q294" s="399">
        <f>база!$L$6</f>
        <v>261.04640000000001</v>
      </c>
      <c r="R294" s="390">
        <v>1</v>
      </c>
      <c r="S294" s="400">
        <f>SUMIFS(Таблица14[часы],Таблица14[коэф],"1",Таблица14[р/р],"5/16",Таблица14[Ф. И. О.],B297)</f>
        <v>0</v>
      </c>
      <c r="T294" s="544">
        <f t="shared" si="144"/>
        <v>0</v>
      </c>
      <c r="U294" s="472">
        <f>база!$M$6</f>
        <v>279.0496</v>
      </c>
      <c r="V294" s="390">
        <v>1</v>
      </c>
      <c r="W294" s="412">
        <f>SUMIFS(Таблица14[часы],Таблица14[коэф],"1",Таблица14[р/р],"5/24",Таблица14[Ф. И. О.],B297)</f>
        <v>0</v>
      </c>
      <c r="X294" s="545">
        <f t="shared" si="145"/>
        <v>0</v>
      </c>
      <c r="Y294" s="795"/>
      <c r="Z294" s="797"/>
      <c r="AA294" s="786"/>
    </row>
    <row r="295" spans="1:29">
      <c r="A295" s="786"/>
      <c r="B295" s="216"/>
      <c r="C295" s="789"/>
      <c r="D295" s="792"/>
      <c r="E295" s="393"/>
      <c r="F295" s="390"/>
      <c r="G295" s="400"/>
      <c r="H295" s="544">
        <f t="shared" si="142"/>
        <v>0</v>
      </c>
      <c r="I295" s="389">
        <f>база!$J$5</f>
        <v>215.4924</v>
      </c>
      <c r="J295" s="390">
        <v>1.5</v>
      </c>
      <c r="K295" s="434">
        <f>SUMIFS(Таблица14[часы],Таблица14[коэф],"1,5",Таблица14[р/р],"4/8",Таблица14[Ф. И. О.],B297)</f>
        <v>0</v>
      </c>
      <c r="L295" s="395">
        <f t="shared" si="143"/>
        <v>0</v>
      </c>
      <c r="M295" s="432"/>
      <c r="N295" s="434"/>
      <c r="O295" s="434"/>
      <c r="P295" s="434"/>
      <c r="Q295" s="399">
        <f>IF(D292&lt;=3,база!$L$4,
IF(D292=4,база!$L$5,
IF(D292=5,база!$L$6)))</f>
        <v>210.57480000000001</v>
      </c>
      <c r="R295" s="390">
        <v>1.2</v>
      </c>
      <c r="S295" s="400">
        <f>SUMIFS(Таблица14[часы],Таблица14[коэф],"1,2",Таблица14[р/р],"3/16",Таблица14[Ф. И. О.],B297)</f>
        <v>0</v>
      </c>
      <c r="T295" s="544">
        <f t="shared" si="144"/>
        <v>0</v>
      </c>
      <c r="U295" s="472">
        <f>IF(D292&lt;=3,база!$M$4,
IF(D292=4,база!$M$5,
IF(D292=5,база!$M$6)))</f>
        <v>225.09719999999999</v>
      </c>
      <c r="V295" s="390">
        <v>1.2</v>
      </c>
      <c r="W295" s="412">
        <f>SUMIFS(Таблица14[часы],Таблица14[коэф],"1,2",Таблица14[р/р],"3/24",Таблица14[Ф. И. О.],B297)</f>
        <v>0</v>
      </c>
      <c r="X295" s="545">
        <f t="shared" si="145"/>
        <v>0</v>
      </c>
      <c r="Y295" s="795"/>
      <c r="Z295" s="797"/>
      <c r="AA295" s="786"/>
    </row>
    <row r="296" spans="1:29">
      <c r="A296" s="786"/>
      <c r="B296" s="216"/>
      <c r="C296" s="789"/>
      <c r="D296" s="792"/>
      <c r="E296" s="393"/>
      <c r="F296" s="390"/>
      <c r="G296" s="400"/>
      <c r="H296" s="544">
        <f t="shared" si="142"/>
        <v>0</v>
      </c>
      <c r="I296" s="389">
        <f>база!$J$6</f>
        <v>243.04319999999998</v>
      </c>
      <c r="J296" s="390">
        <v>1.5</v>
      </c>
      <c r="K296" s="434">
        <f>SUMIFS(Таблица14[часы],Таблица14[коэф],"1,5",Таблица14[р/р],"5/8",Таблица14[Ф. И. О.],B297)</f>
        <v>0</v>
      </c>
      <c r="L296" s="395">
        <f t="shared" si="143"/>
        <v>0</v>
      </c>
      <c r="M296" s="432"/>
      <c r="N296" s="434"/>
      <c r="O296" s="434"/>
      <c r="P296" s="434"/>
      <c r="Q296" s="399">
        <f>база!$L$5</f>
        <v>231.45480000000001</v>
      </c>
      <c r="R296" s="390">
        <v>1.2</v>
      </c>
      <c r="S296" s="400">
        <f>SUMIFS(Таблица14[часы],Таблица14[коэф],"1,2",Таблица14[р/р],"4/16",Таблица14[Ф. И. О.],B297)</f>
        <v>0</v>
      </c>
      <c r="T296" s="544">
        <f t="shared" si="144"/>
        <v>0</v>
      </c>
      <c r="U296" s="472">
        <f>база!$M$5</f>
        <v>247.41720000000001</v>
      </c>
      <c r="V296" s="390">
        <v>1.2</v>
      </c>
      <c r="W296" s="412">
        <f>SUMIFS(Таблица14[часы],Таблица14[коэф],"1,2",Таблица14[р/р],"4/24",Таблица14[Ф. И. О.],B297)</f>
        <v>0</v>
      </c>
      <c r="X296" s="545">
        <f t="shared" si="145"/>
        <v>0</v>
      </c>
      <c r="Y296" s="795"/>
      <c r="Z296" s="797"/>
      <c r="AA296" s="786"/>
      <c r="AC296" s="754" t="str">
        <f>IF(SUMIFS(Таблица14[Столбец2],Таблица14[Ф. И. О.],B297)-Z292=0,"",SUMIFS(Таблица14[Столбец2],Таблица14[Ф. И. О.],B297)-Z292)</f>
        <v/>
      </c>
    </row>
    <row r="297" spans="1:29">
      <c r="A297" s="786"/>
      <c r="B297" s="216" t="str">
        <f>база!B28</f>
        <v>Зинина Екатерина Олеговна</v>
      </c>
      <c r="C297" s="789"/>
      <c r="D297" s="792"/>
      <c r="E297" s="393"/>
      <c r="F297" s="390"/>
      <c r="G297" s="400"/>
      <c r="H297" s="544">
        <f t="shared" si="142"/>
        <v>0</v>
      </c>
      <c r="I297" s="389"/>
      <c r="J297" s="390"/>
      <c r="K297" s="434"/>
      <c r="L297" s="395">
        <f t="shared" si="143"/>
        <v>0</v>
      </c>
      <c r="M297" s="432"/>
      <c r="N297" s="434"/>
      <c r="O297" s="434"/>
      <c r="P297" s="434"/>
      <c r="Q297" s="399">
        <f>база!$L$6</f>
        <v>261.04640000000001</v>
      </c>
      <c r="R297" s="390">
        <v>1.2</v>
      </c>
      <c r="S297" s="400">
        <f>SUMIFS(Таблица14[часы],Таблица14[коэф],"1,2",Таблица14[р/р],"5/16",Таблица14[Ф. И. О.],B297)</f>
        <v>0</v>
      </c>
      <c r="T297" s="544">
        <f t="shared" si="144"/>
        <v>0</v>
      </c>
      <c r="U297" s="472">
        <f>база!$M$6</f>
        <v>279.0496</v>
      </c>
      <c r="V297" s="390">
        <v>1.2</v>
      </c>
      <c r="W297" s="412">
        <f>SUMIFS(Таблица14[часы],Таблица14[коэф],"1,2",Таблица14[р/р],"5/24",Таблица14[Ф. И. О.],B297)</f>
        <v>0</v>
      </c>
      <c r="X297" s="545">
        <f t="shared" si="145"/>
        <v>0</v>
      </c>
      <c r="Y297" s="795"/>
      <c r="Z297" s="797"/>
      <c r="AA297" s="786"/>
      <c r="AC297" s="754" t="str">
        <f>IF(SUMIFS(Таблица14[часы],Таблица14[Ф. И. О.],B297)-Y292=0,"",SUMIFS(Таблица14[часы],Таблица14[Ф. И. О.],B297)-Y292)</f>
        <v/>
      </c>
    </row>
    <row r="298" spans="1:29">
      <c r="A298" s="786"/>
      <c r="B298" s="216"/>
      <c r="C298" s="789"/>
      <c r="D298" s="792"/>
      <c r="E298" s="393"/>
      <c r="F298" s="390"/>
      <c r="G298" s="400"/>
      <c r="H298" s="544">
        <f t="shared" si="142"/>
        <v>0</v>
      </c>
      <c r="I298" s="389"/>
      <c r="J298" s="390"/>
      <c r="K298" s="434"/>
      <c r="L298" s="395">
        <f t="shared" si="143"/>
        <v>0</v>
      </c>
      <c r="M298" s="432"/>
      <c r="N298" s="434"/>
      <c r="O298" s="434"/>
      <c r="P298" s="434"/>
      <c r="Q298" s="399">
        <f>IF(D292&lt;=3,база!$L$4,
IF(D292=4,база!$L$5,
IF(D292=5,база!$L$6)))</f>
        <v>210.57480000000001</v>
      </c>
      <c r="R298" s="390">
        <v>1.3</v>
      </c>
      <c r="S298" s="400">
        <f>SUMIFS(Таблица14[часы],Таблица14[коэф],"1,3",Таблица14[р/р],"3/16",Таблица14[Ф. И. О.],B297)</f>
        <v>0</v>
      </c>
      <c r="T298" s="544">
        <f t="shared" si="144"/>
        <v>0</v>
      </c>
      <c r="U298" s="472">
        <f>IF(D292&lt;=3,база!$M$4,
IF(D292=4,база!$M$5,
IF(D292=5,база!$M$6)))</f>
        <v>225.09719999999999</v>
      </c>
      <c r="V298" s="390">
        <v>1.3</v>
      </c>
      <c r="W298" s="412">
        <f>SUMIFS(Таблица14[часы],Таблица14[коэф],"1,3",Таблица14[р/р],"3/24",Таблица14[Ф. И. О.],B297)</f>
        <v>0</v>
      </c>
      <c r="X298" s="545">
        <f t="shared" si="145"/>
        <v>0</v>
      </c>
      <c r="Y298" s="795"/>
      <c r="Z298" s="797"/>
      <c r="AA298" s="786"/>
    </row>
    <row r="299" spans="1:29">
      <c r="A299" s="786"/>
      <c r="B299" s="216"/>
      <c r="C299" s="789"/>
      <c r="D299" s="792"/>
      <c r="E299" s="393"/>
      <c r="F299" s="390"/>
      <c r="G299" s="400"/>
      <c r="H299" s="544">
        <f t="shared" si="142"/>
        <v>0</v>
      </c>
      <c r="I299" s="389"/>
      <c r="J299" s="390"/>
      <c r="K299" s="434"/>
      <c r="L299" s="395">
        <f t="shared" si="143"/>
        <v>0</v>
      </c>
      <c r="M299" s="432"/>
      <c r="N299" s="434"/>
      <c r="O299" s="434"/>
      <c r="P299" s="434"/>
      <c r="Q299" s="399">
        <f>база!$L$5</f>
        <v>231.45480000000001</v>
      </c>
      <c r="R299" s="390">
        <v>1.3</v>
      </c>
      <c r="S299" s="400">
        <f>SUMIFS(Таблица14[часы],Таблица14[коэф],"1,3",Таблица14[р/р],"4/16",Таблица14[Ф. И. О.],B297)</f>
        <v>0</v>
      </c>
      <c r="T299" s="544">
        <f t="shared" si="144"/>
        <v>0</v>
      </c>
      <c r="U299" s="472">
        <f>база!$M$5</f>
        <v>247.41720000000001</v>
      </c>
      <c r="V299" s="390">
        <v>1.3</v>
      </c>
      <c r="W299" s="412">
        <f>SUMIFS(Таблица14[часы],Таблица14[коэф],"1,3",Таблица14[р/р],"4/24",Таблица14[Ф. И. О.],B297)</f>
        <v>0</v>
      </c>
      <c r="X299" s="545">
        <f t="shared" si="145"/>
        <v>0</v>
      </c>
      <c r="Y299" s="795"/>
      <c r="Z299" s="797"/>
      <c r="AA299" s="786"/>
    </row>
    <row r="300" spans="1:29">
      <c r="A300" s="786"/>
      <c r="B300" s="216"/>
      <c r="C300" s="789"/>
      <c r="D300" s="792"/>
      <c r="E300" s="393"/>
      <c r="F300" s="390"/>
      <c r="G300" s="400"/>
      <c r="H300" s="544">
        <f t="shared" si="142"/>
        <v>0</v>
      </c>
      <c r="I300" s="389"/>
      <c r="J300" s="390"/>
      <c r="K300" s="434"/>
      <c r="L300" s="395">
        <f t="shared" si="143"/>
        <v>0</v>
      </c>
      <c r="M300" s="432"/>
      <c r="N300" s="434"/>
      <c r="O300" s="434"/>
      <c r="P300" s="434"/>
      <c r="Q300" s="399">
        <f>IF(D292&lt;=3,база!$L$4,
IF(D292=4,база!$L$5,
IF(D292=5,база!$L$6)))</f>
        <v>210.57480000000001</v>
      </c>
      <c r="R300" s="390">
        <v>1.4</v>
      </c>
      <c r="S300" s="400">
        <f>SUMIFS(Таблица14[часы],Таблица14[коэф],"1,4",Таблица14[р/р],"3/16",Таблица14[Ф. И. О.],B297)</f>
        <v>0</v>
      </c>
      <c r="T300" s="544">
        <f t="shared" si="144"/>
        <v>0</v>
      </c>
      <c r="U300" s="472">
        <f>IF(D292&lt;=3,база!$M$4,
IF(D292=4,база!$M$5,
IF(D292=5,база!$M$6)))</f>
        <v>225.09719999999999</v>
      </c>
      <c r="V300" s="390">
        <v>1.4</v>
      </c>
      <c r="W300" s="412">
        <f>SUMIFS(Таблица14[часы],Таблица14[коэф],"1,4",Таблица14[р/р],"3/24",Таблица14[Ф. И. О.],B297)</f>
        <v>0</v>
      </c>
      <c r="X300" s="545">
        <f t="shared" si="145"/>
        <v>0</v>
      </c>
      <c r="Y300" s="795"/>
      <c r="Z300" s="797"/>
      <c r="AA300" s="786"/>
    </row>
    <row r="301" spans="1:29">
      <c r="A301" s="786"/>
      <c r="B301" s="216"/>
      <c r="C301" s="789"/>
      <c r="D301" s="792"/>
      <c r="E301" s="393"/>
      <c r="F301" s="390"/>
      <c r="G301" s="400"/>
      <c r="H301" s="544">
        <f t="shared" si="142"/>
        <v>0</v>
      </c>
      <c r="I301" s="389"/>
      <c r="J301" s="390"/>
      <c r="K301" s="434"/>
      <c r="L301" s="395">
        <f t="shared" si="143"/>
        <v>0</v>
      </c>
      <c r="M301" s="432"/>
      <c r="N301" s="434"/>
      <c r="O301" s="434"/>
      <c r="P301" s="434"/>
      <c r="Q301" s="399">
        <f>база!$L$5</f>
        <v>231.45480000000001</v>
      </c>
      <c r="R301" s="390">
        <v>1.4</v>
      </c>
      <c r="S301" s="400">
        <f>SUMIFS(Таблица14[часы],Таблица14[коэф],"1,4",Таблица14[р/р],"4/16",Таблица14[Ф. И. О.],B297)</f>
        <v>0</v>
      </c>
      <c r="T301" s="544">
        <f t="shared" si="144"/>
        <v>0</v>
      </c>
      <c r="U301" s="472">
        <f>база!$M$5</f>
        <v>247.41720000000001</v>
      </c>
      <c r="V301" s="390">
        <v>1.4</v>
      </c>
      <c r="W301" s="412">
        <f>SUMIFS(Таблица14[часы],Таблица14[коэф],"1,4",Таблица14[р/р],"4/24",Таблица14[Ф. И. О.],B297)</f>
        <v>0</v>
      </c>
      <c r="X301" s="545">
        <f t="shared" si="145"/>
        <v>0</v>
      </c>
      <c r="Y301" s="795"/>
      <c r="Z301" s="797"/>
      <c r="AA301" s="786"/>
    </row>
    <row r="302" spans="1:29" ht="21" thickBot="1">
      <c r="A302" s="787"/>
      <c r="B302" s="203"/>
      <c r="C302" s="790"/>
      <c r="D302" s="793"/>
      <c r="E302" s="463"/>
      <c r="F302" s="464"/>
      <c r="G302" s="465"/>
      <c r="H302" s="549">
        <f t="shared" si="142"/>
        <v>0</v>
      </c>
      <c r="I302" s="473"/>
      <c r="J302" s="464"/>
      <c r="K302" s="457"/>
      <c r="L302" s="458">
        <f t="shared" si="143"/>
        <v>0</v>
      </c>
      <c r="M302" s="466"/>
      <c r="N302" s="457"/>
      <c r="O302" s="457"/>
      <c r="P302" s="457"/>
      <c r="Q302" s="467">
        <f>база!$L$6</f>
        <v>261.04640000000001</v>
      </c>
      <c r="R302" s="464">
        <v>1.4</v>
      </c>
      <c r="S302" s="465">
        <f>SUMIFS(Таблица14[часы],Таблица14[коэф],"1,4",Таблица14[р/р],"5/16",Таблица14[Ф. И. О.],B297)</f>
        <v>0</v>
      </c>
      <c r="T302" s="549">
        <f t="shared" si="144"/>
        <v>0</v>
      </c>
      <c r="U302" s="474">
        <f>база!$M$6</f>
        <v>279.0496</v>
      </c>
      <c r="V302" s="464">
        <v>1.4</v>
      </c>
      <c r="W302" s="470">
        <f>SUMIFS(Таблица14[часы],Таблица14[коэф],"1,4",Таблица14[р/р],"5/24",Таблица14[Ф. И. О.],B297)</f>
        <v>0</v>
      </c>
      <c r="X302" s="547">
        <f t="shared" si="145"/>
        <v>0</v>
      </c>
      <c r="Y302" s="796"/>
      <c r="Z302" s="798"/>
      <c r="AA302" s="787"/>
    </row>
    <row r="303" spans="1:29">
      <c r="A303" s="785">
        <v>28</v>
      </c>
      <c r="B303" s="236"/>
      <c r="C303" s="788">
        <f>INDEX(база!$E$2:$E$81, MATCH(B308,база!$B$2:$B$50,0))</f>
        <v>13676</v>
      </c>
      <c r="D303" s="791">
        <f>INDEX(база!$D$2:$D$89, MATCH(B308,база!$B$2:$B$50,0))</f>
        <v>4</v>
      </c>
      <c r="E303" s="381">
        <f>IF(D303&lt;=3,база!$I$4,
IF(D303=4,база!$I$5,
IF(D303=5,база!$I$6)))</f>
        <v>207.5112</v>
      </c>
      <c r="F303" s="378">
        <v>1</v>
      </c>
      <c r="G303" s="387">
        <f>SUMIFS(Таблица14[часы],Таблица14[коэф],"1",Таблица14[р/р],"2/4",Таблица14[Ф. И. О.],B308)</f>
        <v>0</v>
      </c>
      <c r="H303" s="380">
        <f>ROUND(E303*F303*G303*2,2)</f>
        <v>0</v>
      </c>
      <c r="I303" s="377">
        <f>IF(D303&lt;=3,база!$J$4,
IF(D303=4,база!$J$5,
IF(D303=5,база!$J$6)))</f>
        <v>215.4924</v>
      </c>
      <c r="J303" s="378">
        <v>1</v>
      </c>
      <c r="K303" s="428">
        <f>SUMIFS(Таблица14[часы],Таблица14[коэф],"1",Таблица14[р/р],"2/8",Таблица14[Ф. И. О.],B308)</f>
        <v>0</v>
      </c>
      <c r="L303" s="383">
        <f>ROUND(I303*J303*K303*2,2)</f>
        <v>0</v>
      </c>
      <c r="M303" s="426"/>
      <c r="N303" s="428">
        <v>1</v>
      </c>
      <c r="O303" s="428">
        <f>SUMIFS(Data_Tech!$AM$3:$AM$67,Data_Tech!$E$3:$E$67,"1",Data_Tech!$G$3:$G$67,"3/12",Data_Tech!$F$3:$F$67,B308)</f>
        <v>0</v>
      </c>
      <c r="P303" s="428">
        <f>ROUND(M303*N303*O303,2)</f>
        <v>0</v>
      </c>
      <c r="Q303" s="386">
        <f>IF(D303&lt;=3,база!$L$4,
IF(D303=4,база!$L$5,
IF(D303=5,база!$L$6)))</f>
        <v>231.45480000000001</v>
      </c>
      <c r="R303" s="378">
        <v>1</v>
      </c>
      <c r="S303" s="387">
        <f>SUMIFS(Таблица14[часы],Таблица14[коэф],"1",Таблица14[р/р],"3/16",Таблица14[Ф. И. О.],B308)</f>
        <v>0</v>
      </c>
      <c r="T303" s="548">
        <f>ROUND(Q303*R303*S303*2,2)</f>
        <v>0</v>
      </c>
      <c r="U303" s="471">
        <f>IF(D303&lt;=3,база!$M$4,
IF(D303=4,база!$M$5,
IF(D303=5,база!$M$6)))</f>
        <v>247.41720000000001</v>
      </c>
      <c r="V303" s="378">
        <v>1</v>
      </c>
      <c r="W303" s="430">
        <f>SUMIFS(Таблица14[часы],Таблица14[коэф],"1",Таблица14[р/р],"3/24",Таблица14[Ф. И. О.],B308)</f>
        <v>0</v>
      </c>
      <c r="X303" s="543">
        <f>ROUND(U303*V303*W303*2,2)</f>
        <v>0</v>
      </c>
      <c r="Y303" s="795">
        <f t="shared" ref="Y303" si="146">SUM(G303:G313,K303:K313,O303:O313,S303:S313,W303:W313)</f>
        <v>0</v>
      </c>
      <c r="Z303" s="797">
        <f t="shared" ref="Z303" si="147">IFERROR(SUM(H303:H313,L303:L313,T303:T313,X303:X313),"")</f>
        <v>0</v>
      </c>
      <c r="AA303" s="786"/>
    </row>
    <row r="304" spans="1:29">
      <c r="A304" s="786"/>
      <c r="B304" s="216"/>
      <c r="C304" s="789"/>
      <c r="D304" s="792"/>
      <c r="E304" s="393">
        <f>IF(D303&lt;=3,база!$I$4,
IF(D303=4,база!$I$5,
IF(D303=5,база!$I$6)))</f>
        <v>207.5112</v>
      </c>
      <c r="F304" s="390">
        <v>1</v>
      </c>
      <c r="G304" s="400">
        <f>SUMIFS(Таблица14[часы],Таблица14[коэф],"1",Таблица14[р/р],"3/4",Таблица14[Ф. И. О.],B308)</f>
        <v>0</v>
      </c>
      <c r="H304" s="542">
        <f t="shared" ref="H304:H313" si="148">ROUND(E304*F304*G304*2,2)</f>
        <v>0</v>
      </c>
      <c r="I304" s="389">
        <f>IF(D303&lt;=3,база!$J$4,
IF(D303=4,база!$J$5,
IF(D303=5,база!$J$6)))</f>
        <v>215.4924</v>
      </c>
      <c r="J304" s="390">
        <v>1</v>
      </c>
      <c r="K304" s="434">
        <f>SUMIFS(Таблица14[часы],Таблица14[коэф],"1",Таблица14[р/р],"3/8",Таблица14[Ф. И. О.],B308)</f>
        <v>0</v>
      </c>
      <c r="L304" s="395">
        <f t="shared" ref="L304:L313" si="149">ROUND(I304*J304*K304*2,2)</f>
        <v>0</v>
      </c>
      <c r="M304" s="432"/>
      <c r="N304" s="434">
        <v>1</v>
      </c>
      <c r="O304" s="434">
        <f>SUMIFS(Data_Tech!$AM$3:$AM$67,Data_Tech!$E$3:$E$67,"1",Data_Tech!$G$3:$G$67,"4/12",Data_Tech!$F$3:$F$67,B308)</f>
        <v>0</v>
      </c>
      <c r="P304" s="434">
        <f>ROUND(M304*O304,2)</f>
        <v>0</v>
      </c>
      <c r="Q304" s="399">
        <f>база!$L$5</f>
        <v>231.45480000000001</v>
      </c>
      <c r="R304" s="390">
        <v>1</v>
      </c>
      <c r="S304" s="400">
        <f>SUMIFS(Таблица14[часы],Таблица14[коэф],"1",Таблица14[р/р],"4/16",Таблица14[Ф. И. О.],B308)</f>
        <v>0</v>
      </c>
      <c r="T304" s="544">
        <f t="shared" ref="T304:T313" si="150">ROUND(Q304*R304*S304*2,2)</f>
        <v>0</v>
      </c>
      <c r="U304" s="472">
        <f>база!$M$5</f>
        <v>247.41720000000001</v>
      </c>
      <c r="V304" s="390">
        <v>1</v>
      </c>
      <c r="W304" s="412">
        <f>SUMIFS(Таблица14[часы],Таблица14[коэф],"1",Таблица14[р/р],"4/24",Таблица14[Ф. И. О.],B308)</f>
        <v>0</v>
      </c>
      <c r="X304" s="545">
        <f t="shared" ref="X304:X313" si="151">ROUND(U304*V304*W304*2,2)</f>
        <v>0</v>
      </c>
      <c r="Y304" s="795"/>
      <c r="Z304" s="797"/>
      <c r="AA304" s="786"/>
    </row>
    <row r="305" spans="1:29">
      <c r="A305" s="786"/>
      <c r="B305" s="216"/>
      <c r="C305" s="789"/>
      <c r="D305" s="792"/>
      <c r="E305" s="393"/>
      <c r="F305" s="390"/>
      <c r="G305" s="400"/>
      <c r="H305" s="544">
        <f t="shared" si="148"/>
        <v>0</v>
      </c>
      <c r="I305" s="389"/>
      <c r="J305" s="390"/>
      <c r="K305" s="434"/>
      <c r="L305" s="395">
        <f t="shared" si="149"/>
        <v>0</v>
      </c>
      <c r="M305" s="432"/>
      <c r="N305" s="434"/>
      <c r="O305" s="434"/>
      <c r="P305" s="434"/>
      <c r="Q305" s="399">
        <f>база!$L$6</f>
        <v>261.04640000000001</v>
      </c>
      <c r="R305" s="390">
        <v>1</v>
      </c>
      <c r="S305" s="400">
        <f>SUMIFS(Таблица14[часы],Таблица14[коэф],"1",Таблица14[р/р],"5/16",Таблица14[Ф. И. О.],B308)</f>
        <v>0</v>
      </c>
      <c r="T305" s="544">
        <f t="shared" si="150"/>
        <v>0</v>
      </c>
      <c r="U305" s="472">
        <f>база!$M$6</f>
        <v>279.0496</v>
      </c>
      <c r="V305" s="390">
        <v>1</v>
      </c>
      <c r="W305" s="412">
        <f>SUMIFS(Таблица14[часы],Таблица14[коэф],"1",Таблица14[р/р],"5/24",Таблица14[Ф. И. О.],B308)</f>
        <v>0</v>
      </c>
      <c r="X305" s="545">
        <f t="shared" si="151"/>
        <v>0</v>
      </c>
      <c r="Y305" s="795"/>
      <c r="Z305" s="797"/>
      <c r="AA305" s="786"/>
    </row>
    <row r="306" spans="1:29">
      <c r="A306" s="786"/>
      <c r="B306" s="216"/>
      <c r="C306" s="789"/>
      <c r="D306" s="792"/>
      <c r="E306" s="393"/>
      <c r="F306" s="390"/>
      <c r="G306" s="400"/>
      <c r="H306" s="544">
        <f t="shared" si="148"/>
        <v>0</v>
      </c>
      <c r="I306" s="389">
        <f>база!$J$5</f>
        <v>215.4924</v>
      </c>
      <c r="J306" s="390">
        <v>1.5</v>
      </c>
      <c r="K306" s="434">
        <f>SUMIFS(Таблица14[часы],Таблица14[коэф],"1,5",Таблица14[р/р],"4/8",Таблица14[Ф. И. О.],B308)</f>
        <v>0</v>
      </c>
      <c r="L306" s="395">
        <f t="shared" si="149"/>
        <v>0</v>
      </c>
      <c r="M306" s="432"/>
      <c r="N306" s="434"/>
      <c r="O306" s="434"/>
      <c r="P306" s="434"/>
      <c r="Q306" s="399">
        <f>IF(D303&lt;=3,база!$L$4,
IF(D303=4,база!$L$5,
IF(D303=5,база!$L$6)))</f>
        <v>231.45480000000001</v>
      </c>
      <c r="R306" s="390">
        <v>1.2</v>
      </c>
      <c r="S306" s="400">
        <f>SUMIFS(Таблица14[часы],Таблица14[коэф],"1,2",Таблица14[р/р],"3/16",Таблица14[Ф. И. О.],B308)</f>
        <v>0</v>
      </c>
      <c r="T306" s="544">
        <f t="shared" si="150"/>
        <v>0</v>
      </c>
      <c r="U306" s="472">
        <f>IF(D303&lt;=3,база!$M$4,
IF(D303=4,база!$M$5,
IF(D303=5,база!$M$6)))</f>
        <v>247.41720000000001</v>
      </c>
      <c r="V306" s="390">
        <v>1.2</v>
      </c>
      <c r="W306" s="412">
        <f>SUMIFS(Таблица14[часы],Таблица14[коэф],"1,2",Таблица14[р/р],"3/24",Таблица14[Ф. И. О.],B308)</f>
        <v>0</v>
      </c>
      <c r="X306" s="545">
        <f t="shared" si="151"/>
        <v>0</v>
      </c>
      <c r="Y306" s="795"/>
      <c r="Z306" s="797"/>
      <c r="AA306" s="786"/>
    </row>
    <row r="307" spans="1:29">
      <c r="A307" s="786"/>
      <c r="B307" s="216"/>
      <c r="C307" s="789"/>
      <c r="D307" s="792"/>
      <c r="E307" s="393"/>
      <c r="F307" s="390"/>
      <c r="G307" s="400"/>
      <c r="H307" s="544">
        <f t="shared" si="148"/>
        <v>0</v>
      </c>
      <c r="I307" s="389">
        <f>база!$J$6</f>
        <v>243.04319999999998</v>
      </c>
      <c r="J307" s="390">
        <v>1.5</v>
      </c>
      <c r="K307" s="434">
        <f>SUMIFS(Таблица14[часы],Таблица14[коэф],"1,5",Таблица14[р/р],"5/8",Таблица14[Ф. И. О.],B308)</f>
        <v>0</v>
      </c>
      <c r="L307" s="395">
        <f t="shared" si="149"/>
        <v>0</v>
      </c>
      <c r="M307" s="432"/>
      <c r="N307" s="434"/>
      <c r="O307" s="434"/>
      <c r="P307" s="434"/>
      <c r="Q307" s="399">
        <f>база!$L$5</f>
        <v>231.45480000000001</v>
      </c>
      <c r="R307" s="390">
        <v>1.2</v>
      </c>
      <c r="S307" s="400">
        <f>SUMIFS(Таблица14[часы],Таблица14[коэф],"1,2",Таблица14[р/р],"4/16",Таблица14[Ф. И. О.],B308)</f>
        <v>0</v>
      </c>
      <c r="T307" s="544">
        <f t="shared" si="150"/>
        <v>0</v>
      </c>
      <c r="U307" s="472">
        <f>база!$M$5</f>
        <v>247.41720000000001</v>
      </c>
      <c r="V307" s="390">
        <v>1.2</v>
      </c>
      <c r="W307" s="412">
        <f>SUMIFS(Таблица14[часы],Таблица14[коэф],"1,2",Таблица14[р/р],"4/24",Таблица14[Ф. И. О.],B308)</f>
        <v>0</v>
      </c>
      <c r="X307" s="545">
        <f t="shared" si="151"/>
        <v>0</v>
      </c>
      <c r="Y307" s="795"/>
      <c r="Z307" s="797"/>
      <c r="AA307" s="786"/>
    </row>
    <row r="308" spans="1:29">
      <c r="A308" s="786"/>
      <c r="B308" s="216" t="str">
        <f>база!B29</f>
        <v>Зоидзе Ирина Сергеевна</v>
      </c>
      <c r="C308" s="789"/>
      <c r="D308" s="792"/>
      <c r="E308" s="393"/>
      <c r="F308" s="390"/>
      <c r="G308" s="400"/>
      <c r="H308" s="544">
        <f t="shared" si="148"/>
        <v>0</v>
      </c>
      <c r="I308" s="389"/>
      <c r="J308" s="390"/>
      <c r="K308" s="434"/>
      <c r="L308" s="395">
        <f t="shared" si="149"/>
        <v>0</v>
      </c>
      <c r="M308" s="432"/>
      <c r="N308" s="434"/>
      <c r="O308" s="434"/>
      <c r="P308" s="434"/>
      <c r="Q308" s="399">
        <f>база!$L$6</f>
        <v>261.04640000000001</v>
      </c>
      <c r="R308" s="390">
        <v>1.2</v>
      </c>
      <c r="S308" s="400">
        <f>SUMIFS(Таблица14[часы],Таблица14[коэф],"1,2",Таблица14[р/р],"5/16",Таблица14[Ф. И. О.],B308)</f>
        <v>0</v>
      </c>
      <c r="T308" s="544">
        <f t="shared" si="150"/>
        <v>0</v>
      </c>
      <c r="U308" s="472">
        <f>база!$M$6</f>
        <v>279.0496</v>
      </c>
      <c r="V308" s="390">
        <v>1.2</v>
      </c>
      <c r="W308" s="412">
        <f>SUMIFS(Таблица14[часы],Таблица14[коэф],"1,2",Таблица14[р/р],"5/24",Таблица14[Ф. И. О.],B308)</f>
        <v>0</v>
      </c>
      <c r="X308" s="545">
        <f t="shared" si="151"/>
        <v>0</v>
      </c>
      <c r="Y308" s="795"/>
      <c r="Z308" s="797"/>
      <c r="AA308" s="786"/>
      <c r="AC308" s="754" t="str">
        <f>IF(SUMIFS(Таблица14[Столбец2],Таблица14[Ф. И. О.],B308)-Z303=0,"",SUMIFS(Таблица14[Столбец2],Таблица14[Ф. И. О.],B308)-Z303)</f>
        <v/>
      </c>
    </row>
    <row r="309" spans="1:29">
      <c r="A309" s="786"/>
      <c r="B309" s="216"/>
      <c r="C309" s="789"/>
      <c r="D309" s="792"/>
      <c r="E309" s="393"/>
      <c r="F309" s="390"/>
      <c r="G309" s="400"/>
      <c r="H309" s="544">
        <f t="shared" si="148"/>
        <v>0</v>
      </c>
      <c r="I309" s="389"/>
      <c r="J309" s="390"/>
      <c r="K309" s="434"/>
      <c r="L309" s="395">
        <f t="shared" si="149"/>
        <v>0</v>
      </c>
      <c r="M309" s="432"/>
      <c r="N309" s="434"/>
      <c r="O309" s="434"/>
      <c r="P309" s="434"/>
      <c r="Q309" s="399">
        <f>IF(D303&lt;=3,база!$L$4,
IF(D303=4,база!$L$5,
IF(D303=5,база!$L$6)))</f>
        <v>231.45480000000001</v>
      </c>
      <c r="R309" s="390">
        <v>1.3</v>
      </c>
      <c r="S309" s="400">
        <f>SUMIFS(Таблица14[часы],Таблица14[коэф],"1,3",Таблица14[р/р],"3/16",Таблица14[Ф. И. О.],B308)</f>
        <v>0</v>
      </c>
      <c r="T309" s="544">
        <f t="shared" si="150"/>
        <v>0</v>
      </c>
      <c r="U309" s="472">
        <f>IF(D303&lt;=3,база!$M$4,
IF(D303=4,база!$M$5,
IF(D303=5,база!$M$6)))</f>
        <v>247.41720000000001</v>
      </c>
      <c r="V309" s="390">
        <v>1.3</v>
      </c>
      <c r="W309" s="412">
        <f>SUMIFS(Таблица14[часы],Таблица14[коэф],"1,3",Таблица14[р/р],"3/24",Таблица14[Ф. И. О.],B308)</f>
        <v>0</v>
      </c>
      <c r="X309" s="545">
        <f t="shared" si="151"/>
        <v>0</v>
      </c>
      <c r="Y309" s="795"/>
      <c r="Z309" s="797"/>
      <c r="AA309" s="786"/>
      <c r="AC309" s="754" t="str">
        <f>IF(SUMIFS(Таблица14[часы],Таблица14[Ф. И. О.],B308)-Y303=0,"",SUMIFS(Таблица14[часы],Таблица14[Ф. И. О.],B308)-Y303)</f>
        <v/>
      </c>
    </row>
    <row r="310" spans="1:29">
      <c r="A310" s="786"/>
      <c r="B310" s="216"/>
      <c r="C310" s="789"/>
      <c r="D310" s="792"/>
      <c r="E310" s="393"/>
      <c r="F310" s="390"/>
      <c r="G310" s="400"/>
      <c r="H310" s="544">
        <f t="shared" si="148"/>
        <v>0</v>
      </c>
      <c r="I310" s="389"/>
      <c r="J310" s="390"/>
      <c r="K310" s="434"/>
      <c r="L310" s="395">
        <f t="shared" si="149"/>
        <v>0</v>
      </c>
      <c r="M310" s="432"/>
      <c r="N310" s="434"/>
      <c r="O310" s="434"/>
      <c r="P310" s="434"/>
      <c r="Q310" s="399">
        <f>база!$L$5</f>
        <v>231.45480000000001</v>
      </c>
      <c r="R310" s="390">
        <v>1.3</v>
      </c>
      <c r="S310" s="400">
        <f>SUMIFS(Таблица14[часы],Таблица14[коэф],"1,3",Таблица14[р/р],"4/16",Таблица14[Ф. И. О.],B308)</f>
        <v>0</v>
      </c>
      <c r="T310" s="544">
        <f t="shared" si="150"/>
        <v>0</v>
      </c>
      <c r="U310" s="472">
        <f>база!$M$5</f>
        <v>247.41720000000001</v>
      </c>
      <c r="V310" s="390">
        <v>1.3</v>
      </c>
      <c r="W310" s="412">
        <f>SUMIFS(Таблица14[часы],Таблица14[коэф],"1,3",Таблица14[р/р],"4/24",Таблица14[Ф. И. О.],B308)</f>
        <v>0</v>
      </c>
      <c r="X310" s="545">
        <f t="shared" si="151"/>
        <v>0</v>
      </c>
      <c r="Y310" s="795"/>
      <c r="Z310" s="797"/>
      <c r="AA310" s="786"/>
    </row>
    <row r="311" spans="1:29">
      <c r="A311" s="786"/>
      <c r="B311" s="216"/>
      <c r="C311" s="789"/>
      <c r="D311" s="792"/>
      <c r="E311" s="393"/>
      <c r="F311" s="390"/>
      <c r="G311" s="400"/>
      <c r="H311" s="544">
        <f t="shared" si="148"/>
        <v>0</v>
      </c>
      <c r="I311" s="389"/>
      <c r="J311" s="390"/>
      <c r="K311" s="434"/>
      <c r="L311" s="395">
        <f t="shared" si="149"/>
        <v>0</v>
      </c>
      <c r="M311" s="432"/>
      <c r="N311" s="434"/>
      <c r="O311" s="434"/>
      <c r="P311" s="434"/>
      <c r="Q311" s="399">
        <f>IF(D303&lt;=3,база!$L$4,
IF(D303=4,база!$L$5,
IF(D303=5,база!$L$6)))</f>
        <v>231.45480000000001</v>
      </c>
      <c r="R311" s="390">
        <v>1.4</v>
      </c>
      <c r="S311" s="400">
        <f>SUMIFS(Таблица14[часы],Таблица14[коэф],"1,4",Таблица14[р/р],"3/16",Таблица14[Ф. И. О.],B308)</f>
        <v>0</v>
      </c>
      <c r="T311" s="544">
        <f t="shared" si="150"/>
        <v>0</v>
      </c>
      <c r="U311" s="472">
        <f>IF(D303&lt;=3,база!$M$4,
IF(D303=4,база!$M$5,
IF(D303=5,база!$M$6)))</f>
        <v>247.41720000000001</v>
      </c>
      <c r="V311" s="390">
        <v>1.4</v>
      </c>
      <c r="W311" s="412">
        <f>SUMIFS(Таблица14[часы],Таблица14[коэф],"1,4",Таблица14[р/р],"3/24",Таблица14[Ф. И. О.],B308)</f>
        <v>0</v>
      </c>
      <c r="X311" s="545">
        <f t="shared" si="151"/>
        <v>0</v>
      </c>
      <c r="Y311" s="795"/>
      <c r="Z311" s="797"/>
      <c r="AA311" s="786"/>
    </row>
    <row r="312" spans="1:29">
      <c r="A312" s="786"/>
      <c r="B312" s="216"/>
      <c r="C312" s="789"/>
      <c r="D312" s="792"/>
      <c r="E312" s="393"/>
      <c r="F312" s="390"/>
      <c r="G312" s="400"/>
      <c r="H312" s="544">
        <f t="shared" si="148"/>
        <v>0</v>
      </c>
      <c r="I312" s="389"/>
      <c r="J312" s="390"/>
      <c r="K312" s="434"/>
      <c r="L312" s="395">
        <f t="shared" si="149"/>
        <v>0</v>
      </c>
      <c r="M312" s="432"/>
      <c r="N312" s="434"/>
      <c r="O312" s="434"/>
      <c r="P312" s="434"/>
      <c r="Q312" s="399">
        <f>база!$L$5</f>
        <v>231.45480000000001</v>
      </c>
      <c r="R312" s="390">
        <v>1.4</v>
      </c>
      <c r="S312" s="400">
        <f>SUMIFS(Таблица14[часы],Таблица14[коэф],"1,4",Таблица14[р/р],"4/16",Таблица14[Ф. И. О.],B308)</f>
        <v>0</v>
      </c>
      <c r="T312" s="544">
        <f t="shared" si="150"/>
        <v>0</v>
      </c>
      <c r="U312" s="472">
        <f>база!$M$5</f>
        <v>247.41720000000001</v>
      </c>
      <c r="V312" s="390">
        <v>1.4</v>
      </c>
      <c r="W312" s="412">
        <f>SUMIFS(Таблица14[часы],Таблица14[коэф],"1,4",Таблица14[р/р],"4/24",Таблица14[Ф. И. О.],B308)</f>
        <v>0</v>
      </c>
      <c r="X312" s="545">
        <f t="shared" si="151"/>
        <v>0</v>
      </c>
      <c r="Y312" s="795"/>
      <c r="Z312" s="797"/>
      <c r="AA312" s="786"/>
    </row>
    <row r="313" spans="1:29" ht="21" thickBot="1">
      <c r="A313" s="787"/>
      <c r="B313" s="203"/>
      <c r="C313" s="790"/>
      <c r="D313" s="793"/>
      <c r="E313" s="463"/>
      <c r="F313" s="464"/>
      <c r="G313" s="465"/>
      <c r="H313" s="549">
        <f t="shared" si="148"/>
        <v>0</v>
      </c>
      <c r="I313" s="473"/>
      <c r="J313" s="464"/>
      <c r="K313" s="457"/>
      <c r="L313" s="458">
        <f t="shared" si="149"/>
        <v>0</v>
      </c>
      <c r="M313" s="466"/>
      <c r="N313" s="457"/>
      <c r="O313" s="457"/>
      <c r="P313" s="457"/>
      <c r="Q313" s="467">
        <f>база!$L$6</f>
        <v>261.04640000000001</v>
      </c>
      <c r="R313" s="464">
        <v>1.4</v>
      </c>
      <c r="S313" s="465">
        <f>SUMIFS(Таблица14[часы],Таблица14[коэф],"1,4",Таблица14[р/р],"5/16",Таблица14[Ф. И. О.],B308)</f>
        <v>0</v>
      </c>
      <c r="T313" s="549">
        <f t="shared" si="150"/>
        <v>0</v>
      </c>
      <c r="U313" s="474">
        <f>база!$M$6</f>
        <v>279.0496</v>
      </c>
      <c r="V313" s="464">
        <v>1.4</v>
      </c>
      <c r="W313" s="470">
        <f>SUMIFS(Таблица14[часы],Таблица14[коэф],"1,4",Таблица14[р/р],"5/24",Таблица14[Ф. И. О.],B308)</f>
        <v>0</v>
      </c>
      <c r="X313" s="547">
        <f t="shared" si="151"/>
        <v>0</v>
      </c>
      <c r="Y313" s="796"/>
      <c r="Z313" s="798"/>
      <c r="AA313" s="787"/>
    </row>
    <row r="314" spans="1:29">
      <c r="A314" s="785">
        <v>29</v>
      </c>
      <c r="B314" s="236"/>
      <c r="C314" s="788">
        <f>INDEX(база!$E$2:$E$81, MATCH(B319,база!$B$2:$B$50,0))</f>
        <v>17122</v>
      </c>
      <c r="D314" s="791">
        <f>INDEX(база!$D$2:$D$89, MATCH(B319,база!$B$2:$B$50,0))</f>
        <v>3</v>
      </c>
      <c r="E314" s="381">
        <f>IF(D314&lt;=3,база!$I$4,
IF(D314=4,база!$I$5,
IF(D314=5,база!$I$6)))</f>
        <v>188.7912</v>
      </c>
      <c r="F314" s="378">
        <v>1</v>
      </c>
      <c r="G314" s="387">
        <f>SUMIFS(Таблица14[часы],Таблица14[коэф],"1",Таблица14[р/р],"2/4",Таблица14[Ф. И. О.],B319)</f>
        <v>0</v>
      </c>
      <c r="H314" s="380">
        <f>ROUND(E314*F314*G314*2,2)</f>
        <v>0</v>
      </c>
      <c r="I314" s="377">
        <f>IF(D314&lt;=3,база!$J$4,
IF(D314=4,база!$J$5,
IF(D314=5,база!$J$6)))</f>
        <v>196.05240000000001</v>
      </c>
      <c r="J314" s="378">
        <v>1</v>
      </c>
      <c r="K314" s="428">
        <f>SUMIFS(Таблица14[часы],Таблица14[коэф],"1",Таблица14[р/р],"2/8",Таблица14[Ф. И. О.],B319)</f>
        <v>0</v>
      </c>
      <c r="L314" s="383">
        <f>ROUND(I314*J314*K314*2,2)</f>
        <v>0</v>
      </c>
      <c r="M314" s="426"/>
      <c r="N314" s="428">
        <v>1</v>
      </c>
      <c r="O314" s="428">
        <f>SUMIFS(Data_Tech!$AM$3:$AM$67,Data_Tech!$E$3:$E$67,"1",Data_Tech!$G$3:$G$67,"3/12",Data_Tech!$F$3:$F$67,B319)</f>
        <v>0</v>
      </c>
      <c r="P314" s="428">
        <f>ROUND(M314*N314*O314,2)</f>
        <v>0</v>
      </c>
      <c r="Q314" s="386">
        <f>IF(D314&lt;=3,база!$L$4,
IF(D314=4,база!$L$5,
IF(D314=5,база!$L$6)))</f>
        <v>210.57480000000001</v>
      </c>
      <c r="R314" s="378">
        <v>1</v>
      </c>
      <c r="S314" s="387">
        <f>SUMIFS(Таблица14[часы],Таблица14[коэф],"1",Таблица14[р/р],"3/16",Таблица14[Ф. И. О.],B319)</f>
        <v>0</v>
      </c>
      <c r="T314" s="548">
        <f>ROUND(Q314*R314*S314*2,2)</f>
        <v>0</v>
      </c>
      <c r="U314" s="471">
        <f>IF(D314&lt;=3,база!$M$4,
IF(D314=4,база!$M$5,
IF(D314=5,база!$M$6)))</f>
        <v>225.09719999999999</v>
      </c>
      <c r="V314" s="378">
        <v>1</v>
      </c>
      <c r="W314" s="430">
        <f>SUMIFS(Таблица14[часы],Таблица14[коэф],"1",Таблица14[р/р],"3/24",Таблица14[Ф. И. О.],B319)</f>
        <v>0</v>
      </c>
      <c r="X314" s="543">
        <f>ROUND(U314*V314*W314*2,2)</f>
        <v>0</v>
      </c>
      <c r="Y314" s="795">
        <f t="shared" ref="Y314" si="152">SUM(G314:G324,K314:K324,O314:O324,S314:S324,W314:W324)</f>
        <v>0</v>
      </c>
      <c r="Z314" s="797">
        <f t="shared" ref="Z314" si="153">IFERROR(SUM(H314:H324,L314:L324,T314:T324,X314:X324),"")</f>
        <v>0</v>
      </c>
      <c r="AA314" s="786"/>
    </row>
    <row r="315" spans="1:29">
      <c r="A315" s="786"/>
      <c r="B315" s="216"/>
      <c r="C315" s="789"/>
      <c r="D315" s="792"/>
      <c r="E315" s="393">
        <f>IF(D314&lt;=3,база!$I$4,
IF(D314=4,база!$I$5,
IF(D314=5,база!$I$6)))</f>
        <v>188.7912</v>
      </c>
      <c r="F315" s="390">
        <v>1</v>
      </c>
      <c r="G315" s="400">
        <f>SUMIFS(Таблица14[часы],Таблица14[коэф],"1",Таблица14[р/р],"3/4",Таблица14[Ф. И. О.],B319)</f>
        <v>0</v>
      </c>
      <c r="H315" s="542">
        <f t="shared" ref="H315:H324" si="154">ROUND(E315*F315*G315*2,2)</f>
        <v>0</v>
      </c>
      <c r="I315" s="389">
        <f>IF(D314&lt;=3,база!$J$4,
IF(D314=4,база!$J$5,
IF(D314=5,база!$J$6)))</f>
        <v>196.05240000000001</v>
      </c>
      <c r="J315" s="390">
        <v>1</v>
      </c>
      <c r="K315" s="434">
        <f>SUMIFS(Таблица14[часы],Таблица14[коэф],"1",Таблица14[р/р],"3/8",Таблица14[Ф. И. О.],B319)</f>
        <v>0</v>
      </c>
      <c r="L315" s="395">
        <f t="shared" ref="L315:L324" si="155">ROUND(I315*J315*K315*2,2)</f>
        <v>0</v>
      </c>
      <c r="M315" s="432"/>
      <c r="N315" s="434">
        <v>1</v>
      </c>
      <c r="O315" s="434">
        <f>SUMIFS(Data_Tech!$AM$3:$AM$67,Data_Tech!$E$3:$E$67,"1",Data_Tech!$G$3:$G$67,"4/12",Data_Tech!$F$3:$F$67,B319)</f>
        <v>0</v>
      </c>
      <c r="P315" s="434">
        <f>ROUND(M315*O315,2)</f>
        <v>0</v>
      </c>
      <c r="Q315" s="399">
        <f>база!$L$5</f>
        <v>231.45480000000001</v>
      </c>
      <c r="R315" s="390">
        <v>1</v>
      </c>
      <c r="S315" s="400">
        <f>SUMIFS(Таблица14[часы],Таблица14[коэф],"1",Таблица14[р/р],"4/16",Таблица14[Ф. И. О.],B319)</f>
        <v>0</v>
      </c>
      <c r="T315" s="544">
        <f t="shared" ref="T315:T324" si="156">ROUND(Q315*R315*S315*2,2)</f>
        <v>0</v>
      </c>
      <c r="U315" s="472">
        <f>база!$M$5</f>
        <v>247.41720000000001</v>
      </c>
      <c r="V315" s="390">
        <v>1</v>
      </c>
      <c r="W315" s="412">
        <f>SUMIFS(Таблица14[часы],Таблица14[коэф],"1",Таблица14[р/р],"4/24",Таблица14[Ф. И. О.],B319)</f>
        <v>0</v>
      </c>
      <c r="X315" s="545">
        <f t="shared" ref="X315:X324" si="157">ROUND(U315*V315*W315*2,2)</f>
        <v>0</v>
      </c>
      <c r="Y315" s="795"/>
      <c r="Z315" s="797"/>
      <c r="AA315" s="786"/>
    </row>
    <row r="316" spans="1:29">
      <c r="A316" s="786"/>
      <c r="B316" s="216"/>
      <c r="C316" s="789"/>
      <c r="D316" s="792"/>
      <c r="E316" s="393"/>
      <c r="F316" s="390"/>
      <c r="G316" s="400"/>
      <c r="H316" s="544">
        <f t="shared" si="154"/>
        <v>0</v>
      </c>
      <c r="I316" s="389"/>
      <c r="J316" s="390"/>
      <c r="K316" s="434"/>
      <c r="L316" s="395">
        <f t="shared" si="155"/>
        <v>0</v>
      </c>
      <c r="M316" s="432"/>
      <c r="N316" s="434"/>
      <c r="O316" s="434"/>
      <c r="P316" s="434"/>
      <c r="Q316" s="399">
        <f>база!$L$6</f>
        <v>261.04640000000001</v>
      </c>
      <c r="R316" s="390">
        <v>1</v>
      </c>
      <c r="S316" s="400">
        <f>SUMIFS(Таблица14[часы],Таблица14[коэф],"1",Таблица14[р/р],"5/16",Таблица14[Ф. И. О.],B319)</f>
        <v>0</v>
      </c>
      <c r="T316" s="544">
        <f t="shared" si="156"/>
        <v>0</v>
      </c>
      <c r="U316" s="472">
        <f>база!$M$6</f>
        <v>279.0496</v>
      </c>
      <c r="V316" s="390">
        <v>1</v>
      </c>
      <c r="W316" s="412">
        <f>SUMIFS(Таблица14[часы],Таблица14[коэф],"1",Таблица14[р/р],"5/24",Таблица14[Ф. И. О.],B319)</f>
        <v>0</v>
      </c>
      <c r="X316" s="545">
        <f t="shared" si="157"/>
        <v>0</v>
      </c>
      <c r="Y316" s="795"/>
      <c r="Z316" s="797"/>
      <c r="AA316" s="786"/>
    </row>
    <row r="317" spans="1:29">
      <c r="A317" s="786"/>
      <c r="B317" s="216"/>
      <c r="C317" s="789"/>
      <c r="D317" s="792"/>
      <c r="E317" s="393"/>
      <c r="F317" s="390"/>
      <c r="G317" s="400"/>
      <c r="H317" s="544">
        <f t="shared" si="154"/>
        <v>0</v>
      </c>
      <c r="I317" s="389">
        <f>база!$J$5</f>
        <v>215.4924</v>
      </c>
      <c r="J317" s="390">
        <v>1.5</v>
      </c>
      <c r="K317" s="434">
        <f>SUMIFS(Таблица14[часы],Таблица14[коэф],"1,5",Таблица14[р/р],"4/8",Таблица14[Ф. И. О.],B319)</f>
        <v>0</v>
      </c>
      <c r="L317" s="395">
        <f t="shared" si="155"/>
        <v>0</v>
      </c>
      <c r="M317" s="432"/>
      <c r="N317" s="434"/>
      <c r="O317" s="434"/>
      <c r="P317" s="434"/>
      <c r="Q317" s="399">
        <f>IF(D314&lt;=3,база!$L$4,
IF(D314=4,база!$L$5,
IF(D314=5,база!$L$6)))</f>
        <v>210.57480000000001</v>
      </c>
      <c r="R317" s="390">
        <v>1.2</v>
      </c>
      <c r="S317" s="400">
        <f>SUMIFS(Таблица14[часы],Таблица14[коэф],"1,2",Таблица14[р/р],"3/16",Таблица14[Ф. И. О.],B319)</f>
        <v>0</v>
      </c>
      <c r="T317" s="544">
        <f t="shared" si="156"/>
        <v>0</v>
      </c>
      <c r="U317" s="472">
        <f>IF(D314&lt;=3,база!$M$4,
IF(D314=4,база!$M$5,
IF(D314=5,база!$M$6)))</f>
        <v>225.09719999999999</v>
      </c>
      <c r="V317" s="390">
        <v>1.2</v>
      </c>
      <c r="W317" s="412">
        <f>SUMIFS(Таблица14[часы],Таблица14[коэф],"1,2",Таблица14[р/р],"3/24",Таблица14[Ф. И. О.],B319)</f>
        <v>0</v>
      </c>
      <c r="X317" s="545">
        <f t="shared" si="157"/>
        <v>0</v>
      </c>
      <c r="Y317" s="795"/>
      <c r="Z317" s="797"/>
      <c r="AA317" s="786"/>
    </row>
    <row r="318" spans="1:29">
      <c r="A318" s="786"/>
      <c r="B318" s="216"/>
      <c r="C318" s="789"/>
      <c r="D318" s="792"/>
      <c r="E318" s="393"/>
      <c r="F318" s="390"/>
      <c r="G318" s="400"/>
      <c r="H318" s="544">
        <f t="shared" si="154"/>
        <v>0</v>
      </c>
      <c r="I318" s="389">
        <f>база!$J$6</f>
        <v>243.04319999999998</v>
      </c>
      <c r="J318" s="390">
        <v>1.5</v>
      </c>
      <c r="K318" s="434">
        <f>SUMIFS(Таблица14[часы],Таблица14[коэф],"1,5",Таблица14[р/р],"5/8",Таблица14[Ф. И. О.],B319)</f>
        <v>0</v>
      </c>
      <c r="L318" s="395">
        <f t="shared" si="155"/>
        <v>0</v>
      </c>
      <c r="M318" s="432"/>
      <c r="N318" s="434"/>
      <c r="O318" s="434"/>
      <c r="P318" s="434"/>
      <c r="Q318" s="399">
        <f>база!$L$5</f>
        <v>231.45480000000001</v>
      </c>
      <c r="R318" s="390">
        <v>1.2</v>
      </c>
      <c r="S318" s="400">
        <f>SUMIFS(Таблица14[часы],Таблица14[коэф],"1,2",Таблица14[р/р],"4/16",Таблица14[Ф. И. О.],B319)</f>
        <v>0</v>
      </c>
      <c r="T318" s="544">
        <f t="shared" si="156"/>
        <v>0</v>
      </c>
      <c r="U318" s="472">
        <f>база!$M$5</f>
        <v>247.41720000000001</v>
      </c>
      <c r="V318" s="390">
        <v>1.2</v>
      </c>
      <c r="W318" s="412">
        <f>SUMIFS(Таблица14[часы],Таблица14[коэф],"1,2",Таблица14[р/р],"4/24",Таблица14[Ф. И. О.],B319)</f>
        <v>0</v>
      </c>
      <c r="X318" s="545">
        <f t="shared" si="157"/>
        <v>0</v>
      </c>
      <c r="Y318" s="795"/>
      <c r="Z318" s="797"/>
      <c r="AA318" s="786"/>
      <c r="AC318" s="754" t="str">
        <f>IF(SUMIFS(Таблица14[Столбец2],Таблица14[Ф. И. О.],B319)-Z314=0,"",SUMIFS(Таблица14[Столбец2],Таблица14[Ф. И. О.],B319)-Z314)</f>
        <v/>
      </c>
    </row>
    <row r="319" spans="1:29">
      <c r="A319" s="786"/>
      <c r="B319" s="216" t="str">
        <f>база!B30</f>
        <v>Иванова Екатерина Борисовна</v>
      </c>
      <c r="C319" s="789"/>
      <c r="D319" s="792"/>
      <c r="E319" s="393"/>
      <c r="F319" s="390"/>
      <c r="G319" s="400"/>
      <c r="H319" s="544">
        <f t="shared" si="154"/>
        <v>0</v>
      </c>
      <c r="I319" s="389"/>
      <c r="J319" s="390"/>
      <c r="K319" s="434"/>
      <c r="L319" s="395">
        <f t="shared" si="155"/>
        <v>0</v>
      </c>
      <c r="M319" s="432"/>
      <c r="N319" s="434"/>
      <c r="O319" s="434"/>
      <c r="P319" s="434"/>
      <c r="Q319" s="399">
        <f>база!$L$6</f>
        <v>261.04640000000001</v>
      </c>
      <c r="R319" s="390">
        <v>1.2</v>
      </c>
      <c r="S319" s="400">
        <f>SUMIFS(Таблица14[часы],Таблица14[коэф],"1,2",Таблица14[р/р],"5/16",Таблица14[Ф. И. О.],B319)</f>
        <v>0</v>
      </c>
      <c r="T319" s="544">
        <f t="shared" si="156"/>
        <v>0</v>
      </c>
      <c r="U319" s="472">
        <f>база!$M$6</f>
        <v>279.0496</v>
      </c>
      <c r="V319" s="390">
        <v>1.2</v>
      </c>
      <c r="W319" s="412">
        <f>SUMIFS(Таблица14[часы],Таблица14[коэф],"1,2",Таблица14[р/р],"5/24",Таблица14[Ф. И. О.],B319)</f>
        <v>0</v>
      </c>
      <c r="X319" s="545">
        <f t="shared" si="157"/>
        <v>0</v>
      </c>
      <c r="Y319" s="795"/>
      <c r="Z319" s="797"/>
      <c r="AA319" s="786"/>
      <c r="AC319" s="754" t="str">
        <f>IF(SUMIFS(Таблица14[часы],Таблица14[Ф. И. О.],B319)-Y314=0,"",SUMIFS(Таблица14[часы],Таблица14[Ф. И. О.],B319)-Y314)</f>
        <v/>
      </c>
    </row>
    <row r="320" spans="1:29">
      <c r="A320" s="786"/>
      <c r="B320" s="216"/>
      <c r="C320" s="789"/>
      <c r="D320" s="792"/>
      <c r="E320" s="393"/>
      <c r="F320" s="390"/>
      <c r="G320" s="400"/>
      <c r="H320" s="544">
        <f t="shared" si="154"/>
        <v>0</v>
      </c>
      <c r="I320" s="389"/>
      <c r="J320" s="390"/>
      <c r="K320" s="434"/>
      <c r="L320" s="395">
        <f t="shared" si="155"/>
        <v>0</v>
      </c>
      <c r="M320" s="432"/>
      <c r="N320" s="434"/>
      <c r="O320" s="434"/>
      <c r="P320" s="434"/>
      <c r="Q320" s="399">
        <f>IF(D314&lt;=3,база!$L$4,
IF(D314=4,база!$L$5,
IF(D314=5,база!$L$6)))</f>
        <v>210.57480000000001</v>
      </c>
      <c r="R320" s="390">
        <v>1.3</v>
      </c>
      <c r="S320" s="400">
        <f>SUMIFS(Таблица14[часы],Таблица14[коэф],"1,3",Таблица14[р/р],"3/16",Таблица14[Ф. И. О.],B319)</f>
        <v>0</v>
      </c>
      <c r="T320" s="544">
        <f t="shared" si="156"/>
        <v>0</v>
      </c>
      <c r="U320" s="472">
        <f>IF(D314&lt;=3,база!$M$4,
IF(D314=4,база!$M$5,
IF(D314=5,база!$M$6)))</f>
        <v>225.09719999999999</v>
      </c>
      <c r="V320" s="390">
        <v>1.3</v>
      </c>
      <c r="W320" s="412">
        <f>SUMIFS(Таблица14[часы],Таблица14[коэф],"1,3",Таблица14[р/р],"3/24",Таблица14[Ф. И. О.],B319)</f>
        <v>0</v>
      </c>
      <c r="X320" s="545">
        <f t="shared" si="157"/>
        <v>0</v>
      </c>
      <c r="Y320" s="795"/>
      <c r="Z320" s="797"/>
      <c r="AA320" s="786"/>
    </row>
    <row r="321" spans="1:29">
      <c r="A321" s="786"/>
      <c r="B321" s="216"/>
      <c r="C321" s="789"/>
      <c r="D321" s="792"/>
      <c r="E321" s="393"/>
      <c r="F321" s="390"/>
      <c r="G321" s="400"/>
      <c r="H321" s="544">
        <f t="shared" si="154"/>
        <v>0</v>
      </c>
      <c r="I321" s="389"/>
      <c r="J321" s="390"/>
      <c r="K321" s="434"/>
      <c r="L321" s="395">
        <f t="shared" si="155"/>
        <v>0</v>
      </c>
      <c r="M321" s="432"/>
      <c r="N321" s="434"/>
      <c r="O321" s="434"/>
      <c r="P321" s="434"/>
      <c r="Q321" s="399">
        <f>база!$L$5</f>
        <v>231.45480000000001</v>
      </c>
      <c r="R321" s="390">
        <v>1.3</v>
      </c>
      <c r="S321" s="400">
        <f>SUMIFS(Таблица14[часы],Таблица14[коэф],"1,3",Таблица14[р/р],"4/16",Таблица14[Ф. И. О.],B319)</f>
        <v>0</v>
      </c>
      <c r="T321" s="544">
        <f t="shared" si="156"/>
        <v>0</v>
      </c>
      <c r="U321" s="472">
        <f>база!$M$5</f>
        <v>247.41720000000001</v>
      </c>
      <c r="V321" s="390">
        <v>1.3</v>
      </c>
      <c r="W321" s="412">
        <f>SUMIFS(Таблица14[часы],Таблица14[коэф],"1,3",Таблица14[р/р],"4/24",Таблица14[Ф. И. О.],B319)</f>
        <v>0</v>
      </c>
      <c r="X321" s="545">
        <f t="shared" si="157"/>
        <v>0</v>
      </c>
      <c r="Y321" s="795"/>
      <c r="Z321" s="797"/>
      <c r="AA321" s="786"/>
    </row>
    <row r="322" spans="1:29">
      <c r="A322" s="786"/>
      <c r="B322" s="216"/>
      <c r="C322" s="789"/>
      <c r="D322" s="792"/>
      <c r="E322" s="393"/>
      <c r="F322" s="390"/>
      <c r="G322" s="400"/>
      <c r="H322" s="544">
        <f t="shared" si="154"/>
        <v>0</v>
      </c>
      <c r="I322" s="389"/>
      <c r="J322" s="390"/>
      <c r="K322" s="434"/>
      <c r="L322" s="395">
        <f t="shared" si="155"/>
        <v>0</v>
      </c>
      <c r="M322" s="432"/>
      <c r="N322" s="434"/>
      <c r="O322" s="434"/>
      <c r="P322" s="434"/>
      <c r="Q322" s="399">
        <f>IF(D314&lt;=3,база!$L$4,
IF(D314=4,база!$L$5,
IF(D314=5,база!$L$6)))</f>
        <v>210.57480000000001</v>
      </c>
      <c r="R322" s="390">
        <v>1.4</v>
      </c>
      <c r="S322" s="400">
        <f>SUMIFS(Таблица14[часы],Таблица14[коэф],"1,4",Таблица14[р/р],"3/16",Таблица14[Ф. И. О.],B319)</f>
        <v>0</v>
      </c>
      <c r="T322" s="544">
        <f t="shared" si="156"/>
        <v>0</v>
      </c>
      <c r="U322" s="472">
        <f>IF(D314&lt;=3,база!$M$4,
IF(D314=4,база!$M$5,
IF(D314=5,база!$M$6)))</f>
        <v>225.09719999999999</v>
      </c>
      <c r="V322" s="390">
        <v>1.4</v>
      </c>
      <c r="W322" s="412">
        <f>SUMIFS(Таблица14[часы],Таблица14[коэф],"1,4",Таблица14[р/р],"3/24",Таблица14[Ф. И. О.],B319)</f>
        <v>0</v>
      </c>
      <c r="X322" s="545">
        <f t="shared" si="157"/>
        <v>0</v>
      </c>
      <c r="Y322" s="795"/>
      <c r="Z322" s="797"/>
      <c r="AA322" s="786"/>
    </row>
    <row r="323" spans="1:29">
      <c r="A323" s="786"/>
      <c r="B323" s="216"/>
      <c r="C323" s="789"/>
      <c r="D323" s="792"/>
      <c r="E323" s="393"/>
      <c r="F323" s="390"/>
      <c r="G323" s="400"/>
      <c r="H323" s="544">
        <f t="shared" si="154"/>
        <v>0</v>
      </c>
      <c r="I323" s="389"/>
      <c r="J323" s="390"/>
      <c r="K323" s="434"/>
      <c r="L323" s="395">
        <f t="shared" si="155"/>
        <v>0</v>
      </c>
      <c r="M323" s="432"/>
      <c r="N323" s="434"/>
      <c r="O323" s="434"/>
      <c r="P323" s="434"/>
      <c r="Q323" s="399">
        <f>база!$L$5</f>
        <v>231.45480000000001</v>
      </c>
      <c r="R323" s="390">
        <v>1.4</v>
      </c>
      <c r="S323" s="400">
        <f>SUMIFS(Таблица14[часы],Таблица14[коэф],"1,4",Таблица14[р/р],"4/16",Таблица14[Ф. И. О.],B319)</f>
        <v>0</v>
      </c>
      <c r="T323" s="544">
        <f t="shared" si="156"/>
        <v>0</v>
      </c>
      <c r="U323" s="472">
        <f>база!$M$5</f>
        <v>247.41720000000001</v>
      </c>
      <c r="V323" s="390">
        <v>1.4</v>
      </c>
      <c r="W323" s="412">
        <f>SUMIFS(Таблица14[часы],Таблица14[коэф],"1,4",Таблица14[р/р],"4/24",Таблица14[Ф. И. О.],B319)</f>
        <v>0</v>
      </c>
      <c r="X323" s="545">
        <f t="shared" si="157"/>
        <v>0</v>
      </c>
      <c r="Y323" s="795"/>
      <c r="Z323" s="797"/>
      <c r="AA323" s="786"/>
    </row>
    <row r="324" spans="1:29" ht="21" thickBot="1">
      <c r="A324" s="787"/>
      <c r="B324" s="203"/>
      <c r="C324" s="790"/>
      <c r="D324" s="793"/>
      <c r="E324" s="463"/>
      <c r="F324" s="464"/>
      <c r="G324" s="465"/>
      <c r="H324" s="549">
        <f t="shared" si="154"/>
        <v>0</v>
      </c>
      <c r="I324" s="473"/>
      <c r="J324" s="464"/>
      <c r="K324" s="457"/>
      <c r="L324" s="458">
        <f t="shared" si="155"/>
        <v>0</v>
      </c>
      <c r="M324" s="466"/>
      <c r="N324" s="457"/>
      <c r="O324" s="457"/>
      <c r="P324" s="457"/>
      <c r="Q324" s="467">
        <f>база!$L$6</f>
        <v>261.04640000000001</v>
      </c>
      <c r="R324" s="464">
        <v>1.4</v>
      </c>
      <c r="S324" s="465">
        <f>SUMIFS(Таблица14[часы],Таблица14[коэф],"1,4",Таблица14[р/р],"5/16",Таблица14[Ф. И. О.],B319)</f>
        <v>0</v>
      </c>
      <c r="T324" s="549">
        <f t="shared" si="156"/>
        <v>0</v>
      </c>
      <c r="U324" s="474">
        <f>база!$M$6</f>
        <v>279.0496</v>
      </c>
      <c r="V324" s="464">
        <v>1.4</v>
      </c>
      <c r="W324" s="470">
        <f>SUMIFS(Таблица14[часы],Таблица14[коэф],"1,4",Таблица14[р/р],"5/24",Таблица14[Ф. И. О.],B319)</f>
        <v>0</v>
      </c>
      <c r="X324" s="547">
        <f t="shared" si="157"/>
        <v>0</v>
      </c>
      <c r="Y324" s="796"/>
      <c r="Z324" s="798"/>
      <c r="AA324" s="787"/>
    </row>
    <row r="325" spans="1:29">
      <c r="A325" s="785">
        <v>30</v>
      </c>
      <c r="B325" s="236"/>
      <c r="C325" s="788">
        <f>INDEX(база!$E$2:$E$81, MATCH(B330,база!$B$2:$B$50,0))</f>
        <v>17068</v>
      </c>
      <c r="D325" s="791">
        <f>INDEX(база!$D$2:$D$89, MATCH(B330,база!$B$2:$B$50,0))</f>
        <v>3</v>
      </c>
      <c r="E325" s="381">
        <f>IF(D325&lt;=3,база!$I$4,
IF(D325=4,база!$I$5,
IF(D325=5,база!$I$6)))</f>
        <v>188.7912</v>
      </c>
      <c r="F325" s="378">
        <v>1</v>
      </c>
      <c r="G325" s="387">
        <f>SUMIFS(Таблица14[часы],Таблица14[коэф],"1",Таблица14[р/р],"2/4",Таблица14[Ф. И. О.],B330)</f>
        <v>0</v>
      </c>
      <c r="H325" s="380">
        <f>ROUND(E325*F325*G325*2,2)</f>
        <v>0</v>
      </c>
      <c r="I325" s="377">
        <f>IF(D325&lt;=3,база!$J$4,
IF(D325=4,база!$J$5,
IF(D325=5,база!$J$6)))</f>
        <v>196.05240000000001</v>
      </c>
      <c r="J325" s="378">
        <v>1</v>
      </c>
      <c r="K325" s="428">
        <f>SUMIFS(Таблица14[часы],Таблица14[коэф],"1",Таблица14[р/р],"2/8",Таблица14[Ф. И. О.],B330)</f>
        <v>0</v>
      </c>
      <c r="L325" s="383">
        <f>ROUND(I325*J325*K325*2,2)</f>
        <v>0</v>
      </c>
      <c r="M325" s="426"/>
      <c r="N325" s="428">
        <v>1</v>
      </c>
      <c r="O325" s="428">
        <f>SUMIFS(Data_Tech!$AM$3:$AM$67,Data_Tech!$E$3:$E$67,"1",Data_Tech!$G$3:$G$67,"3/12",Data_Tech!$F$3:$F$67,B330)</f>
        <v>0</v>
      </c>
      <c r="P325" s="428">
        <f>ROUND(M325*N325*O325,2)</f>
        <v>0</v>
      </c>
      <c r="Q325" s="386">
        <f>IF(D325&lt;=3,база!$L$4,
IF(D325=4,база!$L$5,
IF(D325=5,база!$L$6)))</f>
        <v>210.57480000000001</v>
      </c>
      <c r="R325" s="378">
        <v>1</v>
      </c>
      <c r="S325" s="387">
        <f>SUMIFS(Таблица14[часы],Таблица14[коэф],"1",Таблица14[р/р],"3/16",Таблица14[Ф. И. О.],B330)</f>
        <v>0</v>
      </c>
      <c r="T325" s="548">
        <f>ROUND(Q325*R325*S325*2,2)</f>
        <v>0</v>
      </c>
      <c r="U325" s="471">
        <f>IF(D325&lt;=3,база!$M$4,
IF(D325=4,база!$M$5,
IF(D325=5,база!$M$6)))</f>
        <v>225.09719999999999</v>
      </c>
      <c r="V325" s="378">
        <v>1</v>
      </c>
      <c r="W325" s="430">
        <f>SUMIFS(Таблица14[часы],Таблица14[коэф],"1",Таблица14[р/р],"3/24",Таблица14[Ф. И. О.],B330)</f>
        <v>0</v>
      </c>
      <c r="X325" s="543">
        <f>ROUND(U325*V325*W325*2,2)</f>
        <v>0</v>
      </c>
      <c r="Y325" s="795">
        <f t="shared" ref="Y325" si="158">SUM(G325:G335,K325:K335,O325:O335,S325:S335,W325:W335)</f>
        <v>0</v>
      </c>
      <c r="Z325" s="797">
        <f t="shared" ref="Z325" si="159">IFERROR(SUM(H325:H335,L325:L335,T325:T335,X325:X335),"")</f>
        <v>0</v>
      </c>
      <c r="AA325" s="786"/>
    </row>
    <row r="326" spans="1:29">
      <c r="A326" s="786"/>
      <c r="B326" s="216"/>
      <c r="C326" s="789"/>
      <c r="D326" s="792"/>
      <c r="E326" s="393">
        <f>IF(D325&lt;=3,база!$I$4,
IF(D325=4,база!$I$5,
IF(D325=5,база!$I$6)))</f>
        <v>188.7912</v>
      </c>
      <c r="F326" s="390">
        <v>1</v>
      </c>
      <c r="G326" s="400">
        <f>SUMIFS(Таблица14[часы],Таблица14[коэф],"1",Таблица14[р/р],"3/4",Таблица14[Ф. И. О.],B330)</f>
        <v>0</v>
      </c>
      <c r="H326" s="542">
        <f t="shared" ref="H326:H335" si="160">ROUND(E326*F326*G326*2,2)</f>
        <v>0</v>
      </c>
      <c r="I326" s="389">
        <f>IF(D325&lt;=3,база!$J$4,
IF(D325=4,база!$J$5,
IF(D325=5,база!$J$6)))</f>
        <v>196.05240000000001</v>
      </c>
      <c r="J326" s="390">
        <v>1</v>
      </c>
      <c r="K326" s="434">
        <f>SUMIFS(Таблица14[часы],Таблица14[коэф],"1",Таблица14[р/р],"3/8",Таблица14[Ф. И. О.],B330)</f>
        <v>0</v>
      </c>
      <c r="L326" s="395">
        <f t="shared" ref="L326:L335" si="161">ROUND(I326*J326*K326*2,2)</f>
        <v>0</v>
      </c>
      <c r="M326" s="432"/>
      <c r="N326" s="434">
        <v>1</v>
      </c>
      <c r="O326" s="434">
        <f>SUMIFS(Data_Tech!$AM$3:$AM$67,Data_Tech!$E$3:$E$67,"1",Data_Tech!$G$3:$G$67,"4/12",Data_Tech!$F$3:$F$67,B330)</f>
        <v>0</v>
      </c>
      <c r="P326" s="434">
        <f>ROUND(M326*O326,2)</f>
        <v>0</v>
      </c>
      <c r="Q326" s="399">
        <f>база!$L$5</f>
        <v>231.45480000000001</v>
      </c>
      <c r="R326" s="390">
        <v>1</v>
      </c>
      <c r="S326" s="400">
        <f>SUMIFS(Таблица14[часы],Таблица14[коэф],"1",Таблица14[р/р],"4/16",Таблица14[Ф. И. О.],B330)</f>
        <v>0</v>
      </c>
      <c r="T326" s="544">
        <f t="shared" ref="T326:T335" si="162">ROUND(Q326*R326*S326*2,2)</f>
        <v>0</v>
      </c>
      <c r="U326" s="472">
        <f>база!$M$5</f>
        <v>247.41720000000001</v>
      </c>
      <c r="V326" s="390">
        <v>1</v>
      </c>
      <c r="W326" s="412">
        <f>SUMIFS(Таблица14[часы],Таблица14[коэф],"1",Таблица14[р/р],"4/24",Таблица14[Ф. И. О.],B330)</f>
        <v>0</v>
      </c>
      <c r="X326" s="545">
        <f t="shared" ref="X326:X335" si="163">ROUND(U326*V326*W326*2,2)</f>
        <v>0</v>
      </c>
      <c r="Y326" s="795"/>
      <c r="Z326" s="797"/>
      <c r="AA326" s="786"/>
    </row>
    <row r="327" spans="1:29">
      <c r="A327" s="786"/>
      <c r="B327" s="216"/>
      <c r="C327" s="789"/>
      <c r="D327" s="792"/>
      <c r="E327" s="393"/>
      <c r="F327" s="390"/>
      <c r="G327" s="400"/>
      <c r="H327" s="544">
        <f t="shared" si="160"/>
        <v>0</v>
      </c>
      <c r="I327" s="389"/>
      <c r="J327" s="390"/>
      <c r="K327" s="434"/>
      <c r="L327" s="395">
        <f t="shared" si="161"/>
        <v>0</v>
      </c>
      <c r="M327" s="432"/>
      <c r="N327" s="434"/>
      <c r="O327" s="434"/>
      <c r="P327" s="434"/>
      <c r="Q327" s="399">
        <f>база!$L$6</f>
        <v>261.04640000000001</v>
      </c>
      <c r="R327" s="390">
        <v>1</v>
      </c>
      <c r="S327" s="400">
        <f>SUMIFS(Таблица14[часы],Таблица14[коэф],"1",Таблица14[р/р],"5/16",Таблица14[Ф. И. О.],B330)</f>
        <v>0</v>
      </c>
      <c r="T327" s="544">
        <f t="shared" si="162"/>
        <v>0</v>
      </c>
      <c r="U327" s="472">
        <f>база!$M$6</f>
        <v>279.0496</v>
      </c>
      <c r="V327" s="390">
        <v>1</v>
      </c>
      <c r="W327" s="412">
        <f>SUMIFS(Таблица14[часы],Таблица14[коэф],"1",Таблица14[р/р],"5/24",Таблица14[Ф. И. О.],B330)</f>
        <v>0</v>
      </c>
      <c r="X327" s="545">
        <f t="shared" si="163"/>
        <v>0</v>
      </c>
      <c r="Y327" s="795"/>
      <c r="Z327" s="797"/>
      <c r="AA327" s="786"/>
    </row>
    <row r="328" spans="1:29">
      <c r="A328" s="786"/>
      <c r="B328" s="216"/>
      <c r="C328" s="789"/>
      <c r="D328" s="792"/>
      <c r="E328" s="393"/>
      <c r="F328" s="390"/>
      <c r="G328" s="400"/>
      <c r="H328" s="544">
        <f t="shared" si="160"/>
        <v>0</v>
      </c>
      <c r="I328" s="389">
        <f>база!$J$5</f>
        <v>215.4924</v>
      </c>
      <c r="J328" s="390">
        <v>1.5</v>
      </c>
      <c r="K328" s="434">
        <f>SUMIFS(Таблица14[часы],Таблица14[коэф],"1,5",Таблица14[р/р],"4/8",Таблица14[Ф. И. О.],B330)</f>
        <v>0</v>
      </c>
      <c r="L328" s="395">
        <f t="shared" si="161"/>
        <v>0</v>
      </c>
      <c r="M328" s="432"/>
      <c r="N328" s="434"/>
      <c r="O328" s="434"/>
      <c r="P328" s="434"/>
      <c r="Q328" s="399">
        <f>IF(D325&lt;=3,база!$L$4,
IF(D325=4,база!$L$5,
IF(D325=5,база!$L$6)))</f>
        <v>210.57480000000001</v>
      </c>
      <c r="R328" s="390">
        <v>1.2</v>
      </c>
      <c r="S328" s="400">
        <f>SUMIFS(Таблица14[часы],Таблица14[коэф],"1,2",Таблица14[р/р],"3/16",Таблица14[Ф. И. О.],B330)</f>
        <v>0</v>
      </c>
      <c r="T328" s="544">
        <f t="shared" si="162"/>
        <v>0</v>
      </c>
      <c r="U328" s="472">
        <f>IF(D325&lt;=3,база!$M$4,
IF(D325=4,база!$M$5,
IF(D325=5,база!$M$6)))</f>
        <v>225.09719999999999</v>
      </c>
      <c r="V328" s="390">
        <v>1.2</v>
      </c>
      <c r="W328" s="412">
        <f>SUMIFS(Таблица14[часы],Таблица14[коэф],"1,2",Таблица14[р/р],"3/24",Таблица14[Ф. И. О.],B330)</f>
        <v>0</v>
      </c>
      <c r="X328" s="545">
        <f t="shared" si="163"/>
        <v>0</v>
      </c>
      <c r="Y328" s="795"/>
      <c r="Z328" s="797"/>
      <c r="AA328" s="786"/>
    </row>
    <row r="329" spans="1:29">
      <c r="A329" s="786"/>
      <c r="B329" s="216"/>
      <c r="C329" s="789"/>
      <c r="D329" s="792"/>
      <c r="E329" s="393"/>
      <c r="F329" s="390"/>
      <c r="G329" s="400"/>
      <c r="H329" s="544">
        <f t="shared" si="160"/>
        <v>0</v>
      </c>
      <c r="I329" s="389">
        <f>база!$J$6</f>
        <v>243.04319999999998</v>
      </c>
      <c r="J329" s="390">
        <v>1.5</v>
      </c>
      <c r="K329" s="434">
        <f>SUMIFS(Таблица14[часы],Таблица14[коэф],"1,5",Таблица14[р/р],"5/8",Таблица14[Ф. И. О.],B330)</f>
        <v>0</v>
      </c>
      <c r="L329" s="395">
        <f t="shared" si="161"/>
        <v>0</v>
      </c>
      <c r="M329" s="432"/>
      <c r="N329" s="434"/>
      <c r="O329" s="434"/>
      <c r="P329" s="434"/>
      <c r="Q329" s="399">
        <f>база!$L$5</f>
        <v>231.45480000000001</v>
      </c>
      <c r="R329" s="390">
        <v>1.2</v>
      </c>
      <c r="S329" s="400">
        <f>SUMIFS(Таблица14[часы],Таблица14[коэф],"1,2",Таблица14[р/р],"4/16",Таблица14[Ф. И. О.],B330)</f>
        <v>0</v>
      </c>
      <c r="T329" s="544">
        <f t="shared" si="162"/>
        <v>0</v>
      </c>
      <c r="U329" s="472">
        <f>база!$M$5</f>
        <v>247.41720000000001</v>
      </c>
      <c r="V329" s="390">
        <v>1.2</v>
      </c>
      <c r="W329" s="412">
        <f>SUMIFS(Таблица14[часы],Таблица14[коэф],"1,2",Таблица14[р/р],"4/24",Таблица14[Ф. И. О.],B330)</f>
        <v>0</v>
      </c>
      <c r="X329" s="545">
        <f t="shared" si="163"/>
        <v>0</v>
      </c>
      <c r="Y329" s="795"/>
      <c r="Z329" s="797"/>
      <c r="AA329" s="786"/>
    </row>
    <row r="330" spans="1:29">
      <c r="A330" s="786"/>
      <c r="B330" s="216" t="str">
        <f>база!B31</f>
        <v>Иванова Оксана Михайловна</v>
      </c>
      <c r="C330" s="789"/>
      <c r="D330" s="792"/>
      <c r="E330" s="393"/>
      <c r="F330" s="390"/>
      <c r="G330" s="400"/>
      <c r="H330" s="544">
        <f t="shared" si="160"/>
        <v>0</v>
      </c>
      <c r="I330" s="389"/>
      <c r="J330" s="390"/>
      <c r="K330" s="434"/>
      <c r="L330" s="395">
        <f t="shared" si="161"/>
        <v>0</v>
      </c>
      <c r="M330" s="432"/>
      <c r="N330" s="434"/>
      <c r="O330" s="434"/>
      <c r="P330" s="434"/>
      <c r="Q330" s="399">
        <f>база!$L$6</f>
        <v>261.04640000000001</v>
      </c>
      <c r="R330" s="390">
        <v>1.2</v>
      </c>
      <c r="S330" s="400">
        <f>SUMIFS(Таблица14[часы],Таблица14[коэф],"1,2",Таблица14[р/р],"5/16",Таблица14[Ф. И. О.],B330)</f>
        <v>0</v>
      </c>
      <c r="T330" s="544">
        <f t="shared" si="162"/>
        <v>0</v>
      </c>
      <c r="U330" s="472">
        <f>база!$M$6</f>
        <v>279.0496</v>
      </c>
      <c r="V330" s="390">
        <v>1.2</v>
      </c>
      <c r="W330" s="412">
        <f>SUMIFS(Таблица14[часы],Таблица14[коэф],"1,2",Таблица14[р/р],"5/24",Таблица14[Ф. И. О.],B330)</f>
        <v>0</v>
      </c>
      <c r="X330" s="545">
        <f t="shared" si="163"/>
        <v>0</v>
      </c>
      <c r="Y330" s="795"/>
      <c r="Z330" s="797"/>
      <c r="AA330" s="786"/>
      <c r="AC330" s="754" t="str">
        <f>IF(SUMIFS(Таблица14[Столбец2],Таблица14[Ф. И. О.],B330)-Z325=0,"",SUMIFS(Таблица14[Столбец2],Таблица14[Ф. И. О.],B330)-Z325)</f>
        <v/>
      </c>
    </row>
    <row r="331" spans="1:29">
      <c r="A331" s="786"/>
      <c r="B331" s="216"/>
      <c r="C331" s="789"/>
      <c r="D331" s="792"/>
      <c r="E331" s="393"/>
      <c r="F331" s="390"/>
      <c r="G331" s="400"/>
      <c r="H331" s="544">
        <f t="shared" si="160"/>
        <v>0</v>
      </c>
      <c r="I331" s="389"/>
      <c r="J331" s="390"/>
      <c r="K331" s="434"/>
      <c r="L331" s="395">
        <f t="shared" si="161"/>
        <v>0</v>
      </c>
      <c r="M331" s="432"/>
      <c r="N331" s="434"/>
      <c r="O331" s="434"/>
      <c r="P331" s="434"/>
      <c r="Q331" s="399">
        <f>IF(D325&lt;=3,база!$L$4,
IF(D325=4,база!$L$5,
IF(D325=5,база!$L$6)))</f>
        <v>210.57480000000001</v>
      </c>
      <c r="R331" s="390">
        <v>1.3</v>
      </c>
      <c r="S331" s="400">
        <f>SUMIFS(Таблица14[часы],Таблица14[коэф],"1,3",Таблица14[р/р],"3/16",Таблица14[Ф. И. О.],B330)</f>
        <v>0</v>
      </c>
      <c r="T331" s="544">
        <f t="shared" si="162"/>
        <v>0</v>
      </c>
      <c r="U331" s="472">
        <f>IF(D325&lt;=3,база!$M$4,
IF(D325=4,база!$M$5,
IF(D325=5,база!$M$6)))</f>
        <v>225.09719999999999</v>
      </c>
      <c r="V331" s="390">
        <v>1.3</v>
      </c>
      <c r="W331" s="412">
        <f>SUMIFS(Таблица14[часы],Таблица14[коэф],"1,3",Таблица14[р/р],"3/24",Таблица14[Ф. И. О.],B330)</f>
        <v>0</v>
      </c>
      <c r="X331" s="545">
        <f t="shared" si="163"/>
        <v>0</v>
      </c>
      <c r="Y331" s="795"/>
      <c r="Z331" s="797"/>
      <c r="AA331" s="786"/>
      <c r="AC331" s="754" t="str">
        <f>IF(SUMIFS(Таблица14[часы],Таблица14[Ф. И. О.],B330)-Y325=0,"",SUMIFS(Таблица14[часы],Таблица14[Ф. И. О.],B330)-Y325)</f>
        <v/>
      </c>
    </row>
    <row r="332" spans="1:29">
      <c r="A332" s="786"/>
      <c r="B332" s="216"/>
      <c r="C332" s="789"/>
      <c r="D332" s="792"/>
      <c r="E332" s="393"/>
      <c r="F332" s="390"/>
      <c r="G332" s="400"/>
      <c r="H332" s="544">
        <f t="shared" si="160"/>
        <v>0</v>
      </c>
      <c r="I332" s="389"/>
      <c r="J332" s="390"/>
      <c r="K332" s="434"/>
      <c r="L332" s="395">
        <f t="shared" si="161"/>
        <v>0</v>
      </c>
      <c r="M332" s="432"/>
      <c r="N332" s="434"/>
      <c r="O332" s="434"/>
      <c r="P332" s="434"/>
      <c r="Q332" s="399">
        <f>база!$L$5</f>
        <v>231.45480000000001</v>
      </c>
      <c r="R332" s="390">
        <v>1.3</v>
      </c>
      <c r="S332" s="400">
        <f>SUMIFS(Таблица14[часы],Таблица14[коэф],"1,3",Таблица14[р/р],"4/16",Таблица14[Ф. И. О.],B330)</f>
        <v>0</v>
      </c>
      <c r="T332" s="544">
        <f t="shared" si="162"/>
        <v>0</v>
      </c>
      <c r="U332" s="472">
        <f>база!$M$5</f>
        <v>247.41720000000001</v>
      </c>
      <c r="V332" s="390">
        <v>1.3</v>
      </c>
      <c r="W332" s="412">
        <f>SUMIFS(Таблица14[часы],Таблица14[коэф],"1,3",Таблица14[р/р],"4/24",Таблица14[Ф. И. О.],B330)</f>
        <v>0</v>
      </c>
      <c r="X332" s="545">
        <f t="shared" si="163"/>
        <v>0</v>
      </c>
      <c r="Y332" s="795"/>
      <c r="Z332" s="797"/>
      <c r="AA332" s="786"/>
    </row>
    <row r="333" spans="1:29">
      <c r="A333" s="786"/>
      <c r="B333" s="216"/>
      <c r="C333" s="789"/>
      <c r="D333" s="792"/>
      <c r="E333" s="393"/>
      <c r="F333" s="390"/>
      <c r="G333" s="400"/>
      <c r="H333" s="544">
        <f t="shared" si="160"/>
        <v>0</v>
      </c>
      <c r="I333" s="389"/>
      <c r="J333" s="390"/>
      <c r="K333" s="434"/>
      <c r="L333" s="395">
        <f t="shared" si="161"/>
        <v>0</v>
      </c>
      <c r="M333" s="432"/>
      <c r="N333" s="434"/>
      <c r="O333" s="434"/>
      <c r="P333" s="434"/>
      <c r="Q333" s="399">
        <f>IF(D325&lt;=3,база!$L$4,
IF(D325=4,база!$L$5,
IF(D325=5,база!$L$6)))</f>
        <v>210.57480000000001</v>
      </c>
      <c r="R333" s="390">
        <v>1.4</v>
      </c>
      <c r="S333" s="400">
        <f>SUMIFS(Таблица14[часы],Таблица14[коэф],"1,4",Таблица14[р/р],"3/16",Таблица14[Ф. И. О.],B330)</f>
        <v>0</v>
      </c>
      <c r="T333" s="544">
        <f t="shared" si="162"/>
        <v>0</v>
      </c>
      <c r="U333" s="472">
        <f>IF(D325&lt;=3,база!$M$4,
IF(D325=4,база!$M$5,
IF(D325=5,база!$M$6)))</f>
        <v>225.09719999999999</v>
      </c>
      <c r="V333" s="390">
        <v>1.4</v>
      </c>
      <c r="W333" s="412">
        <f>SUMIFS(Таблица14[часы],Таблица14[коэф],"1,4",Таблица14[р/р],"3/24",Таблица14[Ф. И. О.],B330)</f>
        <v>0</v>
      </c>
      <c r="X333" s="545">
        <f t="shared" si="163"/>
        <v>0</v>
      </c>
      <c r="Y333" s="795"/>
      <c r="Z333" s="797"/>
      <c r="AA333" s="786"/>
    </row>
    <row r="334" spans="1:29">
      <c r="A334" s="786"/>
      <c r="B334" s="216"/>
      <c r="C334" s="789"/>
      <c r="D334" s="792"/>
      <c r="E334" s="393"/>
      <c r="F334" s="390"/>
      <c r="G334" s="400"/>
      <c r="H334" s="544">
        <f t="shared" si="160"/>
        <v>0</v>
      </c>
      <c r="I334" s="389"/>
      <c r="J334" s="390"/>
      <c r="K334" s="434"/>
      <c r="L334" s="395">
        <f t="shared" si="161"/>
        <v>0</v>
      </c>
      <c r="M334" s="432"/>
      <c r="N334" s="434"/>
      <c r="O334" s="434"/>
      <c r="P334" s="434"/>
      <c r="Q334" s="399">
        <f>база!$L$5</f>
        <v>231.45480000000001</v>
      </c>
      <c r="R334" s="390">
        <v>1.4</v>
      </c>
      <c r="S334" s="400">
        <f>SUMIFS(Таблица14[часы],Таблица14[коэф],"1,4",Таблица14[р/р],"4/16",Таблица14[Ф. И. О.],B330)</f>
        <v>0</v>
      </c>
      <c r="T334" s="544">
        <f t="shared" si="162"/>
        <v>0</v>
      </c>
      <c r="U334" s="472">
        <f>база!$M$5</f>
        <v>247.41720000000001</v>
      </c>
      <c r="V334" s="390">
        <v>1.4</v>
      </c>
      <c r="W334" s="412">
        <f>SUMIFS(Таблица14[часы],Таблица14[коэф],"1,4",Таблица14[р/р],"4/24",Таблица14[Ф. И. О.],B330)</f>
        <v>0</v>
      </c>
      <c r="X334" s="545">
        <f t="shared" si="163"/>
        <v>0</v>
      </c>
      <c r="Y334" s="795"/>
      <c r="Z334" s="797"/>
      <c r="AA334" s="786"/>
    </row>
    <row r="335" spans="1:29" ht="21" thickBot="1">
      <c r="A335" s="787"/>
      <c r="B335" s="203"/>
      <c r="C335" s="790"/>
      <c r="D335" s="793"/>
      <c r="E335" s="463"/>
      <c r="F335" s="464"/>
      <c r="G335" s="465"/>
      <c r="H335" s="549">
        <f t="shared" si="160"/>
        <v>0</v>
      </c>
      <c r="I335" s="473"/>
      <c r="J335" s="464"/>
      <c r="K335" s="457"/>
      <c r="L335" s="458">
        <f t="shared" si="161"/>
        <v>0</v>
      </c>
      <c r="M335" s="466"/>
      <c r="N335" s="457"/>
      <c r="O335" s="457"/>
      <c r="P335" s="457"/>
      <c r="Q335" s="467">
        <f>база!$L$6</f>
        <v>261.04640000000001</v>
      </c>
      <c r="R335" s="464">
        <v>1.4</v>
      </c>
      <c r="S335" s="465">
        <f>SUMIFS(Таблица14[часы],Таблица14[коэф],"1,4",Таблица14[р/р],"5/16",Таблица14[Ф. И. О.],B330)</f>
        <v>0</v>
      </c>
      <c r="T335" s="549">
        <f t="shared" si="162"/>
        <v>0</v>
      </c>
      <c r="U335" s="474">
        <f>база!$M$6</f>
        <v>279.0496</v>
      </c>
      <c r="V335" s="464">
        <v>1.4</v>
      </c>
      <c r="W335" s="470">
        <f>SUMIFS(Таблица14[часы],Таблица14[коэф],"1,4",Таблица14[р/р],"5/24",Таблица14[Ф. И. О.],B330)</f>
        <v>0</v>
      </c>
      <c r="X335" s="547">
        <f t="shared" si="163"/>
        <v>0</v>
      </c>
      <c r="Y335" s="796"/>
      <c r="Z335" s="798"/>
      <c r="AA335" s="787"/>
    </row>
    <row r="336" spans="1:29">
      <c r="A336" s="785">
        <v>31</v>
      </c>
      <c r="B336" s="236"/>
      <c r="C336" s="788">
        <f>INDEX(база!$E$2:$E$81, MATCH(B341,база!$B$2:$B$50,0))</f>
        <v>16799</v>
      </c>
      <c r="D336" s="791">
        <f>INDEX(база!$D$2:$D$89, MATCH(B341,база!$B$2:$B$50,0))</f>
        <v>3</v>
      </c>
      <c r="E336" s="381">
        <f>IF(D336&lt;=3,база!$I$4,
IF(D336=4,база!$I$5,
IF(D336=5,база!$I$6)))</f>
        <v>188.7912</v>
      </c>
      <c r="F336" s="378">
        <v>1</v>
      </c>
      <c r="G336" s="387">
        <f>SUMIFS(Таблица14[часы],Таблица14[коэф],"1",Таблица14[р/р],"2/4",Таблица14[Ф. И. О.],B341)</f>
        <v>0</v>
      </c>
      <c r="H336" s="380">
        <f>ROUND(E336*F336*G336*2,2)</f>
        <v>0</v>
      </c>
      <c r="I336" s="377">
        <f>IF(D336&lt;=3,база!$J$4,
IF(D336=4,база!$J$5,
IF(D336=5,база!$J$6)))</f>
        <v>196.05240000000001</v>
      </c>
      <c r="J336" s="378">
        <v>1</v>
      </c>
      <c r="K336" s="428">
        <f>SUMIFS(Таблица14[часы],Таблица14[коэф],"1",Таблица14[р/р],"2/8",Таблица14[Ф. И. О.],B341)</f>
        <v>0</v>
      </c>
      <c r="L336" s="383">
        <f>ROUND(I336*J336*K336*2,2)</f>
        <v>0</v>
      </c>
      <c r="M336" s="426"/>
      <c r="N336" s="428">
        <v>1</v>
      </c>
      <c r="O336" s="428">
        <f>SUMIFS(Data_Tech!$AM$3:$AM$67,Data_Tech!$E$3:$E$67,"1",Data_Tech!$G$3:$G$67,"3/12",Data_Tech!$F$3:$F$67,B341)</f>
        <v>0</v>
      </c>
      <c r="P336" s="428">
        <f>ROUND(M336*N336*O336,2)</f>
        <v>0</v>
      </c>
      <c r="Q336" s="386">
        <f>IF(D336&lt;=3,база!$L$4,
IF(D336=4,база!$L$5,
IF(D336=5,база!$L$6)))</f>
        <v>210.57480000000001</v>
      </c>
      <c r="R336" s="378">
        <v>1</v>
      </c>
      <c r="S336" s="387">
        <f>SUMIFS(Таблица14[часы],Таблица14[коэф],"1",Таблица14[р/р],"3/16",Таблица14[Ф. И. О.],B341)</f>
        <v>0</v>
      </c>
      <c r="T336" s="548">
        <f>ROUND(Q336*R336*S336*2,2)</f>
        <v>0</v>
      </c>
      <c r="U336" s="471">
        <f>IF(D336&lt;=3,база!$M$4,
IF(D336=4,база!$M$5,
IF(D336=5,база!$M$6)))</f>
        <v>225.09719999999999</v>
      </c>
      <c r="V336" s="378">
        <v>1</v>
      </c>
      <c r="W336" s="430">
        <f>SUMIFS(Таблица14[часы],Таблица14[коэф],"1",Таблица14[р/р],"3/24",Таблица14[Ф. И. О.],B341)</f>
        <v>0</v>
      </c>
      <c r="X336" s="543">
        <f>ROUND(U336*V336*W336*2,2)</f>
        <v>0</v>
      </c>
      <c r="Y336" s="795">
        <f t="shared" ref="Y336" si="164">SUM(G336:G346,K336:K346,O336:O346,S336:S346,W336:W346)</f>
        <v>0</v>
      </c>
      <c r="Z336" s="797">
        <f t="shared" ref="Z336" si="165">IFERROR(SUM(H336:H346,L336:L346,T336:T346,X336:X346),"")</f>
        <v>0</v>
      </c>
      <c r="AA336" s="786"/>
    </row>
    <row r="337" spans="1:29">
      <c r="A337" s="786"/>
      <c r="B337" s="216"/>
      <c r="C337" s="789"/>
      <c r="D337" s="792"/>
      <c r="E337" s="393">
        <f>IF(D336&lt;=3,база!$I$4,
IF(D336=4,база!$I$5,
IF(D336=5,база!$I$6)))</f>
        <v>188.7912</v>
      </c>
      <c r="F337" s="390">
        <v>1</v>
      </c>
      <c r="G337" s="400">
        <f>SUMIFS(Таблица14[часы],Таблица14[коэф],"1",Таблица14[р/р],"3/4",Таблица14[Ф. И. О.],B341)</f>
        <v>0</v>
      </c>
      <c r="H337" s="542">
        <f t="shared" ref="H337:H346" si="166">ROUND(E337*F337*G337*2,2)</f>
        <v>0</v>
      </c>
      <c r="I337" s="389">
        <f>IF(D336&lt;=3,база!$J$4,
IF(D336=4,база!$J$5,
IF(D336=5,база!$J$6)))</f>
        <v>196.05240000000001</v>
      </c>
      <c r="J337" s="390">
        <v>1</v>
      </c>
      <c r="K337" s="434">
        <f>SUMIFS(Таблица14[часы],Таблица14[коэф],"1",Таблица14[р/р],"3/8",Таблица14[Ф. И. О.],B341)</f>
        <v>0</v>
      </c>
      <c r="L337" s="395">
        <f t="shared" ref="L337:L346" si="167">ROUND(I337*J337*K337*2,2)</f>
        <v>0</v>
      </c>
      <c r="M337" s="432"/>
      <c r="N337" s="434">
        <v>1</v>
      </c>
      <c r="O337" s="434">
        <f>SUMIFS(Data_Tech!$AM$3:$AM$67,Data_Tech!$E$3:$E$67,"1",Data_Tech!$G$3:$G$67,"4/12",Data_Tech!$F$3:$F$67,B341)</f>
        <v>0</v>
      </c>
      <c r="P337" s="434">
        <f>ROUND(M337*O337,2)</f>
        <v>0</v>
      </c>
      <c r="Q337" s="399">
        <f>база!$L$5</f>
        <v>231.45480000000001</v>
      </c>
      <c r="R337" s="390">
        <v>1</v>
      </c>
      <c r="S337" s="400">
        <f>SUMIFS(Таблица14[часы],Таблица14[коэф],"1",Таблица14[р/р],"4/16",Таблица14[Ф. И. О.],B341)</f>
        <v>0</v>
      </c>
      <c r="T337" s="544">
        <f t="shared" ref="T337:T346" si="168">ROUND(Q337*R337*S337*2,2)</f>
        <v>0</v>
      </c>
      <c r="U337" s="472">
        <f>база!$M$5</f>
        <v>247.41720000000001</v>
      </c>
      <c r="V337" s="390">
        <v>1</v>
      </c>
      <c r="W337" s="412">
        <f>SUMIFS(Таблица14[часы],Таблица14[коэф],"1",Таблица14[р/р],"4/24",Таблица14[Ф. И. О.],B341)</f>
        <v>0</v>
      </c>
      <c r="X337" s="545">
        <f t="shared" ref="X337:X346" si="169">ROUND(U337*V337*W337*2,2)</f>
        <v>0</v>
      </c>
      <c r="Y337" s="795"/>
      <c r="Z337" s="797"/>
      <c r="AA337" s="786"/>
    </row>
    <row r="338" spans="1:29">
      <c r="A338" s="786"/>
      <c r="B338" s="216"/>
      <c r="C338" s="789"/>
      <c r="D338" s="792"/>
      <c r="E338" s="393"/>
      <c r="F338" s="390"/>
      <c r="G338" s="400"/>
      <c r="H338" s="544">
        <f t="shared" si="166"/>
        <v>0</v>
      </c>
      <c r="I338" s="389"/>
      <c r="J338" s="390"/>
      <c r="K338" s="434"/>
      <c r="L338" s="395">
        <f t="shared" si="167"/>
        <v>0</v>
      </c>
      <c r="M338" s="432"/>
      <c r="N338" s="434"/>
      <c r="O338" s="434"/>
      <c r="P338" s="434"/>
      <c r="Q338" s="399">
        <f>база!$L$6</f>
        <v>261.04640000000001</v>
      </c>
      <c r="R338" s="390">
        <v>1</v>
      </c>
      <c r="S338" s="400">
        <f>SUMIFS(Таблица14[часы],Таблица14[коэф],"1",Таблица14[р/р],"5/16",Таблица14[Ф. И. О.],B341)</f>
        <v>0</v>
      </c>
      <c r="T338" s="544">
        <f t="shared" si="168"/>
        <v>0</v>
      </c>
      <c r="U338" s="472">
        <f>база!$M$6</f>
        <v>279.0496</v>
      </c>
      <c r="V338" s="390">
        <v>1</v>
      </c>
      <c r="W338" s="412">
        <f>SUMIFS(Таблица14[часы],Таблица14[коэф],"1",Таблица14[р/р],"5/24",Таблица14[Ф. И. О.],B341)</f>
        <v>0</v>
      </c>
      <c r="X338" s="545">
        <f t="shared" si="169"/>
        <v>0</v>
      </c>
      <c r="Y338" s="795"/>
      <c r="Z338" s="797"/>
      <c r="AA338" s="786"/>
    </row>
    <row r="339" spans="1:29">
      <c r="A339" s="786"/>
      <c r="B339" s="216"/>
      <c r="C339" s="789"/>
      <c r="D339" s="792"/>
      <c r="E339" s="393"/>
      <c r="F339" s="390"/>
      <c r="G339" s="400"/>
      <c r="H339" s="544">
        <f t="shared" si="166"/>
        <v>0</v>
      </c>
      <c r="I339" s="389">
        <f>база!$J$5</f>
        <v>215.4924</v>
      </c>
      <c r="J339" s="390">
        <v>1.5</v>
      </c>
      <c r="K339" s="434">
        <f>SUMIFS(Таблица14[часы],Таблица14[коэф],"1,5",Таблица14[р/р],"4/8",Таблица14[Ф. И. О.],B341)</f>
        <v>0</v>
      </c>
      <c r="L339" s="395">
        <f t="shared" si="167"/>
        <v>0</v>
      </c>
      <c r="M339" s="432"/>
      <c r="N339" s="434"/>
      <c r="O339" s="434"/>
      <c r="P339" s="434"/>
      <c r="Q339" s="399">
        <f>IF(D336&lt;=3,база!$L$4,
IF(D336=4,база!$L$5,
IF(D336=5,база!$L$6)))</f>
        <v>210.57480000000001</v>
      </c>
      <c r="R339" s="390">
        <v>1.2</v>
      </c>
      <c r="S339" s="400">
        <f>SUMIFS(Таблица14[часы],Таблица14[коэф],"1,2",Таблица14[р/р],"3/16",Таблица14[Ф. И. О.],B341)</f>
        <v>0</v>
      </c>
      <c r="T339" s="544">
        <f t="shared" si="168"/>
        <v>0</v>
      </c>
      <c r="U339" s="472">
        <f>IF(D336&lt;=3,база!$M$4,
IF(D336=4,база!$M$5,
IF(D336=5,база!$M$6)))</f>
        <v>225.09719999999999</v>
      </c>
      <c r="V339" s="390">
        <v>1.2</v>
      </c>
      <c r="W339" s="412">
        <f>SUMIFS(Таблица14[часы],Таблица14[коэф],"1,2",Таблица14[р/р],"3/24",Таблица14[Ф. И. О.],B341)</f>
        <v>0</v>
      </c>
      <c r="X339" s="545">
        <f t="shared" si="169"/>
        <v>0</v>
      </c>
      <c r="Y339" s="795"/>
      <c r="Z339" s="797"/>
      <c r="AA339" s="786"/>
    </row>
    <row r="340" spans="1:29">
      <c r="A340" s="786"/>
      <c r="B340" s="216"/>
      <c r="C340" s="789"/>
      <c r="D340" s="792"/>
      <c r="E340" s="393"/>
      <c r="F340" s="390"/>
      <c r="G340" s="400"/>
      <c r="H340" s="544">
        <f t="shared" si="166"/>
        <v>0</v>
      </c>
      <c r="I340" s="389">
        <f>база!$J$6</f>
        <v>243.04319999999998</v>
      </c>
      <c r="J340" s="390">
        <v>1.5</v>
      </c>
      <c r="K340" s="434">
        <f>SUMIFS(Таблица14[часы],Таблица14[коэф],"1,5",Таблица14[р/р],"5/8",Таблица14[Ф. И. О.],B341)</f>
        <v>0</v>
      </c>
      <c r="L340" s="395">
        <f t="shared" si="167"/>
        <v>0</v>
      </c>
      <c r="M340" s="432"/>
      <c r="N340" s="434"/>
      <c r="O340" s="434"/>
      <c r="P340" s="434"/>
      <c r="Q340" s="399">
        <f>база!$L$5</f>
        <v>231.45480000000001</v>
      </c>
      <c r="R340" s="390">
        <v>1.2</v>
      </c>
      <c r="S340" s="400">
        <f>SUMIFS(Таблица14[часы],Таблица14[коэф],"1,2",Таблица14[р/р],"4/16",Таблица14[Ф. И. О.],B341)</f>
        <v>0</v>
      </c>
      <c r="T340" s="544">
        <f t="shared" si="168"/>
        <v>0</v>
      </c>
      <c r="U340" s="472">
        <f>база!$M$5</f>
        <v>247.41720000000001</v>
      </c>
      <c r="V340" s="390">
        <v>1.2</v>
      </c>
      <c r="W340" s="412">
        <f>SUMIFS(Таблица14[часы],Таблица14[коэф],"1,2",Таблица14[р/р],"4/24",Таблица14[Ф. И. О.],B341)</f>
        <v>0</v>
      </c>
      <c r="X340" s="545">
        <f t="shared" si="169"/>
        <v>0</v>
      </c>
      <c r="Y340" s="795"/>
      <c r="Z340" s="797"/>
      <c r="AA340" s="786"/>
      <c r="AC340" s="754" t="str">
        <f>IF(SUMIFS(Таблица14[Столбец2],Таблица14[Ф. И. О.],B341)-Z336=0,"",SUMIFS(Таблица14[Столбец2],Таблица14[Ф. И. О.],B341)-Z336)</f>
        <v/>
      </c>
    </row>
    <row r="341" spans="1:29">
      <c r="A341" s="786"/>
      <c r="B341" s="216" t="str">
        <f>база!B32</f>
        <v>Иванченко Ульяна Леонидовна</v>
      </c>
      <c r="C341" s="789"/>
      <c r="D341" s="792"/>
      <c r="E341" s="393"/>
      <c r="F341" s="390"/>
      <c r="G341" s="400"/>
      <c r="H341" s="544">
        <f t="shared" si="166"/>
        <v>0</v>
      </c>
      <c r="I341" s="389"/>
      <c r="J341" s="390"/>
      <c r="K341" s="434"/>
      <c r="L341" s="395">
        <f t="shared" si="167"/>
        <v>0</v>
      </c>
      <c r="M341" s="432"/>
      <c r="N341" s="434"/>
      <c r="O341" s="434"/>
      <c r="P341" s="434"/>
      <c r="Q341" s="399">
        <f>база!$L$6</f>
        <v>261.04640000000001</v>
      </c>
      <c r="R341" s="390">
        <v>1.2</v>
      </c>
      <c r="S341" s="400">
        <f>SUMIFS(Таблица14[часы],Таблица14[коэф],"1,2",Таблица14[р/р],"5/16",Таблица14[Ф. И. О.],B341)</f>
        <v>0</v>
      </c>
      <c r="T341" s="544">
        <f t="shared" si="168"/>
        <v>0</v>
      </c>
      <c r="U341" s="472">
        <f>база!$M$6</f>
        <v>279.0496</v>
      </c>
      <c r="V341" s="390">
        <v>1.2</v>
      </c>
      <c r="W341" s="412">
        <f>SUMIFS(Таблица14[часы],Таблица14[коэф],"1,2",Таблица14[р/р],"5/24",Таблица14[Ф. И. О.],B341)</f>
        <v>0</v>
      </c>
      <c r="X341" s="545">
        <f t="shared" si="169"/>
        <v>0</v>
      </c>
      <c r="Y341" s="795"/>
      <c r="Z341" s="797"/>
      <c r="AA341" s="786"/>
      <c r="AC341" s="754" t="str">
        <f>IF(SUMIFS(Таблица14[часы],Таблица14[Ф. И. О.],B341)-Y336=0,"",SUMIFS(Таблица14[часы],Таблица14[Ф. И. О.],B341)-Y336)</f>
        <v/>
      </c>
    </row>
    <row r="342" spans="1:29">
      <c r="A342" s="786"/>
      <c r="B342" s="216"/>
      <c r="C342" s="789"/>
      <c r="D342" s="792"/>
      <c r="E342" s="393"/>
      <c r="F342" s="390"/>
      <c r="G342" s="400"/>
      <c r="H342" s="544">
        <f t="shared" si="166"/>
        <v>0</v>
      </c>
      <c r="I342" s="389"/>
      <c r="J342" s="390"/>
      <c r="K342" s="434"/>
      <c r="L342" s="395">
        <f t="shared" si="167"/>
        <v>0</v>
      </c>
      <c r="M342" s="432"/>
      <c r="N342" s="434"/>
      <c r="O342" s="434"/>
      <c r="P342" s="434"/>
      <c r="Q342" s="399">
        <f>IF(D336&lt;=3,база!$L$4,
IF(D336=4,база!$L$5,
IF(D336=5,база!$L$6)))</f>
        <v>210.57480000000001</v>
      </c>
      <c r="R342" s="390">
        <v>1.3</v>
      </c>
      <c r="S342" s="400">
        <f>SUMIFS(Таблица14[часы],Таблица14[коэф],"1,3",Таблица14[р/р],"3/16",Таблица14[Ф. И. О.],B341)</f>
        <v>0</v>
      </c>
      <c r="T342" s="544">
        <f t="shared" si="168"/>
        <v>0</v>
      </c>
      <c r="U342" s="472">
        <f>IF(D336&lt;=3,база!$M$4,
IF(D336=4,база!$M$5,
IF(D336=5,база!$M$6)))</f>
        <v>225.09719999999999</v>
      </c>
      <c r="V342" s="390">
        <v>1.3</v>
      </c>
      <c r="W342" s="412">
        <f>SUMIFS(Таблица14[часы],Таблица14[коэф],"1,3",Таблица14[р/р],"3/24",Таблица14[Ф. И. О.],B341)</f>
        <v>0</v>
      </c>
      <c r="X342" s="545">
        <f t="shared" si="169"/>
        <v>0</v>
      </c>
      <c r="Y342" s="795"/>
      <c r="Z342" s="797"/>
      <c r="AA342" s="786"/>
    </row>
    <row r="343" spans="1:29">
      <c r="A343" s="786"/>
      <c r="B343" s="216"/>
      <c r="C343" s="789"/>
      <c r="D343" s="792"/>
      <c r="E343" s="393"/>
      <c r="F343" s="390"/>
      <c r="G343" s="400"/>
      <c r="H343" s="544">
        <f t="shared" si="166"/>
        <v>0</v>
      </c>
      <c r="I343" s="389"/>
      <c r="J343" s="390"/>
      <c r="K343" s="434"/>
      <c r="L343" s="395">
        <f t="shared" si="167"/>
        <v>0</v>
      </c>
      <c r="M343" s="432"/>
      <c r="N343" s="434"/>
      <c r="O343" s="434"/>
      <c r="P343" s="434"/>
      <c r="Q343" s="399">
        <f>база!$L$5</f>
        <v>231.45480000000001</v>
      </c>
      <c r="R343" s="390">
        <v>1.3</v>
      </c>
      <c r="S343" s="400">
        <f>SUMIFS(Таблица14[часы],Таблица14[коэф],"1,3",Таблица14[р/р],"4/16",Таблица14[Ф. И. О.],B341)</f>
        <v>0</v>
      </c>
      <c r="T343" s="544">
        <f t="shared" si="168"/>
        <v>0</v>
      </c>
      <c r="U343" s="472">
        <f>база!$M$5</f>
        <v>247.41720000000001</v>
      </c>
      <c r="V343" s="390">
        <v>1.3</v>
      </c>
      <c r="W343" s="412">
        <f>SUMIFS(Таблица14[часы],Таблица14[коэф],"1,3",Таблица14[р/р],"4/24",Таблица14[Ф. И. О.],B341)</f>
        <v>0</v>
      </c>
      <c r="X343" s="545">
        <f t="shared" si="169"/>
        <v>0</v>
      </c>
      <c r="Y343" s="795"/>
      <c r="Z343" s="797"/>
      <c r="AA343" s="786"/>
    </row>
    <row r="344" spans="1:29">
      <c r="A344" s="786"/>
      <c r="B344" s="216"/>
      <c r="C344" s="789"/>
      <c r="D344" s="792"/>
      <c r="E344" s="393"/>
      <c r="F344" s="390"/>
      <c r="G344" s="400"/>
      <c r="H344" s="544">
        <f t="shared" si="166"/>
        <v>0</v>
      </c>
      <c r="I344" s="389"/>
      <c r="J344" s="390"/>
      <c r="K344" s="434"/>
      <c r="L344" s="395">
        <f t="shared" si="167"/>
        <v>0</v>
      </c>
      <c r="M344" s="432"/>
      <c r="N344" s="434"/>
      <c r="O344" s="434"/>
      <c r="P344" s="434"/>
      <c r="Q344" s="399">
        <f>IF(D336&lt;=3,база!$L$4,
IF(D336=4,база!$L$5,
IF(D336=5,база!$L$6)))</f>
        <v>210.57480000000001</v>
      </c>
      <c r="R344" s="390">
        <v>1.4</v>
      </c>
      <c r="S344" s="400">
        <f>SUMIFS(Таблица14[часы],Таблица14[коэф],"1,4",Таблица14[р/р],"3/16",Таблица14[Ф. И. О.],B341)</f>
        <v>0</v>
      </c>
      <c r="T344" s="544">
        <f t="shared" si="168"/>
        <v>0</v>
      </c>
      <c r="U344" s="472">
        <f>IF(D336&lt;=3,база!$M$4,
IF(D336=4,база!$M$5,
IF(D336=5,база!$M$6)))</f>
        <v>225.09719999999999</v>
      </c>
      <c r="V344" s="390">
        <v>1.4</v>
      </c>
      <c r="W344" s="412">
        <f>SUMIFS(Таблица14[часы],Таблица14[коэф],"1,4",Таблица14[р/р],"3/24",Таблица14[Ф. И. О.],B341)</f>
        <v>0</v>
      </c>
      <c r="X344" s="545">
        <f t="shared" si="169"/>
        <v>0</v>
      </c>
      <c r="Y344" s="795"/>
      <c r="Z344" s="797"/>
      <c r="AA344" s="786"/>
    </row>
    <row r="345" spans="1:29">
      <c r="A345" s="786"/>
      <c r="B345" s="216"/>
      <c r="C345" s="789"/>
      <c r="D345" s="792"/>
      <c r="E345" s="393"/>
      <c r="F345" s="390"/>
      <c r="G345" s="400"/>
      <c r="H345" s="544">
        <f t="shared" si="166"/>
        <v>0</v>
      </c>
      <c r="I345" s="389"/>
      <c r="J345" s="390"/>
      <c r="K345" s="434"/>
      <c r="L345" s="395">
        <f t="shared" si="167"/>
        <v>0</v>
      </c>
      <c r="M345" s="432"/>
      <c r="N345" s="434"/>
      <c r="O345" s="434"/>
      <c r="P345" s="434"/>
      <c r="Q345" s="399">
        <f>база!$L$5</f>
        <v>231.45480000000001</v>
      </c>
      <c r="R345" s="390">
        <v>1.4</v>
      </c>
      <c r="S345" s="400">
        <f>SUMIFS(Таблица14[часы],Таблица14[коэф],"1,4",Таблица14[р/р],"4/16",Таблица14[Ф. И. О.],B341)</f>
        <v>0</v>
      </c>
      <c r="T345" s="544">
        <f t="shared" si="168"/>
        <v>0</v>
      </c>
      <c r="U345" s="472">
        <f>база!$M$5</f>
        <v>247.41720000000001</v>
      </c>
      <c r="V345" s="390">
        <v>1.4</v>
      </c>
      <c r="W345" s="412">
        <f>SUMIFS(Таблица14[часы],Таблица14[коэф],"1,4",Таблица14[р/р],"4/24",Таблица14[Ф. И. О.],B341)</f>
        <v>0</v>
      </c>
      <c r="X345" s="545">
        <f t="shared" si="169"/>
        <v>0</v>
      </c>
      <c r="Y345" s="795"/>
      <c r="Z345" s="797"/>
      <c r="AA345" s="786"/>
    </row>
    <row r="346" spans="1:29" ht="21" thickBot="1">
      <c r="A346" s="787"/>
      <c r="B346" s="203"/>
      <c r="C346" s="790"/>
      <c r="D346" s="793"/>
      <c r="E346" s="463"/>
      <c r="F346" s="464"/>
      <c r="G346" s="465"/>
      <c r="H346" s="549">
        <f t="shared" si="166"/>
        <v>0</v>
      </c>
      <c r="I346" s="473"/>
      <c r="J346" s="464"/>
      <c r="K346" s="457"/>
      <c r="L346" s="458">
        <f t="shared" si="167"/>
        <v>0</v>
      </c>
      <c r="M346" s="466"/>
      <c r="N346" s="457"/>
      <c r="O346" s="457"/>
      <c r="P346" s="457"/>
      <c r="Q346" s="467">
        <f>база!$L$6</f>
        <v>261.04640000000001</v>
      </c>
      <c r="R346" s="464">
        <v>1.4</v>
      </c>
      <c r="S346" s="465">
        <f>SUMIFS(Таблица14[часы],Таблица14[коэф],"1,4",Таблица14[р/р],"5/16",Таблица14[Ф. И. О.],B341)</f>
        <v>0</v>
      </c>
      <c r="T346" s="549">
        <f t="shared" si="168"/>
        <v>0</v>
      </c>
      <c r="U346" s="474">
        <f>база!$M$6</f>
        <v>279.0496</v>
      </c>
      <c r="V346" s="464">
        <v>1.4</v>
      </c>
      <c r="W346" s="470">
        <f>SUMIFS(Таблица14[часы],Таблица14[коэф],"1,4",Таблица14[р/р],"5/24",Таблица14[Ф. И. О.],B341)</f>
        <v>0</v>
      </c>
      <c r="X346" s="547">
        <f t="shared" si="169"/>
        <v>0</v>
      </c>
      <c r="Y346" s="796"/>
      <c r="Z346" s="798"/>
      <c r="AA346" s="787"/>
    </row>
    <row r="347" spans="1:29">
      <c r="A347" s="785">
        <v>32</v>
      </c>
      <c r="B347" s="236"/>
      <c r="C347" s="788">
        <f>INDEX(база!$E$2:$E$81, MATCH(B352,база!$B$2:$B$50,0))</f>
        <v>17305</v>
      </c>
      <c r="D347" s="791">
        <f>INDEX(база!$D$2:$D$89, MATCH(B352,база!$B$2:$B$50,0))</f>
        <v>3</v>
      </c>
      <c r="E347" s="381">
        <f>IF(D347&lt;=3,база!$I$4,
IF(D347=4,база!$I$5,
IF(D347=5,база!$I$6)))</f>
        <v>188.7912</v>
      </c>
      <c r="F347" s="378">
        <v>1</v>
      </c>
      <c r="G347" s="387">
        <f>SUMIFS(Таблица14[часы],Таблица14[коэф],"1",Таблица14[р/р],"2/4",Таблица14[Ф. И. О.],B352)</f>
        <v>0</v>
      </c>
      <c r="H347" s="380">
        <f>ROUND(E347*F347*G347*2,2)</f>
        <v>0</v>
      </c>
      <c r="I347" s="377">
        <f>IF(D347&lt;=3,база!$J$4,
IF(D347=4,база!$J$5,
IF(D347=5,база!$J$6)))</f>
        <v>196.05240000000001</v>
      </c>
      <c r="J347" s="378">
        <v>1</v>
      </c>
      <c r="K347" s="428">
        <f>SUMIFS(Таблица14[часы],Таблица14[коэф],"1",Таблица14[р/р],"2/8",Таблица14[Ф. И. О.],B352)</f>
        <v>0</v>
      </c>
      <c r="L347" s="383">
        <f>ROUND(I347*J347*K347*2,2)</f>
        <v>0</v>
      </c>
      <c r="M347" s="426"/>
      <c r="N347" s="428">
        <v>1</v>
      </c>
      <c r="O347" s="428">
        <f>SUMIFS(Data_Tech!$AM$3:$AM$67,Data_Tech!$E$3:$E$67,"1",Data_Tech!$G$3:$G$67,"3/12",Data_Tech!$F$3:$F$67,B352)</f>
        <v>0</v>
      </c>
      <c r="P347" s="428">
        <f>ROUND(M347*N347*O347,2)</f>
        <v>0</v>
      </c>
      <c r="Q347" s="386">
        <f>IF(D347&lt;=3,база!$L$4,
IF(D347=4,база!$L$5,
IF(D347=5,база!$L$6)))</f>
        <v>210.57480000000001</v>
      </c>
      <c r="R347" s="378">
        <v>1</v>
      </c>
      <c r="S347" s="387">
        <f>SUMIFS(Таблица14[часы],Таблица14[коэф],"1",Таблица14[р/р],"3/16",Таблица14[Ф. И. О.],B352)</f>
        <v>0</v>
      </c>
      <c r="T347" s="548">
        <f>ROUND(Q347*R347*S347*2,2)</f>
        <v>0</v>
      </c>
      <c r="U347" s="471">
        <f>IF(D347&lt;=3,база!$M$4,
IF(D347=4,база!$M$5,
IF(D347=5,база!$M$6)))</f>
        <v>225.09719999999999</v>
      </c>
      <c r="V347" s="378">
        <v>1</v>
      </c>
      <c r="W347" s="430">
        <f>SUMIFS(Таблица14[часы],Таблица14[коэф],"1",Таблица14[р/р],"3/24",Таблица14[Ф. И. О.],B352)</f>
        <v>0</v>
      </c>
      <c r="X347" s="543">
        <f>ROUND(U347*V347*W347*2,2)</f>
        <v>0</v>
      </c>
      <c r="Y347" s="795">
        <f t="shared" ref="Y347" si="170">SUM(G347:G357,K347:K357,O347:O357,S347:S357,W347:W357)</f>
        <v>0</v>
      </c>
      <c r="Z347" s="797">
        <f t="shared" ref="Z347" si="171">IFERROR(SUM(H347:H357,L347:L357,T347:T357,X347:X357),"")</f>
        <v>0</v>
      </c>
      <c r="AA347" s="786"/>
    </row>
    <row r="348" spans="1:29">
      <c r="A348" s="786"/>
      <c r="B348" s="216"/>
      <c r="C348" s="789"/>
      <c r="D348" s="792"/>
      <c r="E348" s="393">
        <f>IF(D347&lt;=3,база!$I$4,
IF(D347=4,база!$I$5,
IF(D347=5,база!$I$6)))</f>
        <v>188.7912</v>
      </c>
      <c r="F348" s="390">
        <v>1</v>
      </c>
      <c r="G348" s="400">
        <f>SUMIFS(Таблица14[часы],Таблица14[коэф],"1",Таблица14[р/р],"3/4",Таблица14[Ф. И. О.],B352)</f>
        <v>0</v>
      </c>
      <c r="H348" s="542">
        <f t="shared" ref="H348:H357" si="172">ROUND(E348*F348*G348*2,2)</f>
        <v>0</v>
      </c>
      <c r="I348" s="389">
        <f>IF(D347&lt;=3,база!$J$4,
IF(D347=4,база!$J$5,
IF(D347=5,база!$J$6)))</f>
        <v>196.05240000000001</v>
      </c>
      <c r="J348" s="390">
        <v>1</v>
      </c>
      <c r="K348" s="434">
        <f>SUMIFS(Таблица14[часы],Таблица14[коэф],"1",Таблица14[р/р],"3/8",Таблица14[Ф. И. О.],B352)</f>
        <v>0</v>
      </c>
      <c r="L348" s="395">
        <f t="shared" ref="L348:L357" si="173">ROUND(I348*J348*K348*2,2)</f>
        <v>0</v>
      </c>
      <c r="M348" s="432"/>
      <c r="N348" s="434">
        <v>1</v>
      </c>
      <c r="O348" s="434">
        <f>SUMIFS(Data_Tech!$AM$3:$AM$67,Data_Tech!$E$3:$E$67,"1",Data_Tech!$G$3:$G$67,"4/12",Data_Tech!$F$3:$F$67,B352)</f>
        <v>0</v>
      </c>
      <c r="P348" s="434">
        <f>ROUND(M348*O348,2)</f>
        <v>0</v>
      </c>
      <c r="Q348" s="399">
        <f>база!$L$5</f>
        <v>231.45480000000001</v>
      </c>
      <c r="R348" s="390">
        <v>1</v>
      </c>
      <c r="S348" s="400">
        <f>SUMIFS(Таблица14[часы],Таблица14[коэф],"1",Таблица14[р/р],"4/16",Таблица14[Ф. И. О.],B352)</f>
        <v>0</v>
      </c>
      <c r="T348" s="544">
        <f t="shared" ref="T348:T357" si="174">ROUND(Q348*R348*S348*2,2)</f>
        <v>0</v>
      </c>
      <c r="U348" s="472">
        <f>база!$M$5</f>
        <v>247.41720000000001</v>
      </c>
      <c r="V348" s="390">
        <v>1</v>
      </c>
      <c r="W348" s="412">
        <f>SUMIFS(Таблица14[часы],Таблица14[коэф],"1",Таблица14[р/р],"4/24",Таблица14[Ф. И. О.],B352)</f>
        <v>0</v>
      </c>
      <c r="X348" s="545">
        <f t="shared" ref="X348:X357" si="175">ROUND(U348*V348*W348*2,2)</f>
        <v>0</v>
      </c>
      <c r="Y348" s="795"/>
      <c r="Z348" s="797"/>
      <c r="AA348" s="786"/>
    </row>
    <row r="349" spans="1:29">
      <c r="A349" s="786"/>
      <c r="B349" s="216"/>
      <c r="C349" s="789"/>
      <c r="D349" s="792"/>
      <c r="E349" s="393"/>
      <c r="F349" s="390"/>
      <c r="G349" s="400"/>
      <c r="H349" s="544">
        <f t="shared" si="172"/>
        <v>0</v>
      </c>
      <c r="I349" s="389"/>
      <c r="J349" s="390"/>
      <c r="K349" s="434"/>
      <c r="L349" s="395">
        <f t="shared" si="173"/>
        <v>0</v>
      </c>
      <c r="M349" s="432"/>
      <c r="N349" s="434"/>
      <c r="O349" s="434"/>
      <c r="P349" s="434"/>
      <c r="Q349" s="399">
        <f>база!$L$6</f>
        <v>261.04640000000001</v>
      </c>
      <c r="R349" s="390">
        <v>1</v>
      </c>
      <c r="S349" s="400">
        <f>SUMIFS(Таблица14[часы],Таблица14[коэф],"1",Таблица14[р/р],"5/16",Таблица14[Ф. И. О.],B352)</f>
        <v>0</v>
      </c>
      <c r="T349" s="544">
        <f t="shared" si="174"/>
        <v>0</v>
      </c>
      <c r="U349" s="472">
        <f>база!$M$6</f>
        <v>279.0496</v>
      </c>
      <c r="V349" s="390">
        <v>1</v>
      </c>
      <c r="W349" s="412">
        <f>SUMIFS(Таблица14[часы],Таблица14[коэф],"1",Таблица14[р/р],"5/24",Таблица14[Ф. И. О.],B352)</f>
        <v>0</v>
      </c>
      <c r="X349" s="545">
        <f t="shared" si="175"/>
        <v>0</v>
      </c>
      <c r="Y349" s="795"/>
      <c r="Z349" s="797"/>
      <c r="AA349" s="786"/>
    </row>
    <row r="350" spans="1:29">
      <c r="A350" s="786"/>
      <c r="B350" s="216"/>
      <c r="C350" s="789"/>
      <c r="D350" s="792"/>
      <c r="E350" s="393"/>
      <c r="F350" s="390"/>
      <c r="G350" s="400"/>
      <c r="H350" s="544">
        <f t="shared" si="172"/>
        <v>0</v>
      </c>
      <c r="I350" s="389">
        <f>база!$J$5</f>
        <v>215.4924</v>
      </c>
      <c r="J350" s="390">
        <v>1.5</v>
      </c>
      <c r="K350" s="434">
        <f>SUMIFS(Таблица14[часы],Таблица14[коэф],"1,5",Таблица14[р/р],"4/8",Таблица14[Ф. И. О.],B352)</f>
        <v>0</v>
      </c>
      <c r="L350" s="395">
        <f t="shared" si="173"/>
        <v>0</v>
      </c>
      <c r="M350" s="432"/>
      <c r="N350" s="434"/>
      <c r="O350" s="434"/>
      <c r="P350" s="434"/>
      <c r="Q350" s="399">
        <f>IF(D347&lt;=3,база!$L$4,
IF(D347=4,база!$L$5,
IF(D347=5,база!$L$6)))</f>
        <v>210.57480000000001</v>
      </c>
      <c r="R350" s="390">
        <v>1.2</v>
      </c>
      <c r="S350" s="400">
        <f>SUMIFS(Таблица14[часы],Таблица14[коэф],"1,2",Таблица14[р/р],"3/16",Таблица14[Ф. И. О.],B352)</f>
        <v>0</v>
      </c>
      <c r="T350" s="544">
        <f t="shared" si="174"/>
        <v>0</v>
      </c>
      <c r="U350" s="472">
        <f>IF(D347&lt;=3,база!$M$4,
IF(D347=4,база!$M$5,
IF(D347=5,база!$M$6)))</f>
        <v>225.09719999999999</v>
      </c>
      <c r="V350" s="390">
        <v>1.2</v>
      </c>
      <c r="W350" s="412">
        <f>SUMIFS(Таблица14[часы],Таблица14[коэф],"1,2",Таблица14[р/р],"3/24",Таблица14[Ф. И. О.],B352)</f>
        <v>0</v>
      </c>
      <c r="X350" s="545">
        <f t="shared" si="175"/>
        <v>0</v>
      </c>
      <c r="Y350" s="795"/>
      <c r="Z350" s="797"/>
      <c r="AA350" s="786"/>
    </row>
    <row r="351" spans="1:29">
      <c r="A351" s="786"/>
      <c r="B351" s="216"/>
      <c r="C351" s="789"/>
      <c r="D351" s="792"/>
      <c r="E351" s="393"/>
      <c r="F351" s="390"/>
      <c r="G351" s="400"/>
      <c r="H351" s="544">
        <f t="shared" si="172"/>
        <v>0</v>
      </c>
      <c r="I351" s="389">
        <f>база!$J$6</f>
        <v>243.04319999999998</v>
      </c>
      <c r="J351" s="390">
        <v>1.5</v>
      </c>
      <c r="K351" s="434">
        <f>SUMIFS(Таблица14[часы],Таблица14[коэф],"1,5",Таблица14[р/р],"5/8",Таблица14[Ф. И. О.],B352)</f>
        <v>0</v>
      </c>
      <c r="L351" s="395">
        <f t="shared" si="173"/>
        <v>0</v>
      </c>
      <c r="M351" s="432"/>
      <c r="N351" s="434"/>
      <c r="O351" s="434"/>
      <c r="P351" s="434"/>
      <c r="Q351" s="399">
        <f>база!$L$5</f>
        <v>231.45480000000001</v>
      </c>
      <c r="R351" s="390">
        <v>1.2</v>
      </c>
      <c r="S351" s="400">
        <f>SUMIFS(Таблица14[часы],Таблица14[коэф],"1,2",Таблица14[р/р],"4/16",Таблица14[Ф. И. О.],B352)</f>
        <v>0</v>
      </c>
      <c r="T351" s="544">
        <f t="shared" si="174"/>
        <v>0</v>
      </c>
      <c r="U351" s="472">
        <f>база!$M$5</f>
        <v>247.41720000000001</v>
      </c>
      <c r="V351" s="390">
        <v>1.2</v>
      </c>
      <c r="W351" s="412">
        <f>SUMIFS(Таблица14[часы],Таблица14[коэф],"1,2",Таблица14[р/р],"4/24",Таблица14[Ф. И. О.],B352)</f>
        <v>0</v>
      </c>
      <c r="X351" s="545">
        <f t="shared" si="175"/>
        <v>0</v>
      </c>
      <c r="Y351" s="795"/>
      <c r="Z351" s="797"/>
      <c r="AA351" s="786"/>
    </row>
    <row r="352" spans="1:29" ht="18" customHeight="1">
      <c r="A352" s="786"/>
      <c r="B352" s="216" t="str">
        <f>база!B33</f>
        <v>Исаева Инна Игоревна</v>
      </c>
      <c r="C352" s="789"/>
      <c r="D352" s="792"/>
      <c r="E352" s="393"/>
      <c r="F352" s="390"/>
      <c r="G352" s="400"/>
      <c r="H352" s="544">
        <f t="shared" si="172"/>
        <v>0</v>
      </c>
      <c r="I352" s="389"/>
      <c r="J352" s="390"/>
      <c r="K352" s="434"/>
      <c r="L352" s="395">
        <f t="shared" si="173"/>
        <v>0</v>
      </c>
      <c r="M352" s="432"/>
      <c r="N352" s="434"/>
      <c r="O352" s="434"/>
      <c r="P352" s="434"/>
      <c r="Q352" s="399">
        <f>база!$L$6</f>
        <v>261.04640000000001</v>
      </c>
      <c r="R352" s="390">
        <v>1.2</v>
      </c>
      <c r="S352" s="400">
        <f>SUMIFS(Таблица14[часы],Таблица14[коэф],"1,2",Таблица14[р/р],"5/16",Таблица14[Ф. И. О.],B352)</f>
        <v>0</v>
      </c>
      <c r="T352" s="544">
        <f t="shared" si="174"/>
        <v>0</v>
      </c>
      <c r="U352" s="472">
        <f>база!$M$6</f>
        <v>279.0496</v>
      </c>
      <c r="V352" s="390">
        <v>1.2</v>
      </c>
      <c r="W352" s="412">
        <f>SUMIFS(Таблица14[часы],Таблица14[коэф],"1,2",Таблица14[р/р],"5/24",Таблица14[Ф. И. О.],B352)</f>
        <v>0</v>
      </c>
      <c r="X352" s="545">
        <f t="shared" si="175"/>
        <v>0</v>
      </c>
      <c r="Y352" s="795"/>
      <c r="Z352" s="797"/>
      <c r="AA352" s="786"/>
      <c r="AC352" s="754" t="str">
        <f>IF(SUMIFS(Таблица14[Столбец2],Таблица14[Ф. И. О.],B352)-Z347=0,"",SUMIFS(Таблица14[Столбец2],Таблица14[Ф. И. О.],B352)-Z347)</f>
        <v/>
      </c>
    </row>
    <row r="353" spans="1:29">
      <c r="A353" s="786"/>
      <c r="B353" s="216"/>
      <c r="C353" s="789"/>
      <c r="D353" s="792"/>
      <c r="E353" s="393"/>
      <c r="F353" s="390"/>
      <c r="G353" s="400"/>
      <c r="H353" s="544">
        <f t="shared" si="172"/>
        <v>0</v>
      </c>
      <c r="I353" s="389"/>
      <c r="J353" s="390"/>
      <c r="K353" s="434"/>
      <c r="L353" s="395">
        <f t="shared" si="173"/>
        <v>0</v>
      </c>
      <c r="M353" s="432"/>
      <c r="N353" s="434"/>
      <c r="O353" s="434"/>
      <c r="P353" s="434"/>
      <c r="Q353" s="399">
        <f>IF(D347&lt;=3,база!$L$4,
IF(D347=4,база!$L$5,
IF(D347=5,база!$L$6)))</f>
        <v>210.57480000000001</v>
      </c>
      <c r="R353" s="390">
        <v>1.3</v>
      </c>
      <c r="S353" s="400">
        <f>SUMIFS(Таблица14[часы],Таблица14[коэф],"1,3",Таблица14[р/р],"3/16",Таблица14[Ф. И. О.],B352)</f>
        <v>0</v>
      </c>
      <c r="T353" s="544">
        <f t="shared" si="174"/>
        <v>0</v>
      </c>
      <c r="U353" s="472">
        <f>IF(D347&lt;=3,база!$M$4,
IF(D347=4,база!$M$5,
IF(D347=5,база!$M$6)))</f>
        <v>225.09719999999999</v>
      </c>
      <c r="V353" s="390">
        <v>1.3</v>
      </c>
      <c r="W353" s="412">
        <f>SUMIFS(Таблица14[часы],Таблица14[коэф],"1,3",Таблица14[р/р],"3/24",Таблица14[Ф. И. О.],B352)</f>
        <v>0</v>
      </c>
      <c r="X353" s="545">
        <f t="shared" si="175"/>
        <v>0</v>
      </c>
      <c r="Y353" s="795"/>
      <c r="Z353" s="797"/>
      <c r="AA353" s="786"/>
      <c r="AC353" s="754" t="str">
        <f>IF(SUMIFS(Таблица14[часы],Таблица14[Ф. И. О.],B352)-Y347=0,"",SUMIFS(Таблица14[часы],Таблица14[Ф. И. О.],B352)-Y347)</f>
        <v/>
      </c>
    </row>
    <row r="354" spans="1:29">
      <c r="A354" s="786"/>
      <c r="B354" s="216"/>
      <c r="C354" s="789"/>
      <c r="D354" s="792"/>
      <c r="E354" s="393"/>
      <c r="F354" s="390"/>
      <c r="G354" s="400"/>
      <c r="H354" s="544">
        <f t="shared" si="172"/>
        <v>0</v>
      </c>
      <c r="I354" s="389"/>
      <c r="J354" s="390"/>
      <c r="K354" s="434"/>
      <c r="L354" s="395">
        <f t="shared" si="173"/>
        <v>0</v>
      </c>
      <c r="M354" s="432"/>
      <c r="N354" s="434"/>
      <c r="O354" s="434"/>
      <c r="P354" s="434"/>
      <c r="Q354" s="399">
        <f>база!$L$5</f>
        <v>231.45480000000001</v>
      </c>
      <c r="R354" s="390">
        <v>1.3</v>
      </c>
      <c r="S354" s="400">
        <f>SUMIFS(Таблица14[часы],Таблица14[коэф],"1,3",Таблица14[р/р],"4/16",Таблица14[Ф. И. О.],B352)</f>
        <v>0</v>
      </c>
      <c r="T354" s="544">
        <f t="shared" si="174"/>
        <v>0</v>
      </c>
      <c r="U354" s="472">
        <f>база!$M$5</f>
        <v>247.41720000000001</v>
      </c>
      <c r="V354" s="390">
        <v>1.3</v>
      </c>
      <c r="W354" s="412">
        <f>SUMIFS(Таблица14[часы],Таблица14[коэф],"1,3",Таблица14[р/р],"4/24",Таблица14[Ф. И. О.],B352)</f>
        <v>0</v>
      </c>
      <c r="X354" s="545">
        <f t="shared" si="175"/>
        <v>0</v>
      </c>
      <c r="Y354" s="795"/>
      <c r="Z354" s="797"/>
      <c r="AA354" s="786"/>
    </row>
    <row r="355" spans="1:29">
      <c r="A355" s="786"/>
      <c r="B355" s="216"/>
      <c r="C355" s="789"/>
      <c r="D355" s="792"/>
      <c r="E355" s="393"/>
      <c r="F355" s="390"/>
      <c r="G355" s="400"/>
      <c r="H355" s="544">
        <f t="shared" si="172"/>
        <v>0</v>
      </c>
      <c r="I355" s="389"/>
      <c r="J355" s="390"/>
      <c r="K355" s="434"/>
      <c r="L355" s="395">
        <f t="shared" si="173"/>
        <v>0</v>
      </c>
      <c r="M355" s="432"/>
      <c r="N355" s="434"/>
      <c r="O355" s="434"/>
      <c r="P355" s="434"/>
      <c r="Q355" s="399">
        <f>IF(D347&lt;=3,база!$L$4,
IF(D347=4,база!$L$5,
IF(D347=5,база!$L$6)))</f>
        <v>210.57480000000001</v>
      </c>
      <c r="R355" s="390">
        <v>1.4</v>
      </c>
      <c r="S355" s="400">
        <f>SUMIFS(Таблица14[часы],Таблица14[коэф],"1,4",Таблица14[р/р],"3/16",Таблица14[Ф. И. О.],B352)</f>
        <v>0</v>
      </c>
      <c r="T355" s="544">
        <f t="shared" si="174"/>
        <v>0</v>
      </c>
      <c r="U355" s="472">
        <f>IF(D347&lt;=3,база!$M$4,
IF(D347=4,база!$M$5,
IF(D347=5,база!$M$6)))</f>
        <v>225.09719999999999</v>
      </c>
      <c r="V355" s="390">
        <v>1.4</v>
      </c>
      <c r="W355" s="412">
        <f>SUMIFS(Таблица14[часы],Таблица14[коэф],"1,4",Таблица14[р/р],"3/24",Таблица14[Ф. И. О.],B352)</f>
        <v>0</v>
      </c>
      <c r="X355" s="545">
        <f t="shared" si="175"/>
        <v>0</v>
      </c>
      <c r="Y355" s="795"/>
      <c r="Z355" s="797"/>
      <c r="AA355" s="786"/>
    </row>
    <row r="356" spans="1:29">
      <c r="A356" s="786"/>
      <c r="B356" s="216"/>
      <c r="C356" s="789"/>
      <c r="D356" s="792"/>
      <c r="E356" s="393"/>
      <c r="F356" s="390"/>
      <c r="G356" s="400"/>
      <c r="H356" s="544">
        <f t="shared" si="172"/>
        <v>0</v>
      </c>
      <c r="I356" s="389"/>
      <c r="J356" s="390"/>
      <c r="K356" s="434"/>
      <c r="L356" s="395">
        <f t="shared" si="173"/>
        <v>0</v>
      </c>
      <c r="M356" s="432"/>
      <c r="N356" s="434"/>
      <c r="O356" s="434"/>
      <c r="P356" s="434"/>
      <c r="Q356" s="399">
        <f>база!$L$5</f>
        <v>231.45480000000001</v>
      </c>
      <c r="R356" s="390">
        <v>1.4</v>
      </c>
      <c r="S356" s="400">
        <f>SUMIFS(Таблица14[часы],Таблица14[коэф],"1,4",Таблица14[р/р],"4/16",Таблица14[Ф. И. О.],B352)</f>
        <v>0</v>
      </c>
      <c r="T356" s="544">
        <f t="shared" si="174"/>
        <v>0</v>
      </c>
      <c r="U356" s="472">
        <f>база!$M$5</f>
        <v>247.41720000000001</v>
      </c>
      <c r="V356" s="390">
        <v>1.4</v>
      </c>
      <c r="W356" s="412">
        <f>SUMIFS(Таблица14[часы],Таблица14[коэф],"1,4",Таблица14[р/р],"4/24",Таблица14[Ф. И. О.],B352)</f>
        <v>0</v>
      </c>
      <c r="X356" s="545">
        <f t="shared" si="175"/>
        <v>0</v>
      </c>
      <c r="Y356" s="795"/>
      <c r="Z356" s="797"/>
      <c r="AA356" s="786"/>
    </row>
    <row r="357" spans="1:29" ht="21" thickBot="1">
      <c r="A357" s="787"/>
      <c r="B357" s="203"/>
      <c r="C357" s="790"/>
      <c r="D357" s="793"/>
      <c r="E357" s="463"/>
      <c r="F357" s="464"/>
      <c r="G357" s="465"/>
      <c r="H357" s="549">
        <f t="shared" si="172"/>
        <v>0</v>
      </c>
      <c r="I357" s="473"/>
      <c r="J357" s="464"/>
      <c r="K357" s="457"/>
      <c r="L357" s="458">
        <f t="shared" si="173"/>
        <v>0</v>
      </c>
      <c r="M357" s="466"/>
      <c r="N357" s="457"/>
      <c r="O357" s="457"/>
      <c r="P357" s="457"/>
      <c r="Q357" s="467">
        <f>база!$L$6</f>
        <v>261.04640000000001</v>
      </c>
      <c r="R357" s="464">
        <v>1.4</v>
      </c>
      <c r="S357" s="465">
        <f>SUMIFS(Таблица14[часы],Таблица14[коэф],"1,4",Таблица14[р/р],"5/16",Таблица14[Ф. И. О.],B352)</f>
        <v>0</v>
      </c>
      <c r="T357" s="549">
        <f t="shared" si="174"/>
        <v>0</v>
      </c>
      <c r="U357" s="474">
        <f>база!$M$6</f>
        <v>279.0496</v>
      </c>
      <c r="V357" s="464">
        <v>1.4</v>
      </c>
      <c r="W357" s="470">
        <f>SUMIFS(Таблица14[часы],Таблица14[коэф],"1,4",Таблица14[р/р],"5/24",Таблица14[Ф. И. О.],B352)</f>
        <v>0</v>
      </c>
      <c r="X357" s="547">
        <f t="shared" si="175"/>
        <v>0</v>
      </c>
      <c r="Y357" s="796"/>
      <c r="Z357" s="798"/>
      <c r="AA357" s="787"/>
    </row>
    <row r="358" spans="1:29">
      <c r="A358" s="785">
        <v>33</v>
      </c>
      <c r="B358" s="236"/>
      <c r="C358" s="788">
        <f>INDEX(база!$E$2:$E$81, MATCH(B363,база!$B$2:$B$50,0))</f>
        <v>17270</v>
      </c>
      <c r="D358" s="791">
        <f>INDEX(база!$D$2:$D$89, MATCH(B363,база!$B$2:$B$50,0))</f>
        <v>3</v>
      </c>
      <c r="E358" s="381">
        <f>IF(D358&lt;=3,база!$I$4,
IF(D358=4,база!$I$5,
IF(D358=5,база!$I$6)))</f>
        <v>188.7912</v>
      </c>
      <c r="F358" s="378">
        <v>1</v>
      </c>
      <c r="G358" s="387">
        <f>SUMIFS(Таблица14[часы],Таблица14[коэф],"1",Таблица14[р/р],"2/4",Таблица14[Ф. И. О.],B363)</f>
        <v>0</v>
      </c>
      <c r="H358" s="380">
        <f>ROUND(E358*F358*G358*2,2)</f>
        <v>0</v>
      </c>
      <c r="I358" s="377">
        <f>IF(D358&lt;=3,база!$J$4,
IF(D358=4,база!$J$5,
IF(D358=5,база!$J$6)))</f>
        <v>196.05240000000001</v>
      </c>
      <c r="J358" s="378">
        <v>1</v>
      </c>
      <c r="K358" s="428">
        <f>SUMIFS(Таблица14[часы],Таблица14[коэф],"1",Таблица14[р/р],"2/8",Таблица14[Ф. И. О.],B363)</f>
        <v>0</v>
      </c>
      <c r="L358" s="383">
        <f>ROUND(I358*J358*K358*2,2)</f>
        <v>0</v>
      </c>
      <c r="M358" s="426"/>
      <c r="N358" s="428">
        <v>1</v>
      </c>
      <c r="O358" s="428">
        <f>SUMIFS(Data_Tech!$AM$3:$AM$67,Data_Tech!$E$3:$E$67,"1",Data_Tech!$G$3:$G$67,"3/12",Data_Tech!$F$3:$F$67,B363)</f>
        <v>0</v>
      </c>
      <c r="P358" s="428">
        <f>ROUND(M358*N358*O358,2)</f>
        <v>0</v>
      </c>
      <c r="Q358" s="386">
        <f>IF(D358&lt;=3,база!$L$4,
IF(D358=4,база!$L$5,
IF(D358=5,база!$L$6)))</f>
        <v>210.57480000000001</v>
      </c>
      <c r="R358" s="378">
        <v>1</v>
      </c>
      <c r="S358" s="387">
        <f>SUMIFS(Таблица14[часы],Таблица14[коэф],"1",Таблица14[р/р],"3/16",Таблица14[Ф. И. О.],B363)</f>
        <v>0</v>
      </c>
      <c r="T358" s="548">
        <f>ROUND(Q358*R358*S358*2,2)</f>
        <v>0</v>
      </c>
      <c r="U358" s="471">
        <f>IF(D358&lt;=3,база!$M$4,
IF(D358=4,база!$M$5,
IF(D358=5,база!$M$6)))</f>
        <v>225.09719999999999</v>
      </c>
      <c r="V358" s="378">
        <v>1</v>
      </c>
      <c r="W358" s="430">
        <f>SUMIFS(Таблица14[часы],Таблица14[коэф],"1",Таблица14[р/р],"3/24",Таблица14[Ф. И. О.],B363)</f>
        <v>0</v>
      </c>
      <c r="X358" s="543">
        <f>ROUND(U358*V358*W358*2,2)</f>
        <v>0</v>
      </c>
      <c r="Y358" s="795">
        <f t="shared" ref="Y358" si="176">SUM(G358:G368,K358:K368,O358:O368,S358:S368,W358:W368)</f>
        <v>0</v>
      </c>
      <c r="Z358" s="797">
        <f t="shared" ref="Z358" si="177">IFERROR(SUM(H358:H368,L358:L368,T358:T368,X358:X368),"")</f>
        <v>0</v>
      </c>
      <c r="AA358" s="786"/>
    </row>
    <row r="359" spans="1:29">
      <c r="A359" s="786"/>
      <c r="B359" s="216"/>
      <c r="C359" s="789"/>
      <c r="D359" s="792"/>
      <c r="E359" s="393">
        <f>IF(D358&lt;=3,база!$I$4,
IF(D358=4,база!$I$5,
IF(D358=5,база!$I$6)))</f>
        <v>188.7912</v>
      </c>
      <c r="F359" s="390">
        <v>1</v>
      </c>
      <c r="G359" s="400">
        <f>SUMIFS(Таблица14[часы],Таблица14[коэф],"1",Таблица14[р/р],"3/4",Таблица14[Ф. И. О.],B363)</f>
        <v>0</v>
      </c>
      <c r="H359" s="542">
        <f t="shared" ref="H359:H368" si="178">ROUND(E359*F359*G359*2,2)</f>
        <v>0</v>
      </c>
      <c r="I359" s="389">
        <f>IF(D358&lt;=3,база!$J$4,
IF(D358=4,база!$J$5,
IF(D358=5,база!$J$6)))</f>
        <v>196.05240000000001</v>
      </c>
      <c r="J359" s="390">
        <v>1</v>
      </c>
      <c r="K359" s="434">
        <f>SUMIFS(Таблица14[часы],Таблица14[коэф],"1",Таблица14[р/р],"3/8",Таблица14[Ф. И. О.],B363)</f>
        <v>0</v>
      </c>
      <c r="L359" s="395">
        <f t="shared" ref="L359:L368" si="179">ROUND(I359*J359*K359*2,2)</f>
        <v>0</v>
      </c>
      <c r="M359" s="432"/>
      <c r="N359" s="434">
        <v>1</v>
      </c>
      <c r="O359" s="434">
        <f>SUMIFS(Data_Tech!$AM$3:$AM$67,Data_Tech!$E$3:$E$67,"1",Data_Tech!$G$3:$G$67,"4/12",Data_Tech!$F$3:$F$67,B363)</f>
        <v>0</v>
      </c>
      <c r="P359" s="434">
        <f>ROUND(M359*O359,2)</f>
        <v>0</v>
      </c>
      <c r="Q359" s="399">
        <f>база!$L$5</f>
        <v>231.45480000000001</v>
      </c>
      <c r="R359" s="390">
        <v>1</v>
      </c>
      <c r="S359" s="400">
        <f>SUMIFS(Таблица14[часы],Таблица14[коэф],"1",Таблица14[р/р],"4/16",Таблица14[Ф. И. О.],B363)</f>
        <v>0</v>
      </c>
      <c r="T359" s="544">
        <f t="shared" ref="T359:T368" si="180">ROUND(Q359*R359*S359*2,2)</f>
        <v>0</v>
      </c>
      <c r="U359" s="472">
        <f>база!$M$5</f>
        <v>247.41720000000001</v>
      </c>
      <c r="V359" s="390">
        <v>1</v>
      </c>
      <c r="W359" s="412">
        <f>SUMIFS(Таблица14[часы],Таблица14[коэф],"1",Таблица14[р/р],"4/24",Таблица14[Ф. И. О.],B363)</f>
        <v>0</v>
      </c>
      <c r="X359" s="545">
        <f t="shared" ref="X359:X368" si="181">ROUND(U359*V359*W359*2,2)</f>
        <v>0</v>
      </c>
      <c r="Y359" s="795"/>
      <c r="Z359" s="797"/>
      <c r="AA359" s="786"/>
    </row>
    <row r="360" spans="1:29">
      <c r="A360" s="786"/>
      <c r="B360" s="216"/>
      <c r="C360" s="789"/>
      <c r="D360" s="792"/>
      <c r="E360" s="393"/>
      <c r="F360" s="390"/>
      <c r="G360" s="400"/>
      <c r="H360" s="544">
        <f t="shared" si="178"/>
        <v>0</v>
      </c>
      <c r="I360" s="389"/>
      <c r="J360" s="390"/>
      <c r="K360" s="434"/>
      <c r="L360" s="395">
        <f t="shared" si="179"/>
        <v>0</v>
      </c>
      <c r="M360" s="432"/>
      <c r="N360" s="434"/>
      <c r="O360" s="434"/>
      <c r="P360" s="434"/>
      <c r="Q360" s="399">
        <f>база!$L$6</f>
        <v>261.04640000000001</v>
      </c>
      <c r="R360" s="390">
        <v>1</v>
      </c>
      <c r="S360" s="400">
        <f>SUMIFS(Таблица14[часы],Таблица14[коэф],"1",Таблица14[р/р],"5/16",Таблица14[Ф. И. О.],B363)</f>
        <v>0</v>
      </c>
      <c r="T360" s="544">
        <f t="shared" si="180"/>
        <v>0</v>
      </c>
      <c r="U360" s="472">
        <f>база!$M$6</f>
        <v>279.0496</v>
      </c>
      <c r="V360" s="390">
        <v>1</v>
      </c>
      <c r="W360" s="412">
        <f>SUMIFS(Таблица14[часы],Таблица14[коэф],"1",Таблица14[р/р],"5/24",Таблица14[Ф. И. О.],B363)</f>
        <v>0</v>
      </c>
      <c r="X360" s="545">
        <f t="shared" si="181"/>
        <v>0</v>
      </c>
      <c r="Y360" s="795"/>
      <c r="Z360" s="797"/>
      <c r="AA360" s="786"/>
    </row>
    <row r="361" spans="1:29">
      <c r="A361" s="786"/>
      <c r="B361" s="216"/>
      <c r="C361" s="789"/>
      <c r="D361" s="792"/>
      <c r="E361" s="393"/>
      <c r="F361" s="390"/>
      <c r="G361" s="400"/>
      <c r="H361" s="544">
        <f t="shared" si="178"/>
        <v>0</v>
      </c>
      <c r="I361" s="389">
        <f>база!$J$5</f>
        <v>215.4924</v>
      </c>
      <c r="J361" s="390">
        <v>1.5</v>
      </c>
      <c r="K361" s="434">
        <f>SUMIFS(Таблица14[часы],Таблица14[коэф],"1,5",Таблица14[р/р],"4/8",Таблица14[Ф. И. О.],B363)</f>
        <v>0</v>
      </c>
      <c r="L361" s="395">
        <f t="shared" si="179"/>
        <v>0</v>
      </c>
      <c r="M361" s="432"/>
      <c r="N361" s="434"/>
      <c r="O361" s="434"/>
      <c r="P361" s="434"/>
      <c r="Q361" s="399">
        <f>IF(D358&lt;=3,база!$L$4,
IF(D358=4,база!$L$5,
IF(D358=5,база!$L$6)))</f>
        <v>210.57480000000001</v>
      </c>
      <c r="R361" s="390">
        <v>1.2</v>
      </c>
      <c r="S361" s="400">
        <f>SUMIFS(Таблица14[часы],Таблица14[коэф],"1,2",Таблица14[р/р],"3/16",Таблица14[Ф. И. О.],B363)</f>
        <v>0</v>
      </c>
      <c r="T361" s="544">
        <f t="shared" si="180"/>
        <v>0</v>
      </c>
      <c r="U361" s="472">
        <f>IF(D358&lt;=3,база!$M$4,
IF(D358=4,база!$M$5,
IF(D358=5,база!$M$6)))</f>
        <v>225.09719999999999</v>
      </c>
      <c r="V361" s="390">
        <v>1.2</v>
      </c>
      <c r="W361" s="412">
        <f>SUMIFS(Таблица14[часы],Таблица14[коэф],"1,2",Таблица14[р/р],"3/24",Таблица14[Ф. И. О.],B363)</f>
        <v>0</v>
      </c>
      <c r="X361" s="545">
        <f t="shared" si="181"/>
        <v>0</v>
      </c>
      <c r="Y361" s="795"/>
      <c r="Z361" s="797"/>
      <c r="AA361" s="786"/>
    </row>
    <row r="362" spans="1:29">
      <c r="A362" s="786"/>
      <c r="B362" s="216"/>
      <c r="C362" s="789"/>
      <c r="D362" s="792"/>
      <c r="E362" s="393"/>
      <c r="F362" s="390"/>
      <c r="G362" s="400"/>
      <c r="H362" s="544">
        <f t="shared" si="178"/>
        <v>0</v>
      </c>
      <c r="I362" s="389">
        <f>база!$J$6</f>
        <v>243.04319999999998</v>
      </c>
      <c r="J362" s="390">
        <v>1.5</v>
      </c>
      <c r="K362" s="434">
        <f>SUMIFS(Таблица14[часы],Таблица14[коэф],"1,5",Таблица14[р/р],"5/8",Таблица14[Ф. И. О.],B363)</f>
        <v>0</v>
      </c>
      <c r="L362" s="395">
        <f t="shared" si="179"/>
        <v>0</v>
      </c>
      <c r="M362" s="432"/>
      <c r="N362" s="434"/>
      <c r="O362" s="434"/>
      <c r="P362" s="434"/>
      <c r="Q362" s="399">
        <f>база!$L$5</f>
        <v>231.45480000000001</v>
      </c>
      <c r="R362" s="390">
        <v>1.2</v>
      </c>
      <c r="S362" s="400">
        <f>SUMIFS(Таблица14[часы],Таблица14[коэф],"1,2",Таблица14[р/р],"4/16",Таблица14[Ф. И. О.],B363)</f>
        <v>0</v>
      </c>
      <c r="T362" s="544">
        <f t="shared" si="180"/>
        <v>0</v>
      </c>
      <c r="U362" s="472">
        <f>база!$M$5</f>
        <v>247.41720000000001</v>
      </c>
      <c r="V362" s="390">
        <v>1.2</v>
      </c>
      <c r="W362" s="412">
        <f>SUMIFS(Таблица14[часы],Таблица14[коэф],"1,2",Таблица14[р/р],"4/24",Таблица14[Ф. И. О.],B363)</f>
        <v>0</v>
      </c>
      <c r="X362" s="545">
        <f t="shared" si="181"/>
        <v>0</v>
      </c>
      <c r="Y362" s="795"/>
      <c r="Z362" s="797"/>
      <c r="AA362" s="786"/>
      <c r="AC362" s="754" t="str">
        <f>IF(SUMIFS(Таблица14[Столбец2],Таблица14[Ф. И. О.],B363)-Z358=0,"",SUMIFS(Таблица14[Столбец2],Таблица14[Ф. И. О.],B363)-Z358)</f>
        <v/>
      </c>
    </row>
    <row r="363" spans="1:29">
      <c r="A363" s="786"/>
      <c r="B363" s="216" t="str">
        <f>база!B34</f>
        <v>Кабакова Алина Дмитриевна</v>
      </c>
      <c r="C363" s="789"/>
      <c r="D363" s="792"/>
      <c r="E363" s="393"/>
      <c r="F363" s="390"/>
      <c r="G363" s="400"/>
      <c r="H363" s="544">
        <f t="shared" si="178"/>
        <v>0</v>
      </c>
      <c r="I363" s="389"/>
      <c r="J363" s="390"/>
      <c r="K363" s="434"/>
      <c r="L363" s="395">
        <f t="shared" si="179"/>
        <v>0</v>
      </c>
      <c r="M363" s="432"/>
      <c r="N363" s="434"/>
      <c r="O363" s="434"/>
      <c r="P363" s="434"/>
      <c r="Q363" s="399">
        <f>база!$L$6</f>
        <v>261.04640000000001</v>
      </c>
      <c r="R363" s="390">
        <v>1.2</v>
      </c>
      <c r="S363" s="400">
        <f>SUMIFS(Таблица14[часы],Таблица14[коэф],"1,2",Таблица14[р/р],"5/16",Таблица14[Ф. И. О.],B363)</f>
        <v>0</v>
      </c>
      <c r="T363" s="544">
        <f t="shared" si="180"/>
        <v>0</v>
      </c>
      <c r="U363" s="472">
        <f>база!$M$6</f>
        <v>279.0496</v>
      </c>
      <c r="V363" s="390">
        <v>1.2</v>
      </c>
      <c r="W363" s="412">
        <f>SUMIFS(Таблица14[часы],Таблица14[коэф],"1,2",Таблица14[р/р],"5/24",Таблица14[Ф. И. О.],B363)</f>
        <v>0</v>
      </c>
      <c r="X363" s="545">
        <f t="shared" si="181"/>
        <v>0</v>
      </c>
      <c r="Y363" s="795"/>
      <c r="Z363" s="797"/>
      <c r="AA363" s="786"/>
      <c r="AC363" s="754" t="str">
        <f>IF(SUMIFS(Таблица14[часы],Таблица14[Ф. И. О.],B363)-Y358=0,"",SUMIFS(Таблица14[часы],Таблица14[Ф. И. О.],B363)-Y358)</f>
        <v/>
      </c>
    </row>
    <row r="364" spans="1:29">
      <c r="A364" s="786"/>
      <c r="B364" s="216"/>
      <c r="C364" s="789"/>
      <c r="D364" s="792"/>
      <c r="E364" s="393"/>
      <c r="F364" s="390"/>
      <c r="G364" s="400"/>
      <c r="H364" s="544">
        <f t="shared" si="178"/>
        <v>0</v>
      </c>
      <c r="I364" s="389"/>
      <c r="J364" s="390"/>
      <c r="K364" s="434"/>
      <c r="L364" s="395">
        <f t="shared" si="179"/>
        <v>0</v>
      </c>
      <c r="M364" s="432"/>
      <c r="N364" s="434"/>
      <c r="O364" s="434"/>
      <c r="P364" s="434"/>
      <c r="Q364" s="399">
        <f>IF(D358&lt;=3,база!$L$4,
IF(D358=4,база!$L$5,
IF(D358=5,база!$L$6)))</f>
        <v>210.57480000000001</v>
      </c>
      <c r="R364" s="390">
        <v>1.3</v>
      </c>
      <c r="S364" s="400">
        <f>SUMIFS(Таблица14[часы],Таблица14[коэф],"1,3",Таблица14[р/р],"3/16",Таблица14[Ф. И. О.],B363)</f>
        <v>0</v>
      </c>
      <c r="T364" s="544">
        <f t="shared" si="180"/>
        <v>0</v>
      </c>
      <c r="U364" s="472">
        <f>IF(D358&lt;=3,база!$M$4,
IF(D358=4,база!$M$5,
IF(D358=5,база!$M$6)))</f>
        <v>225.09719999999999</v>
      </c>
      <c r="V364" s="390">
        <v>1.3</v>
      </c>
      <c r="W364" s="412">
        <f>SUMIFS(Таблица14[часы],Таблица14[коэф],"1,3",Таблица14[р/р],"3/24",Таблица14[Ф. И. О.],B363)</f>
        <v>0</v>
      </c>
      <c r="X364" s="545">
        <f t="shared" si="181"/>
        <v>0</v>
      </c>
      <c r="Y364" s="795"/>
      <c r="Z364" s="797"/>
      <c r="AA364" s="786"/>
    </row>
    <row r="365" spans="1:29">
      <c r="A365" s="786"/>
      <c r="B365" s="216"/>
      <c r="C365" s="789"/>
      <c r="D365" s="792"/>
      <c r="E365" s="393"/>
      <c r="F365" s="390"/>
      <c r="G365" s="400"/>
      <c r="H365" s="544">
        <f t="shared" si="178"/>
        <v>0</v>
      </c>
      <c r="I365" s="389"/>
      <c r="J365" s="390"/>
      <c r="K365" s="434"/>
      <c r="L365" s="395">
        <f t="shared" si="179"/>
        <v>0</v>
      </c>
      <c r="M365" s="432"/>
      <c r="N365" s="434"/>
      <c r="O365" s="434"/>
      <c r="P365" s="434"/>
      <c r="Q365" s="399">
        <f>база!$L$5</f>
        <v>231.45480000000001</v>
      </c>
      <c r="R365" s="390">
        <v>1.3</v>
      </c>
      <c r="S365" s="400">
        <f>SUMIFS(Таблица14[часы],Таблица14[коэф],"1,3",Таблица14[р/р],"4/16",Таблица14[Ф. И. О.],B363)</f>
        <v>0</v>
      </c>
      <c r="T365" s="544">
        <f t="shared" si="180"/>
        <v>0</v>
      </c>
      <c r="U365" s="472">
        <f>база!$M$5</f>
        <v>247.41720000000001</v>
      </c>
      <c r="V365" s="390">
        <v>1.3</v>
      </c>
      <c r="W365" s="412">
        <f>SUMIFS(Таблица14[часы],Таблица14[коэф],"1,3",Таблица14[р/р],"4/24",Таблица14[Ф. И. О.],B363)</f>
        <v>0</v>
      </c>
      <c r="X365" s="545">
        <f t="shared" si="181"/>
        <v>0</v>
      </c>
      <c r="Y365" s="795"/>
      <c r="Z365" s="797"/>
      <c r="AA365" s="786"/>
    </row>
    <row r="366" spans="1:29">
      <c r="A366" s="786"/>
      <c r="B366" s="216"/>
      <c r="C366" s="789"/>
      <c r="D366" s="792"/>
      <c r="E366" s="393"/>
      <c r="F366" s="390"/>
      <c r="G366" s="400"/>
      <c r="H366" s="544">
        <f t="shared" si="178"/>
        <v>0</v>
      </c>
      <c r="I366" s="389"/>
      <c r="J366" s="390"/>
      <c r="K366" s="434"/>
      <c r="L366" s="395">
        <f t="shared" si="179"/>
        <v>0</v>
      </c>
      <c r="M366" s="432"/>
      <c r="N366" s="434"/>
      <c r="O366" s="434"/>
      <c r="P366" s="434"/>
      <c r="Q366" s="399">
        <f>IF(D358&lt;=3,база!$L$4,
IF(D358=4,база!$L$5,
IF(D358=5,база!$L$6)))</f>
        <v>210.57480000000001</v>
      </c>
      <c r="R366" s="390">
        <v>1.4</v>
      </c>
      <c r="S366" s="400">
        <f>SUMIFS(Таблица14[часы],Таблица14[коэф],"1,4",Таблица14[р/р],"3/16",Таблица14[Ф. И. О.],B363)</f>
        <v>0</v>
      </c>
      <c r="T366" s="544">
        <f t="shared" si="180"/>
        <v>0</v>
      </c>
      <c r="U366" s="472">
        <f>IF(D358&lt;=3,база!$M$4,
IF(D358=4,база!$M$5,
IF(D358=5,база!$M$6)))</f>
        <v>225.09719999999999</v>
      </c>
      <c r="V366" s="390">
        <v>1.4</v>
      </c>
      <c r="W366" s="412">
        <f>SUMIFS(Таблица14[часы],Таблица14[коэф],"1,4",Таблица14[р/р],"3/24",Таблица14[Ф. И. О.],B363)</f>
        <v>0</v>
      </c>
      <c r="X366" s="545">
        <f t="shared" si="181"/>
        <v>0</v>
      </c>
      <c r="Y366" s="795"/>
      <c r="Z366" s="797"/>
      <c r="AA366" s="786"/>
    </row>
    <row r="367" spans="1:29">
      <c r="A367" s="786"/>
      <c r="B367" s="216"/>
      <c r="C367" s="789"/>
      <c r="D367" s="792"/>
      <c r="E367" s="393"/>
      <c r="F367" s="390"/>
      <c r="G367" s="400"/>
      <c r="H367" s="544">
        <f t="shared" si="178"/>
        <v>0</v>
      </c>
      <c r="I367" s="389"/>
      <c r="J367" s="390"/>
      <c r="K367" s="434"/>
      <c r="L367" s="395">
        <f t="shared" si="179"/>
        <v>0</v>
      </c>
      <c r="M367" s="432"/>
      <c r="N367" s="434"/>
      <c r="O367" s="434"/>
      <c r="P367" s="434"/>
      <c r="Q367" s="399">
        <f>база!$L$5</f>
        <v>231.45480000000001</v>
      </c>
      <c r="R367" s="390">
        <v>1.4</v>
      </c>
      <c r="S367" s="400">
        <f>SUMIFS(Таблица14[часы],Таблица14[коэф],"1,4",Таблица14[р/р],"4/16",Таблица14[Ф. И. О.],B363)</f>
        <v>0</v>
      </c>
      <c r="T367" s="544">
        <f t="shared" si="180"/>
        <v>0</v>
      </c>
      <c r="U367" s="472">
        <f>база!$M$5</f>
        <v>247.41720000000001</v>
      </c>
      <c r="V367" s="390">
        <v>1.4</v>
      </c>
      <c r="W367" s="412">
        <f>SUMIFS(Таблица14[часы],Таблица14[коэф],"1,4",Таблица14[р/р],"4/24",Таблица14[Ф. И. О.],B363)</f>
        <v>0</v>
      </c>
      <c r="X367" s="545">
        <f t="shared" si="181"/>
        <v>0</v>
      </c>
      <c r="Y367" s="795"/>
      <c r="Z367" s="797"/>
      <c r="AA367" s="786"/>
    </row>
    <row r="368" spans="1:29" ht="21" thickBot="1">
      <c r="A368" s="787"/>
      <c r="B368" s="203"/>
      <c r="C368" s="790"/>
      <c r="D368" s="793"/>
      <c r="E368" s="463"/>
      <c r="F368" s="464"/>
      <c r="G368" s="465"/>
      <c r="H368" s="549">
        <f t="shared" si="178"/>
        <v>0</v>
      </c>
      <c r="I368" s="473"/>
      <c r="J368" s="464"/>
      <c r="K368" s="457"/>
      <c r="L368" s="458">
        <f t="shared" si="179"/>
        <v>0</v>
      </c>
      <c r="M368" s="466"/>
      <c r="N368" s="457"/>
      <c r="O368" s="457"/>
      <c r="P368" s="457"/>
      <c r="Q368" s="467">
        <f>база!$L$6</f>
        <v>261.04640000000001</v>
      </c>
      <c r="R368" s="464">
        <v>1.4</v>
      </c>
      <c r="S368" s="465">
        <f>SUMIFS(Таблица14[часы],Таблица14[коэф],"1,4",Таблица14[р/р],"5/16",Таблица14[Ф. И. О.],B363)</f>
        <v>0</v>
      </c>
      <c r="T368" s="549">
        <f t="shared" si="180"/>
        <v>0</v>
      </c>
      <c r="U368" s="474">
        <f>база!$M$6</f>
        <v>279.0496</v>
      </c>
      <c r="V368" s="464">
        <v>1.4</v>
      </c>
      <c r="W368" s="470">
        <f>SUMIFS(Таблица14[часы],Таблица14[коэф],"1,4",Таблица14[р/р],"5/24",Таблица14[Ф. И. О.],B363)</f>
        <v>0</v>
      </c>
      <c r="X368" s="547">
        <f t="shared" si="181"/>
        <v>0</v>
      </c>
      <c r="Y368" s="796"/>
      <c r="Z368" s="798"/>
      <c r="AA368" s="787"/>
    </row>
    <row r="369" spans="1:29">
      <c r="A369" s="785">
        <v>34</v>
      </c>
      <c r="B369" s="236"/>
      <c r="C369" s="788">
        <f>INDEX(база!$E$2:$E$81, MATCH(B374,база!$B$2:$B$50,0))</f>
        <v>16919</v>
      </c>
      <c r="D369" s="791">
        <f>INDEX(база!$D$2:$D$89, MATCH(B374,база!$B$2:$B$50,0))</f>
        <v>3</v>
      </c>
      <c r="E369" s="381">
        <f>IF(D369&lt;=3,база!$I$4,
IF(D369=4,база!$I$5,
IF(D369=5,база!$I$6)))</f>
        <v>188.7912</v>
      </c>
      <c r="F369" s="378">
        <v>1</v>
      </c>
      <c r="G369" s="387">
        <f>SUMIFS(Таблица14[часы],Таблица14[коэф],"1",Таблица14[р/р],"2/4",Таблица14[Ф. И. О.],B374)</f>
        <v>0</v>
      </c>
      <c r="H369" s="380">
        <f>ROUND(E369*F369*G369*2,2)</f>
        <v>0</v>
      </c>
      <c r="I369" s="377">
        <f>IF(D369&lt;=3,база!$J$4,
IF(D369=4,база!$J$5,
IF(D369=5,база!$J$6)))</f>
        <v>196.05240000000001</v>
      </c>
      <c r="J369" s="378">
        <v>1</v>
      </c>
      <c r="K369" s="428">
        <f>SUMIFS(Таблица14[часы],Таблица14[коэф],"1",Таблица14[р/р],"2/8",Таблица14[Ф. И. О.],B374)</f>
        <v>0</v>
      </c>
      <c r="L369" s="383">
        <f>ROUND(I369*J369*K369*2,2)</f>
        <v>0</v>
      </c>
      <c r="M369" s="426"/>
      <c r="N369" s="428">
        <v>1</v>
      </c>
      <c r="O369" s="428">
        <f>SUMIFS(Data_Tech!$AM$3:$AM$67,Data_Tech!$E$3:$E$67,"1",Data_Tech!$G$3:$G$67,"3/12",Data_Tech!$F$3:$F$67,B374)</f>
        <v>0</v>
      </c>
      <c r="P369" s="428">
        <f>ROUND(M369*N369*O369,2)</f>
        <v>0</v>
      </c>
      <c r="Q369" s="386">
        <f>IF(D369&lt;=3,база!$L$4,
IF(D369=4,база!$L$5,
IF(D369=5,база!$L$6)))</f>
        <v>210.57480000000001</v>
      </c>
      <c r="R369" s="378">
        <v>1</v>
      </c>
      <c r="S369" s="387">
        <f>SUMIFS(Таблица14[часы],Таблица14[коэф],"1",Таблица14[р/р],"3/16",Таблица14[Ф. И. О.],B374)</f>
        <v>0</v>
      </c>
      <c r="T369" s="548">
        <f>ROUND(Q369*R369*S369*2,2)</f>
        <v>0</v>
      </c>
      <c r="U369" s="471">
        <f>IF(D369&lt;=3,база!$M$4,
IF(D369=4,база!$M$5,
IF(D369=5,база!$M$6)))</f>
        <v>225.09719999999999</v>
      </c>
      <c r="V369" s="378">
        <v>1</v>
      </c>
      <c r="W369" s="430">
        <f>SUMIFS(Таблица14[часы],Таблица14[коэф],"1",Таблица14[р/р],"3/24",Таблица14[Ф. И. О.],B374)</f>
        <v>0</v>
      </c>
      <c r="X369" s="543">
        <f>ROUND(U369*V369*W369*2,2)</f>
        <v>0</v>
      </c>
      <c r="Y369" s="795">
        <f t="shared" ref="Y369" si="182">SUM(G369:G379,K369:K379,O369:O379,S369:S379,W369:W379)</f>
        <v>0</v>
      </c>
      <c r="Z369" s="797">
        <f t="shared" ref="Z369" si="183">IFERROR(SUM(H369:H379,L369:L379,T369:T379,X369:X379),"")</f>
        <v>0</v>
      </c>
      <c r="AA369" s="786"/>
    </row>
    <row r="370" spans="1:29">
      <c r="A370" s="786"/>
      <c r="B370" s="216"/>
      <c r="C370" s="789"/>
      <c r="D370" s="792"/>
      <c r="E370" s="393">
        <f>IF(D369&lt;=3,база!$I$4,
IF(D369=4,база!$I$5,
IF(D369=5,база!$I$6)))</f>
        <v>188.7912</v>
      </c>
      <c r="F370" s="390">
        <v>1</v>
      </c>
      <c r="G370" s="400">
        <f>SUMIFS(Таблица14[часы],Таблица14[коэф],"1",Таблица14[р/р],"3/4",Таблица14[Ф. И. О.],B374)</f>
        <v>0</v>
      </c>
      <c r="H370" s="542">
        <f t="shared" ref="H370:H379" si="184">ROUND(E370*F370*G370*2,2)</f>
        <v>0</v>
      </c>
      <c r="I370" s="389">
        <f>IF(D369&lt;=3,база!$J$4,
IF(D369=4,база!$J$5,
IF(D369=5,база!$J$6)))</f>
        <v>196.05240000000001</v>
      </c>
      <c r="J370" s="390">
        <v>1</v>
      </c>
      <c r="K370" s="434">
        <f>SUMIFS(Таблица14[часы],Таблица14[коэф],"1",Таблица14[р/р],"3/8",Таблица14[Ф. И. О.],B374)</f>
        <v>0</v>
      </c>
      <c r="L370" s="395">
        <f t="shared" ref="L370:L379" si="185">ROUND(I370*J370*K370*2,2)</f>
        <v>0</v>
      </c>
      <c r="M370" s="432"/>
      <c r="N370" s="434">
        <v>1</v>
      </c>
      <c r="O370" s="434">
        <f>SUMIFS(Data_Tech!$AM$3:$AM$67,Data_Tech!$E$3:$E$67,"1",Data_Tech!$G$3:$G$67,"4/12",Data_Tech!$F$3:$F$67,B374)</f>
        <v>0</v>
      </c>
      <c r="P370" s="434">
        <f>ROUND(M370*O370,2)</f>
        <v>0</v>
      </c>
      <c r="Q370" s="399">
        <f>база!$L$5</f>
        <v>231.45480000000001</v>
      </c>
      <c r="R370" s="390">
        <v>1</v>
      </c>
      <c r="S370" s="400">
        <f>SUMIFS(Таблица14[часы],Таблица14[коэф],"1",Таблица14[р/р],"4/16",Таблица14[Ф. И. О.],B374)</f>
        <v>0</v>
      </c>
      <c r="T370" s="544">
        <f t="shared" ref="T370:T379" si="186">ROUND(Q370*R370*S370*2,2)</f>
        <v>0</v>
      </c>
      <c r="U370" s="472">
        <f>база!$M$5</f>
        <v>247.41720000000001</v>
      </c>
      <c r="V370" s="390">
        <v>1</v>
      </c>
      <c r="W370" s="412">
        <f>SUMIFS(Таблица14[часы],Таблица14[коэф],"1",Таблица14[р/р],"4/24",Таблица14[Ф. И. О.],B374)</f>
        <v>0</v>
      </c>
      <c r="X370" s="545">
        <f t="shared" ref="X370:X379" si="187">ROUND(U370*V370*W370*2,2)</f>
        <v>0</v>
      </c>
      <c r="Y370" s="795"/>
      <c r="Z370" s="797"/>
      <c r="AA370" s="786"/>
    </row>
    <row r="371" spans="1:29">
      <c r="A371" s="786"/>
      <c r="B371" s="216"/>
      <c r="C371" s="789"/>
      <c r="D371" s="792"/>
      <c r="E371" s="393"/>
      <c r="F371" s="390"/>
      <c r="G371" s="400"/>
      <c r="H371" s="544">
        <f t="shared" si="184"/>
        <v>0</v>
      </c>
      <c r="I371" s="389"/>
      <c r="J371" s="390"/>
      <c r="K371" s="434"/>
      <c r="L371" s="395">
        <f t="shared" si="185"/>
        <v>0</v>
      </c>
      <c r="M371" s="432"/>
      <c r="N371" s="434"/>
      <c r="O371" s="434"/>
      <c r="P371" s="434"/>
      <c r="Q371" s="399">
        <f>база!$L$6</f>
        <v>261.04640000000001</v>
      </c>
      <c r="R371" s="390">
        <v>1</v>
      </c>
      <c r="S371" s="400">
        <f>SUMIFS(Таблица14[часы],Таблица14[коэф],"1",Таблица14[р/р],"5/16",Таблица14[Ф. И. О.],B374)</f>
        <v>0</v>
      </c>
      <c r="T371" s="544">
        <f t="shared" si="186"/>
        <v>0</v>
      </c>
      <c r="U371" s="472">
        <f>база!$M$6</f>
        <v>279.0496</v>
      </c>
      <c r="V371" s="390">
        <v>1</v>
      </c>
      <c r="W371" s="412">
        <f>SUMIFS(Таблица14[часы],Таблица14[коэф],"1",Таблица14[р/р],"5/24",Таблица14[Ф. И. О.],B374)</f>
        <v>0</v>
      </c>
      <c r="X371" s="545">
        <f t="shared" si="187"/>
        <v>0</v>
      </c>
      <c r="Y371" s="795"/>
      <c r="Z371" s="797"/>
      <c r="AA371" s="786"/>
    </row>
    <row r="372" spans="1:29">
      <c r="A372" s="786"/>
      <c r="B372" s="216"/>
      <c r="C372" s="789"/>
      <c r="D372" s="792"/>
      <c r="E372" s="393"/>
      <c r="F372" s="390"/>
      <c r="G372" s="400"/>
      <c r="H372" s="544">
        <f t="shared" si="184"/>
        <v>0</v>
      </c>
      <c r="I372" s="389">
        <f>база!$J$5</f>
        <v>215.4924</v>
      </c>
      <c r="J372" s="390">
        <v>1.5</v>
      </c>
      <c r="K372" s="434">
        <f>SUMIFS(Таблица14[часы],Таблица14[коэф],"1,5",Таблица14[р/р],"4/8",Таблица14[Ф. И. О.],B374)</f>
        <v>0</v>
      </c>
      <c r="L372" s="395">
        <f t="shared" si="185"/>
        <v>0</v>
      </c>
      <c r="M372" s="432"/>
      <c r="N372" s="434"/>
      <c r="O372" s="434"/>
      <c r="P372" s="434"/>
      <c r="Q372" s="399">
        <f>IF(D369&lt;=3,база!$L$4,
IF(D369=4,база!$L$5,
IF(D369=5,база!$L$6)))</f>
        <v>210.57480000000001</v>
      </c>
      <c r="R372" s="390">
        <v>1.2</v>
      </c>
      <c r="S372" s="400">
        <f>SUMIFS(Таблица14[часы],Таблица14[коэф],"1,2",Таблица14[р/р],"3/16",Таблица14[Ф. И. О.],B374)</f>
        <v>0</v>
      </c>
      <c r="T372" s="544">
        <f t="shared" si="186"/>
        <v>0</v>
      </c>
      <c r="U372" s="472">
        <f>IF(D369&lt;=3,база!$M$4,
IF(D369=4,база!$M$5,
IF(D369=5,база!$M$6)))</f>
        <v>225.09719999999999</v>
      </c>
      <c r="V372" s="390">
        <v>1.2</v>
      </c>
      <c r="W372" s="412">
        <f>SUMIFS(Таблица14[часы],Таблица14[коэф],"1,2",Таблица14[р/р],"3/24",Таблица14[Ф. И. О.],B374)</f>
        <v>0</v>
      </c>
      <c r="X372" s="545">
        <f t="shared" si="187"/>
        <v>0</v>
      </c>
      <c r="Y372" s="795"/>
      <c r="Z372" s="797"/>
      <c r="AA372" s="786"/>
    </row>
    <row r="373" spans="1:29">
      <c r="A373" s="786"/>
      <c r="B373" s="216"/>
      <c r="C373" s="789"/>
      <c r="D373" s="792"/>
      <c r="E373" s="393"/>
      <c r="F373" s="390"/>
      <c r="G373" s="400"/>
      <c r="H373" s="544">
        <f t="shared" si="184"/>
        <v>0</v>
      </c>
      <c r="I373" s="389">
        <f>база!$J$6</f>
        <v>243.04319999999998</v>
      </c>
      <c r="J373" s="390">
        <v>1.5</v>
      </c>
      <c r="K373" s="434">
        <f>SUMIFS(Таблица14[часы],Таблица14[коэф],"1,5",Таблица14[р/р],"5/8",Таблица14[Ф. И. О.],B374)</f>
        <v>0</v>
      </c>
      <c r="L373" s="395">
        <f t="shared" si="185"/>
        <v>0</v>
      </c>
      <c r="M373" s="432"/>
      <c r="N373" s="434"/>
      <c r="O373" s="434"/>
      <c r="P373" s="434"/>
      <c r="Q373" s="399">
        <f>база!$L$5</f>
        <v>231.45480000000001</v>
      </c>
      <c r="R373" s="390">
        <v>1.2</v>
      </c>
      <c r="S373" s="400">
        <f>SUMIFS(Таблица14[часы],Таблица14[коэф],"1,2",Таблица14[р/р],"4/16",Таблица14[Ф. И. О.],B374)</f>
        <v>0</v>
      </c>
      <c r="T373" s="544">
        <f t="shared" si="186"/>
        <v>0</v>
      </c>
      <c r="U373" s="472">
        <f>база!$M$5</f>
        <v>247.41720000000001</v>
      </c>
      <c r="V373" s="390">
        <v>1.2</v>
      </c>
      <c r="W373" s="412">
        <f>SUMIFS(Таблица14[часы],Таблица14[коэф],"1,2",Таблица14[р/р],"4/24",Таблица14[Ф. И. О.],B374)</f>
        <v>0</v>
      </c>
      <c r="X373" s="545">
        <f t="shared" si="187"/>
        <v>0</v>
      </c>
      <c r="Y373" s="795"/>
      <c r="Z373" s="797"/>
      <c r="AA373" s="786"/>
    </row>
    <row r="374" spans="1:29" ht="24" customHeight="1">
      <c r="A374" s="786"/>
      <c r="B374" s="216" t="str">
        <f>база!B35</f>
        <v>Кабанова Анастасия Евгеньевна</v>
      </c>
      <c r="C374" s="789"/>
      <c r="D374" s="792"/>
      <c r="E374" s="393"/>
      <c r="F374" s="390"/>
      <c r="G374" s="400"/>
      <c r="H374" s="544">
        <f t="shared" si="184"/>
        <v>0</v>
      </c>
      <c r="I374" s="389"/>
      <c r="J374" s="390"/>
      <c r="K374" s="434"/>
      <c r="L374" s="395">
        <f t="shared" si="185"/>
        <v>0</v>
      </c>
      <c r="M374" s="432"/>
      <c r="N374" s="434"/>
      <c r="O374" s="434"/>
      <c r="P374" s="434"/>
      <c r="Q374" s="399">
        <f>база!$L$6</f>
        <v>261.04640000000001</v>
      </c>
      <c r="R374" s="390">
        <v>1.2</v>
      </c>
      <c r="S374" s="400">
        <f>SUMIFS(Таблица14[часы],Таблица14[коэф],"1,2",Таблица14[р/р],"5/16",Таблица14[Ф. И. О.],B374)</f>
        <v>0</v>
      </c>
      <c r="T374" s="544">
        <f t="shared" si="186"/>
        <v>0</v>
      </c>
      <c r="U374" s="472">
        <f>база!$M$6</f>
        <v>279.0496</v>
      </c>
      <c r="V374" s="390">
        <v>1.2</v>
      </c>
      <c r="W374" s="412">
        <f>SUMIFS(Таблица14[часы],Таблица14[коэф],"1,2",Таблица14[р/р],"5/24",Таблица14[Ф. И. О.],B374)</f>
        <v>0</v>
      </c>
      <c r="X374" s="545">
        <f t="shared" si="187"/>
        <v>0</v>
      </c>
      <c r="Y374" s="795"/>
      <c r="Z374" s="797"/>
      <c r="AA374" s="786"/>
      <c r="AC374" s="754" t="str">
        <f>IF(SUMIFS(Таблица14[Столбец2],Таблица14[Ф. И. О.],B374)-Z369=0,"",SUMIFS(Таблица14[Столбец2],Таблица14[Ф. И. О.],B374)-Z369)</f>
        <v/>
      </c>
    </row>
    <row r="375" spans="1:29">
      <c r="A375" s="786"/>
      <c r="B375" s="216"/>
      <c r="C375" s="789"/>
      <c r="D375" s="792"/>
      <c r="E375" s="393"/>
      <c r="F375" s="390"/>
      <c r="G375" s="400"/>
      <c r="H375" s="544">
        <f t="shared" si="184"/>
        <v>0</v>
      </c>
      <c r="I375" s="389"/>
      <c r="J375" s="390"/>
      <c r="K375" s="434"/>
      <c r="L375" s="395">
        <f t="shared" si="185"/>
        <v>0</v>
      </c>
      <c r="M375" s="432"/>
      <c r="N375" s="434"/>
      <c r="O375" s="434"/>
      <c r="P375" s="434"/>
      <c r="Q375" s="399">
        <f>IF(D369&lt;=3,база!$L$4,
IF(D369=4,база!$L$5,
IF(D369=5,база!$L$6)))</f>
        <v>210.57480000000001</v>
      </c>
      <c r="R375" s="390">
        <v>1.3</v>
      </c>
      <c r="S375" s="400">
        <f>SUMIFS(Таблица14[часы],Таблица14[коэф],"1,3",Таблица14[р/р],"3/16",Таблица14[Ф. И. О.],B374)</f>
        <v>0</v>
      </c>
      <c r="T375" s="544">
        <f t="shared" si="186"/>
        <v>0</v>
      </c>
      <c r="U375" s="472">
        <f>IF(D369&lt;=3,база!$M$4,
IF(D369=4,база!$M$5,
IF(D369=5,база!$M$6)))</f>
        <v>225.09719999999999</v>
      </c>
      <c r="V375" s="390">
        <v>1.3</v>
      </c>
      <c r="W375" s="412">
        <f>SUMIFS(Таблица14[часы],Таблица14[коэф],"1,3",Таблица14[р/р],"3/24",Таблица14[Ф. И. О.],B374)</f>
        <v>0</v>
      </c>
      <c r="X375" s="545">
        <f t="shared" si="187"/>
        <v>0</v>
      </c>
      <c r="Y375" s="795"/>
      <c r="Z375" s="797"/>
      <c r="AA375" s="786"/>
      <c r="AC375" s="754" t="str">
        <f>IF(SUMIFS(Таблица14[часы],Таблица14[Ф. И. О.],B374)-Y369=0,"",SUMIFS(Таблица14[часы],Таблица14[Ф. И. О.],B374)-Y369)</f>
        <v/>
      </c>
    </row>
    <row r="376" spans="1:29">
      <c r="A376" s="786"/>
      <c r="B376" s="216"/>
      <c r="C376" s="789"/>
      <c r="D376" s="792"/>
      <c r="E376" s="393"/>
      <c r="F376" s="390"/>
      <c r="G376" s="400"/>
      <c r="H376" s="544">
        <f t="shared" si="184"/>
        <v>0</v>
      </c>
      <c r="I376" s="389"/>
      <c r="J376" s="390"/>
      <c r="K376" s="434"/>
      <c r="L376" s="395">
        <f t="shared" si="185"/>
        <v>0</v>
      </c>
      <c r="M376" s="432"/>
      <c r="N376" s="434"/>
      <c r="O376" s="434"/>
      <c r="P376" s="434"/>
      <c r="Q376" s="399">
        <f>база!$L$5</f>
        <v>231.45480000000001</v>
      </c>
      <c r="R376" s="390">
        <v>1.3</v>
      </c>
      <c r="S376" s="400">
        <f>SUMIFS(Таблица14[часы],Таблица14[коэф],"1,3",Таблица14[р/р],"4/16",Таблица14[Ф. И. О.],B374)</f>
        <v>0</v>
      </c>
      <c r="T376" s="544">
        <f t="shared" si="186"/>
        <v>0</v>
      </c>
      <c r="U376" s="472">
        <f>база!$M$5</f>
        <v>247.41720000000001</v>
      </c>
      <c r="V376" s="390">
        <v>1.3</v>
      </c>
      <c r="W376" s="412">
        <f>SUMIFS(Таблица14[часы],Таблица14[коэф],"1,3",Таблица14[р/р],"4/24",Таблица14[Ф. И. О.],B374)</f>
        <v>0</v>
      </c>
      <c r="X376" s="545">
        <f t="shared" si="187"/>
        <v>0</v>
      </c>
      <c r="Y376" s="795"/>
      <c r="Z376" s="797"/>
      <c r="AA376" s="786"/>
    </row>
    <row r="377" spans="1:29">
      <c r="A377" s="786"/>
      <c r="B377" s="216"/>
      <c r="C377" s="789"/>
      <c r="D377" s="792"/>
      <c r="E377" s="393"/>
      <c r="F377" s="390"/>
      <c r="G377" s="400"/>
      <c r="H377" s="544">
        <f t="shared" si="184"/>
        <v>0</v>
      </c>
      <c r="I377" s="389"/>
      <c r="J377" s="390"/>
      <c r="K377" s="434"/>
      <c r="L377" s="395">
        <f t="shared" si="185"/>
        <v>0</v>
      </c>
      <c r="M377" s="432"/>
      <c r="N377" s="434"/>
      <c r="O377" s="434"/>
      <c r="P377" s="434"/>
      <c r="Q377" s="399">
        <f>IF(D369&lt;=3,база!$L$4,
IF(D369=4,база!$L$5,
IF(D369=5,база!$L$6)))</f>
        <v>210.57480000000001</v>
      </c>
      <c r="R377" s="390">
        <v>1.4</v>
      </c>
      <c r="S377" s="400">
        <f>SUMIFS(Таблица14[часы],Таблица14[коэф],"1,4",Таблица14[р/р],"3/16",Таблица14[Ф. И. О.],B374)</f>
        <v>0</v>
      </c>
      <c r="T377" s="544">
        <f t="shared" si="186"/>
        <v>0</v>
      </c>
      <c r="U377" s="472">
        <f>IF(D369&lt;=3,база!$M$4,
IF(D369=4,база!$M$5,
IF(D369=5,база!$M$6)))</f>
        <v>225.09719999999999</v>
      </c>
      <c r="V377" s="390">
        <v>1.4</v>
      </c>
      <c r="W377" s="412">
        <f>SUMIFS(Таблица14[часы],Таблица14[коэф],"1,4",Таблица14[р/р],"3/24",Таблица14[Ф. И. О.],B374)</f>
        <v>0</v>
      </c>
      <c r="X377" s="545">
        <f t="shared" si="187"/>
        <v>0</v>
      </c>
      <c r="Y377" s="795"/>
      <c r="Z377" s="797"/>
      <c r="AA377" s="786"/>
    </row>
    <row r="378" spans="1:29">
      <c r="A378" s="786"/>
      <c r="B378" s="216"/>
      <c r="C378" s="789"/>
      <c r="D378" s="792"/>
      <c r="E378" s="393"/>
      <c r="F378" s="390"/>
      <c r="G378" s="400"/>
      <c r="H378" s="544">
        <f t="shared" si="184"/>
        <v>0</v>
      </c>
      <c r="I378" s="389"/>
      <c r="J378" s="390"/>
      <c r="K378" s="434"/>
      <c r="L378" s="395">
        <f t="shared" si="185"/>
        <v>0</v>
      </c>
      <c r="M378" s="432"/>
      <c r="N378" s="434"/>
      <c r="O378" s="434"/>
      <c r="P378" s="434"/>
      <c r="Q378" s="399">
        <f>база!$L$5</f>
        <v>231.45480000000001</v>
      </c>
      <c r="R378" s="390">
        <v>1.4</v>
      </c>
      <c r="S378" s="400">
        <f>SUMIFS(Таблица14[часы],Таблица14[коэф],"1,4",Таблица14[р/р],"4/16",Таблица14[Ф. И. О.],B374)</f>
        <v>0</v>
      </c>
      <c r="T378" s="544">
        <f t="shared" si="186"/>
        <v>0</v>
      </c>
      <c r="U378" s="472">
        <f>база!$M$5</f>
        <v>247.41720000000001</v>
      </c>
      <c r="V378" s="390">
        <v>1.4</v>
      </c>
      <c r="W378" s="412">
        <f>SUMIFS(Таблица14[часы],Таблица14[коэф],"1,4",Таблица14[р/р],"4/24",Таблица14[Ф. И. О.],B374)</f>
        <v>0</v>
      </c>
      <c r="X378" s="545">
        <f t="shared" si="187"/>
        <v>0</v>
      </c>
      <c r="Y378" s="795"/>
      <c r="Z378" s="797"/>
      <c r="AA378" s="786"/>
    </row>
    <row r="379" spans="1:29" ht="21" thickBot="1">
      <c r="A379" s="787"/>
      <c r="B379" s="203"/>
      <c r="C379" s="790"/>
      <c r="D379" s="793"/>
      <c r="E379" s="463"/>
      <c r="F379" s="464"/>
      <c r="G379" s="465"/>
      <c r="H379" s="549">
        <f t="shared" si="184"/>
        <v>0</v>
      </c>
      <c r="I379" s="473"/>
      <c r="J379" s="464"/>
      <c r="K379" s="457"/>
      <c r="L379" s="458">
        <f t="shared" si="185"/>
        <v>0</v>
      </c>
      <c r="M379" s="466"/>
      <c r="N379" s="457"/>
      <c r="O379" s="457"/>
      <c r="P379" s="457"/>
      <c r="Q379" s="467">
        <f>база!$L$6</f>
        <v>261.04640000000001</v>
      </c>
      <c r="R379" s="464">
        <v>1.4</v>
      </c>
      <c r="S379" s="465">
        <f>SUMIFS(Таблица14[часы],Таблица14[коэф],"1,4",Таблица14[р/р],"5/16",Таблица14[Ф. И. О.],B374)</f>
        <v>0</v>
      </c>
      <c r="T379" s="549">
        <f t="shared" si="186"/>
        <v>0</v>
      </c>
      <c r="U379" s="474">
        <f>база!$M$6</f>
        <v>279.0496</v>
      </c>
      <c r="V379" s="464">
        <v>1.4</v>
      </c>
      <c r="W379" s="470">
        <f>SUMIFS(Таблица14[часы],Таблица14[коэф],"1,4",Таблица14[р/р],"5/24",Таблица14[Ф. И. О.],B374)</f>
        <v>0</v>
      </c>
      <c r="X379" s="547">
        <f t="shared" si="187"/>
        <v>0</v>
      </c>
      <c r="Y379" s="796"/>
      <c r="Z379" s="798"/>
      <c r="AA379" s="787"/>
    </row>
    <row r="380" spans="1:29">
      <c r="A380" s="785">
        <v>35</v>
      </c>
      <c r="B380" s="236"/>
      <c r="C380" s="788">
        <f>INDEX(база!$E$2:$E$81, MATCH(B385,база!$B$2:$B$50,0))</f>
        <v>17282</v>
      </c>
      <c r="D380" s="791">
        <f>INDEX(база!$D$2:$D$89, MATCH(B385,база!$B$2:$B$50,0))</f>
        <v>3</v>
      </c>
      <c r="E380" s="381">
        <f>IF(D380&lt;=3,база!$I$4,
IF(D380=4,база!$I$5,
IF(D380=5,база!$I$6)))</f>
        <v>188.7912</v>
      </c>
      <c r="F380" s="378">
        <v>1</v>
      </c>
      <c r="G380" s="387">
        <f>SUMIFS(Таблица14[часы],Таблица14[коэф],"1",Таблица14[р/р],"2/4",Таблица14[Ф. И. О.],B385)</f>
        <v>0</v>
      </c>
      <c r="H380" s="380">
        <f>ROUND(E380*F380*G380*2,2)</f>
        <v>0</v>
      </c>
      <c r="I380" s="377">
        <f>IF(D380&lt;=3,база!$J$4,
IF(D380=4,база!$J$5,
IF(D380=5,база!$J$6)))</f>
        <v>196.05240000000001</v>
      </c>
      <c r="J380" s="378">
        <v>1</v>
      </c>
      <c r="K380" s="428">
        <f>SUMIFS(Таблица14[часы],Таблица14[коэф],"1",Таблица14[р/р],"2/8",Таблица14[Ф. И. О.],B385)</f>
        <v>0</v>
      </c>
      <c r="L380" s="383">
        <f>ROUND(I380*J380*K380*2,2)</f>
        <v>0</v>
      </c>
      <c r="M380" s="426"/>
      <c r="N380" s="428">
        <v>1</v>
      </c>
      <c r="O380" s="428">
        <f>SUMIFS(Data_Tech!$AM$3:$AM$67,Data_Tech!$E$3:$E$67,"1",Data_Tech!$G$3:$G$67,"3/12",Data_Tech!$F$3:$F$67,B385)</f>
        <v>0</v>
      </c>
      <c r="P380" s="428">
        <f>ROUND(M380*N380*O380,2)</f>
        <v>0</v>
      </c>
      <c r="Q380" s="386">
        <f>IF(D380&lt;=3,база!$L$4,
IF(D380=4,база!$L$5,
IF(D380=5,база!$L$6)))</f>
        <v>210.57480000000001</v>
      </c>
      <c r="R380" s="378">
        <v>1</v>
      </c>
      <c r="S380" s="387">
        <f>SUMIFS(Таблица14[часы],Таблица14[коэф],"1",Таблица14[р/р],"3/16",Таблица14[Ф. И. О.],B385)</f>
        <v>0</v>
      </c>
      <c r="T380" s="548">
        <f>ROUND(Q380*R380*S380*2,2)</f>
        <v>0</v>
      </c>
      <c r="U380" s="471">
        <f>IF(D380&lt;=3,база!$M$4,
IF(D380=4,база!$M$5,
IF(D380=5,база!$M$6)))</f>
        <v>225.09719999999999</v>
      </c>
      <c r="V380" s="378">
        <v>1</v>
      </c>
      <c r="W380" s="430">
        <f>SUMIFS(Таблица14[часы],Таблица14[коэф],"1",Таблица14[р/р],"3/24",Таблица14[Ф. И. О.],B385)</f>
        <v>0</v>
      </c>
      <c r="X380" s="543">
        <f>ROUND(U380*V380*W380*2,2)</f>
        <v>0</v>
      </c>
      <c r="Y380" s="795">
        <f t="shared" ref="Y380" si="188">SUM(G380:G390,K380:K390,O380:O390,S380:S390,W380:W390)</f>
        <v>0</v>
      </c>
      <c r="Z380" s="797">
        <f t="shared" ref="Z380" si="189">IFERROR(SUM(H380:H390,L380:L390,T380:T390,X380:X390),"")</f>
        <v>0</v>
      </c>
      <c r="AA380" s="786"/>
    </row>
    <row r="381" spans="1:29">
      <c r="A381" s="786"/>
      <c r="B381" s="216"/>
      <c r="C381" s="789"/>
      <c r="D381" s="792"/>
      <c r="E381" s="393">
        <f>IF(D380&lt;=3,база!$I$4,
IF(D380=4,база!$I$5,
IF(D380=5,база!$I$6)))</f>
        <v>188.7912</v>
      </c>
      <c r="F381" s="390">
        <v>1</v>
      </c>
      <c r="G381" s="400">
        <f>SUMIFS(Таблица14[часы],Таблица14[коэф],"1",Таблица14[р/р],"3/4",Таблица14[Ф. И. О.],B385)</f>
        <v>0</v>
      </c>
      <c r="H381" s="542">
        <f t="shared" ref="H381:H390" si="190">ROUND(E381*F381*G381*2,2)</f>
        <v>0</v>
      </c>
      <c r="I381" s="389">
        <f>IF(D380&lt;=3,база!$J$4,
IF(D380=4,база!$J$5,
IF(D380=5,база!$J$6)))</f>
        <v>196.05240000000001</v>
      </c>
      <c r="J381" s="390">
        <v>1</v>
      </c>
      <c r="K381" s="434">
        <f>SUMIFS(Таблица14[часы],Таблица14[коэф],"1",Таблица14[р/р],"3/8",Таблица14[Ф. И. О.],B385)</f>
        <v>0</v>
      </c>
      <c r="L381" s="395">
        <f t="shared" ref="L381:L390" si="191">ROUND(I381*J381*K381*2,2)</f>
        <v>0</v>
      </c>
      <c r="M381" s="432"/>
      <c r="N381" s="434">
        <v>1</v>
      </c>
      <c r="O381" s="434">
        <f>SUMIFS(Data_Tech!$AM$3:$AM$67,Data_Tech!$E$3:$E$67,"1",Data_Tech!$G$3:$G$67,"4/12",Data_Tech!$F$3:$F$67,B385)</f>
        <v>0</v>
      </c>
      <c r="P381" s="434">
        <f>ROUND(M381*O381,2)</f>
        <v>0</v>
      </c>
      <c r="Q381" s="399">
        <f>база!$L$5</f>
        <v>231.45480000000001</v>
      </c>
      <c r="R381" s="390">
        <v>1</v>
      </c>
      <c r="S381" s="400">
        <f>SUMIFS(Таблица14[часы],Таблица14[коэф],"1",Таблица14[р/р],"4/16",Таблица14[Ф. И. О.],B385)</f>
        <v>0</v>
      </c>
      <c r="T381" s="544">
        <f t="shared" ref="T381:T390" si="192">ROUND(Q381*R381*S381*2,2)</f>
        <v>0</v>
      </c>
      <c r="U381" s="472">
        <f>база!$M$5</f>
        <v>247.41720000000001</v>
      </c>
      <c r="V381" s="390">
        <v>1</v>
      </c>
      <c r="W381" s="412">
        <f>SUMIFS(Таблица14[часы],Таблица14[коэф],"1",Таблица14[р/р],"4/24",Таблица14[Ф. И. О.],B385)</f>
        <v>0</v>
      </c>
      <c r="X381" s="545">
        <f t="shared" ref="X381:X390" si="193">ROUND(U381*V381*W381*2,2)</f>
        <v>0</v>
      </c>
      <c r="Y381" s="795"/>
      <c r="Z381" s="797"/>
      <c r="AA381" s="786"/>
    </row>
    <row r="382" spans="1:29">
      <c r="A382" s="786"/>
      <c r="B382" s="216"/>
      <c r="C382" s="789"/>
      <c r="D382" s="792"/>
      <c r="E382" s="393"/>
      <c r="F382" s="390"/>
      <c r="G382" s="400"/>
      <c r="H382" s="544">
        <f t="shared" si="190"/>
        <v>0</v>
      </c>
      <c r="I382" s="389"/>
      <c r="J382" s="390"/>
      <c r="K382" s="434"/>
      <c r="L382" s="395">
        <f t="shared" si="191"/>
        <v>0</v>
      </c>
      <c r="M382" s="432"/>
      <c r="N382" s="434"/>
      <c r="O382" s="434"/>
      <c r="P382" s="434"/>
      <c r="Q382" s="399">
        <f>база!$L$6</f>
        <v>261.04640000000001</v>
      </c>
      <c r="R382" s="390">
        <v>1</v>
      </c>
      <c r="S382" s="400">
        <f>SUMIFS(Таблица14[часы],Таблица14[коэф],"1",Таблица14[р/р],"5/16",Таблица14[Ф. И. О.],B385)</f>
        <v>0</v>
      </c>
      <c r="T382" s="544">
        <f t="shared" si="192"/>
        <v>0</v>
      </c>
      <c r="U382" s="472">
        <f>база!$M$6</f>
        <v>279.0496</v>
      </c>
      <c r="V382" s="390">
        <v>1</v>
      </c>
      <c r="W382" s="412">
        <f>SUMIFS(Таблица14[часы],Таблица14[коэф],"1",Таблица14[р/р],"5/24",Таблица14[Ф. И. О.],B385)</f>
        <v>0</v>
      </c>
      <c r="X382" s="545">
        <f t="shared" si="193"/>
        <v>0</v>
      </c>
      <c r="Y382" s="795"/>
      <c r="Z382" s="797"/>
      <c r="AA382" s="786"/>
    </row>
    <row r="383" spans="1:29">
      <c r="A383" s="786"/>
      <c r="B383" s="216"/>
      <c r="C383" s="789"/>
      <c r="D383" s="792"/>
      <c r="E383" s="393"/>
      <c r="F383" s="390"/>
      <c r="G383" s="400"/>
      <c r="H383" s="544">
        <f t="shared" si="190"/>
        <v>0</v>
      </c>
      <c r="I383" s="389">
        <f>база!$J$5</f>
        <v>215.4924</v>
      </c>
      <c r="J383" s="390">
        <v>1.5</v>
      </c>
      <c r="K383" s="434">
        <f>SUMIFS(Таблица14[часы],Таблица14[коэф],"1,5",Таблица14[р/р],"4/8",Таблица14[Ф. И. О.],B385)</f>
        <v>0</v>
      </c>
      <c r="L383" s="395">
        <f t="shared" si="191"/>
        <v>0</v>
      </c>
      <c r="M383" s="432"/>
      <c r="N383" s="434"/>
      <c r="O383" s="434"/>
      <c r="P383" s="434"/>
      <c r="Q383" s="399">
        <f>IF(D380&lt;=3,база!$L$4,
IF(D380=4,база!$L$5,
IF(D380=5,база!$L$6)))</f>
        <v>210.57480000000001</v>
      </c>
      <c r="R383" s="390">
        <v>1.2</v>
      </c>
      <c r="S383" s="400">
        <f>SUMIFS(Таблица14[часы],Таблица14[коэф],"1,2",Таблица14[р/р],"3/16",Таблица14[Ф. И. О.],B385)</f>
        <v>0</v>
      </c>
      <c r="T383" s="544">
        <f t="shared" si="192"/>
        <v>0</v>
      </c>
      <c r="U383" s="472">
        <f>IF(D380&lt;=3,база!$M$4,
IF(D380=4,база!$M$5,
IF(D380=5,база!$M$6)))</f>
        <v>225.09719999999999</v>
      </c>
      <c r="V383" s="390">
        <v>1.2</v>
      </c>
      <c r="W383" s="412">
        <f>SUMIFS(Таблица14[часы],Таблица14[коэф],"1,2",Таблица14[р/р],"3/24",Таблица14[Ф. И. О.],B385)</f>
        <v>0</v>
      </c>
      <c r="X383" s="545">
        <f t="shared" si="193"/>
        <v>0</v>
      </c>
      <c r="Y383" s="795"/>
      <c r="Z383" s="797"/>
      <c r="AA383" s="786"/>
    </row>
    <row r="384" spans="1:29">
      <c r="A384" s="786"/>
      <c r="B384" s="216"/>
      <c r="C384" s="789"/>
      <c r="D384" s="792"/>
      <c r="E384" s="393"/>
      <c r="F384" s="390"/>
      <c r="G384" s="400"/>
      <c r="H384" s="544">
        <f t="shared" si="190"/>
        <v>0</v>
      </c>
      <c r="I384" s="389">
        <f>база!$J$6</f>
        <v>243.04319999999998</v>
      </c>
      <c r="J384" s="390">
        <v>1.5</v>
      </c>
      <c r="K384" s="434">
        <f>SUMIFS(Таблица14[часы],Таблица14[коэф],"1,5",Таблица14[р/р],"5/8",Таблица14[Ф. И. О.],B385)</f>
        <v>0</v>
      </c>
      <c r="L384" s="395">
        <f t="shared" si="191"/>
        <v>0</v>
      </c>
      <c r="M384" s="432"/>
      <c r="N384" s="434"/>
      <c r="O384" s="434"/>
      <c r="P384" s="434"/>
      <c r="Q384" s="399">
        <f>база!$L$5</f>
        <v>231.45480000000001</v>
      </c>
      <c r="R384" s="390">
        <v>1.2</v>
      </c>
      <c r="S384" s="400">
        <f>SUMIFS(Таблица14[часы],Таблица14[коэф],"1,2",Таблица14[р/р],"4/16",Таблица14[Ф. И. О.],B385)</f>
        <v>0</v>
      </c>
      <c r="T384" s="544">
        <f t="shared" si="192"/>
        <v>0</v>
      </c>
      <c r="U384" s="472">
        <f>база!$M$5</f>
        <v>247.41720000000001</v>
      </c>
      <c r="V384" s="390">
        <v>1.2</v>
      </c>
      <c r="W384" s="412">
        <f>SUMIFS(Таблица14[часы],Таблица14[коэф],"1,2",Таблица14[р/р],"4/24",Таблица14[Ф. И. О.],B385)</f>
        <v>0</v>
      </c>
      <c r="X384" s="545">
        <f t="shared" si="193"/>
        <v>0</v>
      </c>
      <c r="Y384" s="795"/>
      <c r="Z384" s="797"/>
      <c r="AA384" s="786"/>
      <c r="AC384" s="754" t="str">
        <f>IF(SUMIFS(Таблица14[Столбец2],Таблица14[Ф. И. О.],B385)-Z380=0,"",SUMIFS(Таблица14[Столбец2],Таблица14[Ф. И. О.],B385)-Z380)</f>
        <v/>
      </c>
    </row>
    <row r="385" spans="1:29">
      <c r="A385" s="786"/>
      <c r="B385" s="216" t="str">
        <f>база!B36</f>
        <v>Кириллова Надежда Вячеславовна</v>
      </c>
      <c r="C385" s="789"/>
      <c r="D385" s="792"/>
      <c r="E385" s="393"/>
      <c r="F385" s="390"/>
      <c r="G385" s="400"/>
      <c r="H385" s="544">
        <f t="shared" si="190"/>
        <v>0</v>
      </c>
      <c r="I385" s="389"/>
      <c r="J385" s="390"/>
      <c r="K385" s="434"/>
      <c r="L385" s="395">
        <f t="shared" si="191"/>
        <v>0</v>
      </c>
      <c r="M385" s="432"/>
      <c r="N385" s="434"/>
      <c r="O385" s="434"/>
      <c r="P385" s="434"/>
      <c r="Q385" s="399">
        <f>база!$L$6</f>
        <v>261.04640000000001</v>
      </c>
      <c r="R385" s="390">
        <v>1.2</v>
      </c>
      <c r="S385" s="400">
        <f>SUMIFS(Таблица14[часы],Таблица14[коэф],"1,2",Таблица14[р/р],"5/16",Таблица14[Ф. И. О.],B385)</f>
        <v>0</v>
      </c>
      <c r="T385" s="544">
        <f t="shared" si="192"/>
        <v>0</v>
      </c>
      <c r="U385" s="472">
        <f>база!$M$6</f>
        <v>279.0496</v>
      </c>
      <c r="V385" s="390">
        <v>1.2</v>
      </c>
      <c r="W385" s="412">
        <f>SUMIFS(Таблица14[часы],Таблица14[коэф],"1,2",Таблица14[р/р],"5/24",Таблица14[Ф. И. О.],B385)</f>
        <v>0</v>
      </c>
      <c r="X385" s="545">
        <f t="shared" si="193"/>
        <v>0</v>
      </c>
      <c r="Y385" s="795"/>
      <c r="Z385" s="797"/>
      <c r="AA385" s="786"/>
      <c r="AC385" s="754" t="str">
        <f>IF(SUMIFS(Таблица14[часы],Таблица14[Ф. И. О.],B385)-Y380=0,"",SUMIFS(Таблица14[часы],Таблица14[Ф. И. О.],B385)-Y380)</f>
        <v/>
      </c>
    </row>
    <row r="386" spans="1:29">
      <c r="A386" s="786"/>
      <c r="B386" s="216"/>
      <c r="C386" s="789"/>
      <c r="D386" s="792"/>
      <c r="E386" s="393"/>
      <c r="F386" s="390"/>
      <c r="G386" s="400"/>
      <c r="H386" s="544">
        <f t="shared" si="190"/>
        <v>0</v>
      </c>
      <c r="I386" s="389"/>
      <c r="J386" s="390"/>
      <c r="K386" s="434"/>
      <c r="L386" s="395">
        <f t="shared" si="191"/>
        <v>0</v>
      </c>
      <c r="M386" s="432"/>
      <c r="N386" s="434"/>
      <c r="O386" s="434"/>
      <c r="P386" s="434"/>
      <c r="Q386" s="399">
        <f>IF(D380&lt;=3,база!$L$4,
IF(D380=4,база!$L$5,
IF(D380=5,база!$L$6)))</f>
        <v>210.57480000000001</v>
      </c>
      <c r="R386" s="390">
        <v>1.3</v>
      </c>
      <c r="S386" s="400">
        <f>SUMIFS(Таблица14[часы],Таблица14[коэф],"1,3",Таблица14[р/р],"3/16",Таблица14[Ф. И. О.],B385)</f>
        <v>0</v>
      </c>
      <c r="T386" s="544">
        <f t="shared" si="192"/>
        <v>0</v>
      </c>
      <c r="U386" s="472">
        <f>IF(D380&lt;=3,база!$M$4,
IF(D380=4,база!$M$5,
IF(D380=5,база!$M$6)))</f>
        <v>225.09719999999999</v>
      </c>
      <c r="V386" s="390">
        <v>1.3</v>
      </c>
      <c r="W386" s="412">
        <f>SUMIFS(Таблица14[часы],Таблица14[коэф],"1,3",Таблица14[р/р],"3/24",Таблица14[Ф. И. О.],B385)</f>
        <v>0</v>
      </c>
      <c r="X386" s="545">
        <f t="shared" si="193"/>
        <v>0</v>
      </c>
      <c r="Y386" s="795"/>
      <c r="Z386" s="797"/>
      <c r="AA386" s="786"/>
    </row>
    <row r="387" spans="1:29">
      <c r="A387" s="786"/>
      <c r="B387" s="216"/>
      <c r="C387" s="789"/>
      <c r="D387" s="792"/>
      <c r="E387" s="393"/>
      <c r="F387" s="390"/>
      <c r="G387" s="400"/>
      <c r="H387" s="544">
        <f t="shared" si="190"/>
        <v>0</v>
      </c>
      <c r="I387" s="389"/>
      <c r="J387" s="390"/>
      <c r="K387" s="434"/>
      <c r="L387" s="395">
        <f t="shared" si="191"/>
        <v>0</v>
      </c>
      <c r="M387" s="432"/>
      <c r="N387" s="434"/>
      <c r="O387" s="434"/>
      <c r="P387" s="434"/>
      <c r="Q387" s="399">
        <f>база!$L$5</f>
        <v>231.45480000000001</v>
      </c>
      <c r="R387" s="390">
        <v>1.3</v>
      </c>
      <c r="S387" s="400">
        <f>SUMIFS(Таблица14[часы],Таблица14[коэф],"1,3",Таблица14[р/р],"4/16",Таблица14[Ф. И. О.],B385)</f>
        <v>0</v>
      </c>
      <c r="T387" s="544">
        <f t="shared" si="192"/>
        <v>0</v>
      </c>
      <c r="U387" s="472">
        <f>база!$M$5</f>
        <v>247.41720000000001</v>
      </c>
      <c r="V387" s="390">
        <v>1.3</v>
      </c>
      <c r="W387" s="412">
        <f>SUMIFS(Таблица14[часы],Таблица14[коэф],"1,3",Таблица14[р/р],"4/24",Таблица14[Ф. И. О.],B385)</f>
        <v>0</v>
      </c>
      <c r="X387" s="545">
        <f t="shared" si="193"/>
        <v>0</v>
      </c>
      <c r="Y387" s="795"/>
      <c r="Z387" s="797"/>
      <c r="AA387" s="786"/>
    </row>
    <row r="388" spans="1:29">
      <c r="A388" s="786"/>
      <c r="B388" s="216"/>
      <c r="C388" s="789"/>
      <c r="D388" s="792"/>
      <c r="E388" s="393"/>
      <c r="F388" s="390"/>
      <c r="G388" s="400"/>
      <c r="H388" s="544">
        <f t="shared" si="190"/>
        <v>0</v>
      </c>
      <c r="I388" s="389"/>
      <c r="J388" s="390"/>
      <c r="K388" s="434"/>
      <c r="L388" s="395">
        <f t="shared" si="191"/>
        <v>0</v>
      </c>
      <c r="M388" s="432"/>
      <c r="N388" s="434"/>
      <c r="O388" s="434"/>
      <c r="P388" s="434"/>
      <c r="Q388" s="399">
        <f>IF(D380&lt;=3,база!$L$4,
IF(D380=4,база!$L$5,
IF(D380=5,база!$L$6)))</f>
        <v>210.57480000000001</v>
      </c>
      <c r="R388" s="390">
        <v>1.4</v>
      </c>
      <c r="S388" s="400">
        <f>SUMIFS(Таблица14[часы],Таблица14[коэф],"1,4",Таблица14[р/р],"3/16",Таблица14[Ф. И. О.],B385)</f>
        <v>0</v>
      </c>
      <c r="T388" s="544">
        <f t="shared" si="192"/>
        <v>0</v>
      </c>
      <c r="U388" s="472">
        <f>IF(D380&lt;=3,база!$M$4,
IF(D380=4,база!$M$5,
IF(D380=5,база!$M$6)))</f>
        <v>225.09719999999999</v>
      </c>
      <c r="V388" s="390">
        <v>1.4</v>
      </c>
      <c r="W388" s="412">
        <f>SUMIFS(Таблица14[часы],Таблица14[коэф],"1,4",Таблица14[р/р],"3/24",Таблица14[Ф. И. О.],B385)</f>
        <v>0</v>
      </c>
      <c r="X388" s="545">
        <f t="shared" si="193"/>
        <v>0</v>
      </c>
      <c r="Y388" s="795"/>
      <c r="Z388" s="797"/>
      <c r="AA388" s="786"/>
    </row>
    <row r="389" spans="1:29">
      <c r="A389" s="786"/>
      <c r="B389" s="216"/>
      <c r="C389" s="789"/>
      <c r="D389" s="792"/>
      <c r="E389" s="393"/>
      <c r="F389" s="390"/>
      <c r="G389" s="400"/>
      <c r="H389" s="544">
        <f t="shared" si="190"/>
        <v>0</v>
      </c>
      <c r="I389" s="389"/>
      <c r="J389" s="390"/>
      <c r="K389" s="434"/>
      <c r="L389" s="395">
        <f t="shared" si="191"/>
        <v>0</v>
      </c>
      <c r="M389" s="432"/>
      <c r="N389" s="434"/>
      <c r="O389" s="434"/>
      <c r="P389" s="434"/>
      <c r="Q389" s="399">
        <f>база!$L$5</f>
        <v>231.45480000000001</v>
      </c>
      <c r="R389" s="390">
        <v>1.4</v>
      </c>
      <c r="S389" s="400">
        <f>SUMIFS(Таблица14[часы],Таблица14[коэф],"1,4",Таблица14[р/р],"4/16",Таблица14[Ф. И. О.],B385)</f>
        <v>0</v>
      </c>
      <c r="T389" s="544">
        <f t="shared" si="192"/>
        <v>0</v>
      </c>
      <c r="U389" s="472">
        <f>база!$M$5</f>
        <v>247.41720000000001</v>
      </c>
      <c r="V389" s="390">
        <v>1.4</v>
      </c>
      <c r="W389" s="412">
        <f>SUMIFS(Таблица14[часы],Таблица14[коэф],"1,4",Таблица14[р/р],"4/24",Таблица14[Ф. И. О.],B385)</f>
        <v>0</v>
      </c>
      <c r="X389" s="545">
        <f t="shared" si="193"/>
        <v>0</v>
      </c>
      <c r="Y389" s="795"/>
      <c r="Z389" s="797"/>
      <c r="AA389" s="786"/>
    </row>
    <row r="390" spans="1:29" ht="21" thickBot="1">
      <c r="A390" s="787"/>
      <c r="B390" s="203"/>
      <c r="C390" s="790"/>
      <c r="D390" s="793"/>
      <c r="E390" s="463"/>
      <c r="F390" s="464"/>
      <c r="G390" s="465"/>
      <c r="H390" s="549">
        <f t="shared" si="190"/>
        <v>0</v>
      </c>
      <c r="I390" s="473"/>
      <c r="J390" s="464"/>
      <c r="K390" s="457"/>
      <c r="L390" s="458">
        <f t="shared" si="191"/>
        <v>0</v>
      </c>
      <c r="M390" s="466"/>
      <c r="N390" s="457"/>
      <c r="O390" s="457"/>
      <c r="P390" s="457"/>
      <c r="Q390" s="467">
        <f>база!$L$6</f>
        <v>261.04640000000001</v>
      </c>
      <c r="R390" s="464">
        <v>1.4</v>
      </c>
      <c r="S390" s="465">
        <f>SUMIFS(Таблица14[часы],Таблица14[коэф],"1,4",Таблица14[р/р],"5/16",Таблица14[Ф. И. О.],B385)</f>
        <v>0</v>
      </c>
      <c r="T390" s="549">
        <f t="shared" si="192"/>
        <v>0</v>
      </c>
      <c r="U390" s="474">
        <f>база!$M$6</f>
        <v>279.0496</v>
      </c>
      <c r="V390" s="464">
        <v>1.4</v>
      </c>
      <c r="W390" s="470">
        <f>SUMIFS(Таблица14[часы],Таблица14[коэф],"1,4",Таблица14[р/р],"5/24",Таблица14[Ф. И. О.],B385)</f>
        <v>0</v>
      </c>
      <c r="X390" s="547">
        <f t="shared" si="193"/>
        <v>0</v>
      </c>
      <c r="Y390" s="796"/>
      <c r="Z390" s="798"/>
      <c r="AA390" s="787"/>
    </row>
    <row r="391" spans="1:29">
      <c r="A391" s="785">
        <v>36</v>
      </c>
      <c r="B391" s="236"/>
      <c r="C391" s="788">
        <f>INDEX(база!$E$2:$E$81, MATCH(B396,база!$B$2:$B$50,0))</f>
        <v>15575</v>
      </c>
      <c r="D391" s="791">
        <f>INDEX(база!$D$2:$D$89, MATCH(B396,база!$B$2:$B$50,0))</f>
        <v>3</v>
      </c>
      <c r="E391" s="381">
        <f>IF(D391&lt;=3,база!$I$4,
IF(D391=4,база!$I$5,
IF(D391=5,база!$I$6)))</f>
        <v>188.7912</v>
      </c>
      <c r="F391" s="378">
        <v>1</v>
      </c>
      <c r="G391" s="387">
        <f>SUMIFS(Таблица14[часы],Таблица14[коэф],"1",Таблица14[р/р],"2/4",Таблица14[Ф. И. О.],B396)</f>
        <v>0</v>
      </c>
      <c r="H391" s="380">
        <f>ROUND(E391*F391*G391*2,2)</f>
        <v>0</v>
      </c>
      <c r="I391" s="377">
        <f>IF(D391&lt;=3,база!$J$4,
IF(D391=4,база!$J$5,
IF(D391=5,база!$J$6)))</f>
        <v>196.05240000000001</v>
      </c>
      <c r="J391" s="378">
        <v>1</v>
      </c>
      <c r="K391" s="428">
        <f>SUMIFS(Таблица14[часы],Таблица14[коэф],"1",Таблица14[р/р],"2/8",Таблица14[Ф. И. О.],B396)</f>
        <v>0</v>
      </c>
      <c r="L391" s="383">
        <f>ROUND(I391*J391*K391*2,2)</f>
        <v>0</v>
      </c>
      <c r="M391" s="426"/>
      <c r="N391" s="428">
        <v>1</v>
      </c>
      <c r="O391" s="428">
        <f>SUMIFS(Data_Tech!$AM$3:$AM$67,Data_Tech!$E$3:$E$67,"1",Data_Tech!$G$3:$G$67,"3/12",Data_Tech!$F$3:$F$67,B396)</f>
        <v>0</v>
      </c>
      <c r="P391" s="428">
        <f>ROUND(M391*N391*O391,2)</f>
        <v>0</v>
      </c>
      <c r="Q391" s="386">
        <f>IF(D391&lt;=3,база!$L$4,
IF(D391=4,база!$L$5,
IF(D391=5,база!$L$6)))</f>
        <v>210.57480000000001</v>
      </c>
      <c r="R391" s="378">
        <v>1</v>
      </c>
      <c r="S391" s="387">
        <f>SUMIFS(Таблица14[часы],Таблица14[коэф],"1",Таблица14[р/р],"3/16",Таблица14[Ф. И. О.],B396)</f>
        <v>0</v>
      </c>
      <c r="T391" s="548">
        <f>ROUND(Q391*R391*S391*2,2)</f>
        <v>0</v>
      </c>
      <c r="U391" s="471">
        <f>IF(D391&lt;=3,база!$M$4,
IF(D391=4,база!$M$5,
IF(D391=5,база!$M$6)))</f>
        <v>225.09719999999999</v>
      </c>
      <c r="V391" s="378">
        <v>1</v>
      </c>
      <c r="W391" s="430">
        <f>SUMIFS(Таблица14[часы],Таблица14[коэф],"1",Таблица14[р/р],"3/24",Таблица14[Ф. И. О.],B396)</f>
        <v>0</v>
      </c>
      <c r="X391" s="543">
        <f>ROUND(U391*V391*W391*2,2)</f>
        <v>0</v>
      </c>
      <c r="Y391" s="795">
        <f t="shared" ref="Y391" si="194">SUM(G391:G401,K391:K401,O391:O401,S391:S401,W391:W401)</f>
        <v>0</v>
      </c>
      <c r="Z391" s="797">
        <f t="shared" ref="Z391" si="195">IFERROR(SUM(H391:H401,L391:L401,T391:T401,X391:X401),"")</f>
        <v>0</v>
      </c>
      <c r="AA391" s="786"/>
    </row>
    <row r="392" spans="1:29">
      <c r="A392" s="786"/>
      <c r="B392" s="216"/>
      <c r="C392" s="789"/>
      <c r="D392" s="792"/>
      <c r="E392" s="393">
        <f>IF(D391&lt;=3,база!$I$4,
IF(D391=4,база!$I$5,
IF(D391=5,база!$I$6)))</f>
        <v>188.7912</v>
      </c>
      <c r="F392" s="390">
        <v>1</v>
      </c>
      <c r="G392" s="400">
        <f>SUMIFS(Таблица14[часы],Таблица14[коэф],"1",Таблица14[р/р],"3/4",Таблица14[Ф. И. О.],B396)</f>
        <v>0</v>
      </c>
      <c r="H392" s="542">
        <f t="shared" ref="H392:H401" si="196">ROUND(E392*F392*G392*2,2)</f>
        <v>0</v>
      </c>
      <c r="I392" s="389">
        <f>IF(D391&lt;=3,база!$J$4,
IF(D391=4,база!$J$5,
IF(D391=5,база!$J$6)))</f>
        <v>196.05240000000001</v>
      </c>
      <c r="J392" s="390">
        <v>1</v>
      </c>
      <c r="K392" s="434">
        <f>SUMIFS(Таблица14[часы],Таблица14[коэф],"1",Таблица14[р/р],"3/8",Таблица14[Ф. И. О.],B396)</f>
        <v>0</v>
      </c>
      <c r="L392" s="395">
        <f t="shared" ref="L392:L401" si="197">ROUND(I392*J392*K392*2,2)</f>
        <v>0</v>
      </c>
      <c r="M392" s="432"/>
      <c r="N392" s="434">
        <v>1</v>
      </c>
      <c r="O392" s="434">
        <f>SUMIFS(Data_Tech!$AM$3:$AM$67,Data_Tech!$E$3:$E$67,"1",Data_Tech!$G$3:$G$67,"4/12",Data_Tech!$F$3:$F$67,B396)</f>
        <v>0</v>
      </c>
      <c r="P392" s="434">
        <f>ROUND(M392*O392,2)</f>
        <v>0</v>
      </c>
      <c r="Q392" s="399">
        <f>база!$L$5</f>
        <v>231.45480000000001</v>
      </c>
      <c r="R392" s="390">
        <v>1</v>
      </c>
      <c r="S392" s="400">
        <f>SUMIFS(Таблица14[часы],Таблица14[коэф],"1",Таблица14[р/р],"4/16",Таблица14[Ф. И. О.],B396)</f>
        <v>0</v>
      </c>
      <c r="T392" s="544">
        <f t="shared" ref="T392:T401" si="198">ROUND(Q392*R392*S392*2,2)</f>
        <v>0</v>
      </c>
      <c r="U392" s="472">
        <f>база!$M$5</f>
        <v>247.41720000000001</v>
      </c>
      <c r="V392" s="390">
        <v>1</v>
      </c>
      <c r="W392" s="412">
        <f>SUMIFS(Таблица14[часы],Таблица14[коэф],"1",Таблица14[р/р],"4/24",Таблица14[Ф. И. О.],B396)</f>
        <v>0</v>
      </c>
      <c r="X392" s="545">
        <f t="shared" ref="X392:X401" si="199">ROUND(U392*V392*W392*2,2)</f>
        <v>0</v>
      </c>
      <c r="Y392" s="795"/>
      <c r="Z392" s="797"/>
      <c r="AA392" s="786"/>
    </row>
    <row r="393" spans="1:29">
      <c r="A393" s="786"/>
      <c r="B393" s="216"/>
      <c r="C393" s="789"/>
      <c r="D393" s="792"/>
      <c r="E393" s="393"/>
      <c r="F393" s="390"/>
      <c r="G393" s="400"/>
      <c r="H393" s="544">
        <f t="shared" si="196"/>
        <v>0</v>
      </c>
      <c r="I393" s="389"/>
      <c r="J393" s="390"/>
      <c r="K393" s="434"/>
      <c r="L393" s="395">
        <f t="shared" si="197"/>
        <v>0</v>
      </c>
      <c r="M393" s="432"/>
      <c r="N393" s="434"/>
      <c r="O393" s="434"/>
      <c r="P393" s="434"/>
      <c r="Q393" s="399">
        <f>база!$L$6</f>
        <v>261.04640000000001</v>
      </c>
      <c r="R393" s="390">
        <v>1</v>
      </c>
      <c r="S393" s="400">
        <f>SUMIFS(Таблица14[часы],Таблица14[коэф],"1",Таблица14[р/р],"5/16",Таблица14[Ф. И. О.],B396)</f>
        <v>0</v>
      </c>
      <c r="T393" s="544">
        <f t="shared" si="198"/>
        <v>0</v>
      </c>
      <c r="U393" s="472">
        <f>база!$M$6</f>
        <v>279.0496</v>
      </c>
      <c r="V393" s="390">
        <v>1</v>
      </c>
      <c r="W393" s="412">
        <f>SUMIFS(Таблица14[часы],Таблица14[коэф],"1",Таблица14[р/р],"5/24",Таблица14[Ф. И. О.],B396)</f>
        <v>0</v>
      </c>
      <c r="X393" s="545">
        <f t="shared" si="199"/>
        <v>0</v>
      </c>
      <c r="Y393" s="795"/>
      <c r="Z393" s="797"/>
      <c r="AA393" s="786"/>
    </row>
    <row r="394" spans="1:29">
      <c r="A394" s="786"/>
      <c r="B394" s="216"/>
      <c r="C394" s="789"/>
      <c r="D394" s="792"/>
      <c r="E394" s="393"/>
      <c r="F394" s="390"/>
      <c r="G394" s="400"/>
      <c r="H394" s="544">
        <f t="shared" si="196"/>
        <v>0</v>
      </c>
      <c r="I394" s="389">
        <f>база!$J$5</f>
        <v>215.4924</v>
      </c>
      <c r="J394" s="390">
        <v>1.5</v>
      </c>
      <c r="K394" s="434">
        <f>SUMIFS(Таблица14[часы],Таблица14[коэф],"1,5",Таблица14[р/р],"4/8",Таблица14[Ф. И. О.],B396)</f>
        <v>0</v>
      </c>
      <c r="L394" s="395">
        <f t="shared" si="197"/>
        <v>0</v>
      </c>
      <c r="M394" s="432"/>
      <c r="N394" s="434"/>
      <c r="O394" s="434"/>
      <c r="P394" s="434"/>
      <c r="Q394" s="399">
        <f>IF(D391&lt;=3,база!$L$4,
IF(D391=4,база!$L$5,
IF(D391=5,база!$L$6)))</f>
        <v>210.57480000000001</v>
      </c>
      <c r="R394" s="390">
        <v>1.2</v>
      </c>
      <c r="S394" s="400">
        <f>SUMIFS(Таблица14[часы],Таблица14[коэф],"1,2",Таблица14[р/р],"3/16",Таблица14[Ф. И. О.],B396)</f>
        <v>0</v>
      </c>
      <c r="T394" s="544">
        <f t="shared" si="198"/>
        <v>0</v>
      </c>
      <c r="U394" s="472">
        <f>IF(D391&lt;=3,база!$M$4,
IF(D391=4,база!$M$5,
IF(D391=5,база!$M$6)))</f>
        <v>225.09719999999999</v>
      </c>
      <c r="V394" s="390">
        <v>1.2</v>
      </c>
      <c r="W394" s="412">
        <f>SUMIFS(Таблица14[часы],Таблица14[коэф],"1,2",Таблица14[р/р],"3/24",Таблица14[Ф. И. О.],B396)</f>
        <v>0</v>
      </c>
      <c r="X394" s="545">
        <f t="shared" si="199"/>
        <v>0</v>
      </c>
      <c r="Y394" s="795"/>
      <c r="Z394" s="797"/>
      <c r="AA394" s="786"/>
    </row>
    <row r="395" spans="1:29">
      <c r="A395" s="786"/>
      <c r="B395" s="216"/>
      <c r="C395" s="789"/>
      <c r="D395" s="792"/>
      <c r="E395" s="393"/>
      <c r="F395" s="390"/>
      <c r="G395" s="400"/>
      <c r="H395" s="544">
        <f t="shared" si="196"/>
        <v>0</v>
      </c>
      <c r="I395" s="389">
        <f>база!$J$6</f>
        <v>243.04319999999998</v>
      </c>
      <c r="J395" s="390">
        <v>1.5</v>
      </c>
      <c r="K395" s="434">
        <f>SUMIFS(Таблица14[часы],Таблица14[коэф],"1,5",Таблица14[р/р],"5/8",Таблица14[Ф. И. О.],B396)</f>
        <v>0</v>
      </c>
      <c r="L395" s="395">
        <f t="shared" si="197"/>
        <v>0</v>
      </c>
      <c r="M395" s="432"/>
      <c r="N395" s="434"/>
      <c r="O395" s="434"/>
      <c r="P395" s="434"/>
      <c r="Q395" s="399">
        <f>база!$L$5</f>
        <v>231.45480000000001</v>
      </c>
      <c r="R395" s="390">
        <v>1.2</v>
      </c>
      <c r="S395" s="400">
        <f>SUMIFS(Таблица14[часы],Таблица14[коэф],"1,2",Таблица14[р/р],"4/16",Таблица14[Ф. И. О.],B396)</f>
        <v>0</v>
      </c>
      <c r="T395" s="544">
        <f t="shared" si="198"/>
        <v>0</v>
      </c>
      <c r="U395" s="472">
        <f>база!$M$5</f>
        <v>247.41720000000001</v>
      </c>
      <c r="V395" s="390">
        <v>1.2</v>
      </c>
      <c r="W395" s="412">
        <f>SUMIFS(Таблица14[часы],Таблица14[коэф],"1,2",Таблица14[р/р],"4/24",Таблица14[Ф. И. О.],B396)</f>
        <v>0</v>
      </c>
      <c r="X395" s="545">
        <f t="shared" si="199"/>
        <v>0</v>
      </c>
      <c r="Y395" s="795"/>
      <c r="Z395" s="797"/>
      <c r="AA395" s="786"/>
    </row>
    <row r="396" spans="1:29">
      <c r="A396" s="786"/>
      <c r="B396" s="216" t="str">
        <f>база!B37</f>
        <v>Киселёва Надежда Игоревна</v>
      </c>
      <c r="C396" s="789"/>
      <c r="D396" s="792"/>
      <c r="E396" s="393"/>
      <c r="F396" s="390"/>
      <c r="G396" s="400"/>
      <c r="H396" s="544">
        <f t="shared" si="196"/>
        <v>0</v>
      </c>
      <c r="I396" s="389"/>
      <c r="J396" s="390"/>
      <c r="K396" s="434"/>
      <c r="L396" s="395">
        <f t="shared" si="197"/>
        <v>0</v>
      </c>
      <c r="M396" s="432"/>
      <c r="N396" s="434"/>
      <c r="O396" s="434"/>
      <c r="P396" s="434"/>
      <c r="Q396" s="399">
        <f>база!$L$6</f>
        <v>261.04640000000001</v>
      </c>
      <c r="R396" s="390">
        <v>1.2</v>
      </c>
      <c r="S396" s="400">
        <f>SUMIFS(Таблица14[часы],Таблица14[коэф],"1,2",Таблица14[р/р],"5/16",Таблица14[Ф. И. О.],B396)</f>
        <v>0</v>
      </c>
      <c r="T396" s="544">
        <f t="shared" si="198"/>
        <v>0</v>
      </c>
      <c r="U396" s="472">
        <f>база!$M$6</f>
        <v>279.0496</v>
      </c>
      <c r="V396" s="390">
        <v>1.2</v>
      </c>
      <c r="W396" s="412">
        <f>SUMIFS(Таблица14[часы],Таблица14[коэф],"1,2",Таблица14[р/р],"5/24",Таблица14[Ф. И. О.],B396)</f>
        <v>0</v>
      </c>
      <c r="X396" s="545">
        <f t="shared" si="199"/>
        <v>0</v>
      </c>
      <c r="Y396" s="795"/>
      <c r="Z396" s="797"/>
      <c r="AA396" s="786"/>
      <c r="AC396" s="754" t="str">
        <f>IF(SUMIFS(Таблица14[Столбец2],Таблица14[Ф. И. О.],B396)-Z391=0,"",SUMIFS(Таблица14[Столбец2],Таблица14[Ф. И. О.],B396)-Z391)</f>
        <v/>
      </c>
    </row>
    <row r="397" spans="1:29">
      <c r="A397" s="786"/>
      <c r="B397" s="216"/>
      <c r="C397" s="789"/>
      <c r="D397" s="792"/>
      <c r="E397" s="393"/>
      <c r="F397" s="390"/>
      <c r="G397" s="400"/>
      <c r="H397" s="544">
        <f t="shared" si="196"/>
        <v>0</v>
      </c>
      <c r="I397" s="389"/>
      <c r="J397" s="390"/>
      <c r="K397" s="434"/>
      <c r="L397" s="395">
        <f t="shared" si="197"/>
        <v>0</v>
      </c>
      <c r="M397" s="432"/>
      <c r="N397" s="434"/>
      <c r="O397" s="434"/>
      <c r="P397" s="434"/>
      <c r="Q397" s="399">
        <f>IF(D391&lt;=3,база!$L$4,
IF(D391=4,база!$L$5,
IF(D391=5,база!$L$6)))</f>
        <v>210.57480000000001</v>
      </c>
      <c r="R397" s="390">
        <v>1.3</v>
      </c>
      <c r="S397" s="400">
        <f>SUMIFS(Таблица14[часы],Таблица14[коэф],"1,3",Таблица14[р/р],"3/16",Таблица14[Ф. И. О.],B396)</f>
        <v>0</v>
      </c>
      <c r="T397" s="544">
        <f t="shared" si="198"/>
        <v>0</v>
      </c>
      <c r="U397" s="472">
        <f>IF(D391&lt;=3,база!$M$4,
IF(D391=4,база!$M$5,
IF(D391=5,база!$M$6)))</f>
        <v>225.09719999999999</v>
      </c>
      <c r="V397" s="390">
        <v>1.3</v>
      </c>
      <c r="W397" s="412">
        <f>SUMIFS(Таблица14[часы],Таблица14[коэф],"1,3",Таблица14[р/р],"3/24",Таблица14[Ф. И. О.],B396)</f>
        <v>0</v>
      </c>
      <c r="X397" s="545">
        <f t="shared" si="199"/>
        <v>0</v>
      </c>
      <c r="Y397" s="795"/>
      <c r="Z397" s="797"/>
      <c r="AA397" s="786"/>
      <c r="AC397" s="754" t="str">
        <f>IF(SUMIFS(Таблица14[часы],Таблица14[Ф. И. О.],B396)-Y391=0,"",SUMIFS(Таблица14[часы],Таблица14[Ф. И. О.],B396)-Y391)</f>
        <v/>
      </c>
    </row>
    <row r="398" spans="1:29">
      <c r="A398" s="786"/>
      <c r="B398" s="216"/>
      <c r="C398" s="789"/>
      <c r="D398" s="792"/>
      <c r="E398" s="393"/>
      <c r="F398" s="390"/>
      <c r="G398" s="400"/>
      <c r="H398" s="544">
        <f t="shared" si="196"/>
        <v>0</v>
      </c>
      <c r="I398" s="389"/>
      <c r="J398" s="390"/>
      <c r="K398" s="434"/>
      <c r="L398" s="395">
        <f t="shared" si="197"/>
        <v>0</v>
      </c>
      <c r="M398" s="432"/>
      <c r="N398" s="434"/>
      <c r="O398" s="434"/>
      <c r="P398" s="434"/>
      <c r="Q398" s="399">
        <f>база!$L$5</f>
        <v>231.45480000000001</v>
      </c>
      <c r="R398" s="390">
        <v>1.3</v>
      </c>
      <c r="S398" s="400">
        <f>SUMIFS(Таблица14[часы],Таблица14[коэф],"1,3",Таблица14[р/р],"4/16",Таблица14[Ф. И. О.],B396)</f>
        <v>0</v>
      </c>
      <c r="T398" s="544">
        <f t="shared" si="198"/>
        <v>0</v>
      </c>
      <c r="U398" s="472">
        <f>база!$M$5</f>
        <v>247.41720000000001</v>
      </c>
      <c r="V398" s="390">
        <v>1.3</v>
      </c>
      <c r="W398" s="412">
        <f>SUMIFS(Таблица14[часы],Таблица14[коэф],"1,3",Таблица14[р/р],"4/24",Таблица14[Ф. И. О.],B396)</f>
        <v>0</v>
      </c>
      <c r="X398" s="545">
        <f t="shared" si="199"/>
        <v>0</v>
      </c>
      <c r="Y398" s="795"/>
      <c r="Z398" s="797"/>
      <c r="AA398" s="786"/>
    </row>
    <row r="399" spans="1:29">
      <c r="A399" s="786"/>
      <c r="B399" s="216"/>
      <c r="C399" s="789"/>
      <c r="D399" s="792"/>
      <c r="E399" s="393"/>
      <c r="F399" s="390"/>
      <c r="G399" s="400"/>
      <c r="H399" s="544">
        <f t="shared" si="196"/>
        <v>0</v>
      </c>
      <c r="I399" s="389"/>
      <c r="J399" s="390"/>
      <c r="K399" s="434"/>
      <c r="L399" s="395">
        <f t="shared" si="197"/>
        <v>0</v>
      </c>
      <c r="M399" s="432"/>
      <c r="N399" s="434"/>
      <c r="O399" s="434"/>
      <c r="P399" s="434"/>
      <c r="Q399" s="399">
        <f>IF(D391&lt;=3,база!$L$4,
IF(D391=4,база!$L$5,
IF(D391=5,база!$L$6)))</f>
        <v>210.57480000000001</v>
      </c>
      <c r="R399" s="390">
        <v>1.4</v>
      </c>
      <c r="S399" s="400">
        <f>SUMIFS(Таблица14[часы],Таблица14[коэф],"1,4",Таблица14[р/р],"3/16",Таблица14[Ф. И. О.],B396)</f>
        <v>0</v>
      </c>
      <c r="T399" s="544">
        <f t="shared" si="198"/>
        <v>0</v>
      </c>
      <c r="U399" s="472">
        <f>IF(D391&lt;=3,база!$M$4,
IF(D391=4,база!$M$5,
IF(D391=5,база!$M$6)))</f>
        <v>225.09719999999999</v>
      </c>
      <c r="V399" s="390">
        <v>1.4</v>
      </c>
      <c r="W399" s="412">
        <f>SUMIFS(Таблица14[часы],Таблица14[коэф],"1,4",Таблица14[р/р],"3/24",Таблица14[Ф. И. О.],B396)</f>
        <v>0</v>
      </c>
      <c r="X399" s="545">
        <f t="shared" si="199"/>
        <v>0</v>
      </c>
      <c r="Y399" s="795"/>
      <c r="Z399" s="797"/>
      <c r="AA399" s="786"/>
    </row>
    <row r="400" spans="1:29">
      <c r="A400" s="786"/>
      <c r="B400" s="216"/>
      <c r="C400" s="789"/>
      <c r="D400" s="792"/>
      <c r="E400" s="393"/>
      <c r="F400" s="390"/>
      <c r="G400" s="400"/>
      <c r="H400" s="544">
        <f t="shared" si="196"/>
        <v>0</v>
      </c>
      <c r="I400" s="389"/>
      <c r="J400" s="390"/>
      <c r="K400" s="434"/>
      <c r="L400" s="395">
        <f t="shared" si="197"/>
        <v>0</v>
      </c>
      <c r="M400" s="432"/>
      <c r="N400" s="434"/>
      <c r="O400" s="434"/>
      <c r="P400" s="434"/>
      <c r="Q400" s="399">
        <f>база!$L$5</f>
        <v>231.45480000000001</v>
      </c>
      <c r="R400" s="390">
        <v>1.4</v>
      </c>
      <c r="S400" s="400">
        <f>SUMIFS(Таблица14[часы],Таблица14[коэф],"1,4",Таблица14[р/р],"4/16",Таблица14[Ф. И. О.],B396)</f>
        <v>0</v>
      </c>
      <c r="T400" s="544">
        <f t="shared" si="198"/>
        <v>0</v>
      </c>
      <c r="U400" s="472">
        <f>база!$M$5</f>
        <v>247.41720000000001</v>
      </c>
      <c r="V400" s="390">
        <v>1.4</v>
      </c>
      <c r="W400" s="412">
        <f>SUMIFS(Таблица14[часы],Таблица14[коэф],"1,4",Таблица14[р/р],"4/24",Таблица14[Ф. И. О.],B396)</f>
        <v>0</v>
      </c>
      <c r="X400" s="545">
        <f t="shared" si="199"/>
        <v>0</v>
      </c>
      <c r="Y400" s="795"/>
      <c r="Z400" s="797"/>
      <c r="AA400" s="786"/>
    </row>
    <row r="401" spans="1:29" ht="21" thickBot="1">
      <c r="A401" s="787"/>
      <c r="B401" s="203"/>
      <c r="C401" s="790"/>
      <c r="D401" s="793"/>
      <c r="E401" s="463"/>
      <c r="F401" s="464"/>
      <c r="G401" s="465"/>
      <c r="H401" s="549">
        <f t="shared" si="196"/>
        <v>0</v>
      </c>
      <c r="I401" s="473"/>
      <c r="J401" s="464"/>
      <c r="K401" s="457"/>
      <c r="L401" s="458">
        <f t="shared" si="197"/>
        <v>0</v>
      </c>
      <c r="M401" s="466"/>
      <c r="N401" s="457"/>
      <c r="O401" s="457"/>
      <c r="P401" s="457"/>
      <c r="Q401" s="467">
        <f>база!$L$6</f>
        <v>261.04640000000001</v>
      </c>
      <c r="R401" s="464">
        <v>1.4</v>
      </c>
      <c r="S401" s="465">
        <f>SUMIFS(Таблица14[часы],Таблица14[коэф],"1,4",Таблица14[р/р],"5/16",Таблица14[Ф. И. О.],B396)</f>
        <v>0</v>
      </c>
      <c r="T401" s="549">
        <f t="shared" si="198"/>
        <v>0</v>
      </c>
      <c r="U401" s="474">
        <f>база!$M$6</f>
        <v>279.0496</v>
      </c>
      <c r="V401" s="464">
        <v>1.4</v>
      </c>
      <c r="W401" s="470">
        <f>SUMIFS(Таблица14[часы],Таблица14[коэф],"1,4",Таблица14[р/р],"5/24",Таблица14[Ф. И. О.],B396)</f>
        <v>0</v>
      </c>
      <c r="X401" s="547">
        <f t="shared" si="199"/>
        <v>0</v>
      </c>
      <c r="Y401" s="796"/>
      <c r="Z401" s="798"/>
      <c r="AA401" s="787"/>
    </row>
    <row r="402" spans="1:29">
      <c r="A402" s="785">
        <v>37</v>
      </c>
      <c r="B402" s="236"/>
      <c r="C402" s="788">
        <f>INDEX(база!$E$2:$E$81, MATCH(B407,база!$B$2:$B$50,0))</f>
        <v>17188</v>
      </c>
      <c r="D402" s="791">
        <f>INDEX(база!$D$2:$D$89, MATCH(B407,база!$B$2:$B$50,0))</f>
        <v>3</v>
      </c>
      <c r="E402" s="381">
        <f>IF(D402&lt;=3,база!$I$4,
IF(D402=4,база!$I$5,
IF(D402=5,база!$I$6)))</f>
        <v>188.7912</v>
      </c>
      <c r="F402" s="378">
        <v>1</v>
      </c>
      <c r="G402" s="387">
        <f>SUMIFS(Таблица14[часы],Таблица14[коэф],"1",Таблица14[р/р],"2/4",Таблица14[Ф. И. О.],B407)</f>
        <v>0</v>
      </c>
      <c r="H402" s="380">
        <f>ROUND(E402*F402*G402*2,2)</f>
        <v>0</v>
      </c>
      <c r="I402" s="377">
        <f>IF(D402&lt;=3,база!$J$4,
IF(D402=4,база!$J$5,
IF(D402=5,база!$J$6)))</f>
        <v>196.05240000000001</v>
      </c>
      <c r="J402" s="378">
        <v>1</v>
      </c>
      <c r="K402" s="428">
        <f>SUMIFS(Таблица14[часы],Таблица14[коэф],"1",Таблица14[р/р],"2/8",Таблица14[Ф. И. О.],B407)</f>
        <v>0</v>
      </c>
      <c r="L402" s="383">
        <f>ROUND(I402*J402*K402*2,2)</f>
        <v>0</v>
      </c>
      <c r="M402" s="426"/>
      <c r="N402" s="428">
        <v>1</v>
      </c>
      <c r="O402" s="428">
        <f>SUMIFS(Data_Tech!$AM$3:$AM$67,Data_Tech!$E$3:$E$67,"1",Data_Tech!$G$3:$G$67,"3/12",Data_Tech!$F$3:$F$67,B407)</f>
        <v>0</v>
      </c>
      <c r="P402" s="428">
        <f>ROUND(M402*N402*O402,2)</f>
        <v>0</v>
      </c>
      <c r="Q402" s="386">
        <f>IF(D402&lt;=3,база!$L$4,
IF(D402=4,база!$L$5,
IF(D402=5,база!$L$6)))</f>
        <v>210.57480000000001</v>
      </c>
      <c r="R402" s="378">
        <v>1</v>
      </c>
      <c r="S402" s="387">
        <f>SUMIFS(Таблица14[часы],Таблица14[коэф],"1",Таблица14[р/р],"3/16",Таблица14[Ф. И. О.],B407)</f>
        <v>0</v>
      </c>
      <c r="T402" s="548">
        <f>ROUND(Q402*R402*S402*2,2)</f>
        <v>0</v>
      </c>
      <c r="U402" s="471">
        <f>IF(D402&lt;=3,база!$M$4,
IF(D402=4,база!$M$5,
IF(D402=5,база!$M$6)))</f>
        <v>225.09719999999999</v>
      </c>
      <c r="V402" s="378">
        <v>1</v>
      </c>
      <c r="W402" s="430">
        <f>SUMIFS(Таблица14[часы],Таблица14[коэф],"1",Таблица14[р/р],"3/24",Таблица14[Ф. И. О.],B407)</f>
        <v>0</v>
      </c>
      <c r="X402" s="543">
        <f>ROUND(U402*V402*W402*2,2)</f>
        <v>0</v>
      </c>
      <c r="Y402" s="795">
        <f t="shared" ref="Y402" si="200">SUM(G402:G412,K402:K412,O402:O412,S402:S412,W402:W412)</f>
        <v>0</v>
      </c>
      <c r="Z402" s="797">
        <f t="shared" ref="Z402" si="201">IFERROR(SUM(H402:H412,L402:L412,T402:T412,X402:X412),"")</f>
        <v>0</v>
      </c>
      <c r="AA402" s="786"/>
    </row>
    <row r="403" spans="1:29">
      <c r="A403" s="786"/>
      <c r="B403" s="216"/>
      <c r="C403" s="789"/>
      <c r="D403" s="792"/>
      <c r="E403" s="393">
        <f>IF(D402&lt;=3,база!$I$4,
IF(D402=4,база!$I$5,
IF(D402=5,база!$I$6)))</f>
        <v>188.7912</v>
      </c>
      <c r="F403" s="390">
        <v>1</v>
      </c>
      <c r="G403" s="400">
        <f>SUMIFS(Таблица14[часы],Таблица14[коэф],"1",Таблица14[р/р],"3/4",Таблица14[Ф. И. О.],B407)</f>
        <v>0</v>
      </c>
      <c r="H403" s="542">
        <f t="shared" ref="H403:H412" si="202">ROUND(E403*F403*G403*2,2)</f>
        <v>0</v>
      </c>
      <c r="I403" s="389">
        <f>IF(D402&lt;=3,база!$J$4,
IF(D402=4,база!$J$5,
IF(D402=5,база!$J$6)))</f>
        <v>196.05240000000001</v>
      </c>
      <c r="J403" s="390">
        <v>1</v>
      </c>
      <c r="K403" s="434">
        <f>SUMIFS(Таблица14[часы],Таблица14[коэф],"1",Таблица14[р/р],"3/8",Таблица14[Ф. И. О.],B407)</f>
        <v>0</v>
      </c>
      <c r="L403" s="395">
        <f t="shared" ref="L403:L412" si="203">ROUND(I403*J403*K403*2,2)</f>
        <v>0</v>
      </c>
      <c r="M403" s="432"/>
      <c r="N403" s="434">
        <v>1</v>
      </c>
      <c r="O403" s="434">
        <f>SUMIFS(Data_Tech!$AM$3:$AM$67,Data_Tech!$E$3:$E$67,"1",Data_Tech!$G$3:$G$67,"4/12",Data_Tech!$F$3:$F$67,B407)</f>
        <v>0</v>
      </c>
      <c r="P403" s="434">
        <f>ROUND(M403*O403,2)</f>
        <v>0</v>
      </c>
      <c r="Q403" s="399">
        <f>база!$L$5</f>
        <v>231.45480000000001</v>
      </c>
      <c r="R403" s="390">
        <v>1</v>
      </c>
      <c r="S403" s="400">
        <f>SUMIFS(Таблица14[часы],Таблица14[коэф],"1",Таблица14[р/р],"4/16",Таблица14[Ф. И. О.],B407)</f>
        <v>0</v>
      </c>
      <c r="T403" s="544">
        <f t="shared" ref="T403:T412" si="204">ROUND(Q403*R403*S403*2,2)</f>
        <v>0</v>
      </c>
      <c r="U403" s="472">
        <f>база!$M$5</f>
        <v>247.41720000000001</v>
      </c>
      <c r="V403" s="390">
        <v>1</v>
      </c>
      <c r="W403" s="412">
        <f>SUMIFS(Таблица14[часы],Таблица14[коэф],"1",Таблица14[р/р],"4/24",Таблица14[Ф. И. О.],B407)</f>
        <v>0</v>
      </c>
      <c r="X403" s="545">
        <f t="shared" ref="X403:X412" si="205">ROUND(U403*V403*W403*2,2)</f>
        <v>0</v>
      </c>
      <c r="Y403" s="795"/>
      <c r="Z403" s="797"/>
      <c r="AA403" s="786"/>
    </row>
    <row r="404" spans="1:29">
      <c r="A404" s="786"/>
      <c r="B404" s="216"/>
      <c r="C404" s="789"/>
      <c r="D404" s="792"/>
      <c r="E404" s="393"/>
      <c r="F404" s="390"/>
      <c r="G404" s="400"/>
      <c r="H404" s="544">
        <f t="shared" si="202"/>
        <v>0</v>
      </c>
      <c r="I404" s="389"/>
      <c r="J404" s="390"/>
      <c r="K404" s="434"/>
      <c r="L404" s="395">
        <f t="shared" si="203"/>
        <v>0</v>
      </c>
      <c r="M404" s="432"/>
      <c r="N404" s="434"/>
      <c r="O404" s="434"/>
      <c r="P404" s="434"/>
      <c r="Q404" s="399">
        <f>база!$L$6</f>
        <v>261.04640000000001</v>
      </c>
      <c r="R404" s="390">
        <v>1</v>
      </c>
      <c r="S404" s="400">
        <f>SUMIFS(Таблица14[часы],Таблица14[коэф],"1",Таблица14[р/р],"5/16",Таблица14[Ф. И. О.],B407)</f>
        <v>0</v>
      </c>
      <c r="T404" s="544">
        <f t="shared" si="204"/>
        <v>0</v>
      </c>
      <c r="U404" s="472">
        <f>база!$M$6</f>
        <v>279.0496</v>
      </c>
      <c r="V404" s="390">
        <v>1</v>
      </c>
      <c r="W404" s="412">
        <f>SUMIFS(Таблица14[часы],Таблица14[коэф],"1",Таблица14[р/р],"5/24",Таблица14[Ф. И. О.],B407)</f>
        <v>0</v>
      </c>
      <c r="X404" s="545">
        <f t="shared" si="205"/>
        <v>0</v>
      </c>
      <c r="Y404" s="795"/>
      <c r="Z404" s="797"/>
      <c r="AA404" s="786"/>
    </row>
    <row r="405" spans="1:29">
      <c r="A405" s="786"/>
      <c r="B405" s="216"/>
      <c r="C405" s="789"/>
      <c r="D405" s="792"/>
      <c r="E405" s="393"/>
      <c r="F405" s="390"/>
      <c r="G405" s="400"/>
      <c r="H405" s="544">
        <f t="shared" si="202"/>
        <v>0</v>
      </c>
      <c r="I405" s="389">
        <f>база!$J$5</f>
        <v>215.4924</v>
      </c>
      <c r="J405" s="390">
        <v>1.5</v>
      </c>
      <c r="K405" s="434">
        <f>SUMIFS(Таблица14[часы],Таблица14[коэф],"1,5",Таблица14[р/р],"4/8",Таблица14[Ф. И. О.],B407)</f>
        <v>0</v>
      </c>
      <c r="L405" s="395">
        <f t="shared" si="203"/>
        <v>0</v>
      </c>
      <c r="M405" s="432"/>
      <c r="N405" s="434"/>
      <c r="O405" s="434"/>
      <c r="P405" s="434"/>
      <c r="Q405" s="399">
        <f>IF(D402&lt;=3,база!$L$4,
IF(D402=4,база!$L$5,
IF(D402=5,база!$L$6)))</f>
        <v>210.57480000000001</v>
      </c>
      <c r="R405" s="390">
        <v>1.2</v>
      </c>
      <c r="S405" s="400">
        <f>SUMIFS(Таблица14[часы],Таблица14[коэф],"1,2",Таблица14[р/р],"3/16",Таблица14[Ф. И. О.],B407)</f>
        <v>0</v>
      </c>
      <c r="T405" s="544">
        <f t="shared" si="204"/>
        <v>0</v>
      </c>
      <c r="U405" s="472">
        <f>IF(D402&lt;=3,база!$M$4,
IF(D402=4,база!$M$5,
IF(D402=5,база!$M$6)))</f>
        <v>225.09719999999999</v>
      </c>
      <c r="V405" s="390">
        <v>1.2</v>
      </c>
      <c r="W405" s="412">
        <f>SUMIFS(Таблица14[часы],Таблица14[коэф],"1,2",Таблица14[р/р],"3/24",Таблица14[Ф. И. О.],B407)</f>
        <v>0</v>
      </c>
      <c r="X405" s="545">
        <f t="shared" si="205"/>
        <v>0</v>
      </c>
      <c r="Y405" s="795"/>
      <c r="Z405" s="797"/>
      <c r="AA405" s="786"/>
    </row>
    <row r="406" spans="1:29">
      <c r="A406" s="786"/>
      <c r="B406" s="216"/>
      <c r="C406" s="789"/>
      <c r="D406" s="792"/>
      <c r="E406" s="393"/>
      <c r="F406" s="390"/>
      <c r="G406" s="400"/>
      <c r="H406" s="544">
        <f t="shared" si="202"/>
        <v>0</v>
      </c>
      <c r="I406" s="389">
        <f>база!$J$6</f>
        <v>243.04319999999998</v>
      </c>
      <c r="J406" s="390">
        <v>1.5</v>
      </c>
      <c r="K406" s="434">
        <f>SUMIFS(Таблица14[часы],Таблица14[коэф],"1,5",Таблица14[р/р],"5/8",Таблица14[Ф. И. О.],B407)</f>
        <v>0</v>
      </c>
      <c r="L406" s="395">
        <f t="shared" si="203"/>
        <v>0</v>
      </c>
      <c r="M406" s="432"/>
      <c r="N406" s="434"/>
      <c r="O406" s="434"/>
      <c r="P406" s="434"/>
      <c r="Q406" s="399">
        <f>база!$L$5</f>
        <v>231.45480000000001</v>
      </c>
      <c r="R406" s="390">
        <v>1.2</v>
      </c>
      <c r="S406" s="400">
        <f>SUMIFS(Таблица14[часы],Таблица14[коэф],"1,2",Таблица14[р/р],"4/16",Таблица14[Ф. И. О.],B407)</f>
        <v>0</v>
      </c>
      <c r="T406" s="544">
        <f t="shared" si="204"/>
        <v>0</v>
      </c>
      <c r="U406" s="472">
        <f>база!$M$5</f>
        <v>247.41720000000001</v>
      </c>
      <c r="V406" s="390">
        <v>1.2</v>
      </c>
      <c r="W406" s="412">
        <f>SUMIFS(Таблица14[часы],Таблица14[коэф],"1,2",Таблица14[р/р],"4/24",Таблица14[Ф. И. О.],B407)</f>
        <v>0</v>
      </c>
      <c r="X406" s="545">
        <f t="shared" si="205"/>
        <v>0</v>
      </c>
      <c r="Y406" s="795"/>
      <c r="Z406" s="797"/>
      <c r="AA406" s="786"/>
      <c r="AC406" s="754" t="str">
        <f>IF(SUMIFS(Таблица14[Столбец2],Таблица14[Ф. И. О.],B407)-Z402=0,"",SUMIFS(Таблица14[Столбец2],Таблица14[Ф. И. О.],B407)-Z402)</f>
        <v/>
      </c>
    </row>
    <row r="407" spans="1:29">
      <c r="A407" s="786"/>
      <c r="B407" s="216" t="str">
        <f>база!B38</f>
        <v>Климонтович Янина Анатольевна</v>
      </c>
      <c r="C407" s="789"/>
      <c r="D407" s="792"/>
      <c r="E407" s="393"/>
      <c r="F407" s="390"/>
      <c r="G407" s="400"/>
      <c r="H407" s="544">
        <f t="shared" si="202"/>
        <v>0</v>
      </c>
      <c r="I407" s="389"/>
      <c r="J407" s="390"/>
      <c r="K407" s="434"/>
      <c r="L407" s="395">
        <f t="shared" si="203"/>
        <v>0</v>
      </c>
      <c r="M407" s="432"/>
      <c r="N407" s="434"/>
      <c r="O407" s="434"/>
      <c r="P407" s="434"/>
      <c r="Q407" s="399">
        <f>база!$L$6</f>
        <v>261.04640000000001</v>
      </c>
      <c r="R407" s="390">
        <v>1.2</v>
      </c>
      <c r="S407" s="400">
        <f>SUMIFS(Таблица14[часы],Таблица14[коэф],"1,2",Таблица14[р/р],"5/16",Таблица14[Ф. И. О.],B407)</f>
        <v>0</v>
      </c>
      <c r="T407" s="544">
        <f t="shared" si="204"/>
        <v>0</v>
      </c>
      <c r="U407" s="472">
        <f>база!$M$6</f>
        <v>279.0496</v>
      </c>
      <c r="V407" s="390">
        <v>1.2</v>
      </c>
      <c r="W407" s="412">
        <f>SUMIFS(Таблица14[часы],Таблица14[коэф],"1,2",Таблица14[р/р],"5/24",Таблица14[Ф. И. О.],B407)</f>
        <v>0</v>
      </c>
      <c r="X407" s="545">
        <f t="shared" si="205"/>
        <v>0</v>
      </c>
      <c r="Y407" s="795"/>
      <c r="Z407" s="797"/>
      <c r="AA407" s="786"/>
      <c r="AC407" s="754" t="str">
        <f>IF(SUMIFS(Таблица14[часы],Таблица14[Ф. И. О.],B407)-Y402=0,"",SUMIFS(Таблица14[часы],Таблица14[Ф. И. О.],B407)-Y402)</f>
        <v/>
      </c>
    </row>
    <row r="408" spans="1:29">
      <c r="A408" s="786"/>
      <c r="B408" s="216"/>
      <c r="C408" s="789"/>
      <c r="D408" s="792"/>
      <c r="E408" s="393"/>
      <c r="F408" s="390"/>
      <c r="G408" s="400"/>
      <c r="H408" s="544">
        <f t="shared" si="202"/>
        <v>0</v>
      </c>
      <c r="I408" s="389"/>
      <c r="J408" s="390"/>
      <c r="K408" s="434"/>
      <c r="L408" s="395">
        <f t="shared" si="203"/>
        <v>0</v>
      </c>
      <c r="M408" s="432"/>
      <c r="N408" s="434"/>
      <c r="O408" s="434"/>
      <c r="P408" s="434"/>
      <c r="Q408" s="399">
        <f>IF(D402&lt;=3,база!$L$4,
IF(D402=4,база!$L$5,
IF(D402=5,база!$L$6)))</f>
        <v>210.57480000000001</v>
      </c>
      <c r="R408" s="390">
        <v>1.3</v>
      </c>
      <c r="S408" s="400">
        <f>SUMIFS(Таблица14[часы],Таблица14[коэф],"1,3",Таблица14[р/р],"3/16",Таблица14[Ф. И. О.],B407)</f>
        <v>0</v>
      </c>
      <c r="T408" s="544">
        <f t="shared" si="204"/>
        <v>0</v>
      </c>
      <c r="U408" s="472">
        <f>IF(D402&lt;=3,база!$M$4,
IF(D402=4,база!$M$5,
IF(D402=5,база!$M$6)))</f>
        <v>225.09719999999999</v>
      </c>
      <c r="V408" s="390">
        <v>1.3</v>
      </c>
      <c r="W408" s="412">
        <f>SUMIFS(Таблица14[часы],Таблица14[коэф],"1,3",Таблица14[р/р],"3/24",Таблица14[Ф. И. О.],B407)</f>
        <v>0</v>
      </c>
      <c r="X408" s="545">
        <f t="shared" si="205"/>
        <v>0</v>
      </c>
      <c r="Y408" s="795"/>
      <c r="Z408" s="797"/>
      <c r="AA408" s="786"/>
    </row>
    <row r="409" spans="1:29">
      <c r="A409" s="786"/>
      <c r="B409" s="216"/>
      <c r="C409" s="789"/>
      <c r="D409" s="792"/>
      <c r="E409" s="393"/>
      <c r="F409" s="390"/>
      <c r="G409" s="400"/>
      <c r="H409" s="544">
        <f t="shared" si="202"/>
        <v>0</v>
      </c>
      <c r="I409" s="389"/>
      <c r="J409" s="390"/>
      <c r="K409" s="434"/>
      <c r="L409" s="395">
        <f t="shared" si="203"/>
        <v>0</v>
      </c>
      <c r="M409" s="432"/>
      <c r="N409" s="434"/>
      <c r="O409" s="434"/>
      <c r="P409" s="434"/>
      <c r="Q409" s="399">
        <f>база!$L$5</f>
        <v>231.45480000000001</v>
      </c>
      <c r="R409" s="390">
        <v>1.3</v>
      </c>
      <c r="S409" s="400">
        <f>SUMIFS(Таблица14[часы],Таблица14[коэф],"1,3",Таблица14[р/р],"4/16",Таблица14[Ф. И. О.],B407)</f>
        <v>0</v>
      </c>
      <c r="T409" s="544">
        <f t="shared" si="204"/>
        <v>0</v>
      </c>
      <c r="U409" s="472">
        <f>база!$M$5</f>
        <v>247.41720000000001</v>
      </c>
      <c r="V409" s="390">
        <v>1.3</v>
      </c>
      <c r="W409" s="412">
        <f>SUMIFS(Таблица14[часы],Таблица14[коэф],"1,3",Таблица14[р/р],"4/24",Таблица14[Ф. И. О.],B407)</f>
        <v>0</v>
      </c>
      <c r="X409" s="545">
        <f t="shared" si="205"/>
        <v>0</v>
      </c>
      <c r="Y409" s="795"/>
      <c r="Z409" s="797"/>
      <c r="AA409" s="786"/>
    </row>
    <row r="410" spans="1:29">
      <c r="A410" s="786"/>
      <c r="B410" s="216"/>
      <c r="C410" s="789"/>
      <c r="D410" s="792"/>
      <c r="E410" s="393"/>
      <c r="F410" s="390"/>
      <c r="G410" s="400"/>
      <c r="H410" s="544">
        <f t="shared" si="202"/>
        <v>0</v>
      </c>
      <c r="I410" s="389"/>
      <c r="J410" s="390"/>
      <c r="K410" s="434"/>
      <c r="L410" s="395">
        <f t="shared" si="203"/>
        <v>0</v>
      </c>
      <c r="M410" s="432"/>
      <c r="N410" s="434"/>
      <c r="O410" s="434"/>
      <c r="P410" s="434"/>
      <c r="Q410" s="399">
        <f>IF(D402&lt;=3,база!$L$4,
IF(D402=4,база!$L$5,
IF(D402=5,база!$L$6)))</f>
        <v>210.57480000000001</v>
      </c>
      <c r="R410" s="390">
        <v>1.4</v>
      </c>
      <c r="S410" s="400">
        <f>SUMIFS(Таблица14[часы],Таблица14[коэф],"1,4",Таблица14[р/р],"3/16",Таблица14[Ф. И. О.],B407)</f>
        <v>0</v>
      </c>
      <c r="T410" s="544">
        <f t="shared" si="204"/>
        <v>0</v>
      </c>
      <c r="U410" s="472">
        <f>IF(D402&lt;=3,база!$M$4,
IF(D402=4,база!$M$5,
IF(D402=5,база!$M$6)))</f>
        <v>225.09719999999999</v>
      </c>
      <c r="V410" s="390">
        <v>1.4</v>
      </c>
      <c r="W410" s="412">
        <f>SUMIFS(Таблица14[часы],Таблица14[коэф],"1,4",Таблица14[р/р],"3/24",Таблица14[Ф. И. О.],B407)</f>
        <v>0</v>
      </c>
      <c r="X410" s="545">
        <f t="shared" si="205"/>
        <v>0</v>
      </c>
      <c r="Y410" s="795"/>
      <c r="Z410" s="797"/>
      <c r="AA410" s="786"/>
    </row>
    <row r="411" spans="1:29">
      <c r="A411" s="786"/>
      <c r="B411" s="216"/>
      <c r="C411" s="789"/>
      <c r="D411" s="792"/>
      <c r="E411" s="393"/>
      <c r="F411" s="390"/>
      <c r="G411" s="400"/>
      <c r="H411" s="544">
        <f t="shared" si="202"/>
        <v>0</v>
      </c>
      <c r="I411" s="389"/>
      <c r="J411" s="390"/>
      <c r="K411" s="434"/>
      <c r="L411" s="395">
        <f t="shared" si="203"/>
        <v>0</v>
      </c>
      <c r="M411" s="432"/>
      <c r="N411" s="434"/>
      <c r="O411" s="434"/>
      <c r="P411" s="434"/>
      <c r="Q411" s="399">
        <f>база!$L$5</f>
        <v>231.45480000000001</v>
      </c>
      <c r="R411" s="390">
        <v>1.4</v>
      </c>
      <c r="S411" s="400">
        <f>SUMIFS(Таблица14[часы],Таблица14[коэф],"1,4",Таблица14[р/р],"4/16",Таблица14[Ф. И. О.],B407)</f>
        <v>0</v>
      </c>
      <c r="T411" s="544">
        <f t="shared" si="204"/>
        <v>0</v>
      </c>
      <c r="U411" s="472">
        <f>база!$M$5</f>
        <v>247.41720000000001</v>
      </c>
      <c r="V411" s="390">
        <v>1.4</v>
      </c>
      <c r="W411" s="412">
        <f>SUMIFS(Таблица14[часы],Таблица14[коэф],"1,4",Таблица14[р/р],"4/24",Таблица14[Ф. И. О.],B407)</f>
        <v>0</v>
      </c>
      <c r="X411" s="545">
        <f t="shared" si="205"/>
        <v>0</v>
      </c>
      <c r="Y411" s="795"/>
      <c r="Z411" s="797"/>
      <c r="AA411" s="786"/>
    </row>
    <row r="412" spans="1:29" ht="21" thickBot="1">
      <c r="A412" s="787"/>
      <c r="B412" s="203"/>
      <c r="C412" s="790"/>
      <c r="D412" s="793"/>
      <c r="E412" s="463"/>
      <c r="F412" s="464"/>
      <c r="G412" s="465"/>
      <c r="H412" s="549">
        <f t="shared" si="202"/>
        <v>0</v>
      </c>
      <c r="I412" s="473"/>
      <c r="J412" s="464"/>
      <c r="K412" s="457"/>
      <c r="L412" s="458">
        <f t="shared" si="203"/>
        <v>0</v>
      </c>
      <c r="M412" s="466"/>
      <c r="N412" s="457"/>
      <c r="O412" s="457"/>
      <c r="P412" s="457"/>
      <c r="Q412" s="467">
        <f>база!$L$6</f>
        <v>261.04640000000001</v>
      </c>
      <c r="R412" s="464">
        <v>1.4</v>
      </c>
      <c r="S412" s="465">
        <f>SUMIFS(Таблица14[часы],Таблица14[коэф],"1,4",Таблица14[р/р],"5/16",Таблица14[Ф. И. О.],B407)</f>
        <v>0</v>
      </c>
      <c r="T412" s="549">
        <f t="shared" si="204"/>
        <v>0</v>
      </c>
      <c r="U412" s="474">
        <f>база!$M$6</f>
        <v>279.0496</v>
      </c>
      <c r="V412" s="464">
        <v>1.4</v>
      </c>
      <c r="W412" s="470">
        <f>SUMIFS(Таблица14[часы],Таблица14[коэф],"1,4",Таблица14[р/р],"5/24",Таблица14[Ф. И. О.],B407)</f>
        <v>0</v>
      </c>
      <c r="X412" s="547">
        <f t="shared" si="205"/>
        <v>0</v>
      </c>
      <c r="Y412" s="796"/>
      <c r="Z412" s="798"/>
      <c r="AA412" s="787"/>
    </row>
    <row r="413" spans="1:29">
      <c r="A413" s="785">
        <v>38</v>
      </c>
      <c r="B413" s="236"/>
      <c r="C413" s="788">
        <f>INDEX(база!$E$2:$E$81, MATCH(B418,база!$B$2:$B$50,0))</f>
        <v>15888</v>
      </c>
      <c r="D413" s="791">
        <f>INDEX(база!$D$2:$D$89, MATCH(B418,база!$B$2:$B$50,0))</f>
        <v>3</v>
      </c>
      <c r="E413" s="381">
        <f>IF(D413&lt;=3,база!$I$4,
IF(D413=4,база!$I$5,
IF(D413=5,база!$I$6)))</f>
        <v>188.7912</v>
      </c>
      <c r="F413" s="378">
        <v>1</v>
      </c>
      <c r="G413" s="387">
        <f>SUMIFS(Таблица14[часы],Таблица14[коэф],"1",Таблица14[р/р],"2/4",Таблица14[Ф. И. О.],B418)</f>
        <v>0</v>
      </c>
      <c r="H413" s="380">
        <f>ROUND(E413*F413*G413*2,2)</f>
        <v>0</v>
      </c>
      <c r="I413" s="377">
        <f>IF(D413&lt;=3,база!$J$4,
IF(D413=4,база!$J$5,
IF(D413=5,база!$J$6)))</f>
        <v>196.05240000000001</v>
      </c>
      <c r="J413" s="378">
        <v>1</v>
      </c>
      <c r="K413" s="428">
        <f>SUMIFS(Таблица14[часы],Таблица14[коэф],"1",Таблица14[р/р],"2/8",Таблица14[Ф. И. О.],B418)</f>
        <v>0</v>
      </c>
      <c r="L413" s="383">
        <f>ROUND(I413*J413*K413*2,2)</f>
        <v>0</v>
      </c>
      <c r="M413" s="426"/>
      <c r="N413" s="428">
        <v>1</v>
      </c>
      <c r="O413" s="428">
        <f>SUMIFS(Data_Tech!$AM$3:$AM$67,Data_Tech!$E$3:$E$67,"1",Data_Tech!$G$3:$G$67,"3/12",Data_Tech!$F$3:$F$67,B418)</f>
        <v>0</v>
      </c>
      <c r="P413" s="428">
        <f>ROUND(M413*N413*O413,2)</f>
        <v>0</v>
      </c>
      <c r="Q413" s="386">
        <f>IF(D413&lt;=3,база!$L$4,
IF(D413=4,база!$L$5,
IF(D413=5,база!$L$6)))</f>
        <v>210.57480000000001</v>
      </c>
      <c r="R413" s="378">
        <v>1</v>
      </c>
      <c r="S413" s="387">
        <f>SUMIFS(Таблица14[часы],Таблица14[коэф],"1",Таблица14[р/р],"3/16",Таблица14[Ф. И. О.],B418)</f>
        <v>0</v>
      </c>
      <c r="T413" s="548">
        <f>ROUND(Q413*R413*S413*2,2)</f>
        <v>0</v>
      </c>
      <c r="U413" s="471">
        <f>IF(D413&lt;=3,база!$M$4,
IF(D413=4,база!$M$5,
IF(D413=5,база!$M$6)))</f>
        <v>225.09719999999999</v>
      </c>
      <c r="V413" s="378">
        <v>1</v>
      </c>
      <c r="W413" s="430">
        <f>SUMIFS(Таблица14[часы],Таблица14[коэф],"1",Таблица14[р/р],"3/24",Таблица14[Ф. И. О.],B418)</f>
        <v>0</v>
      </c>
      <c r="X413" s="543">
        <f>ROUND(U413*V413*W413*2,2)</f>
        <v>0</v>
      </c>
      <c r="Y413" s="795">
        <f t="shared" ref="Y413" si="206">SUM(G413:G423,K413:K423,O413:O423,S413:S423,W413:W423)</f>
        <v>0</v>
      </c>
      <c r="Z413" s="797">
        <f t="shared" ref="Z413" si="207">IFERROR(SUM(H413:H423,L413:L423,T413:T423,X413:X423),"")</f>
        <v>0</v>
      </c>
      <c r="AA413" s="786"/>
    </row>
    <row r="414" spans="1:29">
      <c r="A414" s="786"/>
      <c r="B414" s="216"/>
      <c r="C414" s="789"/>
      <c r="D414" s="792"/>
      <c r="E414" s="393">
        <f>IF(D413&lt;=3,база!$I$4,
IF(D413=4,база!$I$5,
IF(D413=5,база!$I$6)))</f>
        <v>188.7912</v>
      </c>
      <c r="F414" s="390">
        <v>1</v>
      </c>
      <c r="G414" s="400">
        <f>SUMIFS(Таблица14[часы],Таблица14[коэф],"1",Таблица14[р/р],"3/4",Таблица14[Ф. И. О.],B418)</f>
        <v>0</v>
      </c>
      <c r="H414" s="542">
        <f t="shared" ref="H414:H423" si="208">ROUND(E414*F414*G414*2,2)</f>
        <v>0</v>
      </c>
      <c r="I414" s="389">
        <f>IF(D413&lt;=3,база!$J$4,
IF(D413=4,база!$J$5,
IF(D413=5,база!$J$6)))</f>
        <v>196.05240000000001</v>
      </c>
      <c r="J414" s="390">
        <v>1</v>
      </c>
      <c r="K414" s="434">
        <f>SUMIFS(Таблица14[часы],Таблица14[коэф],"1",Таблица14[р/р],"3/8",Таблица14[Ф. И. О.],B418)</f>
        <v>0</v>
      </c>
      <c r="L414" s="395">
        <f t="shared" ref="L414:L423" si="209">ROUND(I414*J414*K414*2,2)</f>
        <v>0</v>
      </c>
      <c r="M414" s="432"/>
      <c r="N414" s="434">
        <v>1</v>
      </c>
      <c r="O414" s="434">
        <f>SUMIFS(Data_Tech!$AM$3:$AM$67,Data_Tech!$E$3:$E$67,"1",Data_Tech!$G$3:$G$67,"4/12",Data_Tech!$F$3:$F$67,B418)</f>
        <v>0</v>
      </c>
      <c r="P414" s="434">
        <f>ROUND(M414*O414,2)</f>
        <v>0</v>
      </c>
      <c r="Q414" s="399">
        <f>база!$L$5</f>
        <v>231.45480000000001</v>
      </c>
      <c r="R414" s="390">
        <v>1</v>
      </c>
      <c r="S414" s="400">
        <f>SUMIFS(Таблица14[часы],Таблица14[коэф],"1",Таблица14[р/р],"4/16",Таблица14[Ф. И. О.],B418)</f>
        <v>0</v>
      </c>
      <c r="T414" s="544">
        <f t="shared" ref="T414:T423" si="210">ROUND(Q414*R414*S414*2,2)</f>
        <v>0</v>
      </c>
      <c r="U414" s="472">
        <f>база!$M$5</f>
        <v>247.41720000000001</v>
      </c>
      <c r="V414" s="390">
        <v>1</v>
      </c>
      <c r="W414" s="412">
        <f>SUMIFS(Таблица14[часы],Таблица14[коэф],"1",Таблица14[р/р],"4/24",Таблица14[Ф. И. О.],B418)</f>
        <v>0</v>
      </c>
      <c r="X414" s="545">
        <f t="shared" ref="X414:X423" si="211">ROUND(U414*V414*W414*2,2)</f>
        <v>0</v>
      </c>
      <c r="Y414" s="795"/>
      <c r="Z414" s="797"/>
      <c r="AA414" s="786"/>
    </row>
    <row r="415" spans="1:29">
      <c r="A415" s="786"/>
      <c r="B415" s="216"/>
      <c r="C415" s="789"/>
      <c r="D415" s="792"/>
      <c r="E415" s="393"/>
      <c r="F415" s="390"/>
      <c r="G415" s="400"/>
      <c r="H415" s="544">
        <f t="shared" si="208"/>
        <v>0</v>
      </c>
      <c r="I415" s="389"/>
      <c r="J415" s="390"/>
      <c r="K415" s="434"/>
      <c r="L415" s="395">
        <f t="shared" si="209"/>
        <v>0</v>
      </c>
      <c r="M415" s="432"/>
      <c r="N415" s="434"/>
      <c r="O415" s="434"/>
      <c r="P415" s="434"/>
      <c r="Q415" s="399">
        <f>база!$L$6</f>
        <v>261.04640000000001</v>
      </c>
      <c r="R415" s="390">
        <v>1</v>
      </c>
      <c r="S415" s="400">
        <f>SUMIFS(Таблица14[часы],Таблица14[коэф],"1",Таблица14[р/р],"5/16",Таблица14[Ф. И. О.],B418)</f>
        <v>0</v>
      </c>
      <c r="T415" s="544">
        <f t="shared" si="210"/>
        <v>0</v>
      </c>
      <c r="U415" s="472">
        <f>база!$M$6</f>
        <v>279.0496</v>
      </c>
      <c r="V415" s="390">
        <v>1</v>
      </c>
      <c r="W415" s="412">
        <f>SUMIFS(Таблица14[часы],Таблица14[коэф],"1",Таблица14[р/р],"5/24",Таблица14[Ф. И. О.],B418)</f>
        <v>0</v>
      </c>
      <c r="X415" s="545">
        <f t="shared" si="211"/>
        <v>0</v>
      </c>
      <c r="Y415" s="795"/>
      <c r="Z415" s="797"/>
      <c r="AA415" s="786"/>
    </row>
    <row r="416" spans="1:29">
      <c r="A416" s="786"/>
      <c r="B416" s="216"/>
      <c r="C416" s="789"/>
      <c r="D416" s="792"/>
      <c r="E416" s="393"/>
      <c r="F416" s="390"/>
      <c r="G416" s="400"/>
      <c r="H416" s="544">
        <f t="shared" si="208"/>
        <v>0</v>
      </c>
      <c r="I416" s="389">
        <f>база!$J$5</f>
        <v>215.4924</v>
      </c>
      <c r="J416" s="390">
        <v>1.5</v>
      </c>
      <c r="K416" s="434">
        <f>SUMIFS(Таблица14[часы],Таблица14[коэф],"1,5",Таблица14[р/р],"4/8",Таблица14[Ф. И. О.],B418)</f>
        <v>0</v>
      </c>
      <c r="L416" s="395">
        <f t="shared" si="209"/>
        <v>0</v>
      </c>
      <c r="M416" s="432"/>
      <c r="N416" s="434"/>
      <c r="O416" s="434"/>
      <c r="P416" s="434"/>
      <c r="Q416" s="399">
        <f>IF(D413&lt;=3,база!$L$4,
IF(D413=4,база!$L$5,
IF(D413=5,база!$L$6)))</f>
        <v>210.57480000000001</v>
      </c>
      <c r="R416" s="390">
        <v>1.2</v>
      </c>
      <c r="S416" s="400">
        <f>SUMIFS(Таблица14[часы],Таблица14[коэф],"1,2",Таблица14[р/р],"3/16",Таблица14[Ф. И. О.],B418)</f>
        <v>0</v>
      </c>
      <c r="T416" s="544">
        <f t="shared" si="210"/>
        <v>0</v>
      </c>
      <c r="U416" s="472">
        <f>IF(D413&lt;=3,база!$M$4,
IF(D413=4,база!$M$5,
IF(D413=5,база!$M$6)))</f>
        <v>225.09719999999999</v>
      </c>
      <c r="V416" s="390">
        <v>1.2</v>
      </c>
      <c r="W416" s="412">
        <f>SUMIFS(Таблица14[часы],Таблица14[коэф],"1,2",Таблица14[р/р],"3/24",Таблица14[Ф. И. О.],B418)</f>
        <v>0</v>
      </c>
      <c r="X416" s="545">
        <f t="shared" si="211"/>
        <v>0</v>
      </c>
      <c r="Y416" s="795"/>
      <c r="Z416" s="797"/>
      <c r="AA416" s="786"/>
    </row>
    <row r="417" spans="1:29">
      <c r="A417" s="786"/>
      <c r="B417" s="216"/>
      <c r="C417" s="789"/>
      <c r="D417" s="792"/>
      <c r="E417" s="393"/>
      <c r="F417" s="390"/>
      <c r="G417" s="400"/>
      <c r="H417" s="544">
        <f t="shared" si="208"/>
        <v>0</v>
      </c>
      <c r="I417" s="389">
        <f>база!$J$6</f>
        <v>243.04319999999998</v>
      </c>
      <c r="J417" s="390">
        <v>1.5</v>
      </c>
      <c r="K417" s="434">
        <f>SUMIFS(Таблица14[часы],Таблица14[коэф],"1,5",Таблица14[р/р],"5/8",Таблица14[Ф. И. О.],B418)</f>
        <v>0</v>
      </c>
      <c r="L417" s="395">
        <f t="shared" si="209"/>
        <v>0</v>
      </c>
      <c r="M417" s="432"/>
      <c r="N417" s="434"/>
      <c r="O417" s="434"/>
      <c r="P417" s="434"/>
      <c r="Q417" s="399">
        <f>база!$L$5</f>
        <v>231.45480000000001</v>
      </c>
      <c r="R417" s="390">
        <v>1.2</v>
      </c>
      <c r="S417" s="400">
        <f>SUMIFS(Таблица14[часы],Таблица14[коэф],"1,2",Таблица14[р/р],"4/16",Таблица14[Ф. И. О.],B418)</f>
        <v>0</v>
      </c>
      <c r="T417" s="544">
        <f t="shared" si="210"/>
        <v>0</v>
      </c>
      <c r="U417" s="472">
        <f>база!$M$5</f>
        <v>247.41720000000001</v>
      </c>
      <c r="V417" s="390">
        <v>1.2</v>
      </c>
      <c r="W417" s="412">
        <f>SUMIFS(Таблица14[часы],Таблица14[коэф],"1,2",Таблица14[р/р],"4/24",Таблица14[Ф. И. О.],B418)</f>
        <v>0</v>
      </c>
      <c r="X417" s="545">
        <f t="shared" si="211"/>
        <v>0</v>
      </c>
      <c r="Y417" s="795"/>
      <c r="Z417" s="797"/>
      <c r="AA417" s="786"/>
    </row>
    <row r="418" spans="1:29">
      <c r="A418" s="786"/>
      <c r="B418" s="216" t="str">
        <f>база!B39</f>
        <v>Коричева Юлия Владимировна</v>
      </c>
      <c r="C418" s="789"/>
      <c r="D418" s="792"/>
      <c r="E418" s="393"/>
      <c r="F418" s="390"/>
      <c r="G418" s="400"/>
      <c r="H418" s="544">
        <f t="shared" si="208"/>
        <v>0</v>
      </c>
      <c r="I418" s="389"/>
      <c r="J418" s="390"/>
      <c r="K418" s="434"/>
      <c r="L418" s="395">
        <f t="shared" si="209"/>
        <v>0</v>
      </c>
      <c r="M418" s="432"/>
      <c r="N418" s="434"/>
      <c r="O418" s="434"/>
      <c r="P418" s="434"/>
      <c r="Q418" s="399">
        <f>база!$L$6</f>
        <v>261.04640000000001</v>
      </c>
      <c r="R418" s="390">
        <v>1.2</v>
      </c>
      <c r="S418" s="400">
        <f>SUMIFS(Таблица14[часы],Таблица14[коэф],"1,2",Таблица14[р/р],"5/16",Таблица14[Ф. И. О.],B418)</f>
        <v>0</v>
      </c>
      <c r="T418" s="544">
        <f t="shared" si="210"/>
        <v>0</v>
      </c>
      <c r="U418" s="472">
        <f>база!$M$6</f>
        <v>279.0496</v>
      </c>
      <c r="V418" s="390">
        <v>1.2</v>
      </c>
      <c r="W418" s="412">
        <f>SUMIFS(Таблица14[часы],Таблица14[коэф],"1,2",Таблица14[р/р],"5/24",Таблица14[Ф. И. О.],B418)</f>
        <v>0</v>
      </c>
      <c r="X418" s="545">
        <f t="shared" si="211"/>
        <v>0</v>
      </c>
      <c r="Y418" s="795"/>
      <c r="Z418" s="797"/>
      <c r="AA418" s="786"/>
      <c r="AC418" s="754" t="str">
        <f>IF(SUMIFS(Таблица14[Столбец2],Таблица14[Ф. И. О.],B418)-Z413=0,"",SUMIFS(Таблица14[Столбец2],Таблица14[Ф. И. О.],B418)-Z413)</f>
        <v/>
      </c>
    </row>
    <row r="419" spans="1:29">
      <c r="A419" s="786"/>
      <c r="B419" s="216"/>
      <c r="C419" s="789"/>
      <c r="D419" s="792"/>
      <c r="E419" s="393"/>
      <c r="F419" s="390"/>
      <c r="G419" s="400"/>
      <c r="H419" s="544">
        <f t="shared" si="208"/>
        <v>0</v>
      </c>
      <c r="I419" s="389"/>
      <c r="J419" s="390"/>
      <c r="K419" s="434"/>
      <c r="L419" s="395">
        <f t="shared" si="209"/>
        <v>0</v>
      </c>
      <c r="M419" s="432"/>
      <c r="N419" s="434"/>
      <c r="O419" s="434"/>
      <c r="P419" s="434"/>
      <c r="Q419" s="399">
        <f>IF(D413&lt;=3,база!$L$4,
IF(D413=4,база!$L$5,
IF(D413=5,база!$L$6)))</f>
        <v>210.57480000000001</v>
      </c>
      <c r="R419" s="390">
        <v>1.3</v>
      </c>
      <c r="S419" s="400">
        <f>SUMIFS(Таблица14[часы],Таблица14[коэф],"1,3",Таблица14[р/р],"3/16",Таблица14[Ф. И. О.],B418)</f>
        <v>0</v>
      </c>
      <c r="T419" s="544">
        <f t="shared" si="210"/>
        <v>0</v>
      </c>
      <c r="U419" s="472">
        <f>IF(D413&lt;=3,база!$M$4,
IF(D413=4,база!$M$5,
IF(D413=5,база!$M$6)))</f>
        <v>225.09719999999999</v>
      </c>
      <c r="V419" s="390">
        <v>1.3</v>
      </c>
      <c r="W419" s="412">
        <f>SUMIFS(Таблица14[часы],Таблица14[коэф],"1,3",Таблица14[р/р],"3/24",Таблица14[Ф. И. О.],B418)</f>
        <v>0</v>
      </c>
      <c r="X419" s="545">
        <f t="shared" si="211"/>
        <v>0</v>
      </c>
      <c r="Y419" s="795"/>
      <c r="Z419" s="797"/>
      <c r="AA419" s="786"/>
      <c r="AC419" s="754" t="str">
        <f>IF(SUMIFS(Таблица14[часы],Таблица14[Ф. И. О.],B418)-Y413=0,"",SUMIFS(Таблица14[часы],Таблица14[Ф. И. О.],B418)-Y413)</f>
        <v/>
      </c>
    </row>
    <row r="420" spans="1:29">
      <c r="A420" s="786"/>
      <c r="B420" s="216"/>
      <c r="C420" s="789"/>
      <c r="D420" s="792"/>
      <c r="E420" s="393"/>
      <c r="F420" s="390"/>
      <c r="G420" s="400"/>
      <c r="H420" s="544">
        <f t="shared" si="208"/>
        <v>0</v>
      </c>
      <c r="I420" s="389"/>
      <c r="J420" s="390"/>
      <c r="K420" s="434"/>
      <c r="L420" s="395">
        <f t="shared" si="209"/>
        <v>0</v>
      </c>
      <c r="M420" s="432"/>
      <c r="N420" s="434"/>
      <c r="O420" s="434"/>
      <c r="P420" s="434"/>
      <c r="Q420" s="399">
        <f>база!$L$5</f>
        <v>231.45480000000001</v>
      </c>
      <c r="R420" s="390">
        <v>1.3</v>
      </c>
      <c r="S420" s="400">
        <f>SUMIFS(Таблица14[часы],Таблица14[коэф],"1,3",Таблица14[р/р],"4/16",Таблица14[Ф. И. О.],B418)</f>
        <v>0</v>
      </c>
      <c r="T420" s="544">
        <f t="shared" si="210"/>
        <v>0</v>
      </c>
      <c r="U420" s="472">
        <f>база!$M$5</f>
        <v>247.41720000000001</v>
      </c>
      <c r="V420" s="390">
        <v>1.3</v>
      </c>
      <c r="W420" s="412">
        <f>SUMIFS(Таблица14[часы],Таблица14[коэф],"1,3",Таблица14[р/р],"4/24",Таблица14[Ф. И. О.],B418)</f>
        <v>0</v>
      </c>
      <c r="X420" s="545">
        <f t="shared" si="211"/>
        <v>0</v>
      </c>
      <c r="Y420" s="795"/>
      <c r="Z420" s="797"/>
      <c r="AA420" s="786"/>
    </row>
    <row r="421" spans="1:29">
      <c r="A421" s="786"/>
      <c r="B421" s="216"/>
      <c r="C421" s="789"/>
      <c r="D421" s="792"/>
      <c r="E421" s="393"/>
      <c r="F421" s="390"/>
      <c r="G421" s="400"/>
      <c r="H421" s="544">
        <f t="shared" si="208"/>
        <v>0</v>
      </c>
      <c r="I421" s="389"/>
      <c r="J421" s="390"/>
      <c r="K421" s="434"/>
      <c r="L421" s="395">
        <f t="shared" si="209"/>
        <v>0</v>
      </c>
      <c r="M421" s="432"/>
      <c r="N421" s="434"/>
      <c r="O421" s="434"/>
      <c r="P421" s="434"/>
      <c r="Q421" s="399">
        <f>IF(D413&lt;=3,база!$L$4,
IF(D413=4,база!$L$5,
IF(D413=5,база!$L$6)))</f>
        <v>210.57480000000001</v>
      </c>
      <c r="R421" s="390">
        <v>1.4</v>
      </c>
      <c r="S421" s="400">
        <f>SUMIFS(Таблица14[часы],Таблица14[коэф],"1,4",Таблица14[р/р],"3/16",Таблица14[Ф. И. О.],B418)</f>
        <v>0</v>
      </c>
      <c r="T421" s="544">
        <f t="shared" si="210"/>
        <v>0</v>
      </c>
      <c r="U421" s="472">
        <f>IF(D413&lt;=3,база!$M$4,
IF(D413=4,база!$M$5,
IF(D413=5,база!$M$6)))</f>
        <v>225.09719999999999</v>
      </c>
      <c r="V421" s="390">
        <v>1.4</v>
      </c>
      <c r="W421" s="412">
        <f>SUMIFS(Таблица14[часы],Таблица14[коэф],"1,4",Таблица14[р/р],"3/24",Таблица14[Ф. И. О.],B418)</f>
        <v>0</v>
      </c>
      <c r="X421" s="545">
        <f t="shared" si="211"/>
        <v>0</v>
      </c>
      <c r="Y421" s="795"/>
      <c r="Z421" s="797"/>
      <c r="AA421" s="786"/>
    </row>
    <row r="422" spans="1:29">
      <c r="A422" s="786"/>
      <c r="B422" s="216"/>
      <c r="C422" s="789"/>
      <c r="D422" s="792"/>
      <c r="E422" s="393"/>
      <c r="F422" s="390"/>
      <c r="G422" s="400"/>
      <c r="H422" s="544">
        <f t="shared" si="208"/>
        <v>0</v>
      </c>
      <c r="I422" s="389"/>
      <c r="J422" s="390"/>
      <c r="K422" s="434"/>
      <c r="L422" s="395">
        <f t="shared" si="209"/>
        <v>0</v>
      </c>
      <c r="M422" s="432"/>
      <c r="N422" s="434"/>
      <c r="O422" s="434"/>
      <c r="P422" s="434"/>
      <c r="Q422" s="399">
        <f>база!$L$5</f>
        <v>231.45480000000001</v>
      </c>
      <c r="R422" s="390">
        <v>1.4</v>
      </c>
      <c r="S422" s="400">
        <f>SUMIFS(Таблица14[часы],Таблица14[коэф],"1,4",Таблица14[р/р],"4/16",Таблица14[Ф. И. О.],B418)</f>
        <v>0</v>
      </c>
      <c r="T422" s="544">
        <f t="shared" si="210"/>
        <v>0</v>
      </c>
      <c r="U422" s="472">
        <f>база!$M$5</f>
        <v>247.41720000000001</v>
      </c>
      <c r="V422" s="390">
        <v>1.4</v>
      </c>
      <c r="W422" s="412">
        <f>SUMIFS(Таблица14[часы],Таблица14[коэф],"1,4",Таблица14[р/р],"4/24",Таблица14[Ф. И. О.],B418)</f>
        <v>0</v>
      </c>
      <c r="X422" s="545">
        <f t="shared" si="211"/>
        <v>0</v>
      </c>
      <c r="Y422" s="795"/>
      <c r="Z422" s="797"/>
      <c r="AA422" s="786"/>
    </row>
    <row r="423" spans="1:29" ht="21" thickBot="1">
      <c r="A423" s="787"/>
      <c r="B423" s="203"/>
      <c r="C423" s="790"/>
      <c r="D423" s="793"/>
      <c r="E423" s="463"/>
      <c r="F423" s="464"/>
      <c r="G423" s="465"/>
      <c r="H423" s="549">
        <f t="shared" si="208"/>
        <v>0</v>
      </c>
      <c r="I423" s="473"/>
      <c r="J423" s="464"/>
      <c r="K423" s="457"/>
      <c r="L423" s="458">
        <f t="shared" si="209"/>
        <v>0</v>
      </c>
      <c r="M423" s="466"/>
      <c r="N423" s="457"/>
      <c r="O423" s="457"/>
      <c r="P423" s="457"/>
      <c r="Q423" s="467">
        <f>база!$L$6</f>
        <v>261.04640000000001</v>
      </c>
      <c r="R423" s="464">
        <v>1.4</v>
      </c>
      <c r="S423" s="465">
        <f>SUMIFS(Таблица14[часы],Таблица14[коэф],"1,4",Таблица14[р/р],"5/16",Таблица14[Ф. И. О.],B418)</f>
        <v>0</v>
      </c>
      <c r="T423" s="549">
        <f t="shared" si="210"/>
        <v>0</v>
      </c>
      <c r="U423" s="474">
        <f>база!$M$6</f>
        <v>279.0496</v>
      </c>
      <c r="V423" s="464">
        <v>1.4</v>
      </c>
      <c r="W423" s="470">
        <f>SUMIFS(Таблица14[часы],Таблица14[коэф],"1,4",Таблица14[р/р],"5/24",Таблица14[Ф. И. О.],B418)</f>
        <v>0</v>
      </c>
      <c r="X423" s="547">
        <f t="shared" si="211"/>
        <v>0</v>
      </c>
      <c r="Y423" s="796"/>
      <c r="Z423" s="798"/>
      <c r="AA423" s="787"/>
    </row>
    <row r="424" spans="1:29">
      <c r="A424" s="785">
        <v>39</v>
      </c>
      <c r="B424" s="216"/>
      <c r="C424" s="788">
        <f>INDEX(база!$E$2:$E$81, MATCH(B429,база!$B$2:$B$50,0))</f>
        <v>17271</v>
      </c>
      <c r="D424" s="791">
        <f>INDEX(база!$D$2:$D$89, MATCH(B429,база!$B$2:$B$50,0))</f>
        <v>3</v>
      </c>
      <c r="E424" s="377">
        <f>IF(D424&lt;=3,база!$I$4,
IF(D424=4,база!$I$5,
IF(D424=5,база!$I$6)))</f>
        <v>188.7912</v>
      </c>
      <c r="F424" s="378">
        <v>1</v>
      </c>
      <c r="G424" s="387">
        <f>SUMIFS(Таблица14[часы],Таблица14[коэф],"1",Таблица14[р/р],"2/4",Таблица14[Ф. И. О.],B429)</f>
        <v>0</v>
      </c>
      <c r="H424" s="380">
        <f>ROUND(E424*F424*G424*2,2)</f>
        <v>0</v>
      </c>
      <c r="I424" s="451">
        <f>IF(D424&lt;=3,база!$J$4,
IF(D424=4,база!$J$5,
IF(D424=5,база!$J$6)))</f>
        <v>196.05240000000001</v>
      </c>
      <c r="J424" s="417">
        <v>1</v>
      </c>
      <c r="K424" s="453">
        <f>SUMIFS(Таблица14[часы],Таблица14[коэф],"1",Таблица14[р/р],"2/8",Таблица14[Ф. И. О.],B429)</f>
        <v>0</v>
      </c>
      <c r="L424" s="453">
        <f>ROUND(I424*J424*K424*2,2)</f>
        <v>0</v>
      </c>
      <c r="M424" s="453"/>
      <c r="N424" s="453">
        <v>1</v>
      </c>
      <c r="O424" s="453">
        <f>SUMIFS(Data_Tech!$AM$3:$AM$67,Data_Tech!$E$3:$E$67,"1",Data_Tech!$G$3:$G$67,"3/12",Data_Tech!$F$3:$F$67,B429)</f>
        <v>0</v>
      </c>
      <c r="P424" s="398">
        <f>ROUND(M424*N424*O424,2)</f>
        <v>0</v>
      </c>
      <c r="Q424" s="377">
        <f>IF(D424&lt;=3,база!$L$4,
IF(D424=4,база!$L$5,
IF(D424=5,база!$L$6)))</f>
        <v>210.57480000000001</v>
      </c>
      <c r="R424" s="378">
        <v>1</v>
      </c>
      <c r="S424" s="387">
        <f>SUMIFS(Таблица14[часы],Таблица14[коэф],"1",Таблица14[р/р],"3/16",Таблица14[Ф. И. О.],B429)</f>
        <v>0</v>
      </c>
      <c r="T424" s="380">
        <f>ROUND(Q424*R424*S424*2,2)</f>
        <v>0</v>
      </c>
      <c r="U424" s="454">
        <f>IF(D424&lt;=3,база!$M$4,
IF(D424=4,база!$M$5,
IF(D424=5,база!$M$6)))</f>
        <v>225.09719999999999</v>
      </c>
      <c r="V424" s="417">
        <v>1</v>
      </c>
      <c r="W424" s="455">
        <f>SUMIFS(Таблица14[часы],Таблица14[коэф],"1",Таблица14[р/р],"3/24",Таблица14[Ф. И. О.],B429)</f>
        <v>0</v>
      </c>
      <c r="X424" s="543">
        <f>ROUND(U424*V424*W424*2,2)</f>
        <v>0</v>
      </c>
      <c r="Y424" s="795">
        <f t="shared" ref="Y424" si="212">SUM(G424:G434,K424:K434,O424:O434,S424:S434,W424:W434)</f>
        <v>0</v>
      </c>
      <c r="Z424" s="797">
        <f t="shared" ref="Z424" si="213">IFERROR(SUM(H424:H434,L424:L434,T424:T434,X424:X434),"")</f>
        <v>0</v>
      </c>
      <c r="AA424" s="786"/>
    </row>
    <row r="425" spans="1:29">
      <c r="A425" s="786"/>
      <c r="B425" s="216"/>
      <c r="C425" s="789"/>
      <c r="D425" s="792"/>
      <c r="E425" s="389">
        <f>IF(D424&lt;=3,база!$I$4,
IF(D424=4,база!$I$5,
IF(D424=5,база!$I$6)))</f>
        <v>188.7912</v>
      </c>
      <c r="F425" s="390">
        <v>1</v>
      </c>
      <c r="G425" s="400">
        <f>SUMIFS(Таблица14[часы],Таблица14[коэф],"1",Таблица14[р/р],"3/4",Таблица14[Ф. И. О.],B429)</f>
        <v>0</v>
      </c>
      <c r="H425" s="542">
        <f t="shared" ref="H425:H434" si="214">ROUND(E425*F425*G425*2,2)</f>
        <v>0</v>
      </c>
      <c r="I425" s="389">
        <f>IF(D424&lt;=3,база!$J$4,
IF(D424=4,база!$J$5,
IF(D424=5,база!$J$6)))</f>
        <v>196.05240000000001</v>
      </c>
      <c r="J425" s="390">
        <v>1</v>
      </c>
      <c r="K425" s="434">
        <f>SUMIFS(Таблица14[часы],Таблица14[коэф],"1",Таблица14[р/р],"3/8",Таблица14[Ф. И. О.],B429)</f>
        <v>0</v>
      </c>
      <c r="L425" s="434">
        <f t="shared" ref="L425:L434" si="215">ROUND(I425*J425*K425*2,2)</f>
        <v>0</v>
      </c>
      <c r="M425" s="434"/>
      <c r="N425" s="434">
        <v>1</v>
      </c>
      <c r="O425" s="434">
        <f>SUMIFS(Data_Tech!$AM$3:$AM$67,Data_Tech!$E$3:$E$67,"1",Data_Tech!$G$3:$G$67,"4/12",Data_Tech!$F$3:$F$67,B429)</f>
        <v>0</v>
      </c>
      <c r="P425" s="406">
        <f>ROUND(M425*O425,2)</f>
        <v>0</v>
      </c>
      <c r="Q425" s="389">
        <f>база!$L$5</f>
        <v>231.45480000000001</v>
      </c>
      <c r="R425" s="390">
        <v>1</v>
      </c>
      <c r="S425" s="400">
        <f>SUMIFS(Таблица14[часы],Таблица14[коэф],"1",Таблица14[р/р],"4/16",Таблица14[Ф. И. О.],B429)</f>
        <v>0</v>
      </c>
      <c r="T425" s="392">
        <f t="shared" ref="T425:T434" si="216">ROUND(Q425*R425*S425*2,2)</f>
        <v>0</v>
      </c>
      <c r="U425" s="410">
        <f>база!$M$5</f>
        <v>247.41720000000001</v>
      </c>
      <c r="V425" s="390">
        <v>1</v>
      </c>
      <c r="W425" s="412">
        <f>SUMIFS(Таблица14[часы],Таблица14[коэф],"1",Таблица14[р/р],"4/24",Таблица14[Ф. И. О.],B429)</f>
        <v>0</v>
      </c>
      <c r="X425" s="545">
        <f t="shared" ref="X425:X434" si="217">ROUND(U425*V425*W425*2,2)</f>
        <v>0</v>
      </c>
      <c r="Y425" s="795"/>
      <c r="Z425" s="797"/>
      <c r="AA425" s="786"/>
    </row>
    <row r="426" spans="1:29">
      <c r="A426" s="786"/>
      <c r="B426" s="216"/>
      <c r="C426" s="789"/>
      <c r="D426" s="792"/>
      <c r="E426" s="389"/>
      <c r="F426" s="390"/>
      <c r="G426" s="400"/>
      <c r="H426" s="392">
        <f t="shared" si="214"/>
        <v>0</v>
      </c>
      <c r="I426" s="393"/>
      <c r="J426" s="390"/>
      <c r="K426" s="434"/>
      <c r="L426" s="434">
        <f t="shared" si="215"/>
        <v>0</v>
      </c>
      <c r="M426" s="434"/>
      <c r="N426" s="434"/>
      <c r="O426" s="434"/>
      <c r="P426" s="406"/>
      <c r="Q426" s="389">
        <f>база!$L$6</f>
        <v>261.04640000000001</v>
      </c>
      <c r="R426" s="390">
        <v>1</v>
      </c>
      <c r="S426" s="400">
        <f>SUMIFS(Таблица14[часы],Таблица14[коэф],"1",Таблица14[р/р],"5/16",Таблица14[Ф. И. О.],B429)</f>
        <v>0</v>
      </c>
      <c r="T426" s="392">
        <f t="shared" si="216"/>
        <v>0</v>
      </c>
      <c r="U426" s="410">
        <f>база!$M$6</f>
        <v>279.0496</v>
      </c>
      <c r="V426" s="390">
        <v>1</v>
      </c>
      <c r="W426" s="412">
        <f>SUMIFS(Таблица14[часы],Таблица14[коэф],"1",Таблица14[р/р],"5/24",Таблица14[Ф. И. О.],B429)</f>
        <v>0</v>
      </c>
      <c r="X426" s="545">
        <f t="shared" si="217"/>
        <v>0</v>
      </c>
      <c r="Y426" s="795"/>
      <c r="Z426" s="797"/>
      <c r="AA426" s="786"/>
    </row>
    <row r="427" spans="1:29">
      <c r="A427" s="786"/>
      <c r="B427" s="216"/>
      <c r="C427" s="789"/>
      <c r="D427" s="792"/>
      <c r="E427" s="389"/>
      <c r="F427" s="390"/>
      <c r="G427" s="400"/>
      <c r="H427" s="392">
        <f t="shared" si="214"/>
        <v>0</v>
      </c>
      <c r="I427" s="393">
        <f>база!$J$5</f>
        <v>215.4924</v>
      </c>
      <c r="J427" s="390">
        <v>1.5</v>
      </c>
      <c r="K427" s="434">
        <f>SUMIFS(Таблица14[часы],Таблица14[коэф],"1,5",Таблица14[р/р],"4/8",Таблица14[Ф. И. О.],B429)</f>
        <v>0</v>
      </c>
      <c r="L427" s="434">
        <f t="shared" si="215"/>
        <v>0</v>
      </c>
      <c r="M427" s="434"/>
      <c r="N427" s="434"/>
      <c r="O427" s="434"/>
      <c r="P427" s="406"/>
      <c r="Q427" s="389">
        <f>IF(D424&lt;=3,база!$L$4,
IF(D424=4,база!$L$5,
IF(D424=5,база!$L$6)))</f>
        <v>210.57480000000001</v>
      </c>
      <c r="R427" s="390">
        <v>1.2</v>
      </c>
      <c r="S427" s="400">
        <f>SUMIFS(Таблица14[часы],Таблица14[коэф],"1,2",Таблица14[р/р],"3/16",Таблица14[Ф. И. О.],B429)</f>
        <v>0</v>
      </c>
      <c r="T427" s="392">
        <f t="shared" si="216"/>
        <v>0</v>
      </c>
      <c r="U427" s="410">
        <f>IF(D424&lt;=3,база!$M$4,
IF(D424=4,база!$M$5,
IF(D424=5,база!$M$6)))</f>
        <v>225.09719999999999</v>
      </c>
      <c r="V427" s="390">
        <v>1.2</v>
      </c>
      <c r="W427" s="412">
        <f>SUMIFS(Таблица14[часы],Таблица14[коэф],"1,2",Таблица14[р/р],"3/24",Таблица14[Ф. И. О.],B429)</f>
        <v>0</v>
      </c>
      <c r="X427" s="545">
        <f t="shared" si="217"/>
        <v>0</v>
      </c>
      <c r="Y427" s="795"/>
      <c r="Z427" s="797"/>
      <c r="AA427" s="786"/>
    </row>
    <row r="428" spans="1:29">
      <c r="A428" s="786"/>
      <c r="B428" s="216"/>
      <c r="C428" s="789"/>
      <c r="D428" s="792"/>
      <c r="E428" s="389"/>
      <c r="F428" s="390"/>
      <c r="G428" s="400"/>
      <c r="H428" s="392">
        <f t="shared" si="214"/>
        <v>0</v>
      </c>
      <c r="I428" s="393">
        <f>база!$J$6</f>
        <v>243.04319999999998</v>
      </c>
      <c r="J428" s="390">
        <v>1.5</v>
      </c>
      <c r="K428" s="434">
        <f>SUMIFS(Таблица14[часы],Таблица14[коэф],"1,5",Таблица14[р/р],"5/8",Таблица14[Ф. И. О.],B429)</f>
        <v>0</v>
      </c>
      <c r="L428" s="434">
        <f t="shared" si="215"/>
        <v>0</v>
      </c>
      <c r="M428" s="434"/>
      <c r="N428" s="434"/>
      <c r="O428" s="434"/>
      <c r="P428" s="406"/>
      <c r="Q428" s="389">
        <f>база!$L$5</f>
        <v>231.45480000000001</v>
      </c>
      <c r="R428" s="390">
        <v>1.2</v>
      </c>
      <c r="S428" s="400">
        <f>SUMIFS(Таблица14[часы],Таблица14[коэф],"1,2",Таблица14[р/р],"4/16",Таблица14[Ф. И. О.],B429)</f>
        <v>0</v>
      </c>
      <c r="T428" s="392">
        <f t="shared" si="216"/>
        <v>0</v>
      </c>
      <c r="U428" s="410">
        <f>база!$M$5</f>
        <v>247.41720000000001</v>
      </c>
      <c r="V428" s="390">
        <v>1.2</v>
      </c>
      <c r="W428" s="412">
        <f>SUMIFS(Таблица14[часы],Таблица14[коэф],"1,2",Таблица14[р/р],"4/24",Таблица14[Ф. И. О.],B429)</f>
        <v>0</v>
      </c>
      <c r="X428" s="545">
        <f t="shared" si="217"/>
        <v>0</v>
      </c>
      <c r="Y428" s="795"/>
      <c r="Z428" s="797"/>
      <c r="AA428" s="786"/>
      <c r="AC428" s="754" t="str">
        <f>IF(SUMIFS(Таблица14[Столбец2],Таблица14[Ф. И. О.],B429)-Z424=0,"",SUMIFS(Таблица14[Столбец2],Таблица14[Ф. И. О.],B429)-Z424)</f>
        <v/>
      </c>
    </row>
    <row r="429" spans="1:29">
      <c r="A429" s="786"/>
      <c r="B429" s="216" t="str">
        <f>база!B40</f>
        <v>Кочеткова Мария Андреевна</v>
      </c>
      <c r="C429" s="789"/>
      <c r="D429" s="792"/>
      <c r="E429" s="389"/>
      <c r="F429" s="390"/>
      <c r="G429" s="400"/>
      <c r="H429" s="392">
        <f t="shared" si="214"/>
        <v>0</v>
      </c>
      <c r="I429" s="393"/>
      <c r="J429" s="390"/>
      <c r="K429" s="434"/>
      <c r="L429" s="434">
        <f t="shared" si="215"/>
        <v>0</v>
      </c>
      <c r="M429" s="434"/>
      <c r="N429" s="434"/>
      <c r="O429" s="434"/>
      <c r="P429" s="406"/>
      <c r="Q429" s="389">
        <f>база!$L$6</f>
        <v>261.04640000000001</v>
      </c>
      <c r="R429" s="390">
        <v>1.2</v>
      </c>
      <c r="S429" s="400">
        <f>SUMIFS(Таблица14[часы],Таблица14[коэф],"1,2",Таблица14[р/р],"5/16",Таблица14[Ф. И. О.],B429)</f>
        <v>0</v>
      </c>
      <c r="T429" s="392">
        <f t="shared" si="216"/>
        <v>0</v>
      </c>
      <c r="U429" s="410">
        <f>база!$M$6</f>
        <v>279.0496</v>
      </c>
      <c r="V429" s="390">
        <v>1.2</v>
      </c>
      <c r="W429" s="412">
        <f>SUMIFS(Таблица14[часы],Таблица14[коэф],"1,2",Таблица14[р/р],"5/24",Таблица14[Ф. И. О.],B429)</f>
        <v>0</v>
      </c>
      <c r="X429" s="545">
        <f t="shared" si="217"/>
        <v>0</v>
      </c>
      <c r="Y429" s="795"/>
      <c r="Z429" s="797"/>
      <c r="AA429" s="786"/>
      <c r="AC429" s="754" t="str">
        <f>IF(SUMIFS(Таблица14[часы],Таблица14[Ф. И. О.],B429)-Y424=0,"",SUMIFS(Таблица14[часы],Таблица14[Ф. И. О.],B429)-Y424)</f>
        <v/>
      </c>
    </row>
    <row r="430" spans="1:29">
      <c r="A430" s="786"/>
      <c r="B430" s="216"/>
      <c r="C430" s="789"/>
      <c r="D430" s="792"/>
      <c r="E430" s="389"/>
      <c r="F430" s="390"/>
      <c r="G430" s="400"/>
      <c r="H430" s="392">
        <f t="shared" si="214"/>
        <v>0</v>
      </c>
      <c r="I430" s="393"/>
      <c r="J430" s="390"/>
      <c r="K430" s="434"/>
      <c r="L430" s="434">
        <f t="shared" si="215"/>
        <v>0</v>
      </c>
      <c r="M430" s="434"/>
      <c r="N430" s="434"/>
      <c r="O430" s="434"/>
      <c r="P430" s="406"/>
      <c r="Q430" s="389">
        <f>IF(D424&lt;=3,база!$L$4,
IF(D424=4,база!$L$5,
IF(D424=5,база!$L$6)))</f>
        <v>210.57480000000001</v>
      </c>
      <c r="R430" s="390">
        <v>1.3</v>
      </c>
      <c r="S430" s="400">
        <f>SUMIFS(Таблица14[часы],Таблица14[коэф],"1,3",Таблица14[р/р],"3/16",Таблица14[Ф. И. О.],B429)</f>
        <v>0</v>
      </c>
      <c r="T430" s="392">
        <f t="shared" si="216"/>
        <v>0</v>
      </c>
      <c r="U430" s="410">
        <f>IF(D424&lt;=3,база!$M$4,
IF(D424=4,база!$M$5,
IF(D424=5,база!$M$6)))</f>
        <v>225.09719999999999</v>
      </c>
      <c r="V430" s="390">
        <v>1.3</v>
      </c>
      <c r="W430" s="412">
        <f>SUMIFS(Таблица14[часы],Таблица14[коэф],"1,3",Таблица14[р/р],"3/24",Таблица14[Ф. И. О.],B429)</f>
        <v>0</v>
      </c>
      <c r="X430" s="545">
        <f t="shared" si="217"/>
        <v>0</v>
      </c>
      <c r="Y430" s="795"/>
      <c r="Z430" s="797"/>
      <c r="AA430" s="786"/>
    </row>
    <row r="431" spans="1:29">
      <c r="A431" s="786"/>
      <c r="B431" s="216"/>
      <c r="C431" s="789"/>
      <c r="D431" s="792"/>
      <c r="E431" s="389"/>
      <c r="F431" s="390"/>
      <c r="G431" s="400"/>
      <c r="H431" s="392">
        <f t="shared" si="214"/>
        <v>0</v>
      </c>
      <c r="I431" s="393"/>
      <c r="J431" s="390"/>
      <c r="K431" s="434"/>
      <c r="L431" s="434">
        <f t="shared" si="215"/>
        <v>0</v>
      </c>
      <c r="M431" s="434"/>
      <c r="N431" s="434"/>
      <c r="O431" s="434"/>
      <c r="P431" s="406"/>
      <c r="Q431" s="389">
        <f>база!$L$5</f>
        <v>231.45480000000001</v>
      </c>
      <c r="R431" s="390">
        <v>1.3</v>
      </c>
      <c r="S431" s="400">
        <f>SUMIFS(Таблица14[часы],Таблица14[коэф],"1,3",Таблица14[р/р],"4/16",Таблица14[Ф. И. О.],B429)</f>
        <v>0</v>
      </c>
      <c r="T431" s="392">
        <f t="shared" si="216"/>
        <v>0</v>
      </c>
      <c r="U431" s="410">
        <f>база!$M$5</f>
        <v>247.41720000000001</v>
      </c>
      <c r="V431" s="390">
        <v>1.3</v>
      </c>
      <c r="W431" s="412">
        <f>SUMIFS(Таблица14[часы],Таблица14[коэф],"1,3",Таблица14[р/р],"4/24",Таблица14[Ф. И. О.],B429)</f>
        <v>0</v>
      </c>
      <c r="X431" s="545">
        <f t="shared" si="217"/>
        <v>0</v>
      </c>
      <c r="Y431" s="795"/>
      <c r="Z431" s="797"/>
      <c r="AA431" s="786"/>
    </row>
    <row r="432" spans="1:29">
      <c r="A432" s="786"/>
      <c r="B432" s="216"/>
      <c r="C432" s="789"/>
      <c r="D432" s="792"/>
      <c r="E432" s="389"/>
      <c r="F432" s="390"/>
      <c r="G432" s="400"/>
      <c r="H432" s="392">
        <f t="shared" si="214"/>
        <v>0</v>
      </c>
      <c r="I432" s="393"/>
      <c r="J432" s="390"/>
      <c r="K432" s="434"/>
      <c r="L432" s="434">
        <f t="shared" si="215"/>
        <v>0</v>
      </c>
      <c r="M432" s="434"/>
      <c r="N432" s="434"/>
      <c r="O432" s="434"/>
      <c r="P432" s="406"/>
      <c r="Q432" s="389">
        <f>IF(D424&lt;=3,база!$L$4,
IF(D424=4,база!$L$5,
IF(D424=5,база!$L$6)))</f>
        <v>210.57480000000001</v>
      </c>
      <c r="R432" s="390">
        <v>1.4</v>
      </c>
      <c r="S432" s="400">
        <f>SUMIFS(Таблица14[часы],Таблица14[коэф],"1,4",Таблица14[р/р],"3/16",Таблица14[Ф. И. О.],B429)</f>
        <v>0</v>
      </c>
      <c r="T432" s="392">
        <f t="shared" si="216"/>
        <v>0</v>
      </c>
      <c r="U432" s="410">
        <f>IF(D424&lt;=3,база!$M$4,
IF(D424=4,база!$M$5,
IF(D424=5,база!$M$6)))</f>
        <v>225.09719999999999</v>
      </c>
      <c r="V432" s="390">
        <v>1.4</v>
      </c>
      <c r="W432" s="412">
        <f>SUMIFS(Таблица14[часы],Таблица14[коэф],"1,4",Таблица14[р/р],"3/24",Таблица14[Ф. И. О.],B429)</f>
        <v>0</v>
      </c>
      <c r="X432" s="545">
        <f t="shared" si="217"/>
        <v>0</v>
      </c>
      <c r="Y432" s="795"/>
      <c r="Z432" s="797"/>
      <c r="AA432" s="786"/>
    </row>
    <row r="433" spans="1:29">
      <c r="A433" s="786"/>
      <c r="B433" s="216"/>
      <c r="C433" s="789"/>
      <c r="D433" s="792"/>
      <c r="E433" s="389"/>
      <c r="F433" s="390"/>
      <c r="G433" s="400"/>
      <c r="H433" s="392">
        <f t="shared" si="214"/>
        <v>0</v>
      </c>
      <c r="I433" s="393"/>
      <c r="J433" s="390"/>
      <c r="K433" s="434"/>
      <c r="L433" s="434">
        <f t="shared" si="215"/>
        <v>0</v>
      </c>
      <c r="M433" s="434"/>
      <c r="N433" s="434"/>
      <c r="O433" s="434"/>
      <c r="P433" s="406"/>
      <c r="Q433" s="389">
        <f>база!$L$5</f>
        <v>231.45480000000001</v>
      </c>
      <c r="R433" s="390">
        <v>1.4</v>
      </c>
      <c r="S433" s="400">
        <f>SUMIFS(Таблица14[часы],Таблица14[коэф],"1,4",Таблица14[р/р],"4/16",Таблица14[Ф. И. О.],B429)</f>
        <v>0</v>
      </c>
      <c r="T433" s="392">
        <f t="shared" si="216"/>
        <v>0</v>
      </c>
      <c r="U433" s="410">
        <f>база!$M$5</f>
        <v>247.41720000000001</v>
      </c>
      <c r="V433" s="390">
        <v>1.4</v>
      </c>
      <c r="W433" s="412">
        <f>SUMIFS(Таблица14[часы],Таблица14[коэф],"1,4",Таблица14[р/р],"4/24",Таблица14[Ф. И. О.],B429)</f>
        <v>0</v>
      </c>
      <c r="X433" s="545">
        <f t="shared" si="217"/>
        <v>0</v>
      </c>
      <c r="Y433" s="795"/>
      <c r="Z433" s="797"/>
      <c r="AA433" s="786"/>
    </row>
    <row r="434" spans="1:29" ht="21" thickBot="1">
      <c r="A434" s="787"/>
      <c r="B434" s="216"/>
      <c r="C434" s="790"/>
      <c r="D434" s="793"/>
      <c r="E434" s="420"/>
      <c r="F434" s="403"/>
      <c r="G434" s="408"/>
      <c r="H434" s="409">
        <f t="shared" si="214"/>
        <v>0</v>
      </c>
      <c r="I434" s="422"/>
      <c r="J434" s="403"/>
      <c r="K434" s="460"/>
      <c r="L434" s="460">
        <f t="shared" si="215"/>
        <v>0</v>
      </c>
      <c r="M434" s="460"/>
      <c r="N434" s="460"/>
      <c r="O434" s="460"/>
      <c r="P434" s="479"/>
      <c r="Q434" s="420">
        <f>база!$L$6</f>
        <v>261.04640000000001</v>
      </c>
      <c r="R434" s="403">
        <v>1.4</v>
      </c>
      <c r="S434" s="408">
        <f>SUMIFS(Таблица14[часы],Таблица14[коэф],"1,4",Таблица14[р/р],"5/16",Таблица14[Ф. И. О.],B429)</f>
        <v>0</v>
      </c>
      <c r="T434" s="409">
        <f t="shared" si="216"/>
        <v>0</v>
      </c>
      <c r="U434" s="461">
        <f>база!$M$6</f>
        <v>279.0496</v>
      </c>
      <c r="V434" s="403">
        <v>1.4</v>
      </c>
      <c r="W434" s="527">
        <f>SUMIFS(Таблица14[часы],Таблица14[коэф],"1,4",Таблица14[р/р],"5/24",Таблица14[Ф. И. О.],B429)</f>
        <v>0</v>
      </c>
      <c r="X434" s="550">
        <f t="shared" si="217"/>
        <v>0</v>
      </c>
      <c r="Y434" s="796"/>
      <c r="Z434" s="798"/>
      <c r="AA434" s="787"/>
    </row>
    <row r="435" spans="1:29">
      <c r="A435" s="785">
        <v>40</v>
      </c>
      <c r="B435" s="236"/>
      <c r="C435" s="788">
        <f>INDEX(база!$E$2:$E$81, MATCH(B440,база!$B$2:$B$50,0))</f>
        <v>16944</v>
      </c>
      <c r="D435" s="791">
        <f>INDEX(база!$D$2:$D$89, MATCH(B440,база!$B$2:$B$50,0))</f>
        <v>3</v>
      </c>
      <c r="E435" s="377">
        <f>IF(D435&lt;=3,база!$I$4,
IF(D435=4,база!$I$5,
IF(D435=5,база!$I$6)))</f>
        <v>188.7912</v>
      </c>
      <c r="F435" s="378">
        <v>1</v>
      </c>
      <c r="G435" s="387">
        <f>SUMIFS(Таблица14[часы],Таблица14[коэф],"1",Таблица14[р/р],"2/4",Таблица14[Ф. И. О.],B440)</f>
        <v>0</v>
      </c>
      <c r="H435" s="380">
        <f>SUMIFS(Таблица14[Столбец2],Таблица14[коэф],"1",Таблица14[р/р],"2/4",Таблица14[Ф. И. О.],B440)</f>
        <v>0</v>
      </c>
      <c r="I435" s="426">
        <f>IF(D435&lt;=3,база!$J$4,
IF(D435=4,база!$J$5,
IF(D435=5,база!$J$6)))</f>
        <v>196.05240000000001</v>
      </c>
      <c r="J435" s="427">
        <v>1</v>
      </c>
      <c r="K435" s="428">
        <f>SUMIFS(Таблица14[часы],Таблица14[коэф],"1",Таблица14[р/р],"2/8",Таблица14[Ф. И. О.],B440)</f>
        <v>0</v>
      </c>
      <c r="L435" s="428">
        <f>SUMIFS(Таблица14[Столбец2],Таблица14[коэф],"1",Таблица14[р/р],"2/8",Таблица14[Ф. И. О.],B440)</f>
        <v>0</v>
      </c>
      <c r="M435" s="428"/>
      <c r="N435" s="428">
        <v>1</v>
      </c>
      <c r="O435" s="428">
        <f>SUMIFS(Data_Tech!$AM$3:$AM$67,Data_Tech!$E$3:$E$67,"1",Data_Tech!$G$3:$G$67,"3/12",Data_Tech!$F$3:$F$67,B440)</f>
        <v>0</v>
      </c>
      <c r="P435" s="385">
        <f>ROUND(M435*N435*O435,2)</f>
        <v>0</v>
      </c>
      <c r="Q435" s="377">
        <f>IF(D435&lt;=3,база!$L$4,
IF(D435=4,база!$L$5,
IF(D435=5,база!$L$6)))</f>
        <v>210.57480000000001</v>
      </c>
      <c r="R435" s="378">
        <v>1</v>
      </c>
      <c r="S435" s="387">
        <f>SUMIFS(Таблица14[часы],Таблица14[коэф],"1",Таблица14[р/р],"3/16",Таблица14[Ф. И. О.],B440)</f>
        <v>0</v>
      </c>
      <c r="T435" s="380">
        <f>SUMIFS(Таблица14[Столбец2],Таблица14[коэф],"1",Таблица14[р/р],"3/16",Таблица14[Ф. И. О.],B440)</f>
        <v>0</v>
      </c>
      <c r="U435" s="477">
        <f>IF(D435&lt;=3,база!$M$4,
IF(D435=4,база!$M$5,
IF(D435=5,база!$M$6)))</f>
        <v>225.09719999999999</v>
      </c>
      <c r="V435" s="378">
        <v>1</v>
      </c>
      <c r="W435" s="430">
        <f>SUMIFS(Таблица14[часы],Таблица14[коэф],"1",Таблица14[р/р],"3/24",Таблица14[Ф. И. О.],B440)</f>
        <v>0</v>
      </c>
      <c r="X435" s="543">
        <f>SUMIFS(Таблица14[Столбец2],Таблица14[коэф],"1",Таблица14[р/р],"3/24",Таблица14[Ф. И. О.],B440)</f>
        <v>0</v>
      </c>
      <c r="Y435" s="795">
        <f t="shared" ref="Y435" si="218">SUM(G435:G445,K435:K445,O435:O445,S435:S445,W435:W445)</f>
        <v>0</v>
      </c>
      <c r="Z435" s="797">
        <f t="shared" ref="Z435" si="219">IFERROR(SUM(H435:H445,L435:L445,T435:T445,X435:X445),"")</f>
        <v>0</v>
      </c>
      <c r="AA435" s="786"/>
    </row>
    <row r="436" spans="1:29">
      <c r="A436" s="786"/>
      <c r="B436" s="216"/>
      <c r="C436" s="789"/>
      <c r="D436" s="792"/>
      <c r="E436" s="389">
        <f>IF(D435&lt;=3,база!$I$4,
IF(D435=4,база!$I$5,
IF(D435=5,база!$I$6)))</f>
        <v>188.7912</v>
      </c>
      <c r="F436" s="390">
        <v>1</v>
      </c>
      <c r="G436" s="400">
        <f>SUMIFS(Таблица14[часы],Таблица14[коэф],"1",Таблица14[р/р],"3/4",Таблица14[Ф. И. О.],B440)</f>
        <v>0</v>
      </c>
      <c r="H436" s="392">
        <f>SUMIFS(Таблица14[Столбец2],Таблица14[коэф],"1",Таблица14[р/р],"3/4",Таблица14[Ф. И. О.],B440)</f>
        <v>0</v>
      </c>
      <c r="I436" s="432">
        <f>IF(D435&lt;=3,база!$J$4,
IF(D435=4,база!$J$5,
IF(D435=5,база!$J$6)))</f>
        <v>196.05240000000001</v>
      </c>
      <c r="J436" s="433">
        <v>1</v>
      </c>
      <c r="K436" s="434">
        <f>SUMIFS(Таблица14[часы],Таблица14[коэф],"1",Таблица14[р/р],"3/8",Таблица14[Ф. И. О.],B440)</f>
        <v>0</v>
      </c>
      <c r="L436" s="434">
        <f>SUMIFS(Таблица14[Столбец2],Таблица14[коэф],"1",Таблица14[р/р],"3/8",Таблица14[Ф. И. О.],B440)</f>
        <v>0</v>
      </c>
      <c r="M436" s="434"/>
      <c r="N436" s="434">
        <v>1</v>
      </c>
      <c r="O436" s="434">
        <f>SUMIFS(Data_Tech!$AM$3:$AM$67,Data_Tech!$E$3:$E$67,"1",Data_Tech!$G$3:$G$67,"4/12",Data_Tech!$F$3:$F$67,B440)</f>
        <v>0</v>
      </c>
      <c r="P436" s="406">
        <f>ROUND(M436*O436,2)</f>
        <v>0</v>
      </c>
      <c r="Q436" s="389">
        <f>база!$L$5</f>
        <v>231.45480000000001</v>
      </c>
      <c r="R436" s="390">
        <v>1</v>
      </c>
      <c r="S436" s="400">
        <f>SUMIFS(Таблица14[часы],Таблица14[коэф],"1",Таблица14[р/р],"4/16",Таблица14[Ф. И. О.],B440)</f>
        <v>0</v>
      </c>
      <c r="T436" s="392">
        <f>SUMIFS(Таблица14[Столбец2],Таблица14[коэф],"1",Таблица14[р/р],"4/16",Таблица14[Ф. И. О.],B440)</f>
        <v>0</v>
      </c>
      <c r="U436" s="478">
        <f>база!$M$5</f>
        <v>247.41720000000001</v>
      </c>
      <c r="V436" s="390">
        <v>1</v>
      </c>
      <c r="W436" s="412">
        <f>SUMIFS(Таблица14[часы],Таблица14[коэф],"1",Таблица14[р/р],"4/24",Таблица14[Ф. И. О.],B440)</f>
        <v>0</v>
      </c>
      <c r="X436" s="545">
        <f>SUMIFS(Таблица14[Столбец2],Таблица14[коэф],"1",Таблица14[р/р],"4/24",Таблица14[Ф. И. О.],B440)</f>
        <v>0</v>
      </c>
      <c r="Y436" s="795"/>
      <c r="Z436" s="797"/>
      <c r="AA436" s="786"/>
    </row>
    <row r="437" spans="1:29">
      <c r="A437" s="786"/>
      <c r="B437" s="216"/>
      <c r="C437" s="789"/>
      <c r="D437" s="792"/>
      <c r="E437" s="389"/>
      <c r="F437" s="390"/>
      <c r="G437" s="400"/>
      <c r="H437" s="392"/>
      <c r="I437" s="432"/>
      <c r="J437" s="433"/>
      <c r="K437" s="434"/>
      <c r="L437" s="434"/>
      <c r="M437" s="434"/>
      <c r="N437" s="434"/>
      <c r="O437" s="434"/>
      <c r="P437" s="406"/>
      <c r="Q437" s="389">
        <f>база!$L$6</f>
        <v>261.04640000000001</v>
      </c>
      <c r="R437" s="390">
        <v>1</v>
      </c>
      <c r="S437" s="400">
        <f>SUMIFS(Таблица14[часы],Таблица14[коэф],"1",Таблица14[р/р],"5/16",Таблица14[Ф. И. О.],B440)</f>
        <v>0</v>
      </c>
      <c r="T437" s="392">
        <f>SUMIFS(Таблица14[Столбец2],Таблица14[коэф],"1",Таблица14[р/р],"5/16",Таблица14[Ф. И. О.],B440)</f>
        <v>0</v>
      </c>
      <c r="U437" s="478">
        <f>база!$M$6</f>
        <v>279.0496</v>
      </c>
      <c r="V437" s="390">
        <v>1</v>
      </c>
      <c r="W437" s="412">
        <f>SUMIFS(Таблица14[часы],Таблица14[коэф],"1",Таблица14[р/р],"5/24",Таблица14[Ф. И. О.],B440)</f>
        <v>0</v>
      </c>
      <c r="X437" s="545">
        <f>SUMIFS(Таблица14[Столбец2],Таблица14[коэф],"1",Таблица14[р/р],"5/24",Таблица14[Ф. И. О.],B440)</f>
        <v>0</v>
      </c>
      <c r="Y437" s="795"/>
      <c r="Z437" s="797"/>
      <c r="AA437" s="786"/>
    </row>
    <row r="438" spans="1:29">
      <c r="A438" s="786"/>
      <c r="B438" s="216"/>
      <c r="C438" s="789"/>
      <c r="D438" s="792"/>
      <c r="E438" s="389"/>
      <c r="F438" s="390"/>
      <c r="G438" s="400"/>
      <c r="H438" s="392"/>
      <c r="I438" s="432">
        <f>база!$J$5</f>
        <v>215.4924</v>
      </c>
      <c r="J438" s="433">
        <v>1.5</v>
      </c>
      <c r="K438" s="434">
        <f>SUMIFS(Таблица14[часы],Таблица14[коэф],"1,5",Таблица14[р/р],"4/8",Таблица14[Ф. И. О.],B440)</f>
        <v>0</v>
      </c>
      <c r="L438" s="434">
        <f>SUMIFS(Таблица14[Столбец2],Таблица14[коэф],"1,5",Таблица14[р/р],"4/8",Таблица14[Ф. И. О.],B440)</f>
        <v>0</v>
      </c>
      <c r="M438" s="434"/>
      <c r="N438" s="434"/>
      <c r="O438" s="434"/>
      <c r="P438" s="406"/>
      <c r="Q438" s="389">
        <f>IF(D435&lt;=3,база!$L$4,
IF(D435=4,база!$L$5,
IF(D435=5,база!$L$6)))</f>
        <v>210.57480000000001</v>
      </c>
      <c r="R438" s="390">
        <v>1.2</v>
      </c>
      <c r="S438" s="400">
        <f>SUMIFS(Таблица14[часы],Таблица14[коэф],"1,2",Таблица14[р/р],"3/16",Таблица14[Ф. И. О.],B440)</f>
        <v>0</v>
      </c>
      <c r="T438" s="392">
        <f>SUMIFS(Таблица14[Столбец2],Таблица14[коэф],"1,2",Таблица14[р/р],"3/16",Таблица14[Ф. И. О.],B440)</f>
        <v>0</v>
      </c>
      <c r="U438" s="478">
        <f>IF(D435&lt;=3,база!$M$4,
IF(D435=4,база!$M$5,
IF(D435=5,база!$M$6)))</f>
        <v>225.09719999999999</v>
      </c>
      <c r="V438" s="390">
        <v>1.2</v>
      </c>
      <c r="W438" s="412">
        <f>SUMIFS(Таблица14[часы],Таблица14[коэф],"1,2",Таблица14[р/р],"3/24",Таблица14[Ф. И. О.],B440)</f>
        <v>0</v>
      </c>
      <c r="X438" s="545">
        <f>SUMIFS(Таблица14[Столбец2],Таблица14[коэф],"1,2",Таблица14[р/р],"3/24",Таблица14[Ф. И. О.],B440)</f>
        <v>0</v>
      </c>
      <c r="Y438" s="795"/>
      <c r="Z438" s="797"/>
      <c r="AA438" s="786"/>
    </row>
    <row r="439" spans="1:29">
      <c r="A439" s="786"/>
      <c r="B439" s="216"/>
      <c r="C439" s="789"/>
      <c r="D439" s="792"/>
      <c r="E439" s="389"/>
      <c r="F439" s="390"/>
      <c r="G439" s="400"/>
      <c r="H439" s="392"/>
      <c r="I439" s="432">
        <f>база!$J$6</f>
        <v>243.04319999999998</v>
      </c>
      <c r="J439" s="433">
        <v>1.5</v>
      </c>
      <c r="K439" s="434">
        <f>SUMIFS(Таблица14[часы],Таблица14[коэф],"1,5",Таблица14[р/р],"5/8",Таблица14[Ф. И. О.],B440)</f>
        <v>0</v>
      </c>
      <c r="L439" s="434">
        <f>SUMIFS(Таблица14[Столбец2],Таблица14[коэф],"1,5",Таблица14[р/р],"5/8",Таблица14[Ф. И. О.],B440)</f>
        <v>0</v>
      </c>
      <c r="M439" s="434"/>
      <c r="N439" s="434"/>
      <c r="O439" s="434"/>
      <c r="P439" s="406"/>
      <c r="Q439" s="389">
        <f>база!$L$5</f>
        <v>231.45480000000001</v>
      </c>
      <c r="R439" s="390">
        <v>1.2</v>
      </c>
      <c r="S439" s="400">
        <f>SUMIFS(Таблица14[часы],Таблица14[коэф],"1,2",Таблица14[р/р],"4/16",Таблица14[Ф. И. О.],B440)</f>
        <v>0</v>
      </c>
      <c r="T439" s="392">
        <f>SUMIFS(Таблица14[Столбец2],Таблица14[коэф],"1,2",Таблица14[р/р],"4/16",Таблица14[Ф. И. О.],B440)</f>
        <v>0</v>
      </c>
      <c r="U439" s="478">
        <f>база!$M$5</f>
        <v>247.41720000000001</v>
      </c>
      <c r="V439" s="390">
        <v>1.2</v>
      </c>
      <c r="W439" s="412">
        <f>SUMIFS(Таблица14[часы],Таблица14[коэф],"1,2",Таблица14[р/р],"4/24",Таблица14[Ф. И. О.],B440)</f>
        <v>0</v>
      </c>
      <c r="X439" s="545">
        <f>SUMIFS(Таблица14[Столбец2],Таблица14[коэф],"1,2",Таблица14[р/р],"4/24",Таблица14[Ф. И. О.],B440)</f>
        <v>0</v>
      </c>
      <c r="Y439" s="795"/>
      <c r="Z439" s="797"/>
      <c r="AA439" s="786"/>
    </row>
    <row r="440" spans="1:29">
      <c r="A440" s="786"/>
      <c r="B440" s="216" t="str">
        <f>база!B41</f>
        <v>Кравченко Светлана Александровна</v>
      </c>
      <c r="C440" s="789"/>
      <c r="D440" s="792"/>
      <c r="E440" s="389"/>
      <c r="F440" s="390"/>
      <c r="G440" s="400"/>
      <c r="H440" s="392"/>
      <c r="I440" s="432"/>
      <c r="J440" s="433"/>
      <c r="K440" s="434"/>
      <c r="L440" s="434"/>
      <c r="M440" s="434"/>
      <c r="N440" s="434"/>
      <c r="O440" s="434"/>
      <c r="P440" s="406"/>
      <c r="Q440" s="389">
        <f>база!$L$6</f>
        <v>261.04640000000001</v>
      </c>
      <c r="R440" s="390">
        <v>1.2</v>
      </c>
      <c r="S440" s="400">
        <f>SUMIFS(Таблица14[часы],Таблица14[коэф],"1,2",Таблица14[р/р],"5/16",Таблица14[Ф. И. О.],B440)</f>
        <v>0</v>
      </c>
      <c r="T440" s="392">
        <f>SUMIFS(Таблица14[Столбец2],Таблица14[коэф],"1,2",Таблица14[р/р],"5/16",Таблица14[Ф. И. О.],B440)</f>
        <v>0</v>
      </c>
      <c r="U440" s="478">
        <f>база!$M$6</f>
        <v>279.0496</v>
      </c>
      <c r="V440" s="390">
        <v>1.2</v>
      </c>
      <c r="W440" s="412">
        <f>SUMIFS(Таблица14[часы],Таблица14[коэф],"1,2",Таблица14[р/р],"5/24",Таблица14[Ф. И. О.],B440)</f>
        <v>0</v>
      </c>
      <c r="X440" s="545">
        <f>SUMIFS(Таблица14[Столбец2],Таблица14[коэф],"1,2",Таблица14[р/р],"5/24",Таблица14[Ф. И. О.],B440)</f>
        <v>0</v>
      </c>
      <c r="Y440" s="795"/>
      <c r="Z440" s="797"/>
      <c r="AA440" s="786"/>
      <c r="AC440" s="754" t="str">
        <f>IF(SUMIFS(Таблица14[Столбец2],Таблица14[Ф. И. О.],B440)-Z435=0,"",SUMIFS(Таблица14[Столбец2],Таблица14[Ф. И. О.],B440)-Z435)</f>
        <v/>
      </c>
    </row>
    <row r="441" spans="1:29">
      <c r="A441" s="786"/>
      <c r="B441" s="216"/>
      <c r="C441" s="789"/>
      <c r="D441" s="792"/>
      <c r="E441" s="389"/>
      <c r="F441" s="390"/>
      <c r="G441" s="400"/>
      <c r="H441" s="392"/>
      <c r="I441" s="432"/>
      <c r="J441" s="433"/>
      <c r="K441" s="434"/>
      <c r="L441" s="434"/>
      <c r="M441" s="434"/>
      <c r="N441" s="434"/>
      <c r="O441" s="434"/>
      <c r="P441" s="406"/>
      <c r="Q441" s="389">
        <f>IF($D$6&lt;=3,база!$L$4,
IF($D$6=4,база!$L$5,
IF($D$6=5,база!$L$6)))</f>
        <v>231.45480000000001</v>
      </c>
      <c r="R441" s="390">
        <v>1.3</v>
      </c>
      <c r="S441" s="400">
        <f>SUMIFS(Таблица14[часы],Таблица14[коэф],"1,3",Таблица14[р/р],"3/16",Таблица14[Ф. И. О.],B440)</f>
        <v>0</v>
      </c>
      <c r="T441" s="392">
        <f>SUMIFS(Таблица14[Столбец2],Таблица14[коэф],"1,3",Таблица14[р/р],"3/16",Таблица14[Ф. И. О.],B440)</f>
        <v>0</v>
      </c>
      <c r="U441" s="478">
        <f>IF(D435&lt;=3,база!$M$4,
IF(D435=4,база!$M$5,
IF(D435=5,база!$M$6)))</f>
        <v>225.09719999999999</v>
      </c>
      <c r="V441" s="390">
        <v>1.3</v>
      </c>
      <c r="W441" s="412">
        <f>SUMIFS(Таблица14[часы],Таблица14[коэф],"1,3",Таблица14[р/р],"3/24",Таблица14[Ф. И. О.],B440)</f>
        <v>0</v>
      </c>
      <c r="X441" s="545">
        <f>SUMIFS(Таблица14[Столбец2],Таблица14[коэф],"1,3",Таблица14[р/р],"3/24",Таблица14[Ф. И. О.],B440)</f>
        <v>0</v>
      </c>
      <c r="Y441" s="795"/>
      <c r="Z441" s="797"/>
      <c r="AA441" s="786"/>
      <c r="AC441" s="754" t="str">
        <f>IF(SUMIFS(Таблица14[часы],Таблица14[Ф. И. О.],B440)-Y435=0,"",SUMIFS(Таблица14[часы],Таблица14[Ф. И. О.],B440)-Y435)</f>
        <v/>
      </c>
    </row>
    <row r="442" spans="1:29">
      <c r="A442" s="786"/>
      <c r="B442" s="216"/>
      <c r="C442" s="789"/>
      <c r="D442" s="792"/>
      <c r="E442" s="389"/>
      <c r="F442" s="390"/>
      <c r="G442" s="400"/>
      <c r="H442" s="392"/>
      <c r="I442" s="432"/>
      <c r="J442" s="433"/>
      <c r="K442" s="434"/>
      <c r="L442" s="434"/>
      <c r="M442" s="434"/>
      <c r="N442" s="434"/>
      <c r="O442" s="434"/>
      <c r="P442" s="406"/>
      <c r="Q442" s="389">
        <f>база!$L$5</f>
        <v>231.45480000000001</v>
      </c>
      <c r="R442" s="390">
        <v>1.3</v>
      </c>
      <c r="S442" s="400">
        <f>SUMIFS(Таблица14[часы],Таблица14[коэф],"1,3",Таблица14[р/р],"4/16",Таблица14[Ф. И. О.],B440)</f>
        <v>0</v>
      </c>
      <c r="T442" s="392">
        <f>SUMIFS(Таблица14[Столбец2],Таблица14[коэф],"1,3",Таблица14[р/р],"4/16",Таблица14[Ф. И. О.],B440)</f>
        <v>0</v>
      </c>
      <c r="U442" s="478">
        <f>база!$M$5</f>
        <v>247.41720000000001</v>
      </c>
      <c r="V442" s="390">
        <v>1.3</v>
      </c>
      <c r="W442" s="412">
        <f>SUMIFS(Таблица14[часы],Таблица14[коэф],"1,3",Таблица14[р/р],"4/24",Таблица14[Ф. И. О.],B440)</f>
        <v>0</v>
      </c>
      <c r="X442" s="545">
        <f>SUMIFS(Таблица14[Столбец2],Таблица14[коэф],"1,3",Таблица14[р/р],"4/24",Таблица14[Ф. И. О.],B440)</f>
        <v>0</v>
      </c>
      <c r="Y442" s="795"/>
      <c r="Z442" s="797"/>
      <c r="AA442" s="786"/>
    </row>
    <row r="443" spans="1:29">
      <c r="A443" s="786"/>
      <c r="B443" s="216"/>
      <c r="C443" s="789"/>
      <c r="D443" s="792"/>
      <c r="E443" s="389"/>
      <c r="F443" s="390"/>
      <c r="G443" s="400"/>
      <c r="H443" s="392"/>
      <c r="I443" s="432"/>
      <c r="J443" s="433"/>
      <c r="K443" s="434"/>
      <c r="L443" s="434"/>
      <c r="M443" s="434"/>
      <c r="N443" s="434"/>
      <c r="O443" s="434"/>
      <c r="P443" s="406"/>
      <c r="Q443" s="389">
        <f>IF(D435&lt;=3,база!$L$4,
IF(D435=4,база!$L$5,
IF(D435=5,база!$L$6)))</f>
        <v>210.57480000000001</v>
      </c>
      <c r="R443" s="390">
        <v>1.4</v>
      </c>
      <c r="S443" s="400">
        <f>SUMIFS(Таблица14[часы],Таблица14[коэф],"1,4",Таблица14[р/р],"3/16",Таблица14[Ф. И. О.],B440)</f>
        <v>0</v>
      </c>
      <c r="T443" s="392">
        <f>SUMIFS(Таблица14[Столбец2],Таблица14[коэф],"1,4",Таблица14[р/р],"3/16",Таблица14[Ф. И. О.],B440)</f>
        <v>0</v>
      </c>
      <c r="U443" s="478">
        <f>IF(D435&lt;=3,база!$M$4,
IF(D435=4,база!$M$5,
IF(D435=5,база!$M$6)))</f>
        <v>225.09719999999999</v>
      </c>
      <c r="V443" s="390">
        <v>1.4</v>
      </c>
      <c r="W443" s="412">
        <f>SUMIFS(Таблица14[часы],Таблица14[коэф],"1,4",Таблица14[р/р],"3/24",Таблица14[Ф. И. О.],B440)</f>
        <v>0</v>
      </c>
      <c r="X443" s="545">
        <f>SUMIFS(Таблица14[Столбец2],Таблица14[коэф],"1,4",Таблица14[р/р],"3/24",Таблица14[Ф. И. О.],B440)</f>
        <v>0</v>
      </c>
      <c r="Y443" s="795"/>
      <c r="Z443" s="797"/>
      <c r="AA443" s="786"/>
    </row>
    <row r="444" spans="1:29">
      <c r="A444" s="786"/>
      <c r="B444" s="216"/>
      <c r="C444" s="789"/>
      <c r="D444" s="792"/>
      <c r="E444" s="389"/>
      <c r="F444" s="390"/>
      <c r="G444" s="400"/>
      <c r="H444" s="392"/>
      <c r="I444" s="432"/>
      <c r="J444" s="433"/>
      <c r="K444" s="434"/>
      <c r="L444" s="434"/>
      <c r="M444" s="434"/>
      <c r="N444" s="434"/>
      <c r="O444" s="434"/>
      <c r="P444" s="406"/>
      <c r="Q444" s="389">
        <f>база!$L$5</f>
        <v>231.45480000000001</v>
      </c>
      <c r="R444" s="390">
        <v>1.4</v>
      </c>
      <c r="S444" s="400">
        <f>SUMIFS(Таблица14[часы],Таблица14[коэф],"1,4",Таблица14[р/р],"4/16",Таблица14[Ф. И. О.],B440)</f>
        <v>0</v>
      </c>
      <c r="T444" s="392">
        <f>SUMIFS(Таблица14[Столбец2],Таблица14[коэф],"1,4",Таблица14[р/р],"4/16",Таблица14[Ф. И. О.],B440)</f>
        <v>0</v>
      </c>
      <c r="U444" s="478">
        <f>база!$M$5</f>
        <v>247.41720000000001</v>
      </c>
      <c r="V444" s="390">
        <v>1.4</v>
      </c>
      <c r="W444" s="412">
        <f>SUMIFS(Таблица14[часы],Таблица14[коэф],"1,4",Таблица14[р/р],"4/24",Таблица14[Ф. И. О.],B440)</f>
        <v>0</v>
      </c>
      <c r="X444" s="545">
        <f>SUMIFS(Таблица14[Столбец2],Таблица14[коэф],"1,4",Таблица14[р/р],"4/24",Таблица14[Ф. И. О.],B440)</f>
        <v>0</v>
      </c>
      <c r="Y444" s="795"/>
      <c r="Z444" s="797"/>
      <c r="AA444" s="786"/>
    </row>
    <row r="445" spans="1:29" ht="21" thickBot="1">
      <c r="A445" s="787"/>
      <c r="B445" s="203"/>
      <c r="C445" s="790"/>
      <c r="D445" s="793"/>
      <c r="E445" s="473"/>
      <c r="F445" s="464"/>
      <c r="G445" s="465"/>
      <c r="H445" s="468"/>
      <c r="I445" s="466"/>
      <c r="J445" s="456"/>
      <c r="K445" s="457"/>
      <c r="L445" s="457"/>
      <c r="M445" s="457"/>
      <c r="N445" s="457"/>
      <c r="O445" s="457"/>
      <c r="P445" s="476"/>
      <c r="Q445" s="473">
        <f>база!$L$6</f>
        <v>261.04640000000001</v>
      </c>
      <c r="R445" s="464">
        <v>1.4</v>
      </c>
      <c r="S445" s="465">
        <f>SUMIFS(Таблица14[часы],Таблица14[коэф],"1,4",Таблица14[р/р],"5/16",Таблица14[Ф. И. О.],B440)</f>
        <v>0</v>
      </c>
      <c r="T445" s="468">
        <f>SUMIFS(Таблица14[Столбец2],Таблица14[коэф],"1,4",Таблица14[р/р],"5/16",Таблица14[Ф. И. О.],B440)</f>
        <v>0</v>
      </c>
      <c r="U445" s="480">
        <f>база!$M$6</f>
        <v>279.0496</v>
      </c>
      <c r="V445" s="464">
        <v>1.4</v>
      </c>
      <c r="W445" s="470">
        <f>SUMIFS(Таблица14[часы],Таблица14[коэф],"1,4",Таблица14[р/р],"5/24",Таблица14[Ф. И. О.],B440)</f>
        <v>0</v>
      </c>
      <c r="X445" s="547">
        <f>SUMIFS(Таблица14[Столбец2],Таблица14[коэф],"1,4",Таблица14[р/р],"5/24",Таблица14[Ф. И. О.],B440)</f>
        <v>0</v>
      </c>
      <c r="Y445" s="796"/>
      <c r="Z445" s="798"/>
      <c r="AA445" s="787"/>
    </row>
    <row r="446" spans="1:29" ht="20.25" customHeight="1">
      <c r="A446" s="785">
        <v>41</v>
      </c>
      <c r="B446" s="236"/>
      <c r="C446" s="788">
        <f>INDEX(база!$E$2:$E$81, MATCH(B451,база!$B$2:$B$50,0))</f>
        <v>17281</v>
      </c>
      <c r="D446" s="791">
        <f>INDEX(база!$D$2:$D$89, MATCH(B451,база!$B$2:$B$50,0))</f>
        <v>3</v>
      </c>
      <c r="E446" s="607">
        <f>IF(D446&lt;=3,база!$I$4,
IF(D446=4,база!$I$5,
IF(D446=5,база!$I$6)))</f>
        <v>188.7912</v>
      </c>
      <c r="F446" s="608">
        <v>1</v>
      </c>
      <c r="G446" s="609">
        <f>SUMIFS(Таблица14[часы],Таблица14[коэф],"1",Таблица14[р/р],"2/4",Таблица14[Ф. И. О.],B451)</f>
        <v>0</v>
      </c>
      <c r="H446" s="518">
        <f>SUMIFS(Таблица14[Столбец2],Таблица14[коэф],"1",Таблица14[р/р],"2/4",Таблица14[Ф. И. О.],B451)</f>
        <v>0</v>
      </c>
      <c r="I446" s="610">
        <f>IF(D446&lt;=3,база!$J$4,
IF(D446=4,база!$J$5,
IF(D446=5,база!$J$6)))</f>
        <v>196.05240000000001</v>
      </c>
      <c r="J446" s="611">
        <v>1</v>
      </c>
      <c r="K446" s="612">
        <f>SUMIFS(Таблица14[часы],Таблица14[коэф],"1",Таблица14[р/р],"2/8",Таблица14[Ф. И. О.],B451)</f>
        <v>0</v>
      </c>
      <c r="L446" s="612">
        <f>SUMIFS(Таблица14[Столбец2],Таблица14[коэф],"1",Таблица14[р/р],"2/8",Таблица14[Ф. И. О.],B451)</f>
        <v>0</v>
      </c>
      <c r="M446" s="612"/>
      <c r="N446" s="612">
        <v>1</v>
      </c>
      <c r="O446" s="612">
        <f>SUMIFS(Data_Tech!$AM$3:$AM$67,Data_Tech!$E$3:$E$67,"1",Data_Tech!$G$3:$G$67,"3/12",Data_Tech!$F$3:$F$67,B451)</f>
        <v>0</v>
      </c>
      <c r="P446" s="613">
        <f>ROUND(M446*N446*O446,2)</f>
        <v>0</v>
      </c>
      <c r="Q446" s="607">
        <f>IF(D446&lt;=3,база!$L$4,
IF(D446=4,база!$L$5,
IF(D446=5,база!$L$6)))</f>
        <v>210.57480000000001</v>
      </c>
      <c r="R446" s="608">
        <v>1</v>
      </c>
      <c r="S446" s="609">
        <f>SUMIFS(Таблица14[часы],Таблица14[коэф],"1",Таблица14[р/р],"3/16",Таблица14[Ф. И. О.],B451)</f>
        <v>0</v>
      </c>
      <c r="T446" s="518">
        <f>SUMIFS(Таблица14[Столбец2],Таблица14[коэф],"1",Таблица14[р/р],"3/16",Таблица14[Ф. И. О.],B451)</f>
        <v>0</v>
      </c>
      <c r="U446" s="614">
        <f>IF(D446&lt;=3,база!$M$4,
IF(D446=4,база!$M$5,
IF(D446=5,база!$M$6)))</f>
        <v>225.09719999999999</v>
      </c>
      <c r="V446" s="608">
        <v>1</v>
      </c>
      <c r="W446" s="615">
        <f>SUMIFS(Таблица14[часы],Таблица14[коэф],"1",Таблица14[р/р],"3/24",Таблица14[Ф. И. О.],B451)</f>
        <v>0</v>
      </c>
      <c r="X446" s="616">
        <f>SUMIFS(Таблица14[Столбец2],Таблица14[коэф],"1",Таблица14[р/р],"3/24",Таблица14[Ф. И. О.],B451)</f>
        <v>0</v>
      </c>
      <c r="Y446" s="800">
        <f t="shared" ref="Y446" si="220">SUM(G446:G456,K446:K456,O446:O456,S446:S456,W446:W456)</f>
        <v>0</v>
      </c>
      <c r="Z446" s="799">
        <f t="shared" ref="Z446" si="221">IFERROR(SUM(H446:H456,L446:L456,T446:T456,X446:X456),"")</f>
        <v>0</v>
      </c>
      <c r="AA446" s="785"/>
    </row>
    <row r="447" spans="1:29">
      <c r="A447" s="786"/>
      <c r="B447" s="216"/>
      <c r="C447" s="789"/>
      <c r="D447" s="792"/>
      <c r="E447" s="437">
        <f>IF(D446&lt;=3,база!$I$4,
IF(D446=4,база!$I$5,
IF(D446=5,база!$I$6)))</f>
        <v>188.7912</v>
      </c>
      <c r="F447" s="390">
        <v>1</v>
      </c>
      <c r="G447" s="400">
        <f>SUMIFS(Таблица14[часы],Таблица14[коэф],"1",Таблица14[р/р],"3/4",Таблица14[Ф. И. О.],B451)</f>
        <v>0</v>
      </c>
      <c r="H447" s="440">
        <f>SUMIFS(Таблица14[Столбец2],Таблица14[коэф],"1",Таблица14[р/р],"3/4",Таблица14[Ф. И. О.],B451)</f>
        <v>0</v>
      </c>
      <c r="I447" s="441">
        <f>IF(D446&lt;=3,база!$J$4,
IF(D446=4,база!$J$5,
IF(D446=5,база!$J$6)))</f>
        <v>196.05240000000001</v>
      </c>
      <c r="J447" s="604">
        <v>1</v>
      </c>
      <c r="K447" s="442">
        <f>SUMIFS(Таблица14[часы],Таблица14[коэф],"1",Таблица14[р/р],"3/8",Таблица14[Ф. И. О.],B451)</f>
        <v>0</v>
      </c>
      <c r="L447" s="442">
        <f>SUMIFS(Таблица14[Столбец2],Таблица14[коэф],"1",Таблица14[р/р],"3/8",Таблица14[Ф. И. О.],B451)</f>
        <v>0</v>
      </c>
      <c r="M447" s="442"/>
      <c r="N447" s="442">
        <v>1</v>
      </c>
      <c r="O447" s="442">
        <f>SUMIFS(Data_Tech!$AM$3:$AM$67,Data_Tech!$E$3:$E$67,"1",Data_Tech!$G$3:$G$67,"4/12",Data_Tech!$F$3:$F$67,B451)</f>
        <v>0</v>
      </c>
      <c r="P447" s="415">
        <f>ROUND(M447*O447,2)</f>
        <v>0</v>
      </c>
      <c r="Q447" s="437">
        <f>база!$L$5</f>
        <v>231.45480000000001</v>
      </c>
      <c r="R447" s="438">
        <v>1</v>
      </c>
      <c r="S447" s="439">
        <f>SUMIFS(Таблица14[часы],Таблица14[коэф],"1",Таблица14[р/р],"4/16",Таблица14[Ф. И. О.],B451)</f>
        <v>0</v>
      </c>
      <c r="T447" s="440">
        <f>SUMIFS(Таблица14[Столбец2],Таблица14[коэф],"1",Таблица14[р/р],"4/16",Таблица14[Ф. И. О.],B451)</f>
        <v>0</v>
      </c>
      <c r="U447" s="605">
        <f>база!$M$5</f>
        <v>247.41720000000001</v>
      </c>
      <c r="V447" s="438">
        <v>1</v>
      </c>
      <c r="W447" s="533">
        <f>SUMIFS(Таблица14[часы],Таблица14[коэф],"1",Таблица14[р/р],"4/24",Таблица14[Ф. И. О.],B451)</f>
        <v>0</v>
      </c>
      <c r="X447" s="606">
        <f>SUMIFS(Таблица14[Столбец2],Таблица14[коэф],"1",Таблица14[р/р],"4/24",Таблица14[Ф. И. О.],B451)</f>
        <v>0</v>
      </c>
      <c r="Y447" s="801"/>
      <c r="Z447" s="797"/>
      <c r="AA447" s="786"/>
    </row>
    <row r="448" spans="1:29">
      <c r="A448" s="786"/>
      <c r="B448" s="216"/>
      <c r="C448" s="789"/>
      <c r="D448" s="792"/>
      <c r="E448" s="437"/>
      <c r="F448" s="390"/>
      <c r="G448" s="400"/>
      <c r="H448" s="440"/>
      <c r="I448" s="441"/>
      <c r="J448" s="604"/>
      <c r="K448" s="442"/>
      <c r="L448" s="442"/>
      <c r="M448" s="442"/>
      <c r="N448" s="442"/>
      <c r="O448" s="442"/>
      <c r="P448" s="415"/>
      <c r="Q448" s="437">
        <f>база!$L$6</f>
        <v>261.04640000000001</v>
      </c>
      <c r="R448" s="438">
        <v>1</v>
      </c>
      <c r="S448" s="439">
        <f>SUMIFS(Таблица14[часы],Таблица14[коэф],"1",Таблица14[р/р],"5/16",Таблица14[Ф. И. О.],B451)</f>
        <v>0</v>
      </c>
      <c r="T448" s="440">
        <f>SUMIFS(Таблица14[Столбец2],Таблица14[коэф],"1",Таблица14[р/р],"5/16",Таблица14[Ф. И. О.],B451)</f>
        <v>0</v>
      </c>
      <c r="U448" s="605">
        <f>база!$M$6</f>
        <v>279.0496</v>
      </c>
      <c r="V448" s="438">
        <v>1</v>
      </c>
      <c r="W448" s="533">
        <f>SUMIFS(Таблица14[часы],Таблица14[коэф],"1",Таблица14[р/р],"5/24",Таблица14[Ф. И. О.],B451)</f>
        <v>0</v>
      </c>
      <c r="X448" s="606">
        <f>SUMIFS(Таблица14[Столбец2],Таблица14[коэф],"1",Таблица14[р/р],"5/24",Таблица14[Ф. И. О.],B451)</f>
        <v>0</v>
      </c>
      <c r="Y448" s="801"/>
      <c r="Z448" s="797"/>
      <c r="AA448" s="786"/>
    </row>
    <row r="449" spans="1:29">
      <c r="A449" s="786"/>
      <c r="B449" s="216"/>
      <c r="C449" s="789"/>
      <c r="D449" s="792"/>
      <c r="E449" s="437"/>
      <c r="F449" s="390"/>
      <c r="G449" s="400"/>
      <c r="H449" s="440"/>
      <c r="I449" s="441">
        <f>база!$J$5</f>
        <v>215.4924</v>
      </c>
      <c r="J449" s="604">
        <v>1.5</v>
      </c>
      <c r="K449" s="442">
        <f>SUMIFS(Таблица14[часы],Таблица14[коэф],"1,5",Таблица14[р/р],"4/8",Таблица14[Ф. И. О.],B451)</f>
        <v>0</v>
      </c>
      <c r="L449" s="442">
        <f>SUMIFS(Таблица14[Столбец2],Таблица14[коэф],"1,5",Таблица14[р/р],"4/8",Таблица14[Ф. И. О.],B451)</f>
        <v>0</v>
      </c>
      <c r="M449" s="442"/>
      <c r="N449" s="442"/>
      <c r="O449" s="442"/>
      <c r="P449" s="415"/>
      <c r="Q449" s="437">
        <f>IF(D446&lt;=3,база!$L$4,
IF(D446=4,база!$L$5,
IF(D446=5,база!$L$6)))</f>
        <v>210.57480000000001</v>
      </c>
      <c r="R449" s="438">
        <v>1.2</v>
      </c>
      <c r="S449" s="439">
        <f>SUMIFS(Таблица14[часы],Таблица14[коэф],"1,2",Таблица14[р/р],"3/16",Таблица14[Ф. И. О.],B451)</f>
        <v>0</v>
      </c>
      <c r="T449" s="440">
        <f>SUMIFS(Таблица14[Столбец2],Таблица14[коэф],"1,2",Таблица14[р/р],"3/16",Таблица14[Ф. И. О.],B451)</f>
        <v>0</v>
      </c>
      <c r="U449" s="605">
        <f>IF(D446&lt;=3,база!$M$4,
IF(D446=4,база!$M$5,
IF(D446=5,база!$M$6)))</f>
        <v>225.09719999999999</v>
      </c>
      <c r="V449" s="438">
        <v>1.2</v>
      </c>
      <c r="W449" s="533">
        <f>SUMIFS(Таблица14[часы],Таблица14[коэф],"1,2",Таблица14[р/р],"3/24",Таблица14[Ф. И. О.],B451)</f>
        <v>0</v>
      </c>
      <c r="X449" s="606">
        <f>SUMIFS(Таблица14[Столбец2],Таблица14[коэф],"1,2",Таблица14[р/р],"3/24",Таблица14[Ф. И. О.],B451)</f>
        <v>0</v>
      </c>
      <c r="Y449" s="801"/>
      <c r="Z449" s="797"/>
      <c r="AA449" s="786"/>
    </row>
    <row r="450" spans="1:29">
      <c r="A450" s="786"/>
      <c r="B450" s="216"/>
      <c r="C450" s="789"/>
      <c r="D450" s="792"/>
      <c r="E450" s="437"/>
      <c r="F450" s="390"/>
      <c r="G450" s="400"/>
      <c r="H450" s="440"/>
      <c r="I450" s="441">
        <f>база!$J$6</f>
        <v>243.04319999999998</v>
      </c>
      <c r="J450" s="604">
        <v>1.5</v>
      </c>
      <c r="K450" s="442">
        <f>SUMIFS(Таблица14[часы],Таблица14[коэф],"1,5",Таблица14[р/р],"5/8",Таблица14[Ф. И. О.],B451)</f>
        <v>0</v>
      </c>
      <c r="L450" s="442">
        <f>SUMIFS(Таблица14[Столбец2],Таблица14[коэф],"1,5",Таблица14[р/р],"5/8",Таблица14[Ф. И. О.],B451)</f>
        <v>0</v>
      </c>
      <c r="M450" s="442"/>
      <c r="N450" s="442"/>
      <c r="O450" s="442"/>
      <c r="P450" s="415"/>
      <c r="Q450" s="437">
        <f>база!$L$5</f>
        <v>231.45480000000001</v>
      </c>
      <c r="R450" s="438">
        <v>1.2</v>
      </c>
      <c r="S450" s="439">
        <f>SUMIFS(Таблица14[часы],Таблица14[коэф],"1,2",Таблица14[р/р],"4/16",Таблица14[Ф. И. О.],B451)</f>
        <v>0</v>
      </c>
      <c r="T450" s="440">
        <f>SUMIFS(Таблица14[Столбец2],Таблица14[коэф],"1,2",Таблица14[р/р],"4/16",Таблица14[Ф. И. О.],B451)</f>
        <v>0</v>
      </c>
      <c r="U450" s="605">
        <f>база!$M$5</f>
        <v>247.41720000000001</v>
      </c>
      <c r="V450" s="438">
        <v>1.2</v>
      </c>
      <c r="W450" s="533">
        <f>SUMIFS(Таблица14[часы],Таблица14[коэф],"1,2",Таблица14[р/р],"4/24",Таблица14[Ф. И. О.],B451)</f>
        <v>0</v>
      </c>
      <c r="X450" s="606">
        <f>SUMIFS(Таблица14[Столбец2],Таблица14[коэф],"1,2",Таблица14[р/р],"4/24",Таблица14[Ф. И. О.],B451)</f>
        <v>0</v>
      </c>
      <c r="Y450" s="801"/>
      <c r="Z450" s="797"/>
      <c r="AA450" s="786"/>
    </row>
    <row r="451" spans="1:29">
      <c r="A451" s="786"/>
      <c r="B451" s="216" t="str">
        <f>база!B42</f>
        <v>Лапина Елена Сергеевна</v>
      </c>
      <c r="C451" s="789"/>
      <c r="D451" s="792"/>
      <c r="E451" s="437"/>
      <c r="F451" s="390"/>
      <c r="G451" s="400"/>
      <c r="H451" s="440"/>
      <c r="I451" s="441"/>
      <c r="J451" s="604"/>
      <c r="K451" s="442"/>
      <c r="L451" s="442"/>
      <c r="M451" s="442"/>
      <c r="N451" s="442"/>
      <c r="O451" s="442"/>
      <c r="P451" s="415"/>
      <c r="Q451" s="437">
        <f>база!$L$6</f>
        <v>261.04640000000001</v>
      </c>
      <c r="R451" s="438">
        <v>1.2</v>
      </c>
      <c r="S451" s="439">
        <f>SUMIFS(Таблица14[часы],Таблица14[коэф],"1,2",Таблица14[р/р],"5/16",Таблица14[Ф. И. О.],B451)</f>
        <v>0</v>
      </c>
      <c r="T451" s="440">
        <f>SUMIFS(Таблица14[Столбец2],Таблица14[коэф],"1,2",Таблица14[р/р],"5/16",Таблица14[Ф. И. О.],B451)</f>
        <v>0</v>
      </c>
      <c r="U451" s="605">
        <f>база!$M$6</f>
        <v>279.0496</v>
      </c>
      <c r="V451" s="438">
        <v>1.2</v>
      </c>
      <c r="W451" s="533">
        <f>SUMIFS(Таблица14[часы],Таблица14[коэф],"1,2",Таблица14[р/р],"5/24",Таблица14[Ф. И. О.],B451)</f>
        <v>0</v>
      </c>
      <c r="X451" s="606">
        <f>SUMIFS(Таблица14[Столбец2],Таблица14[коэф],"1,2",Таблица14[р/р],"5/24",Таблица14[Ф. И. О.],B451)</f>
        <v>0</v>
      </c>
      <c r="Y451" s="801"/>
      <c r="Z451" s="797"/>
      <c r="AA451" s="786"/>
      <c r="AC451" s="754" t="str">
        <f>IF(SUMIFS(Таблица14[Столбец2],Таблица14[Ф. И. О.],B451)-Z446=0,"",SUMIFS(Таблица14[Столбец2],Таблица14[Ф. И. О.],B451)-Z446)</f>
        <v/>
      </c>
    </row>
    <row r="452" spans="1:29">
      <c r="A452" s="786"/>
      <c r="B452" s="216"/>
      <c r="C452" s="789"/>
      <c r="D452" s="792"/>
      <c r="E452" s="437"/>
      <c r="F452" s="390"/>
      <c r="G452" s="400"/>
      <c r="H452" s="440"/>
      <c r="I452" s="441"/>
      <c r="J452" s="604"/>
      <c r="K452" s="442"/>
      <c r="L452" s="442"/>
      <c r="M452" s="442"/>
      <c r="N452" s="442"/>
      <c r="O452" s="442"/>
      <c r="P452" s="415"/>
      <c r="Q452" s="437">
        <f>IF($D$6&lt;=3,база!$L$4,
IF($D$6=4,база!$L$5,
IF($D$6=5,база!$L$6)))</f>
        <v>231.45480000000001</v>
      </c>
      <c r="R452" s="438">
        <v>1.3</v>
      </c>
      <c r="S452" s="439">
        <f>SUMIFS(Таблица14[часы],Таблица14[коэф],"1,3",Таблица14[р/р],"3/16",Таблица14[Ф. И. О.],B451)</f>
        <v>0</v>
      </c>
      <c r="T452" s="440">
        <f>SUMIFS(Таблица14[Столбец2],Таблица14[коэф],"1,3",Таблица14[р/р],"3/16",Таблица14[Ф. И. О.],B451)</f>
        <v>0</v>
      </c>
      <c r="U452" s="605">
        <f>IF(D446&lt;=3,база!$M$4,
IF(D446=4,база!$M$5,
IF(D446=5,база!$M$6)))</f>
        <v>225.09719999999999</v>
      </c>
      <c r="V452" s="438">
        <v>1.3</v>
      </c>
      <c r="W452" s="533">
        <f>SUMIFS(Таблица14[часы],Таблица14[коэф],"1,3",Таблица14[р/р],"3/24",Таблица14[Ф. И. О.],B451)</f>
        <v>0</v>
      </c>
      <c r="X452" s="606">
        <f>SUMIFS(Таблица14[Столбец2],Таблица14[коэф],"1,3",Таблица14[р/р],"3/24",Таблица14[Ф. И. О.],B451)</f>
        <v>0</v>
      </c>
      <c r="Y452" s="801"/>
      <c r="Z452" s="797"/>
      <c r="AA452" s="786"/>
      <c r="AC452" s="754" t="str">
        <f>IF(SUMIFS(Таблица14[часы],Таблица14[Ф. И. О.],B451)-Y446=0,"",SUMIFS(Таблица14[часы],Таблица14[Ф. И. О.],B451)-Y446)</f>
        <v/>
      </c>
    </row>
    <row r="453" spans="1:29">
      <c r="A453" s="786"/>
      <c r="B453" s="216"/>
      <c r="C453" s="789"/>
      <c r="D453" s="792"/>
      <c r="E453" s="437"/>
      <c r="F453" s="390"/>
      <c r="G453" s="400"/>
      <c r="H453" s="440"/>
      <c r="I453" s="441"/>
      <c r="J453" s="604"/>
      <c r="K453" s="442"/>
      <c r="L453" s="442"/>
      <c r="M453" s="442"/>
      <c r="N453" s="442"/>
      <c r="O453" s="442"/>
      <c r="P453" s="415"/>
      <c r="Q453" s="437">
        <f>база!$L$5</f>
        <v>231.45480000000001</v>
      </c>
      <c r="R453" s="438">
        <v>1.3</v>
      </c>
      <c r="S453" s="439">
        <f>SUMIFS(Таблица14[часы],Таблица14[коэф],"1,3",Таблица14[р/р],"4/16",Таблица14[Ф. И. О.],B451)</f>
        <v>0</v>
      </c>
      <c r="T453" s="440">
        <f>SUMIFS(Таблица14[Столбец2],Таблица14[коэф],"1,3",Таблица14[р/р],"4/16",Таблица14[Ф. И. О.],B451)</f>
        <v>0</v>
      </c>
      <c r="U453" s="605">
        <f>база!$M$5</f>
        <v>247.41720000000001</v>
      </c>
      <c r="V453" s="438">
        <v>1.3</v>
      </c>
      <c r="W453" s="533">
        <f>SUMIFS(Таблица14[часы],Таблица14[коэф],"1,3",Таблица14[р/р],"4/24",Таблица14[Ф. И. О.],B451)</f>
        <v>0</v>
      </c>
      <c r="X453" s="606">
        <f>SUMIFS(Таблица14[Столбец2],Таблица14[коэф],"1,3",Таблица14[р/р],"4/24",Таблица14[Ф. И. О.],B451)</f>
        <v>0</v>
      </c>
      <c r="Y453" s="801"/>
      <c r="Z453" s="797"/>
      <c r="AA453" s="786"/>
    </row>
    <row r="454" spans="1:29">
      <c r="A454" s="786"/>
      <c r="B454" s="216"/>
      <c r="C454" s="789"/>
      <c r="D454" s="792"/>
      <c r="E454" s="437"/>
      <c r="F454" s="390"/>
      <c r="G454" s="400"/>
      <c r="H454" s="440"/>
      <c r="I454" s="441"/>
      <c r="J454" s="604"/>
      <c r="K454" s="442"/>
      <c r="L454" s="442"/>
      <c r="M454" s="442"/>
      <c r="N454" s="442"/>
      <c r="O454" s="442"/>
      <c r="P454" s="415"/>
      <c r="Q454" s="437">
        <f>IF(D446&lt;=3,база!$L$4,
IF(D446=4,база!$L$5,
IF(D446=5,база!$L$6)))</f>
        <v>210.57480000000001</v>
      </c>
      <c r="R454" s="438">
        <v>1.4</v>
      </c>
      <c r="S454" s="439">
        <f>SUMIFS(Таблица14[часы],Таблица14[коэф],"1,4",Таблица14[р/р],"3/16",Таблица14[Ф. И. О.],B451)</f>
        <v>0</v>
      </c>
      <c r="T454" s="440">
        <f>SUMIFS(Таблица14[Столбец2],Таблица14[коэф],"1,4",Таблица14[р/р],"3/16",Таблица14[Ф. И. О.],B451)</f>
        <v>0</v>
      </c>
      <c r="U454" s="605">
        <f>IF(D446&lt;=3,база!$M$4,
IF(D446=4,база!$M$5,
IF(D446=5,база!$M$6)))</f>
        <v>225.09719999999999</v>
      </c>
      <c r="V454" s="438">
        <v>1.4</v>
      </c>
      <c r="W454" s="533">
        <f>SUMIFS(Таблица14[часы],Таблица14[коэф],"1,4",Таблица14[р/р],"3/24",Таблица14[Ф. И. О.],B451)</f>
        <v>0</v>
      </c>
      <c r="X454" s="606">
        <f>SUMIFS(Таблица14[Столбец2],Таблица14[коэф],"1,4",Таблица14[р/р],"3/24",Таблица14[Ф. И. О.],B451)</f>
        <v>0</v>
      </c>
      <c r="Y454" s="801"/>
      <c r="Z454" s="797"/>
      <c r="AA454" s="786"/>
    </row>
    <row r="455" spans="1:29">
      <c r="A455" s="786"/>
      <c r="B455" s="216"/>
      <c r="C455" s="789"/>
      <c r="D455" s="792"/>
      <c r="E455" s="481"/>
      <c r="F455" s="390"/>
      <c r="G455" s="400"/>
      <c r="H455" s="402"/>
      <c r="I455" s="452"/>
      <c r="J455" s="475"/>
      <c r="K455" s="453"/>
      <c r="L455" s="453"/>
      <c r="M455" s="453"/>
      <c r="N455" s="453"/>
      <c r="O455" s="453"/>
      <c r="P455" s="398"/>
      <c r="Q455" s="481">
        <f>база!$L$5</f>
        <v>231.45480000000001</v>
      </c>
      <c r="R455" s="417">
        <v>1.4</v>
      </c>
      <c r="S455" s="418">
        <f>SUMIFS(Таблица14[часы],Таблица14[коэф],"1,4",Таблица14[р/р],"4/16",Таблица14[Ф. И. О.],B451)</f>
        <v>0</v>
      </c>
      <c r="T455" s="402">
        <f>SUMIFS(Таблица14[Столбец2],Таблица14[коэф],"1,4",Таблица14[р/р],"4/16",Таблица14[Ф. И. О.],B451)</f>
        <v>0</v>
      </c>
      <c r="U455" s="483">
        <f>база!$M$5</f>
        <v>247.41720000000001</v>
      </c>
      <c r="V455" s="417">
        <v>1.4</v>
      </c>
      <c r="W455" s="455">
        <f>SUMIFS(Таблица14[часы],Таблица14[коэф],"1,4",Таблица14[р/р],"4/24",Таблица14[Ф. И. О.],B451)</f>
        <v>0</v>
      </c>
      <c r="X455" s="552">
        <f>SUMIFS(Таблица14[Столбец2],Таблица14[коэф],"1,4",Таблица14[р/р],"4/24",Таблица14[Ф. И. О.],B451)</f>
        <v>0</v>
      </c>
      <c r="Y455" s="801"/>
      <c r="Z455" s="797"/>
      <c r="AA455" s="786"/>
    </row>
    <row r="456" spans="1:29" ht="21" thickBot="1">
      <c r="A456" s="787"/>
      <c r="B456" s="203"/>
      <c r="C456" s="790"/>
      <c r="D456" s="793"/>
      <c r="E456" s="445"/>
      <c r="F456" s="446"/>
      <c r="G456" s="447"/>
      <c r="H456" s="535"/>
      <c r="I456" s="448"/>
      <c r="J456" s="617"/>
      <c r="K456" s="449"/>
      <c r="L456" s="449"/>
      <c r="M456" s="449"/>
      <c r="N456" s="449"/>
      <c r="O456" s="449"/>
      <c r="P456" s="538"/>
      <c r="Q456" s="445">
        <f>база!$L$6</f>
        <v>261.04640000000001</v>
      </c>
      <c r="R456" s="446">
        <v>1.4</v>
      </c>
      <c r="S456" s="447">
        <f>SUMIFS(Таблица14[часы],Таблица14[коэф],"1,4",Таблица14[р/р],"5/16",Таблица14[Ф. И. О.],B451)</f>
        <v>0</v>
      </c>
      <c r="T456" s="535">
        <f>SUMIFS(Таблица14[Столбец2],Таблица14[коэф],"1,4",Таблица14[р/р],"5/16",Таблица14[Ф. И. О.],B451)</f>
        <v>0</v>
      </c>
      <c r="U456" s="618">
        <f>база!$M$6</f>
        <v>279.0496</v>
      </c>
      <c r="V456" s="446">
        <v>1.4</v>
      </c>
      <c r="W456" s="540">
        <f>SUMIFS(Таблица14[часы],Таблица14[коэф],"1,4",Таблица14[р/р],"5/24",Таблица14[Ф. И. О.],B451)</f>
        <v>0</v>
      </c>
      <c r="X456" s="619">
        <f>SUMIFS(Таблица14[Столбец2],Таблица14[коэф],"1,4",Таблица14[р/р],"5/24",Таблица14[Ф. И. О.],B451)</f>
        <v>0</v>
      </c>
      <c r="Y456" s="802"/>
      <c r="Z456" s="798"/>
      <c r="AA456" s="787"/>
    </row>
    <row r="457" spans="1:29" ht="20.25" customHeight="1">
      <c r="A457" s="785">
        <v>42</v>
      </c>
      <c r="B457" s="236"/>
      <c r="C457" s="788">
        <f>INDEX(база!$E$2:$E$81, MATCH(B462,база!$B$2:$B$50,0))</f>
        <v>17303</v>
      </c>
      <c r="D457" s="791">
        <f>INDEX(база!$D$2:$D$89, MATCH(B462,база!$B$2:$B$50,0))</f>
        <v>3</v>
      </c>
      <c r="E457" s="607">
        <f>IF(D457&lt;=3,база!$I$4,
IF(D457=4,база!$I$5,
IF(D457=5,база!$I$6)))</f>
        <v>188.7912</v>
      </c>
      <c r="F457" s="608">
        <v>1</v>
      </c>
      <c r="G457" s="609">
        <f>SUMIFS(Таблица14[часы],Таблица14[коэф],"1",Таблица14[р/р],"2/4",Таблица14[Ф. И. О.],B462)</f>
        <v>0</v>
      </c>
      <c r="H457" s="518">
        <f>SUMIFS(Таблица14[Столбец2],Таблица14[коэф],"1",Таблица14[р/р],"2/4",Таблица14[Ф. И. О.],B462)</f>
        <v>0</v>
      </c>
      <c r="I457" s="610">
        <f>IF(D457&lt;=3,база!$J$4,
IF(D457=4,база!$J$5,
IF(D457=5,база!$J$6)))</f>
        <v>196.05240000000001</v>
      </c>
      <c r="J457" s="611">
        <v>1</v>
      </c>
      <c r="K457" s="612">
        <f>SUMIFS(Таблица14[часы],Таблица14[коэф],"1",Таблица14[р/р],"2/8",Таблица14[Ф. И. О.],B462)</f>
        <v>0</v>
      </c>
      <c r="L457" s="612">
        <f>SUMIFS(Таблица14[Столбец2],Таблица14[коэф],"1",Таблица14[р/р],"2/8",Таблица14[Ф. И. О.],B462)</f>
        <v>0</v>
      </c>
      <c r="M457" s="612"/>
      <c r="N457" s="612">
        <v>1</v>
      </c>
      <c r="O457" s="612">
        <f>SUMIFS(Data_Tech!$AM$3:$AM$67,Data_Tech!$E$3:$E$67,"1",Data_Tech!$G$3:$G$67,"3/12",Data_Tech!$F$3:$F$67,B462)</f>
        <v>0</v>
      </c>
      <c r="P457" s="613">
        <f>ROUND(M457*N457*O457,2)</f>
        <v>0</v>
      </c>
      <c r="Q457" s="607">
        <f>IF(D457&lt;=3,база!$L$4,
IF(D457=4,база!$L$5,
IF(D457=5,база!$L$6)))</f>
        <v>210.57480000000001</v>
      </c>
      <c r="R457" s="608">
        <v>1</v>
      </c>
      <c r="S457" s="609">
        <f>SUMIFS(Таблица14[часы],Таблица14[коэф],"1",Таблица14[р/р],"3/16",Таблица14[Ф. И. О.],B462)</f>
        <v>0</v>
      </c>
      <c r="T457" s="518">
        <f>SUMIFS(Таблица14[Столбец2],Таблица14[коэф],"1",Таблица14[р/р],"3/16",Таблица14[Ф. И. О.],B462)</f>
        <v>0</v>
      </c>
      <c r="U457" s="614">
        <f>IF(D457&lt;=3,база!$M$4,
IF(D457=4,база!$M$5,
IF(D457=5,база!$M$6)))</f>
        <v>225.09719999999999</v>
      </c>
      <c r="V457" s="608">
        <v>1</v>
      </c>
      <c r="W457" s="615">
        <f>SUMIFS(Таблица14[часы],Таблица14[коэф],"1",Таблица14[р/р],"3/24",Таблица14[Ф. И. О.],B462)</f>
        <v>0</v>
      </c>
      <c r="X457" s="616">
        <f>SUMIFS(Таблица14[Столбец2],Таблица14[коэф],"1",Таблица14[р/р],"3/24",Таблица14[Ф. И. О.],B462)</f>
        <v>0</v>
      </c>
      <c r="Y457" s="800">
        <f t="shared" ref="Y457" si="222">SUM(G457:G467,K457:K467,O457:O467,S457:S467,W457:W467)</f>
        <v>0</v>
      </c>
      <c r="Z457" s="799">
        <f t="shared" ref="Z457" si="223">IFERROR(SUM(H457:H467,L457:L467,T457:T467,X457:X467),"")</f>
        <v>0</v>
      </c>
      <c r="AA457" s="785"/>
    </row>
    <row r="458" spans="1:29">
      <c r="A458" s="786"/>
      <c r="B458" s="216"/>
      <c r="C458" s="789"/>
      <c r="D458" s="792"/>
      <c r="E458" s="437">
        <f>IF(D457&lt;=3,база!$I$4,
IF(D457=4,база!$I$5,
IF(D457=5,база!$I$6)))</f>
        <v>188.7912</v>
      </c>
      <c r="F458" s="438">
        <v>1</v>
      </c>
      <c r="G458" s="439">
        <f>SUMIFS(Таблица14[часы],Таблица14[коэф],"1",Таблица14[р/р],"3/4",Таблица14[Ф. И. О.],B462)</f>
        <v>0</v>
      </c>
      <c r="H458" s="440">
        <f>SUMIFS(Таблица14[Столбец2],Таблица14[коэф],"1",Таблица14[р/р],"3/4",Таблица14[Ф. И. О.],B462)</f>
        <v>0</v>
      </c>
      <c r="I458" s="441">
        <f>IF(D457&lt;=3,база!$J$4,
IF(D457=4,база!$J$5,
IF(D457=5,база!$J$6)))</f>
        <v>196.05240000000001</v>
      </c>
      <c r="J458" s="604">
        <v>1</v>
      </c>
      <c r="K458" s="442">
        <f>SUMIFS(Таблица14[часы],Таблица14[коэф],"1",Таблица14[р/р],"3/8",Таблица14[Ф. И. О.],B462)</f>
        <v>0</v>
      </c>
      <c r="L458" s="442">
        <f>SUMIFS(Таблица14[Столбец2],Таблица14[коэф],"1",Таблица14[р/р],"3/8",Таблица14[Ф. И. О.],B462)</f>
        <v>0</v>
      </c>
      <c r="M458" s="442"/>
      <c r="N458" s="442">
        <v>1</v>
      </c>
      <c r="O458" s="442">
        <f>SUMIFS(Data_Tech!$AM$3:$AM$67,Data_Tech!$E$3:$E$67,"1",Data_Tech!$G$3:$G$67,"4/12",Data_Tech!$F$3:$F$67,B462)</f>
        <v>0</v>
      </c>
      <c r="P458" s="415">
        <f>ROUND(M458*O458,2)</f>
        <v>0</v>
      </c>
      <c r="Q458" s="437">
        <f>база!$L$5</f>
        <v>231.45480000000001</v>
      </c>
      <c r="R458" s="438">
        <v>1</v>
      </c>
      <c r="S458" s="439">
        <f>SUMIFS(Таблица14[часы],Таблица14[коэф],"1",Таблица14[р/р],"4/16",Таблица14[Ф. И. О.],B462)</f>
        <v>0</v>
      </c>
      <c r="T458" s="440">
        <f>SUMIFS(Таблица14[Столбец2],Таблица14[коэф],"1",Таблица14[р/р],"4/16",Таблица14[Ф. И. О.],B462)</f>
        <v>0</v>
      </c>
      <c r="U458" s="605">
        <f>база!$M$5</f>
        <v>247.41720000000001</v>
      </c>
      <c r="V458" s="438">
        <v>1</v>
      </c>
      <c r="W458" s="533">
        <f>SUMIFS(Таблица14[часы],Таблица14[коэф],"1",Таблица14[р/р],"4/24",Таблица14[Ф. И. О.],B462)</f>
        <v>0</v>
      </c>
      <c r="X458" s="606">
        <f>SUMIFS(Таблица14[Столбец2],Таблица14[коэф],"1",Таблица14[р/р],"4/24",Таблица14[Ф. И. О.],B462)</f>
        <v>0</v>
      </c>
      <c r="Y458" s="801"/>
      <c r="Z458" s="797"/>
      <c r="AA458" s="786"/>
    </row>
    <row r="459" spans="1:29">
      <c r="A459" s="786"/>
      <c r="B459" s="216"/>
      <c r="C459" s="789"/>
      <c r="D459" s="792"/>
      <c r="E459" s="437"/>
      <c r="F459" s="438"/>
      <c r="G459" s="439"/>
      <c r="H459" s="440"/>
      <c r="I459" s="441"/>
      <c r="J459" s="604"/>
      <c r="K459" s="442"/>
      <c r="L459" s="442"/>
      <c r="M459" s="442"/>
      <c r="N459" s="442"/>
      <c r="O459" s="442"/>
      <c r="P459" s="415"/>
      <c r="Q459" s="437">
        <f>база!$L$6</f>
        <v>261.04640000000001</v>
      </c>
      <c r="R459" s="438">
        <v>1</v>
      </c>
      <c r="S459" s="439">
        <f>SUMIFS(Таблица14[часы],Таблица14[коэф],"1",Таблица14[р/р],"5/16",Таблица14[Ф. И. О.],B462)</f>
        <v>0</v>
      </c>
      <c r="T459" s="440">
        <f>SUMIFS(Таблица14[Столбец2],Таблица14[коэф],"1",Таблица14[р/р],"5/16",Таблица14[Ф. И. О.],B462)</f>
        <v>0</v>
      </c>
      <c r="U459" s="605">
        <f>база!$M$6</f>
        <v>279.0496</v>
      </c>
      <c r="V459" s="438">
        <v>1</v>
      </c>
      <c r="W459" s="533">
        <f>SUMIFS(Таблица14[часы],Таблица14[коэф],"1",Таблица14[р/р],"5/24",Таблица14[Ф. И. О.],B462)</f>
        <v>0</v>
      </c>
      <c r="X459" s="606">
        <f>SUMIFS(Таблица14[Столбец2],Таблица14[коэф],"1",Таблица14[р/р],"5/24",Таблица14[Ф. И. О.],B462)</f>
        <v>0</v>
      </c>
      <c r="Y459" s="801"/>
      <c r="Z459" s="797"/>
      <c r="AA459" s="786"/>
    </row>
    <row r="460" spans="1:29">
      <c r="A460" s="786"/>
      <c r="B460" s="216"/>
      <c r="C460" s="789"/>
      <c r="D460" s="792"/>
      <c r="E460" s="437"/>
      <c r="F460" s="438"/>
      <c r="G460" s="439"/>
      <c r="H460" s="440"/>
      <c r="I460" s="441">
        <f>база!$J$5</f>
        <v>215.4924</v>
      </c>
      <c r="J460" s="604">
        <v>1.5</v>
      </c>
      <c r="K460" s="442">
        <f>SUMIFS(Таблица14[часы],Таблица14[коэф],"1,5",Таблица14[р/р],"4/8",Таблица14[Ф. И. О.],B462)</f>
        <v>0</v>
      </c>
      <c r="L460" s="442">
        <f>SUMIFS(Таблица14[Столбец2],Таблица14[коэф],"1,5",Таблица14[р/р],"4/8",Таблица14[Ф. И. О.],B462)</f>
        <v>0</v>
      </c>
      <c r="M460" s="442"/>
      <c r="N460" s="442"/>
      <c r="O460" s="442"/>
      <c r="P460" s="415"/>
      <c r="Q460" s="437">
        <f>IF(D457&lt;=3,база!$L$4,
IF(D457=4,база!$L$5,
IF(D457=5,база!$L$6)))</f>
        <v>210.57480000000001</v>
      </c>
      <c r="R460" s="438">
        <v>1.2</v>
      </c>
      <c r="S460" s="439">
        <f>SUMIFS(Таблица14[часы],Таблица14[коэф],"1,2",Таблица14[р/р],"3/16",Таблица14[Ф. И. О.],B462)</f>
        <v>0</v>
      </c>
      <c r="T460" s="440">
        <f>SUMIFS(Таблица14[Столбец2],Таблица14[коэф],"1,2",Таблица14[р/р],"3/16",Таблица14[Ф. И. О.],B462)</f>
        <v>0</v>
      </c>
      <c r="U460" s="605">
        <f>IF(D457&lt;=3,база!$M$4,
IF(D457=4,база!$M$5,
IF(D457=5,база!$M$6)))</f>
        <v>225.09719999999999</v>
      </c>
      <c r="V460" s="438">
        <v>1.2</v>
      </c>
      <c r="W460" s="533">
        <f>SUMIFS(Таблица14[часы],Таблица14[коэф],"1,2",Таблица14[р/р],"3/24",Таблица14[Ф. И. О.],B462)</f>
        <v>0</v>
      </c>
      <c r="X460" s="606">
        <f>SUMIFS(Таблица14[Столбец2],Таблица14[коэф],"1,2",Таблица14[р/р],"3/24",Таблица14[Ф. И. О.],B462)</f>
        <v>0</v>
      </c>
      <c r="Y460" s="801"/>
      <c r="Z460" s="797"/>
      <c r="AA460" s="786"/>
    </row>
    <row r="461" spans="1:29">
      <c r="A461" s="786"/>
      <c r="B461" s="216"/>
      <c r="C461" s="789"/>
      <c r="D461" s="792"/>
      <c r="E461" s="437"/>
      <c r="F461" s="438"/>
      <c r="G461" s="439"/>
      <c r="H461" s="440"/>
      <c r="I461" s="441">
        <f>база!$J$6</f>
        <v>243.04319999999998</v>
      </c>
      <c r="J461" s="604">
        <v>1.5</v>
      </c>
      <c r="K461" s="442">
        <f>SUMIFS(Таблица14[часы],Таблица14[коэф],"1,5",Таблица14[р/р],"5/8",Таблица14[Ф. И. О.],B462)</f>
        <v>0</v>
      </c>
      <c r="L461" s="442">
        <f>SUMIFS(Таблица14[Столбец2],Таблица14[коэф],"1,5",Таблица14[р/р],"5/8",Таблица14[Ф. И. О.],B462)</f>
        <v>0</v>
      </c>
      <c r="M461" s="442"/>
      <c r="N461" s="442"/>
      <c r="O461" s="442"/>
      <c r="P461" s="415"/>
      <c r="Q461" s="437">
        <f>база!$L$5</f>
        <v>231.45480000000001</v>
      </c>
      <c r="R461" s="438">
        <v>1.2</v>
      </c>
      <c r="S461" s="439">
        <f>SUMIFS(Таблица14[часы],Таблица14[коэф],"1,2",Таблица14[р/р],"4/16",Таблица14[Ф. И. О.],B462)</f>
        <v>0</v>
      </c>
      <c r="T461" s="440">
        <f>SUMIFS(Таблица14[Столбец2],Таблица14[коэф],"1,2",Таблица14[р/р],"4/16",Таблица14[Ф. И. О.],B462)</f>
        <v>0</v>
      </c>
      <c r="U461" s="605">
        <f>база!$M$5</f>
        <v>247.41720000000001</v>
      </c>
      <c r="V461" s="438">
        <v>1.2</v>
      </c>
      <c r="W461" s="533">
        <f>SUMIFS(Таблица14[часы],Таблица14[коэф],"1,2",Таблица14[р/р],"4/24",Таблица14[Ф. И. О.],B462)</f>
        <v>0</v>
      </c>
      <c r="X461" s="606">
        <f>SUMIFS(Таблица14[Столбец2],Таблица14[коэф],"1,2",Таблица14[р/р],"4/24",Таблица14[Ф. И. О.],B462)</f>
        <v>0</v>
      </c>
      <c r="Y461" s="801"/>
      <c r="Z461" s="797"/>
      <c r="AA461" s="786"/>
      <c r="AC461" s="754" t="str">
        <f>IF(SUMIFS(Таблица14[Столбец2],Таблица14[Ф. И. О.],B462)-Z457=0,"",SUMIFS(Таблица14[Столбец2],Таблица14[Ф. И. О.],B462)-Z457)</f>
        <v/>
      </c>
    </row>
    <row r="462" spans="1:29">
      <c r="A462" s="786"/>
      <c r="B462" s="216" t="str">
        <f>база!B43</f>
        <v>Лезина Анастасия Юрьевна</v>
      </c>
      <c r="C462" s="789"/>
      <c r="D462" s="792"/>
      <c r="E462" s="437"/>
      <c r="F462" s="438"/>
      <c r="G462" s="439"/>
      <c r="H462" s="440"/>
      <c r="I462" s="441"/>
      <c r="J462" s="604"/>
      <c r="K462" s="442"/>
      <c r="L462" s="442"/>
      <c r="M462" s="442"/>
      <c r="N462" s="442"/>
      <c r="O462" s="442"/>
      <c r="P462" s="415"/>
      <c r="Q462" s="437">
        <f>база!$L$6</f>
        <v>261.04640000000001</v>
      </c>
      <c r="R462" s="438">
        <v>1.2</v>
      </c>
      <c r="S462" s="439">
        <f>SUMIFS(Таблица14[часы],Таблица14[коэф],"1,2",Таблица14[р/р],"5/16",Таблица14[Ф. И. О.],B462)</f>
        <v>0</v>
      </c>
      <c r="T462" s="440">
        <f>SUMIFS(Таблица14[Столбец2],Таблица14[коэф],"1,2",Таблица14[р/р],"5/16",Таблица14[Ф. И. О.],B462)</f>
        <v>0</v>
      </c>
      <c r="U462" s="605">
        <f>база!$M$6</f>
        <v>279.0496</v>
      </c>
      <c r="V462" s="438">
        <v>1.2</v>
      </c>
      <c r="W462" s="533">
        <f>SUMIFS(Таблица14[часы],Таблица14[коэф],"1,2",Таблица14[р/р],"5/24",Таблица14[Ф. И. О.],B462)</f>
        <v>0</v>
      </c>
      <c r="X462" s="606">
        <f>SUMIFS(Таблица14[Столбец2],Таблица14[коэф],"1,2",Таблица14[р/р],"5/24",Таблица14[Ф. И. О.],B462)</f>
        <v>0</v>
      </c>
      <c r="Y462" s="801"/>
      <c r="Z462" s="797"/>
      <c r="AA462" s="786"/>
      <c r="AC462" s="754" t="str">
        <f>IF(SUMIFS(Таблица14[часы],Таблица14[Ф. И. О.],B462)-Y457=0,"",SUMIFS(Таблица14[часы],Таблица14[Ф. И. О.],B462)-Y457)</f>
        <v/>
      </c>
    </row>
    <row r="463" spans="1:29">
      <c r="A463" s="786"/>
      <c r="B463" s="216"/>
      <c r="C463" s="789"/>
      <c r="D463" s="792"/>
      <c r="E463" s="437"/>
      <c r="F463" s="438"/>
      <c r="G463" s="439"/>
      <c r="H463" s="440"/>
      <c r="I463" s="441"/>
      <c r="J463" s="604"/>
      <c r="K463" s="442"/>
      <c r="L463" s="442"/>
      <c r="M463" s="442"/>
      <c r="N463" s="442"/>
      <c r="O463" s="442"/>
      <c r="P463" s="415"/>
      <c r="Q463" s="437">
        <f>IF($D$6&lt;=3,база!$L$4,
IF($D$6=4,база!$L$5,
IF($D$6=5,база!$L$6)))</f>
        <v>231.45480000000001</v>
      </c>
      <c r="R463" s="438">
        <v>1.3</v>
      </c>
      <c r="S463" s="439">
        <f>SUMIFS(Таблица14[часы],Таблица14[коэф],"1,3",Таблица14[р/р],"3/16",Таблица14[Ф. И. О.],B462)</f>
        <v>0</v>
      </c>
      <c r="T463" s="440">
        <f>SUMIFS(Таблица14[Столбец2],Таблица14[коэф],"1,3",Таблица14[р/р],"3/16",Таблица14[Ф. И. О.],B462)</f>
        <v>0</v>
      </c>
      <c r="U463" s="605">
        <f>IF(D457&lt;=3,база!$M$4,
IF(D457=4,база!$M$5,
IF(D457=5,база!$M$6)))</f>
        <v>225.09719999999999</v>
      </c>
      <c r="V463" s="438">
        <v>1.3</v>
      </c>
      <c r="W463" s="533">
        <f>SUMIFS(Таблица14[часы],Таблица14[коэф],"1,3",Таблица14[р/р],"3/24",Таблица14[Ф. И. О.],B462)</f>
        <v>0</v>
      </c>
      <c r="X463" s="606">
        <f>SUMIFS(Таблица14[Столбец2],Таблица14[коэф],"1,3",Таблица14[р/р],"3/24",Таблица14[Ф. И. О.],B462)</f>
        <v>0</v>
      </c>
      <c r="Y463" s="801"/>
      <c r="Z463" s="797"/>
      <c r="AA463" s="786"/>
    </row>
    <row r="464" spans="1:29">
      <c r="A464" s="786"/>
      <c r="B464" s="216"/>
      <c r="C464" s="789"/>
      <c r="D464" s="792"/>
      <c r="E464" s="437"/>
      <c r="F464" s="438"/>
      <c r="G464" s="439"/>
      <c r="H464" s="440"/>
      <c r="I464" s="441"/>
      <c r="J464" s="604"/>
      <c r="K464" s="442"/>
      <c r="L464" s="442"/>
      <c r="M464" s="442"/>
      <c r="N464" s="442"/>
      <c r="O464" s="442"/>
      <c r="P464" s="415"/>
      <c r="Q464" s="437">
        <f>база!$L$5</f>
        <v>231.45480000000001</v>
      </c>
      <c r="R464" s="438">
        <v>1.3</v>
      </c>
      <c r="S464" s="439">
        <f>SUMIFS(Таблица14[часы],Таблица14[коэф],"1,3",Таблица14[р/р],"4/16",Таблица14[Ф. И. О.],B462)</f>
        <v>0</v>
      </c>
      <c r="T464" s="440">
        <f>SUMIFS(Таблица14[Столбец2],Таблица14[коэф],"1,3",Таблица14[р/р],"4/16",Таблица14[Ф. И. О.],B462)</f>
        <v>0</v>
      </c>
      <c r="U464" s="605">
        <f>база!$M$5</f>
        <v>247.41720000000001</v>
      </c>
      <c r="V464" s="438">
        <v>1.3</v>
      </c>
      <c r="W464" s="533">
        <f>SUMIFS(Таблица14[часы],Таблица14[коэф],"1,3",Таблица14[р/р],"4/24",Таблица14[Ф. И. О.],B462)</f>
        <v>0</v>
      </c>
      <c r="X464" s="606">
        <f>SUMIFS(Таблица14[Столбец2],Таблица14[коэф],"1,3",Таблица14[р/р],"4/24",Таблица14[Ф. И. О.],B462)</f>
        <v>0</v>
      </c>
      <c r="Y464" s="801"/>
      <c r="Z464" s="797"/>
      <c r="AA464" s="786"/>
    </row>
    <row r="465" spans="1:29">
      <c r="A465" s="786"/>
      <c r="B465" s="216"/>
      <c r="C465" s="789"/>
      <c r="D465" s="792"/>
      <c r="E465" s="437"/>
      <c r="F465" s="438"/>
      <c r="G465" s="439"/>
      <c r="H465" s="440"/>
      <c r="I465" s="441"/>
      <c r="J465" s="604"/>
      <c r="K465" s="442"/>
      <c r="L465" s="442"/>
      <c r="M465" s="442"/>
      <c r="N465" s="442"/>
      <c r="O465" s="442"/>
      <c r="P465" s="415"/>
      <c r="Q465" s="437">
        <f>IF(D457&lt;=3,база!$L$4,
IF(D457=4,база!$L$5,
IF(D457=5,база!$L$6)))</f>
        <v>210.57480000000001</v>
      </c>
      <c r="R465" s="438">
        <v>1.4</v>
      </c>
      <c r="S465" s="439">
        <f>SUMIFS(Таблица14[часы],Таблица14[коэф],"1,4",Таблица14[р/р],"3/16",Таблица14[Ф. И. О.],B462)</f>
        <v>0</v>
      </c>
      <c r="T465" s="440">
        <f>SUMIFS(Таблица14[Столбец2],Таблица14[коэф],"1,4",Таблица14[р/р],"3/16",Таблица14[Ф. И. О.],B462)</f>
        <v>0</v>
      </c>
      <c r="U465" s="605">
        <f>IF(D457&lt;=3,база!$M$4,
IF(D457=4,база!$M$5,
IF(D457=5,база!$M$6)))</f>
        <v>225.09719999999999</v>
      </c>
      <c r="V465" s="438">
        <v>1.4</v>
      </c>
      <c r="W465" s="533">
        <f>SUMIFS(Таблица14[часы],Таблица14[коэф],"1,4",Таблица14[р/р],"3/24",Таблица14[Ф. И. О.],B462)</f>
        <v>0</v>
      </c>
      <c r="X465" s="606">
        <f>SUMIFS(Таблица14[Столбец2],Таблица14[коэф],"1,4",Таблица14[р/р],"3/24",Таблица14[Ф. И. О.],B462)</f>
        <v>0</v>
      </c>
      <c r="Y465" s="801"/>
      <c r="Z465" s="797"/>
      <c r="AA465" s="786"/>
    </row>
    <row r="466" spans="1:29">
      <c r="A466" s="786"/>
      <c r="B466" s="216"/>
      <c r="C466" s="789"/>
      <c r="D466" s="792"/>
      <c r="E466" s="437"/>
      <c r="F466" s="438"/>
      <c r="G466" s="439"/>
      <c r="H466" s="440"/>
      <c r="I466" s="441"/>
      <c r="J466" s="604"/>
      <c r="K466" s="442"/>
      <c r="L466" s="442"/>
      <c r="M466" s="442"/>
      <c r="N466" s="442"/>
      <c r="O466" s="442"/>
      <c r="P466" s="415"/>
      <c r="Q466" s="437">
        <f>база!$L$5</f>
        <v>231.45480000000001</v>
      </c>
      <c r="R466" s="438">
        <v>1.4</v>
      </c>
      <c r="S466" s="439">
        <f>SUMIFS(Таблица14[часы],Таблица14[коэф],"1,4",Таблица14[р/р],"4/16",Таблица14[Ф. И. О.],B462)</f>
        <v>0</v>
      </c>
      <c r="T466" s="440">
        <f>SUMIFS(Таблица14[Столбец2],Таблица14[коэф],"1,4",Таблица14[р/р],"4/16",Таблица14[Ф. И. О.],B462)</f>
        <v>0</v>
      </c>
      <c r="U466" s="605">
        <f>база!$M$5</f>
        <v>247.41720000000001</v>
      </c>
      <c r="V466" s="438">
        <v>1.4</v>
      </c>
      <c r="W466" s="533">
        <f>SUMIFS(Таблица14[часы],Таблица14[коэф],"1,4",Таблица14[р/р],"4/24",Таблица14[Ф. И. О.],B462)</f>
        <v>0</v>
      </c>
      <c r="X466" s="606">
        <f>SUMIFS(Таблица14[Столбец2],Таблица14[коэф],"1,4",Таблица14[р/р],"4/24",Таблица14[Ф. И. О.],B462)</f>
        <v>0</v>
      </c>
      <c r="Y466" s="801"/>
      <c r="Z466" s="797"/>
      <c r="AA466" s="786"/>
    </row>
    <row r="467" spans="1:29" ht="21" thickBot="1">
      <c r="A467" s="787"/>
      <c r="B467" s="203"/>
      <c r="C467" s="790"/>
      <c r="D467" s="793"/>
      <c r="E467" s="445"/>
      <c r="F467" s="446"/>
      <c r="G467" s="447"/>
      <c r="H467" s="535"/>
      <c r="I467" s="448"/>
      <c r="J467" s="617"/>
      <c r="K467" s="449"/>
      <c r="L467" s="449"/>
      <c r="M467" s="449"/>
      <c r="N467" s="449"/>
      <c r="O467" s="449"/>
      <c r="P467" s="538"/>
      <c r="Q467" s="445">
        <f>база!$L$6</f>
        <v>261.04640000000001</v>
      </c>
      <c r="R467" s="446">
        <v>1.4</v>
      </c>
      <c r="S467" s="447">
        <f>SUMIFS(Таблица14[часы],Таблица14[коэф],"1,4",Таблица14[р/р],"5/16",Таблица14[Ф. И. О.],B462)</f>
        <v>0</v>
      </c>
      <c r="T467" s="535">
        <f>SUMIFS(Таблица14[Столбец2],Таблица14[коэф],"1,4",Таблица14[р/р],"5/16",Таблица14[Ф. И. О.],B462)</f>
        <v>0</v>
      </c>
      <c r="U467" s="618">
        <f>база!$M$6</f>
        <v>279.0496</v>
      </c>
      <c r="V467" s="446">
        <v>1.4</v>
      </c>
      <c r="W467" s="540">
        <f>SUMIFS(Таблица14[часы],Таблица14[коэф],"1,4",Таблица14[р/р],"5/24",Таблица14[Ф. И. О.],B462)</f>
        <v>0</v>
      </c>
      <c r="X467" s="619">
        <f>SUMIFS(Таблица14[Столбец2],Таблица14[коэф],"1,4",Таблица14[р/р],"5/24",Таблица14[Ф. И. О.],B462)</f>
        <v>0</v>
      </c>
      <c r="Y467" s="802"/>
      <c r="Z467" s="798"/>
      <c r="AA467" s="787"/>
    </row>
    <row r="468" spans="1:29" ht="20.25" customHeight="1">
      <c r="A468" s="785">
        <v>43</v>
      </c>
      <c r="B468" s="216"/>
      <c r="C468" s="788">
        <f>INDEX(база!$E$2:$E$81, MATCH(B473,база!$B$2:$B$50,0))</f>
        <v>17321</v>
      </c>
      <c r="D468" s="791">
        <f>INDEX(база!$D$2:$D$89, MATCH(B473,база!$B$2:$B$50,0))</f>
        <v>3</v>
      </c>
      <c r="E468" s="437">
        <f>IF(D468&lt;=3,база!$I$4,
IF(D468=4,база!$I$5,
IF(D468=5,база!$I$6)))</f>
        <v>188.7912</v>
      </c>
      <c r="F468" s="438">
        <v>1</v>
      </c>
      <c r="G468" s="439">
        <f>SUMIFS(Таблица14[часы],Таблица14[коэф],"1",Таблица14[р/р],"2/4",Таблица14[Ф. И. О.],B473)</f>
        <v>0</v>
      </c>
      <c r="H468" s="440">
        <f>SUMIFS(Таблица14[Столбец2],Таблица14[коэф],"1",Таблица14[р/р],"2/4",Таблица14[Ф. И. О.],B473)</f>
        <v>0</v>
      </c>
      <c r="I468" s="441">
        <f>IF(D468&lt;=3,база!$J$4,
IF(D468=4,база!$J$5,
IF(D468=5,база!$J$6)))</f>
        <v>196.05240000000001</v>
      </c>
      <c r="J468" s="604">
        <v>1</v>
      </c>
      <c r="K468" s="442">
        <f>SUMIFS(Таблица14[часы],Таблица14[коэф],"1",Таблица14[р/р],"2/8",Таблица14[Ф. И. О.],B473)</f>
        <v>0</v>
      </c>
      <c r="L468" s="442">
        <f>SUMIFS(Таблица14[Столбец2],Таблица14[коэф],"1",Таблица14[р/р],"2/8",Таблица14[Ф. И. О.],B473)</f>
        <v>0</v>
      </c>
      <c r="M468" s="442"/>
      <c r="N468" s="442">
        <v>1</v>
      </c>
      <c r="O468" s="442">
        <f>SUMIFS(Data_Tech!$AM$3:$AM$67,Data_Tech!$E$3:$E$67,"1",Data_Tech!$G$3:$G$67,"3/12",Data_Tech!$F$3:$F$67,B473)</f>
        <v>0</v>
      </c>
      <c r="P468" s="415">
        <f>ROUND(M468*N468*O468,2)</f>
        <v>0</v>
      </c>
      <c r="Q468" s="437">
        <f>IF(D468&lt;=3,база!$L$4,
IF(D468=4,база!$L$5,
IF(D468=5,база!$L$6)))</f>
        <v>210.57480000000001</v>
      </c>
      <c r="R468" s="438">
        <v>1</v>
      </c>
      <c r="S468" s="439">
        <f>SUMIFS(Таблица14[часы],Таблица14[коэф],"1",Таблица14[р/р],"3/16",Таблица14[Ф. И. О.],B473)</f>
        <v>0</v>
      </c>
      <c r="T468" s="440">
        <f>SUMIFS(Таблица14[Столбец2],Таблица14[коэф],"1",Таблица14[р/р],"3/16",Таблица14[Ф. И. О.],B473)</f>
        <v>0</v>
      </c>
      <c r="U468" s="605">
        <f>IF(D468&lt;=3,база!$M$4,
IF(D468=4,база!$M$5,
IF(D468=5,база!$M$6)))</f>
        <v>225.09719999999999</v>
      </c>
      <c r="V468" s="438">
        <v>1</v>
      </c>
      <c r="W468" s="533">
        <f>SUMIFS(Таблица14[часы],Таблица14[коэф],"1",Таблица14[р/р],"3/24",Таблица14[Ф. И. О.],B473)</f>
        <v>0</v>
      </c>
      <c r="X468" s="606">
        <f>SUMIFS(Таблица14[Столбец2],Таблица14[коэф],"1",Таблица14[р/р],"3/24",Таблица14[Ф. И. О.],B473)</f>
        <v>0</v>
      </c>
      <c r="Y468" s="800">
        <f t="shared" ref="Y468" si="224">SUM(G468:G478,K468:K478,O468:O478,S468:S478,W468:W478)</f>
        <v>0</v>
      </c>
      <c r="Z468" s="799">
        <f t="shared" ref="Z468" si="225">IFERROR(SUM(H468:H478,L468:L478,T468:T478,X468:X478),"")</f>
        <v>0</v>
      </c>
      <c r="AA468" s="785"/>
    </row>
    <row r="469" spans="1:29">
      <c r="A469" s="786"/>
      <c r="B469" s="216"/>
      <c r="C469" s="789"/>
      <c r="D469" s="792"/>
      <c r="E469" s="437">
        <f>IF(D468&lt;=3,база!$I$4,
IF(D468=4,база!$I$5,
IF(D468=5,база!$I$6)))</f>
        <v>188.7912</v>
      </c>
      <c r="F469" s="438">
        <v>1</v>
      </c>
      <c r="G469" s="439">
        <f>SUMIFS(Таблица14[часы],Таблица14[коэф],"1",Таблица14[р/р],"3/4",Таблица14[Ф. И. О.],B473)</f>
        <v>0</v>
      </c>
      <c r="H469" s="440">
        <f>SUMIFS(Таблица14[Столбец2],Таблица14[коэф],"1",Таблица14[р/р],"3/4",Таблица14[Ф. И. О.],B473)</f>
        <v>0</v>
      </c>
      <c r="I469" s="441">
        <f>IF(D468&lt;=3,база!$J$4,
IF(D468=4,база!$J$5,
IF(D468=5,база!$J$6)))</f>
        <v>196.05240000000001</v>
      </c>
      <c r="J469" s="604">
        <v>1</v>
      </c>
      <c r="K469" s="442">
        <f>SUMIFS(Таблица14[часы],Таблица14[коэф],"1",Таблица14[р/р],"3/8",Таблица14[Ф. И. О.],B473)</f>
        <v>0</v>
      </c>
      <c r="L469" s="442">
        <f>SUMIFS(Таблица14[Столбец2],Таблица14[коэф],"1",Таблица14[р/р],"3/8",Таблица14[Ф. И. О.],B473)</f>
        <v>0</v>
      </c>
      <c r="M469" s="442"/>
      <c r="N469" s="442">
        <v>1</v>
      </c>
      <c r="O469" s="442">
        <f>SUMIFS(Data_Tech!$AM$3:$AM$67,Data_Tech!$E$3:$E$67,"1",Data_Tech!$G$3:$G$67,"4/12",Data_Tech!$F$3:$F$67,B473)</f>
        <v>0</v>
      </c>
      <c r="P469" s="415">
        <f>ROUND(M469*O469,2)</f>
        <v>0</v>
      </c>
      <c r="Q469" s="437">
        <f>база!$L$5</f>
        <v>231.45480000000001</v>
      </c>
      <c r="R469" s="438">
        <v>1</v>
      </c>
      <c r="S469" s="439">
        <f>SUMIFS(Таблица14[часы],Таблица14[коэф],"1",Таблица14[р/р],"4/16",Таблица14[Ф. И. О.],B473)</f>
        <v>0</v>
      </c>
      <c r="T469" s="440">
        <f>SUMIFS(Таблица14[Столбец2],Таблица14[коэф],"1",Таблица14[р/р],"4/16",Таблица14[Ф. И. О.],B473)</f>
        <v>0</v>
      </c>
      <c r="U469" s="605">
        <f>база!$M$5</f>
        <v>247.41720000000001</v>
      </c>
      <c r="V469" s="438">
        <v>1</v>
      </c>
      <c r="W469" s="533">
        <f>SUMIFS(Таблица14[часы],Таблица14[коэф],"1",Таблица14[р/р],"4/24",Таблица14[Ф. И. О.],B473)</f>
        <v>0</v>
      </c>
      <c r="X469" s="606">
        <f>SUMIFS(Таблица14[Столбец2],Таблица14[коэф],"1",Таблица14[р/р],"4/24",Таблица14[Ф. И. О.],B473)</f>
        <v>0</v>
      </c>
      <c r="Y469" s="801"/>
      <c r="Z469" s="797"/>
      <c r="AA469" s="786"/>
    </row>
    <row r="470" spans="1:29">
      <c r="A470" s="786"/>
      <c r="B470" s="216"/>
      <c r="C470" s="789"/>
      <c r="D470" s="792"/>
      <c r="E470" s="437"/>
      <c r="F470" s="438"/>
      <c r="G470" s="439"/>
      <c r="H470" s="440"/>
      <c r="I470" s="441"/>
      <c r="J470" s="604"/>
      <c r="K470" s="442"/>
      <c r="L470" s="442"/>
      <c r="M470" s="442"/>
      <c r="N470" s="442"/>
      <c r="O470" s="442"/>
      <c r="P470" s="415"/>
      <c r="Q470" s="437">
        <f>база!$L$6</f>
        <v>261.04640000000001</v>
      </c>
      <c r="R470" s="438">
        <v>1</v>
      </c>
      <c r="S470" s="439">
        <f>SUMIFS(Таблица14[часы],Таблица14[коэф],"1",Таблица14[р/р],"5/16",Таблица14[Ф. И. О.],B473)</f>
        <v>0</v>
      </c>
      <c r="T470" s="440">
        <f>SUMIFS(Таблица14[Столбец2],Таблица14[коэф],"1",Таблица14[р/р],"5/16",Таблица14[Ф. И. О.],B473)</f>
        <v>0</v>
      </c>
      <c r="U470" s="605">
        <f>база!$M$6</f>
        <v>279.0496</v>
      </c>
      <c r="V470" s="438">
        <v>1</v>
      </c>
      <c r="W470" s="533">
        <f>SUMIFS(Таблица14[часы],Таблица14[коэф],"1",Таблица14[р/р],"5/24",Таблица14[Ф. И. О.],B473)</f>
        <v>0</v>
      </c>
      <c r="X470" s="606">
        <f>SUMIFS(Таблица14[Столбец2],Таблица14[коэф],"1",Таблица14[р/р],"5/24",Таблица14[Ф. И. О.],B473)</f>
        <v>0</v>
      </c>
      <c r="Y470" s="801"/>
      <c r="Z470" s="797"/>
      <c r="AA470" s="786"/>
    </row>
    <row r="471" spans="1:29">
      <c r="A471" s="786"/>
      <c r="B471" s="216"/>
      <c r="C471" s="789"/>
      <c r="D471" s="792"/>
      <c r="E471" s="437"/>
      <c r="F471" s="438"/>
      <c r="G471" s="439"/>
      <c r="H471" s="440"/>
      <c r="I471" s="441">
        <f>база!$J$5</f>
        <v>215.4924</v>
      </c>
      <c r="J471" s="604">
        <v>1.5</v>
      </c>
      <c r="K471" s="442">
        <f>SUMIFS(Таблица14[часы],Таблица14[коэф],"1,5",Таблица14[р/р],"4/8",Таблица14[Ф. И. О.],B473)</f>
        <v>0</v>
      </c>
      <c r="L471" s="442">
        <f>SUMIFS(Таблица14[Столбец2],Таблица14[коэф],"1,5",Таблица14[р/р],"4/8",Таблица14[Ф. И. О.],B473)</f>
        <v>0</v>
      </c>
      <c r="M471" s="442"/>
      <c r="N471" s="442"/>
      <c r="O471" s="442"/>
      <c r="P471" s="415"/>
      <c r="Q471" s="437">
        <f>IF(D468&lt;=3,база!$L$4,
IF(D468=4,база!$L$5,
IF(D468=5,база!$L$6)))</f>
        <v>210.57480000000001</v>
      </c>
      <c r="R471" s="438">
        <v>1.2</v>
      </c>
      <c r="S471" s="439">
        <f>SUMIFS(Таблица14[часы],Таблица14[коэф],"1,2",Таблица14[р/р],"3/16",Таблица14[Ф. И. О.],B473)</f>
        <v>0</v>
      </c>
      <c r="T471" s="440">
        <f>SUMIFS(Таблица14[Столбец2],Таблица14[коэф],"1,2",Таблица14[р/р],"3/16",Таблица14[Ф. И. О.],B473)</f>
        <v>0</v>
      </c>
      <c r="U471" s="605">
        <f>IF(D468&lt;=3,база!$M$4,
IF(D468=4,база!$M$5,
IF(D468=5,база!$M$6)))</f>
        <v>225.09719999999999</v>
      </c>
      <c r="V471" s="438">
        <v>1.2</v>
      </c>
      <c r="W471" s="533">
        <f>SUMIFS(Таблица14[часы],Таблица14[коэф],"1,2",Таблица14[р/р],"3/24",Таблица14[Ф. И. О.],B473)</f>
        <v>0</v>
      </c>
      <c r="X471" s="606">
        <f>SUMIFS(Таблица14[Столбец2],Таблица14[коэф],"1,2",Таблица14[р/р],"3/24",Таблица14[Ф. И. О.],B473)</f>
        <v>0</v>
      </c>
      <c r="Y471" s="801"/>
      <c r="Z471" s="797"/>
      <c r="AA471" s="786"/>
    </row>
    <row r="472" spans="1:29">
      <c r="A472" s="786"/>
      <c r="B472" s="216"/>
      <c r="C472" s="789"/>
      <c r="D472" s="792"/>
      <c r="E472" s="437"/>
      <c r="F472" s="438"/>
      <c r="G472" s="439"/>
      <c r="H472" s="440"/>
      <c r="I472" s="441">
        <f>база!$J$6</f>
        <v>243.04319999999998</v>
      </c>
      <c r="J472" s="604">
        <v>1.5</v>
      </c>
      <c r="K472" s="442">
        <f>SUMIFS(Таблица14[часы],Таблица14[коэф],"1,5",Таблица14[р/р],"5/8",Таблица14[Ф. И. О.],B473)</f>
        <v>0</v>
      </c>
      <c r="L472" s="442">
        <f>SUMIFS(Таблица14[Столбец2],Таблица14[коэф],"1,5",Таблица14[р/р],"5/8",Таблица14[Ф. И. О.],B473)</f>
        <v>0</v>
      </c>
      <c r="M472" s="442"/>
      <c r="N472" s="442"/>
      <c r="O472" s="442"/>
      <c r="P472" s="415"/>
      <c r="Q472" s="437">
        <f>база!$L$5</f>
        <v>231.45480000000001</v>
      </c>
      <c r="R472" s="438">
        <v>1.2</v>
      </c>
      <c r="S472" s="439">
        <f>SUMIFS(Таблица14[часы],Таблица14[коэф],"1,2",Таблица14[р/р],"4/16",Таблица14[Ф. И. О.],B473)</f>
        <v>0</v>
      </c>
      <c r="T472" s="440">
        <f>SUMIFS(Таблица14[Столбец2],Таблица14[коэф],"1,2",Таблица14[р/р],"4/16",Таблица14[Ф. И. О.],B473)</f>
        <v>0</v>
      </c>
      <c r="U472" s="605">
        <f>база!$M$5</f>
        <v>247.41720000000001</v>
      </c>
      <c r="V472" s="438">
        <v>1.2</v>
      </c>
      <c r="W472" s="533">
        <f>SUMIFS(Таблица14[часы],Таблица14[коэф],"1,2",Таблица14[р/р],"4/24",Таблица14[Ф. И. О.],B473)</f>
        <v>0</v>
      </c>
      <c r="X472" s="606">
        <f>SUMIFS(Таблица14[Столбец2],Таблица14[коэф],"1,2",Таблица14[р/р],"4/24",Таблица14[Ф. И. О.],B473)</f>
        <v>0</v>
      </c>
      <c r="Y472" s="801"/>
      <c r="Z472" s="797"/>
      <c r="AA472" s="786"/>
    </row>
    <row r="473" spans="1:29">
      <c r="A473" s="786"/>
      <c r="B473" s="216" t="str">
        <f>база!B44</f>
        <v>Малышева Анна Евгеньевна</v>
      </c>
      <c r="C473" s="789"/>
      <c r="D473" s="792"/>
      <c r="E473" s="437"/>
      <c r="F473" s="438"/>
      <c r="G473" s="439"/>
      <c r="H473" s="440"/>
      <c r="I473" s="441"/>
      <c r="J473" s="604"/>
      <c r="K473" s="442"/>
      <c r="L473" s="442"/>
      <c r="M473" s="442"/>
      <c r="N473" s="442"/>
      <c r="O473" s="442"/>
      <c r="P473" s="415"/>
      <c r="Q473" s="437">
        <f>база!$L$6</f>
        <v>261.04640000000001</v>
      </c>
      <c r="R473" s="438">
        <v>1.2</v>
      </c>
      <c r="S473" s="439">
        <f>SUMIFS(Таблица14[часы],Таблица14[коэф],"1,2",Таблица14[р/р],"5/16",Таблица14[Ф. И. О.],B473)</f>
        <v>0</v>
      </c>
      <c r="T473" s="440">
        <f>SUMIFS(Таблица14[Столбец2],Таблица14[коэф],"1,2",Таблица14[р/р],"5/16",Таблица14[Ф. И. О.],B473)</f>
        <v>0</v>
      </c>
      <c r="U473" s="605">
        <f>база!$M$6</f>
        <v>279.0496</v>
      </c>
      <c r="V473" s="438">
        <v>1.2</v>
      </c>
      <c r="W473" s="533">
        <f>SUMIFS(Таблица14[часы],Таблица14[коэф],"1,2",Таблица14[р/р],"5/24",Таблица14[Ф. И. О.],B473)</f>
        <v>0</v>
      </c>
      <c r="X473" s="606">
        <f>SUMIFS(Таблица14[Столбец2],Таблица14[коэф],"1,2",Таблица14[р/р],"5/24",Таблица14[Ф. И. О.],B473)</f>
        <v>0</v>
      </c>
      <c r="Y473" s="801"/>
      <c r="Z473" s="797"/>
      <c r="AA473" s="786"/>
      <c r="AC473" s="754" t="str">
        <f>IF(SUMIFS(Таблица14[Столбец2],Таблица14[Ф. И. О.],B473)-Z468=0,"",SUMIFS(Таблица14[Столбец2],Таблица14[Ф. И. О.],B473)-Z468)</f>
        <v/>
      </c>
    </row>
    <row r="474" spans="1:29">
      <c r="A474" s="786"/>
      <c r="B474" s="216"/>
      <c r="C474" s="789"/>
      <c r="D474" s="792"/>
      <c r="E474" s="437"/>
      <c r="F474" s="438"/>
      <c r="G474" s="439"/>
      <c r="H474" s="440"/>
      <c r="I474" s="441"/>
      <c r="J474" s="604"/>
      <c r="K474" s="442"/>
      <c r="L474" s="442"/>
      <c r="M474" s="442"/>
      <c r="N474" s="442"/>
      <c r="O474" s="442"/>
      <c r="P474" s="415"/>
      <c r="Q474" s="437">
        <f>IF($D$6&lt;=3,база!$L$4,
IF($D$6=4,база!$L$5,
IF($D$6=5,база!$L$6)))</f>
        <v>231.45480000000001</v>
      </c>
      <c r="R474" s="438">
        <v>1.3</v>
      </c>
      <c r="S474" s="439">
        <f>SUMIFS(Таблица14[часы],Таблица14[коэф],"1,3",Таблица14[р/р],"3/16",Таблица14[Ф. И. О.],B473)</f>
        <v>0</v>
      </c>
      <c r="T474" s="440">
        <f>SUMIFS(Таблица14[Столбец2],Таблица14[коэф],"1,3",Таблица14[р/р],"3/16",Таблица14[Ф. И. О.],B473)</f>
        <v>0</v>
      </c>
      <c r="U474" s="605">
        <f>IF(D468&lt;=3,база!$M$4,
IF(D468=4,база!$M$5,
IF(D468=5,база!$M$6)))</f>
        <v>225.09719999999999</v>
      </c>
      <c r="V474" s="438">
        <v>1.3</v>
      </c>
      <c r="W474" s="533">
        <f>SUMIFS(Таблица14[часы],Таблица14[коэф],"1,3",Таблица14[р/р],"3/24",Таблица14[Ф. И. О.],B473)</f>
        <v>0</v>
      </c>
      <c r="X474" s="606">
        <f>SUMIFS(Таблица14[Столбец2],Таблица14[коэф],"1,3",Таблица14[р/р],"3/24",Таблица14[Ф. И. О.],B473)</f>
        <v>0</v>
      </c>
      <c r="Y474" s="801"/>
      <c r="Z474" s="797"/>
      <c r="AA474" s="786"/>
      <c r="AC474" s="754" t="str">
        <f>IF(SUMIFS(Таблица14[часы],Таблица14[Ф. И. О.],B473)-Y468=0,"",SUMIFS(Таблица14[часы],Таблица14[Ф. И. О.],B473)-Y468)</f>
        <v/>
      </c>
    </row>
    <row r="475" spans="1:29">
      <c r="A475" s="786"/>
      <c r="B475" s="216"/>
      <c r="C475" s="789"/>
      <c r="D475" s="792"/>
      <c r="E475" s="437"/>
      <c r="F475" s="438"/>
      <c r="G475" s="439"/>
      <c r="H475" s="440"/>
      <c r="I475" s="441"/>
      <c r="J475" s="604"/>
      <c r="K475" s="442"/>
      <c r="L475" s="442"/>
      <c r="M475" s="442"/>
      <c r="N475" s="442"/>
      <c r="O475" s="442"/>
      <c r="P475" s="415"/>
      <c r="Q475" s="437">
        <f>база!$L$5</f>
        <v>231.45480000000001</v>
      </c>
      <c r="R475" s="438">
        <v>1.3</v>
      </c>
      <c r="S475" s="439">
        <f>SUMIFS(Таблица14[часы],Таблица14[коэф],"1,3",Таблица14[р/р],"4/16",Таблица14[Ф. И. О.],B473)</f>
        <v>0</v>
      </c>
      <c r="T475" s="440">
        <f>SUMIFS(Таблица14[Столбец2],Таблица14[коэф],"1,3",Таблица14[р/р],"4/16",Таблица14[Ф. И. О.],B473)</f>
        <v>0</v>
      </c>
      <c r="U475" s="605">
        <f>база!$M$5</f>
        <v>247.41720000000001</v>
      </c>
      <c r="V475" s="438">
        <v>1.3</v>
      </c>
      <c r="W475" s="533">
        <f>SUMIFS(Таблица14[часы],Таблица14[коэф],"1,3",Таблица14[р/р],"4/24",Таблица14[Ф. И. О.],B473)</f>
        <v>0</v>
      </c>
      <c r="X475" s="606">
        <f>SUMIFS(Таблица14[Столбец2],Таблица14[коэф],"1,3",Таблица14[р/р],"4/24",Таблица14[Ф. И. О.],B473)</f>
        <v>0</v>
      </c>
      <c r="Y475" s="801"/>
      <c r="Z475" s="797"/>
      <c r="AA475" s="786"/>
    </row>
    <row r="476" spans="1:29">
      <c r="A476" s="786"/>
      <c r="B476" s="216"/>
      <c r="C476" s="789"/>
      <c r="D476" s="792"/>
      <c r="E476" s="437"/>
      <c r="F476" s="438"/>
      <c r="G476" s="439"/>
      <c r="H476" s="440"/>
      <c r="I476" s="441"/>
      <c r="J476" s="604"/>
      <c r="K476" s="442"/>
      <c r="L476" s="442"/>
      <c r="M476" s="442"/>
      <c r="N476" s="442"/>
      <c r="O476" s="442"/>
      <c r="P476" s="415"/>
      <c r="Q476" s="437">
        <f>IF(D468&lt;=3,база!$L$4,
IF(D468=4,база!$L$5,
IF(D468=5,база!$L$6)))</f>
        <v>210.57480000000001</v>
      </c>
      <c r="R476" s="438">
        <v>1.4</v>
      </c>
      <c r="S476" s="439">
        <f>SUMIFS(Таблица14[часы],Таблица14[коэф],"1,4",Таблица14[р/р],"3/16",Таблица14[Ф. И. О.],B473)</f>
        <v>0</v>
      </c>
      <c r="T476" s="440">
        <f>SUMIFS(Таблица14[Столбец2],Таблица14[коэф],"1,4",Таблица14[р/р],"3/16",Таблица14[Ф. И. О.],B473)</f>
        <v>0</v>
      </c>
      <c r="U476" s="605">
        <f>IF(D468&lt;=3,база!$M$4,
IF(D468=4,база!$M$5,
IF(D468=5,база!$M$6)))</f>
        <v>225.09719999999999</v>
      </c>
      <c r="V476" s="438">
        <v>1.4</v>
      </c>
      <c r="W476" s="533">
        <f>SUMIFS(Таблица14[часы],Таблица14[коэф],"1,4",Таблица14[р/р],"3/24",Таблица14[Ф. И. О.],B473)</f>
        <v>0</v>
      </c>
      <c r="X476" s="606">
        <f>SUMIFS(Таблица14[Столбец2],Таблица14[коэф],"1,4",Таблица14[р/р],"3/24",Таблица14[Ф. И. О.],B473)</f>
        <v>0</v>
      </c>
      <c r="Y476" s="801"/>
      <c r="Z476" s="797"/>
      <c r="AA476" s="786"/>
    </row>
    <row r="477" spans="1:29">
      <c r="A477" s="786"/>
      <c r="B477" s="216"/>
      <c r="C477" s="789"/>
      <c r="D477" s="792"/>
      <c r="E477" s="437"/>
      <c r="F477" s="438"/>
      <c r="G477" s="439"/>
      <c r="H477" s="440"/>
      <c r="I477" s="441"/>
      <c r="J477" s="604"/>
      <c r="K477" s="442"/>
      <c r="L477" s="442"/>
      <c r="M477" s="442"/>
      <c r="N477" s="442"/>
      <c r="O477" s="442"/>
      <c r="P477" s="415"/>
      <c r="Q477" s="437">
        <f>база!$L$5</f>
        <v>231.45480000000001</v>
      </c>
      <c r="R477" s="438">
        <v>1.4</v>
      </c>
      <c r="S477" s="439">
        <f>SUMIFS(Таблица14[часы],Таблица14[коэф],"1,4",Таблица14[р/р],"4/16",Таблица14[Ф. И. О.],B473)</f>
        <v>0</v>
      </c>
      <c r="T477" s="440">
        <f>SUMIFS(Таблица14[Столбец2],Таблица14[коэф],"1,4",Таблица14[р/р],"4/16",Таблица14[Ф. И. О.],B473)</f>
        <v>0</v>
      </c>
      <c r="U477" s="605">
        <f>база!$M$5</f>
        <v>247.41720000000001</v>
      </c>
      <c r="V477" s="438">
        <v>1.4</v>
      </c>
      <c r="W477" s="533">
        <f>SUMIFS(Таблица14[часы],Таблица14[коэф],"1,4",Таблица14[р/р],"4/24",Таблица14[Ф. И. О.],B473)</f>
        <v>0</v>
      </c>
      <c r="X477" s="606">
        <f>SUMIFS(Таблица14[Столбец2],Таблица14[коэф],"1,4",Таблица14[р/р],"4/24",Таблица14[Ф. И. О.],B473)</f>
        <v>0</v>
      </c>
      <c r="Y477" s="801"/>
      <c r="Z477" s="797"/>
      <c r="AA477" s="786"/>
    </row>
    <row r="478" spans="1:29" ht="21" thickBot="1">
      <c r="A478" s="787"/>
      <c r="B478" s="203"/>
      <c r="C478" s="790"/>
      <c r="D478" s="793"/>
      <c r="E478" s="445"/>
      <c r="F478" s="446"/>
      <c r="G478" s="447"/>
      <c r="H478" s="535"/>
      <c r="I478" s="448"/>
      <c r="J478" s="617"/>
      <c r="K478" s="449"/>
      <c r="L478" s="449"/>
      <c r="M478" s="449"/>
      <c r="N478" s="449"/>
      <c r="O478" s="449"/>
      <c r="P478" s="538"/>
      <c r="Q478" s="445">
        <f>база!$L$6</f>
        <v>261.04640000000001</v>
      </c>
      <c r="R478" s="446">
        <v>1.4</v>
      </c>
      <c r="S478" s="447">
        <f>SUMIFS(Таблица14[часы],Таблица14[коэф],"1,4",Таблица14[р/р],"5/16",Таблица14[Ф. И. О.],B473)</f>
        <v>0</v>
      </c>
      <c r="T478" s="535">
        <f>SUMIFS(Таблица14[Столбец2],Таблица14[коэф],"1,4",Таблица14[р/р],"5/16",Таблица14[Ф. И. О.],B473)</f>
        <v>0</v>
      </c>
      <c r="U478" s="618">
        <f>база!$M$6</f>
        <v>279.0496</v>
      </c>
      <c r="V478" s="446">
        <v>1.4</v>
      </c>
      <c r="W478" s="540">
        <f>SUMIFS(Таблица14[часы],Таблица14[коэф],"1,4",Таблица14[р/р],"5/24",Таблица14[Ф. И. О.],B473)</f>
        <v>0</v>
      </c>
      <c r="X478" s="619">
        <f>SUMIFS(Таблица14[Столбец2],Таблица14[коэф],"1,4",Таблица14[р/р],"5/24",Таблица14[Ф. И. О.],B473)</f>
        <v>0</v>
      </c>
      <c r="Y478" s="802"/>
      <c r="Z478" s="798"/>
      <c r="AA478" s="787"/>
    </row>
    <row r="479" spans="1:29" ht="20.25" customHeight="1">
      <c r="A479" s="785">
        <v>44</v>
      </c>
      <c r="B479" s="236"/>
      <c r="C479" s="788">
        <f>INDEX(база!$E$2:$E$81, MATCH(B484,база!$B$2:$B$50,0))</f>
        <v>17136</v>
      </c>
      <c r="D479" s="791">
        <f>INDEX(база!$D$2:$D$89, MATCH(B484,база!$B$2:$B$50,0))</f>
        <v>3</v>
      </c>
      <c r="E479" s="607">
        <f>IF(D479&lt;=3,база!$I$4,
IF(D479=4,база!$I$5,
IF(D479=5,база!$I$6)))</f>
        <v>188.7912</v>
      </c>
      <c r="F479" s="608">
        <v>1</v>
      </c>
      <c r="G479" s="609">
        <f>SUMIFS(Таблица14[часы],Таблица14[коэф],"1",Таблица14[р/р],"2/4",Таблица14[Ф. И. О.],B484)</f>
        <v>0</v>
      </c>
      <c r="H479" s="518">
        <f>SUMIFS(Таблица14[Столбец2],Таблица14[коэф],"1",Таблица14[р/р],"2/4",Таблица14[Ф. И. О.],B484)</f>
        <v>0</v>
      </c>
      <c r="I479" s="610">
        <f>IF(D479&lt;=3,база!$J$4,
IF(D479=4,база!$J$5,
IF(D479=5,база!$J$6)))</f>
        <v>196.05240000000001</v>
      </c>
      <c r="J479" s="611">
        <v>1</v>
      </c>
      <c r="K479" s="612">
        <f>SUMIFS(Таблица14[часы],Таблица14[коэф],"1",Таблица14[р/р],"2/8",Таблица14[Ф. И. О.],B484)</f>
        <v>0</v>
      </c>
      <c r="L479" s="612">
        <f>SUMIFS(Таблица14[Столбец2],Таблица14[коэф],"1",Таблица14[р/р],"2/8",Таблица14[Ф. И. О.],B484)</f>
        <v>0</v>
      </c>
      <c r="M479" s="612"/>
      <c r="N479" s="612">
        <v>1</v>
      </c>
      <c r="O479" s="612">
        <f>SUMIFS(Data_Tech!$AM$3:$AM$67,Data_Tech!$E$3:$E$67,"1",Data_Tech!$G$3:$G$67,"3/12",Data_Tech!$F$3:$F$67,B484)</f>
        <v>0</v>
      </c>
      <c r="P479" s="613">
        <f>ROUND(M479*N479*O479,2)</f>
        <v>0</v>
      </c>
      <c r="Q479" s="607">
        <f>IF(D479&lt;=3,база!$L$4,
IF(D479=4,база!$L$5,
IF(D479=5,база!$L$6)))</f>
        <v>210.57480000000001</v>
      </c>
      <c r="R479" s="608">
        <v>1</v>
      </c>
      <c r="S479" s="609">
        <f>SUMIFS(Таблица14[часы],Таблица14[коэф],"1",Таблица14[р/р],"3/16",Таблица14[Ф. И. О.],B484)</f>
        <v>0</v>
      </c>
      <c r="T479" s="518">
        <f>SUMIFS(Таблица14[Столбец2],Таблица14[коэф],"1",Таблица14[р/р],"3/16",Таблица14[Ф. И. О.],B484)</f>
        <v>0</v>
      </c>
      <c r="U479" s="614">
        <f>IF(D479&lt;=3,база!$M$4,
IF(D479=4,база!$M$5,
IF(D479=5,база!$M$6)))</f>
        <v>225.09719999999999</v>
      </c>
      <c r="V479" s="608">
        <v>1</v>
      </c>
      <c r="W479" s="615">
        <f>SUMIFS(Таблица14[часы],Таблица14[коэф],"1",Таблица14[р/р],"3/24",Таблица14[Ф. И. О.],B484)</f>
        <v>0</v>
      </c>
      <c r="X479" s="616">
        <f>SUMIFS(Таблица14[Столбец2],Таблица14[коэф],"1",Таблица14[р/р],"3/24",Таблица14[Ф. И. О.],B484)</f>
        <v>0</v>
      </c>
      <c r="Y479" s="800">
        <f t="shared" ref="Y479" si="226">SUM(G479:G489,K479:K489,O479:O489,S479:S489,W479:W489)</f>
        <v>0</v>
      </c>
      <c r="Z479" s="799">
        <f t="shared" ref="Z479" si="227">IFERROR(SUM(H479:H489,L479:L489,T479:T489,X479:X489),"")</f>
        <v>0</v>
      </c>
      <c r="AA479" s="785"/>
    </row>
    <row r="480" spans="1:29">
      <c r="A480" s="786"/>
      <c r="B480" s="216"/>
      <c r="C480" s="789"/>
      <c r="D480" s="792"/>
      <c r="E480" s="437">
        <f>IF(D479&lt;=3,база!$I$4,
IF(D479=4,база!$I$5,
IF(D479=5,база!$I$6)))</f>
        <v>188.7912</v>
      </c>
      <c r="F480" s="438">
        <v>1</v>
      </c>
      <c r="G480" s="439">
        <f>SUMIFS(Таблица14[часы],Таблица14[коэф],"1",Таблица14[р/р],"3/4",Таблица14[Ф. И. О.],B484)</f>
        <v>0</v>
      </c>
      <c r="H480" s="440">
        <f>SUMIFS(Таблица14[Столбец2],Таблица14[коэф],"1",Таблица14[р/р],"3/4",Таблица14[Ф. И. О.],B484)</f>
        <v>0</v>
      </c>
      <c r="I480" s="441">
        <f>IF(D479&lt;=3,база!$J$4,
IF(D479=4,база!$J$5,
IF(D479=5,база!$J$6)))</f>
        <v>196.05240000000001</v>
      </c>
      <c r="J480" s="604">
        <v>1</v>
      </c>
      <c r="K480" s="442">
        <f>SUMIFS(Таблица14[часы],Таблица14[коэф],"1",Таблица14[р/р],"3/8",Таблица14[Ф. И. О.],B484)</f>
        <v>0</v>
      </c>
      <c r="L480" s="442">
        <f>SUMIFS(Таблица14[Столбец2],Таблица14[коэф],"1",Таблица14[р/р],"3/8",Таблица14[Ф. И. О.],B484)</f>
        <v>0</v>
      </c>
      <c r="M480" s="442"/>
      <c r="N480" s="442">
        <v>1</v>
      </c>
      <c r="O480" s="442">
        <f>SUMIFS(Data_Tech!$AM$3:$AM$67,Data_Tech!$E$3:$E$67,"1",Data_Tech!$G$3:$G$67,"4/12",Data_Tech!$F$3:$F$67,B484)</f>
        <v>0</v>
      </c>
      <c r="P480" s="415">
        <f>ROUND(M480*O480,2)</f>
        <v>0</v>
      </c>
      <c r="Q480" s="437">
        <f>база!$L$5</f>
        <v>231.45480000000001</v>
      </c>
      <c r="R480" s="438">
        <v>1</v>
      </c>
      <c r="S480" s="439">
        <f>SUMIFS(Таблица14[часы],Таблица14[коэф],"1",Таблица14[р/р],"4/16",Таблица14[Ф. И. О.],B484)</f>
        <v>0</v>
      </c>
      <c r="T480" s="440">
        <f>SUMIFS(Таблица14[Столбец2],Таблица14[коэф],"1",Таблица14[р/р],"4/16",Таблица14[Ф. И. О.],B484)</f>
        <v>0</v>
      </c>
      <c r="U480" s="605">
        <f>база!$M$5</f>
        <v>247.41720000000001</v>
      </c>
      <c r="V480" s="438">
        <v>1</v>
      </c>
      <c r="W480" s="533">
        <f>SUMIFS(Таблица14[часы],Таблица14[коэф],"1",Таблица14[р/р],"4/24",Таблица14[Ф. И. О.],B484)</f>
        <v>0</v>
      </c>
      <c r="X480" s="606">
        <f>SUMIFS(Таблица14[Столбец2],Таблица14[коэф],"1",Таблица14[р/р],"4/24",Таблица14[Ф. И. О.],B484)</f>
        <v>0</v>
      </c>
      <c r="Y480" s="801"/>
      <c r="Z480" s="797"/>
      <c r="AA480" s="786"/>
    </row>
    <row r="481" spans="1:29">
      <c r="A481" s="786"/>
      <c r="B481" s="216"/>
      <c r="C481" s="789"/>
      <c r="D481" s="792"/>
      <c r="E481" s="437"/>
      <c r="F481" s="438"/>
      <c r="G481" s="439"/>
      <c r="H481" s="440"/>
      <c r="I481" s="441"/>
      <c r="J481" s="604"/>
      <c r="K481" s="442"/>
      <c r="L481" s="442"/>
      <c r="M481" s="442"/>
      <c r="N481" s="442"/>
      <c r="O481" s="442"/>
      <c r="P481" s="415"/>
      <c r="Q481" s="437">
        <f>база!$L$6</f>
        <v>261.04640000000001</v>
      </c>
      <c r="R481" s="438">
        <v>1</v>
      </c>
      <c r="S481" s="439">
        <f>SUMIFS(Таблица14[часы],Таблица14[коэф],"1",Таблица14[р/р],"5/16",Таблица14[Ф. И. О.],B484)</f>
        <v>0</v>
      </c>
      <c r="T481" s="440">
        <f>SUMIFS(Таблица14[Столбец2],Таблица14[коэф],"1",Таблица14[р/р],"5/16",Таблица14[Ф. И. О.],B484)</f>
        <v>0</v>
      </c>
      <c r="U481" s="605">
        <f>база!$M$6</f>
        <v>279.0496</v>
      </c>
      <c r="V481" s="438">
        <v>1</v>
      </c>
      <c r="W481" s="533">
        <f>SUMIFS(Таблица14[часы],Таблица14[коэф],"1",Таблица14[р/р],"5/24",Таблица14[Ф. И. О.],B484)</f>
        <v>0</v>
      </c>
      <c r="X481" s="606">
        <f>SUMIFS(Таблица14[Столбец2],Таблица14[коэф],"1",Таблица14[р/р],"5/24",Таблица14[Ф. И. О.],B484)</f>
        <v>0</v>
      </c>
      <c r="Y481" s="801"/>
      <c r="Z481" s="797"/>
      <c r="AA481" s="786"/>
    </row>
    <row r="482" spans="1:29">
      <c r="A482" s="786"/>
      <c r="B482" s="216"/>
      <c r="C482" s="789"/>
      <c r="D482" s="792"/>
      <c r="E482" s="437"/>
      <c r="F482" s="438"/>
      <c r="G482" s="439"/>
      <c r="H482" s="440"/>
      <c r="I482" s="441">
        <f>база!$J$5</f>
        <v>215.4924</v>
      </c>
      <c r="J482" s="604">
        <v>1.5</v>
      </c>
      <c r="K482" s="442">
        <f>SUMIFS(Таблица14[часы],Таблица14[коэф],"1,5",Таблица14[р/р],"4/8",Таблица14[Ф. И. О.],B484)</f>
        <v>0</v>
      </c>
      <c r="L482" s="442">
        <f>SUMIFS(Таблица14[Столбец2],Таблица14[коэф],"1,5",Таблица14[р/р],"4/8",Таблица14[Ф. И. О.],B484)</f>
        <v>0</v>
      </c>
      <c r="M482" s="442"/>
      <c r="N482" s="442"/>
      <c r="O482" s="442"/>
      <c r="P482" s="415"/>
      <c r="Q482" s="437">
        <f>IF(D479&lt;=3,база!$L$4,
IF(D479=4,база!$L$5,
IF(D479=5,база!$L$6)))</f>
        <v>210.57480000000001</v>
      </c>
      <c r="R482" s="438">
        <v>1.2</v>
      </c>
      <c r="S482" s="439">
        <f>SUMIFS(Таблица14[часы],Таблица14[коэф],"1,2",Таблица14[р/р],"3/16",Таблица14[Ф. И. О.],B484)</f>
        <v>0</v>
      </c>
      <c r="T482" s="440">
        <f>SUMIFS(Таблица14[Столбец2],Таблица14[коэф],"1,2",Таблица14[р/р],"3/16",Таблица14[Ф. И. О.],B484)</f>
        <v>0</v>
      </c>
      <c r="U482" s="605">
        <f>IF(D479&lt;=3,база!$M$4,
IF(D479=4,база!$M$5,
IF(D479=5,база!$M$6)))</f>
        <v>225.09719999999999</v>
      </c>
      <c r="V482" s="438">
        <v>1.2</v>
      </c>
      <c r="W482" s="533">
        <f>SUMIFS(Таблица14[часы],Таблица14[коэф],"1,2",Таблица14[р/р],"3/24",Таблица14[Ф. И. О.],B484)</f>
        <v>0</v>
      </c>
      <c r="X482" s="606">
        <f>SUMIFS(Таблица14[Столбец2],Таблица14[коэф],"1,2",Таблица14[р/р],"3/24",Таблица14[Ф. И. О.],B484)</f>
        <v>0</v>
      </c>
      <c r="Y482" s="801"/>
      <c r="Z482" s="797"/>
      <c r="AA482" s="786"/>
    </row>
    <row r="483" spans="1:29">
      <c r="A483" s="786"/>
      <c r="B483" s="216"/>
      <c r="C483" s="789"/>
      <c r="D483" s="792"/>
      <c r="E483" s="437"/>
      <c r="F483" s="438"/>
      <c r="G483" s="439"/>
      <c r="H483" s="440"/>
      <c r="I483" s="441">
        <f>база!$J$6</f>
        <v>243.04319999999998</v>
      </c>
      <c r="J483" s="604">
        <v>1.5</v>
      </c>
      <c r="K483" s="442">
        <f>SUMIFS(Таблица14[часы],Таблица14[коэф],"1,5",Таблица14[р/р],"5/8",Таблица14[Ф. И. О.],B484)</f>
        <v>0</v>
      </c>
      <c r="L483" s="442">
        <f>SUMIFS(Таблица14[Столбец2],Таблица14[коэф],"1,5",Таблица14[р/р],"5/8",Таблица14[Ф. И. О.],B484)</f>
        <v>0</v>
      </c>
      <c r="M483" s="442"/>
      <c r="N483" s="442"/>
      <c r="O483" s="442"/>
      <c r="P483" s="415"/>
      <c r="Q483" s="437">
        <f>база!$L$5</f>
        <v>231.45480000000001</v>
      </c>
      <c r="R483" s="438">
        <v>1.2</v>
      </c>
      <c r="S483" s="439">
        <f>SUMIFS(Таблица14[часы],Таблица14[коэф],"1,2",Таблица14[р/р],"4/16",Таблица14[Ф. И. О.],B484)</f>
        <v>0</v>
      </c>
      <c r="T483" s="440">
        <f>SUMIFS(Таблица14[Столбец2],Таблица14[коэф],"1,2",Таблица14[р/р],"4/16",Таблица14[Ф. И. О.],B484)</f>
        <v>0</v>
      </c>
      <c r="U483" s="605">
        <f>база!$M$5</f>
        <v>247.41720000000001</v>
      </c>
      <c r="V483" s="438">
        <v>1.2</v>
      </c>
      <c r="W483" s="533">
        <f>SUMIFS(Таблица14[часы],Таблица14[коэф],"1,2",Таблица14[р/р],"4/24",Таблица14[Ф. И. О.],B484)</f>
        <v>0</v>
      </c>
      <c r="X483" s="606">
        <f>SUMIFS(Таблица14[Столбец2],Таблица14[коэф],"1,2",Таблица14[р/р],"4/24",Таблица14[Ф. И. О.],B484)</f>
        <v>0</v>
      </c>
      <c r="Y483" s="801"/>
      <c r="Z483" s="797"/>
      <c r="AA483" s="786"/>
      <c r="AC483" s="754" t="str">
        <f>IF(SUMIFS(Таблица14[Столбец2],Таблица14[Ф. И. О.],B484)-Z479=0,"",SUMIFS(Таблица14[Столбец2],Таблица14[Ф. И. О.],B484)-Z479)</f>
        <v/>
      </c>
    </row>
    <row r="484" spans="1:29">
      <c r="A484" s="786"/>
      <c r="B484" s="216" t="str">
        <f>база!B45</f>
        <v>Маргиева Фатима Александровна</v>
      </c>
      <c r="C484" s="789"/>
      <c r="D484" s="792"/>
      <c r="E484" s="437"/>
      <c r="F484" s="438"/>
      <c r="G484" s="439"/>
      <c r="H484" s="440"/>
      <c r="I484" s="441"/>
      <c r="J484" s="604"/>
      <c r="K484" s="442"/>
      <c r="L484" s="442"/>
      <c r="M484" s="442"/>
      <c r="N484" s="442"/>
      <c r="O484" s="442"/>
      <c r="P484" s="415"/>
      <c r="Q484" s="437">
        <f>база!$L$6</f>
        <v>261.04640000000001</v>
      </c>
      <c r="R484" s="438">
        <v>1.2</v>
      </c>
      <c r="S484" s="439">
        <f>SUMIFS(Таблица14[часы],Таблица14[коэф],"1,2",Таблица14[р/р],"5/16",Таблица14[Ф. И. О.],B484)</f>
        <v>0</v>
      </c>
      <c r="T484" s="440">
        <f>SUMIFS(Таблица14[Столбец2],Таблица14[коэф],"1,2",Таблица14[р/р],"5/16",Таблица14[Ф. И. О.],B484)</f>
        <v>0</v>
      </c>
      <c r="U484" s="605">
        <f>база!$M$6</f>
        <v>279.0496</v>
      </c>
      <c r="V484" s="438">
        <v>1.2</v>
      </c>
      <c r="W484" s="533">
        <f>SUMIFS(Таблица14[часы],Таблица14[коэф],"1,2",Таблица14[р/р],"5/24",Таблица14[Ф. И. О.],B484)</f>
        <v>0</v>
      </c>
      <c r="X484" s="606">
        <f>SUMIFS(Таблица14[Столбец2],Таблица14[коэф],"1,2",Таблица14[р/р],"5/24",Таблица14[Ф. И. О.],B484)</f>
        <v>0</v>
      </c>
      <c r="Y484" s="801"/>
      <c r="Z484" s="797"/>
      <c r="AA484" s="786"/>
      <c r="AC484" s="754" t="str">
        <f>IF(SUMIFS(Таблица14[часы],Таблица14[Ф. И. О.],B484)-Y479=0,"",SUMIFS(Таблица14[часы],Таблица14[Ф. И. О.],B484)-Y479)</f>
        <v/>
      </c>
    </row>
    <row r="485" spans="1:29">
      <c r="A485" s="786"/>
      <c r="B485" s="216"/>
      <c r="C485" s="789"/>
      <c r="D485" s="792"/>
      <c r="E485" s="437"/>
      <c r="F485" s="438"/>
      <c r="G485" s="439"/>
      <c r="H485" s="440"/>
      <c r="I485" s="441"/>
      <c r="J485" s="604"/>
      <c r="K485" s="442"/>
      <c r="L485" s="442"/>
      <c r="M485" s="442"/>
      <c r="N485" s="442"/>
      <c r="O485" s="442"/>
      <c r="P485" s="415"/>
      <c r="Q485" s="437">
        <f>IF($D$6&lt;=3,база!$L$4,
IF($D$6=4,база!$L$5,
IF($D$6=5,база!$L$6)))</f>
        <v>231.45480000000001</v>
      </c>
      <c r="R485" s="438">
        <v>1.3</v>
      </c>
      <c r="S485" s="439">
        <f>SUMIFS(Таблица14[часы],Таблица14[коэф],"1,3",Таблица14[р/р],"3/16",Таблица14[Ф. И. О.],B484)</f>
        <v>0</v>
      </c>
      <c r="T485" s="440">
        <f>SUMIFS(Таблица14[Столбец2],Таблица14[коэф],"1,3",Таблица14[р/р],"3/16",Таблица14[Ф. И. О.],B484)</f>
        <v>0</v>
      </c>
      <c r="U485" s="605">
        <f>IF(D479&lt;=3,база!$M$4,
IF(D479=4,база!$M$5,
IF(D479=5,база!$M$6)))</f>
        <v>225.09719999999999</v>
      </c>
      <c r="V485" s="438">
        <v>1.3</v>
      </c>
      <c r="W485" s="533">
        <f>SUMIFS(Таблица14[часы],Таблица14[коэф],"1,3",Таблица14[р/р],"3/24",Таблица14[Ф. И. О.],B484)</f>
        <v>0</v>
      </c>
      <c r="X485" s="606">
        <f>SUMIFS(Таблица14[Столбец2],Таблица14[коэф],"1,3",Таблица14[р/р],"3/24",Таблица14[Ф. И. О.],B484)</f>
        <v>0</v>
      </c>
      <c r="Y485" s="801"/>
      <c r="Z485" s="797"/>
      <c r="AA485" s="786"/>
    </row>
    <row r="486" spans="1:29">
      <c r="A486" s="786"/>
      <c r="B486" s="216"/>
      <c r="C486" s="789"/>
      <c r="D486" s="792"/>
      <c r="E486" s="437"/>
      <c r="F486" s="438"/>
      <c r="G486" s="439"/>
      <c r="H486" s="440"/>
      <c r="I486" s="441"/>
      <c r="J486" s="604"/>
      <c r="K486" s="442"/>
      <c r="L486" s="442"/>
      <c r="M486" s="442"/>
      <c r="N486" s="442"/>
      <c r="O486" s="442"/>
      <c r="P486" s="415"/>
      <c r="Q486" s="437">
        <f>база!$L$5</f>
        <v>231.45480000000001</v>
      </c>
      <c r="R486" s="438">
        <v>1.3</v>
      </c>
      <c r="S486" s="439">
        <f>SUMIFS(Таблица14[часы],Таблица14[коэф],"1,3",Таблица14[р/р],"4/16",Таблица14[Ф. И. О.],B484)</f>
        <v>0</v>
      </c>
      <c r="T486" s="440">
        <f>SUMIFS(Таблица14[Столбец2],Таблица14[коэф],"1,3",Таблица14[р/р],"4/16",Таблица14[Ф. И. О.],B484)</f>
        <v>0</v>
      </c>
      <c r="U486" s="605">
        <f>база!$M$5</f>
        <v>247.41720000000001</v>
      </c>
      <c r="V486" s="438">
        <v>1.3</v>
      </c>
      <c r="W486" s="533">
        <f>SUMIFS(Таблица14[часы],Таблица14[коэф],"1,3",Таблица14[р/р],"4/24",Таблица14[Ф. И. О.],B484)</f>
        <v>0</v>
      </c>
      <c r="X486" s="606">
        <f>SUMIFS(Таблица14[Столбец2],Таблица14[коэф],"1,3",Таблица14[р/р],"4/24",Таблица14[Ф. И. О.],B484)</f>
        <v>0</v>
      </c>
      <c r="Y486" s="801"/>
      <c r="Z486" s="797"/>
      <c r="AA486" s="786"/>
    </row>
    <row r="487" spans="1:29">
      <c r="A487" s="786"/>
      <c r="B487" s="216"/>
      <c r="C487" s="789"/>
      <c r="D487" s="792"/>
      <c r="E487" s="437"/>
      <c r="F487" s="438"/>
      <c r="G487" s="439"/>
      <c r="H487" s="440"/>
      <c r="I487" s="441"/>
      <c r="J487" s="604"/>
      <c r="K487" s="442"/>
      <c r="L487" s="442"/>
      <c r="M487" s="442"/>
      <c r="N487" s="442"/>
      <c r="O487" s="442"/>
      <c r="P487" s="415"/>
      <c r="Q487" s="437">
        <f>IF(D479&lt;=3,база!$L$4,
IF(D479=4,база!$L$5,
IF(D479=5,база!$L$6)))</f>
        <v>210.57480000000001</v>
      </c>
      <c r="R487" s="438">
        <v>1.4</v>
      </c>
      <c r="S487" s="439">
        <f>SUMIFS(Таблица14[часы],Таблица14[коэф],"1,4",Таблица14[р/р],"3/16",Таблица14[Ф. И. О.],B484)</f>
        <v>0</v>
      </c>
      <c r="T487" s="440">
        <f>SUMIFS(Таблица14[Столбец2],Таблица14[коэф],"1,4",Таблица14[р/р],"3/16",Таблица14[Ф. И. О.],B484)</f>
        <v>0</v>
      </c>
      <c r="U487" s="605">
        <f>IF(D479&lt;=3,база!$M$4,
IF(D479=4,база!$M$5,
IF(D479=5,база!$M$6)))</f>
        <v>225.09719999999999</v>
      </c>
      <c r="V487" s="438">
        <v>1.4</v>
      </c>
      <c r="W487" s="533">
        <f>SUMIFS(Таблица14[часы],Таблица14[коэф],"1,4",Таблица14[р/р],"3/24",Таблица14[Ф. И. О.],B484)</f>
        <v>0</v>
      </c>
      <c r="X487" s="606">
        <f>SUMIFS(Таблица14[Столбец2],Таблица14[коэф],"1,4",Таблица14[р/р],"3/24",Таблица14[Ф. И. О.],B484)</f>
        <v>0</v>
      </c>
      <c r="Y487" s="801"/>
      <c r="Z487" s="797"/>
      <c r="AA487" s="786"/>
    </row>
    <row r="488" spans="1:29">
      <c r="A488" s="786"/>
      <c r="B488" s="216"/>
      <c r="C488" s="789"/>
      <c r="D488" s="792"/>
      <c r="E488" s="437"/>
      <c r="F488" s="438"/>
      <c r="G488" s="439"/>
      <c r="H488" s="440"/>
      <c r="I488" s="441"/>
      <c r="J488" s="604"/>
      <c r="K488" s="442"/>
      <c r="L488" s="442"/>
      <c r="M488" s="442"/>
      <c r="N488" s="442"/>
      <c r="O488" s="442"/>
      <c r="P488" s="415"/>
      <c r="Q488" s="437">
        <f>база!$L$5</f>
        <v>231.45480000000001</v>
      </c>
      <c r="R488" s="438">
        <v>1.4</v>
      </c>
      <c r="S488" s="439">
        <f>SUMIFS(Таблица14[часы],Таблица14[коэф],"1,4",Таблица14[р/р],"4/16",Таблица14[Ф. И. О.],B484)</f>
        <v>0</v>
      </c>
      <c r="T488" s="440">
        <f>SUMIFS(Таблица14[Столбец2],Таблица14[коэф],"1,4",Таблица14[р/р],"4/16",Таблица14[Ф. И. О.],B484)</f>
        <v>0</v>
      </c>
      <c r="U488" s="605">
        <f>база!$M$5</f>
        <v>247.41720000000001</v>
      </c>
      <c r="V488" s="438">
        <v>1.4</v>
      </c>
      <c r="W488" s="533">
        <f>SUMIFS(Таблица14[часы],Таблица14[коэф],"1,4",Таблица14[р/р],"4/24",Таблица14[Ф. И. О.],B484)</f>
        <v>0</v>
      </c>
      <c r="X488" s="606">
        <f>SUMIFS(Таблица14[Столбец2],Таблица14[коэф],"1,4",Таблица14[р/р],"4/24",Таблица14[Ф. И. О.],B484)</f>
        <v>0</v>
      </c>
      <c r="Y488" s="801"/>
      <c r="Z488" s="797"/>
      <c r="AA488" s="786"/>
    </row>
    <row r="489" spans="1:29" ht="21" thickBot="1">
      <c r="A489" s="787"/>
      <c r="B489" s="203"/>
      <c r="C489" s="790"/>
      <c r="D489" s="793"/>
      <c r="E489" s="445"/>
      <c r="F489" s="446"/>
      <c r="G489" s="447"/>
      <c r="H489" s="535"/>
      <c r="I489" s="448"/>
      <c r="J489" s="617"/>
      <c r="K489" s="449"/>
      <c r="L489" s="449"/>
      <c r="M489" s="449"/>
      <c r="N489" s="449"/>
      <c r="O489" s="449"/>
      <c r="P489" s="538"/>
      <c r="Q489" s="445">
        <f>база!$L$6</f>
        <v>261.04640000000001</v>
      </c>
      <c r="R489" s="446">
        <v>1.4</v>
      </c>
      <c r="S489" s="447">
        <f>SUMIFS(Таблица14[часы],Таблица14[коэф],"1,4",Таблица14[р/р],"5/16",Таблица14[Ф. И. О.],B484)</f>
        <v>0</v>
      </c>
      <c r="T489" s="535">
        <f>SUMIFS(Таблица14[Столбец2],Таблица14[коэф],"1,4",Таблица14[р/р],"5/16",Таблица14[Ф. И. О.],B484)</f>
        <v>0</v>
      </c>
      <c r="U489" s="618">
        <f>база!$M$6</f>
        <v>279.0496</v>
      </c>
      <c r="V489" s="446">
        <v>1.4</v>
      </c>
      <c r="W489" s="540">
        <f>SUMIFS(Таблица14[часы],Таблица14[коэф],"1,4",Таблица14[р/р],"5/24",Таблица14[Ф. И. О.],B484)</f>
        <v>0</v>
      </c>
      <c r="X489" s="619">
        <f>SUMIFS(Таблица14[Столбец2],Таблица14[коэф],"1,4",Таблица14[р/р],"5/24",Таблица14[Ф. И. О.],B484)</f>
        <v>0</v>
      </c>
      <c r="Y489" s="802"/>
      <c r="Z489" s="798"/>
      <c r="AA489" s="787"/>
    </row>
    <row r="490" spans="1:29" ht="20.25" customHeight="1">
      <c r="A490" s="785">
        <v>45</v>
      </c>
      <c r="B490" s="216"/>
      <c r="C490" s="788">
        <f>INDEX(база!$E$2:$E$98, MATCH(B495,база!$B$2:$B$100,0))</f>
        <v>16779</v>
      </c>
      <c r="D490" s="791">
        <f>INDEX(база!$D$2:$D$121, MATCH(B495,база!$B$2:$B$100,0))</f>
        <v>3</v>
      </c>
      <c r="E490" s="437">
        <f>IF(D490&lt;=3,база!$I$4,
IF(D490=4,база!$I$5,
IF(D490=5,база!$I$6)))</f>
        <v>188.7912</v>
      </c>
      <c r="F490" s="438">
        <v>1</v>
      </c>
      <c r="G490" s="439">
        <f>SUMIFS(Таблица14[часы],Таблица14[коэф],"1",Таблица14[р/р],"2/4",Таблица14[Ф. И. О.],B495)</f>
        <v>0</v>
      </c>
      <c r="H490" s="440">
        <f>SUMIFS(Таблица14[Столбец2],Таблица14[коэф],"1",Таблица14[р/р],"2/4",Таблица14[Ф. И. О.],B495)</f>
        <v>0</v>
      </c>
      <c r="I490" s="441">
        <f>IF(D490&lt;=3,база!$J$4,
IF(D490=4,база!$J$5,
IF(D490=5,база!$J$6)))</f>
        <v>196.05240000000001</v>
      </c>
      <c r="J490" s="604">
        <v>1</v>
      </c>
      <c r="K490" s="442">
        <f>SUMIFS(Таблица14[часы],Таблица14[коэф],"1",Таблица14[р/р],"2/8",Таблица14[Ф. И. О.],B495)</f>
        <v>0</v>
      </c>
      <c r="L490" s="442">
        <f>SUMIFS(Таблица14[Столбец2],Таблица14[коэф],"1",Таблица14[р/р],"2/8",Таблица14[Ф. И. О.],B495)</f>
        <v>0</v>
      </c>
      <c r="M490" s="442"/>
      <c r="N490" s="442">
        <v>1</v>
      </c>
      <c r="O490" s="442">
        <f>SUMIFS(Data_Tech!$AM$3:$AM$67,Data_Tech!$E$3:$E$67,"1",Data_Tech!$G$3:$G$67,"3/12",Data_Tech!$F$3:$F$67,B495)</f>
        <v>0</v>
      </c>
      <c r="P490" s="415">
        <f>ROUND(M490*N490*O490,2)</f>
        <v>0</v>
      </c>
      <c r="Q490" s="437">
        <f>IF(D490&lt;=3,база!$L$4,
IF(D490=4,база!$L$5,
IF(D490=5,база!$L$6)))</f>
        <v>210.57480000000001</v>
      </c>
      <c r="R490" s="438">
        <v>1</v>
      </c>
      <c r="S490" s="439">
        <f>SUMIFS(Таблица14[часы],Таблица14[коэф],"1",Таблица14[р/р],"3/16",Таблица14[Ф. И. О.],B495)</f>
        <v>0</v>
      </c>
      <c r="T490" s="440">
        <f>SUMIFS(Таблица14[Столбец2],Таблица14[коэф],"1",Таблица14[р/р],"3/16",Таблица14[Ф. И. О.],B495)</f>
        <v>0</v>
      </c>
      <c r="U490" s="605">
        <f>IF(D490&lt;=3,база!$M$4,
IF(D490=4,база!$M$5,
IF(D490=5,база!$M$6)))</f>
        <v>225.09719999999999</v>
      </c>
      <c r="V490" s="438">
        <v>1</v>
      </c>
      <c r="W490" s="533">
        <f>SUMIFS(Таблица14[часы],Таблица14[коэф],"1",Таблица14[р/р],"3/24",Таблица14[Ф. И. О.],B495)</f>
        <v>0</v>
      </c>
      <c r="X490" s="606">
        <f>SUMIFS(Таблица14[Столбец2],Таблица14[коэф],"1",Таблица14[р/р],"3/24",Таблица14[Ф. И. О.],B495)</f>
        <v>0</v>
      </c>
      <c r="Y490" s="800">
        <f t="shared" ref="Y490" si="228">SUM(G490:G500,K490:K500,O490:O500,S490:S500,W490:W500)</f>
        <v>0</v>
      </c>
      <c r="Z490" s="799">
        <f t="shared" ref="Z490" si="229">IFERROR(SUM(H490:H500,L490:L500,T490:T500,X490:X500),"")</f>
        <v>0</v>
      </c>
      <c r="AA490" s="785"/>
    </row>
    <row r="491" spans="1:29">
      <c r="A491" s="786"/>
      <c r="B491" s="216"/>
      <c r="C491" s="789"/>
      <c r="D491" s="792"/>
      <c r="E491" s="437">
        <f>IF(D490&lt;=3,база!$I$4,
IF(D490=4,база!$I$5,
IF(D490=5,база!$I$6)))</f>
        <v>188.7912</v>
      </c>
      <c r="F491" s="438">
        <v>1</v>
      </c>
      <c r="G491" s="439">
        <f>SUMIFS(Таблица14[часы],Таблица14[коэф],"1",Таблица14[р/р],"3/4",Таблица14[Ф. И. О.],B495)</f>
        <v>0</v>
      </c>
      <c r="H491" s="440">
        <f>SUMIFS(Таблица14[Столбец2],Таблица14[коэф],"1",Таблица14[р/р],"3/4",Таблица14[Ф. И. О.],B495)</f>
        <v>0</v>
      </c>
      <c r="I491" s="441">
        <f>IF(D490&lt;=3,база!$J$4,
IF(D490=4,база!$J$5,
IF(D490=5,база!$J$6)))</f>
        <v>196.05240000000001</v>
      </c>
      <c r="J491" s="604">
        <v>1</v>
      </c>
      <c r="K491" s="442">
        <f>SUMIFS(Таблица14[часы],Таблица14[коэф],"1",Таблица14[р/р],"3/8",Таблица14[Ф. И. О.],B495)</f>
        <v>0</v>
      </c>
      <c r="L491" s="442">
        <f>SUMIFS(Таблица14[Столбец2],Таблица14[коэф],"1",Таблица14[р/р],"3/8",Таблица14[Ф. И. О.],B495)</f>
        <v>0</v>
      </c>
      <c r="M491" s="442"/>
      <c r="N491" s="442">
        <v>1</v>
      </c>
      <c r="O491" s="442">
        <f>SUMIFS(Data_Tech!$AM$3:$AM$67,Data_Tech!$E$3:$E$67,"1",Data_Tech!$G$3:$G$67,"4/12",Data_Tech!$F$3:$F$67,B495)</f>
        <v>0</v>
      </c>
      <c r="P491" s="415">
        <f>ROUND(M491*O491,2)</f>
        <v>0</v>
      </c>
      <c r="Q491" s="437">
        <f>база!$L$5</f>
        <v>231.45480000000001</v>
      </c>
      <c r="R491" s="438">
        <v>1</v>
      </c>
      <c r="S491" s="439">
        <f>SUMIFS(Таблица14[часы],Таблица14[коэф],"1",Таблица14[р/р],"4/16",Таблица14[Ф. И. О.],B495)</f>
        <v>0</v>
      </c>
      <c r="T491" s="440">
        <f>SUMIFS(Таблица14[Столбец2],Таблица14[коэф],"1",Таблица14[р/р],"4/16",Таблица14[Ф. И. О.],B495)</f>
        <v>0</v>
      </c>
      <c r="U491" s="605">
        <f>база!$M$5</f>
        <v>247.41720000000001</v>
      </c>
      <c r="V491" s="438">
        <v>1</v>
      </c>
      <c r="W491" s="533">
        <f>SUMIFS(Таблица14[часы],Таблица14[коэф],"1",Таблица14[р/р],"4/24",Таблица14[Ф. И. О.],B495)</f>
        <v>0</v>
      </c>
      <c r="X491" s="606">
        <f>SUMIFS(Таблица14[Столбец2],Таблица14[коэф],"1",Таблица14[р/р],"4/24",Таблица14[Ф. И. О.],B495)</f>
        <v>0</v>
      </c>
      <c r="Y491" s="801"/>
      <c r="Z491" s="797"/>
      <c r="AA491" s="786"/>
    </row>
    <row r="492" spans="1:29">
      <c r="A492" s="786"/>
      <c r="B492" s="216"/>
      <c r="C492" s="789"/>
      <c r="D492" s="792"/>
      <c r="E492" s="437"/>
      <c r="F492" s="438"/>
      <c r="G492" s="439"/>
      <c r="H492" s="440"/>
      <c r="I492" s="441"/>
      <c r="J492" s="604"/>
      <c r="K492" s="442"/>
      <c r="L492" s="442"/>
      <c r="M492" s="442"/>
      <c r="N492" s="442"/>
      <c r="O492" s="442"/>
      <c r="P492" s="415"/>
      <c r="Q492" s="437">
        <f>база!$L$6</f>
        <v>261.04640000000001</v>
      </c>
      <c r="R492" s="438">
        <v>1</v>
      </c>
      <c r="S492" s="439">
        <f>SUMIFS(Таблица14[часы],Таблица14[коэф],"1",Таблица14[р/р],"5/16",Таблица14[Ф. И. О.],B495)</f>
        <v>0</v>
      </c>
      <c r="T492" s="440">
        <f>SUMIFS(Таблица14[Столбец2],Таблица14[коэф],"1",Таблица14[р/р],"5/16",Таблица14[Ф. И. О.],B495)</f>
        <v>0</v>
      </c>
      <c r="U492" s="605">
        <f>база!$M$6</f>
        <v>279.0496</v>
      </c>
      <c r="V492" s="438">
        <v>1</v>
      </c>
      <c r="W492" s="533">
        <f>SUMIFS(Таблица14[часы],Таблица14[коэф],"1",Таблица14[р/р],"5/24",Таблица14[Ф. И. О.],B495)</f>
        <v>0</v>
      </c>
      <c r="X492" s="606">
        <f>SUMIFS(Таблица14[Столбец2],Таблица14[коэф],"1",Таблица14[р/р],"5/24",Таблица14[Ф. И. О.],B495)</f>
        <v>0</v>
      </c>
      <c r="Y492" s="801"/>
      <c r="Z492" s="797"/>
      <c r="AA492" s="786"/>
    </row>
    <row r="493" spans="1:29">
      <c r="A493" s="786"/>
      <c r="B493" s="216"/>
      <c r="C493" s="789"/>
      <c r="D493" s="792"/>
      <c r="E493" s="437"/>
      <c r="F493" s="438"/>
      <c r="G493" s="439"/>
      <c r="H493" s="440"/>
      <c r="I493" s="441">
        <f>база!$J$5</f>
        <v>215.4924</v>
      </c>
      <c r="J493" s="604">
        <v>1.5</v>
      </c>
      <c r="K493" s="442">
        <f>SUMIFS(Таблица14[часы],Таблица14[коэф],"1,5",Таблица14[р/р],"4/8",Таблица14[Ф. И. О.],B495)</f>
        <v>0</v>
      </c>
      <c r="L493" s="442">
        <f>SUMIFS(Таблица14[Столбец2],Таблица14[коэф],"1,5",Таблица14[р/р],"4/8",Таблица14[Ф. И. О.],B495)</f>
        <v>0</v>
      </c>
      <c r="M493" s="442"/>
      <c r="N493" s="442"/>
      <c r="O493" s="442"/>
      <c r="P493" s="415"/>
      <c r="Q493" s="437">
        <f>IF(D490&lt;=3,база!$L$4,
IF(D490=4,база!$L$5,
IF(D490=5,база!$L$6)))</f>
        <v>210.57480000000001</v>
      </c>
      <c r="R493" s="438">
        <v>1.2</v>
      </c>
      <c r="S493" s="439">
        <f>SUMIFS(Таблица14[часы],Таблица14[коэф],"1,2",Таблица14[р/р],"3/16",Таблица14[Ф. И. О.],B495)</f>
        <v>0</v>
      </c>
      <c r="T493" s="440">
        <f>SUMIFS(Таблица14[Столбец2],Таблица14[коэф],"1,2",Таблица14[р/р],"3/16",Таблица14[Ф. И. О.],B495)</f>
        <v>0</v>
      </c>
      <c r="U493" s="605">
        <f>IF(D490&lt;=3,база!$M$4,
IF(D490=4,база!$M$5,
IF(D490=5,база!$M$6)))</f>
        <v>225.09719999999999</v>
      </c>
      <c r="V493" s="438">
        <v>1.2</v>
      </c>
      <c r="W493" s="533">
        <f>SUMIFS(Таблица14[часы],Таблица14[коэф],"1,2",Таблица14[р/р],"3/24",Таблица14[Ф. И. О.],B495)</f>
        <v>0</v>
      </c>
      <c r="X493" s="606">
        <f>SUMIFS(Таблица14[Столбец2],Таблица14[коэф],"1,2",Таблица14[р/р],"3/24",Таблица14[Ф. И. О.],B495)</f>
        <v>0</v>
      </c>
      <c r="Y493" s="801"/>
      <c r="Z493" s="797"/>
      <c r="AA493" s="786"/>
    </row>
    <row r="494" spans="1:29">
      <c r="A494" s="786"/>
      <c r="B494" s="216"/>
      <c r="C494" s="789"/>
      <c r="D494" s="792"/>
      <c r="E494" s="437"/>
      <c r="F494" s="438"/>
      <c r="G494" s="439"/>
      <c r="H494" s="440"/>
      <c r="I494" s="441">
        <f>база!$J$6</f>
        <v>243.04319999999998</v>
      </c>
      <c r="J494" s="604">
        <v>1.5</v>
      </c>
      <c r="K494" s="442">
        <f>SUMIFS(Таблица14[часы],Таблица14[коэф],"1,5",Таблица14[р/р],"5/8",Таблица14[Ф. И. О.],B495)</f>
        <v>0</v>
      </c>
      <c r="L494" s="442">
        <f>SUMIFS(Таблица14[Столбец2],Таблица14[коэф],"1,5",Таблица14[р/р],"5/8",Таблица14[Ф. И. О.],B495)</f>
        <v>0</v>
      </c>
      <c r="M494" s="442"/>
      <c r="N494" s="442"/>
      <c r="O494" s="442"/>
      <c r="P494" s="415"/>
      <c r="Q494" s="437">
        <f>база!$L$5</f>
        <v>231.45480000000001</v>
      </c>
      <c r="R494" s="438">
        <v>1.2</v>
      </c>
      <c r="S494" s="439">
        <f>SUMIFS(Таблица14[часы],Таблица14[коэф],"1,2",Таблица14[р/р],"4/16",Таблица14[Ф. И. О.],B495)</f>
        <v>0</v>
      </c>
      <c r="T494" s="440">
        <f>SUMIFS(Таблица14[Столбец2],Таблица14[коэф],"1,2",Таблица14[р/р],"4/16",Таблица14[Ф. И. О.],B495)</f>
        <v>0</v>
      </c>
      <c r="U494" s="605">
        <f>база!$M$5</f>
        <v>247.41720000000001</v>
      </c>
      <c r="V494" s="438">
        <v>1.2</v>
      </c>
      <c r="W494" s="533">
        <f>SUMIFS(Таблица14[часы],Таблица14[коэф],"1,2",Таблица14[р/р],"4/24",Таблица14[Ф. И. О.],B495)</f>
        <v>0</v>
      </c>
      <c r="X494" s="606">
        <f>SUMIFS(Таблица14[Столбец2],Таблица14[коэф],"1,2",Таблица14[р/р],"4/24",Таблица14[Ф. И. О.],B495)</f>
        <v>0</v>
      </c>
      <c r="Y494" s="801"/>
      <c r="Z494" s="797"/>
      <c r="AA494" s="786"/>
    </row>
    <row r="495" spans="1:29">
      <c r="A495" s="786"/>
      <c r="B495" s="216" t="str">
        <f>база!B46</f>
        <v>Маркова Ольга Евгеньевна</v>
      </c>
      <c r="C495" s="789"/>
      <c r="D495" s="792"/>
      <c r="E495" s="437"/>
      <c r="F495" s="438"/>
      <c r="G495" s="439"/>
      <c r="H495" s="440"/>
      <c r="I495" s="441"/>
      <c r="J495" s="604"/>
      <c r="K495" s="442"/>
      <c r="L495" s="442"/>
      <c r="M495" s="442"/>
      <c r="N495" s="442"/>
      <c r="O495" s="442"/>
      <c r="P495" s="415"/>
      <c r="Q495" s="437">
        <f>база!$L$6</f>
        <v>261.04640000000001</v>
      </c>
      <c r="R495" s="438">
        <v>1.2</v>
      </c>
      <c r="S495" s="439">
        <f>SUMIFS(Таблица14[часы],Таблица14[коэф],"1,2",Таблица14[р/р],"5/16",Таблица14[Ф. И. О.],B495)</f>
        <v>0</v>
      </c>
      <c r="T495" s="440">
        <f>SUMIFS(Таблица14[Столбец2],Таблица14[коэф],"1,2",Таблица14[р/р],"5/16",Таблица14[Ф. И. О.],B495)</f>
        <v>0</v>
      </c>
      <c r="U495" s="605">
        <f>база!$M$6</f>
        <v>279.0496</v>
      </c>
      <c r="V495" s="438">
        <v>1.2</v>
      </c>
      <c r="W495" s="533">
        <f>SUMIFS(Таблица14[часы],Таблица14[коэф],"1,2",Таблица14[р/р],"5/24",Таблица14[Ф. И. О.],B495)</f>
        <v>0</v>
      </c>
      <c r="X495" s="606">
        <f>SUMIFS(Таблица14[Столбец2],Таблица14[коэф],"1,2",Таблица14[р/р],"5/24",Таблица14[Ф. И. О.],B495)</f>
        <v>0</v>
      </c>
      <c r="Y495" s="801"/>
      <c r="Z495" s="797"/>
      <c r="AA495" s="786"/>
      <c r="AC495" s="754" t="str">
        <f>IF(SUMIFS(Таблица14[Столбец2],Таблица14[Ф. И. О.],B495)-Z490=0,"",SUMIFS(Таблица14[Столбец2],Таблица14[Ф. И. О.],B495)-Z490)</f>
        <v/>
      </c>
    </row>
    <row r="496" spans="1:29">
      <c r="A496" s="786"/>
      <c r="B496" s="216"/>
      <c r="C496" s="789"/>
      <c r="D496" s="792"/>
      <c r="E496" s="437"/>
      <c r="F496" s="438"/>
      <c r="G496" s="439"/>
      <c r="H496" s="440"/>
      <c r="I496" s="441"/>
      <c r="J496" s="604"/>
      <c r="K496" s="442"/>
      <c r="L496" s="442"/>
      <c r="M496" s="442"/>
      <c r="N496" s="442"/>
      <c r="O496" s="442"/>
      <c r="P496" s="415"/>
      <c r="Q496" s="437">
        <f>IF($D$6&lt;=3,база!$L$4,
IF($D$6=4,база!$L$5,
IF($D$6=5,база!$L$6)))</f>
        <v>231.45480000000001</v>
      </c>
      <c r="R496" s="438">
        <v>1.3</v>
      </c>
      <c r="S496" s="439">
        <f>SUMIFS(Таблица14[часы],Таблица14[коэф],"1,3",Таблица14[р/р],"3/16",Таблица14[Ф. И. О.],B495)</f>
        <v>0</v>
      </c>
      <c r="T496" s="440">
        <f>SUMIFS(Таблица14[Столбец2],Таблица14[коэф],"1,3",Таблица14[р/р],"3/16",Таблица14[Ф. И. О.],B495)</f>
        <v>0</v>
      </c>
      <c r="U496" s="605">
        <f>IF(D490&lt;=3,база!$M$4,
IF(D490=4,база!$M$5,
IF(D490=5,база!$M$6)))</f>
        <v>225.09719999999999</v>
      </c>
      <c r="V496" s="438">
        <v>1.3</v>
      </c>
      <c r="W496" s="533">
        <f>SUMIFS(Таблица14[часы],Таблица14[коэф],"1,3",Таблица14[р/р],"3/24",Таблица14[Ф. И. О.],B495)</f>
        <v>0</v>
      </c>
      <c r="X496" s="606">
        <f>SUMIFS(Таблица14[Столбец2],Таблица14[коэф],"1,3",Таблица14[р/р],"3/24",Таблица14[Ф. И. О.],B495)</f>
        <v>0</v>
      </c>
      <c r="Y496" s="801"/>
      <c r="Z496" s="797"/>
      <c r="AA496" s="786"/>
      <c r="AC496" s="754" t="str">
        <f>IF(SUMIFS(Таблица14[часы],Таблица14[Ф. И. О.],B495)-Y490=0,"",SUMIFS(Таблица14[часы],Таблица14[Ф. И. О.],B495)-Y490)</f>
        <v/>
      </c>
    </row>
    <row r="497" spans="1:29">
      <c r="A497" s="786"/>
      <c r="B497" s="216"/>
      <c r="C497" s="789"/>
      <c r="D497" s="792"/>
      <c r="E497" s="437"/>
      <c r="F497" s="438"/>
      <c r="G497" s="439"/>
      <c r="H497" s="440"/>
      <c r="I497" s="441"/>
      <c r="J497" s="604"/>
      <c r="K497" s="442"/>
      <c r="L497" s="442"/>
      <c r="M497" s="442"/>
      <c r="N497" s="442"/>
      <c r="O497" s="442"/>
      <c r="P497" s="415"/>
      <c r="Q497" s="437">
        <f>база!$L$5</f>
        <v>231.45480000000001</v>
      </c>
      <c r="R497" s="438">
        <v>1.3</v>
      </c>
      <c r="S497" s="439">
        <f>SUMIFS(Таблица14[часы],Таблица14[коэф],"1,3",Таблица14[р/р],"4/16",Таблица14[Ф. И. О.],B495)</f>
        <v>0</v>
      </c>
      <c r="T497" s="440">
        <f>SUMIFS(Таблица14[Столбец2],Таблица14[коэф],"1,3",Таблица14[р/р],"4/16",Таблица14[Ф. И. О.],B495)</f>
        <v>0</v>
      </c>
      <c r="U497" s="605">
        <f>база!$M$5</f>
        <v>247.41720000000001</v>
      </c>
      <c r="V497" s="438">
        <v>1.3</v>
      </c>
      <c r="W497" s="533">
        <f>SUMIFS(Таблица14[часы],Таблица14[коэф],"1,3",Таблица14[р/р],"4/24",Таблица14[Ф. И. О.],B495)</f>
        <v>0</v>
      </c>
      <c r="X497" s="606">
        <f>SUMIFS(Таблица14[Столбец2],Таблица14[коэф],"1,3",Таблица14[р/р],"4/24",Таблица14[Ф. И. О.],B495)</f>
        <v>0</v>
      </c>
      <c r="Y497" s="801"/>
      <c r="Z497" s="797"/>
      <c r="AA497" s="786"/>
    </row>
    <row r="498" spans="1:29">
      <c r="A498" s="786"/>
      <c r="B498" s="216"/>
      <c r="C498" s="789"/>
      <c r="D498" s="792"/>
      <c r="E498" s="437"/>
      <c r="F498" s="438"/>
      <c r="G498" s="439"/>
      <c r="H498" s="440"/>
      <c r="I498" s="441"/>
      <c r="J498" s="604"/>
      <c r="K498" s="442"/>
      <c r="L498" s="442"/>
      <c r="M498" s="442"/>
      <c r="N498" s="442"/>
      <c r="O498" s="442"/>
      <c r="P498" s="415"/>
      <c r="Q498" s="437">
        <f>IF(D490&lt;=3,база!$L$4,
IF(D490=4,база!$L$5,
IF(D490=5,база!$L$6)))</f>
        <v>210.57480000000001</v>
      </c>
      <c r="R498" s="438">
        <v>1.4</v>
      </c>
      <c r="S498" s="439">
        <f>SUMIFS(Таблица14[часы],Таблица14[коэф],"1,4",Таблица14[р/р],"3/16",Таблица14[Ф. И. О.],B495)</f>
        <v>0</v>
      </c>
      <c r="T498" s="440">
        <f>SUMIFS(Таблица14[Столбец2],Таблица14[коэф],"1,4",Таблица14[р/р],"3/16",Таблица14[Ф. И. О.],B495)</f>
        <v>0</v>
      </c>
      <c r="U498" s="605">
        <f>IF(D490&lt;=3,база!$M$4,
IF(D490=4,база!$M$5,
IF(D490=5,база!$M$6)))</f>
        <v>225.09719999999999</v>
      </c>
      <c r="V498" s="438">
        <v>1.4</v>
      </c>
      <c r="W498" s="533">
        <f>SUMIFS(Таблица14[часы],Таблица14[коэф],"1,4",Таблица14[р/р],"3/24",Таблица14[Ф. И. О.],B495)</f>
        <v>0</v>
      </c>
      <c r="X498" s="606">
        <f>SUMIFS(Таблица14[Столбец2],Таблица14[коэф],"1,4",Таблица14[р/р],"3/24",Таблица14[Ф. И. О.],B495)</f>
        <v>0</v>
      </c>
      <c r="Y498" s="801"/>
      <c r="Z498" s="797"/>
      <c r="AA498" s="786"/>
    </row>
    <row r="499" spans="1:29">
      <c r="A499" s="786"/>
      <c r="B499" s="216"/>
      <c r="C499" s="789"/>
      <c r="D499" s="792"/>
      <c r="E499" s="437"/>
      <c r="F499" s="438"/>
      <c r="G499" s="439"/>
      <c r="H499" s="440"/>
      <c r="I499" s="441"/>
      <c r="J499" s="604"/>
      <c r="K499" s="442"/>
      <c r="L499" s="442"/>
      <c r="M499" s="442"/>
      <c r="N499" s="442"/>
      <c r="O499" s="442"/>
      <c r="P499" s="415"/>
      <c r="Q499" s="437">
        <f>база!$L$5</f>
        <v>231.45480000000001</v>
      </c>
      <c r="R499" s="438">
        <v>1.4</v>
      </c>
      <c r="S499" s="439">
        <f>SUMIFS(Таблица14[часы],Таблица14[коэф],"1,4",Таблица14[р/р],"4/16",Таблица14[Ф. И. О.],B495)</f>
        <v>0</v>
      </c>
      <c r="T499" s="440">
        <f>SUMIFS(Таблица14[Столбец2],Таблица14[коэф],"1,4",Таблица14[р/р],"4/16",Таблица14[Ф. И. О.],B495)</f>
        <v>0</v>
      </c>
      <c r="U499" s="605">
        <f>база!$M$5</f>
        <v>247.41720000000001</v>
      </c>
      <c r="V499" s="438">
        <v>1.4</v>
      </c>
      <c r="W499" s="533">
        <f>SUMIFS(Таблица14[часы],Таблица14[коэф],"1,4",Таблица14[р/р],"4/24",Таблица14[Ф. И. О.],B495)</f>
        <v>0</v>
      </c>
      <c r="X499" s="606">
        <f>SUMIFS(Таблица14[Столбец2],Таблица14[коэф],"1,4",Таблица14[р/р],"4/24",Таблица14[Ф. И. О.],B495)</f>
        <v>0</v>
      </c>
      <c r="Y499" s="801"/>
      <c r="Z499" s="797"/>
      <c r="AA499" s="786"/>
    </row>
    <row r="500" spans="1:29" ht="21" thickBot="1">
      <c r="A500" s="787"/>
      <c r="B500" s="203"/>
      <c r="C500" s="790"/>
      <c r="D500" s="793"/>
      <c r="E500" s="445"/>
      <c r="F500" s="446"/>
      <c r="G500" s="447"/>
      <c r="H500" s="535"/>
      <c r="I500" s="448"/>
      <c r="J500" s="617"/>
      <c r="K500" s="449"/>
      <c r="L500" s="449"/>
      <c r="M500" s="449"/>
      <c r="N500" s="449"/>
      <c r="O500" s="449"/>
      <c r="P500" s="538"/>
      <c r="Q500" s="445">
        <f>база!$L$6</f>
        <v>261.04640000000001</v>
      </c>
      <c r="R500" s="446">
        <v>1.4</v>
      </c>
      <c r="S500" s="447">
        <f>SUMIFS(Таблица14[часы],Таблица14[коэф],"1,4",Таблица14[р/р],"5/16",Таблица14[Ф. И. О.],B495)</f>
        <v>0</v>
      </c>
      <c r="T500" s="535">
        <f>SUMIFS(Таблица14[Столбец2],Таблица14[коэф],"1,4",Таблица14[р/р],"5/16",Таблица14[Ф. И. О.],B495)</f>
        <v>0</v>
      </c>
      <c r="U500" s="618">
        <f>база!$M$6</f>
        <v>279.0496</v>
      </c>
      <c r="V500" s="446">
        <v>1.4</v>
      </c>
      <c r="W500" s="540">
        <f>SUMIFS(Таблица14[часы],Таблица14[коэф],"1,4",Таблица14[р/р],"5/24",Таблица14[Ф. И. О.],B495)</f>
        <v>0</v>
      </c>
      <c r="X500" s="619">
        <f>SUMIFS(Таблица14[Столбец2],Таблица14[коэф],"1,4",Таблица14[р/р],"5/24",Таблица14[Ф. И. О.],B495)</f>
        <v>0</v>
      </c>
      <c r="Y500" s="802"/>
      <c r="Z500" s="798"/>
      <c r="AA500" s="787"/>
    </row>
    <row r="501" spans="1:29" ht="20.25" customHeight="1">
      <c r="A501" s="785">
        <v>46</v>
      </c>
      <c r="B501" s="216"/>
      <c r="C501" s="788">
        <f>INDEX(база!$E$2:$E$98, MATCH(B506,база!$B$2:$B$100,0))</f>
        <v>16872</v>
      </c>
      <c r="D501" s="791">
        <f>INDEX(база!$D$2:$D$121, MATCH(B506,база!$B$2:$B$100,0))</f>
        <v>3</v>
      </c>
      <c r="E501" s="437">
        <f>IF(D501&lt;=3,база!$I$4,
IF(D501=4,база!$I$5,
IF(D501=5,база!$I$6)))</f>
        <v>188.7912</v>
      </c>
      <c r="F501" s="438">
        <v>1</v>
      </c>
      <c r="G501" s="439">
        <f>SUMIFS(Таблица14[часы],Таблица14[коэф],"1",Таблица14[р/р],"2/4",Таблица14[Ф. И. О.],B506)</f>
        <v>0</v>
      </c>
      <c r="H501" s="440">
        <f>SUMIFS(Таблица14[Столбец2],Таблица14[коэф],"1",Таблица14[р/р],"2/4",Таблица14[Ф. И. О.],B506)</f>
        <v>0</v>
      </c>
      <c r="I501" s="441">
        <f>IF(D501&lt;=3,база!$J$4,
IF(D501=4,база!$J$5,
IF(D501=5,база!$J$6)))</f>
        <v>196.05240000000001</v>
      </c>
      <c r="J501" s="604">
        <v>1</v>
      </c>
      <c r="K501" s="442">
        <f>SUMIFS(Таблица14[часы],Таблица14[коэф],"1",Таблица14[р/р],"2/8",Таблица14[Ф. И. О.],B506)</f>
        <v>0</v>
      </c>
      <c r="L501" s="442">
        <f>SUMIFS(Таблица14[Столбец2],Таблица14[коэф],"1",Таблица14[р/р],"2/8",Таблица14[Ф. И. О.],B506)</f>
        <v>0</v>
      </c>
      <c r="M501" s="442"/>
      <c r="N501" s="442">
        <v>1</v>
      </c>
      <c r="O501" s="442">
        <f>SUMIFS(Data_Tech!$AM$3:$AM$67,Data_Tech!$E$3:$E$67,"1",Data_Tech!$G$3:$G$67,"3/12",Data_Tech!$F$3:$F$67,B506)</f>
        <v>0</v>
      </c>
      <c r="P501" s="415">
        <f>ROUND(M501*N501*O501,2)</f>
        <v>0</v>
      </c>
      <c r="Q501" s="437">
        <f>IF(D501&lt;=3,база!$L$4,
IF(D501=4,база!$L$5,
IF(D501=5,база!$L$6)))</f>
        <v>210.57480000000001</v>
      </c>
      <c r="R501" s="438">
        <v>1</v>
      </c>
      <c r="S501" s="439">
        <f>SUMIFS(Таблица14[часы],Таблица14[коэф],"1",Таблица14[р/р],"3/16",Таблица14[Ф. И. О.],B506)</f>
        <v>0</v>
      </c>
      <c r="T501" s="440">
        <f>SUMIFS(Таблица14[Столбец2],Таблица14[коэф],"1",Таблица14[р/р],"3/16",Таблица14[Ф. И. О.],B506)</f>
        <v>0</v>
      </c>
      <c r="U501" s="605">
        <f>IF(D501&lt;=3,база!$M$4,
IF(D501=4,база!$M$5,
IF(D501=5,база!$M$6)))</f>
        <v>225.09719999999999</v>
      </c>
      <c r="V501" s="438">
        <v>1</v>
      </c>
      <c r="W501" s="533">
        <f>SUMIFS(Таблица14[часы],Таблица14[коэф],"1",Таблица14[р/р],"3/24",Таблица14[Ф. И. О.],B506)</f>
        <v>0</v>
      </c>
      <c r="X501" s="606">
        <f>SUMIFS(Таблица14[Столбец2],Таблица14[коэф],"1",Таблица14[р/р],"3/24",Таблица14[Ф. И. О.],B506)</f>
        <v>0</v>
      </c>
      <c r="Y501" s="800">
        <f t="shared" ref="Y501" si="230">SUM(G501:G511,K501:K511,O501:O511,S501:S511,W501:W511)</f>
        <v>0</v>
      </c>
      <c r="Z501" s="799">
        <f t="shared" ref="Z501" si="231">IFERROR(SUM(H501:H511,L501:L511,T501:T511,X501:X511),"")</f>
        <v>0</v>
      </c>
      <c r="AA501" s="785"/>
    </row>
    <row r="502" spans="1:29">
      <c r="A502" s="786"/>
      <c r="B502" s="216"/>
      <c r="C502" s="789"/>
      <c r="D502" s="792"/>
      <c r="E502" s="437">
        <f>IF(D501&lt;=3,база!$I$4,
IF(D501=4,база!$I$5,
IF(D501=5,база!$I$6)))</f>
        <v>188.7912</v>
      </c>
      <c r="F502" s="438">
        <v>1</v>
      </c>
      <c r="G502" s="439">
        <f>SUMIFS(Таблица14[часы],Таблица14[коэф],"1",Таблица14[р/р],"3/4",Таблица14[Ф. И. О.],B506)</f>
        <v>0</v>
      </c>
      <c r="H502" s="440">
        <f>SUMIFS(Таблица14[Столбец2],Таблица14[коэф],"1",Таблица14[р/р],"3/4",Таблица14[Ф. И. О.],B506)</f>
        <v>0</v>
      </c>
      <c r="I502" s="441">
        <f>IF(D501&lt;=3,база!$J$4,
IF(D501=4,база!$J$5,
IF(D501=5,база!$J$6)))</f>
        <v>196.05240000000001</v>
      </c>
      <c r="J502" s="604">
        <v>1</v>
      </c>
      <c r="K502" s="442">
        <f>SUMIFS(Таблица14[часы],Таблица14[коэф],"1",Таблица14[р/р],"3/8",Таблица14[Ф. И. О.],B506)</f>
        <v>0</v>
      </c>
      <c r="L502" s="442">
        <f>SUMIFS(Таблица14[Столбец2],Таблица14[коэф],"1",Таблица14[р/р],"3/8",Таблица14[Ф. И. О.],B506)</f>
        <v>0</v>
      </c>
      <c r="M502" s="442"/>
      <c r="N502" s="442">
        <v>1</v>
      </c>
      <c r="O502" s="442">
        <f>SUMIFS(Data_Tech!$AM$3:$AM$67,Data_Tech!$E$3:$E$67,"1",Data_Tech!$G$3:$G$67,"4/12",Data_Tech!$F$3:$F$67,B506)</f>
        <v>0</v>
      </c>
      <c r="P502" s="415">
        <f>ROUND(M502*O502,2)</f>
        <v>0</v>
      </c>
      <c r="Q502" s="437">
        <f>база!$L$5</f>
        <v>231.45480000000001</v>
      </c>
      <c r="R502" s="438">
        <v>1</v>
      </c>
      <c r="S502" s="439">
        <f>SUMIFS(Таблица14[часы],Таблица14[коэф],"1",Таблица14[р/р],"4/16",Таблица14[Ф. И. О.],B506)</f>
        <v>0</v>
      </c>
      <c r="T502" s="440">
        <f>SUMIFS(Таблица14[Столбец2],Таблица14[коэф],"1",Таблица14[р/р],"4/16",Таблица14[Ф. И. О.],B506)</f>
        <v>0</v>
      </c>
      <c r="U502" s="605">
        <f>база!$M$5</f>
        <v>247.41720000000001</v>
      </c>
      <c r="V502" s="438">
        <v>1</v>
      </c>
      <c r="W502" s="533">
        <f>SUMIFS(Таблица14[часы],Таблица14[коэф],"1",Таблица14[р/р],"4/24",Таблица14[Ф. И. О.],B506)</f>
        <v>0</v>
      </c>
      <c r="X502" s="606">
        <f>SUMIFS(Таблица14[Столбец2],Таблица14[коэф],"1",Таблица14[р/р],"4/24",Таблица14[Ф. И. О.],B506)</f>
        <v>0</v>
      </c>
      <c r="Y502" s="801"/>
      <c r="Z502" s="797"/>
      <c r="AA502" s="786"/>
    </row>
    <row r="503" spans="1:29">
      <c r="A503" s="786"/>
      <c r="B503" s="216"/>
      <c r="C503" s="789"/>
      <c r="D503" s="792"/>
      <c r="E503" s="437"/>
      <c r="F503" s="438"/>
      <c r="G503" s="439"/>
      <c r="H503" s="440"/>
      <c r="I503" s="441"/>
      <c r="J503" s="604"/>
      <c r="K503" s="442"/>
      <c r="L503" s="442"/>
      <c r="M503" s="442"/>
      <c r="N503" s="442"/>
      <c r="O503" s="442"/>
      <c r="P503" s="415"/>
      <c r="Q503" s="437">
        <f>база!$L$6</f>
        <v>261.04640000000001</v>
      </c>
      <c r="R503" s="438">
        <v>1</v>
      </c>
      <c r="S503" s="439">
        <f>SUMIFS(Таблица14[часы],Таблица14[коэф],"1",Таблица14[р/р],"5/16",Таблица14[Ф. И. О.],B506)</f>
        <v>0</v>
      </c>
      <c r="T503" s="440">
        <f>SUMIFS(Таблица14[Столбец2],Таблица14[коэф],"1",Таблица14[р/р],"5/16",Таблица14[Ф. И. О.],B506)</f>
        <v>0</v>
      </c>
      <c r="U503" s="605">
        <f>база!$M$6</f>
        <v>279.0496</v>
      </c>
      <c r="V503" s="438">
        <v>1</v>
      </c>
      <c r="W503" s="533">
        <f>SUMIFS(Таблица14[часы],Таблица14[коэф],"1",Таблица14[р/р],"5/24",Таблица14[Ф. И. О.],B506)</f>
        <v>0</v>
      </c>
      <c r="X503" s="606">
        <f>SUMIFS(Таблица14[Столбец2],Таблица14[коэф],"1",Таблица14[р/р],"5/24",Таблица14[Ф. И. О.],B506)</f>
        <v>0</v>
      </c>
      <c r="Y503" s="801"/>
      <c r="Z503" s="797"/>
      <c r="AA503" s="786"/>
    </row>
    <row r="504" spans="1:29">
      <c r="A504" s="786"/>
      <c r="B504" s="216"/>
      <c r="C504" s="789"/>
      <c r="D504" s="792"/>
      <c r="E504" s="437"/>
      <c r="F504" s="438"/>
      <c r="G504" s="439"/>
      <c r="H504" s="440"/>
      <c r="I504" s="441">
        <f>база!$J$5</f>
        <v>215.4924</v>
      </c>
      <c r="J504" s="604">
        <v>1.5</v>
      </c>
      <c r="K504" s="442">
        <f>SUMIFS(Таблица14[часы],Таблица14[коэф],"1,5",Таблица14[р/р],"4/8",Таблица14[Ф. И. О.],B506)</f>
        <v>0</v>
      </c>
      <c r="L504" s="442">
        <f>SUMIFS(Таблица14[Столбец2],Таблица14[коэф],"1,5",Таблица14[р/р],"4/8",Таблица14[Ф. И. О.],B506)</f>
        <v>0</v>
      </c>
      <c r="M504" s="442"/>
      <c r="N504" s="442"/>
      <c r="O504" s="442"/>
      <c r="P504" s="415"/>
      <c r="Q504" s="437">
        <f>IF(D501&lt;=3,база!$L$4,
IF(D501=4,база!$L$5,
IF(D501=5,база!$L$6)))</f>
        <v>210.57480000000001</v>
      </c>
      <c r="R504" s="438">
        <v>1.2</v>
      </c>
      <c r="S504" s="439">
        <f>SUMIFS(Таблица14[часы],Таблица14[коэф],"1,2",Таблица14[р/р],"3/16",Таблица14[Ф. И. О.],B506)</f>
        <v>0</v>
      </c>
      <c r="T504" s="440">
        <f>SUMIFS(Таблица14[Столбец2],Таблица14[коэф],"1,2",Таблица14[р/р],"3/16",Таблица14[Ф. И. О.],B506)</f>
        <v>0</v>
      </c>
      <c r="U504" s="605">
        <f>IF(D501&lt;=3,база!$M$4,
IF(D501=4,база!$M$5,
IF(D501=5,база!$M$6)))</f>
        <v>225.09719999999999</v>
      </c>
      <c r="V504" s="438">
        <v>1.2</v>
      </c>
      <c r="W504" s="533">
        <f>SUMIFS(Таблица14[часы],Таблица14[коэф],"1,2",Таблица14[р/р],"3/24",Таблица14[Ф. И. О.],B506)</f>
        <v>0</v>
      </c>
      <c r="X504" s="606">
        <f>SUMIFS(Таблица14[Столбец2],Таблица14[коэф],"1,2",Таблица14[р/р],"3/24",Таблица14[Ф. И. О.],B506)</f>
        <v>0</v>
      </c>
      <c r="Y504" s="801"/>
      <c r="Z504" s="797"/>
      <c r="AA504" s="786"/>
    </row>
    <row r="505" spans="1:29">
      <c r="A505" s="786"/>
      <c r="B505" s="216"/>
      <c r="C505" s="789"/>
      <c r="D505" s="792"/>
      <c r="E505" s="437"/>
      <c r="F505" s="438"/>
      <c r="G505" s="439"/>
      <c r="H505" s="440"/>
      <c r="I505" s="441">
        <f>база!$J$6</f>
        <v>243.04319999999998</v>
      </c>
      <c r="J505" s="604">
        <v>1.5</v>
      </c>
      <c r="K505" s="442">
        <f>SUMIFS(Таблица14[часы],Таблица14[коэф],"1,5",Таблица14[р/р],"5/8",Таблица14[Ф. И. О.],B506)</f>
        <v>0</v>
      </c>
      <c r="L505" s="442">
        <f>SUMIFS(Таблица14[Столбец2],Таблица14[коэф],"1,5",Таблица14[р/р],"5/8",Таблица14[Ф. И. О.],B506)</f>
        <v>0</v>
      </c>
      <c r="M505" s="442"/>
      <c r="N505" s="442"/>
      <c r="O505" s="442"/>
      <c r="P505" s="415"/>
      <c r="Q505" s="437">
        <f>база!$L$5</f>
        <v>231.45480000000001</v>
      </c>
      <c r="R505" s="438">
        <v>1.2</v>
      </c>
      <c r="S505" s="439">
        <f>SUMIFS(Таблица14[часы],Таблица14[коэф],"1,2",Таблица14[р/р],"4/16",Таблица14[Ф. И. О.],B506)</f>
        <v>0</v>
      </c>
      <c r="T505" s="440">
        <f>SUMIFS(Таблица14[Столбец2],Таблица14[коэф],"1,2",Таблица14[р/р],"4/16",Таблица14[Ф. И. О.],B506)</f>
        <v>0</v>
      </c>
      <c r="U505" s="605">
        <f>база!$M$5</f>
        <v>247.41720000000001</v>
      </c>
      <c r="V505" s="438">
        <v>1.2</v>
      </c>
      <c r="W505" s="533">
        <f>SUMIFS(Таблица14[часы],Таблица14[коэф],"1,2",Таблица14[р/р],"4/24",Таблица14[Ф. И. О.],B506)</f>
        <v>0</v>
      </c>
      <c r="X505" s="606">
        <f>SUMIFS(Таблица14[Столбец2],Таблица14[коэф],"1,2",Таблица14[р/р],"4/24",Таблица14[Ф. И. О.],B506)</f>
        <v>0</v>
      </c>
      <c r="Y505" s="801"/>
      <c r="Z505" s="797"/>
      <c r="AA505" s="786"/>
      <c r="AC505" s="754" t="str">
        <f>IF(SUMIFS(Таблица14[Столбец2],Таблица14[Ф. И. О.],B506)-Z501=0,"",SUMIFS(Таблица14[Столбец2],Таблица14[Ф. И. О.],B506)-Z501)</f>
        <v/>
      </c>
    </row>
    <row r="506" spans="1:29">
      <c r="A506" s="786"/>
      <c r="B506" s="216" t="str">
        <f>база!B47</f>
        <v>Марченко Ирина Вячеславовна</v>
      </c>
      <c r="C506" s="789"/>
      <c r="D506" s="792"/>
      <c r="E506" s="437"/>
      <c r="F506" s="438"/>
      <c r="G506" s="439"/>
      <c r="H506" s="440"/>
      <c r="I506" s="441"/>
      <c r="J506" s="604"/>
      <c r="K506" s="442"/>
      <c r="L506" s="442"/>
      <c r="M506" s="442"/>
      <c r="N506" s="442"/>
      <c r="O506" s="442"/>
      <c r="P506" s="415"/>
      <c r="Q506" s="437">
        <f>база!$L$6</f>
        <v>261.04640000000001</v>
      </c>
      <c r="R506" s="438">
        <v>1.2</v>
      </c>
      <c r="S506" s="439">
        <f>SUMIFS(Таблица14[часы],Таблица14[коэф],"1,2",Таблица14[р/р],"5/16",Таблица14[Ф. И. О.],B506)</f>
        <v>0</v>
      </c>
      <c r="T506" s="440">
        <f>SUMIFS(Таблица14[Столбец2],Таблица14[коэф],"1,2",Таблица14[р/р],"5/16",Таблица14[Ф. И. О.],B506)</f>
        <v>0</v>
      </c>
      <c r="U506" s="605">
        <f>база!$M$6</f>
        <v>279.0496</v>
      </c>
      <c r="V506" s="438">
        <v>1.2</v>
      </c>
      <c r="W506" s="533">
        <f>SUMIFS(Таблица14[часы],Таблица14[коэф],"1,2",Таблица14[р/р],"5/24",Таблица14[Ф. И. О.],B506)</f>
        <v>0</v>
      </c>
      <c r="X506" s="606">
        <f>SUMIFS(Таблица14[Столбец2],Таблица14[коэф],"1,2",Таблица14[р/р],"5/24",Таблица14[Ф. И. О.],B506)</f>
        <v>0</v>
      </c>
      <c r="Y506" s="801"/>
      <c r="Z506" s="797"/>
      <c r="AA506" s="786"/>
      <c r="AC506" s="754" t="str">
        <f>IF(SUMIFS(Таблица14[часы],Таблица14[Ф. И. О.],B506)-Y501=0,"",SUMIFS(Таблица14[часы],Таблица14[Ф. И. О.],B506)-Y501)</f>
        <v/>
      </c>
    </row>
    <row r="507" spans="1:29">
      <c r="A507" s="786"/>
      <c r="B507" s="216"/>
      <c r="C507" s="789"/>
      <c r="D507" s="792"/>
      <c r="E507" s="437"/>
      <c r="F507" s="438"/>
      <c r="G507" s="439"/>
      <c r="H507" s="440"/>
      <c r="I507" s="441"/>
      <c r="J507" s="604"/>
      <c r="K507" s="442"/>
      <c r="L507" s="442"/>
      <c r="M507" s="442"/>
      <c r="N507" s="442"/>
      <c r="O507" s="442"/>
      <c r="P507" s="415"/>
      <c r="Q507" s="437">
        <f>IF($D$6&lt;=3,база!$L$4,
IF($D$6=4,база!$L$5,
IF($D$6=5,база!$L$6)))</f>
        <v>231.45480000000001</v>
      </c>
      <c r="R507" s="438">
        <v>1.3</v>
      </c>
      <c r="S507" s="439">
        <f>SUMIFS(Таблица14[часы],Таблица14[коэф],"1,3",Таблица14[р/р],"3/16",Таблица14[Ф. И. О.],B506)</f>
        <v>0</v>
      </c>
      <c r="T507" s="440">
        <f>SUMIFS(Таблица14[Столбец2],Таблица14[коэф],"1,3",Таблица14[р/р],"3/16",Таблица14[Ф. И. О.],B506)</f>
        <v>0</v>
      </c>
      <c r="U507" s="605">
        <f>IF(D501&lt;=3,база!$M$4,
IF(D501=4,база!$M$5,
IF(D501=5,база!$M$6)))</f>
        <v>225.09719999999999</v>
      </c>
      <c r="V507" s="438">
        <v>1.3</v>
      </c>
      <c r="W507" s="533">
        <f>SUMIFS(Таблица14[часы],Таблица14[коэф],"1,3",Таблица14[р/р],"3/24",Таблица14[Ф. И. О.],B506)</f>
        <v>0</v>
      </c>
      <c r="X507" s="606">
        <f>SUMIFS(Таблица14[Столбец2],Таблица14[коэф],"1,3",Таблица14[р/р],"3/24",Таблица14[Ф. И. О.],B506)</f>
        <v>0</v>
      </c>
      <c r="Y507" s="801"/>
      <c r="Z507" s="797"/>
      <c r="AA507" s="786"/>
    </row>
    <row r="508" spans="1:29">
      <c r="A508" s="786"/>
      <c r="B508" s="216"/>
      <c r="C508" s="789"/>
      <c r="D508" s="792"/>
      <c r="E508" s="437"/>
      <c r="F508" s="438"/>
      <c r="G508" s="439"/>
      <c r="H508" s="440"/>
      <c r="I508" s="441"/>
      <c r="J508" s="604"/>
      <c r="K508" s="442"/>
      <c r="L508" s="442"/>
      <c r="M508" s="442"/>
      <c r="N508" s="442"/>
      <c r="O508" s="442"/>
      <c r="P508" s="415"/>
      <c r="Q508" s="437">
        <f>база!$L$5</f>
        <v>231.45480000000001</v>
      </c>
      <c r="R508" s="438">
        <v>1.3</v>
      </c>
      <c r="S508" s="439">
        <f>SUMIFS(Таблица14[часы],Таблица14[коэф],"1,3",Таблица14[р/р],"4/16",Таблица14[Ф. И. О.],B506)</f>
        <v>0</v>
      </c>
      <c r="T508" s="440">
        <f>SUMIFS(Таблица14[Столбец2],Таблица14[коэф],"1,3",Таблица14[р/р],"4/16",Таблица14[Ф. И. О.],B506)</f>
        <v>0</v>
      </c>
      <c r="U508" s="605">
        <f>база!$M$5</f>
        <v>247.41720000000001</v>
      </c>
      <c r="V508" s="438">
        <v>1.3</v>
      </c>
      <c r="W508" s="533">
        <f>SUMIFS(Таблица14[часы],Таблица14[коэф],"1,3",Таблица14[р/р],"4/24",Таблица14[Ф. И. О.],B506)</f>
        <v>0</v>
      </c>
      <c r="X508" s="606">
        <f>SUMIFS(Таблица14[Столбец2],Таблица14[коэф],"1,3",Таблица14[р/р],"4/24",Таблица14[Ф. И. О.],B506)</f>
        <v>0</v>
      </c>
      <c r="Y508" s="801"/>
      <c r="Z508" s="797"/>
      <c r="AA508" s="786"/>
    </row>
    <row r="509" spans="1:29">
      <c r="A509" s="786"/>
      <c r="B509" s="216"/>
      <c r="C509" s="789"/>
      <c r="D509" s="792"/>
      <c r="E509" s="437"/>
      <c r="F509" s="438"/>
      <c r="G509" s="439"/>
      <c r="H509" s="440"/>
      <c r="I509" s="441"/>
      <c r="J509" s="604"/>
      <c r="K509" s="442"/>
      <c r="L509" s="442"/>
      <c r="M509" s="442"/>
      <c r="N509" s="442"/>
      <c r="O509" s="442"/>
      <c r="P509" s="415"/>
      <c r="Q509" s="437">
        <f>IF(D501&lt;=3,база!$L$4,
IF(D501=4,база!$L$5,
IF(D501=5,база!$L$6)))</f>
        <v>210.57480000000001</v>
      </c>
      <c r="R509" s="438">
        <v>1.4</v>
      </c>
      <c r="S509" s="439">
        <f>SUMIFS(Таблица14[часы],Таблица14[коэф],"1,4",Таблица14[р/р],"3/16",Таблица14[Ф. И. О.],B506)</f>
        <v>0</v>
      </c>
      <c r="T509" s="440">
        <f>SUMIFS(Таблица14[Столбец2],Таблица14[коэф],"1,4",Таблица14[р/р],"3/16",Таблица14[Ф. И. О.],B506)</f>
        <v>0</v>
      </c>
      <c r="U509" s="605">
        <f>IF(D501&lt;=3,база!$M$4,
IF(D501=4,база!$M$5,
IF(D501=5,база!$M$6)))</f>
        <v>225.09719999999999</v>
      </c>
      <c r="V509" s="438">
        <v>1.4</v>
      </c>
      <c r="W509" s="533">
        <f>SUMIFS(Таблица14[часы],Таблица14[коэф],"1,4",Таблица14[р/р],"3/24",Таблица14[Ф. И. О.],B506)</f>
        <v>0</v>
      </c>
      <c r="X509" s="606">
        <f>SUMIFS(Таблица14[Столбец2],Таблица14[коэф],"1,4",Таблица14[р/р],"3/24",Таблица14[Ф. И. О.],B506)</f>
        <v>0</v>
      </c>
      <c r="Y509" s="801"/>
      <c r="Z509" s="797"/>
      <c r="AA509" s="786"/>
    </row>
    <row r="510" spans="1:29">
      <c r="A510" s="786"/>
      <c r="B510" s="216"/>
      <c r="C510" s="789"/>
      <c r="D510" s="792"/>
      <c r="E510" s="437"/>
      <c r="F510" s="438"/>
      <c r="G510" s="439"/>
      <c r="H510" s="440"/>
      <c r="I510" s="441"/>
      <c r="J510" s="604"/>
      <c r="K510" s="442"/>
      <c r="L510" s="442"/>
      <c r="M510" s="442"/>
      <c r="N510" s="442"/>
      <c r="O510" s="442"/>
      <c r="P510" s="415"/>
      <c r="Q510" s="437">
        <f>база!$L$5</f>
        <v>231.45480000000001</v>
      </c>
      <c r="R510" s="438">
        <v>1.4</v>
      </c>
      <c r="S510" s="439">
        <f>SUMIFS(Таблица14[часы],Таблица14[коэф],"1,4",Таблица14[р/р],"4/16",Таблица14[Ф. И. О.],B506)</f>
        <v>0</v>
      </c>
      <c r="T510" s="440">
        <f>SUMIFS(Таблица14[Столбец2],Таблица14[коэф],"1,4",Таблица14[р/р],"4/16",Таблица14[Ф. И. О.],B506)</f>
        <v>0</v>
      </c>
      <c r="U510" s="605">
        <f>база!$M$5</f>
        <v>247.41720000000001</v>
      </c>
      <c r="V510" s="438">
        <v>1.4</v>
      </c>
      <c r="W510" s="533">
        <f>SUMIFS(Таблица14[часы],Таблица14[коэф],"1,4",Таблица14[р/р],"4/24",Таблица14[Ф. И. О.],B506)</f>
        <v>0</v>
      </c>
      <c r="X510" s="606">
        <f>SUMIFS(Таблица14[Столбец2],Таблица14[коэф],"1,4",Таблица14[р/р],"4/24",Таблица14[Ф. И. О.],B506)</f>
        <v>0</v>
      </c>
      <c r="Y510" s="801"/>
      <c r="Z510" s="797"/>
      <c r="AA510" s="786"/>
    </row>
    <row r="511" spans="1:29" ht="21" thickBot="1">
      <c r="A511" s="787"/>
      <c r="B511" s="203"/>
      <c r="C511" s="790"/>
      <c r="D511" s="793"/>
      <c r="E511" s="445"/>
      <c r="F511" s="446"/>
      <c r="G511" s="447"/>
      <c r="H511" s="535"/>
      <c r="I511" s="448"/>
      <c r="J511" s="617"/>
      <c r="K511" s="449"/>
      <c r="L511" s="449"/>
      <c r="M511" s="449"/>
      <c r="N511" s="449"/>
      <c r="O511" s="449"/>
      <c r="P511" s="538"/>
      <c r="Q511" s="445">
        <f>база!$L$6</f>
        <v>261.04640000000001</v>
      </c>
      <c r="R511" s="446">
        <v>1.4</v>
      </c>
      <c r="S511" s="447">
        <f>SUMIFS(Таблица14[часы],Таблица14[коэф],"1,4",Таблица14[р/р],"5/16",Таблица14[Ф. И. О.],B506)</f>
        <v>0</v>
      </c>
      <c r="T511" s="535">
        <f>SUMIFS(Таблица14[Столбец2],Таблица14[коэф],"1,4",Таблица14[р/р],"5/16",Таблица14[Ф. И. О.],B506)</f>
        <v>0</v>
      </c>
      <c r="U511" s="618">
        <f>база!$M$6</f>
        <v>279.0496</v>
      </c>
      <c r="V511" s="446">
        <v>1.4</v>
      </c>
      <c r="W511" s="540">
        <f>SUMIFS(Таблица14[часы],Таблица14[коэф],"1,4",Таблица14[р/р],"5/24",Таблица14[Ф. И. О.],B506)</f>
        <v>0</v>
      </c>
      <c r="X511" s="619">
        <f>SUMIFS(Таблица14[Столбец2],Таблица14[коэф],"1,4",Таблица14[р/р],"5/24",Таблица14[Ф. И. О.],B506)</f>
        <v>0</v>
      </c>
      <c r="Y511" s="802"/>
      <c r="Z511" s="798"/>
      <c r="AA511" s="787"/>
    </row>
    <row r="512" spans="1:29">
      <c r="A512" s="786">
        <v>47</v>
      </c>
      <c r="B512" s="216"/>
      <c r="C512" s="788">
        <f>INDEX(база!$E$2:$E$98, MATCH(B517,база!$B$2:$B$100,0))</f>
        <v>15082</v>
      </c>
      <c r="D512" s="791">
        <f>INDEX(база!$D$2:$D$121, MATCH(B517,база!$B$2:$B$100,0))</f>
        <v>3</v>
      </c>
      <c r="E512" s="481">
        <f>IF(D512&lt;=3,база!$I$4,
IF(D512=4,база!$I$5,
IF(D512=5,база!$I$6)))</f>
        <v>188.7912</v>
      </c>
      <c r="F512" s="417">
        <v>1</v>
      </c>
      <c r="G512" s="418">
        <f>SUMIFS(Таблица14[часы],Таблица14[коэф],"1",Таблица14[р/р],"2/4",Таблица14[Ф. И. О.],B517)</f>
        <v>0</v>
      </c>
      <c r="H512" s="402">
        <f>SUMIFS(Таблица14[Столбец2],Таблица14[коэф],"1",Таблица14[р/р],"2/4",Таблица14[Ф. И. О.],B517)</f>
        <v>0</v>
      </c>
      <c r="I512" s="452">
        <f>IF(D512&lt;=3,база!$J$4,
IF(D512=4,база!$J$5,
IF(D512=5,база!$J$6)))</f>
        <v>196.05240000000001</v>
      </c>
      <c r="J512" s="475">
        <v>1</v>
      </c>
      <c r="K512" s="453">
        <f>SUMIFS(Таблица14[часы],Таблица14[коэф],"1",Таблица14[р/р],"2/8",Таблица14[Ф. И. О.],B517)</f>
        <v>0</v>
      </c>
      <c r="L512" s="453">
        <f>SUMIFS(Таблица14[Столбец2],Таблица14[коэф],"1",Таблица14[р/р],"2/8",Таблица14[Ф. И. О.],B517)</f>
        <v>0</v>
      </c>
      <c r="M512" s="453"/>
      <c r="N512" s="453">
        <v>1</v>
      </c>
      <c r="O512" s="453">
        <f>SUMIFS(Data_Tech!$AM$3:$AM$67,Data_Tech!$E$3:$E$67,"1",Data_Tech!$G$3:$G$67,"3/12",Data_Tech!$F$3:$F$67,B517)</f>
        <v>0</v>
      </c>
      <c r="P512" s="398">
        <f>ROUND(M512*N512*O512,2)</f>
        <v>0</v>
      </c>
      <c r="Q512" s="481">
        <f>IF(D512&lt;=3,база!$L$4,
IF(D512=4,база!$L$5,
IF(D512=5,база!$L$6)))</f>
        <v>210.57480000000001</v>
      </c>
      <c r="R512" s="417">
        <v>1</v>
      </c>
      <c r="S512" s="418">
        <f>SUMIFS(Таблица14[часы],Таблица14[коэф],"1",Таблица14[р/р],"3/16",Таблица14[Ф. И. О.],B517)</f>
        <v>0</v>
      </c>
      <c r="T512" s="402">
        <f>SUMIFS(Таблица14[Столбец2],Таблица14[коэф],"1",Таблица14[р/р],"3/16",Таблица14[Ф. И. О.],B517)</f>
        <v>0</v>
      </c>
      <c r="U512" s="483">
        <f>IF(D512&lt;=3,база!$M$4,
IF(D512=4,база!$M$5,
IF(D512=5,база!$M$6)))</f>
        <v>225.09719999999999</v>
      </c>
      <c r="V512" s="417">
        <v>1</v>
      </c>
      <c r="W512" s="455">
        <f>SUMIFS(Таблица14[часы],Таблица14[коэф],"1",Таблица14[р/р],"3/24",Таблица14[Ф. И. О.],B517)</f>
        <v>0</v>
      </c>
      <c r="X512" s="552">
        <f>SUMIFS(Таблица14[Столбец2],Таблица14[коэф],"1",Таблица14[р/р],"3/24",Таблица14[Ф. И. О.],B517)</f>
        <v>0</v>
      </c>
      <c r="Y512" s="795">
        <f t="shared" ref="Y512" si="232">SUM(G512:G522,K512:K522,O512:O522,S512:S522,W512:W522)</f>
        <v>0</v>
      </c>
      <c r="Z512" s="797">
        <f t="shared" ref="Z512" si="233">IFERROR(SUM(H512:H522,L512:L522,T512:T522,X512:X522),"")</f>
        <v>0</v>
      </c>
      <c r="AA512" s="786"/>
    </row>
    <row r="513" spans="1:29">
      <c r="A513" s="786"/>
      <c r="B513" s="216"/>
      <c r="C513" s="789"/>
      <c r="D513" s="792"/>
      <c r="E513" s="389">
        <f>IF(D512&lt;=3,база!$I$4,
IF(D512=4,база!$I$5,
IF(D512=5,база!$I$6)))</f>
        <v>188.7912</v>
      </c>
      <c r="F513" s="390">
        <v>1</v>
      </c>
      <c r="G513" s="400">
        <f>SUMIFS(Таблица14[часы],Таблица14[коэф],"1",Таблица14[р/р],"3/4",Таблица14[Ф. И. О.],B517)</f>
        <v>0</v>
      </c>
      <c r="H513" s="392">
        <f>SUMIFS(Таблица14[Столбец2],Таблица14[коэф],"1",Таблица14[р/р],"3/4",Таблица14[Ф. И. О.],B517)</f>
        <v>0</v>
      </c>
      <c r="I513" s="432">
        <f>IF(D512&lt;=3,база!$J$4,
IF(D512=4,база!$J$5,
IF(D512=5,база!$J$6)))</f>
        <v>196.05240000000001</v>
      </c>
      <c r="J513" s="433">
        <v>1</v>
      </c>
      <c r="K513" s="434">
        <f>SUMIFS(Таблица14[часы],Таблица14[коэф],"1",Таблица14[р/р],"3/8",Таблица14[Ф. И. О.],B517)</f>
        <v>0</v>
      </c>
      <c r="L513" s="434">
        <f>SUMIFS(Таблица14[Столбец2],Таблица14[коэф],"1",Таблица14[р/р],"3/8",Таблица14[Ф. И. О.],B517)</f>
        <v>0</v>
      </c>
      <c r="M513" s="434"/>
      <c r="N513" s="434">
        <v>1</v>
      </c>
      <c r="O513" s="434">
        <f>SUMIFS(Data_Tech!$AM$3:$AM$67,Data_Tech!$E$3:$E$67,"1",Data_Tech!$G$3:$G$67,"4/12",Data_Tech!$F$3:$F$67,B517)</f>
        <v>0</v>
      </c>
      <c r="P513" s="406">
        <f>ROUND(M513*O513,2)</f>
        <v>0</v>
      </c>
      <c r="Q513" s="389">
        <f>база!$L$5</f>
        <v>231.45480000000001</v>
      </c>
      <c r="R513" s="390">
        <v>1</v>
      </c>
      <c r="S513" s="400">
        <f>SUMIFS(Таблица14[часы],Таблица14[коэф],"1",Таблица14[р/р],"4/16",Таблица14[Ф. И. О.],B517)</f>
        <v>0</v>
      </c>
      <c r="T513" s="392">
        <f>SUMIFS(Таблица14[Столбец2],Таблица14[коэф],"1",Таблица14[р/р],"4/16",Таблица14[Ф. И. О.],B517)</f>
        <v>0</v>
      </c>
      <c r="U513" s="478">
        <f>база!$M$5</f>
        <v>247.41720000000001</v>
      </c>
      <c r="V513" s="390">
        <v>1</v>
      </c>
      <c r="W513" s="412">
        <f>SUMIFS(Таблица14[часы],Таблица14[коэф],"1",Таблица14[р/р],"4/24",Таблица14[Ф. И. О.],B517)</f>
        <v>0</v>
      </c>
      <c r="X513" s="545">
        <f>SUMIFS(Таблица14[Столбец2],Таблица14[коэф],"1",Таблица14[р/р],"4/24",Таблица14[Ф. И. О.],B517)</f>
        <v>0</v>
      </c>
      <c r="Y513" s="795"/>
      <c r="Z513" s="797"/>
      <c r="AA513" s="786"/>
    </row>
    <row r="514" spans="1:29">
      <c r="A514" s="786"/>
      <c r="B514" s="216"/>
      <c r="C514" s="789"/>
      <c r="D514" s="792"/>
      <c r="E514" s="389"/>
      <c r="F514" s="390"/>
      <c r="G514" s="400"/>
      <c r="H514" s="392"/>
      <c r="I514" s="432"/>
      <c r="J514" s="433"/>
      <c r="K514" s="434"/>
      <c r="L514" s="434"/>
      <c r="M514" s="434"/>
      <c r="N514" s="434"/>
      <c r="O514" s="434"/>
      <c r="P514" s="406"/>
      <c r="Q514" s="389">
        <f>база!$L$6</f>
        <v>261.04640000000001</v>
      </c>
      <c r="R514" s="390">
        <v>1</v>
      </c>
      <c r="S514" s="400">
        <f>SUMIFS(Таблица14[часы],Таблица14[коэф],"1",Таблица14[р/р],"5/16",Таблица14[Ф. И. О.],B517)</f>
        <v>0</v>
      </c>
      <c r="T514" s="392">
        <f>SUMIFS(Таблица14[Столбец2],Таблица14[коэф],"1",Таблица14[р/р],"5/16",Таблица14[Ф. И. О.],B517)</f>
        <v>0</v>
      </c>
      <c r="U514" s="478">
        <f>база!$M$6</f>
        <v>279.0496</v>
      </c>
      <c r="V514" s="390">
        <v>1</v>
      </c>
      <c r="W514" s="412">
        <f>SUMIFS(Таблица14[часы],Таблица14[коэф],"1",Таблица14[р/р],"5/24",Таблица14[Ф. И. О.],B517)</f>
        <v>0</v>
      </c>
      <c r="X514" s="545">
        <f>SUMIFS(Таблица14[Столбец2],Таблица14[коэф],"1",Таблица14[р/р],"5/24",Таблица14[Ф. И. О.],B517)</f>
        <v>0</v>
      </c>
      <c r="Y514" s="795"/>
      <c r="Z514" s="797"/>
      <c r="AA514" s="786"/>
    </row>
    <row r="515" spans="1:29">
      <c r="A515" s="786"/>
      <c r="B515" s="216"/>
      <c r="C515" s="789"/>
      <c r="D515" s="792"/>
      <c r="E515" s="389"/>
      <c r="F515" s="390"/>
      <c r="G515" s="400"/>
      <c r="H515" s="392"/>
      <c r="I515" s="432">
        <f>база!$J$5</f>
        <v>215.4924</v>
      </c>
      <c r="J515" s="433">
        <v>1.5</v>
      </c>
      <c r="K515" s="434">
        <f>SUMIFS(Таблица14[часы],Таблица14[коэф],"1,5",Таблица14[р/р],"4/8",Таблица14[Ф. И. О.],B517)</f>
        <v>0</v>
      </c>
      <c r="L515" s="434">
        <f>SUMIFS(Таблица14[Столбец2],Таблица14[коэф],"1,5",Таблица14[р/р],"4/8",Таблица14[Ф. И. О.],B517)</f>
        <v>0</v>
      </c>
      <c r="M515" s="434"/>
      <c r="N515" s="434"/>
      <c r="O515" s="434"/>
      <c r="P515" s="406"/>
      <c r="Q515" s="389">
        <f>IF(D512&lt;=3,база!$L$4,
IF(D512=4,база!$L$5,
IF(D512=5,база!$L$6)))</f>
        <v>210.57480000000001</v>
      </c>
      <c r="R515" s="390">
        <v>1.2</v>
      </c>
      <c r="S515" s="400">
        <f>SUMIFS(Таблица14[часы],Таблица14[коэф],"1,2",Таблица14[р/р],"3/16",Таблица14[Ф. И. О.],B517)</f>
        <v>0</v>
      </c>
      <c r="T515" s="392">
        <f>SUMIFS(Таблица14[Столбец2],Таблица14[коэф],"1,2",Таблица14[р/р],"3/16",Таблица14[Ф. И. О.],B517)</f>
        <v>0</v>
      </c>
      <c r="U515" s="478">
        <f>IF(D512&lt;=3,база!$M$4,
IF(D512=4,база!$M$5,
IF(D512=5,база!$M$6)))</f>
        <v>225.09719999999999</v>
      </c>
      <c r="V515" s="390">
        <v>1.2</v>
      </c>
      <c r="W515" s="412">
        <f>SUMIFS(Таблица14[часы],Таблица14[коэф],"1,2",Таблица14[р/р],"3/24",Таблица14[Ф. И. О.],B517)</f>
        <v>0</v>
      </c>
      <c r="X515" s="545">
        <f>SUMIFS(Таблица14[Столбец2],Таблица14[коэф],"1,2",Таблица14[р/р],"3/24",Таблица14[Ф. И. О.],B517)</f>
        <v>0</v>
      </c>
      <c r="Y515" s="795"/>
      <c r="Z515" s="797"/>
      <c r="AA515" s="786"/>
    </row>
    <row r="516" spans="1:29">
      <c r="A516" s="786"/>
      <c r="B516" s="216"/>
      <c r="C516" s="789"/>
      <c r="D516" s="792"/>
      <c r="E516" s="389"/>
      <c r="F516" s="390"/>
      <c r="G516" s="400"/>
      <c r="H516" s="392"/>
      <c r="I516" s="432">
        <f>база!$J$6</f>
        <v>243.04319999999998</v>
      </c>
      <c r="J516" s="433">
        <v>1.5</v>
      </c>
      <c r="K516" s="434">
        <f>SUMIFS(Таблица14[часы],Таблица14[коэф],"1,5",Таблица14[р/р],"5/8",Таблица14[Ф. И. О.],B517)</f>
        <v>0</v>
      </c>
      <c r="L516" s="434">
        <f>SUMIFS(Таблица14[Столбец2],Таблица14[коэф],"1,5",Таблица14[р/р],"5/8",Таблица14[Ф. И. О.],B517)</f>
        <v>0</v>
      </c>
      <c r="M516" s="434"/>
      <c r="N516" s="434"/>
      <c r="O516" s="434"/>
      <c r="P516" s="406"/>
      <c r="Q516" s="389">
        <f>база!$L$5</f>
        <v>231.45480000000001</v>
      </c>
      <c r="R516" s="390">
        <v>1.2</v>
      </c>
      <c r="S516" s="400">
        <f>SUMIFS(Таблица14[часы],Таблица14[коэф],"1,2",Таблица14[р/р],"4/16",Таблица14[Ф. И. О.],B517)</f>
        <v>0</v>
      </c>
      <c r="T516" s="392">
        <f>SUMIFS(Таблица14[Столбец2],Таблица14[коэф],"1,2",Таблица14[р/р],"4/16",Таблица14[Ф. И. О.],B517)</f>
        <v>0</v>
      </c>
      <c r="U516" s="478">
        <f>база!$M$5</f>
        <v>247.41720000000001</v>
      </c>
      <c r="V516" s="390">
        <v>1.2</v>
      </c>
      <c r="W516" s="412">
        <f>SUMIFS(Таблица14[часы],Таблица14[коэф],"1,2",Таблица14[р/р],"4/24",Таблица14[Ф. И. О.],B517)</f>
        <v>0</v>
      </c>
      <c r="X516" s="545">
        <f>SUMIFS(Таблица14[Столбец2],Таблица14[коэф],"1,2",Таблица14[р/р],"4/24",Таблица14[Ф. И. О.],B517)</f>
        <v>0</v>
      </c>
      <c r="Y516" s="795"/>
      <c r="Z516" s="797"/>
      <c r="AA516" s="786"/>
    </row>
    <row r="517" spans="1:29">
      <c r="A517" s="786"/>
      <c r="B517" s="216" t="str">
        <f>база!B48</f>
        <v>Матыгулина Наталья Энвировна</v>
      </c>
      <c r="C517" s="789"/>
      <c r="D517" s="792"/>
      <c r="E517" s="389"/>
      <c r="F517" s="390"/>
      <c r="G517" s="400"/>
      <c r="H517" s="392"/>
      <c r="I517" s="432"/>
      <c r="J517" s="433"/>
      <c r="K517" s="434"/>
      <c r="L517" s="434"/>
      <c r="M517" s="434"/>
      <c r="N517" s="434"/>
      <c r="O517" s="434"/>
      <c r="P517" s="406"/>
      <c r="Q517" s="389">
        <f>база!$L$6</f>
        <v>261.04640000000001</v>
      </c>
      <c r="R517" s="390">
        <v>1.2</v>
      </c>
      <c r="S517" s="400">
        <f>SUMIFS(Таблица14[часы],Таблица14[коэф],"1,2",Таблица14[р/р],"5/16",Таблица14[Ф. И. О.],B517)</f>
        <v>0</v>
      </c>
      <c r="T517" s="392">
        <f>SUMIFS(Таблица14[Столбец2],Таблица14[коэф],"1,2",Таблица14[р/р],"5/16",Таблица14[Ф. И. О.],B517)</f>
        <v>0</v>
      </c>
      <c r="U517" s="478">
        <f>база!$M$6</f>
        <v>279.0496</v>
      </c>
      <c r="V517" s="390">
        <v>1.2</v>
      </c>
      <c r="W517" s="412">
        <f>SUMIFS(Таблица14[часы],Таблица14[коэф],"1,2",Таблица14[р/р],"5/24",Таблица14[Ф. И. О.],B517)</f>
        <v>0</v>
      </c>
      <c r="X517" s="545">
        <f>SUMIFS(Таблица14[Столбец2],Таблица14[коэф],"1,2",Таблица14[р/р],"5/24",Таблица14[Ф. И. О.],B517)</f>
        <v>0</v>
      </c>
      <c r="Y517" s="795"/>
      <c r="Z517" s="797"/>
      <c r="AA517" s="786"/>
      <c r="AC517" s="754" t="str">
        <f>IF(SUMIFS(Таблица14[Столбец2],Таблица14[Ф. И. О.],B517)-Z512=0,"",SUMIFS(Таблица14[Столбец2],Таблица14[Ф. И. О.],B517)-Z512)</f>
        <v/>
      </c>
    </row>
    <row r="518" spans="1:29">
      <c r="A518" s="786"/>
      <c r="B518" s="216"/>
      <c r="C518" s="789"/>
      <c r="D518" s="792"/>
      <c r="E518" s="389"/>
      <c r="F518" s="390"/>
      <c r="G518" s="400"/>
      <c r="H518" s="392"/>
      <c r="I518" s="432"/>
      <c r="J518" s="433"/>
      <c r="K518" s="434"/>
      <c r="L518" s="434"/>
      <c r="M518" s="434"/>
      <c r="N518" s="434"/>
      <c r="O518" s="434"/>
      <c r="P518" s="406"/>
      <c r="Q518" s="389">
        <f>IF($D$6&lt;=3,база!$L$4,
IF($D$6=4,база!$L$5,
IF($D$6=5,база!$L$6)))</f>
        <v>231.45480000000001</v>
      </c>
      <c r="R518" s="390">
        <v>1.3</v>
      </c>
      <c r="S518" s="400">
        <f>SUMIFS(Таблица14[часы],Таблица14[коэф],"1,3",Таблица14[р/р],"3/16",Таблица14[Ф. И. О.],B517)</f>
        <v>0</v>
      </c>
      <c r="T518" s="392">
        <f>SUMIFS(Таблица14[Столбец2],Таблица14[коэф],"1,3",Таблица14[р/р],"3/16",Таблица14[Ф. И. О.],B517)</f>
        <v>0</v>
      </c>
      <c r="U518" s="478">
        <f>IF(D512&lt;=3,база!$M$4,
IF(D512=4,база!$M$5,
IF(D512=5,база!$M$6)))</f>
        <v>225.09719999999999</v>
      </c>
      <c r="V518" s="390">
        <v>1.3</v>
      </c>
      <c r="W518" s="412">
        <f>SUMIFS(Таблица14[часы],Таблица14[коэф],"1,3",Таблица14[р/р],"3/24",Таблица14[Ф. И. О.],B517)</f>
        <v>0</v>
      </c>
      <c r="X518" s="545">
        <f>SUMIFS(Таблица14[Столбец2],Таблица14[коэф],"1,3",Таблица14[р/р],"3/24",Таблица14[Ф. И. О.],B517)</f>
        <v>0</v>
      </c>
      <c r="Y518" s="795"/>
      <c r="Z518" s="797"/>
      <c r="AA518" s="786"/>
      <c r="AC518" s="754" t="str">
        <f>IF(SUMIFS(Таблица14[часы],Таблица14[Ф. И. О.],B517)-Y512=0,"",SUMIFS(Таблица14[часы],Таблица14[Ф. И. О.],B517)-Y512)</f>
        <v/>
      </c>
    </row>
    <row r="519" spans="1:29">
      <c r="A519" s="786"/>
      <c r="B519" s="216"/>
      <c r="C519" s="789"/>
      <c r="D519" s="792"/>
      <c r="E519" s="389"/>
      <c r="F519" s="390"/>
      <c r="G519" s="400"/>
      <c r="H519" s="392"/>
      <c r="I519" s="432"/>
      <c r="J519" s="433"/>
      <c r="K519" s="434"/>
      <c r="L519" s="434"/>
      <c r="M519" s="434"/>
      <c r="N519" s="434"/>
      <c r="O519" s="434"/>
      <c r="P519" s="406"/>
      <c r="Q519" s="389">
        <f>база!$L$5</f>
        <v>231.45480000000001</v>
      </c>
      <c r="R519" s="390">
        <v>1.3</v>
      </c>
      <c r="S519" s="400">
        <f>SUMIFS(Таблица14[часы],Таблица14[коэф],"1,3",Таблица14[р/р],"4/16",Таблица14[Ф. И. О.],B517)</f>
        <v>0</v>
      </c>
      <c r="T519" s="392">
        <f>SUMIFS(Таблица14[Столбец2],Таблица14[коэф],"1,3",Таблица14[р/р],"4/16",Таблица14[Ф. И. О.],B517)</f>
        <v>0</v>
      </c>
      <c r="U519" s="478">
        <f>база!$M$5</f>
        <v>247.41720000000001</v>
      </c>
      <c r="V519" s="390">
        <v>1.3</v>
      </c>
      <c r="W519" s="412">
        <f>SUMIFS(Таблица14[часы],Таблица14[коэф],"1,3",Таблица14[р/р],"4/24",Таблица14[Ф. И. О.],B517)</f>
        <v>0</v>
      </c>
      <c r="X519" s="545">
        <f>SUMIFS(Таблица14[Столбец2],Таблица14[коэф],"1,3",Таблица14[р/р],"4/24",Таблица14[Ф. И. О.],B517)</f>
        <v>0</v>
      </c>
      <c r="Y519" s="795"/>
      <c r="Z519" s="797"/>
      <c r="AA519" s="786"/>
    </row>
    <row r="520" spans="1:29">
      <c r="A520" s="786"/>
      <c r="B520" s="216"/>
      <c r="C520" s="789"/>
      <c r="D520" s="792"/>
      <c r="E520" s="389"/>
      <c r="F520" s="390"/>
      <c r="G520" s="400"/>
      <c r="H520" s="392"/>
      <c r="I520" s="432"/>
      <c r="J520" s="433"/>
      <c r="K520" s="434"/>
      <c r="L520" s="434"/>
      <c r="M520" s="434"/>
      <c r="N520" s="434"/>
      <c r="O520" s="434"/>
      <c r="P520" s="406"/>
      <c r="Q520" s="389">
        <f>IF(D512&lt;=3,база!$L$4,
IF(D512=4,база!$L$5,
IF(D512=5,база!$L$6)))</f>
        <v>210.57480000000001</v>
      </c>
      <c r="R520" s="390">
        <v>1.4</v>
      </c>
      <c r="S520" s="400">
        <f>SUMIFS(Таблица14[часы],Таблица14[коэф],"1,4",Таблица14[р/р],"3/16",Таблица14[Ф. И. О.],B517)</f>
        <v>0</v>
      </c>
      <c r="T520" s="392">
        <f>SUMIFS(Таблица14[Столбец2],Таблица14[коэф],"1,4",Таблица14[р/р],"3/16",Таблица14[Ф. И. О.],B517)</f>
        <v>0</v>
      </c>
      <c r="U520" s="478">
        <f>IF(D512&lt;=3,база!$M$4,
IF(D512=4,база!$M$5,
IF(D512=5,база!$M$6)))</f>
        <v>225.09719999999999</v>
      </c>
      <c r="V520" s="390">
        <v>1.4</v>
      </c>
      <c r="W520" s="412">
        <f>SUMIFS(Таблица14[часы],Таблица14[коэф],"1,4",Таблица14[р/р],"3/24",Таблица14[Ф. И. О.],B517)</f>
        <v>0</v>
      </c>
      <c r="X520" s="545">
        <f>SUMIFS(Таблица14[Столбец2],Таблица14[коэф],"1,4",Таблица14[р/р],"3/24",Таблица14[Ф. И. О.],B517)</f>
        <v>0</v>
      </c>
      <c r="Y520" s="795"/>
      <c r="Z520" s="797"/>
      <c r="AA520" s="786"/>
    </row>
    <row r="521" spans="1:29">
      <c r="A521" s="786"/>
      <c r="B521" s="216"/>
      <c r="C521" s="789"/>
      <c r="D521" s="792"/>
      <c r="E521" s="389"/>
      <c r="F521" s="390"/>
      <c r="G521" s="400"/>
      <c r="H521" s="392"/>
      <c r="I521" s="432"/>
      <c r="J521" s="433"/>
      <c r="K521" s="434"/>
      <c r="L521" s="434"/>
      <c r="M521" s="434"/>
      <c r="N521" s="434"/>
      <c r="O521" s="434"/>
      <c r="P521" s="406"/>
      <c r="Q521" s="389">
        <f>база!$L$5</f>
        <v>231.45480000000001</v>
      </c>
      <c r="R521" s="390">
        <v>1.4</v>
      </c>
      <c r="S521" s="400">
        <f>SUMIFS(Таблица14[часы],Таблица14[коэф],"1,4",Таблица14[р/р],"4/16",Таблица14[Ф. И. О.],B517)</f>
        <v>0</v>
      </c>
      <c r="T521" s="392">
        <f>SUMIFS(Таблица14[Столбец2],Таблица14[коэф],"1,4",Таблица14[р/р],"4/16",Таблица14[Ф. И. О.],B517)</f>
        <v>0</v>
      </c>
      <c r="U521" s="478">
        <f>база!$M$5</f>
        <v>247.41720000000001</v>
      </c>
      <c r="V521" s="390">
        <v>1.4</v>
      </c>
      <c r="W521" s="412">
        <f>SUMIFS(Таблица14[часы],Таблица14[коэф],"1,4",Таблица14[р/р],"4/24",Таблица14[Ф. И. О.],B517)</f>
        <v>0</v>
      </c>
      <c r="X521" s="545">
        <f>SUMIFS(Таблица14[Столбец2],Таблица14[коэф],"1,4",Таблица14[р/р],"4/24",Таблица14[Ф. И. О.],B517)</f>
        <v>0</v>
      </c>
      <c r="Y521" s="795"/>
      <c r="Z521" s="797"/>
      <c r="AA521" s="786"/>
    </row>
    <row r="522" spans="1:29" ht="21" thickBot="1">
      <c r="A522" s="787"/>
      <c r="B522" s="352"/>
      <c r="C522" s="790"/>
      <c r="D522" s="793"/>
      <c r="E522" s="473"/>
      <c r="F522" s="464"/>
      <c r="G522" s="657"/>
      <c r="H522" s="468"/>
      <c r="I522" s="651"/>
      <c r="J522" s="456"/>
      <c r="K522" s="652"/>
      <c r="L522" s="457"/>
      <c r="M522" s="651"/>
      <c r="N522" s="652"/>
      <c r="O522" s="652"/>
      <c r="P522" s="476"/>
      <c r="Q522" s="658">
        <f>база!$L$6</f>
        <v>261.04640000000001</v>
      </c>
      <c r="R522" s="464">
        <v>1.4</v>
      </c>
      <c r="S522" s="465">
        <f>SUMIFS(Таблица14[часы],Таблица14[коэф],"1,4",Таблица14[р/р],"5/16",Таблица14[Ф. И. О.],B517)</f>
        <v>0</v>
      </c>
      <c r="T522" s="468">
        <f>SUMIFS(Таблица14[Столбец2],Таблица14[коэф],"1,4",Таблица14[р/р],"5/16",Таблица14[Ф. И. О.],B517)</f>
        <v>0</v>
      </c>
      <c r="U522" s="463">
        <f>база!$M$6</f>
        <v>279.0496</v>
      </c>
      <c r="V522" s="464">
        <v>1.4</v>
      </c>
      <c r="W522" s="465">
        <f>SUMIFS(Таблица14[часы],Таблица14[коэф],"1,4",Таблица14[р/р],"5/24",Таблица14[Ф. И. О.],B517)</f>
        <v>0</v>
      </c>
      <c r="X522" s="468">
        <f>SUMIFS(Таблица14[Столбец2],Таблица14[коэф],"1,4",Таблица14[р/р],"5/24",Таблица14[Ф. И. О.],B517)</f>
        <v>0</v>
      </c>
      <c r="Y522" s="796"/>
      <c r="Z522" s="798"/>
      <c r="AA522" s="787"/>
    </row>
    <row r="523" spans="1:29">
      <c r="A523" s="786">
        <v>48</v>
      </c>
      <c r="B523" s="216"/>
      <c r="C523" s="788">
        <f>INDEX(база!$E$2:$E$98, MATCH(B528,база!$B$2:$B$100,0))</f>
        <v>17341</v>
      </c>
      <c r="D523" s="791">
        <f>INDEX(база!$D$2:$D$121, MATCH(B528,база!$B$2:$B$100,0))</f>
        <v>3</v>
      </c>
      <c r="E523" s="481">
        <f>IF(D523&lt;=3,база!$I$4,
IF(D523=4,база!$I$5,
IF(D523=5,база!$I$6)))</f>
        <v>188.7912</v>
      </c>
      <c r="F523" s="417">
        <v>1</v>
      </c>
      <c r="G523" s="418">
        <f>SUMIFS(Таблица14[часы],Таблица14[коэф],"1",Таблица14[р/р],"2/4",Таблица14[Ф. И. О.],B528)</f>
        <v>0</v>
      </c>
      <c r="H523" s="402">
        <f>SUMIFS(Таблица14[Столбец2],Таблица14[коэф],"1",Таблица14[р/р],"2/4",Таблица14[Ф. И. О.],B528)</f>
        <v>0</v>
      </c>
      <c r="I523" s="452">
        <f>IF(D523&lt;=3,база!$J$4,
IF(D523=4,база!$J$5,
IF(D523=5,база!$J$6)))</f>
        <v>196.05240000000001</v>
      </c>
      <c r="J523" s="475">
        <v>1</v>
      </c>
      <c r="K523" s="453">
        <f>SUMIFS(Таблица14[часы],Таблица14[коэф],"1",Таблица14[р/р],"2/8",Таблица14[Ф. И. О.],B528)</f>
        <v>0</v>
      </c>
      <c r="L523" s="453">
        <f>SUMIFS(Таблица14[Столбец2],Таблица14[коэф],"1",Таблица14[р/р],"2/8",Таблица14[Ф. И. О.],B528)</f>
        <v>0</v>
      </c>
      <c r="M523" s="453"/>
      <c r="N523" s="453">
        <v>1</v>
      </c>
      <c r="O523" s="453">
        <f>SUMIFS(Data_Tech!$AM$3:$AM$67,Data_Tech!$E$3:$E$67,"1",Data_Tech!$G$3:$G$67,"3/12",Data_Tech!$F$3:$F$67,B528)</f>
        <v>0</v>
      </c>
      <c r="P523" s="398">
        <f>ROUND(M523*N523*O523,2)</f>
        <v>0</v>
      </c>
      <c r="Q523" s="481">
        <f>IF(D523&lt;=3,база!$L$4,
IF(D523=4,база!$L$5,
IF(D523=5,база!$L$6)))</f>
        <v>210.57480000000001</v>
      </c>
      <c r="R523" s="417">
        <v>1</v>
      </c>
      <c r="S523" s="418">
        <f>SUMIFS(Таблица14[часы],Таблица14[коэф],"1",Таблица14[р/р],"3/16",Таблица14[Ф. И. О.],B528)</f>
        <v>0</v>
      </c>
      <c r="T523" s="402">
        <f>SUMIFS(Таблица14[Столбец2],Таблица14[коэф],"1",Таблица14[р/р],"3/16",Таблица14[Ф. И. О.],B528)</f>
        <v>0</v>
      </c>
      <c r="U523" s="483">
        <f>IF(D523&lt;=3,база!$M$4,
IF(D523=4,база!$M$5,
IF(D523=5,база!$M$6)))</f>
        <v>225.09719999999999</v>
      </c>
      <c r="V523" s="417">
        <v>1</v>
      </c>
      <c r="W523" s="455">
        <f>SUMIFS(Таблица14[часы],Таблица14[коэф],"1",Таблица14[р/р],"3/24",Таблица14[Ф. И. О.],B528)</f>
        <v>0</v>
      </c>
      <c r="X523" s="552">
        <f>SUMIFS(Таблица14[Столбец2],Таблица14[коэф],"1",Таблица14[р/р],"3/24",Таблица14[Ф. И. О.],B528)</f>
        <v>0</v>
      </c>
      <c r="Y523" s="795">
        <f t="shared" ref="Y523" si="234">SUM(G523:G533,K523:K533,O523:O533,S523:S533,W523:W533)</f>
        <v>0</v>
      </c>
      <c r="Z523" s="797">
        <f t="shared" ref="Z523" si="235">IFERROR(SUM(H523:H533,L523:L533,T523:T533,X523:X533),"")</f>
        <v>0</v>
      </c>
      <c r="AA523" s="786"/>
    </row>
    <row r="524" spans="1:29">
      <c r="A524" s="786"/>
      <c r="B524" s="216"/>
      <c r="C524" s="789"/>
      <c r="D524" s="792"/>
      <c r="E524" s="389">
        <f>IF(D523&lt;=3,база!$I$4,
IF(D523=4,база!$I$5,
IF(D523=5,база!$I$6)))</f>
        <v>188.7912</v>
      </c>
      <c r="F524" s="390">
        <v>1</v>
      </c>
      <c r="G524" s="400">
        <f>SUMIFS(Таблица14[часы],Таблица14[коэф],"1",Таблица14[р/р],"3/4",Таблица14[Ф. И. О.],B528)</f>
        <v>0</v>
      </c>
      <c r="H524" s="392">
        <f>SUMIFS(Таблица14[Столбец2],Таблица14[коэф],"1",Таблица14[р/р],"3/4",Таблица14[Ф. И. О.],B528)</f>
        <v>0</v>
      </c>
      <c r="I524" s="432">
        <f>IF(D523&lt;=3,база!$J$4,
IF(D523=4,база!$J$5,
IF(D523=5,база!$J$6)))</f>
        <v>196.05240000000001</v>
      </c>
      <c r="J524" s="433">
        <v>1</v>
      </c>
      <c r="K524" s="434">
        <f>SUMIFS(Таблица14[часы],Таблица14[коэф],"1",Таблица14[р/р],"3/8",Таблица14[Ф. И. О.],B528)</f>
        <v>0</v>
      </c>
      <c r="L524" s="434">
        <f>SUMIFS(Таблица14[Столбец2],Таблица14[коэф],"1",Таблица14[р/р],"3/8",Таблица14[Ф. И. О.],B528)</f>
        <v>0</v>
      </c>
      <c r="M524" s="434"/>
      <c r="N524" s="434">
        <v>1</v>
      </c>
      <c r="O524" s="434">
        <f>SUMIFS(Data_Tech!$AM$3:$AM$67,Data_Tech!$E$3:$E$67,"1",Data_Tech!$G$3:$G$67,"4/12",Data_Tech!$F$3:$F$67,B528)</f>
        <v>0</v>
      </c>
      <c r="P524" s="406">
        <f>ROUND(M524*O524,2)</f>
        <v>0</v>
      </c>
      <c r="Q524" s="389">
        <f>база!$L$5</f>
        <v>231.45480000000001</v>
      </c>
      <c r="R524" s="390">
        <v>1</v>
      </c>
      <c r="S524" s="400">
        <f>SUMIFS(Таблица14[часы],Таблица14[коэф],"1",Таблица14[р/р],"4/16",Таблица14[Ф. И. О.],B528)</f>
        <v>0</v>
      </c>
      <c r="T524" s="392">
        <f>SUMIFS(Таблица14[Столбец2],Таблица14[коэф],"1",Таблица14[р/р],"4/16",Таблица14[Ф. И. О.],B528)</f>
        <v>0</v>
      </c>
      <c r="U524" s="478">
        <f>база!$M$5</f>
        <v>247.41720000000001</v>
      </c>
      <c r="V524" s="390">
        <v>1</v>
      </c>
      <c r="W524" s="412">
        <f>SUMIFS(Таблица14[часы],Таблица14[коэф],"1",Таблица14[р/р],"4/24",Таблица14[Ф. И. О.],B528)</f>
        <v>0</v>
      </c>
      <c r="X524" s="545">
        <f>SUMIFS(Таблица14[Столбец2],Таблица14[коэф],"1",Таблица14[р/р],"4/24",Таблица14[Ф. И. О.],B528)</f>
        <v>0</v>
      </c>
      <c r="Y524" s="795"/>
      <c r="Z524" s="797"/>
      <c r="AA524" s="786"/>
    </row>
    <row r="525" spans="1:29">
      <c r="A525" s="786"/>
      <c r="B525" s="216"/>
      <c r="C525" s="789"/>
      <c r="D525" s="792"/>
      <c r="E525" s="389"/>
      <c r="F525" s="390"/>
      <c r="G525" s="400"/>
      <c r="H525" s="392"/>
      <c r="I525" s="432"/>
      <c r="J525" s="433"/>
      <c r="K525" s="434"/>
      <c r="L525" s="434"/>
      <c r="M525" s="434"/>
      <c r="N525" s="434"/>
      <c r="O525" s="434"/>
      <c r="P525" s="406"/>
      <c r="Q525" s="389">
        <f>база!$L$6</f>
        <v>261.04640000000001</v>
      </c>
      <c r="R525" s="390">
        <v>1</v>
      </c>
      <c r="S525" s="400">
        <f>SUMIFS(Таблица14[часы],Таблица14[коэф],"1",Таблица14[р/р],"5/16",Таблица14[Ф. И. О.],B528)</f>
        <v>0</v>
      </c>
      <c r="T525" s="392">
        <f>SUMIFS(Таблица14[Столбец2],Таблица14[коэф],"1",Таблица14[р/р],"5/16",Таблица14[Ф. И. О.],B528)</f>
        <v>0</v>
      </c>
      <c r="U525" s="478">
        <f>база!$M$6</f>
        <v>279.0496</v>
      </c>
      <c r="V525" s="390">
        <v>1</v>
      </c>
      <c r="W525" s="412">
        <f>SUMIFS(Таблица14[часы],Таблица14[коэф],"1",Таблица14[р/р],"5/24",Таблица14[Ф. И. О.],B528)</f>
        <v>0</v>
      </c>
      <c r="X525" s="545">
        <f>SUMIFS(Таблица14[Столбец2],Таблица14[коэф],"1",Таблица14[р/р],"5/24",Таблица14[Ф. И. О.],B528)</f>
        <v>0</v>
      </c>
      <c r="Y525" s="795"/>
      <c r="Z525" s="797"/>
      <c r="AA525" s="786"/>
    </row>
    <row r="526" spans="1:29">
      <c r="A526" s="786"/>
      <c r="B526" s="216"/>
      <c r="C526" s="789"/>
      <c r="D526" s="792"/>
      <c r="E526" s="389"/>
      <c r="F526" s="390"/>
      <c r="G526" s="400"/>
      <c r="H526" s="392"/>
      <c r="I526" s="432">
        <f>база!$J$5</f>
        <v>215.4924</v>
      </c>
      <c r="J526" s="433">
        <v>1.5</v>
      </c>
      <c r="K526" s="434">
        <f>SUMIFS(Таблица14[часы],Таблица14[коэф],"1,5",Таблица14[р/р],"4/8",Таблица14[Ф. И. О.],B528)</f>
        <v>0</v>
      </c>
      <c r="L526" s="434">
        <f>SUMIFS(Таблица14[Столбец2],Таблица14[коэф],"1,5",Таблица14[р/р],"4/8",Таблица14[Ф. И. О.],B528)</f>
        <v>0</v>
      </c>
      <c r="M526" s="434"/>
      <c r="N526" s="434"/>
      <c r="O526" s="434"/>
      <c r="P526" s="406"/>
      <c r="Q526" s="389">
        <f>IF(D523&lt;=3,база!$L$4,
IF(D523=4,база!$L$5,
IF(D523=5,база!$L$6)))</f>
        <v>210.57480000000001</v>
      </c>
      <c r="R526" s="390">
        <v>1.2</v>
      </c>
      <c r="S526" s="400">
        <f>SUMIFS(Таблица14[часы],Таблица14[коэф],"1,2",Таблица14[р/р],"3/16",Таблица14[Ф. И. О.],B528)</f>
        <v>0</v>
      </c>
      <c r="T526" s="392">
        <f>SUMIFS(Таблица14[Столбец2],Таблица14[коэф],"1,2",Таблица14[р/р],"3/16",Таблица14[Ф. И. О.],B528)</f>
        <v>0</v>
      </c>
      <c r="U526" s="478">
        <f>IF(D523&lt;=3,база!$M$4,
IF(D523=4,база!$M$5,
IF(D523=5,база!$M$6)))</f>
        <v>225.09719999999999</v>
      </c>
      <c r="V526" s="390">
        <v>1.2</v>
      </c>
      <c r="W526" s="412">
        <f>SUMIFS(Таблица14[часы],Таблица14[коэф],"1,2",Таблица14[р/р],"3/24",Таблица14[Ф. И. О.],B528)</f>
        <v>0</v>
      </c>
      <c r="X526" s="545">
        <f>SUMIFS(Таблица14[Столбец2],Таблица14[коэф],"1,2",Таблица14[р/р],"3/24",Таблица14[Ф. И. О.],B528)</f>
        <v>0</v>
      </c>
      <c r="Y526" s="795"/>
      <c r="Z526" s="797"/>
      <c r="AA526" s="786"/>
    </row>
    <row r="527" spans="1:29">
      <c r="A527" s="786"/>
      <c r="B527" s="216"/>
      <c r="C527" s="789"/>
      <c r="D527" s="792"/>
      <c r="E527" s="389"/>
      <c r="F527" s="390"/>
      <c r="G527" s="400"/>
      <c r="H527" s="392"/>
      <c r="I527" s="432">
        <f>база!$J$6</f>
        <v>243.04319999999998</v>
      </c>
      <c r="J527" s="433">
        <v>1.5</v>
      </c>
      <c r="K527" s="434">
        <f>SUMIFS(Таблица14[часы],Таблица14[коэф],"1,5",Таблица14[р/р],"5/8",Таблица14[Ф. И. О.],B528)</f>
        <v>0</v>
      </c>
      <c r="L527" s="434">
        <f>SUMIFS(Таблица14[Столбец2],Таблица14[коэф],"1,5",Таблица14[р/р],"5/8",Таблица14[Ф. И. О.],B528)</f>
        <v>0</v>
      </c>
      <c r="M527" s="434"/>
      <c r="N527" s="434"/>
      <c r="O527" s="434"/>
      <c r="P527" s="406"/>
      <c r="Q527" s="389">
        <f>база!$L$5</f>
        <v>231.45480000000001</v>
      </c>
      <c r="R527" s="390">
        <v>1.2</v>
      </c>
      <c r="S527" s="400">
        <f>SUMIFS(Таблица14[часы],Таблица14[коэф],"1,2",Таблица14[р/р],"4/16",Таблица14[Ф. И. О.],B528)</f>
        <v>0</v>
      </c>
      <c r="T527" s="392">
        <f>SUMIFS(Таблица14[Столбец2],Таблица14[коэф],"1,2",Таблица14[р/р],"4/16",Таблица14[Ф. И. О.],B528)</f>
        <v>0</v>
      </c>
      <c r="U527" s="478">
        <f>база!$M$5</f>
        <v>247.41720000000001</v>
      </c>
      <c r="V527" s="390">
        <v>1.2</v>
      </c>
      <c r="W527" s="412">
        <f>SUMIFS(Таблица14[часы],Таблица14[коэф],"1,2",Таблица14[р/р],"4/24",Таблица14[Ф. И. О.],B528)</f>
        <v>0</v>
      </c>
      <c r="X527" s="545">
        <f>SUMIFS(Таблица14[Столбец2],Таблица14[коэф],"1,2",Таблица14[р/р],"4/24",Таблица14[Ф. И. О.],B528)</f>
        <v>0</v>
      </c>
      <c r="Y527" s="795"/>
      <c r="Z527" s="797"/>
      <c r="AA527" s="786"/>
      <c r="AC527" s="754" t="str">
        <f>IF(SUMIFS(Таблица14[Столбец2],Таблица14[Ф. И. О.],B528)-Z523=0,"",SUMIFS(Таблица14[Столбец2],Таблица14[Ф. И. О.],B528)-Z523)</f>
        <v/>
      </c>
    </row>
    <row r="528" spans="1:29">
      <c r="A528" s="786"/>
      <c r="B528" s="216" t="str">
        <f>база!B49</f>
        <v>Машталяр Анна Сергеевна</v>
      </c>
      <c r="C528" s="789"/>
      <c r="D528" s="792"/>
      <c r="E528" s="389"/>
      <c r="F528" s="390"/>
      <c r="G528" s="400"/>
      <c r="H528" s="392"/>
      <c r="I528" s="432"/>
      <c r="J528" s="433"/>
      <c r="K528" s="434"/>
      <c r="L528" s="434"/>
      <c r="M528" s="434"/>
      <c r="N528" s="434"/>
      <c r="O528" s="434"/>
      <c r="P528" s="406"/>
      <c r="Q528" s="389">
        <f>база!$L$6</f>
        <v>261.04640000000001</v>
      </c>
      <c r="R528" s="390">
        <v>1.2</v>
      </c>
      <c r="S528" s="400">
        <f>SUMIFS(Таблица14[часы],Таблица14[коэф],"1,2",Таблица14[р/р],"5/16",Таблица14[Ф. И. О.],B528)</f>
        <v>0</v>
      </c>
      <c r="T528" s="392">
        <f>SUMIFS(Таблица14[Столбец2],Таблица14[коэф],"1,2",Таблица14[р/р],"5/16",Таблица14[Ф. И. О.],B528)</f>
        <v>0</v>
      </c>
      <c r="U528" s="478">
        <f>база!$M$6</f>
        <v>279.0496</v>
      </c>
      <c r="V528" s="390">
        <v>1.2</v>
      </c>
      <c r="W528" s="412">
        <f>SUMIFS(Таблица14[часы],Таблица14[коэф],"1,2",Таблица14[р/р],"5/24",Таблица14[Ф. И. О.],B528)</f>
        <v>0</v>
      </c>
      <c r="X528" s="545">
        <f>SUMIFS(Таблица14[Столбец2],Таблица14[коэф],"1,2",Таблица14[р/р],"5/24",Таблица14[Ф. И. О.],B528)</f>
        <v>0</v>
      </c>
      <c r="Y528" s="795"/>
      <c r="Z528" s="797"/>
      <c r="AA528" s="786"/>
      <c r="AC528" s="754" t="str">
        <f>IF(SUMIFS(Таблица14[часы],Таблица14[Ф. И. О.],B528)-Y523=0,"",SUMIFS(Таблица14[часы],Таблица14[Ф. И. О.],B528)-Y523)</f>
        <v/>
      </c>
    </row>
    <row r="529" spans="1:29">
      <c r="A529" s="786"/>
      <c r="B529" s="216"/>
      <c r="C529" s="789"/>
      <c r="D529" s="792"/>
      <c r="E529" s="389"/>
      <c r="F529" s="390"/>
      <c r="G529" s="400"/>
      <c r="H529" s="392"/>
      <c r="I529" s="432"/>
      <c r="J529" s="433"/>
      <c r="K529" s="434"/>
      <c r="L529" s="434"/>
      <c r="M529" s="434"/>
      <c r="N529" s="434"/>
      <c r="O529" s="434"/>
      <c r="P529" s="406"/>
      <c r="Q529" s="389">
        <f>IF($D$6&lt;=3,база!$L$4,
IF($D$6=4,база!$L$5,
IF($D$6=5,база!$L$6)))</f>
        <v>231.45480000000001</v>
      </c>
      <c r="R529" s="390">
        <v>1.3</v>
      </c>
      <c r="S529" s="400">
        <f>SUMIFS(Таблица14[часы],Таблица14[коэф],"1,3",Таблица14[р/р],"3/16",Таблица14[Ф. И. О.],B528)</f>
        <v>0</v>
      </c>
      <c r="T529" s="392">
        <f>SUMIFS(Таблица14[Столбец2],Таблица14[коэф],"1,3",Таблица14[р/р],"3/16",Таблица14[Ф. И. О.],B528)</f>
        <v>0</v>
      </c>
      <c r="U529" s="478">
        <f>IF(D523&lt;=3,база!$M$4,
IF(D523=4,база!$M$5,
IF(D523=5,база!$M$6)))</f>
        <v>225.09719999999999</v>
      </c>
      <c r="V529" s="390">
        <v>1.3</v>
      </c>
      <c r="W529" s="412">
        <f>SUMIFS(Таблица14[часы],Таблица14[коэф],"1,3",Таблица14[р/р],"3/24",Таблица14[Ф. И. О.],B528)</f>
        <v>0</v>
      </c>
      <c r="X529" s="545">
        <f>SUMIFS(Таблица14[Столбец2],Таблица14[коэф],"1,3",Таблица14[р/р],"3/24",Таблица14[Ф. И. О.],B528)</f>
        <v>0</v>
      </c>
      <c r="Y529" s="795"/>
      <c r="Z529" s="797"/>
      <c r="AA529" s="786"/>
    </row>
    <row r="530" spans="1:29">
      <c r="A530" s="786"/>
      <c r="B530" s="216"/>
      <c r="C530" s="789"/>
      <c r="D530" s="792"/>
      <c r="E530" s="389"/>
      <c r="F530" s="390"/>
      <c r="G530" s="400"/>
      <c r="H530" s="392"/>
      <c r="I530" s="432"/>
      <c r="J530" s="433"/>
      <c r="K530" s="434"/>
      <c r="L530" s="434"/>
      <c r="M530" s="434"/>
      <c r="N530" s="434"/>
      <c r="O530" s="434"/>
      <c r="P530" s="406"/>
      <c r="Q530" s="389">
        <f>база!$L$5</f>
        <v>231.45480000000001</v>
      </c>
      <c r="R530" s="390">
        <v>1.3</v>
      </c>
      <c r="S530" s="400">
        <f>SUMIFS(Таблица14[часы],Таблица14[коэф],"1,3",Таблица14[р/р],"4/16",Таблица14[Ф. И. О.],B528)</f>
        <v>0</v>
      </c>
      <c r="T530" s="392">
        <f>SUMIFS(Таблица14[Столбец2],Таблица14[коэф],"1,3",Таблица14[р/р],"4/16",Таблица14[Ф. И. О.],B528)</f>
        <v>0</v>
      </c>
      <c r="U530" s="478">
        <f>база!$M$5</f>
        <v>247.41720000000001</v>
      </c>
      <c r="V530" s="390">
        <v>1.3</v>
      </c>
      <c r="W530" s="412">
        <f>SUMIFS(Таблица14[часы],Таблица14[коэф],"1,3",Таблица14[р/р],"4/24",Таблица14[Ф. И. О.],B528)</f>
        <v>0</v>
      </c>
      <c r="X530" s="545">
        <f>SUMIFS(Таблица14[Столбец2],Таблица14[коэф],"1,3",Таблица14[р/р],"4/24",Таблица14[Ф. И. О.],B528)</f>
        <v>0</v>
      </c>
      <c r="Y530" s="795"/>
      <c r="Z530" s="797"/>
      <c r="AA530" s="786"/>
    </row>
    <row r="531" spans="1:29">
      <c r="A531" s="786"/>
      <c r="B531" s="216"/>
      <c r="C531" s="789"/>
      <c r="D531" s="792"/>
      <c r="E531" s="389"/>
      <c r="F531" s="390"/>
      <c r="G531" s="400"/>
      <c r="H531" s="392"/>
      <c r="I531" s="432"/>
      <c r="J531" s="433"/>
      <c r="K531" s="434"/>
      <c r="L531" s="434"/>
      <c r="M531" s="434"/>
      <c r="N531" s="434"/>
      <c r="O531" s="434"/>
      <c r="P531" s="406"/>
      <c r="Q531" s="389">
        <f>IF(D523&lt;=3,база!$L$4,
IF(D523=4,база!$L$5,
IF(D523=5,база!$L$6)))</f>
        <v>210.57480000000001</v>
      </c>
      <c r="R531" s="390">
        <v>1.4</v>
      </c>
      <c r="S531" s="400">
        <f>SUMIFS(Таблица14[часы],Таблица14[коэф],"1,4",Таблица14[р/р],"3/16",Таблица14[Ф. И. О.],B528)</f>
        <v>0</v>
      </c>
      <c r="T531" s="392">
        <f>SUMIFS(Таблица14[Столбец2],Таблица14[коэф],"1,4",Таблица14[р/р],"3/16",Таблица14[Ф. И. О.],B528)</f>
        <v>0</v>
      </c>
      <c r="U531" s="478">
        <f>IF(D523&lt;=3,база!$M$4,
IF(D523=4,база!$M$5,
IF(D523=5,база!$M$6)))</f>
        <v>225.09719999999999</v>
      </c>
      <c r="V531" s="390">
        <v>1.4</v>
      </c>
      <c r="W531" s="412">
        <f>SUMIFS(Таблица14[часы],Таблица14[коэф],"1,4",Таблица14[р/р],"3/24",Таблица14[Ф. И. О.],B528)</f>
        <v>0</v>
      </c>
      <c r="X531" s="545">
        <f>SUMIFS(Таблица14[Столбец2],Таблица14[коэф],"1,4",Таблица14[р/р],"3/24",Таблица14[Ф. И. О.],B528)</f>
        <v>0</v>
      </c>
      <c r="Y531" s="795"/>
      <c r="Z531" s="797"/>
      <c r="AA531" s="786"/>
    </row>
    <row r="532" spans="1:29">
      <c r="A532" s="786"/>
      <c r="B532" s="216"/>
      <c r="C532" s="789"/>
      <c r="D532" s="792"/>
      <c r="E532" s="389"/>
      <c r="F532" s="390"/>
      <c r="G532" s="400"/>
      <c r="H532" s="392"/>
      <c r="I532" s="432"/>
      <c r="J532" s="433"/>
      <c r="K532" s="434"/>
      <c r="L532" s="434"/>
      <c r="M532" s="434"/>
      <c r="N532" s="434"/>
      <c r="O532" s="434"/>
      <c r="P532" s="406"/>
      <c r="Q532" s="389">
        <f>база!$L$5</f>
        <v>231.45480000000001</v>
      </c>
      <c r="R532" s="390">
        <v>1.4</v>
      </c>
      <c r="S532" s="400">
        <f>SUMIFS(Таблица14[часы],Таблица14[коэф],"1,4",Таблица14[р/р],"4/16",Таблица14[Ф. И. О.],B528)</f>
        <v>0</v>
      </c>
      <c r="T532" s="392">
        <f>SUMIFS(Таблица14[Столбец2],Таблица14[коэф],"1,4",Таблица14[р/р],"4/16",Таблица14[Ф. И. О.],B528)</f>
        <v>0</v>
      </c>
      <c r="U532" s="478">
        <f>база!$M$5</f>
        <v>247.41720000000001</v>
      </c>
      <c r="V532" s="390">
        <v>1.4</v>
      </c>
      <c r="W532" s="412">
        <f>SUMIFS(Таблица14[часы],Таблица14[коэф],"1,4",Таблица14[р/р],"4/24",Таблица14[Ф. И. О.],B528)</f>
        <v>0</v>
      </c>
      <c r="X532" s="545">
        <f>SUMIFS(Таблица14[Столбец2],Таблица14[коэф],"1,4",Таблица14[р/р],"4/24",Таблица14[Ф. И. О.],B528)</f>
        <v>0</v>
      </c>
      <c r="Y532" s="795"/>
      <c r="Z532" s="797"/>
      <c r="AA532" s="786"/>
    </row>
    <row r="533" spans="1:29" ht="21" thickBot="1">
      <c r="A533" s="787"/>
      <c r="B533" s="352"/>
      <c r="C533" s="790"/>
      <c r="D533" s="793"/>
      <c r="E533" s="473"/>
      <c r="F533" s="464"/>
      <c r="G533" s="657"/>
      <c r="H533" s="468"/>
      <c r="I533" s="651"/>
      <c r="J533" s="456"/>
      <c r="K533" s="652"/>
      <c r="L533" s="457"/>
      <c r="M533" s="651"/>
      <c r="N533" s="652"/>
      <c r="O533" s="652"/>
      <c r="P533" s="476"/>
      <c r="Q533" s="658">
        <f>база!$L$6</f>
        <v>261.04640000000001</v>
      </c>
      <c r="R533" s="464">
        <v>1.4</v>
      </c>
      <c r="S533" s="465">
        <f>SUMIFS(Таблица14[часы],Таблица14[коэф],"1,4",Таблица14[р/р],"5/16",Таблица14[Ф. И. О.],B528)</f>
        <v>0</v>
      </c>
      <c r="T533" s="468">
        <f>SUMIFS(Таблица14[Столбец2],Таблица14[коэф],"1,4",Таблица14[р/р],"5/16",Таблица14[Ф. И. О.],B528)</f>
        <v>0</v>
      </c>
      <c r="U533" s="463">
        <f>база!$M$6</f>
        <v>279.0496</v>
      </c>
      <c r="V533" s="464">
        <v>1.4</v>
      </c>
      <c r="W533" s="465">
        <f>SUMIFS(Таблица14[часы],Таблица14[коэф],"1,4",Таблица14[р/р],"5/24",Таблица14[Ф. И. О.],B528)</f>
        <v>0</v>
      </c>
      <c r="X533" s="468">
        <f>SUMIFS(Таблица14[Столбец2],Таблица14[коэф],"1,4",Таблица14[р/р],"5/24",Таблица14[Ф. И. О.],B528)</f>
        <v>0</v>
      </c>
      <c r="Y533" s="796"/>
      <c r="Z533" s="798"/>
      <c r="AA533" s="787"/>
    </row>
    <row r="534" spans="1:29">
      <c r="A534" s="786">
        <v>49</v>
      </c>
      <c r="B534" s="216"/>
      <c r="C534" s="788">
        <f>INDEX(база!$E$2:$E$98, MATCH(B539,база!$B$2:$B$100,0))</f>
        <v>17121</v>
      </c>
      <c r="D534" s="791">
        <f>INDEX(база!$D$2:$D$121, MATCH(B539,база!$B$2:$B$100,0))</f>
        <v>3</v>
      </c>
      <c r="E534" s="481">
        <f>IF(D534&lt;=3,база!$I$4,
IF(D534=4,база!$I$5,
IF(D534=5,база!$I$6)))</f>
        <v>188.7912</v>
      </c>
      <c r="F534" s="417">
        <v>1</v>
      </c>
      <c r="G534" s="418">
        <f>SUMIFS(Таблица14[часы],Таблица14[коэф],"1",Таблица14[р/р],"2/4",Таблица14[Ф. И. О.],B539)</f>
        <v>0</v>
      </c>
      <c r="H534" s="402">
        <f>SUMIFS(Таблица14[Столбец2],Таблица14[коэф],"1",Таблица14[р/р],"2/4",Таблица14[Ф. И. О.],B539)</f>
        <v>0</v>
      </c>
      <c r="I534" s="452">
        <f>IF(D534&lt;=3,база!$J$4,
IF(D534=4,база!$J$5,
IF(D534=5,база!$J$6)))</f>
        <v>196.05240000000001</v>
      </c>
      <c r="J534" s="475">
        <v>1</v>
      </c>
      <c r="K534" s="453">
        <f>SUMIFS(Таблица14[часы],Таблица14[коэф],"1",Таблица14[р/р],"2/8",Таблица14[Ф. И. О.],B539)</f>
        <v>0</v>
      </c>
      <c r="L534" s="453">
        <f>SUMIFS(Таблица14[Столбец2],Таблица14[коэф],"1",Таблица14[р/р],"2/8",Таблица14[Ф. И. О.],B539)</f>
        <v>0</v>
      </c>
      <c r="M534" s="453"/>
      <c r="N534" s="453">
        <v>1</v>
      </c>
      <c r="O534" s="453">
        <f>SUMIFS(Data_Tech!$AM$3:$AM$67,Data_Tech!$E$3:$E$67,"1",Data_Tech!$G$3:$G$67,"3/12",Data_Tech!$F$3:$F$67,B539)</f>
        <v>0</v>
      </c>
      <c r="P534" s="398">
        <f>ROUND(M534*N534*O534,2)</f>
        <v>0</v>
      </c>
      <c r="Q534" s="481">
        <f>IF(D534&lt;=3,база!$L$4,
IF(D534=4,база!$L$5,
IF(D534=5,база!$L$6)))</f>
        <v>210.57480000000001</v>
      </c>
      <c r="R534" s="417">
        <v>1</v>
      </c>
      <c r="S534" s="418">
        <f>SUMIFS(Таблица14[часы],Таблица14[коэф],"1",Таблица14[р/р],"3/16",Таблица14[Ф. И. О.],B539)</f>
        <v>0</v>
      </c>
      <c r="T534" s="402">
        <f>SUMIFS(Таблица14[Столбец2],Таблица14[коэф],"1",Таблица14[р/р],"3/16",Таблица14[Ф. И. О.],B539)</f>
        <v>0</v>
      </c>
      <c r="U534" s="483">
        <f>IF(D534&lt;=3,база!$M$4,
IF(D534=4,база!$M$5,
IF(D534=5,база!$M$6)))</f>
        <v>225.09719999999999</v>
      </c>
      <c r="V534" s="417">
        <v>1</v>
      </c>
      <c r="W534" s="455">
        <f>SUMIFS(Таблица14[часы],Таблица14[коэф],"1",Таблица14[р/р],"3/24",Таблица14[Ф. И. О.],B539)</f>
        <v>0</v>
      </c>
      <c r="X534" s="552">
        <f>SUMIFS(Таблица14[Столбец2],Таблица14[коэф],"1",Таблица14[р/р],"3/24",Таблица14[Ф. И. О.],B539)</f>
        <v>0</v>
      </c>
      <c r="Y534" s="801">
        <f t="shared" ref="Y534" si="236">SUM(G534:G544,K534:K544,O534:O544,S534:S544,W534:W544)</f>
        <v>0</v>
      </c>
      <c r="Z534" s="797">
        <f t="shared" ref="Z534" si="237">IFERROR(SUM(H534:H544,L534:L544,T534:T544,X534:X544),"")</f>
        <v>0</v>
      </c>
      <c r="AA534" s="786"/>
    </row>
    <row r="535" spans="1:29">
      <c r="A535" s="786"/>
      <c r="B535" s="216"/>
      <c r="C535" s="789"/>
      <c r="D535" s="792"/>
      <c r="E535" s="389">
        <f>IF(D534&lt;=3,база!$I$4,
IF(D534=4,база!$I$5,
IF(D534=5,база!$I$6)))</f>
        <v>188.7912</v>
      </c>
      <c r="F535" s="390">
        <v>1</v>
      </c>
      <c r="G535" s="400">
        <f>SUMIFS(Таблица14[часы],Таблица14[коэф],"1",Таблица14[р/р],"3/4",Таблица14[Ф. И. О.],B539)</f>
        <v>0</v>
      </c>
      <c r="H535" s="392">
        <f>SUMIFS(Таблица14[Столбец2],Таблица14[коэф],"1",Таблица14[р/р],"3/4",Таблица14[Ф. И. О.],B539)</f>
        <v>0</v>
      </c>
      <c r="I535" s="432">
        <f>IF(D534&lt;=3,база!$J$4,
IF(D534=4,база!$J$5,
IF(D534=5,база!$J$6)))</f>
        <v>196.05240000000001</v>
      </c>
      <c r="J535" s="433">
        <v>1</v>
      </c>
      <c r="K535" s="434">
        <f>SUMIFS(Таблица14[часы],Таблица14[коэф],"1",Таблица14[р/р],"3/8",Таблица14[Ф. И. О.],B539)</f>
        <v>0</v>
      </c>
      <c r="L535" s="434">
        <f>SUMIFS(Таблица14[Столбец2],Таблица14[коэф],"1",Таблица14[р/р],"3/8",Таблица14[Ф. И. О.],B539)</f>
        <v>0</v>
      </c>
      <c r="M535" s="434"/>
      <c r="N535" s="434">
        <v>1</v>
      </c>
      <c r="O535" s="434">
        <f>SUMIFS(Data_Tech!$AM$3:$AM$67,Data_Tech!$E$3:$E$67,"1",Data_Tech!$G$3:$G$67,"4/12",Data_Tech!$F$3:$F$67,B539)</f>
        <v>0</v>
      </c>
      <c r="P535" s="406">
        <f>ROUND(M535*O535,2)</f>
        <v>0</v>
      </c>
      <c r="Q535" s="389">
        <f>база!$L$5</f>
        <v>231.45480000000001</v>
      </c>
      <c r="R535" s="390">
        <v>1</v>
      </c>
      <c r="S535" s="400">
        <f>SUMIFS(Таблица14[часы],Таблица14[коэф],"1",Таблица14[р/р],"4/16",Таблица14[Ф. И. О.],B539)</f>
        <v>0</v>
      </c>
      <c r="T535" s="392">
        <f>SUMIFS(Таблица14[Столбец2],Таблица14[коэф],"1",Таблица14[р/р],"4/16",Таблица14[Ф. И. О.],B539)</f>
        <v>0</v>
      </c>
      <c r="U535" s="478">
        <f>база!$M$5</f>
        <v>247.41720000000001</v>
      </c>
      <c r="V535" s="390">
        <v>1</v>
      </c>
      <c r="W535" s="412">
        <f>SUMIFS(Таблица14[часы],Таблица14[коэф],"1",Таблица14[р/р],"4/24",Таблица14[Ф. И. О.],B539)</f>
        <v>0</v>
      </c>
      <c r="X535" s="545">
        <f>SUMIFS(Таблица14[Столбец2],Таблица14[коэф],"1",Таблица14[р/р],"4/24",Таблица14[Ф. И. О.],B539)</f>
        <v>0</v>
      </c>
      <c r="Y535" s="801"/>
      <c r="Z535" s="797"/>
      <c r="AA535" s="786"/>
    </row>
    <row r="536" spans="1:29">
      <c r="A536" s="786"/>
      <c r="B536" s="216"/>
      <c r="C536" s="789"/>
      <c r="D536" s="792"/>
      <c r="E536" s="389"/>
      <c r="F536" s="390"/>
      <c r="G536" s="400"/>
      <c r="H536" s="392"/>
      <c r="I536" s="432"/>
      <c r="J536" s="433"/>
      <c r="K536" s="434"/>
      <c r="L536" s="434"/>
      <c r="M536" s="434"/>
      <c r="N536" s="434"/>
      <c r="O536" s="434"/>
      <c r="P536" s="406"/>
      <c r="Q536" s="389">
        <f>база!$L$6</f>
        <v>261.04640000000001</v>
      </c>
      <c r="R536" s="390">
        <v>1</v>
      </c>
      <c r="S536" s="400">
        <f>SUMIFS(Таблица14[часы],Таблица14[коэф],"1",Таблица14[р/р],"5/16",Таблица14[Ф. И. О.],B539)</f>
        <v>0</v>
      </c>
      <c r="T536" s="392">
        <f>SUMIFS(Таблица14[Столбец2],Таблица14[коэф],"1",Таблица14[р/р],"5/16",Таблица14[Ф. И. О.],B539)</f>
        <v>0</v>
      </c>
      <c r="U536" s="478">
        <f>база!$M$6</f>
        <v>279.0496</v>
      </c>
      <c r="V536" s="390">
        <v>1</v>
      </c>
      <c r="W536" s="412">
        <f>SUMIFS(Таблица14[часы],Таблица14[коэф],"1",Таблица14[р/р],"5/24",Таблица14[Ф. И. О.],B539)</f>
        <v>0</v>
      </c>
      <c r="X536" s="545">
        <f>SUMIFS(Таблица14[Столбец2],Таблица14[коэф],"1",Таблица14[р/р],"5/24",Таблица14[Ф. И. О.],B539)</f>
        <v>0</v>
      </c>
      <c r="Y536" s="801"/>
      <c r="Z536" s="797"/>
      <c r="AA536" s="786"/>
    </row>
    <row r="537" spans="1:29">
      <c r="A537" s="786"/>
      <c r="B537" s="216"/>
      <c r="C537" s="789"/>
      <c r="D537" s="792"/>
      <c r="E537" s="389"/>
      <c r="F537" s="390"/>
      <c r="G537" s="400"/>
      <c r="H537" s="392"/>
      <c r="I537" s="432">
        <f>база!$J$5</f>
        <v>215.4924</v>
      </c>
      <c r="J537" s="433">
        <v>1.5</v>
      </c>
      <c r="K537" s="434">
        <f>SUMIFS(Таблица14[часы],Таблица14[коэф],"1,5",Таблица14[р/р],"4/8",Таблица14[Ф. И. О.],B539)</f>
        <v>0</v>
      </c>
      <c r="L537" s="434">
        <f>SUMIFS(Таблица14[Столбец2],Таблица14[коэф],"1,5",Таблица14[р/р],"4/8",Таблица14[Ф. И. О.],B539)</f>
        <v>0</v>
      </c>
      <c r="M537" s="434"/>
      <c r="N537" s="434"/>
      <c r="O537" s="434"/>
      <c r="P537" s="406"/>
      <c r="Q537" s="389">
        <f>IF(D534&lt;=3,база!$L$4,
IF(D534=4,база!$L$5,
IF(D534=5,база!$L$6)))</f>
        <v>210.57480000000001</v>
      </c>
      <c r="R537" s="390">
        <v>1.2</v>
      </c>
      <c r="S537" s="400">
        <f>SUMIFS(Таблица14[часы],Таблица14[коэф],"1,2",Таблица14[р/р],"3/16",Таблица14[Ф. И. О.],B539)</f>
        <v>0</v>
      </c>
      <c r="T537" s="392">
        <f>SUMIFS(Таблица14[Столбец2],Таблица14[коэф],"1,2",Таблица14[р/р],"3/16",Таблица14[Ф. И. О.],B539)</f>
        <v>0</v>
      </c>
      <c r="U537" s="478">
        <f>IF(D534&lt;=3,база!$M$4,
IF(D534=4,база!$M$5,
IF(D534=5,база!$M$6)))</f>
        <v>225.09719999999999</v>
      </c>
      <c r="V537" s="390">
        <v>1.2</v>
      </c>
      <c r="W537" s="412">
        <f>SUMIFS(Таблица14[часы],Таблица14[коэф],"1,2",Таблица14[р/р],"3/24",Таблица14[Ф. И. О.],B539)</f>
        <v>0</v>
      </c>
      <c r="X537" s="545">
        <f>SUMIFS(Таблица14[Столбец2],Таблица14[коэф],"1,2",Таблица14[р/р],"3/24",Таблица14[Ф. И. О.],B539)</f>
        <v>0</v>
      </c>
      <c r="Y537" s="801"/>
      <c r="Z537" s="797"/>
      <c r="AA537" s="786"/>
    </row>
    <row r="538" spans="1:29">
      <c r="A538" s="786"/>
      <c r="B538" s="216"/>
      <c r="C538" s="789"/>
      <c r="D538" s="792"/>
      <c r="E538" s="389"/>
      <c r="F538" s="390"/>
      <c r="G538" s="400"/>
      <c r="H538" s="392"/>
      <c r="I538" s="432">
        <f>база!$J$6</f>
        <v>243.04319999999998</v>
      </c>
      <c r="J538" s="433">
        <v>1.5</v>
      </c>
      <c r="K538" s="434">
        <f>SUMIFS(Таблица14[часы],Таблица14[коэф],"1,5",Таблица14[р/р],"5/8",Таблица14[Ф. И. О.],B539)</f>
        <v>0</v>
      </c>
      <c r="L538" s="434">
        <f>SUMIFS(Таблица14[Столбец2],Таблица14[коэф],"1,5",Таблица14[р/р],"5/8",Таблица14[Ф. И. О.],B539)</f>
        <v>0</v>
      </c>
      <c r="M538" s="434"/>
      <c r="N538" s="434"/>
      <c r="O538" s="434"/>
      <c r="P538" s="406"/>
      <c r="Q538" s="389">
        <f>база!$L$5</f>
        <v>231.45480000000001</v>
      </c>
      <c r="R538" s="390">
        <v>1.2</v>
      </c>
      <c r="S538" s="400">
        <f>SUMIFS(Таблица14[часы],Таблица14[коэф],"1,2",Таблица14[р/р],"4/16",Таблица14[Ф. И. О.],B539)</f>
        <v>0</v>
      </c>
      <c r="T538" s="392">
        <f>SUMIFS(Таблица14[Столбец2],Таблица14[коэф],"1,2",Таблица14[р/р],"4/16",Таблица14[Ф. И. О.],B539)</f>
        <v>0</v>
      </c>
      <c r="U538" s="478">
        <f>база!$M$5</f>
        <v>247.41720000000001</v>
      </c>
      <c r="V538" s="390">
        <v>1.2</v>
      </c>
      <c r="W538" s="412">
        <f>SUMIFS(Таблица14[часы],Таблица14[коэф],"1,2",Таблица14[р/р],"4/24",Таблица14[Ф. И. О.],B539)</f>
        <v>0</v>
      </c>
      <c r="X538" s="545">
        <f>SUMIFS(Таблица14[Столбец2],Таблица14[коэф],"1,2",Таблица14[р/р],"4/24",Таблица14[Ф. И. О.],B539)</f>
        <v>0</v>
      </c>
      <c r="Y538" s="801"/>
      <c r="Z538" s="797"/>
      <c r="AA538" s="786"/>
    </row>
    <row r="539" spans="1:29">
      <c r="A539" s="786"/>
      <c r="B539" s="216" t="str">
        <f>база!B50</f>
        <v>Мельникова Анна Юрьевна</v>
      </c>
      <c r="C539" s="789"/>
      <c r="D539" s="792"/>
      <c r="E539" s="389"/>
      <c r="F539" s="390"/>
      <c r="G539" s="400"/>
      <c r="H539" s="392"/>
      <c r="I539" s="432"/>
      <c r="J539" s="433"/>
      <c r="K539" s="434"/>
      <c r="L539" s="434"/>
      <c r="M539" s="434"/>
      <c r="N539" s="434"/>
      <c r="O539" s="434"/>
      <c r="P539" s="406"/>
      <c r="Q539" s="389">
        <f>база!$L$6</f>
        <v>261.04640000000001</v>
      </c>
      <c r="R539" s="390">
        <v>1.2</v>
      </c>
      <c r="S539" s="400">
        <f>SUMIFS(Таблица14[часы],Таблица14[коэф],"1,2",Таблица14[р/р],"5/16",Таблица14[Ф. И. О.],B539)</f>
        <v>0</v>
      </c>
      <c r="T539" s="392">
        <f>SUMIFS(Таблица14[Столбец2],Таблица14[коэф],"1,2",Таблица14[р/р],"5/16",Таблица14[Ф. И. О.],B539)</f>
        <v>0</v>
      </c>
      <c r="U539" s="478">
        <f>база!$M$6</f>
        <v>279.0496</v>
      </c>
      <c r="V539" s="390">
        <v>1.2</v>
      </c>
      <c r="W539" s="412">
        <f>SUMIFS(Таблица14[часы],Таблица14[коэф],"1,2",Таблица14[р/р],"5/24",Таблица14[Ф. И. О.],B539)</f>
        <v>0</v>
      </c>
      <c r="X539" s="545">
        <f>SUMIFS(Таблица14[Столбец2],Таблица14[коэф],"1,2",Таблица14[р/р],"5/24",Таблица14[Ф. И. О.],B539)</f>
        <v>0</v>
      </c>
      <c r="Y539" s="801"/>
      <c r="Z539" s="797"/>
      <c r="AA539" s="786"/>
      <c r="AC539" s="754" t="str">
        <f>IF(SUMIFS(Таблица14[Столбец2],Таблица14[Ф. И. О.],B539)-Z534=0,"",SUMIFS(Таблица14[Столбец2],Таблица14[Ф. И. О.],B539)-Z534)</f>
        <v/>
      </c>
    </row>
    <row r="540" spans="1:29">
      <c r="A540" s="786"/>
      <c r="B540" s="216"/>
      <c r="C540" s="789"/>
      <c r="D540" s="792"/>
      <c r="E540" s="389"/>
      <c r="F540" s="390"/>
      <c r="G540" s="400"/>
      <c r="H540" s="392"/>
      <c r="I540" s="432"/>
      <c r="J540" s="433"/>
      <c r="K540" s="434"/>
      <c r="L540" s="434"/>
      <c r="M540" s="434"/>
      <c r="N540" s="434"/>
      <c r="O540" s="434"/>
      <c r="P540" s="406"/>
      <c r="Q540" s="389">
        <f>IF($D$6&lt;=3,база!$L$4,
IF($D$6=4,база!$L$5,
IF($D$6=5,база!$L$6)))</f>
        <v>231.45480000000001</v>
      </c>
      <c r="R540" s="390">
        <v>1.3</v>
      </c>
      <c r="S540" s="400">
        <f>SUMIFS(Таблица14[часы],Таблица14[коэф],"1,3",Таблица14[р/р],"3/16",Таблица14[Ф. И. О.],B539)</f>
        <v>0</v>
      </c>
      <c r="T540" s="392">
        <f>SUMIFS(Таблица14[Столбец2],Таблица14[коэф],"1,3",Таблица14[р/р],"3/16",Таблица14[Ф. И. О.],B539)</f>
        <v>0</v>
      </c>
      <c r="U540" s="478">
        <f>IF(D534&lt;=3,база!$M$4,
IF(D534=4,база!$M$5,
IF(D534=5,база!$M$6)))</f>
        <v>225.09719999999999</v>
      </c>
      <c r="V540" s="390">
        <v>1.3</v>
      </c>
      <c r="W540" s="412">
        <f>SUMIFS(Таблица14[часы],Таблица14[коэф],"1,3",Таблица14[р/р],"3/24",Таблица14[Ф. И. О.],B539)</f>
        <v>0</v>
      </c>
      <c r="X540" s="545">
        <f>SUMIFS(Таблица14[Столбец2],Таблица14[коэф],"1,3",Таблица14[р/р],"3/24",Таблица14[Ф. И. О.],B539)</f>
        <v>0</v>
      </c>
      <c r="Y540" s="801"/>
      <c r="Z540" s="797"/>
      <c r="AA540" s="786"/>
      <c r="AC540" s="754" t="str">
        <f>IF(SUMIFS(Таблица14[часы],Таблица14[Ф. И. О.],B539)-Y534=0,"",SUMIFS(Таблица14[часы],Таблица14[Ф. И. О.],B539)-Y534)</f>
        <v/>
      </c>
    </row>
    <row r="541" spans="1:29">
      <c r="A541" s="786"/>
      <c r="B541" s="216"/>
      <c r="C541" s="789"/>
      <c r="D541" s="792"/>
      <c r="E541" s="389"/>
      <c r="F541" s="390"/>
      <c r="G541" s="400"/>
      <c r="H541" s="392"/>
      <c r="I541" s="432"/>
      <c r="J541" s="433"/>
      <c r="K541" s="434"/>
      <c r="L541" s="434"/>
      <c r="M541" s="434"/>
      <c r="N541" s="434"/>
      <c r="O541" s="434"/>
      <c r="P541" s="406"/>
      <c r="Q541" s="389">
        <f>база!$L$5</f>
        <v>231.45480000000001</v>
      </c>
      <c r="R541" s="390">
        <v>1.3</v>
      </c>
      <c r="S541" s="400">
        <f>SUMIFS(Таблица14[часы],Таблица14[коэф],"1,3",Таблица14[р/р],"4/16",Таблица14[Ф. И. О.],B539)</f>
        <v>0</v>
      </c>
      <c r="T541" s="392">
        <f>SUMIFS(Таблица14[Столбец2],Таблица14[коэф],"1,3",Таблица14[р/р],"4/16",Таблица14[Ф. И. О.],B539)</f>
        <v>0</v>
      </c>
      <c r="U541" s="478">
        <f>база!$M$5</f>
        <v>247.41720000000001</v>
      </c>
      <c r="V541" s="390">
        <v>1.3</v>
      </c>
      <c r="W541" s="412">
        <f>SUMIFS(Таблица14[часы],Таблица14[коэф],"1,3",Таблица14[р/р],"4/24",Таблица14[Ф. И. О.],B539)</f>
        <v>0</v>
      </c>
      <c r="X541" s="545">
        <f>SUMIFS(Таблица14[Столбец2],Таблица14[коэф],"1,3",Таблица14[р/р],"4/24",Таблица14[Ф. И. О.],B539)</f>
        <v>0</v>
      </c>
      <c r="Y541" s="801"/>
      <c r="Z541" s="797"/>
      <c r="AA541" s="786"/>
    </row>
    <row r="542" spans="1:29">
      <c r="A542" s="786"/>
      <c r="B542" s="216"/>
      <c r="C542" s="789"/>
      <c r="D542" s="792"/>
      <c r="E542" s="389"/>
      <c r="F542" s="390"/>
      <c r="G542" s="400"/>
      <c r="H542" s="392"/>
      <c r="I542" s="432"/>
      <c r="J542" s="433"/>
      <c r="K542" s="434"/>
      <c r="L542" s="434"/>
      <c r="M542" s="434"/>
      <c r="N542" s="434"/>
      <c r="O542" s="434"/>
      <c r="P542" s="406"/>
      <c r="Q542" s="389">
        <f>IF(D534&lt;=3,база!$L$4,
IF(D534=4,база!$L$5,
IF(D534=5,база!$L$6)))</f>
        <v>210.57480000000001</v>
      </c>
      <c r="R542" s="390">
        <v>1.4</v>
      </c>
      <c r="S542" s="400">
        <f>SUMIFS(Таблица14[часы],Таблица14[коэф],"1,4",Таблица14[р/р],"3/16",Таблица14[Ф. И. О.],B539)</f>
        <v>0</v>
      </c>
      <c r="T542" s="392">
        <f>SUMIFS(Таблица14[Столбец2],Таблица14[коэф],"1,4",Таблица14[р/р],"3/16",Таблица14[Ф. И. О.],B539)</f>
        <v>0</v>
      </c>
      <c r="U542" s="478">
        <f>IF(D534&lt;=3,база!$M$4,
IF(D534=4,база!$M$5,
IF(D534=5,база!$M$6)))</f>
        <v>225.09719999999999</v>
      </c>
      <c r="V542" s="390">
        <v>1.4</v>
      </c>
      <c r="W542" s="412">
        <f>SUMIFS(Таблица14[часы],Таблица14[коэф],"1,4",Таблица14[р/р],"3/24",Таблица14[Ф. И. О.],B539)</f>
        <v>0</v>
      </c>
      <c r="X542" s="545">
        <f>SUMIFS(Таблица14[Столбец2],Таблица14[коэф],"1,4",Таблица14[р/р],"3/24",Таблица14[Ф. И. О.],B539)</f>
        <v>0</v>
      </c>
      <c r="Y542" s="801"/>
      <c r="Z542" s="797"/>
      <c r="AA542" s="786"/>
    </row>
    <row r="543" spans="1:29">
      <c r="A543" s="786"/>
      <c r="B543" s="216"/>
      <c r="C543" s="789"/>
      <c r="D543" s="792"/>
      <c r="E543" s="389"/>
      <c r="F543" s="390"/>
      <c r="G543" s="400"/>
      <c r="H543" s="392"/>
      <c r="I543" s="432"/>
      <c r="J543" s="433"/>
      <c r="K543" s="434"/>
      <c r="L543" s="434"/>
      <c r="M543" s="434"/>
      <c r="N543" s="434"/>
      <c r="O543" s="434"/>
      <c r="P543" s="406"/>
      <c r="Q543" s="389">
        <f>база!$L$5</f>
        <v>231.45480000000001</v>
      </c>
      <c r="R543" s="390">
        <v>1.4</v>
      </c>
      <c r="S543" s="400">
        <f>SUMIFS(Таблица14[часы],Таблица14[коэф],"1,4",Таблица14[р/р],"4/16",Таблица14[Ф. И. О.],B539)</f>
        <v>0</v>
      </c>
      <c r="T543" s="392">
        <f>SUMIFS(Таблица14[Столбец2],Таблица14[коэф],"1,4",Таблица14[р/р],"4/16",Таблица14[Ф. И. О.],B539)</f>
        <v>0</v>
      </c>
      <c r="U543" s="478">
        <f>база!$M$5</f>
        <v>247.41720000000001</v>
      </c>
      <c r="V543" s="390">
        <v>1.4</v>
      </c>
      <c r="W543" s="412">
        <f>SUMIFS(Таблица14[часы],Таблица14[коэф],"1,4",Таблица14[р/р],"4/24",Таблица14[Ф. И. О.],B539)</f>
        <v>0</v>
      </c>
      <c r="X543" s="545">
        <f>SUMIFS(Таблица14[Столбец2],Таблица14[коэф],"1,4",Таблица14[р/р],"4/24",Таблица14[Ф. И. О.],B539)</f>
        <v>0</v>
      </c>
      <c r="Y543" s="801"/>
      <c r="Z543" s="797"/>
      <c r="AA543" s="786"/>
    </row>
    <row r="544" spans="1:29" ht="21" thickBot="1">
      <c r="A544" s="787"/>
      <c r="B544" s="352"/>
      <c r="C544" s="790"/>
      <c r="D544" s="793"/>
      <c r="E544" s="445"/>
      <c r="F544" s="446"/>
      <c r="G544" s="653"/>
      <c r="H544" s="535"/>
      <c r="I544" s="654"/>
      <c r="J544" s="617"/>
      <c r="K544" s="655"/>
      <c r="L544" s="457"/>
      <c r="M544" s="654"/>
      <c r="N544" s="655"/>
      <c r="O544" s="655"/>
      <c r="P544" s="538"/>
      <c r="Q544" s="656">
        <f>база!$L$6</f>
        <v>261.04640000000001</v>
      </c>
      <c r="R544" s="446">
        <v>1.4</v>
      </c>
      <c r="S544" s="447">
        <f>SUMIFS(Таблица14[часы],Таблица14[коэф],"1,4",Таблица14[р/р],"5/16",Таблица14[Ф. И. О.],B539)</f>
        <v>0</v>
      </c>
      <c r="T544" s="535">
        <f>SUMIFS(Таблица14[Столбец2],Таблица14[коэф],"1,4",Таблица14[р/р],"5/16",Таблица14[Ф. И. О.],B539)</f>
        <v>0</v>
      </c>
      <c r="U544" s="536">
        <f>база!$M$6</f>
        <v>279.0496</v>
      </c>
      <c r="V544" s="464">
        <v>1.4</v>
      </c>
      <c r="W544" s="447">
        <f>SUMIFS(Таблица14[часы],Таблица14[коэф],"1,4",Таблица14[р/р],"5/24",Таблица14[Ф. И. О.],B539)</f>
        <v>0</v>
      </c>
      <c r="X544" s="535">
        <f>SUMIFS(Таблица14[Столбец2],Таблица14[коэф],"1,4",Таблица14[р/р],"5/24",Таблица14[Ф. И. О.],B539)</f>
        <v>0</v>
      </c>
      <c r="Y544" s="802"/>
      <c r="Z544" s="798"/>
      <c r="AA544" s="787"/>
    </row>
    <row r="545" spans="1:29">
      <c r="A545" s="786">
        <v>50</v>
      </c>
      <c r="B545" s="216"/>
      <c r="C545" s="788">
        <f>INDEX(база!$E$2:$E$98, MATCH(B550,база!$B$2:$B$100,0))</f>
        <v>14883</v>
      </c>
      <c r="D545" s="791">
        <f>INDEX(база!$D$2:$D$121, MATCH(B550,база!$B$2:$B$100,0))</f>
        <v>4</v>
      </c>
      <c r="E545" s="481">
        <f>IF(D545&lt;=3,база!$I$4,
IF(D545=4,база!$I$5,
IF(D545=5,база!$I$6)))</f>
        <v>207.5112</v>
      </c>
      <c r="F545" s="417">
        <v>1</v>
      </c>
      <c r="G545" s="418">
        <f>SUMIFS(Таблица14[часы],Таблица14[коэф],"1",Таблица14[р/р],"2/4",Таблица14[Ф. И. О.],B550)</f>
        <v>0</v>
      </c>
      <c r="H545" s="402">
        <f>SUMIFS(Таблица14[Столбец2],Таблица14[коэф],"1",Таблица14[р/р],"2/4",Таблица14[Ф. И. О.],B550)</f>
        <v>0</v>
      </c>
      <c r="I545" s="452">
        <f>IF(D545&lt;=3,база!$J$4,
IF(D545=4,база!$J$5,
IF(D545=5,база!$J$6)))</f>
        <v>215.4924</v>
      </c>
      <c r="J545" s="475">
        <v>1</v>
      </c>
      <c r="K545" s="453">
        <f>SUMIFS(Таблица14[часы],Таблица14[коэф],"1",Таблица14[р/р],"2/8",Таблица14[Ф. И. О.],B550)</f>
        <v>0</v>
      </c>
      <c r="L545" s="453">
        <f>SUMIFS(Таблица14[Столбец2],Таблица14[коэф],"1",Таблица14[р/р],"2/8",Таблица14[Ф. И. О.],B550)</f>
        <v>0</v>
      </c>
      <c r="M545" s="453"/>
      <c r="N545" s="453">
        <v>1</v>
      </c>
      <c r="O545" s="453">
        <f>SUMIFS(Data_Tech!$AM$3:$AM$67,Data_Tech!$E$3:$E$67,"1",Data_Tech!$G$3:$G$67,"3/12",Data_Tech!$F$3:$F$67,B550)</f>
        <v>0</v>
      </c>
      <c r="P545" s="398">
        <f>ROUND(M545*N545*O545,2)</f>
        <v>0</v>
      </c>
      <c r="Q545" s="481">
        <f>IF(D545&lt;=3,база!$L$4,
IF(D545=4,база!$L$5,
IF(D545=5,база!$L$6)))</f>
        <v>231.45480000000001</v>
      </c>
      <c r="R545" s="417">
        <v>1</v>
      </c>
      <c r="S545" s="418">
        <f>SUMIFS(Таблица14[часы],Таблица14[коэф],"1",Таблица14[р/р],"3/16",Таблица14[Ф. И. О.],B550)</f>
        <v>0</v>
      </c>
      <c r="T545" s="402">
        <f>SUMIFS(Таблица14[Столбец2],Таблица14[коэф],"1",Таблица14[р/р],"3/16",Таблица14[Ф. И. О.],B550)</f>
        <v>0</v>
      </c>
      <c r="U545" s="483">
        <f>IF(D545&lt;=3,база!$M$4,
IF(D545=4,база!$M$5,
IF(D545=5,база!$M$6)))</f>
        <v>247.41720000000001</v>
      </c>
      <c r="V545" s="417">
        <v>1</v>
      </c>
      <c r="W545" s="455">
        <f>SUMIFS(Таблица14[часы],Таблица14[коэф],"1",Таблица14[р/р],"3/24",Таблица14[Ф. И. О.],B550)</f>
        <v>0</v>
      </c>
      <c r="X545" s="552">
        <f>SUMIFS(Таблица14[Столбец2],Таблица14[коэф],"1",Таблица14[р/р],"3/24",Таблица14[Ф. И. О.],B550)</f>
        <v>0</v>
      </c>
      <c r="Y545" s="795">
        <f t="shared" ref="Y545" si="238">SUM(G545:G555,K545:K555,O545:O555,S545:S555,W545:W555)</f>
        <v>0</v>
      </c>
      <c r="Z545" s="797">
        <f t="shared" ref="Z545" si="239">IFERROR(SUM(H545:H555,L545:L555,T545:T555,X545:X555),"")</f>
        <v>0</v>
      </c>
      <c r="AA545" s="786"/>
    </row>
    <row r="546" spans="1:29">
      <c r="A546" s="786"/>
      <c r="B546" s="216"/>
      <c r="C546" s="789"/>
      <c r="D546" s="792"/>
      <c r="E546" s="389">
        <f>IF(D545&lt;=3,база!$I$4,
IF(D545=4,база!$I$5,
IF(D545=5,база!$I$6)))</f>
        <v>207.5112</v>
      </c>
      <c r="F546" s="390">
        <v>1</v>
      </c>
      <c r="G546" s="400">
        <f>SUMIFS(Таблица14[часы],Таблица14[коэф],"1",Таблица14[р/р],"3/4",Таблица14[Ф. И. О.],B550)</f>
        <v>0</v>
      </c>
      <c r="H546" s="392">
        <f>SUMIFS(Таблица14[Столбец2],Таблица14[коэф],"1",Таблица14[р/р],"3/4",Таблица14[Ф. И. О.],B550)</f>
        <v>0</v>
      </c>
      <c r="I546" s="432">
        <f>IF(D545&lt;=3,база!$J$4,
IF(D545=4,база!$J$5,
IF(D545=5,база!$J$6)))</f>
        <v>215.4924</v>
      </c>
      <c r="J546" s="433">
        <v>1</v>
      </c>
      <c r="K546" s="434">
        <f>SUMIFS(Таблица14[часы],Таблица14[коэф],"1",Таблица14[р/р],"3/8",Таблица14[Ф. И. О.],B550)</f>
        <v>0</v>
      </c>
      <c r="L546" s="434">
        <f>SUMIFS(Таблица14[Столбец2],Таблица14[коэф],"1",Таблица14[р/р],"3/8",Таблица14[Ф. И. О.],B550)</f>
        <v>0</v>
      </c>
      <c r="M546" s="434"/>
      <c r="N546" s="434">
        <v>1</v>
      </c>
      <c r="O546" s="434">
        <f>SUMIFS(Data_Tech!$AM$3:$AM$67,Data_Tech!$E$3:$E$67,"1",Data_Tech!$G$3:$G$67,"4/12",Data_Tech!$F$3:$F$67,B550)</f>
        <v>0</v>
      </c>
      <c r="P546" s="406">
        <f>ROUND(M546*O546,2)</f>
        <v>0</v>
      </c>
      <c r="Q546" s="389">
        <f>база!$L$5</f>
        <v>231.45480000000001</v>
      </c>
      <c r="R546" s="390">
        <v>1</v>
      </c>
      <c r="S546" s="400">
        <f>SUMIFS(Таблица14[часы],Таблица14[коэф],"1",Таблица14[р/р],"4/16",Таблица14[Ф. И. О.],B550)</f>
        <v>0</v>
      </c>
      <c r="T546" s="392">
        <f>SUMIFS(Таблица14[Столбец2],Таблица14[коэф],"1",Таблица14[р/р],"4/16",Таблица14[Ф. И. О.],B550)</f>
        <v>0</v>
      </c>
      <c r="U546" s="478">
        <f>база!$M$5</f>
        <v>247.41720000000001</v>
      </c>
      <c r="V546" s="390">
        <v>1</v>
      </c>
      <c r="W546" s="412">
        <f>SUMIFS(Таблица14[часы],Таблица14[коэф],"1",Таблица14[р/р],"4/24",Таблица14[Ф. И. О.],B550)</f>
        <v>0</v>
      </c>
      <c r="X546" s="545">
        <f>SUMIFS(Таблица14[Столбец2],Таблица14[коэф],"1",Таблица14[р/р],"4/24",Таблица14[Ф. И. О.],B550)</f>
        <v>0</v>
      </c>
      <c r="Y546" s="795"/>
      <c r="Z546" s="797"/>
      <c r="AA546" s="786"/>
    </row>
    <row r="547" spans="1:29">
      <c r="A547" s="786"/>
      <c r="B547" s="216"/>
      <c r="C547" s="789"/>
      <c r="D547" s="792"/>
      <c r="E547" s="389"/>
      <c r="F547" s="390"/>
      <c r="G547" s="400"/>
      <c r="H547" s="392"/>
      <c r="I547" s="432"/>
      <c r="J547" s="433"/>
      <c r="K547" s="434"/>
      <c r="L547" s="434"/>
      <c r="M547" s="434"/>
      <c r="N547" s="434"/>
      <c r="O547" s="434"/>
      <c r="P547" s="406"/>
      <c r="Q547" s="389">
        <f>база!$L$6</f>
        <v>261.04640000000001</v>
      </c>
      <c r="R547" s="390">
        <v>1</v>
      </c>
      <c r="S547" s="400">
        <f>SUMIFS(Таблица14[часы],Таблица14[коэф],"1",Таблица14[р/р],"5/16",Таблица14[Ф. И. О.],B550)</f>
        <v>0</v>
      </c>
      <c r="T547" s="392">
        <f>SUMIFS(Таблица14[Столбец2],Таблица14[коэф],"1",Таблица14[р/р],"5/16",Таблица14[Ф. И. О.],B550)</f>
        <v>0</v>
      </c>
      <c r="U547" s="478">
        <f>база!$M$6</f>
        <v>279.0496</v>
      </c>
      <c r="V547" s="390">
        <v>1</v>
      </c>
      <c r="W547" s="412">
        <f>SUMIFS(Таблица14[часы],Таблица14[коэф],"1",Таблица14[р/р],"5/24",Таблица14[Ф. И. О.],B550)</f>
        <v>0</v>
      </c>
      <c r="X547" s="545">
        <f>SUMIFS(Таблица14[Столбец2],Таблица14[коэф],"1",Таблица14[р/р],"5/24",Таблица14[Ф. И. О.],B550)</f>
        <v>0</v>
      </c>
      <c r="Y547" s="795"/>
      <c r="Z547" s="797"/>
      <c r="AA547" s="786"/>
    </row>
    <row r="548" spans="1:29">
      <c r="A548" s="786"/>
      <c r="B548" s="216"/>
      <c r="C548" s="789"/>
      <c r="D548" s="792"/>
      <c r="E548" s="389"/>
      <c r="F548" s="390"/>
      <c r="G548" s="400"/>
      <c r="H548" s="392"/>
      <c r="I548" s="432">
        <f>база!$J$5</f>
        <v>215.4924</v>
      </c>
      <c r="J548" s="433">
        <v>1.5</v>
      </c>
      <c r="K548" s="434">
        <f>SUMIFS(Таблица14[часы],Таблица14[коэф],"1,5",Таблица14[р/р],"4/8",Таблица14[Ф. И. О.],B550)</f>
        <v>0</v>
      </c>
      <c r="L548" s="434">
        <f>SUMIFS(Таблица14[Столбец2],Таблица14[коэф],"1,5",Таблица14[р/р],"4/8",Таблица14[Ф. И. О.],B550)</f>
        <v>0</v>
      </c>
      <c r="M548" s="434"/>
      <c r="N548" s="434"/>
      <c r="O548" s="434"/>
      <c r="P548" s="406"/>
      <c r="Q548" s="389">
        <f>IF(D545&lt;=3,база!$L$4,
IF(D545=4,база!$L$5,
IF(D545=5,база!$L$6)))</f>
        <v>231.45480000000001</v>
      </c>
      <c r="R548" s="390">
        <v>1.2</v>
      </c>
      <c r="S548" s="400">
        <f>SUMIFS(Таблица14[часы],Таблица14[коэф],"1,2",Таблица14[р/р],"3/16",Таблица14[Ф. И. О.],B550)</f>
        <v>0</v>
      </c>
      <c r="T548" s="392">
        <f>SUMIFS(Таблица14[Столбец2],Таблица14[коэф],"1,2",Таблица14[р/р],"3/16",Таблица14[Ф. И. О.],B550)</f>
        <v>0</v>
      </c>
      <c r="U548" s="478">
        <f>IF(D545&lt;=3,база!$M$4,
IF(D545=4,база!$M$5,
IF(D545=5,база!$M$6)))</f>
        <v>247.41720000000001</v>
      </c>
      <c r="V548" s="390">
        <v>1.2</v>
      </c>
      <c r="W548" s="412">
        <f>SUMIFS(Таблица14[часы],Таблица14[коэф],"1,2",Таблица14[р/р],"3/24",Таблица14[Ф. И. О.],B550)</f>
        <v>0</v>
      </c>
      <c r="X548" s="545">
        <f>SUMIFS(Таблица14[Столбец2],Таблица14[коэф],"1,2",Таблица14[р/р],"3/24",Таблица14[Ф. И. О.],B550)</f>
        <v>0</v>
      </c>
      <c r="Y548" s="795"/>
      <c r="Z548" s="797"/>
      <c r="AA548" s="786"/>
    </row>
    <row r="549" spans="1:29">
      <c r="A549" s="786"/>
      <c r="B549" s="216"/>
      <c r="C549" s="789"/>
      <c r="D549" s="792"/>
      <c r="E549" s="389"/>
      <c r="F549" s="390"/>
      <c r="G549" s="400"/>
      <c r="H549" s="392"/>
      <c r="I549" s="432">
        <f>база!$J$6</f>
        <v>243.04319999999998</v>
      </c>
      <c r="J549" s="433">
        <v>1.5</v>
      </c>
      <c r="K549" s="434">
        <f>SUMIFS(Таблица14[часы],Таблица14[коэф],"1,5",Таблица14[р/р],"5/8",Таблица14[Ф. И. О.],B550)</f>
        <v>0</v>
      </c>
      <c r="L549" s="434">
        <f>SUMIFS(Таблица14[Столбец2],Таблица14[коэф],"1,5",Таблица14[р/р],"5/8",Таблица14[Ф. И. О.],B550)</f>
        <v>0</v>
      </c>
      <c r="M549" s="434"/>
      <c r="N549" s="434"/>
      <c r="O549" s="434"/>
      <c r="P549" s="406"/>
      <c r="Q549" s="389">
        <f>база!$L$5</f>
        <v>231.45480000000001</v>
      </c>
      <c r="R549" s="390">
        <v>1.2</v>
      </c>
      <c r="S549" s="400">
        <f>SUMIFS(Таблица14[часы],Таблица14[коэф],"1,2",Таблица14[р/р],"4/16",Таблица14[Ф. И. О.],B550)</f>
        <v>0</v>
      </c>
      <c r="T549" s="392">
        <f>SUMIFS(Таблица14[Столбец2],Таблица14[коэф],"1,2",Таблица14[р/р],"4/16",Таблица14[Ф. И. О.],B550)</f>
        <v>0</v>
      </c>
      <c r="U549" s="478">
        <f>база!$M$5</f>
        <v>247.41720000000001</v>
      </c>
      <c r="V549" s="390">
        <v>1.2</v>
      </c>
      <c r="W549" s="412">
        <f>SUMIFS(Таблица14[часы],Таблица14[коэф],"1,2",Таблица14[р/р],"4/24",Таблица14[Ф. И. О.],B550)</f>
        <v>0</v>
      </c>
      <c r="X549" s="545">
        <f>SUMIFS(Таблица14[Столбец2],Таблица14[коэф],"1,2",Таблица14[р/р],"4/24",Таблица14[Ф. И. О.],B550)</f>
        <v>0</v>
      </c>
      <c r="Y549" s="795"/>
      <c r="Z549" s="797"/>
      <c r="AA549" s="786"/>
      <c r="AC549" s="754" t="str">
        <f>IF(SUMIFS(Таблица14[Столбец2],Таблица14[Ф. И. О.],B550)-Z545=0,"",SUMIFS(Таблица14[Столбец2],Таблица14[Ф. И. О.],B550)-Z545)</f>
        <v/>
      </c>
    </row>
    <row r="550" spans="1:29">
      <c r="A550" s="786"/>
      <c r="B550" s="216" t="str">
        <f>база!B51</f>
        <v>Минко Елена Анатольевна</v>
      </c>
      <c r="C550" s="789"/>
      <c r="D550" s="792"/>
      <c r="E550" s="389"/>
      <c r="F550" s="390"/>
      <c r="G550" s="400"/>
      <c r="H550" s="392"/>
      <c r="I550" s="432"/>
      <c r="J550" s="433"/>
      <c r="K550" s="434"/>
      <c r="L550" s="434"/>
      <c r="M550" s="434"/>
      <c r="N550" s="434"/>
      <c r="O550" s="434"/>
      <c r="P550" s="406"/>
      <c r="Q550" s="389">
        <f>база!$L$6</f>
        <v>261.04640000000001</v>
      </c>
      <c r="R550" s="390">
        <v>1.2</v>
      </c>
      <c r="S550" s="400">
        <f>SUMIFS(Таблица14[часы],Таблица14[коэф],"1,2",Таблица14[р/р],"5/16",Таблица14[Ф. И. О.],B550)</f>
        <v>0</v>
      </c>
      <c r="T550" s="392">
        <f>SUMIFS(Таблица14[Столбец2],Таблица14[коэф],"1,2",Таблица14[р/р],"5/16",Таблица14[Ф. И. О.],B550)</f>
        <v>0</v>
      </c>
      <c r="U550" s="478">
        <f>база!$M$6</f>
        <v>279.0496</v>
      </c>
      <c r="V550" s="390">
        <v>1.2</v>
      </c>
      <c r="W550" s="412">
        <f>SUMIFS(Таблица14[часы],Таблица14[коэф],"1,2",Таблица14[р/р],"5/24",Таблица14[Ф. И. О.],B550)</f>
        <v>0</v>
      </c>
      <c r="X550" s="545">
        <f>SUMIFS(Таблица14[Столбец2],Таблица14[коэф],"1,2",Таблица14[р/р],"5/24",Таблица14[Ф. И. О.],B550)</f>
        <v>0</v>
      </c>
      <c r="Y550" s="795"/>
      <c r="Z550" s="797"/>
      <c r="AA550" s="786"/>
      <c r="AC550" s="754" t="str">
        <f>IF(SUMIFS(Таблица14[часы],Таблица14[Ф. И. О.],B550)-Y545=0,"",SUMIFS(Таблица14[часы],Таблица14[Ф. И. О.],B550)-Y545)</f>
        <v/>
      </c>
    </row>
    <row r="551" spans="1:29">
      <c r="A551" s="786"/>
      <c r="B551" s="216"/>
      <c r="C551" s="789"/>
      <c r="D551" s="792"/>
      <c r="E551" s="389"/>
      <c r="F551" s="390"/>
      <c r="G551" s="400"/>
      <c r="H551" s="392"/>
      <c r="I551" s="432"/>
      <c r="J551" s="433"/>
      <c r="K551" s="434"/>
      <c r="L551" s="434"/>
      <c r="M551" s="434"/>
      <c r="N551" s="434"/>
      <c r="O551" s="434"/>
      <c r="P551" s="406"/>
      <c r="Q551" s="389">
        <f>IF($D$6&lt;=3,база!$L$4,
IF($D$6=4,база!$L$5,
IF($D$6=5,база!$L$6)))</f>
        <v>231.45480000000001</v>
      </c>
      <c r="R551" s="390">
        <v>1.3</v>
      </c>
      <c r="S551" s="400">
        <f>SUMIFS(Таблица14[часы],Таблица14[коэф],"1,3",Таблица14[р/р],"3/16",Таблица14[Ф. И. О.],B550)</f>
        <v>0</v>
      </c>
      <c r="T551" s="392">
        <f>SUMIFS(Таблица14[Столбец2],Таблица14[коэф],"1,3",Таблица14[р/р],"3/16",Таблица14[Ф. И. О.],B550)</f>
        <v>0</v>
      </c>
      <c r="U551" s="478">
        <f>IF(D545&lt;=3,база!$M$4,
IF(D545=4,база!$M$5,
IF(D545=5,база!$M$6)))</f>
        <v>247.41720000000001</v>
      </c>
      <c r="V551" s="390">
        <v>1.3</v>
      </c>
      <c r="W551" s="412">
        <f>SUMIFS(Таблица14[часы],Таблица14[коэф],"1,3",Таблица14[р/р],"3/24",Таблица14[Ф. И. О.],B550)</f>
        <v>0</v>
      </c>
      <c r="X551" s="545">
        <f>SUMIFS(Таблица14[Столбец2],Таблица14[коэф],"1,3",Таблица14[р/р],"3/24",Таблица14[Ф. И. О.],B550)</f>
        <v>0</v>
      </c>
      <c r="Y551" s="795"/>
      <c r="Z551" s="797"/>
      <c r="AA551" s="786"/>
    </row>
    <row r="552" spans="1:29">
      <c r="A552" s="786"/>
      <c r="B552" s="216"/>
      <c r="C552" s="789"/>
      <c r="D552" s="792"/>
      <c r="E552" s="389"/>
      <c r="F552" s="390"/>
      <c r="G552" s="400"/>
      <c r="H552" s="392"/>
      <c r="I552" s="432"/>
      <c r="J552" s="433"/>
      <c r="K552" s="434"/>
      <c r="L552" s="434"/>
      <c r="M552" s="434"/>
      <c r="N552" s="434"/>
      <c r="O552" s="434"/>
      <c r="P552" s="406"/>
      <c r="Q552" s="389">
        <f>база!$L$5</f>
        <v>231.45480000000001</v>
      </c>
      <c r="R552" s="390">
        <v>1.3</v>
      </c>
      <c r="S552" s="400">
        <f>SUMIFS(Таблица14[часы],Таблица14[коэф],"1,3",Таблица14[р/р],"4/16",Таблица14[Ф. И. О.],B550)</f>
        <v>0</v>
      </c>
      <c r="T552" s="392">
        <f>SUMIFS(Таблица14[Столбец2],Таблица14[коэф],"1,3",Таблица14[р/р],"4/16",Таблица14[Ф. И. О.],B550)</f>
        <v>0</v>
      </c>
      <c r="U552" s="478">
        <f>база!$M$5</f>
        <v>247.41720000000001</v>
      </c>
      <c r="V552" s="390">
        <v>1.3</v>
      </c>
      <c r="W552" s="412">
        <f>SUMIFS(Таблица14[часы],Таблица14[коэф],"1,3",Таблица14[р/р],"4/24",Таблица14[Ф. И. О.],B550)</f>
        <v>0</v>
      </c>
      <c r="X552" s="545">
        <f>SUMIFS(Таблица14[Столбец2],Таблица14[коэф],"1,3",Таблица14[р/р],"4/24",Таблица14[Ф. И. О.],B550)</f>
        <v>0</v>
      </c>
      <c r="Y552" s="795"/>
      <c r="Z552" s="797"/>
      <c r="AA552" s="786"/>
    </row>
    <row r="553" spans="1:29">
      <c r="A553" s="786"/>
      <c r="B553" s="216"/>
      <c r="C553" s="789"/>
      <c r="D553" s="792"/>
      <c r="E553" s="389"/>
      <c r="F553" s="390"/>
      <c r="G553" s="400"/>
      <c r="H553" s="392"/>
      <c r="I553" s="432"/>
      <c r="J553" s="433"/>
      <c r="K553" s="434"/>
      <c r="L553" s="434"/>
      <c r="M553" s="434"/>
      <c r="N553" s="434"/>
      <c r="O553" s="434"/>
      <c r="P553" s="406"/>
      <c r="Q553" s="389">
        <f>IF(D545&lt;=3,база!$L$4,
IF(D545=4,база!$L$5,
IF(D545=5,база!$L$6)))</f>
        <v>231.45480000000001</v>
      </c>
      <c r="R553" s="390">
        <v>1.4</v>
      </c>
      <c r="S553" s="400">
        <f>SUMIFS(Таблица14[часы],Таблица14[коэф],"1,4",Таблица14[р/р],"3/16",Таблица14[Ф. И. О.],B550)</f>
        <v>0</v>
      </c>
      <c r="T553" s="392">
        <f>SUMIFS(Таблица14[Столбец2],Таблица14[коэф],"1,4",Таблица14[р/р],"3/16",Таблица14[Ф. И. О.],B550)</f>
        <v>0</v>
      </c>
      <c r="U553" s="478">
        <f>IF(D545&lt;=3,база!$M$4,
IF(D545=4,база!$M$5,
IF(D545=5,база!$M$6)))</f>
        <v>247.41720000000001</v>
      </c>
      <c r="V553" s="390">
        <v>1.4</v>
      </c>
      <c r="W553" s="412">
        <f>SUMIFS(Таблица14[часы],Таблица14[коэф],"1,4",Таблица14[р/р],"3/24",Таблица14[Ф. И. О.],B550)</f>
        <v>0</v>
      </c>
      <c r="X553" s="545">
        <f>SUMIFS(Таблица14[Столбец2],Таблица14[коэф],"1,4",Таблица14[р/р],"3/24",Таблица14[Ф. И. О.],B550)</f>
        <v>0</v>
      </c>
      <c r="Y553" s="795"/>
      <c r="Z553" s="797"/>
      <c r="AA553" s="786"/>
    </row>
    <row r="554" spans="1:29">
      <c r="A554" s="786"/>
      <c r="B554" s="216"/>
      <c r="C554" s="789"/>
      <c r="D554" s="792"/>
      <c r="E554" s="389"/>
      <c r="F554" s="390"/>
      <c r="G554" s="400"/>
      <c r="H554" s="392"/>
      <c r="I554" s="432"/>
      <c r="J554" s="433"/>
      <c r="K554" s="434"/>
      <c r="L554" s="434"/>
      <c r="M554" s="434"/>
      <c r="N554" s="434"/>
      <c r="O554" s="434"/>
      <c r="P554" s="406"/>
      <c r="Q554" s="389">
        <f>база!$L$5</f>
        <v>231.45480000000001</v>
      </c>
      <c r="R554" s="390">
        <v>1.4</v>
      </c>
      <c r="S554" s="400">
        <f>SUMIFS(Таблица14[часы],Таблица14[коэф],"1,4",Таблица14[р/р],"4/16",Таблица14[Ф. И. О.],B550)</f>
        <v>0</v>
      </c>
      <c r="T554" s="392">
        <f>SUMIFS(Таблица14[Столбец2],Таблица14[коэф],"1,4",Таблица14[р/р],"4/16",Таблица14[Ф. И. О.],B550)</f>
        <v>0</v>
      </c>
      <c r="U554" s="478">
        <f>база!$M$5</f>
        <v>247.41720000000001</v>
      </c>
      <c r="V554" s="390">
        <v>1.4</v>
      </c>
      <c r="W554" s="412">
        <f>SUMIFS(Таблица14[часы],Таблица14[коэф],"1,4",Таблица14[р/р],"4/24",Таблица14[Ф. И. О.],B550)</f>
        <v>0</v>
      </c>
      <c r="X554" s="545">
        <f>SUMIFS(Таблица14[Столбец2],Таблица14[коэф],"1,4",Таблица14[р/р],"4/24",Таблица14[Ф. И. О.],B550)</f>
        <v>0</v>
      </c>
      <c r="Y554" s="795"/>
      <c r="Z554" s="797"/>
      <c r="AA554" s="786"/>
    </row>
    <row r="555" spans="1:29" ht="21" thickBot="1">
      <c r="A555" s="787"/>
      <c r="B555" s="352"/>
      <c r="C555" s="790"/>
      <c r="D555" s="793"/>
      <c r="E555" s="473"/>
      <c r="F555" s="464"/>
      <c r="G555" s="657"/>
      <c r="H555" s="468"/>
      <c r="I555" s="651"/>
      <c r="J555" s="456"/>
      <c r="K555" s="652"/>
      <c r="L555" s="457"/>
      <c r="M555" s="651"/>
      <c r="N555" s="652"/>
      <c r="O555" s="652"/>
      <c r="P555" s="476"/>
      <c r="Q555" s="658">
        <f>база!$L$6</f>
        <v>261.04640000000001</v>
      </c>
      <c r="R555" s="464">
        <v>1.4</v>
      </c>
      <c r="S555" s="465">
        <f>SUMIFS(Таблица14[часы],Таблица14[коэф],"1,4",Таблица14[р/р],"5/16",Таблица14[Ф. И. О.],B550)</f>
        <v>0</v>
      </c>
      <c r="T555" s="468">
        <f>SUMIFS(Таблица14[Столбец2],Таблица14[коэф],"1,4",Таблица14[р/р],"5/16",Таблица14[Ф. И. О.],B550)</f>
        <v>0</v>
      </c>
      <c r="U555" s="463">
        <f>база!$M$6</f>
        <v>279.0496</v>
      </c>
      <c r="V555" s="464">
        <v>1.4</v>
      </c>
      <c r="W555" s="465">
        <f>SUMIFS(Таблица14[часы],Таблица14[коэф],"1,4",Таблица14[р/р],"5/24",Таблица14[Ф. И. О.],B550)</f>
        <v>0</v>
      </c>
      <c r="X555" s="468">
        <f>SUMIFS(Таблица14[Столбец2],Таблица14[коэф],"1,4",Таблица14[р/р],"5/24",Таблица14[Ф. И. О.],B550)</f>
        <v>0</v>
      </c>
      <c r="Y555" s="796"/>
      <c r="Z555" s="798"/>
      <c r="AA555" s="787"/>
    </row>
    <row r="556" spans="1:29">
      <c r="A556" s="786">
        <v>51</v>
      </c>
      <c r="B556" s="216"/>
      <c r="C556" s="788">
        <f>INDEX(база!$E$2:$E$98, MATCH(B561,база!$B$2:$B$100,0))</f>
        <v>17312</v>
      </c>
      <c r="D556" s="791">
        <f>INDEX(база!$D$2:$D$121, MATCH(B561,база!$B$2:$B$100,0))</f>
        <v>3</v>
      </c>
      <c r="E556" s="481">
        <f>IF(D556&lt;=3,база!$I$4,
IF(D556=4,база!$I$5,
IF(D556=5,база!$I$6)))</f>
        <v>188.7912</v>
      </c>
      <c r="F556" s="417">
        <v>1</v>
      </c>
      <c r="G556" s="418">
        <f>SUMIFS(Таблица14[часы],Таблица14[коэф],"1",Таблица14[р/р],"2/4",Таблица14[Ф. И. О.],B561)</f>
        <v>0</v>
      </c>
      <c r="H556" s="402">
        <f>SUMIFS(Таблица14[Столбец2],Таблица14[коэф],"1",Таблица14[р/р],"2/4",Таблица14[Ф. И. О.],B561)</f>
        <v>0</v>
      </c>
      <c r="I556" s="452">
        <f>IF(D556&lt;=3,база!$J$4,
IF(D556=4,база!$J$5,
IF(D556=5,база!$J$6)))</f>
        <v>196.05240000000001</v>
      </c>
      <c r="J556" s="475">
        <v>1</v>
      </c>
      <c r="K556" s="453">
        <f>SUMIFS(Таблица14[часы],Таблица14[коэф],"1",Таблица14[р/р],"2/8",Таблица14[Ф. И. О.],B561)</f>
        <v>0</v>
      </c>
      <c r="L556" s="453">
        <f>SUMIFS(Таблица14[Столбец2],Таблица14[коэф],"1",Таблица14[р/р],"2/8",Таблица14[Ф. И. О.],B561)</f>
        <v>0</v>
      </c>
      <c r="M556" s="453"/>
      <c r="N556" s="453">
        <v>1</v>
      </c>
      <c r="O556" s="453">
        <f>SUMIFS(Data_Tech!$AM$3:$AM$67,Data_Tech!$E$3:$E$67,"1",Data_Tech!$G$3:$G$67,"3/12",Data_Tech!$F$3:$F$67,B561)</f>
        <v>0</v>
      </c>
      <c r="P556" s="398">
        <f>ROUND(M556*N556*O556,2)</f>
        <v>0</v>
      </c>
      <c r="Q556" s="481">
        <f>IF(D556&lt;=3,база!$L$4,
IF(D556=4,база!$L$5,
IF(D556=5,база!$L$6)))</f>
        <v>210.57480000000001</v>
      </c>
      <c r="R556" s="417">
        <v>1</v>
      </c>
      <c r="S556" s="418">
        <f>SUMIFS(Таблица14[часы],Таблица14[коэф],"1",Таблица14[р/р],"3/16",Таблица14[Ф. И. О.],B561)</f>
        <v>0</v>
      </c>
      <c r="T556" s="402">
        <f>SUMIFS(Таблица14[Столбец2],Таблица14[коэф],"1",Таблица14[р/р],"3/16",Таблица14[Ф. И. О.],B561)</f>
        <v>0</v>
      </c>
      <c r="U556" s="483">
        <f>IF(D556&lt;=3,база!$M$4,
IF(D556=4,база!$M$5,
IF(D556=5,база!$M$6)))</f>
        <v>225.09719999999999</v>
      </c>
      <c r="V556" s="417">
        <v>1</v>
      </c>
      <c r="W556" s="455">
        <f>SUMIFS(Таблица14[часы],Таблица14[коэф],"1",Таблица14[р/р],"3/24",Таблица14[Ф. И. О.],B561)</f>
        <v>0</v>
      </c>
      <c r="X556" s="552">
        <f>SUMIFS(Таблица14[Столбец2],Таблица14[коэф],"1",Таблица14[р/р],"3/24",Таблица14[Ф. И. О.],B561)</f>
        <v>0</v>
      </c>
      <c r="Y556" s="795">
        <f t="shared" ref="Y556" si="240">SUM(G556:G566,K556:K566,O556:O566,S556:S566,W556:W566)</f>
        <v>0</v>
      </c>
      <c r="Z556" s="797">
        <f t="shared" ref="Z556" si="241">IFERROR(SUM(H556:H566,L556:L566,T556:T566,X556:X566),"")</f>
        <v>0</v>
      </c>
      <c r="AA556" s="786"/>
    </row>
    <row r="557" spans="1:29">
      <c r="A557" s="786"/>
      <c r="B557" s="216"/>
      <c r="C557" s="789"/>
      <c r="D557" s="792"/>
      <c r="E557" s="389">
        <f>IF(D556&lt;=3,база!$I$4,
IF(D556=4,база!$I$5,
IF(D556=5,база!$I$6)))</f>
        <v>188.7912</v>
      </c>
      <c r="F557" s="390">
        <v>1</v>
      </c>
      <c r="G557" s="400">
        <f>SUMIFS(Таблица14[часы],Таблица14[коэф],"1",Таблица14[р/р],"3/4",Таблица14[Ф. И. О.],B561)</f>
        <v>0</v>
      </c>
      <c r="H557" s="392">
        <f>SUMIFS(Таблица14[Столбец2],Таблица14[коэф],"1",Таблица14[р/р],"3/4",Таблица14[Ф. И. О.],B561)</f>
        <v>0</v>
      </c>
      <c r="I557" s="432">
        <f>IF(D556&lt;=3,база!$J$4,
IF(D556=4,база!$J$5,
IF(D556=5,база!$J$6)))</f>
        <v>196.05240000000001</v>
      </c>
      <c r="J557" s="433">
        <v>1</v>
      </c>
      <c r="K557" s="434">
        <f>SUMIFS(Таблица14[часы],Таблица14[коэф],"1",Таблица14[р/р],"3/8",Таблица14[Ф. И. О.],B561)</f>
        <v>0</v>
      </c>
      <c r="L557" s="434">
        <f>SUMIFS(Таблица14[Столбец2],Таблица14[коэф],"1",Таблица14[р/р],"3/8",Таблица14[Ф. И. О.],B561)</f>
        <v>0</v>
      </c>
      <c r="M557" s="434"/>
      <c r="N557" s="434">
        <v>1</v>
      </c>
      <c r="O557" s="434">
        <f>SUMIFS(Data_Tech!$AM$3:$AM$67,Data_Tech!$E$3:$E$67,"1",Data_Tech!$G$3:$G$67,"4/12",Data_Tech!$F$3:$F$67,B561)</f>
        <v>0</v>
      </c>
      <c r="P557" s="406">
        <f>ROUND(M557*O557,2)</f>
        <v>0</v>
      </c>
      <c r="Q557" s="389">
        <f>база!$L$5</f>
        <v>231.45480000000001</v>
      </c>
      <c r="R557" s="390">
        <v>1</v>
      </c>
      <c r="S557" s="400">
        <f>SUMIFS(Таблица14[часы],Таблица14[коэф],"1",Таблица14[р/р],"4/16",Таблица14[Ф. И. О.],B561)</f>
        <v>0</v>
      </c>
      <c r="T557" s="392">
        <f>SUMIFS(Таблица14[Столбец2],Таблица14[коэф],"1",Таблица14[р/р],"4/16",Таблица14[Ф. И. О.],B561)</f>
        <v>0</v>
      </c>
      <c r="U557" s="478">
        <f>база!$M$5</f>
        <v>247.41720000000001</v>
      </c>
      <c r="V557" s="390">
        <v>1</v>
      </c>
      <c r="W557" s="412">
        <f>SUMIFS(Таблица14[часы],Таблица14[коэф],"1",Таблица14[р/р],"4/24",Таблица14[Ф. И. О.],B561)</f>
        <v>0</v>
      </c>
      <c r="X557" s="545">
        <f>SUMIFS(Таблица14[Столбец2],Таблица14[коэф],"1",Таблица14[р/р],"4/24",Таблица14[Ф. И. О.],B561)</f>
        <v>0</v>
      </c>
      <c r="Y557" s="795"/>
      <c r="Z557" s="797"/>
      <c r="AA557" s="786"/>
    </row>
    <row r="558" spans="1:29">
      <c r="A558" s="786"/>
      <c r="B558" s="216"/>
      <c r="C558" s="789"/>
      <c r="D558" s="792"/>
      <c r="E558" s="389"/>
      <c r="F558" s="390"/>
      <c r="G558" s="400"/>
      <c r="H558" s="392"/>
      <c r="I558" s="432"/>
      <c r="J558" s="433"/>
      <c r="K558" s="434"/>
      <c r="L558" s="434"/>
      <c r="M558" s="434"/>
      <c r="N558" s="434"/>
      <c r="O558" s="434"/>
      <c r="P558" s="406"/>
      <c r="Q558" s="389">
        <f>база!$L$6</f>
        <v>261.04640000000001</v>
      </c>
      <c r="R558" s="390">
        <v>1</v>
      </c>
      <c r="S558" s="400">
        <f>SUMIFS(Таблица14[часы],Таблица14[коэф],"1",Таблица14[р/р],"5/16",Таблица14[Ф. И. О.],B561)</f>
        <v>0</v>
      </c>
      <c r="T558" s="392">
        <f>SUMIFS(Таблица14[Столбец2],Таблица14[коэф],"1",Таблица14[р/р],"5/16",Таблица14[Ф. И. О.],B561)</f>
        <v>0</v>
      </c>
      <c r="U558" s="478">
        <f>база!$M$6</f>
        <v>279.0496</v>
      </c>
      <c r="V558" s="390">
        <v>1</v>
      </c>
      <c r="W558" s="412">
        <f>SUMIFS(Таблица14[часы],Таблица14[коэф],"1",Таблица14[р/р],"5/24",Таблица14[Ф. И. О.],B561)</f>
        <v>0</v>
      </c>
      <c r="X558" s="545">
        <f>SUMIFS(Таблица14[Столбец2],Таблица14[коэф],"1",Таблица14[р/р],"5/24",Таблица14[Ф. И. О.],B561)</f>
        <v>0</v>
      </c>
      <c r="Y558" s="795"/>
      <c r="Z558" s="797"/>
      <c r="AA558" s="786"/>
    </row>
    <row r="559" spans="1:29">
      <c r="A559" s="786"/>
      <c r="B559" s="216"/>
      <c r="C559" s="789"/>
      <c r="D559" s="792"/>
      <c r="E559" s="389"/>
      <c r="F559" s="390"/>
      <c r="G559" s="400"/>
      <c r="H559" s="392"/>
      <c r="I559" s="432">
        <f>база!$J$5</f>
        <v>215.4924</v>
      </c>
      <c r="J559" s="433">
        <v>1.5</v>
      </c>
      <c r="K559" s="434">
        <f>SUMIFS(Таблица14[часы],Таблица14[коэф],"1,5",Таблица14[р/р],"4/8",Таблица14[Ф. И. О.],B561)</f>
        <v>0</v>
      </c>
      <c r="L559" s="434">
        <f>SUMIFS(Таблица14[Столбец2],Таблица14[коэф],"1,5",Таблица14[р/р],"4/8",Таблица14[Ф. И. О.],B561)</f>
        <v>0</v>
      </c>
      <c r="M559" s="434"/>
      <c r="N559" s="434"/>
      <c r="O559" s="434"/>
      <c r="P559" s="406"/>
      <c r="Q559" s="389">
        <f>IF(D556&lt;=3,база!$L$4,
IF(D556=4,база!$L$5,
IF(D556=5,база!$L$6)))</f>
        <v>210.57480000000001</v>
      </c>
      <c r="R559" s="390">
        <v>1.2</v>
      </c>
      <c r="S559" s="400">
        <f>SUMIFS(Таблица14[часы],Таблица14[коэф],"1,2",Таблица14[р/р],"3/16",Таблица14[Ф. И. О.],B561)</f>
        <v>0</v>
      </c>
      <c r="T559" s="392">
        <f>SUMIFS(Таблица14[Столбец2],Таблица14[коэф],"1,2",Таблица14[р/р],"3/16",Таблица14[Ф. И. О.],B561)</f>
        <v>0</v>
      </c>
      <c r="U559" s="478">
        <f>IF(D556&lt;=3,база!$M$4,
IF(D556=4,база!$M$5,
IF(D556=5,база!$M$6)))</f>
        <v>225.09719999999999</v>
      </c>
      <c r="V559" s="390">
        <v>1.2</v>
      </c>
      <c r="W559" s="412">
        <f>SUMIFS(Таблица14[часы],Таблица14[коэф],"1,2",Таблица14[р/р],"3/24",Таблица14[Ф. И. О.],B561)</f>
        <v>0</v>
      </c>
      <c r="X559" s="545">
        <f>SUMIFS(Таблица14[Столбец2],Таблица14[коэф],"1,2",Таблица14[р/р],"3/24",Таблица14[Ф. И. О.],B561)</f>
        <v>0</v>
      </c>
      <c r="Y559" s="795"/>
      <c r="Z559" s="797"/>
      <c r="AA559" s="786"/>
    </row>
    <row r="560" spans="1:29">
      <c r="A560" s="786"/>
      <c r="B560" s="216"/>
      <c r="C560" s="789"/>
      <c r="D560" s="792"/>
      <c r="E560" s="389"/>
      <c r="F560" s="390"/>
      <c r="G560" s="400"/>
      <c r="H560" s="392"/>
      <c r="I560" s="432">
        <f>база!$J$6</f>
        <v>243.04319999999998</v>
      </c>
      <c r="J560" s="433">
        <v>1.5</v>
      </c>
      <c r="K560" s="434">
        <f>SUMIFS(Таблица14[часы],Таблица14[коэф],"1,5",Таблица14[р/р],"5/8",Таблица14[Ф. И. О.],B561)</f>
        <v>0</v>
      </c>
      <c r="L560" s="434">
        <f>SUMIFS(Таблица14[Столбец2],Таблица14[коэф],"1,5",Таблица14[р/р],"5/8",Таблица14[Ф. И. О.],B561)</f>
        <v>0</v>
      </c>
      <c r="M560" s="434"/>
      <c r="N560" s="434"/>
      <c r="O560" s="434"/>
      <c r="P560" s="406"/>
      <c r="Q560" s="389">
        <f>база!$L$5</f>
        <v>231.45480000000001</v>
      </c>
      <c r="R560" s="390">
        <v>1.2</v>
      </c>
      <c r="S560" s="400">
        <f>SUMIFS(Таблица14[часы],Таблица14[коэф],"1,2",Таблица14[р/р],"4/16",Таблица14[Ф. И. О.],B561)</f>
        <v>0</v>
      </c>
      <c r="T560" s="392">
        <f>SUMIFS(Таблица14[Столбец2],Таблица14[коэф],"1,2",Таблица14[р/р],"4/16",Таблица14[Ф. И. О.],B561)</f>
        <v>0</v>
      </c>
      <c r="U560" s="478">
        <f>база!$M$5</f>
        <v>247.41720000000001</v>
      </c>
      <c r="V560" s="390">
        <v>1.2</v>
      </c>
      <c r="W560" s="412">
        <f>SUMIFS(Таблица14[часы],Таблица14[коэф],"1,2",Таблица14[р/р],"4/24",Таблица14[Ф. И. О.],B561)</f>
        <v>0</v>
      </c>
      <c r="X560" s="545">
        <f>SUMIFS(Таблица14[Столбец2],Таблица14[коэф],"1,2",Таблица14[р/р],"4/24",Таблица14[Ф. И. О.],B561)</f>
        <v>0</v>
      </c>
      <c r="Y560" s="795"/>
      <c r="Z560" s="797"/>
      <c r="AA560" s="786"/>
    </row>
    <row r="561" spans="1:29">
      <c r="A561" s="786"/>
      <c r="B561" s="216" t="str">
        <f>база!B52</f>
        <v>Михалочкина Наталья Ивановна</v>
      </c>
      <c r="C561" s="789"/>
      <c r="D561" s="792"/>
      <c r="E561" s="389"/>
      <c r="F561" s="390"/>
      <c r="G561" s="400"/>
      <c r="H561" s="392"/>
      <c r="I561" s="432"/>
      <c r="J561" s="433"/>
      <c r="K561" s="434"/>
      <c r="L561" s="434"/>
      <c r="M561" s="434"/>
      <c r="N561" s="434"/>
      <c r="O561" s="434"/>
      <c r="P561" s="406"/>
      <c r="Q561" s="389">
        <f>база!$L$6</f>
        <v>261.04640000000001</v>
      </c>
      <c r="R561" s="390">
        <v>1.2</v>
      </c>
      <c r="S561" s="400">
        <f>SUMIFS(Таблица14[часы],Таблица14[коэф],"1,2",Таблица14[р/р],"5/16",Таблица14[Ф. И. О.],B561)</f>
        <v>0</v>
      </c>
      <c r="T561" s="392">
        <f>SUMIFS(Таблица14[Столбец2],Таблица14[коэф],"1,2",Таблица14[р/р],"5/16",Таблица14[Ф. И. О.],B561)</f>
        <v>0</v>
      </c>
      <c r="U561" s="478">
        <f>база!$M$6</f>
        <v>279.0496</v>
      </c>
      <c r="V561" s="390">
        <v>1.2</v>
      </c>
      <c r="W561" s="412">
        <f>SUMIFS(Таблица14[часы],Таблица14[коэф],"1,2",Таблица14[р/р],"5/24",Таблица14[Ф. И. О.],B561)</f>
        <v>0</v>
      </c>
      <c r="X561" s="545">
        <f>SUMIFS(Таблица14[Столбец2],Таблица14[коэф],"1,2",Таблица14[р/р],"5/24",Таблица14[Ф. И. О.],B561)</f>
        <v>0</v>
      </c>
      <c r="Y561" s="795"/>
      <c r="Z561" s="797"/>
      <c r="AA561" s="786"/>
      <c r="AC561" s="754" t="str">
        <f>IF(SUMIFS(Таблица14[Столбец2],Таблица14[Ф. И. О.],B561)-Z556=0,"",SUMIFS(Таблица14[Столбец2],Таблица14[Ф. И. О.],B561)-Z556)</f>
        <v/>
      </c>
    </row>
    <row r="562" spans="1:29">
      <c r="A562" s="786"/>
      <c r="B562" s="216"/>
      <c r="C562" s="789"/>
      <c r="D562" s="792"/>
      <c r="E562" s="389"/>
      <c r="F562" s="390"/>
      <c r="G562" s="400"/>
      <c r="H562" s="392"/>
      <c r="I562" s="432"/>
      <c r="J562" s="433"/>
      <c r="K562" s="434"/>
      <c r="L562" s="434"/>
      <c r="M562" s="434"/>
      <c r="N562" s="434"/>
      <c r="O562" s="434"/>
      <c r="P562" s="406"/>
      <c r="Q562" s="389">
        <f>IF($D$6&lt;=3,база!$L$4,
IF($D$6=4,база!$L$5,
IF($D$6=5,база!$L$6)))</f>
        <v>231.45480000000001</v>
      </c>
      <c r="R562" s="390">
        <v>1.3</v>
      </c>
      <c r="S562" s="400">
        <f>SUMIFS(Таблица14[часы],Таблица14[коэф],"1,3",Таблица14[р/р],"3/16",Таблица14[Ф. И. О.],B561)</f>
        <v>0</v>
      </c>
      <c r="T562" s="392">
        <f>SUMIFS(Таблица14[Столбец2],Таблица14[коэф],"1,3",Таблица14[р/р],"3/16",Таблица14[Ф. И. О.],B561)</f>
        <v>0</v>
      </c>
      <c r="U562" s="478">
        <f>IF(D556&lt;=3,база!$M$4,
IF(D556=4,база!$M$5,
IF(D556=5,база!$M$6)))</f>
        <v>225.09719999999999</v>
      </c>
      <c r="V562" s="390">
        <v>1.3</v>
      </c>
      <c r="W562" s="412">
        <f>SUMIFS(Таблица14[часы],Таблица14[коэф],"1,3",Таблица14[р/р],"3/24",Таблица14[Ф. И. О.],B561)</f>
        <v>0</v>
      </c>
      <c r="X562" s="545">
        <f>SUMIFS(Таблица14[Столбец2],Таблица14[коэф],"1,3",Таблица14[р/р],"3/24",Таблица14[Ф. И. О.],B561)</f>
        <v>0</v>
      </c>
      <c r="Y562" s="795"/>
      <c r="Z562" s="797"/>
      <c r="AA562" s="786"/>
      <c r="AC562" s="754" t="str">
        <f>IF(SUMIFS(Таблица14[часы],Таблица14[Ф. И. О.],B561)-Y556=0,"",SUMIFS(Таблица14[часы],Таблица14[Ф. И. О.],B561)-Y556)</f>
        <v/>
      </c>
    </row>
    <row r="563" spans="1:29">
      <c r="A563" s="786"/>
      <c r="B563" s="216"/>
      <c r="C563" s="789"/>
      <c r="D563" s="792"/>
      <c r="E563" s="389"/>
      <c r="F563" s="390"/>
      <c r="G563" s="400"/>
      <c r="H563" s="392"/>
      <c r="I563" s="432"/>
      <c r="J563" s="433"/>
      <c r="K563" s="434"/>
      <c r="L563" s="434"/>
      <c r="M563" s="434"/>
      <c r="N563" s="434"/>
      <c r="O563" s="434"/>
      <c r="P563" s="406"/>
      <c r="Q563" s="389">
        <f>база!$L$5</f>
        <v>231.45480000000001</v>
      </c>
      <c r="R563" s="390">
        <v>1.3</v>
      </c>
      <c r="S563" s="400">
        <f>SUMIFS(Таблица14[часы],Таблица14[коэф],"1,3",Таблица14[р/р],"4/16",Таблица14[Ф. И. О.],B561)</f>
        <v>0</v>
      </c>
      <c r="T563" s="392">
        <f>SUMIFS(Таблица14[Столбец2],Таблица14[коэф],"1,3",Таблица14[р/р],"4/16",Таблица14[Ф. И. О.],B561)</f>
        <v>0</v>
      </c>
      <c r="U563" s="478">
        <f>база!$M$5</f>
        <v>247.41720000000001</v>
      </c>
      <c r="V563" s="390">
        <v>1.3</v>
      </c>
      <c r="W563" s="412">
        <f>SUMIFS(Таблица14[часы],Таблица14[коэф],"1,3",Таблица14[р/р],"4/24",Таблица14[Ф. И. О.],B561)</f>
        <v>0</v>
      </c>
      <c r="X563" s="545">
        <f>SUMIFS(Таблица14[Столбец2],Таблица14[коэф],"1,3",Таблица14[р/р],"4/24",Таблица14[Ф. И. О.],B561)</f>
        <v>0</v>
      </c>
      <c r="Y563" s="795"/>
      <c r="Z563" s="797"/>
      <c r="AA563" s="786"/>
    </row>
    <row r="564" spans="1:29">
      <c r="A564" s="786"/>
      <c r="B564" s="216"/>
      <c r="C564" s="789"/>
      <c r="D564" s="792"/>
      <c r="E564" s="389"/>
      <c r="F564" s="390"/>
      <c r="G564" s="400"/>
      <c r="H564" s="392"/>
      <c r="I564" s="432"/>
      <c r="J564" s="433"/>
      <c r="K564" s="434"/>
      <c r="L564" s="434"/>
      <c r="M564" s="434"/>
      <c r="N564" s="434"/>
      <c r="O564" s="434"/>
      <c r="P564" s="406"/>
      <c r="Q564" s="389">
        <f>IF(D556&lt;=3,база!$L$4,
IF(D556=4,база!$L$5,
IF(D556=5,база!$L$6)))</f>
        <v>210.57480000000001</v>
      </c>
      <c r="R564" s="390">
        <v>1.4</v>
      </c>
      <c r="S564" s="400">
        <f>SUMIFS(Таблица14[часы],Таблица14[коэф],"1,4",Таблица14[р/р],"3/16",Таблица14[Ф. И. О.],B561)</f>
        <v>0</v>
      </c>
      <c r="T564" s="392">
        <f>SUMIFS(Таблица14[Столбец2],Таблица14[коэф],"1,4",Таблица14[р/р],"3/16",Таблица14[Ф. И. О.],B561)</f>
        <v>0</v>
      </c>
      <c r="U564" s="478">
        <f>IF(D556&lt;=3,база!$M$4,
IF(D556=4,база!$M$5,
IF(D556=5,база!$M$6)))</f>
        <v>225.09719999999999</v>
      </c>
      <c r="V564" s="390">
        <v>1.4</v>
      </c>
      <c r="W564" s="412">
        <f>SUMIFS(Таблица14[часы],Таблица14[коэф],"1,4",Таблица14[р/р],"3/24",Таблица14[Ф. И. О.],B561)</f>
        <v>0</v>
      </c>
      <c r="X564" s="545">
        <f>SUMIFS(Таблица14[Столбец2],Таблица14[коэф],"1,4",Таблица14[р/р],"3/24",Таблица14[Ф. И. О.],B561)</f>
        <v>0</v>
      </c>
      <c r="Y564" s="795"/>
      <c r="Z564" s="797"/>
      <c r="AA564" s="786"/>
    </row>
    <row r="565" spans="1:29">
      <c r="A565" s="786"/>
      <c r="B565" s="216"/>
      <c r="C565" s="789"/>
      <c r="D565" s="792"/>
      <c r="E565" s="389"/>
      <c r="F565" s="390"/>
      <c r="G565" s="400"/>
      <c r="H565" s="392"/>
      <c r="I565" s="432"/>
      <c r="J565" s="433"/>
      <c r="K565" s="434"/>
      <c r="L565" s="434"/>
      <c r="M565" s="434"/>
      <c r="N565" s="434"/>
      <c r="O565" s="434"/>
      <c r="P565" s="406"/>
      <c r="Q565" s="389">
        <f>база!$L$5</f>
        <v>231.45480000000001</v>
      </c>
      <c r="R565" s="390">
        <v>1.4</v>
      </c>
      <c r="S565" s="400">
        <f>SUMIFS(Таблица14[часы],Таблица14[коэф],"1,4",Таблица14[р/р],"4/16",Таблица14[Ф. И. О.],B561)</f>
        <v>0</v>
      </c>
      <c r="T565" s="392">
        <f>SUMIFS(Таблица14[Столбец2],Таблица14[коэф],"1,4",Таблица14[р/р],"4/16",Таблица14[Ф. И. О.],B561)</f>
        <v>0</v>
      </c>
      <c r="U565" s="478">
        <f>база!$M$5</f>
        <v>247.41720000000001</v>
      </c>
      <c r="V565" s="390">
        <v>1.4</v>
      </c>
      <c r="W565" s="412">
        <f>SUMIFS(Таблица14[часы],Таблица14[коэф],"1,4",Таблица14[р/р],"4/24",Таблица14[Ф. И. О.],B561)</f>
        <v>0</v>
      </c>
      <c r="X565" s="545">
        <f>SUMIFS(Таблица14[Столбец2],Таблица14[коэф],"1,4",Таблица14[р/р],"4/24",Таблица14[Ф. И. О.],B561)</f>
        <v>0</v>
      </c>
      <c r="Y565" s="795"/>
      <c r="Z565" s="797"/>
      <c r="AA565" s="786"/>
    </row>
    <row r="566" spans="1:29" ht="21" thickBot="1">
      <c r="A566" s="787"/>
      <c r="B566" s="352"/>
      <c r="C566" s="790"/>
      <c r="D566" s="793"/>
      <c r="E566" s="473"/>
      <c r="F566" s="464"/>
      <c r="G566" s="657"/>
      <c r="H566" s="468"/>
      <c r="I566" s="651"/>
      <c r="J566" s="456"/>
      <c r="K566" s="652"/>
      <c r="L566" s="457"/>
      <c r="M566" s="651"/>
      <c r="N566" s="652"/>
      <c r="O566" s="652"/>
      <c r="P566" s="476"/>
      <c r="Q566" s="658">
        <f>база!$L$6</f>
        <v>261.04640000000001</v>
      </c>
      <c r="R566" s="464">
        <v>1.4</v>
      </c>
      <c r="S566" s="465">
        <f>SUMIFS(Таблица14[часы],Таблица14[коэф],"1,4",Таблица14[р/р],"5/16",Таблица14[Ф. И. О.],B561)</f>
        <v>0</v>
      </c>
      <c r="T566" s="468">
        <f>SUMIFS(Таблица14[Столбец2],Таблица14[коэф],"1,4",Таблица14[р/р],"5/16",Таблица14[Ф. И. О.],B561)</f>
        <v>0</v>
      </c>
      <c r="U566" s="463">
        <f>база!$M$6</f>
        <v>279.0496</v>
      </c>
      <c r="V566" s="464">
        <v>1.4</v>
      </c>
      <c r="W566" s="465">
        <f>SUMIFS(Таблица14[часы],Таблица14[коэф],"1,4",Таблица14[р/р],"5/24",Таблица14[Ф. И. О.],B561)</f>
        <v>0</v>
      </c>
      <c r="X566" s="468">
        <f>SUMIFS(Таблица14[Столбец2],Таблица14[коэф],"1,4",Таблица14[р/р],"5/24",Таблица14[Ф. И. О.],B561)</f>
        <v>0</v>
      </c>
      <c r="Y566" s="796"/>
      <c r="Z566" s="798"/>
      <c r="AA566" s="787"/>
    </row>
    <row r="567" spans="1:29">
      <c r="A567" s="786">
        <v>52</v>
      </c>
      <c r="B567" s="216"/>
      <c r="C567" s="788">
        <f>INDEX(база!$E$2:$E$98, MATCH(B572,база!$B$2:$B$100,0))</f>
        <v>15239</v>
      </c>
      <c r="D567" s="791">
        <f>INDEX(база!$D$2:$D$121, MATCH(B572,база!$B$2:$B$100,0))</f>
        <v>3</v>
      </c>
      <c r="E567" s="481">
        <f>IF(D567&lt;=3,база!$I$4,
IF(D567=4,база!$I$5,
IF(D567=5,база!$I$6)))</f>
        <v>188.7912</v>
      </c>
      <c r="F567" s="417">
        <v>1</v>
      </c>
      <c r="G567" s="418">
        <f>SUMIFS(Таблица14[часы],Таблица14[коэф],"1",Таблица14[р/р],"2/4",Таблица14[Ф. И. О.],B572)</f>
        <v>0</v>
      </c>
      <c r="H567" s="402">
        <f>SUMIFS(Таблица14[Столбец2],Таблица14[коэф],"1",Таблица14[р/р],"2/4",Таблица14[Ф. И. О.],B572)</f>
        <v>0</v>
      </c>
      <c r="I567" s="452">
        <f>IF(D567&lt;=3,база!$J$4,
IF(D567=4,база!$J$5,
IF(D567=5,база!$J$6)))</f>
        <v>196.05240000000001</v>
      </c>
      <c r="J567" s="475">
        <v>1</v>
      </c>
      <c r="K567" s="453">
        <f>SUMIFS(Таблица14[часы],Таблица14[коэф],"1",Таблица14[р/р],"2/8",Таблица14[Ф. И. О.],B572)</f>
        <v>0</v>
      </c>
      <c r="L567" s="453">
        <f>SUMIFS(Таблица14[Столбец2],Таблица14[коэф],"1",Таблица14[р/р],"2/8",Таблица14[Ф. И. О.],B572)</f>
        <v>0</v>
      </c>
      <c r="M567" s="453"/>
      <c r="N567" s="453">
        <v>1</v>
      </c>
      <c r="O567" s="453">
        <f>SUMIFS(Data_Tech!$AM$3:$AM$67,Data_Tech!$E$3:$E$67,"1",Data_Tech!$G$3:$G$67,"3/12",Data_Tech!$F$3:$F$67,B572)</f>
        <v>0</v>
      </c>
      <c r="P567" s="398">
        <f>ROUND(M567*N567*O567,2)</f>
        <v>0</v>
      </c>
      <c r="Q567" s="481">
        <f>IF(D567&lt;=3,база!$L$4,
IF(D567=4,база!$L$5,
IF(D567=5,база!$L$6)))</f>
        <v>210.57480000000001</v>
      </c>
      <c r="R567" s="417">
        <v>1</v>
      </c>
      <c r="S567" s="418">
        <f>SUMIFS(Таблица14[часы],Таблица14[коэф],"1",Таблица14[р/р],"3/16",Таблица14[Ф. И. О.],B572)</f>
        <v>0</v>
      </c>
      <c r="T567" s="402">
        <f>SUMIFS(Таблица14[Столбец2],Таблица14[коэф],"1",Таблица14[р/р],"3/16",Таблица14[Ф. И. О.],B572)</f>
        <v>0</v>
      </c>
      <c r="U567" s="483">
        <f>IF(D567&lt;=3,база!$M$4,
IF(D567=4,база!$M$5,
IF(D567=5,база!$M$6)))</f>
        <v>225.09719999999999</v>
      </c>
      <c r="V567" s="417">
        <v>1</v>
      </c>
      <c r="W567" s="455">
        <f>SUMIFS(Таблица14[часы],Таблица14[коэф],"1",Таблица14[р/р],"3/24",Таблица14[Ф. И. О.],B572)</f>
        <v>0</v>
      </c>
      <c r="X567" s="552">
        <f>SUMIFS(Таблица14[Столбец2],Таблица14[коэф],"1",Таблица14[р/р],"3/24",Таблица14[Ф. И. О.],B572)</f>
        <v>0</v>
      </c>
      <c r="Y567" s="795">
        <f t="shared" ref="Y567" si="242">SUM(G567:G577,K567:K577,O567:O577,S567:S577,W567:W577)</f>
        <v>0</v>
      </c>
      <c r="Z567" s="797">
        <f t="shared" ref="Z567" si="243">IFERROR(SUM(H567:H577,L567:L577,T567:T577,X567:X577),"")</f>
        <v>0</v>
      </c>
      <c r="AA567" s="786"/>
    </row>
    <row r="568" spans="1:29">
      <c r="A568" s="786"/>
      <c r="B568" s="216"/>
      <c r="C568" s="789"/>
      <c r="D568" s="792"/>
      <c r="E568" s="389">
        <f>IF(D567&lt;=3,база!$I$4,
IF(D567=4,база!$I$5,
IF(D567=5,база!$I$6)))</f>
        <v>188.7912</v>
      </c>
      <c r="F568" s="390">
        <v>1</v>
      </c>
      <c r="G568" s="400">
        <f>SUMIFS(Таблица14[часы],Таблица14[коэф],"1",Таблица14[р/р],"3/4",Таблица14[Ф. И. О.],B572)</f>
        <v>0</v>
      </c>
      <c r="H568" s="392">
        <f>SUMIFS(Таблица14[Столбец2],Таблица14[коэф],"1",Таблица14[р/р],"3/4",Таблица14[Ф. И. О.],B572)</f>
        <v>0</v>
      </c>
      <c r="I568" s="432">
        <f>IF(D567&lt;=3,база!$J$4,
IF(D567=4,база!$J$5,
IF(D567=5,база!$J$6)))</f>
        <v>196.05240000000001</v>
      </c>
      <c r="J568" s="433">
        <v>1</v>
      </c>
      <c r="K568" s="434">
        <f>SUMIFS(Таблица14[часы],Таблица14[коэф],"1",Таблица14[р/р],"3/8",Таблица14[Ф. И. О.],B572)</f>
        <v>0</v>
      </c>
      <c r="L568" s="434">
        <f>SUMIFS(Таблица14[Столбец2],Таблица14[коэф],"1",Таблица14[р/р],"3/8",Таблица14[Ф. И. О.],B572)</f>
        <v>0</v>
      </c>
      <c r="M568" s="434"/>
      <c r="N568" s="434">
        <v>1</v>
      </c>
      <c r="O568" s="434">
        <f>SUMIFS(Data_Tech!$AM$3:$AM$67,Data_Tech!$E$3:$E$67,"1",Data_Tech!$G$3:$G$67,"4/12",Data_Tech!$F$3:$F$67,B572)</f>
        <v>0</v>
      </c>
      <c r="P568" s="406">
        <f>ROUND(M568*O568,2)</f>
        <v>0</v>
      </c>
      <c r="Q568" s="389">
        <f>база!$L$5</f>
        <v>231.45480000000001</v>
      </c>
      <c r="R568" s="390">
        <v>1</v>
      </c>
      <c r="S568" s="400">
        <f>SUMIFS(Таблица14[часы],Таблица14[коэф],"1",Таблица14[р/р],"4/16",Таблица14[Ф. И. О.],B572)</f>
        <v>0</v>
      </c>
      <c r="T568" s="392">
        <f>SUMIFS(Таблица14[Столбец2],Таблица14[коэф],"1",Таблица14[р/р],"4/16",Таблица14[Ф. И. О.],B572)</f>
        <v>0</v>
      </c>
      <c r="U568" s="478">
        <f>база!$M$5</f>
        <v>247.41720000000001</v>
      </c>
      <c r="V568" s="390">
        <v>1</v>
      </c>
      <c r="W568" s="412">
        <f>SUMIFS(Таблица14[часы],Таблица14[коэф],"1",Таблица14[р/р],"4/24",Таблица14[Ф. И. О.],B572)</f>
        <v>0</v>
      </c>
      <c r="X568" s="545">
        <f>SUMIFS(Таблица14[Столбец2],Таблица14[коэф],"1",Таблица14[р/р],"4/24",Таблица14[Ф. И. О.],B572)</f>
        <v>0</v>
      </c>
      <c r="Y568" s="795"/>
      <c r="Z568" s="797"/>
      <c r="AA568" s="786"/>
    </row>
    <row r="569" spans="1:29">
      <c r="A569" s="786"/>
      <c r="B569" s="216"/>
      <c r="C569" s="789"/>
      <c r="D569" s="792"/>
      <c r="E569" s="389"/>
      <c r="F569" s="390"/>
      <c r="G569" s="400"/>
      <c r="H569" s="392"/>
      <c r="I569" s="432"/>
      <c r="J569" s="433"/>
      <c r="K569" s="434"/>
      <c r="L569" s="434"/>
      <c r="M569" s="434"/>
      <c r="N569" s="434"/>
      <c r="O569" s="434"/>
      <c r="P569" s="406"/>
      <c r="Q569" s="389">
        <f>база!$L$6</f>
        <v>261.04640000000001</v>
      </c>
      <c r="R569" s="390">
        <v>1</v>
      </c>
      <c r="S569" s="400">
        <f>SUMIFS(Таблица14[часы],Таблица14[коэф],"1",Таблица14[р/р],"5/16",Таблица14[Ф. И. О.],B572)</f>
        <v>0</v>
      </c>
      <c r="T569" s="392">
        <f>SUMIFS(Таблица14[Столбец2],Таблица14[коэф],"1",Таблица14[р/р],"5/16",Таблица14[Ф. И. О.],B572)</f>
        <v>0</v>
      </c>
      <c r="U569" s="478">
        <f>база!$M$6</f>
        <v>279.0496</v>
      </c>
      <c r="V569" s="390">
        <v>1</v>
      </c>
      <c r="W569" s="412">
        <f>SUMIFS(Таблица14[часы],Таблица14[коэф],"1",Таблица14[р/р],"5/24",Таблица14[Ф. И. О.],B572)</f>
        <v>0</v>
      </c>
      <c r="X569" s="545">
        <f>SUMIFS(Таблица14[Столбец2],Таблица14[коэф],"1",Таблица14[р/р],"5/24",Таблица14[Ф. И. О.],B572)</f>
        <v>0</v>
      </c>
      <c r="Y569" s="795"/>
      <c r="Z569" s="797"/>
      <c r="AA569" s="786"/>
    </row>
    <row r="570" spans="1:29">
      <c r="A570" s="786"/>
      <c r="B570" s="216"/>
      <c r="C570" s="789"/>
      <c r="D570" s="792"/>
      <c r="E570" s="389"/>
      <c r="F570" s="390"/>
      <c r="G570" s="400"/>
      <c r="H570" s="392"/>
      <c r="I570" s="432">
        <f>база!$J$5</f>
        <v>215.4924</v>
      </c>
      <c r="J570" s="433">
        <v>1.5</v>
      </c>
      <c r="K570" s="434">
        <f>SUMIFS(Таблица14[часы],Таблица14[коэф],"1,5",Таблица14[р/р],"4/8",Таблица14[Ф. И. О.],B572)</f>
        <v>0</v>
      </c>
      <c r="L570" s="434">
        <f>SUMIFS(Таблица14[Столбец2],Таблица14[коэф],"1,5",Таблица14[р/р],"4/8",Таблица14[Ф. И. О.],B572)</f>
        <v>0</v>
      </c>
      <c r="M570" s="434"/>
      <c r="N570" s="434"/>
      <c r="O570" s="434"/>
      <c r="P570" s="406"/>
      <c r="Q570" s="389">
        <f>IF(D567&lt;=3,база!$L$4,
IF(D567=4,база!$L$5,
IF(D567=5,база!$L$6)))</f>
        <v>210.57480000000001</v>
      </c>
      <c r="R570" s="390">
        <v>1.2</v>
      </c>
      <c r="S570" s="400">
        <f>SUMIFS(Таблица14[часы],Таблица14[коэф],"1,2",Таблица14[р/р],"3/16",Таблица14[Ф. И. О.],B572)</f>
        <v>0</v>
      </c>
      <c r="T570" s="392">
        <f>SUMIFS(Таблица14[Столбец2],Таблица14[коэф],"1,2",Таблица14[р/р],"3/16",Таблица14[Ф. И. О.],B572)</f>
        <v>0</v>
      </c>
      <c r="U570" s="478">
        <f>IF(D567&lt;=3,база!$M$4,
IF(D567=4,база!$M$5,
IF(D567=5,база!$M$6)))</f>
        <v>225.09719999999999</v>
      </c>
      <c r="V570" s="390">
        <v>1.2</v>
      </c>
      <c r="W570" s="412">
        <f>SUMIFS(Таблица14[часы],Таблица14[коэф],"1,2",Таблица14[р/р],"3/24",Таблица14[Ф. И. О.],B572)</f>
        <v>0</v>
      </c>
      <c r="X570" s="545">
        <f>SUMIFS(Таблица14[Столбец2],Таблица14[коэф],"1,2",Таблица14[р/р],"3/24",Таблица14[Ф. И. О.],B572)</f>
        <v>0</v>
      </c>
      <c r="Y570" s="795"/>
      <c r="Z570" s="797"/>
      <c r="AA570" s="786"/>
    </row>
    <row r="571" spans="1:29">
      <c r="A571" s="786"/>
      <c r="B571" s="216"/>
      <c r="C571" s="789"/>
      <c r="D571" s="792"/>
      <c r="E571" s="389"/>
      <c r="F571" s="390"/>
      <c r="G571" s="400"/>
      <c r="H571" s="392"/>
      <c r="I571" s="432">
        <f>база!$J$6</f>
        <v>243.04319999999998</v>
      </c>
      <c r="J571" s="433">
        <v>1.5</v>
      </c>
      <c r="K571" s="434">
        <f>SUMIFS(Таблица14[часы],Таблица14[коэф],"1,5",Таблица14[р/р],"5/8",Таблица14[Ф. И. О.],B572)</f>
        <v>0</v>
      </c>
      <c r="L571" s="434">
        <f>SUMIFS(Таблица14[Столбец2],Таблица14[коэф],"1,5",Таблица14[р/р],"5/8",Таблица14[Ф. И. О.],B572)</f>
        <v>0</v>
      </c>
      <c r="M571" s="434"/>
      <c r="N571" s="434"/>
      <c r="O571" s="434"/>
      <c r="P571" s="406"/>
      <c r="Q571" s="389">
        <f>база!$L$5</f>
        <v>231.45480000000001</v>
      </c>
      <c r="R571" s="390">
        <v>1.2</v>
      </c>
      <c r="S571" s="400">
        <f>SUMIFS(Таблица14[часы],Таблица14[коэф],"1,2",Таблица14[р/р],"4/16",Таблица14[Ф. И. О.],B572)</f>
        <v>0</v>
      </c>
      <c r="T571" s="392">
        <f>SUMIFS(Таблица14[Столбец2],Таблица14[коэф],"1,2",Таблица14[р/р],"4/16",Таблица14[Ф. И. О.],B572)</f>
        <v>0</v>
      </c>
      <c r="U571" s="478">
        <f>база!$M$5</f>
        <v>247.41720000000001</v>
      </c>
      <c r="V571" s="390">
        <v>1.2</v>
      </c>
      <c r="W571" s="412">
        <f>SUMIFS(Таблица14[часы],Таблица14[коэф],"1,2",Таблица14[р/р],"4/24",Таблица14[Ф. И. О.],B572)</f>
        <v>0</v>
      </c>
      <c r="X571" s="545">
        <f>SUMIFS(Таблица14[Столбец2],Таблица14[коэф],"1,2",Таблица14[р/р],"4/24",Таблица14[Ф. И. О.],B572)</f>
        <v>0</v>
      </c>
      <c r="Y571" s="795"/>
      <c r="Z571" s="797"/>
      <c r="AA571" s="786"/>
      <c r="AC571" s="754" t="str">
        <f>IF(SUMIFS(Таблица14[Столбец2],Таблица14[Ф. И. О.],B572)-Z567=0,"",SUMIFS(Таблица14[Столбец2],Таблица14[Ф. И. О.],B572)-Z567)</f>
        <v/>
      </c>
    </row>
    <row r="572" spans="1:29">
      <c r="A572" s="786"/>
      <c r="B572" s="216" t="str">
        <f>база!B53</f>
        <v>Михно Татьяна Николаевна</v>
      </c>
      <c r="C572" s="789"/>
      <c r="D572" s="792"/>
      <c r="E572" s="389"/>
      <c r="F572" s="390"/>
      <c r="G572" s="400"/>
      <c r="H572" s="392"/>
      <c r="I572" s="432"/>
      <c r="J572" s="433"/>
      <c r="K572" s="434"/>
      <c r="L572" s="434"/>
      <c r="M572" s="434"/>
      <c r="N572" s="434"/>
      <c r="O572" s="434"/>
      <c r="P572" s="406"/>
      <c r="Q572" s="389">
        <f>база!$L$6</f>
        <v>261.04640000000001</v>
      </c>
      <c r="R572" s="390">
        <v>1.2</v>
      </c>
      <c r="S572" s="400">
        <f>SUMIFS(Таблица14[часы],Таблица14[коэф],"1,2",Таблица14[р/р],"5/16",Таблица14[Ф. И. О.],B572)</f>
        <v>0</v>
      </c>
      <c r="T572" s="392">
        <f>SUMIFS(Таблица14[Столбец2],Таблица14[коэф],"1,2",Таблица14[р/р],"5/16",Таблица14[Ф. И. О.],B572)</f>
        <v>0</v>
      </c>
      <c r="U572" s="478">
        <f>база!$M$6</f>
        <v>279.0496</v>
      </c>
      <c r="V572" s="390">
        <v>1.2</v>
      </c>
      <c r="W572" s="412">
        <f>SUMIFS(Таблица14[часы],Таблица14[коэф],"1,2",Таблица14[р/р],"5/24",Таблица14[Ф. И. О.],B572)</f>
        <v>0</v>
      </c>
      <c r="X572" s="545">
        <f>SUMIFS(Таблица14[Столбец2],Таблица14[коэф],"1,2",Таблица14[р/р],"5/24",Таблица14[Ф. И. О.],B572)</f>
        <v>0</v>
      </c>
      <c r="Y572" s="795"/>
      <c r="Z572" s="797"/>
      <c r="AA572" s="786"/>
      <c r="AC572" s="754" t="str">
        <f>IF(SUMIFS(Таблица14[часы],Таблица14[Ф. И. О.],B572)-Y567=0,"",SUMIFS(Таблица14[часы],Таблица14[Ф. И. О.],B572)-Y567)</f>
        <v/>
      </c>
    </row>
    <row r="573" spans="1:29">
      <c r="A573" s="786"/>
      <c r="B573" s="216"/>
      <c r="C573" s="789"/>
      <c r="D573" s="792"/>
      <c r="E573" s="389"/>
      <c r="F573" s="390"/>
      <c r="G573" s="400"/>
      <c r="H573" s="392"/>
      <c r="I573" s="432"/>
      <c r="J573" s="433"/>
      <c r="K573" s="434"/>
      <c r="L573" s="434"/>
      <c r="M573" s="434"/>
      <c r="N573" s="434"/>
      <c r="O573" s="434"/>
      <c r="P573" s="406"/>
      <c r="Q573" s="389">
        <f>IF($D$6&lt;=3,база!$L$4,
IF($D$6=4,база!$L$5,
IF($D$6=5,база!$L$6)))</f>
        <v>231.45480000000001</v>
      </c>
      <c r="R573" s="390">
        <v>1.3</v>
      </c>
      <c r="S573" s="400">
        <f>SUMIFS(Таблица14[часы],Таблица14[коэф],"1,3",Таблица14[р/р],"3/16",Таблица14[Ф. И. О.],B572)</f>
        <v>0</v>
      </c>
      <c r="T573" s="392">
        <f>SUMIFS(Таблица14[Столбец2],Таблица14[коэф],"1,3",Таблица14[р/р],"3/16",Таблица14[Ф. И. О.],B572)</f>
        <v>0</v>
      </c>
      <c r="U573" s="478">
        <f>IF(D567&lt;=3,база!$M$4,
IF(D567=4,база!$M$5,
IF(D567=5,база!$M$6)))</f>
        <v>225.09719999999999</v>
      </c>
      <c r="V573" s="390">
        <v>1.3</v>
      </c>
      <c r="W573" s="412">
        <f>SUMIFS(Таблица14[часы],Таблица14[коэф],"1,3",Таблица14[р/р],"3/24",Таблица14[Ф. И. О.],B572)</f>
        <v>0</v>
      </c>
      <c r="X573" s="545">
        <f>SUMIFS(Таблица14[Столбец2],Таблица14[коэф],"1,3",Таблица14[р/р],"3/24",Таблица14[Ф. И. О.],B572)</f>
        <v>0</v>
      </c>
      <c r="Y573" s="795"/>
      <c r="Z573" s="797"/>
      <c r="AA573" s="786"/>
    </row>
    <row r="574" spans="1:29">
      <c r="A574" s="786"/>
      <c r="B574" s="216"/>
      <c r="C574" s="789"/>
      <c r="D574" s="792"/>
      <c r="E574" s="389"/>
      <c r="F574" s="390"/>
      <c r="G574" s="400"/>
      <c r="H574" s="392"/>
      <c r="I574" s="432"/>
      <c r="J574" s="433"/>
      <c r="K574" s="434"/>
      <c r="L574" s="434"/>
      <c r="M574" s="434"/>
      <c r="N574" s="434"/>
      <c r="O574" s="434"/>
      <c r="P574" s="406"/>
      <c r="Q574" s="389">
        <f>база!$L$5</f>
        <v>231.45480000000001</v>
      </c>
      <c r="R574" s="390">
        <v>1.3</v>
      </c>
      <c r="S574" s="400">
        <f>SUMIFS(Таблица14[часы],Таблица14[коэф],"1,3",Таблица14[р/р],"4/16",Таблица14[Ф. И. О.],B572)</f>
        <v>0</v>
      </c>
      <c r="T574" s="392">
        <f>SUMIFS(Таблица14[Столбец2],Таблица14[коэф],"1,3",Таблица14[р/р],"4/16",Таблица14[Ф. И. О.],B572)</f>
        <v>0</v>
      </c>
      <c r="U574" s="478">
        <f>база!$M$5</f>
        <v>247.41720000000001</v>
      </c>
      <c r="V574" s="390">
        <v>1.3</v>
      </c>
      <c r="W574" s="412">
        <f>SUMIFS(Таблица14[часы],Таблица14[коэф],"1,3",Таблица14[р/р],"4/24",Таблица14[Ф. И. О.],B572)</f>
        <v>0</v>
      </c>
      <c r="X574" s="545">
        <f>SUMIFS(Таблица14[Столбец2],Таблица14[коэф],"1,3",Таблица14[р/р],"4/24",Таблица14[Ф. И. О.],B572)</f>
        <v>0</v>
      </c>
      <c r="Y574" s="795"/>
      <c r="Z574" s="797"/>
      <c r="AA574" s="786"/>
    </row>
    <row r="575" spans="1:29">
      <c r="A575" s="786"/>
      <c r="B575" s="216"/>
      <c r="C575" s="789"/>
      <c r="D575" s="792"/>
      <c r="E575" s="389"/>
      <c r="F575" s="390"/>
      <c r="G575" s="400"/>
      <c r="H575" s="392"/>
      <c r="I575" s="432"/>
      <c r="J575" s="433"/>
      <c r="K575" s="434"/>
      <c r="L575" s="434"/>
      <c r="M575" s="434"/>
      <c r="N575" s="434"/>
      <c r="O575" s="434"/>
      <c r="P575" s="406"/>
      <c r="Q575" s="389">
        <f>IF(D567&lt;=3,база!$L$4,
IF(D567=4,база!$L$5,
IF(D567=5,база!$L$6)))</f>
        <v>210.57480000000001</v>
      </c>
      <c r="R575" s="390">
        <v>1.4</v>
      </c>
      <c r="S575" s="400">
        <f>SUMIFS(Таблица14[часы],Таблица14[коэф],"1,4",Таблица14[р/р],"3/16",Таблица14[Ф. И. О.],B572)</f>
        <v>0</v>
      </c>
      <c r="T575" s="392">
        <f>SUMIFS(Таблица14[Столбец2],Таблица14[коэф],"1,4",Таблица14[р/р],"3/16",Таблица14[Ф. И. О.],B572)</f>
        <v>0</v>
      </c>
      <c r="U575" s="478">
        <f>IF(D567&lt;=3,база!$M$4,
IF(D567=4,база!$M$5,
IF(D567=5,база!$M$6)))</f>
        <v>225.09719999999999</v>
      </c>
      <c r="V575" s="390">
        <v>1.4</v>
      </c>
      <c r="W575" s="412">
        <f>SUMIFS(Таблица14[часы],Таблица14[коэф],"1,4",Таблица14[р/р],"3/24",Таблица14[Ф. И. О.],B572)</f>
        <v>0</v>
      </c>
      <c r="X575" s="545">
        <f>SUMIFS(Таблица14[Столбец2],Таблица14[коэф],"1,4",Таблица14[р/р],"3/24",Таблица14[Ф. И. О.],B572)</f>
        <v>0</v>
      </c>
      <c r="Y575" s="795"/>
      <c r="Z575" s="797"/>
      <c r="AA575" s="786"/>
    </row>
    <row r="576" spans="1:29">
      <c r="A576" s="786"/>
      <c r="B576" s="216"/>
      <c r="C576" s="789"/>
      <c r="D576" s="792"/>
      <c r="E576" s="389"/>
      <c r="F576" s="390"/>
      <c r="G576" s="400"/>
      <c r="H576" s="392"/>
      <c r="I576" s="432"/>
      <c r="J576" s="433"/>
      <c r="K576" s="434"/>
      <c r="L576" s="434"/>
      <c r="M576" s="434"/>
      <c r="N576" s="434"/>
      <c r="O576" s="434"/>
      <c r="P576" s="406"/>
      <c r="Q576" s="389">
        <f>база!$L$5</f>
        <v>231.45480000000001</v>
      </c>
      <c r="R576" s="390">
        <v>1.4</v>
      </c>
      <c r="S576" s="400">
        <f>SUMIFS(Таблица14[часы],Таблица14[коэф],"1,4",Таблица14[р/р],"4/16",Таблица14[Ф. И. О.],B572)</f>
        <v>0</v>
      </c>
      <c r="T576" s="392">
        <f>SUMIFS(Таблица14[Столбец2],Таблица14[коэф],"1,4",Таблица14[р/р],"4/16",Таблица14[Ф. И. О.],B572)</f>
        <v>0</v>
      </c>
      <c r="U576" s="478">
        <f>база!$M$5</f>
        <v>247.41720000000001</v>
      </c>
      <c r="V576" s="390">
        <v>1.4</v>
      </c>
      <c r="W576" s="412">
        <f>SUMIFS(Таблица14[часы],Таблица14[коэф],"1,4",Таблица14[р/р],"4/24",Таблица14[Ф. И. О.],B572)</f>
        <v>0</v>
      </c>
      <c r="X576" s="545">
        <f>SUMIFS(Таблица14[Столбец2],Таблица14[коэф],"1,4",Таблица14[р/р],"4/24",Таблица14[Ф. И. О.],B572)</f>
        <v>0</v>
      </c>
      <c r="Y576" s="795"/>
      <c r="Z576" s="797"/>
      <c r="AA576" s="786"/>
    </row>
    <row r="577" spans="1:29" ht="21" thickBot="1">
      <c r="A577" s="787"/>
      <c r="B577" s="352"/>
      <c r="C577" s="790"/>
      <c r="D577" s="793"/>
      <c r="E577" s="473"/>
      <c r="F577" s="464"/>
      <c r="G577" s="657"/>
      <c r="H577" s="468"/>
      <c r="I577" s="651"/>
      <c r="J577" s="456"/>
      <c r="K577" s="652"/>
      <c r="L577" s="457"/>
      <c r="M577" s="651"/>
      <c r="N577" s="652"/>
      <c r="O577" s="652"/>
      <c r="P577" s="476"/>
      <c r="Q577" s="658">
        <f>база!$L$6</f>
        <v>261.04640000000001</v>
      </c>
      <c r="R577" s="464">
        <v>1.4</v>
      </c>
      <c r="S577" s="465">
        <f>SUMIFS(Таблица14[часы],Таблица14[коэф],"1,4",Таблица14[р/р],"5/16",Таблица14[Ф. И. О.],B572)</f>
        <v>0</v>
      </c>
      <c r="T577" s="468">
        <f>SUMIFS(Таблица14[Столбец2],Таблица14[коэф],"1,4",Таблица14[р/р],"5/16",Таблица14[Ф. И. О.],B572)</f>
        <v>0</v>
      </c>
      <c r="U577" s="463">
        <f>база!$M$6</f>
        <v>279.0496</v>
      </c>
      <c r="V577" s="464">
        <v>1.4</v>
      </c>
      <c r="W577" s="465">
        <f>SUMIFS(Таблица14[часы],Таблица14[коэф],"1,4",Таблица14[р/р],"5/24",Таблица14[Ф. И. О.],B572)</f>
        <v>0</v>
      </c>
      <c r="X577" s="468">
        <f>SUMIFS(Таблица14[Столбец2],Таблица14[коэф],"1,4",Таблица14[р/р],"5/24",Таблица14[Ф. И. О.],B572)</f>
        <v>0</v>
      </c>
      <c r="Y577" s="796"/>
      <c r="Z577" s="798"/>
      <c r="AA577" s="787"/>
    </row>
    <row r="578" spans="1:29">
      <c r="A578" s="786">
        <v>53</v>
      </c>
      <c r="B578" s="216"/>
      <c r="C578" s="788">
        <f>INDEX(база!$E$2:$E$98, MATCH(B583,база!$B$2:$B$100,0))</f>
        <v>17354</v>
      </c>
      <c r="D578" s="791">
        <f>INDEX(база!$D$2:$D$121, MATCH(B583,база!$B$2:$B$100,0))</f>
        <v>3</v>
      </c>
      <c r="E578" s="481">
        <f>IF(D578&lt;=3,база!$I$4,
IF(D578=4,база!$I$5,
IF(D578=5,база!$I$6)))</f>
        <v>188.7912</v>
      </c>
      <c r="F578" s="417">
        <v>1</v>
      </c>
      <c r="G578" s="418">
        <f>SUMIFS(Таблица14[часы],Таблица14[коэф],"1",Таблица14[р/р],"2/4",Таблица14[Ф. И. О.],B583)</f>
        <v>0</v>
      </c>
      <c r="H578" s="402">
        <f>SUMIFS(Таблица14[Столбец2],Таблица14[коэф],"1",Таблица14[р/р],"2/4",Таблица14[Ф. И. О.],B583)</f>
        <v>0</v>
      </c>
      <c r="I578" s="452">
        <f>IF(D578&lt;=3,база!$J$4,
IF(D578=4,база!$J$5,
IF(D578=5,база!$J$6)))</f>
        <v>196.05240000000001</v>
      </c>
      <c r="J578" s="475">
        <v>1</v>
      </c>
      <c r="K578" s="453">
        <f>SUMIFS(Таблица14[часы],Таблица14[коэф],"1",Таблица14[р/р],"2/8",Таблица14[Ф. И. О.],B583)</f>
        <v>0</v>
      </c>
      <c r="L578" s="453">
        <f>SUMIFS(Таблица14[Столбец2],Таблица14[коэф],"1",Таблица14[р/р],"2/8",Таблица14[Ф. И. О.],B583)</f>
        <v>0</v>
      </c>
      <c r="M578" s="453"/>
      <c r="N578" s="453">
        <v>1</v>
      </c>
      <c r="O578" s="453">
        <f>SUMIFS(Data_Tech!$AM$3:$AM$67,Data_Tech!$E$3:$E$67,"1",Data_Tech!$G$3:$G$67,"3/12",Data_Tech!$F$3:$F$67,B583)</f>
        <v>0</v>
      </c>
      <c r="P578" s="398">
        <f>ROUND(M578*N578*O578,2)</f>
        <v>0</v>
      </c>
      <c r="Q578" s="481">
        <f>IF(D578&lt;=3,база!$L$4,
IF(D578=4,база!$L$5,
IF(D578=5,база!$L$6)))</f>
        <v>210.57480000000001</v>
      </c>
      <c r="R578" s="417">
        <v>1</v>
      </c>
      <c r="S578" s="418">
        <f>SUMIFS(Таблица14[часы],Таблица14[коэф],"1",Таблица14[р/р],"3/16",Таблица14[Ф. И. О.],B583)</f>
        <v>0</v>
      </c>
      <c r="T578" s="402">
        <f>SUMIFS(Таблица14[Столбец2],Таблица14[коэф],"1",Таблица14[р/р],"3/16",Таблица14[Ф. И. О.],B583)</f>
        <v>0</v>
      </c>
      <c r="U578" s="483">
        <f>IF(D578&lt;=3,база!$M$4,
IF(D578=4,база!$M$5,
IF(D578=5,база!$M$6)))</f>
        <v>225.09719999999999</v>
      </c>
      <c r="V578" s="417">
        <v>1</v>
      </c>
      <c r="W578" s="455">
        <f>SUMIFS(Таблица14[часы],Таблица14[коэф],"1",Таблица14[р/р],"3/24",Таблица14[Ф. И. О.],B583)</f>
        <v>0</v>
      </c>
      <c r="X578" s="552">
        <f>SUMIFS(Таблица14[Столбец2],Таблица14[коэф],"1",Таблица14[р/р],"3/24",Таблица14[Ф. И. О.],B583)</f>
        <v>0</v>
      </c>
      <c r="Y578" s="795">
        <f t="shared" ref="Y578" si="244">SUM(G578:G588,K578:K588,O578:O588,S578:S588,W578:W588)</f>
        <v>0</v>
      </c>
      <c r="Z578" s="797">
        <f t="shared" ref="Z578" si="245">IFERROR(SUM(H578:H588,L578:L588,T578:T588,X578:X588),"")</f>
        <v>0</v>
      </c>
      <c r="AA578" s="786"/>
    </row>
    <row r="579" spans="1:29">
      <c r="A579" s="786"/>
      <c r="B579" s="216"/>
      <c r="C579" s="789"/>
      <c r="D579" s="792"/>
      <c r="E579" s="389">
        <f>IF(D578&lt;=3,база!$I$4,
IF(D578=4,база!$I$5,
IF(D578=5,база!$I$6)))</f>
        <v>188.7912</v>
      </c>
      <c r="F579" s="390">
        <v>1</v>
      </c>
      <c r="G579" s="400">
        <f>SUMIFS(Таблица14[часы],Таблица14[коэф],"1",Таблица14[р/р],"3/4",Таблица14[Ф. И. О.],B583)</f>
        <v>0</v>
      </c>
      <c r="H579" s="392">
        <f>SUMIFS(Таблица14[Столбец2],Таблица14[коэф],"1",Таблица14[р/р],"3/4",Таблица14[Ф. И. О.],B583)</f>
        <v>0</v>
      </c>
      <c r="I579" s="432">
        <f>IF(D578&lt;=3,база!$J$4,
IF(D578=4,база!$J$5,
IF(D578=5,база!$J$6)))</f>
        <v>196.05240000000001</v>
      </c>
      <c r="J579" s="433">
        <v>1</v>
      </c>
      <c r="K579" s="434">
        <f>SUMIFS(Таблица14[часы],Таблица14[коэф],"1",Таблица14[р/р],"3/8",Таблица14[Ф. И. О.],B583)</f>
        <v>0</v>
      </c>
      <c r="L579" s="434">
        <f>SUMIFS(Таблица14[Столбец2],Таблица14[коэф],"1",Таблица14[р/р],"3/8",Таблица14[Ф. И. О.],B583)</f>
        <v>0</v>
      </c>
      <c r="M579" s="434"/>
      <c r="N579" s="434">
        <v>1</v>
      </c>
      <c r="O579" s="434">
        <f>SUMIFS(Data_Tech!$AM$3:$AM$67,Data_Tech!$E$3:$E$67,"1",Data_Tech!$G$3:$G$67,"4/12",Data_Tech!$F$3:$F$67,B583)</f>
        <v>0</v>
      </c>
      <c r="P579" s="406">
        <f>ROUND(M579*O579,2)</f>
        <v>0</v>
      </c>
      <c r="Q579" s="389">
        <f>база!$L$5</f>
        <v>231.45480000000001</v>
      </c>
      <c r="R579" s="390">
        <v>1</v>
      </c>
      <c r="S579" s="400">
        <f>SUMIFS(Таблица14[часы],Таблица14[коэф],"1",Таблица14[р/р],"4/16",Таблица14[Ф. И. О.],B583)</f>
        <v>0</v>
      </c>
      <c r="T579" s="392">
        <f>SUMIFS(Таблица14[Столбец2],Таблица14[коэф],"1",Таблица14[р/р],"4/16",Таблица14[Ф. И. О.],B583)</f>
        <v>0</v>
      </c>
      <c r="U579" s="478">
        <f>база!$M$5</f>
        <v>247.41720000000001</v>
      </c>
      <c r="V579" s="390">
        <v>1</v>
      </c>
      <c r="W579" s="412">
        <f>SUMIFS(Таблица14[часы],Таблица14[коэф],"1",Таблица14[р/р],"4/24",Таблица14[Ф. И. О.],B583)</f>
        <v>0</v>
      </c>
      <c r="X579" s="545">
        <f>SUMIFS(Таблица14[Столбец2],Таблица14[коэф],"1",Таблица14[р/р],"4/24",Таблица14[Ф. И. О.],B583)</f>
        <v>0</v>
      </c>
      <c r="Y579" s="795"/>
      <c r="Z579" s="797"/>
      <c r="AA579" s="786"/>
    </row>
    <row r="580" spans="1:29">
      <c r="A580" s="786"/>
      <c r="B580" s="216"/>
      <c r="C580" s="789"/>
      <c r="D580" s="792"/>
      <c r="E580" s="389"/>
      <c r="F580" s="390"/>
      <c r="G580" s="400"/>
      <c r="H580" s="392"/>
      <c r="I580" s="432"/>
      <c r="J580" s="433"/>
      <c r="K580" s="434"/>
      <c r="L580" s="434"/>
      <c r="M580" s="434"/>
      <c r="N580" s="434"/>
      <c r="O580" s="434"/>
      <c r="P580" s="406"/>
      <c r="Q580" s="389">
        <f>база!$L$6</f>
        <v>261.04640000000001</v>
      </c>
      <c r="R580" s="390">
        <v>1</v>
      </c>
      <c r="S580" s="400">
        <f>SUMIFS(Таблица14[часы],Таблица14[коэф],"1",Таблица14[р/р],"5/16",Таблица14[Ф. И. О.],B583)</f>
        <v>0</v>
      </c>
      <c r="T580" s="392">
        <f>SUMIFS(Таблица14[Столбец2],Таблица14[коэф],"1",Таблица14[р/р],"5/16",Таблица14[Ф. И. О.],B583)</f>
        <v>0</v>
      </c>
      <c r="U580" s="478">
        <f>база!$M$6</f>
        <v>279.0496</v>
      </c>
      <c r="V580" s="390">
        <v>1</v>
      </c>
      <c r="W580" s="412">
        <f>SUMIFS(Таблица14[часы],Таблица14[коэф],"1",Таблица14[р/р],"5/24",Таблица14[Ф. И. О.],B583)</f>
        <v>0</v>
      </c>
      <c r="X580" s="545">
        <f>SUMIFS(Таблица14[Столбец2],Таблица14[коэф],"1",Таблица14[р/р],"5/24",Таблица14[Ф. И. О.],B583)</f>
        <v>0</v>
      </c>
      <c r="Y580" s="795"/>
      <c r="Z580" s="797"/>
      <c r="AA580" s="786"/>
    </row>
    <row r="581" spans="1:29">
      <c r="A581" s="786"/>
      <c r="B581" s="216"/>
      <c r="C581" s="789"/>
      <c r="D581" s="792"/>
      <c r="E581" s="389"/>
      <c r="F581" s="390"/>
      <c r="G581" s="400"/>
      <c r="H581" s="392"/>
      <c r="I581" s="432">
        <f>база!$J$5</f>
        <v>215.4924</v>
      </c>
      <c r="J581" s="433">
        <v>1.5</v>
      </c>
      <c r="K581" s="434">
        <f>SUMIFS(Таблица14[часы],Таблица14[коэф],"1,5",Таблица14[р/р],"4/8",Таблица14[Ф. И. О.],B583)</f>
        <v>0</v>
      </c>
      <c r="L581" s="434">
        <f>SUMIFS(Таблица14[Столбец2],Таблица14[коэф],"1,5",Таблица14[р/р],"4/8",Таблица14[Ф. И. О.],B583)</f>
        <v>0</v>
      </c>
      <c r="M581" s="434"/>
      <c r="N581" s="434"/>
      <c r="O581" s="434"/>
      <c r="P581" s="406"/>
      <c r="Q581" s="389">
        <f>IF(D578&lt;=3,база!$L$4,
IF(D578=4,база!$L$5,
IF(D578=5,база!$L$6)))</f>
        <v>210.57480000000001</v>
      </c>
      <c r="R581" s="390">
        <v>1.2</v>
      </c>
      <c r="S581" s="400">
        <f>SUMIFS(Таблица14[часы],Таблица14[коэф],"1,2",Таблица14[р/р],"3/16",Таблица14[Ф. И. О.],B583)</f>
        <v>0</v>
      </c>
      <c r="T581" s="392">
        <f>SUMIFS(Таблица14[Столбец2],Таблица14[коэф],"1,2",Таблица14[р/р],"3/16",Таблица14[Ф. И. О.],B583)</f>
        <v>0</v>
      </c>
      <c r="U581" s="478">
        <f>IF(D578&lt;=3,база!$M$4,
IF(D578=4,база!$M$5,
IF(D578=5,база!$M$6)))</f>
        <v>225.09719999999999</v>
      </c>
      <c r="V581" s="390">
        <v>1.2</v>
      </c>
      <c r="W581" s="412">
        <f>SUMIFS(Таблица14[часы],Таблица14[коэф],"1,2",Таблица14[р/р],"3/24",Таблица14[Ф. И. О.],B583)</f>
        <v>0</v>
      </c>
      <c r="X581" s="545">
        <f>SUMIFS(Таблица14[Столбец2],Таблица14[коэф],"1,2",Таблица14[р/р],"3/24",Таблица14[Ф. И. О.],B583)</f>
        <v>0</v>
      </c>
      <c r="Y581" s="795"/>
      <c r="Z581" s="797"/>
      <c r="AA581" s="786"/>
    </row>
    <row r="582" spans="1:29">
      <c r="A582" s="786"/>
      <c r="B582" s="216"/>
      <c r="C582" s="789"/>
      <c r="D582" s="792"/>
      <c r="E582" s="389"/>
      <c r="F582" s="390"/>
      <c r="G582" s="400"/>
      <c r="H582" s="392"/>
      <c r="I582" s="432">
        <f>база!$J$6</f>
        <v>243.04319999999998</v>
      </c>
      <c r="J582" s="433">
        <v>1.5</v>
      </c>
      <c r="K582" s="434">
        <f>SUMIFS(Таблица14[часы],Таблица14[коэф],"1,5",Таблица14[р/р],"5/8",Таблица14[Ф. И. О.],B583)</f>
        <v>0</v>
      </c>
      <c r="L582" s="434">
        <f>SUMIFS(Таблица14[Столбец2],Таблица14[коэф],"1,5",Таблица14[р/р],"5/8",Таблица14[Ф. И. О.],B583)</f>
        <v>0</v>
      </c>
      <c r="M582" s="434"/>
      <c r="N582" s="434"/>
      <c r="O582" s="434"/>
      <c r="P582" s="406"/>
      <c r="Q582" s="389">
        <f>база!$L$5</f>
        <v>231.45480000000001</v>
      </c>
      <c r="R582" s="390">
        <v>1.2</v>
      </c>
      <c r="S582" s="400">
        <f>SUMIFS(Таблица14[часы],Таблица14[коэф],"1,2",Таблица14[р/р],"4/16",Таблица14[Ф. И. О.],B583)</f>
        <v>0</v>
      </c>
      <c r="T582" s="392">
        <f>SUMIFS(Таблица14[Столбец2],Таблица14[коэф],"1,2",Таблица14[р/р],"4/16",Таблица14[Ф. И. О.],B583)</f>
        <v>0</v>
      </c>
      <c r="U582" s="478">
        <f>база!$M$5</f>
        <v>247.41720000000001</v>
      </c>
      <c r="V582" s="390">
        <v>1.2</v>
      </c>
      <c r="W582" s="412">
        <f>SUMIFS(Таблица14[часы],Таблица14[коэф],"1,2",Таблица14[р/р],"4/24",Таблица14[Ф. И. О.],B583)</f>
        <v>0</v>
      </c>
      <c r="X582" s="545">
        <f>SUMIFS(Таблица14[Столбец2],Таблица14[коэф],"1,2",Таблица14[р/р],"4/24",Таблица14[Ф. И. О.],B583)</f>
        <v>0</v>
      </c>
      <c r="Y582" s="795"/>
      <c r="Z582" s="797"/>
      <c r="AA582" s="786"/>
    </row>
    <row r="583" spans="1:29">
      <c r="A583" s="786"/>
      <c r="B583" s="216" t="str">
        <f>база!B54</f>
        <v>Мунтян Жанна Алексеевна</v>
      </c>
      <c r="C583" s="789"/>
      <c r="D583" s="792"/>
      <c r="E583" s="389"/>
      <c r="F583" s="390"/>
      <c r="G583" s="400"/>
      <c r="H583" s="392"/>
      <c r="I583" s="432"/>
      <c r="J583" s="433"/>
      <c r="K583" s="434"/>
      <c r="L583" s="434"/>
      <c r="M583" s="434"/>
      <c r="N583" s="434"/>
      <c r="O583" s="434"/>
      <c r="P583" s="406"/>
      <c r="Q583" s="389">
        <f>база!$L$6</f>
        <v>261.04640000000001</v>
      </c>
      <c r="R583" s="390">
        <v>1.2</v>
      </c>
      <c r="S583" s="400">
        <f>SUMIFS(Таблица14[часы],Таблица14[коэф],"1,2",Таблица14[р/р],"5/16",Таблица14[Ф. И. О.],B583)</f>
        <v>0</v>
      </c>
      <c r="T583" s="392">
        <f>SUMIFS(Таблица14[Столбец2],Таблица14[коэф],"1,2",Таблица14[р/р],"5/16",Таблица14[Ф. И. О.],B583)</f>
        <v>0</v>
      </c>
      <c r="U583" s="478">
        <f>база!$M$6</f>
        <v>279.0496</v>
      </c>
      <c r="V583" s="390">
        <v>1.2</v>
      </c>
      <c r="W583" s="412">
        <f>SUMIFS(Таблица14[часы],Таблица14[коэф],"1,2",Таблица14[р/р],"5/24",Таблица14[Ф. И. О.],B583)</f>
        <v>0</v>
      </c>
      <c r="X583" s="545">
        <f>SUMIFS(Таблица14[Столбец2],Таблица14[коэф],"1,2",Таблица14[р/р],"5/24",Таблица14[Ф. И. О.],B583)</f>
        <v>0</v>
      </c>
      <c r="Y583" s="795"/>
      <c r="Z583" s="797"/>
      <c r="AA583" s="786"/>
      <c r="AC583" s="754" t="str">
        <f>IF(SUMIFS(Таблица14[Столбец2],Таблица14[Ф. И. О.],B583)-Z578=0,"",SUMIFS(Таблица14[Столбец2],Таблица14[Ф. И. О.],B583)-Z578)</f>
        <v/>
      </c>
    </row>
    <row r="584" spans="1:29">
      <c r="A584" s="786"/>
      <c r="B584" s="216"/>
      <c r="C584" s="789"/>
      <c r="D584" s="792"/>
      <c r="E584" s="389"/>
      <c r="F584" s="390"/>
      <c r="G584" s="400"/>
      <c r="H584" s="392"/>
      <c r="I584" s="432"/>
      <c r="J584" s="433"/>
      <c r="K584" s="434"/>
      <c r="L584" s="434"/>
      <c r="M584" s="434"/>
      <c r="N584" s="434"/>
      <c r="O584" s="434"/>
      <c r="P584" s="406"/>
      <c r="Q584" s="389">
        <f>IF($D$6&lt;=3,база!$L$4,
IF($D$6=4,база!$L$5,
IF($D$6=5,база!$L$6)))</f>
        <v>231.45480000000001</v>
      </c>
      <c r="R584" s="390">
        <v>1.3</v>
      </c>
      <c r="S584" s="400">
        <f>SUMIFS(Таблица14[часы],Таблица14[коэф],"1,3",Таблица14[р/р],"3/16",Таблица14[Ф. И. О.],B583)</f>
        <v>0</v>
      </c>
      <c r="T584" s="392">
        <f>SUMIFS(Таблица14[Столбец2],Таблица14[коэф],"1,3",Таблица14[р/р],"3/16",Таблица14[Ф. И. О.],B583)</f>
        <v>0</v>
      </c>
      <c r="U584" s="478">
        <f>IF(D578&lt;=3,база!$M$4,
IF(D578=4,база!$M$5,
IF(D578=5,база!$M$6)))</f>
        <v>225.09719999999999</v>
      </c>
      <c r="V584" s="390">
        <v>1.3</v>
      </c>
      <c r="W584" s="412">
        <f>SUMIFS(Таблица14[часы],Таблица14[коэф],"1,3",Таблица14[р/р],"3/24",Таблица14[Ф. И. О.],B583)</f>
        <v>0</v>
      </c>
      <c r="X584" s="545">
        <f>SUMIFS(Таблица14[Столбец2],Таблица14[коэф],"1,3",Таблица14[р/р],"3/24",Таблица14[Ф. И. О.],B583)</f>
        <v>0</v>
      </c>
      <c r="Y584" s="795"/>
      <c r="Z584" s="797"/>
      <c r="AA584" s="786"/>
      <c r="AC584" s="754" t="str">
        <f>IF(SUMIFS(Таблица14[часы],Таблица14[Ф. И. О.],B583)-Y578=0,"",SUMIFS(Таблица14[часы],Таблица14[Ф. И. О.],B583)-Y578)</f>
        <v/>
      </c>
    </row>
    <row r="585" spans="1:29">
      <c r="A585" s="786"/>
      <c r="B585" s="216"/>
      <c r="C585" s="789"/>
      <c r="D585" s="792"/>
      <c r="E585" s="389"/>
      <c r="F585" s="390"/>
      <c r="G585" s="400"/>
      <c r="H585" s="392"/>
      <c r="I585" s="432"/>
      <c r="J585" s="433"/>
      <c r="K585" s="434"/>
      <c r="L585" s="434"/>
      <c r="M585" s="434"/>
      <c r="N585" s="434"/>
      <c r="O585" s="434"/>
      <c r="P585" s="406"/>
      <c r="Q585" s="389">
        <f>база!$L$5</f>
        <v>231.45480000000001</v>
      </c>
      <c r="R585" s="390">
        <v>1.3</v>
      </c>
      <c r="S585" s="400">
        <f>SUMIFS(Таблица14[часы],Таблица14[коэф],"1,3",Таблица14[р/р],"4/16",Таблица14[Ф. И. О.],B583)</f>
        <v>0</v>
      </c>
      <c r="T585" s="392">
        <f>SUMIFS(Таблица14[Столбец2],Таблица14[коэф],"1,3",Таблица14[р/р],"4/16",Таблица14[Ф. И. О.],B583)</f>
        <v>0</v>
      </c>
      <c r="U585" s="478">
        <f>база!$M$5</f>
        <v>247.41720000000001</v>
      </c>
      <c r="V585" s="390">
        <v>1.3</v>
      </c>
      <c r="W585" s="412">
        <f>SUMIFS(Таблица14[часы],Таблица14[коэф],"1,3",Таблица14[р/р],"4/24",Таблица14[Ф. И. О.],B583)</f>
        <v>0</v>
      </c>
      <c r="X585" s="545">
        <f>SUMIFS(Таблица14[Столбец2],Таблица14[коэф],"1,3",Таблица14[р/р],"4/24",Таблица14[Ф. И. О.],B583)</f>
        <v>0</v>
      </c>
      <c r="Y585" s="795"/>
      <c r="Z585" s="797"/>
      <c r="AA585" s="786"/>
    </row>
    <row r="586" spans="1:29">
      <c r="A586" s="786"/>
      <c r="B586" s="216"/>
      <c r="C586" s="789"/>
      <c r="D586" s="792"/>
      <c r="E586" s="389"/>
      <c r="F586" s="390"/>
      <c r="G586" s="400"/>
      <c r="H586" s="392"/>
      <c r="I586" s="432"/>
      <c r="J586" s="433"/>
      <c r="K586" s="434"/>
      <c r="L586" s="434"/>
      <c r="M586" s="434"/>
      <c r="N586" s="434"/>
      <c r="O586" s="434"/>
      <c r="P586" s="406"/>
      <c r="Q586" s="389">
        <f>IF(D578&lt;=3,база!$L$4,
IF(D578=4,база!$L$5,
IF(D578=5,база!$L$6)))</f>
        <v>210.57480000000001</v>
      </c>
      <c r="R586" s="390">
        <v>1.4</v>
      </c>
      <c r="S586" s="400">
        <f>SUMIFS(Таблица14[часы],Таблица14[коэф],"1,4",Таблица14[р/р],"3/16",Таблица14[Ф. И. О.],B583)</f>
        <v>0</v>
      </c>
      <c r="T586" s="392">
        <f>SUMIFS(Таблица14[Столбец2],Таблица14[коэф],"1,4",Таблица14[р/р],"3/16",Таблица14[Ф. И. О.],B583)</f>
        <v>0</v>
      </c>
      <c r="U586" s="478">
        <f>IF(D578&lt;=3,база!$M$4,
IF(D578=4,база!$M$5,
IF(D578=5,база!$M$6)))</f>
        <v>225.09719999999999</v>
      </c>
      <c r="V586" s="390">
        <v>1.4</v>
      </c>
      <c r="W586" s="412">
        <f>SUMIFS(Таблица14[часы],Таблица14[коэф],"1,4",Таблица14[р/р],"3/24",Таблица14[Ф. И. О.],B583)</f>
        <v>0</v>
      </c>
      <c r="X586" s="545">
        <f>SUMIFS(Таблица14[Столбец2],Таблица14[коэф],"1,4",Таблица14[р/р],"3/24",Таблица14[Ф. И. О.],B583)</f>
        <v>0</v>
      </c>
      <c r="Y586" s="795"/>
      <c r="Z586" s="797"/>
      <c r="AA586" s="786"/>
    </row>
    <row r="587" spans="1:29">
      <c r="A587" s="786"/>
      <c r="B587" s="216"/>
      <c r="C587" s="789"/>
      <c r="D587" s="792"/>
      <c r="E587" s="389"/>
      <c r="F587" s="390"/>
      <c r="G587" s="400"/>
      <c r="H587" s="392"/>
      <c r="I587" s="432"/>
      <c r="J587" s="433"/>
      <c r="K587" s="434"/>
      <c r="L587" s="434"/>
      <c r="M587" s="434"/>
      <c r="N587" s="434"/>
      <c r="O587" s="434"/>
      <c r="P587" s="406"/>
      <c r="Q587" s="389">
        <f>база!$L$5</f>
        <v>231.45480000000001</v>
      </c>
      <c r="R587" s="390">
        <v>1.4</v>
      </c>
      <c r="S587" s="400">
        <f>SUMIFS(Таблица14[часы],Таблица14[коэф],"1,4",Таблица14[р/р],"4/16",Таблица14[Ф. И. О.],B583)</f>
        <v>0</v>
      </c>
      <c r="T587" s="392">
        <f>SUMIFS(Таблица14[Столбец2],Таблица14[коэф],"1,4",Таблица14[р/р],"4/16",Таблица14[Ф. И. О.],B583)</f>
        <v>0</v>
      </c>
      <c r="U587" s="478">
        <f>база!$M$5</f>
        <v>247.41720000000001</v>
      </c>
      <c r="V587" s="390">
        <v>1.4</v>
      </c>
      <c r="W587" s="412">
        <f>SUMIFS(Таблица14[часы],Таблица14[коэф],"1,4",Таблица14[р/р],"4/24",Таблица14[Ф. И. О.],B583)</f>
        <v>0</v>
      </c>
      <c r="X587" s="545">
        <f>SUMIFS(Таблица14[Столбец2],Таблица14[коэф],"1,4",Таблица14[р/р],"4/24",Таблица14[Ф. И. О.],B583)</f>
        <v>0</v>
      </c>
      <c r="Y587" s="795"/>
      <c r="Z587" s="797"/>
      <c r="AA587" s="786"/>
    </row>
    <row r="588" spans="1:29" ht="21" thickBot="1">
      <c r="A588" s="787"/>
      <c r="B588" s="352"/>
      <c r="C588" s="790"/>
      <c r="D588" s="793"/>
      <c r="E588" s="473"/>
      <c r="F588" s="464"/>
      <c r="G588" s="657"/>
      <c r="H588" s="468"/>
      <c r="I588" s="651"/>
      <c r="J588" s="456"/>
      <c r="K588" s="652"/>
      <c r="L588" s="457"/>
      <c r="M588" s="651"/>
      <c r="N588" s="652"/>
      <c r="O588" s="652"/>
      <c r="P588" s="476"/>
      <c r="Q588" s="658">
        <f>база!$L$6</f>
        <v>261.04640000000001</v>
      </c>
      <c r="R588" s="464">
        <v>1.4</v>
      </c>
      <c r="S588" s="465">
        <f>SUMIFS(Таблица14[часы],Таблица14[коэф],"1,4",Таблица14[р/р],"5/16",Таблица14[Ф. И. О.],B583)</f>
        <v>0</v>
      </c>
      <c r="T588" s="468">
        <f>SUMIFS(Таблица14[Столбец2],Таблица14[коэф],"1,4",Таблица14[р/р],"5/16",Таблица14[Ф. И. О.],B583)</f>
        <v>0</v>
      </c>
      <c r="U588" s="463">
        <f>база!$M$6</f>
        <v>279.0496</v>
      </c>
      <c r="V588" s="464">
        <v>1.4</v>
      </c>
      <c r="W588" s="465">
        <f>SUMIFS(Таблица14[часы],Таблица14[коэф],"1,4",Таблица14[р/р],"5/24",Таблица14[Ф. И. О.],B583)</f>
        <v>0</v>
      </c>
      <c r="X588" s="468">
        <f>SUMIFS(Таблица14[Столбец2],Таблица14[коэф],"1,4",Таблица14[р/р],"5/24",Таблица14[Ф. И. О.],B583)</f>
        <v>0</v>
      </c>
      <c r="Y588" s="796"/>
      <c r="Z588" s="798"/>
      <c r="AA588" s="787"/>
    </row>
    <row r="589" spans="1:29">
      <c r="A589" s="786">
        <v>54</v>
      </c>
      <c r="B589" s="216"/>
      <c r="C589" s="788">
        <f>INDEX(база!$E$2:$E$98, MATCH(B594,база!$B$2:$B$100,0))</f>
        <v>15041</v>
      </c>
      <c r="D589" s="791">
        <f>INDEX(база!$D$2:$D$121, MATCH(B594,база!$B$2:$B$100,0))</f>
        <v>3</v>
      </c>
      <c r="E589" s="481">
        <f>IF(D589&lt;=3,база!$I$4,
IF(D589=4,база!$I$5,
IF(D589=5,база!$I$6)))</f>
        <v>188.7912</v>
      </c>
      <c r="F589" s="417">
        <v>1</v>
      </c>
      <c r="G589" s="418">
        <f>SUMIFS(Таблица14[часы],Таблица14[коэф],"1",Таблица14[р/р],"2/4",Таблица14[Ф. И. О.],B594)</f>
        <v>0</v>
      </c>
      <c r="H589" s="402">
        <f>SUMIFS(Таблица14[Столбец2],Таблица14[коэф],"1",Таблица14[р/р],"2/4",Таблица14[Ф. И. О.],B594)</f>
        <v>0</v>
      </c>
      <c r="I589" s="452">
        <f>IF(D589&lt;=3,база!$J$4,
IF(D589=4,база!$J$5,
IF(D589=5,база!$J$6)))</f>
        <v>196.05240000000001</v>
      </c>
      <c r="J589" s="475">
        <v>1</v>
      </c>
      <c r="K589" s="453">
        <f>SUMIFS(Таблица14[часы],Таблица14[коэф],"1",Таблица14[р/р],"2/8",Таблица14[Ф. И. О.],B594)</f>
        <v>0</v>
      </c>
      <c r="L589" s="453">
        <f>SUMIFS(Таблица14[Столбец2],Таблица14[коэф],"1",Таблица14[р/р],"2/8",Таблица14[Ф. И. О.],B594)</f>
        <v>0</v>
      </c>
      <c r="M589" s="453"/>
      <c r="N589" s="453">
        <v>1</v>
      </c>
      <c r="O589" s="453">
        <f>SUMIFS(Data_Tech!$AM$3:$AM$67,Data_Tech!$E$3:$E$67,"1",Data_Tech!$G$3:$G$67,"3/12",Data_Tech!$F$3:$F$67,B594)</f>
        <v>0</v>
      </c>
      <c r="P589" s="398">
        <f>ROUND(M589*N589*O589,2)</f>
        <v>0</v>
      </c>
      <c r="Q589" s="481">
        <f>IF(D589&lt;=3,база!$L$4,
IF(D589=4,база!$L$5,
IF(D589=5,база!$L$6)))</f>
        <v>210.57480000000001</v>
      </c>
      <c r="R589" s="417">
        <v>1</v>
      </c>
      <c r="S589" s="418">
        <f>SUMIFS(Таблица14[часы],Таблица14[коэф],"1",Таблица14[р/р],"3/16",Таблица14[Ф. И. О.],B594)</f>
        <v>0</v>
      </c>
      <c r="T589" s="402">
        <f>SUMIFS(Таблица14[Столбец2],Таблица14[коэф],"1",Таблица14[р/р],"3/16",Таблица14[Ф. И. О.],B594)</f>
        <v>0</v>
      </c>
      <c r="U589" s="483">
        <f>IF(D589&lt;=3,база!$M$4,
IF(D589=4,база!$M$5,
IF(D589=5,база!$M$6)))</f>
        <v>225.09719999999999</v>
      </c>
      <c r="V589" s="417">
        <v>1</v>
      </c>
      <c r="W589" s="455">
        <f>SUMIFS(Таблица14[часы],Таблица14[коэф],"1",Таблица14[р/р],"3/24",Таблица14[Ф. И. О.],B594)</f>
        <v>0</v>
      </c>
      <c r="X589" s="552">
        <f>SUMIFS(Таблица14[Столбец2],Таблица14[коэф],"1",Таблица14[р/р],"3/24",Таблица14[Ф. И. О.],B594)</f>
        <v>0</v>
      </c>
      <c r="Y589" s="795">
        <f t="shared" ref="Y589" si="246">SUM(G589:G599,K589:K599,O589:O599,S589:S599,W589:W599)</f>
        <v>0</v>
      </c>
      <c r="Z589" s="797">
        <f t="shared" ref="Z589" si="247">IFERROR(SUM(H589:H599,L589:L599,T589:T599,X589:X599),"")</f>
        <v>0</v>
      </c>
      <c r="AA589" s="786"/>
    </row>
    <row r="590" spans="1:29">
      <c r="A590" s="786"/>
      <c r="B590" s="216"/>
      <c r="C590" s="789"/>
      <c r="D590" s="792"/>
      <c r="E590" s="389">
        <f>IF(D589&lt;=3,база!$I$4,
IF(D589=4,база!$I$5,
IF(D589=5,база!$I$6)))</f>
        <v>188.7912</v>
      </c>
      <c r="F590" s="390">
        <v>1</v>
      </c>
      <c r="G590" s="400">
        <f>SUMIFS(Таблица14[часы],Таблица14[коэф],"1",Таблица14[р/р],"3/4",Таблица14[Ф. И. О.],B594)</f>
        <v>0</v>
      </c>
      <c r="H590" s="392">
        <f>SUMIFS(Таблица14[Столбец2],Таблица14[коэф],"1",Таблица14[р/р],"3/4",Таблица14[Ф. И. О.],B594)</f>
        <v>0</v>
      </c>
      <c r="I590" s="432">
        <f>IF(D589&lt;=3,база!$J$4,
IF(D589=4,база!$J$5,
IF(D589=5,база!$J$6)))</f>
        <v>196.05240000000001</v>
      </c>
      <c r="J590" s="433">
        <v>1</v>
      </c>
      <c r="K590" s="434">
        <f>SUMIFS(Таблица14[часы],Таблица14[коэф],"1",Таблица14[р/р],"3/8",Таблица14[Ф. И. О.],B594)</f>
        <v>0</v>
      </c>
      <c r="L590" s="434">
        <f>SUMIFS(Таблица14[Столбец2],Таблица14[коэф],"1",Таблица14[р/р],"3/8",Таблица14[Ф. И. О.],B594)</f>
        <v>0</v>
      </c>
      <c r="M590" s="434"/>
      <c r="N590" s="434">
        <v>1</v>
      </c>
      <c r="O590" s="434">
        <f>SUMIFS(Data_Tech!$AM$3:$AM$67,Data_Tech!$E$3:$E$67,"1",Data_Tech!$G$3:$G$67,"4/12",Data_Tech!$F$3:$F$67,B594)</f>
        <v>0</v>
      </c>
      <c r="P590" s="406">
        <f>ROUND(M590*O590,2)</f>
        <v>0</v>
      </c>
      <c r="Q590" s="389">
        <f>база!$L$5</f>
        <v>231.45480000000001</v>
      </c>
      <c r="R590" s="390">
        <v>1</v>
      </c>
      <c r="S590" s="400">
        <f>SUMIFS(Таблица14[часы],Таблица14[коэф],"1",Таблица14[р/р],"4/16",Таблица14[Ф. И. О.],B594)</f>
        <v>0</v>
      </c>
      <c r="T590" s="392">
        <f>SUMIFS(Таблица14[Столбец2],Таблица14[коэф],"1",Таблица14[р/р],"4/16",Таблица14[Ф. И. О.],B594)</f>
        <v>0</v>
      </c>
      <c r="U590" s="478">
        <f>база!$M$5</f>
        <v>247.41720000000001</v>
      </c>
      <c r="V590" s="390">
        <v>1</v>
      </c>
      <c r="W590" s="412">
        <f>SUMIFS(Таблица14[часы],Таблица14[коэф],"1",Таблица14[р/р],"4/24",Таблица14[Ф. И. О.],B594)</f>
        <v>0</v>
      </c>
      <c r="X590" s="545">
        <f>SUMIFS(Таблица14[Столбец2],Таблица14[коэф],"1",Таблица14[р/р],"4/24",Таблица14[Ф. И. О.],B594)</f>
        <v>0</v>
      </c>
      <c r="Y590" s="795"/>
      <c r="Z590" s="797"/>
      <c r="AA590" s="786"/>
    </row>
    <row r="591" spans="1:29">
      <c r="A591" s="786"/>
      <c r="B591" s="216"/>
      <c r="C591" s="789"/>
      <c r="D591" s="792"/>
      <c r="E591" s="389"/>
      <c r="F591" s="390"/>
      <c r="G591" s="400"/>
      <c r="H591" s="392"/>
      <c r="I591" s="432"/>
      <c r="J591" s="433"/>
      <c r="K591" s="434"/>
      <c r="L591" s="434"/>
      <c r="M591" s="434"/>
      <c r="N591" s="434"/>
      <c r="O591" s="434"/>
      <c r="P591" s="406"/>
      <c r="Q591" s="389">
        <f>база!$L$6</f>
        <v>261.04640000000001</v>
      </c>
      <c r="R591" s="390">
        <v>1</v>
      </c>
      <c r="S591" s="400">
        <f>SUMIFS(Таблица14[часы],Таблица14[коэф],"1",Таблица14[р/р],"5/16",Таблица14[Ф. И. О.],B594)</f>
        <v>0</v>
      </c>
      <c r="T591" s="392">
        <f>SUMIFS(Таблица14[Столбец2],Таблица14[коэф],"1",Таблица14[р/р],"5/16",Таблица14[Ф. И. О.],B594)</f>
        <v>0</v>
      </c>
      <c r="U591" s="478">
        <f>база!$M$6</f>
        <v>279.0496</v>
      </c>
      <c r="V591" s="390">
        <v>1</v>
      </c>
      <c r="W591" s="412">
        <f>SUMIFS(Таблица14[часы],Таблица14[коэф],"1",Таблица14[р/р],"5/24",Таблица14[Ф. И. О.],B594)</f>
        <v>0</v>
      </c>
      <c r="X591" s="545">
        <f>SUMIFS(Таблица14[Столбец2],Таблица14[коэф],"1",Таблица14[р/р],"5/24",Таблица14[Ф. И. О.],B594)</f>
        <v>0</v>
      </c>
      <c r="Y591" s="795"/>
      <c r="Z591" s="797"/>
      <c r="AA591" s="786"/>
    </row>
    <row r="592" spans="1:29">
      <c r="A592" s="786"/>
      <c r="B592" s="216"/>
      <c r="C592" s="789"/>
      <c r="D592" s="792"/>
      <c r="E592" s="389"/>
      <c r="F592" s="390"/>
      <c r="G592" s="400"/>
      <c r="H592" s="392"/>
      <c r="I592" s="432">
        <f>база!$J$5</f>
        <v>215.4924</v>
      </c>
      <c r="J592" s="433">
        <v>1.5</v>
      </c>
      <c r="K592" s="434">
        <f>SUMIFS(Таблица14[часы],Таблица14[коэф],"1,5",Таблица14[р/р],"4/8",Таблица14[Ф. И. О.],B594)</f>
        <v>0</v>
      </c>
      <c r="L592" s="434">
        <f>SUMIFS(Таблица14[Столбец2],Таблица14[коэф],"1,5",Таблица14[р/р],"4/8",Таблица14[Ф. И. О.],B594)</f>
        <v>0</v>
      </c>
      <c r="M592" s="434"/>
      <c r="N592" s="434"/>
      <c r="O592" s="434"/>
      <c r="P592" s="406"/>
      <c r="Q592" s="389">
        <f>IF(D589&lt;=3,база!$L$4,
IF(D589=4,база!$L$5,
IF(D589=5,база!$L$6)))</f>
        <v>210.57480000000001</v>
      </c>
      <c r="R592" s="390">
        <v>1.2</v>
      </c>
      <c r="S592" s="400">
        <f>SUMIFS(Таблица14[часы],Таблица14[коэф],"1,2",Таблица14[р/р],"3/16",Таблица14[Ф. И. О.],B594)</f>
        <v>0</v>
      </c>
      <c r="T592" s="392">
        <f>SUMIFS(Таблица14[Столбец2],Таблица14[коэф],"1,2",Таблица14[р/р],"3/16",Таблица14[Ф. И. О.],B594)</f>
        <v>0</v>
      </c>
      <c r="U592" s="478">
        <f>IF(D589&lt;=3,база!$M$4,
IF(D589=4,база!$M$5,
IF(D589=5,база!$M$6)))</f>
        <v>225.09719999999999</v>
      </c>
      <c r="V592" s="390">
        <v>1.2</v>
      </c>
      <c r="W592" s="412">
        <f>SUMIFS(Таблица14[часы],Таблица14[коэф],"1,2",Таблица14[р/р],"3/24",Таблица14[Ф. И. О.],B594)</f>
        <v>0</v>
      </c>
      <c r="X592" s="545">
        <f>SUMIFS(Таблица14[Столбец2],Таблица14[коэф],"1,2",Таблица14[р/р],"3/24",Таблица14[Ф. И. О.],B594)</f>
        <v>0</v>
      </c>
      <c r="Y592" s="795"/>
      <c r="Z592" s="797"/>
      <c r="AA592" s="786"/>
    </row>
    <row r="593" spans="1:29">
      <c r="A593" s="786"/>
      <c r="B593" s="216"/>
      <c r="C593" s="789"/>
      <c r="D593" s="792"/>
      <c r="E593" s="389"/>
      <c r="F593" s="390"/>
      <c r="G593" s="400"/>
      <c r="H593" s="392"/>
      <c r="I593" s="432">
        <f>база!$J$6</f>
        <v>243.04319999999998</v>
      </c>
      <c r="J593" s="433">
        <v>1.5</v>
      </c>
      <c r="K593" s="434">
        <f>SUMIFS(Таблица14[часы],Таблица14[коэф],"1,5",Таблица14[р/р],"5/8",Таблица14[Ф. И. О.],B594)</f>
        <v>0</v>
      </c>
      <c r="L593" s="434">
        <f>SUMIFS(Таблица14[Столбец2],Таблица14[коэф],"1,5",Таблица14[р/р],"5/8",Таблица14[Ф. И. О.],B594)</f>
        <v>0</v>
      </c>
      <c r="M593" s="434"/>
      <c r="N593" s="434"/>
      <c r="O593" s="434"/>
      <c r="P593" s="406"/>
      <c r="Q593" s="389">
        <f>база!$L$5</f>
        <v>231.45480000000001</v>
      </c>
      <c r="R593" s="390">
        <v>1.2</v>
      </c>
      <c r="S593" s="400">
        <f>SUMIFS(Таблица14[часы],Таблица14[коэф],"1,2",Таблица14[р/р],"4/16",Таблица14[Ф. И. О.],B594)</f>
        <v>0</v>
      </c>
      <c r="T593" s="392">
        <f>SUMIFS(Таблица14[Столбец2],Таблица14[коэф],"1,2",Таблица14[р/р],"4/16",Таблица14[Ф. И. О.],B594)</f>
        <v>0</v>
      </c>
      <c r="U593" s="478">
        <f>база!$M$5</f>
        <v>247.41720000000001</v>
      </c>
      <c r="V593" s="390">
        <v>1.2</v>
      </c>
      <c r="W593" s="412">
        <f>SUMIFS(Таблица14[часы],Таблица14[коэф],"1,2",Таблица14[р/р],"4/24",Таблица14[Ф. И. О.],B594)</f>
        <v>0</v>
      </c>
      <c r="X593" s="545">
        <f>SUMIFS(Таблица14[Столбец2],Таблица14[коэф],"1,2",Таблица14[р/р],"4/24",Таблица14[Ф. И. О.],B594)</f>
        <v>0</v>
      </c>
      <c r="Y593" s="795"/>
      <c r="Z593" s="797"/>
      <c r="AA593" s="786"/>
      <c r="AC593" s="754" t="str">
        <f>IF(SUMIFS(Таблица14[Столбец2],Таблица14[Ф. И. О.],B594)-Z589=0,"",SUMIFS(Таблица14[Столбец2],Таблица14[Ф. И. О.],B594)-Z589)</f>
        <v/>
      </c>
    </row>
    <row r="594" spans="1:29">
      <c r="A594" s="786"/>
      <c r="B594" s="216" t="str">
        <f>база!B55</f>
        <v>Набойченко Седа Хамидовна</v>
      </c>
      <c r="C594" s="789"/>
      <c r="D594" s="792"/>
      <c r="E594" s="389"/>
      <c r="F594" s="390"/>
      <c r="G594" s="400"/>
      <c r="H594" s="392"/>
      <c r="I594" s="432"/>
      <c r="J594" s="433"/>
      <c r="K594" s="434"/>
      <c r="L594" s="434"/>
      <c r="M594" s="434"/>
      <c r="N594" s="434"/>
      <c r="O594" s="434"/>
      <c r="P594" s="406"/>
      <c r="Q594" s="389">
        <f>база!$L$6</f>
        <v>261.04640000000001</v>
      </c>
      <c r="R594" s="390">
        <v>1.2</v>
      </c>
      <c r="S594" s="400">
        <f>SUMIFS(Таблица14[часы],Таблица14[коэф],"1,2",Таблица14[р/р],"5/16",Таблица14[Ф. И. О.],B594)</f>
        <v>0</v>
      </c>
      <c r="T594" s="392">
        <f>SUMIFS(Таблица14[Столбец2],Таблица14[коэф],"1,2",Таблица14[р/р],"5/16",Таблица14[Ф. И. О.],B594)</f>
        <v>0</v>
      </c>
      <c r="U594" s="478">
        <f>база!$M$6</f>
        <v>279.0496</v>
      </c>
      <c r="V594" s="390">
        <v>1.2</v>
      </c>
      <c r="W594" s="412">
        <f>SUMIFS(Таблица14[часы],Таблица14[коэф],"1,2",Таблица14[р/р],"5/24",Таблица14[Ф. И. О.],B594)</f>
        <v>0</v>
      </c>
      <c r="X594" s="545">
        <f>SUMIFS(Таблица14[Столбец2],Таблица14[коэф],"1,2",Таблица14[р/р],"5/24",Таблица14[Ф. И. О.],B594)</f>
        <v>0</v>
      </c>
      <c r="Y594" s="795"/>
      <c r="Z594" s="797"/>
      <c r="AA594" s="786"/>
      <c r="AC594" s="754" t="str">
        <f>IF(SUMIFS(Таблица14[часы],Таблица14[Ф. И. О.],B594)-Y589=0,"",SUMIFS(Таблица14[часы],Таблица14[Ф. И. О.],B594)-Y589)</f>
        <v/>
      </c>
    </row>
    <row r="595" spans="1:29">
      <c r="A595" s="786"/>
      <c r="B595" s="216"/>
      <c r="C595" s="789"/>
      <c r="D595" s="792"/>
      <c r="E595" s="389"/>
      <c r="F595" s="390"/>
      <c r="G595" s="400"/>
      <c r="H595" s="392"/>
      <c r="I595" s="432"/>
      <c r="J595" s="433"/>
      <c r="K595" s="434"/>
      <c r="L595" s="434"/>
      <c r="M595" s="434"/>
      <c r="N595" s="434"/>
      <c r="O595" s="434"/>
      <c r="P595" s="406"/>
      <c r="Q595" s="389">
        <f>IF($D$6&lt;=3,база!$L$4,
IF($D$6=4,база!$L$5,
IF($D$6=5,база!$L$6)))</f>
        <v>231.45480000000001</v>
      </c>
      <c r="R595" s="390">
        <v>1.3</v>
      </c>
      <c r="S595" s="400">
        <f>SUMIFS(Таблица14[часы],Таблица14[коэф],"1,3",Таблица14[р/р],"3/16",Таблица14[Ф. И. О.],B594)</f>
        <v>0</v>
      </c>
      <c r="T595" s="392">
        <f>SUMIFS(Таблица14[Столбец2],Таблица14[коэф],"1,3",Таблица14[р/р],"3/16",Таблица14[Ф. И. О.],B594)</f>
        <v>0</v>
      </c>
      <c r="U595" s="478">
        <f>IF(D589&lt;=3,база!$M$4,
IF(D589=4,база!$M$5,
IF(D589=5,база!$M$6)))</f>
        <v>225.09719999999999</v>
      </c>
      <c r="V595" s="390">
        <v>1.3</v>
      </c>
      <c r="W595" s="412">
        <f>SUMIFS(Таблица14[часы],Таблица14[коэф],"1,3",Таблица14[р/р],"3/24",Таблица14[Ф. И. О.],B594)</f>
        <v>0</v>
      </c>
      <c r="X595" s="545">
        <f>SUMIFS(Таблица14[Столбец2],Таблица14[коэф],"1,3",Таблица14[р/р],"3/24",Таблица14[Ф. И. О.],B594)</f>
        <v>0</v>
      </c>
      <c r="Y595" s="795"/>
      <c r="Z595" s="797"/>
      <c r="AA595" s="786"/>
    </row>
    <row r="596" spans="1:29">
      <c r="A596" s="786"/>
      <c r="B596" s="216"/>
      <c r="C596" s="789"/>
      <c r="D596" s="792"/>
      <c r="E596" s="389"/>
      <c r="F596" s="390"/>
      <c r="G596" s="400"/>
      <c r="H596" s="392"/>
      <c r="I596" s="432"/>
      <c r="J596" s="433"/>
      <c r="K596" s="434"/>
      <c r="L596" s="434"/>
      <c r="M596" s="434"/>
      <c r="N596" s="434"/>
      <c r="O596" s="434"/>
      <c r="P596" s="406"/>
      <c r="Q596" s="389">
        <f>база!$L$5</f>
        <v>231.45480000000001</v>
      </c>
      <c r="R596" s="390">
        <v>1.3</v>
      </c>
      <c r="S596" s="400">
        <f>SUMIFS(Таблица14[часы],Таблица14[коэф],"1,3",Таблица14[р/р],"4/16",Таблица14[Ф. И. О.],B594)</f>
        <v>0</v>
      </c>
      <c r="T596" s="392">
        <f>SUMIFS(Таблица14[Столбец2],Таблица14[коэф],"1,3",Таблица14[р/р],"4/16",Таблица14[Ф. И. О.],B594)</f>
        <v>0</v>
      </c>
      <c r="U596" s="478">
        <f>база!$M$5</f>
        <v>247.41720000000001</v>
      </c>
      <c r="V596" s="390">
        <v>1.3</v>
      </c>
      <c r="W596" s="412">
        <f>SUMIFS(Таблица14[часы],Таблица14[коэф],"1,3",Таблица14[р/р],"4/24",Таблица14[Ф. И. О.],B594)</f>
        <v>0</v>
      </c>
      <c r="X596" s="545">
        <f>SUMIFS(Таблица14[Столбец2],Таблица14[коэф],"1,3",Таблица14[р/р],"4/24",Таблица14[Ф. И. О.],B594)</f>
        <v>0</v>
      </c>
      <c r="Y596" s="795"/>
      <c r="Z596" s="797"/>
      <c r="AA596" s="786"/>
    </row>
    <row r="597" spans="1:29">
      <c r="A597" s="786"/>
      <c r="B597" s="216"/>
      <c r="C597" s="789"/>
      <c r="D597" s="792"/>
      <c r="E597" s="389"/>
      <c r="F597" s="390"/>
      <c r="G597" s="400"/>
      <c r="H597" s="392"/>
      <c r="I597" s="432"/>
      <c r="J597" s="433"/>
      <c r="K597" s="434"/>
      <c r="L597" s="434"/>
      <c r="M597" s="434"/>
      <c r="N597" s="434"/>
      <c r="O597" s="434"/>
      <c r="P597" s="406"/>
      <c r="Q597" s="389">
        <f>IF(D589&lt;=3,база!$L$4,
IF(D589=4,база!$L$5,
IF(D589=5,база!$L$6)))</f>
        <v>210.57480000000001</v>
      </c>
      <c r="R597" s="390">
        <v>1.4</v>
      </c>
      <c r="S597" s="400">
        <f>SUMIFS(Таблица14[часы],Таблица14[коэф],"1,4",Таблица14[р/р],"3/16",Таблица14[Ф. И. О.],B594)</f>
        <v>0</v>
      </c>
      <c r="T597" s="392">
        <f>SUMIFS(Таблица14[Столбец2],Таблица14[коэф],"1,4",Таблица14[р/р],"3/16",Таблица14[Ф. И. О.],B594)</f>
        <v>0</v>
      </c>
      <c r="U597" s="478">
        <f>IF(D589&lt;=3,база!$M$4,
IF(D589=4,база!$M$5,
IF(D589=5,база!$M$6)))</f>
        <v>225.09719999999999</v>
      </c>
      <c r="V597" s="390">
        <v>1.4</v>
      </c>
      <c r="W597" s="412">
        <f>SUMIFS(Таблица14[часы],Таблица14[коэф],"1,4",Таблица14[р/р],"3/24",Таблица14[Ф. И. О.],B594)</f>
        <v>0</v>
      </c>
      <c r="X597" s="545">
        <f>SUMIFS(Таблица14[Столбец2],Таблица14[коэф],"1,4",Таблица14[р/р],"3/24",Таблица14[Ф. И. О.],B594)</f>
        <v>0</v>
      </c>
      <c r="Y597" s="795"/>
      <c r="Z597" s="797"/>
      <c r="AA597" s="786"/>
    </row>
    <row r="598" spans="1:29">
      <c r="A598" s="786"/>
      <c r="B598" s="216"/>
      <c r="C598" s="789"/>
      <c r="D598" s="792"/>
      <c r="E598" s="389"/>
      <c r="F598" s="390"/>
      <c r="G598" s="400"/>
      <c r="H598" s="392"/>
      <c r="I598" s="432"/>
      <c r="J598" s="433"/>
      <c r="K598" s="434"/>
      <c r="L598" s="434"/>
      <c r="M598" s="434"/>
      <c r="N598" s="434"/>
      <c r="O598" s="434"/>
      <c r="P598" s="406"/>
      <c r="Q598" s="389">
        <f>база!$L$5</f>
        <v>231.45480000000001</v>
      </c>
      <c r="R598" s="390">
        <v>1.4</v>
      </c>
      <c r="S598" s="400">
        <f>SUMIFS(Таблица14[часы],Таблица14[коэф],"1,4",Таблица14[р/р],"4/16",Таблица14[Ф. И. О.],B594)</f>
        <v>0</v>
      </c>
      <c r="T598" s="392">
        <f>SUMIFS(Таблица14[Столбец2],Таблица14[коэф],"1,4",Таблица14[р/р],"4/16",Таблица14[Ф. И. О.],B594)</f>
        <v>0</v>
      </c>
      <c r="U598" s="478">
        <f>база!$M$5</f>
        <v>247.41720000000001</v>
      </c>
      <c r="V598" s="390">
        <v>1.4</v>
      </c>
      <c r="W598" s="412">
        <f>SUMIFS(Таблица14[часы],Таблица14[коэф],"1,4",Таблица14[р/р],"4/24",Таблица14[Ф. И. О.],B594)</f>
        <v>0</v>
      </c>
      <c r="X598" s="545">
        <f>SUMIFS(Таблица14[Столбец2],Таблица14[коэф],"1,4",Таблица14[р/р],"4/24",Таблица14[Ф. И. О.],B594)</f>
        <v>0</v>
      </c>
      <c r="Y598" s="795"/>
      <c r="Z598" s="797"/>
      <c r="AA598" s="786"/>
    </row>
    <row r="599" spans="1:29" ht="21" thickBot="1">
      <c r="A599" s="787"/>
      <c r="B599" s="352"/>
      <c r="C599" s="790"/>
      <c r="D599" s="793"/>
      <c r="E599" s="473"/>
      <c r="F599" s="464"/>
      <c r="G599" s="657"/>
      <c r="H599" s="468"/>
      <c r="I599" s="651"/>
      <c r="J599" s="456"/>
      <c r="K599" s="652"/>
      <c r="L599" s="457"/>
      <c r="M599" s="651"/>
      <c r="N599" s="652"/>
      <c r="O599" s="652"/>
      <c r="P599" s="476"/>
      <c r="Q599" s="658">
        <f>база!$L$6</f>
        <v>261.04640000000001</v>
      </c>
      <c r="R599" s="464">
        <v>1.4</v>
      </c>
      <c r="S599" s="465">
        <f>SUMIFS(Таблица14[часы],Таблица14[коэф],"1,4",Таблица14[р/р],"5/16",Таблица14[Ф. И. О.],B594)</f>
        <v>0</v>
      </c>
      <c r="T599" s="468">
        <f>SUMIFS(Таблица14[Столбец2],Таблица14[коэф],"1,4",Таблица14[р/р],"5/16",Таблица14[Ф. И. О.],B594)</f>
        <v>0</v>
      </c>
      <c r="U599" s="463">
        <f>база!$M$6</f>
        <v>279.0496</v>
      </c>
      <c r="V599" s="464">
        <v>1.4</v>
      </c>
      <c r="W599" s="465">
        <f>SUMIFS(Таблица14[часы],Таблица14[коэф],"1,4",Таблица14[р/р],"5/24",Таблица14[Ф. И. О.],B594)</f>
        <v>0</v>
      </c>
      <c r="X599" s="468">
        <f>SUMIFS(Таблица14[Столбец2],Таблица14[коэф],"1,4",Таблица14[р/р],"5/24",Таблица14[Ф. И. О.],B594)</f>
        <v>0</v>
      </c>
      <c r="Y599" s="796"/>
      <c r="Z599" s="798"/>
      <c r="AA599" s="787"/>
    </row>
    <row r="600" spans="1:29">
      <c r="A600" s="786">
        <v>55</v>
      </c>
      <c r="B600" s="216"/>
      <c r="C600" s="788">
        <f>INDEX(база!$E$2:$E$98, MATCH(B605,база!$B$2:$B$100,0))</f>
        <v>16303</v>
      </c>
      <c r="D600" s="791">
        <f>INDEX(база!$D$2:$D$121, MATCH(B605,база!$B$2:$B$100,0))</f>
        <v>3</v>
      </c>
      <c r="E600" s="481">
        <f>IF(D600&lt;=3,база!$I$4,
IF(D600=4,база!$I$5,
IF(D600=5,база!$I$6)))</f>
        <v>188.7912</v>
      </c>
      <c r="F600" s="417">
        <v>1</v>
      </c>
      <c r="G600" s="418">
        <f>SUMIFS(Таблица14[часы],Таблица14[коэф],"1",Таблица14[р/р],"2/4",Таблица14[Ф. И. О.],B605)</f>
        <v>0</v>
      </c>
      <c r="H600" s="402">
        <f>SUMIFS(Таблица14[Столбец2],Таблица14[коэф],"1",Таблица14[р/р],"2/4",Таблица14[Ф. И. О.],B605)</f>
        <v>0</v>
      </c>
      <c r="I600" s="452">
        <f>IF(D600&lt;=3,база!$J$4,
IF(D600=4,база!$J$5,
IF(D600=5,база!$J$6)))</f>
        <v>196.05240000000001</v>
      </c>
      <c r="J600" s="475">
        <v>1</v>
      </c>
      <c r="K600" s="453">
        <f>SUMIFS(Таблица14[часы],Таблица14[коэф],"1",Таблица14[р/р],"2/8",Таблица14[Ф. И. О.],B605)</f>
        <v>0</v>
      </c>
      <c r="L600" s="453">
        <f>SUMIFS(Таблица14[Столбец2],Таблица14[коэф],"1",Таблица14[р/р],"2/8",Таблица14[Ф. И. О.],B605)</f>
        <v>0</v>
      </c>
      <c r="M600" s="453"/>
      <c r="N600" s="453">
        <v>1</v>
      </c>
      <c r="O600" s="453">
        <f>SUMIFS(Data_Tech!$AM$3:$AM$67,Data_Tech!$E$3:$E$67,"1",Data_Tech!$G$3:$G$67,"3/12",Data_Tech!$F$3:$F$67,B605)</f>
        <v>0</v>
      </c>
      <c r="P600" s="398">
        <f>ROUND(M600*N600*O600,2)</f>
        <v>0</v>
      </c>
      <c r="Q600" s="481">
        <f>IF(D600&lt;=3,база!$L$4,
IF(D600=4,база!$L$5,
IF(D600=5,база!$L$6)))</f>
        <v>210.57480000000001</v>
      </c>
      <c r="R600" s="417">
        <v>1</v>
      </c>
      <c r="S600" s="418">
        <f>SUMIFS(Таблица14[часы],Таблица14[коэф],"1",Таблица14[р/р],"3/16",Таблица14[Ф. И. О.],B605)</f>
        <v>0</v>
      </c>
      <c r="T600" s="402">
        <f>SUMIFS(Таблица14[Столбец2],Таблица14[коэф],"1",Таблица14[р/р],"3/16",Таблица14[Ф. И. О.],B605)</f>
        <v>0</v>
      </c>
      <c r="U600" s="483">
        <f>IF(D600&lt;=3,база!$M$4,
IF(D600=4,база!$M$5,
IF(D600=5,база!$M$6)))</f>
        <v>225.09719999999999</v>
      </c>
      <c r="V600" s="417">
        <v>1</v>
      </c>
      <c r="W600" s="455">
        <f>SUMIFS(Таблица14[часы],Таблица14[коэф],"1",Таблица14[р/р],"3/24",Таблица14[Ф. И. О.],B605)</f>
        <v>0</v>
      </c>
      <c r="X600" s="552">
        <f>SUMIFS(Таблица14[Столбец2],Таблица14[коэф],"1",Таблица14[р/р],"3/24",Таблица14[Ф. И. О.],B605)</f>
        <v>0</v>
      </c>
      <c r="Y600" s="795">
        <f t="shared" ref="Y600" si="248">SUM(G600:G610,K600:K610,O600:O610,S600:S610,W600:W610)</f>
        <v>0</v>
      </c>
      <c r="Z600" s="797">
        <f t="shared" ref="Z600" si="249">IFERROR(SUM(H600:H610,L600:L610,T600:T610,X600:X610),"")</f>
        <v>0</v>
      </c>
      <c r="AA600" s="786"/>
    </row>
    <row r="601" spans="1:29">
      <c r="A601" s="786"/>
      <c r="B601" s="216"/>
      <c r="C601" s="789"/>
      <c r="D601" s="792"/>
      <c r="E601" s="389">
        <f>IF(D600&lt;=3,база!$I$4,
IF(D600=4,база!$I$5,
IF(D600=5,база!$I$6)))</f>
        <v>188.7912</v>
      </c>
      <c r="F601" s="390">
        <v>1</v>
      </c>
      <c r="G601" s="400">
        <f>SUMIFS(Таблица14[часы],Таблица14[коэф],"1",Таблица14[р/р],"3/4",Таблица14[Ф. И. О.],B605)</f>
        <v>0</v>
      </c>
      <c r="H601" s="392">
        <f>SUMIFS(Таблица14[Столбец2],Таблица14[коэф],"1",Таблица14[р/р],"3/4",Таблица14[Ф. И. О.],B605)</f>
        <v>0</v>
      </c>
      <c r="I601" s="432">
        <f>IF(D600&lt;=3,база!$J$4,
IF(D600=4,база!$J$5,
IF(D600=5,база!$J$6)))</f>
        <v>196.05240000000001</v>
      </c>
      <c r="J601" s="433">
        <v>1</v>
      </c>
      <c r="K601" s="434">
        <f>SUMIFS(Таблица14[часы],Таблица14[коэф],"1",Таблица14[р/р],"3/8",Таблица14[Ф. И. О.],B605)</f>
        <v>0</v>
      </c>
      <c r="L601" s="434">
        <f>SUMIFS(Таблица14[Столбец2],Таблица14[коэф],"1",Таблица14[р/р],"3/8",Таблица14[Ф. И. О.],B605)</f>
        <v>0</v>
      </c>
      <c r="M601" s="434"/>
      <c r="N601" s="434">
        <v>1</v>
      </c>
      <c r="O601" s="434">
        <f>SUMIFS(Data_Tech!$AM$3:$AM$67,Data_Tech!$E$3:$E$67,"1",Data_Tech!$G$3:$G$67,"4/12",Data_Tech!$F$3:$F$67,B605)</f>
        <v>0</v>
      </c>
      <c r="P601" s="406">
        <f>ROUND(M601*O601,2)</f>
        <v>0</v>
      </c>
      <c r="Q601" s="389">
        <f>база!$L$5</f>
        <v>231.45480000000001</v>
      </c>
      <c r="R601" s="390">
        <v>1</v>
      </c>
      <c r="S601" s="400">
        <f>SUMIFS(Таблица14[часы],Таблица14[коэф],"1",Таблица14[р/р],"4/16",Таблица14[Ф. И. О.],B605)</f>
        <v>0</v>
      </c>
      <c r="T601" s="392">
        <f>SUMIFS(Таблица14[Столбец2],Таблица14[коэф],"1",Таблица14[р/р],"4/16",Таблица14[Ф. И. О.],B605)</f>
        <v>0</v>
      </c>
      <c r="U601" s="478">
        <f>база!$M$5</f>
        <v>247.41720000000001</v>
      </c>
      <c r="V601" s="390">
        <v>1</v>
      </c>
      <c r="W601" s="412">
        <f>SUMIFS(Таблица14[часы],Таблица14[коэф],"1",Таблица14[р/р],"4/24",Таблица14[Ф. И. О.],B605)</f>
        <v>0</v>
      </c>
      <c r="X601" s="545">
        <f>SUMIFS(Таблица14[Столбец2],Таблица14[коэф],"1",Таблица14[р/р],"4/24",Таблица14[Ф. И. О.],B605)</f>
        <v>0</v>
      </c>
      <c r="Y601" s="795"/>
      <c r="Z601" s="797"/>
      <c r="AA601" s="786"/>
    </row>
    <row r="602" spans="1:29">
      <c r="A602" s="786"/>
      <c r="B602" s="216"/>
      <c r="C602" s="789"/>
      <c r="D602" s="792"/>
      <c r="E602" s="389"/>
      <c r="F602" s="390"/>
      <c r="G602" s="400"/>
      <c r="H602" s="392"/>
      <c r="I602" s="432"/>
      <c r="J602" s="433"/>
      <c r="K602" s="434"/>
      <c r="L602" s="434"/>
      <c r="M602" s="434"/>
      <c r="N602" s="434"/>
      <c r="O602" s="434"/>
      <c r="P602" s="406"/>
      <c r="Q602" s="389">
        <f>база!$L$6</f>
        <v>261.04640000000001</v>
      </c>
      <c r="R602" s="390">
        <v>1</v>
      </c>
      <c r="S602" s="400">
        <f>SUMIFS(Таблица14[часы],Таблица14[коэф],"1",Таблица14[р/р],"5/16",Таблица14[Ф. И. О.],B605)</f>
        <v>0</v>
      </c>
      <c r="T602" s="392">
        <f>SUMIFS(Таблица14[Столбец2],Таблица14[коэф],"1",Таблица14[р/р],"5/16",Таблица14[Ф. И. О.],B605)</f>
        <v>0</v>
      </c>
      <c r="U602" s="478">
        <f>база!$M$6</f>
        <v>279.0496</v>
      </c>
      <c r="V602" s="390">
        <v>1</v>
      </c>
      <c r="W602" s="412">
        <f>SUMIFS(Таблица14[часы],Таблица14[коэф],"1",Таблица14[р/р],"5/24",Таблица14[Ф. И. О.],B605)</f>
        <v>0</v>
      </c>
      <c r="X602" s="545">
        <f>SUMIFS(Таблица14[Столбец2],Таблица14[коэф],"1",Таблица14[р/р],"5/24",Таблица14[Ф. И. О.],B605)</f>
        <v>0</v>
      </c>
      <c r="Y602" s="795"/>
      <c r="Z602" s="797"/>
      <c r="AA602" s="786"/>
    </row>
    <row r="603" spans="1:29">
      <c r="A603" s="786"/>
      <c r="B603" s="216"/>
      <c r="C603" s="789"/>
      <c r="D603" s="792"/>
      <c r="E603" s="389"/>
      <c r="F603" s="390"/>
      <c r="G603" s="400"/>
      <c r="H603" s="392"/>
      <c r="I603" s="432">
        <f>база!$J$5</f>
        <v>215.4924</v>
      </c>
      <c r="J603" s="433">
        <v>1.5</v>
      </c>
      <c r="K603" s="434">
        <f>SUMIFS(Таблица14[часы],Таблица14[коэф],"1,5",Таблица14[р/р],"4/8",Таблица14[Ф. И. О.],B605)</f>
        <v>0</v>
      </c>
      <c r="L603" s="434">
        <f>SUMIFS(Таблица14[Столбец2],Таблица14[коэф],"1,5",Таблица14[р/р],"4/8",Таблица14[Ф. И. О.],B605)</f>
        <v>0</v>
      </c>
      <c r="M603" s="434"/>
      <c r="N603" s="434"/>
      <c r="O603" s="434"/>
      <c r="P603" s="406"/>
      <c r="Q603" s="389">
        <f>IF(D600&lt;=3,база!$L$4,
IF(D600=4,база!$L$5,
IF(D600=5,база!$L$6)))</f>
        <v>210.57480000000001</v>
      </c>
      <c r="R603" s="390">
        <v>1.2</v>
      </c>
      <c r="S603" s="400">
        <f>SUMIFS(Таблица14[часы],Таблица14[коэф],"1,2",Таблица14[р/р],"3/16",Таблица14[Ф. И. О.],B605)</f>
        <v>0</v>
      </c>
      <c r="T603" s="392">
        <f>SUMIFS(Таблица14[Столбец2],Таблица14[коэф],"1,2",Таблица14[р/р],"3/16",Таблица14[Ф. И. О.],B605)</f>
        <v>0</v>
      </c>
      <c r="U603" s="478">
        <f>IF(D600&lt;=3,база!$M$4,
IF(D600=4,база!$M$5,
IF(D600=5,база!$M$6)))</f>
        <v>225.09719999999999</v>
      </c>
      <c r="V603" s="390">
        <v>1.2</v>
      </c>
      <c r="W603" s="412">
        <f>SUMIFS(Таблица14[часы],Таблица14[коэф],"1,2",Таблица14[р/р],"3/24",Таблица14[Ф. И. О.],B605)</f>
        <v>0</v>
      </c>
      <c r="X603" s="545">
        <f>SUMIFS(Таблица14[Столбец2],Таблица14[коэф],"1,2",Таблица14[р/р],"3/24",Таблица14[Ф. И. О.],B605)</f>
        <v>0</v>
      </c>
      <c r="Y603" s="795"/>
      <c r="Z603" s="797"/>
      <c r="AA603" s="786"/>
    </row>
    <row r="604" spans="1:29">
      <c r="A604" s="786"/>
      <c r="B604" s="216"/>
      <c r="C604" s="789"/>
      <c r="D604" s="792"/>
      <c r="E604" s="389"/>
      <c r="F604" s="390"/>
      <c r="G604" s="400"/>
      <c r="H604" s="392"/>
      <c r="I604" s="432">
        <f>база!$J$6</f>
        <v>243.04319999999998</v>
      </c>
      <c r="J604" s="433">
        <v>1.5</v>
      </c>
      <c r="K604" s="434">
        <f>SUMIFS(Таблица14[часы],Таблица14[коэф],"1,5",Таблица14[р/р],"5/8",Таблица14[Ф. И. О.],B605)</f>
        <v>0</v>
      </c>
      <c r="L604" s="434">
        <f>SUMIFS(Таблица14[Столбец2],Таблица14[коэф],"1,5",Таблица14[р/р],"5/8",Таблица14[Ф. И. О.],B605)</f>
        <v>0</v>
      </c>
      <c r="M604" s="434"/>
      <c r="N604" s="434"/>
      <c r="O604" s="434"/>
      <c r="P604" s="406"/>
      <c r="Q604" s="389">
        <f>база!$L$5</f>
        <v>231.45480000000001</v>
      </c>
      <c r="R604" s="390">
        <v>1.2</v>
      </c>
      <c r="S604" s="400">
        <f>SUMIFS(Таблица14[часы],Таблица14[коэф],"1,2",Таблица14[р/р],"4/16",Таблица14[Ф. И. О.],B605)</f>
        <v>0</v>
      </c>
      <c r="T604" s="392">
        <f>SUMIFS(Таблица14[Столбец2],Таблица14[коэф],"1,2",Таблица14[р/р],"4/16",Таблица14[Ф. И. О.],B605)</f>
        <v>0</v>
      </c>
      <c r="U604" s="478">
        <f>база!$M$5</f>
        <v>247.41720000000001</v>
      </c>
      <c r="V604" s="390">
        <v>1.2</v>
      </c>
      <c r="W604" s="412">
        <f>SUMIFS(Таблица14[часы],Таблица14[коэф],"1,2",Таблица14[р/р],"4/24",Таблица14[Ф. И. О.],B605)</f>
        <v>0</v>
      </c>
      <c r="X604" s="545">
        <f>SUMIFS(Таблица14[Столбец2],Таблица14[коэф],"1,2",Таблица14[р/р],"4/24",Таблица14[Ф. И. О.],B605)</f>
        <v>0</v>
      </c>
      <c r="Y604" s="795"/>
      <c r="Z604" s="797"/>
      <c r="AA604" s="786"/>
    </row>
    <row r="605" spans="1:29">
      <c r="A605" s="786"/>
      <c r="B605" s="216" t="str">
        <f>база!B56</f>
        <v>Нагловская Наталья Анатольевна</v>
      </c>
      <c r="C605" s="789"/>
      <c r="D605" s="792"/>
      <c r="E605" s="389"/>
      <c r="F605" s="390"/>
      <c r="G605" s="400"/>
      <c r="H605" s="392"/>
      <c r="I605" s="432"/>
      <c r="J605" s="433"/>
      <c r="K605" s="434"/>
      <c r="L605" s="434"/>
      <c r="M605" s="434"/>
      <c r="N605" s="434"/>
      <c r="O605" s="434"/>
      <c r="P605" s="406"/>
      <c r="Q605" s="389">
        <f>база!$L$6</f>
        <v>261.04640000000001</v>
      </c>
      <c r="R605" s="390">
        <v>1.2</v>
      </c>
      <c r="S605" s="400">
        <f>SUMIFS(Таблица14[часы],Таблица14[коэф],"1,2",Таблица14[р/р],"5/16",Таблица14[Ф. И. О.],B605)</f>
        <v>0</v>
      </c>
      <c r="T605" s="392">
        <f>SUMIFS(Таблица14[Столбец2],Таблица14[коэф],"1,2",Таблица14[р/р],"5/16",Таблица14[Ф. И. О.],B605)</f>
        <v>0</v>
      </c>
      <c r="U605" s="478">
        <f>база!$M$6</f>
        <v>279.0496</v>
      </c>
      <c r="V605" s="390">
        <v>1.2</v>
      </c>
      <c r="W605" s="412">
        <f>SUMIFS(Таблица14[часы],Таблица14[коэф],"1,2",Таблица14[р/р],"5/24",Таблица14[Ф. И. О.],B605)</f>
        <v>0</v>
      </c>
      <c r="X605" s="545">
        <f>SUMIFS(Таблица14[Столбец2],Таблица14[коэф],"1,2",Таблица14[р/р],"5/24",Таблица14[Ф. И. О.],B605)</f>
        <v>0</v>
      </c>
      <c r="Y605" s="795"/>
      <c r="Z605" s="797"/>
      <c r="AA605" s="786"/>
      <c r="AC605" s="754" t="str">
        <f>IF(SUMIFS(Таблица14[Столбец2],Таблица14[Ф. И. О.],B605)-Z600=0,"",SUMIFS(Таблица14[Столбец2],Таблица14[Ф. И. О.],B605)-Z600)</f>
        <v/>
      </c>
    </row>
    <row r="606" spans="1:29">
      <c r="A606" s="786"/>
      <c r="B606" s="216"/>
      <c r="C606" s="789"/>
      <c r="D606" s="792"/>
      <c r="E606" s="389"/>
      <c r="F606" s="390"/>
      <c r="G606" s="400"/>
      <c r="H606" s="392"/>
      <c r="I606" s="432"/>
      <c r="J606" s="433"/>
      <c r="K606" s="434"/>
      <c r="L606" s="434"/>
      <c r="M606" s="434"/>
      <c r="N606" s="434"/>
      <c r="O606" s="434"/>
      <c r="P606" s="406"/>
      <c r="Q606" s="389">
        <f>IF($D$6&lt;=3,база!$L$4,
IF($D$6=4,база!$L$5,
IF($D$6=5,база!$L$6)))</f>
        <v>231.45480000000001</v>
      </c>
      <c r="R606" s="390">
        <v>1.3</v>
      </c>
      <c r="S606" s="400">
        <f>SUMIFS(Таблица14[часы],Таблица14[коэф],"1,3",Таблица14[р/р],"3/16",Таблица14[Ф. И. О.],B605)</f>
        <v>0</v>
      </c>
      <c r="T606" s="392">
        <f>SUMIFS(Таблица14[Столбец2],Таблица14[коэф],"1,3",Таблица14[р/р],"3/16",Таблица14[Ф. И. О.],B605)</f>
        <v>0</v>
      </c>
      <c r="U606" s="478">
        <f>IF(D600&lt;=3,база!$M$4,
IF(D600=4,база!$M$5,
IF(D600=5,база!$M$6)))</f>
        <v>225.09719999999999</v>
      </c>
      <c r="V606" s="390">
        <v>1.3</v>
      </c>
      <c r="W606" s="412">
        <f>SUMIFS(Таблица14[часы],Таблица14[коэф],"1,3",Таблица14[р/р],"3/24",Таблица14[Ф. И. О.],B605)</f>
        <v>0</v>
      </c>
      <c r="X606" s="545">
        <f>SUMIFS(Таблица14[Столбец2],Таблица14[коэф],"1,3",Таблица14[р/р],"3/24",Таблица14[Ф. И. О.],B605)</f>
        <v>0</v>
      </c>
      <c r="Y606" s="795"/>
      <c r="Z606" s="797"/>
      <c r="AA606" s="786"/>
      <c r="AC606" s="754" t="str">
        <f>IF(SUMIFS(Таблица14[часы],Таблица14[Ф. И. О.],B605)-Y600=0,"",SUMIFS(Таблица14[часы],Таблица14[Ф. И. О.],B605)-Y600)</f>
        <v/>
      </c>
    </row>
    <row r="607" spans="1:29">
      <c r="A607" s="786"/>
      <c r="B607" s="216"/>
      <c r="C607" s="789"/>
      <c r="D607" s="792"/>
      <c r="E607" s="389"/>
      <c r="F607" s="390"/>
      <c r="G607" s="400"/>
      <c r="H607" s="392"/>
      <c r="I607" s="432"/>
      <c r="J607" s="433"/>
      <c r="K607" s="434"/>
      <c r="L607" s="434"/>
      <c r="M607" s="434"/>
      <c r="N607" s="434"/>
      <c r="O607" s="434"/>
      <c r="P607" s="406"/>
      <c r="Q607" s="389">
        <f>база!$L$5</f>
        <v>231.45480000000001</v>
      </c>
      <c r="R607" s="390">
        <v>1.3</v>
      </c>
      <c r="S607" s="400">
        <f>SUMIFS(Таблица14[часы],Таблица14[коэф],"1,3",Таблица14[р/р],"4/16",Таблица14[Ф. И. О.],B605)</f>
        <v>0</v>
      </c>
      <c r="T607" s="392">
        <f>SUMIFS(Таблица14[Столбец2],Таблица14[коэф],"1,3",Таблица14[р/р],"4/16",Таблица14[Ф. И. О.],B605)</f>
        <v>0</v>
      </c>
      <c r="U607" s="478">
        <f>база!$M$5</f>
        <v>247.41720000000001</v>
      </c>
      <c r="V607" s="390">
        <v>1.3</v>
      </c>
      <c r="W607" s="412">
        <f>SUMIFS(Таблица14[часы],Таблица14[коэф],"1,3",Таблица14[р/р],"4/24",Таблица14[Ф. И. О.],B605)</f>
        <v>0</v>
      </c>
      <c r="X607" s="545">
        <f>SUMIFS(Таблица14[Столбец2],Таблица14[коэф],"1,3",Таблица14[р/р],"4/24",Таблица14[Ф. И. О.],B605)</f>
        <v>0</v>
      </c>
      <c r="Y607" s="795"/>
      <c r="Z607" s="797"/>
      <c r="AA607" s="786"/>
    </row>
    <row r="608" spans="1:29">
      <c r="A608" s="786"/>
      <c r="B608" s="216"/>
      <c r="C608" s="789"/>
      <c r="D608" s="792"/>
      <c r="E608" s="389"/>
      <c r="F608" s="390"/>
      <c r="G608" s="400"/>
      <c r="H608" s="392"/>
      <c r="I608" s="432"/>
      <c r="J608" s="433"/>
      <c r="K608" s="434"/>
      <c r="L608" s="434"/>
      <c r="M608" s="434"/>
      <c r="N608" s="434"/>
      <c r="O608" s="434"/>
      <c r="P608" s="406"/>
      <c r="Q608" s="389">
        <f>IF(D600&lt;=3,база!$L$4,
IF(D600=4,база!$L$5,
IF(D600=5,база!$L$6)))</f>
        <v>210.57480000000001</v>
      </c>
      <c r="R608" s="390">
        <v>1.4</v>
      </c>
      <c r="S608" s="400">
        <f>SUMIFS(Таблица14[часы],Таблица14[коэф],"1,4",Таблица14[р/р],"3/16",Таблица14[Ф. И. О.],B605)</f>
        <v>0</v>
      </c>
      <c r="T608" s="392">
        <f>SUMIFS(Таблица14[Столбец2],Таблица14[коэф],"1,4",Таблица14[р/р],"3/16",Таблица14[Ф. И. О.],B605)</f>
        <v>0</v>
      </c>
      <c r="U608" s="478">
        <f>IF(D600&lt;=3,база!$M$4,
IF(D600=4,база!$M$5,
IF(D600=5,база!$M$6)))</f>
        <v>225.09719999999999</v>
      </c>
      <c r="V608" s="390">
        <v>1.4</v>
      </c>
      <c r="W608" s="412">
        <f>SUMIFS(Таблица14[часы],Таблица14[коэф],"1,4",Таблица14[р/р],"3/24",Таблица14[Ф. И. О.],B605)</f>
        <v>0</v>
      </c>
      <c r="X608" s="545">
        <f>SUMIFS(Таблица14[Столбец2],Таблица14[коэф],"1,4",Таблица14[р/р],"3/24",Таблица14[Ф. И. О.],B605)</f>
        <v>0</v>
      </c>
      <c r="Y608" s="795"/>
      <c r="Z608" s="797"/>
      <c r="AA608" s="786"/>
    </row>
    <row r="609" spans="1:29">
      <c r="A609" s="786"/>
      <c r="B609" s="216"/>
      <c r="C609" s="789"/>
      <c r="D609" s="792"/>
      <c r="E609" s="389"/>
      <c r="F609" s="390"/>
      <c r="G609" s="400"/>
      <c r="H609" s="392"/>
      <c r="I609" s="432"/>
      <c r="J609" s="433"/>
      <c r="K609" s="434"/>
      <c r="L609" s="434"/>
      <c r="M609" s="434"/>
      <c r="N609" s="434"/>
      <c r="O609" s="434"/>
      <c r="P609" s="406"/>
      <c r="Q609" s="389">
        <f>база!$L$5</f>
        <v>231.45480000000001</v>
      </c>
      <c r="R609" s="390">
        <v>1.4</v>
      </c>
      <c r="S609" s="400">
        <f>SUMIFS(Таблица14[часы],Таблица14[коэф],"1,4",Таблица14[р/р],"4/16",Таблица14[Ф. И. О.],B605)</f>
        <v>0</v>
      </c>
      <c r="T609" s="392">
        <f>SUMIFS(Таблица14[Столбец2],Таблица14[коэф],"1,4",Таблица14[р/р],"4/16",Таблица14[Ф. И. О.],B605)</f>
        <v>0</v>
      </c>
      <c r="U609" s="478">
        <f>база!$M$5</f>
        <v>247.41720000000001</v>
      </c>
      <c r="V609" s="390">
        <v>1.4</v>
      </c>
      <c r="W609" s="412">
        <f>SUMIFS(Таблица14[часы],Таблица14[коэф],"1,4",Таблица14[р/р],"4/24",Таблица14[Ф. И. О.],B605)</f>
        <v>0</v>
      </c>
      <c r="X609" s="545">
        <f>SUMIFS(Таблица14[Столбец2],Таблица14[коэф],"1,4",Таблица14[р/р],"4/24",Таблица14[Ф. И. О.],B605)</f>
        <v>0</v>
      </c>
      <c r="Y609" s="795"/>
      <c r="Z609" s="797"/>
      <c r="AA609" s="786"/>
    </row>
    <row r="610" spans="1:29" ht="21" thickBot="1">
      <c r="A610" s="787"/>
      <c r="B610" s="352"/>
      <c r="C610" s="790"/>
      <c r="D610" s="793"/>
      <c r="E610" s="473"/>
      <c r="F610" s="464"/>
      <c r="G610" s="657"/>
      <c r="H610" s="468"/>
      <c r="I610" s="651"/>
      <c r="J610" s="456"/>
      <c r="K610" s="652"/>
      <c r="L610" s="457"/>
      <c r="M610" s="651"/>
      <c r="N610" s="652"/>
      <c r="O610" s="652"/>
      <c r="P610" s="476"/>
      <c r="Q610" s="658">
        <f>база!$L$6</f>
        <v>261.04640000000001</v>
      </c>
      <c r="R610" s="464">
        <v>1.4</v>
      </c>
      <c r="S610" s="465">
        <f>SUMIFS(Таблица14[часы],Таблица14[коэф],"1,4",Таблица14[р/р],"5/16",Таблица14[Ф. И. О.],B605)</f>
        <v>0</v>
      </c>
      <c r="T610" s="468">
        <f>SUMIFS(Таблица14[Столбец2],Таблица14[коэф],"1,4",Таблица14[р/р],"5/16",Таблица14[Ф. И. О.],B605)</f>
        <v>0</v>
      </c>
      <c r="U610" s="463">
        <f>база!$M$6</f>
        <v>279.0496</v>
      </c>
      <c r="V610" s="464">
        <v>1.4</v>
      </c>
      <c r="W610" s="465">
        <f>SUMIFS(Таблица14[часы],Таблица14[коэф],"1,4",Таблица14[р/р],"5/24",Таблица14[Ф. И. О.],B605)</f>
        <v>0</v>
      </c>
      <c r="X610" s="468">
        <f>SUMIFS(Таблица14[Столбец2],Таблица14[коэф],"1,4",Таблица14[р/р],"5/24",Таблица14[Ф. И. О.],B605)</f>
        <v>0</v>
      </c>
      <c r="Y610" s="796"/>
      <c r="Z610" s="798"/>
      <c r="AA610" s="787"/>
    </row>
    <row r="611" spans="1:29">
      <c r="A611" s="786">
        <v>56</v>
      </c>
      <c r="B611" s="216"/>
      <c r="C611" s="788">
        <f>INDEX(база!$E$2:$E$98, MATCH(B616,база!$B$2:$B$100,0))</f>
        <v>17164</v>
      </c>
      <c r="D611" s="791">
        <f>INDEX(база!$D$2:$D$121, MATCH(B616,база!$B$2:$B$100,0))</f>
        <v>3</v>
      </c>
      <c r="E611" s="481">
        <f>IF(D611&lt;=3,база!$I$4,
IF(D611=4,база!$I$5,
IF(D611=5,база!$I$6)))</f>
        <v>188.7912</v>
      </c>
      <c r="F611" s="417">
        <v>1</v>
      </c>
      <c r="G611" s="418">
        <f>SUMIFS(Таблица14[часы],Таблица14[коэф],"1",Таблица14[р/р],"2/4",Таблица14[Ф. И. О.],B616)</f>
        <v>0</v>
      </c>
      <c r="H611" s="402">
        <f>SUMIFS(Таблица14[Столбец2],Таблица14[коэф],"1",Таблица14[р/р],"2/4",Таблица14[Ф. И. О.],B616)</f>
        <v>0</v>
      </c>
      <c r="I611" s="452">
        <f>IF(D611&lt;=3,база!$J$4,
IF(D611=4,база!$J$5,
IF(D611=5,база!$J$6)))</f>
        <v>196.05240000000001</v>
      </c>
      <c r="J611" s="475">
        <v>1</v>
      </c>
      <c r="K611" s="453">
        <f>SUMIFS(Таблица14[часы],Таблица14[коэф],"1",Таблица14[р/р],"2/8",Таблица14[Ф. И. О.],B616)</f>
        <v>0</v>
      </c>
      <c r="L611" s="453">
        <f>SUMIFS(Таблица14[Столбец2],Таблица14[коэф],"1",Таблица14[р/р],"2/8",Таблица14[Ф. И. О.],B616)</f>
        <v>0</v>
      </c>
      <c r="M611" s="453"/>
      <c r="N611" s="453">
        <v>1</v>
      </c>
      <c r="O611" s="453">
        <f>SUMIFS(Data_Tech!$AM$3:$AM$67,Data_Tech!$E$3:$E$67,"1",Data_Tech!$G$3:$G$67,"3/12",Data_Tech!$F$3:$F$67,B616)</f>
        <v>0</v>
      </c>
      <c r="P611" s="398">
        <f>ROUND(M611*N611*O611,2)</f>
        <v>0</v>
      </c>
      <c r="Q611" s="481">
        <f>IF(D611&lt;=3,база!$L$4,
IF(D611=4,база!$L$5,
IF(D611=5,база!$L$6)))</f>
        <v>210.57480000000001</v>
      </c>
      <c r="R611" s="417">
        <v>1</v>
      </c>
      <c r="S611" s="418">
        <f>SUMIFS(Таблица14[часы],Таблица14[коэф],"1",Таблица14[р/р],"3/16",Таблица14[Ф. И. О.],B616)</f>
        <v>0</v>
      </c>
      <c r="T611" s="402">
        <f>SUMIFS(Таблица14[Столбец2],Таблица14[коэф],"1",Таблица14[р/р],"3/16",Таблица14[Ф. И. О.],B616)</f>
        <v>0</v>
      </c>
      <c r="U611" s="483">
        <f>IF(D611&lt;=3,база!$M$4,
IF(D611=4,база!$M$5,
IF(D611=5,база!$M$6)))</f>
        <v>225.09719999999999</v>
      </c>
      <c r="V611" s="417">
        <v>1</v>
      </c>
      <c r="W611" s="455">
        <f>SUMIFS(Таблица14[часы],Таблица14[коэф],"1",Таблица14[р/р],"3/24",Таблица14[Ф. И. О.],B616)</f>
        <v>0</v>
      </c>
      <c r="X611" s="552">
        <f>SUMIFS(Таблица14[Столбец2],Таблица14[коэф],"1",Таблица14[р/р],"3/24",Таблица14[Ф. И. О.],B616)</f>
        <v>0</v>
      </c>
      <c r="Y611" s="795">
        <f t="shared" ref="Y611" si="250">SUM(G611:G621,K611:K621,O611:O621,S611:S621,W611:W621)</f>
        <v>0</v>
      </c>
      <c r="Z611" s="797">
        <f t="shared" ref="Z611" si="251">IFERROR(SUM(H611:H621,L611:L621,T611:T621,X611:X621),"")</f>
        <v>0</v>
      </c>
      <c r="AA611" s="786"/>
    </row>
    <row r="612" spans="1:29">
      <c r="A612" s="786"/>
      <c r="B612" s="216"/>
      <c r="C612" s="789"/>
      <c r="D612" s="792"/>
      <c r="E612" s="389">
        <f>IF(D611&lt;=3,база!$I$4,
IF(D611=4,база!$I$5,
IF(D611=5,база!$I$6)))</f>
        <v>188.7912</v>
      </c>
      <c r="F612" s="390">
        <v>1</v>
      </c>
      <c r="G612" s="400">
        <f>SUMIFS(Таблица14[часы],Таблица14[коэф],"1",Таблица14[р/р],"3/4",Таблица14[Ф. И. О.],B616)</f>
        <v>0</v>
      </c>
      <c r="H612" s="392">
        <f>SUMIFS(Таблица14[Столбец2],Таблица14[коэф],"1",Таблица14[р/р],"3/4",Таблица14[Ф. И. О.],B616)</f>
        <v>0</v>
      </c>
      <c r="I612" s="432">
        <f>IF(D611&lt;=3,база!$J$4,
IF(D611=4,база!$J$5,
IF(D611=5,база!$J$6)))</f>
        <v>196.05240000000001</v>
      </c>
      <c r="J612" s="433">
        <v>1</v>
      </c>
      <c r="K612" s="434">
        <f>SUMIFS(Таблица14[часы],Таблица14[коэф],"1",Таблица14[р/р],"3/8",Таблица14[Ф. И. О.],B616)</f>
        <v>0</v>
      </c>
      <c r="L612" s="434">
        <f>SUMIFS(Таблица14[Столбец2],Таблица14[коэф],"1",Таблица14[р/р],"3/8",Таблица14[Ф. И. О.],B616)</f>
        <v>0</v>
      </c>
      <c r="M612" s="434"/>
      <c r="N612" s="434">
        <v>1</v>
      </c>
      <c r="O612" s="434">
        <f>SUMIFS(Data_Tech!$AM$3:$AM$67,Data_Tech!$E$3:$E$67,"1",Data_Tech!$G$3:$G$67,"4/12",Data_Tech!$F$3:$F$67,B616)</f>
        <v>0</v>
      </c>
      <c r="P612" s="406">
        <f>ROUND(M612*O612,2)</f>
        <v>0</v>
      </c>
      <c r="Q612" s="389">
        <f>база!$L$5</f>
        <v>231.45480000000001</v>
      </c>
      <c r="R612" s="390">
        <v>1</v>
      </c>
      <c r="S612" s="400">
        <f>SUMIFS(Таблица14[часы],Таблица14[коэф],"1",Таблица14[р/р],"4/16",Таблица14[Ф. И. О.],B616)</f>
        <v>0</v>
      </c>
      <c r="T612" s="392">
        <f>SUMIFS(Таблица14[Столбец2],Таблица14[коэф],"1",Таблица14[р/р],"4/16",Таблица14[Ф. И. О.],B616)</f>
        <v>0</v>
      </c>
      <c r="U612" s="478">
        <f>база!$M$5</f>
        <v>247.41720000000001</v>
      </c>
      <c r="V612" s="390">
        <v>1</v>
      </c>
      <c r="W612" s="412">
        <f>SUMIFS(Таблица14[часы],Таблица14[коэф],"1",Таблица14[р/р],"4/24",Таблица14[Ф. И. О.],B616)</f>
        <v>0</v>
      </c>
      <c r="X612" s="545">
        <f>SUMIFS(Таблица14[Столбец2],Таблица14[коэф],"1",Таблица14[р/р],"4/24",Таблица14[Ф. И. О.],B616)</f>
        <v>0</v>
      </c>
      <c r="Y612" s="795"/>
      <c r="Z612" s="797"/>
      <c r="AA612" s="786"/>
    </row>
    <row r="613" spans="1:29">
      <c r="A613" s="786"/>
      <c r="B613" s="216"/>
      <c r="C613" s="789"/>
      <c r="D613" s="792"/>
      <c r="E613" s="389"/>
      <c r="F613" s="390"/>
      <c r="G613" s="400"/>
      <c r="H613" s="392"/>
      <c r="I613" s="432"/>
      <c r="J613" s="433"/>
      <c r="K613" s="434"/>
      <c r="L613" s="434"/>
      <c r="M613" s="434"/>
      <c r="N613" s="434"/>
      <c r="O613" s="434"/>
      <c r="P613" s="406"/>
      <c r="Q613" s="389">
        <f>база!$L$6</f>
        <v>261.04640000000001</v>
      </c>
      <c r="R613" s="390">
        <v>1</v>
      </c>
      <c r="S613" s="400">
        <f>SUMIFS(Таблица14[часы],Таблица14[коэф],"1",Таблица14[р/р],"5/16",Таблица14[Ф. И. О.],B616)</f>
        <v>0</v>
      </c>
      <c r="T613" s="392">
        <f>SUMIFS(Таблица14[Столбец2],Таблица14[коэф],"1",Таблица14[р/р],"5/16",Таблица14[Ф. И. О.],B616)</f>
        <v>0</v>
      </c>
      <c r="U613" s="478">
        <f>база!$M$6</f>
        <v>279.0496</v>
      </c>
      <c r="V613" s="390">
        <v>1</v>
      </c>
      <c r="W613" s="412">
        <f>SUMIFS(Таблица14[часы],Таблица14[коэф],"1",Таблица14[р/р],"5/24",Таблица14[Ф. И. О.],B616)</f>
        <v>0</v>
      </c>
      <c r="X613" s="545">
        <f>SUMIFS(Таблица14[Столбец2],Таблица14[коэф],"1",Таблица14[р/р],"5/24",Таблица14[Ф. И. О.],B616)</f>
        <v>0</v>
      </c>
      <c r="Y613" s="795"/>
      <c r="Z613" s="797"/>
      <c r="AA613" s="786"/>
    </row>
    <row r="614" spans="1:29">
      <c r="A614" s="786"/>
      <c r="B614" s="216"/>
      <c r="C614" s="789"/>
      <c r="D614" s="792"/>
      <c r="E614" s="389"/>
      <c r="F614" s="390"/>
      <c r="G614" s="400"/>
      <c r="H614" s="392"/>
      <c r="I614" s="432">
        <f>база!$J$5</f>
        <v>215.4924</v>
      </c>
      <c r="J614" s="433">
        <v>1.5</v>
      </c>
      <c r="K614" s="434">
        <f>SUMIFS(Таблица14[часы],Таблица14[коэф],"1,5",Таблица14[р/р],"4/8",Таблица14[Ф. И. О.],B616)</f>
        <v>0</v>
      </c>
      <c r="L614" s="434">
        <f>SUMIFS(Таблица14[Столбец2],Таблица14[коэф],"1,5",Таблица14[р/р],"4/8",Таблица14[Ф. И. О.],B616)</f>
        <v>0</v>
      </c>
      <c r="M614" s="434"/>
      <c r="N614" s="434"/>
      <c r="O614" s="434"/>
      <c r="P614" s="406"/>
      <c r="Q614" s="389">
        <f>IF(D611&lt;=3,база!$L$4,
IF(D611=4,база!$L$5,
IF(D611=5,база!$L$6)))</f>
        <v>210.57480000000001</v>
      </c>
      <c r="R614" s="390">
        <v>1.2</v>
      </c>
      <c r="S614" s="400">
        <f>SUMIFS(Таблица14[часы],Таблица14[коэф],"1,2",Таблица14[р/р],"3/16",Таблица14[Ф. И. О.],B616)</f>
        <v>0</v>
      </c>
      <c r="T614" s="392">
        <f>SUMIFS(Таблица14[Столбец2],Таблица14[коэф],"1,2",Таблица14[р/р],"3/16",Таблица14[Ф. И. О.],B616)</f>
        <v>0</v>
      </c>
      <c r="U614" s="478">
        <f>IF(D611&lt;=3,база!$M$4,
IF(D611=4,база!$M$5,
IF(D611=5,база!$M$6)))</f>
        <v>225.09719999999999</v>
      </c>
      <c r="V614" s="390">
        <v>1.2</v>
      </c>
      <c r="W614" s="412">
        <f>SUMIFS(Таблица14[часы],Таблица14[коэф],"1,2",Таблица14[р/р],"3/24",Таблица14[Ф. И. О.],B616)</f>
        <v>0</v>
      </c>
      <c r="X614" s="545">
        <f>SUMIFS(Таблица14[Столбец2],Таблица14[коэф],"1,2",Таблица14[р/р],"3/24",Таблица14[Ф. И. О.],B616)</f>
        <v>0</v>
      </c>
      <c r="Y614" s="795"/>
      <c r="Z614" s="797"/>
      <c r="AA614" s="786"/>
    </row>
    <row r="615" spans="1:29">
      <c r="A615" s="786"/>
      <c r="B615" s="216"/>
      <c r="C615" s="789"/>
      <c r="D615" s="792"/>
      <c r="E615" s="389"/>
      <c r="F615" s="390"/>
      <c r="G615" s="400"/>
      <c r="H615" s="392"/>
      <c r="I615" s="432">
        <f>база!$J$6</f>
        <v>243.04319999999998</v>
      </c>
      <c r="J615" s="433">
        <v>1.5</v>
      </c>
      <c r="K615" s="434">
        <f>SUMIFS(Таблица14[часы],Таблица14[коэф],"1,5",Таблица14[р/р],"5/8",Таблица14[Ф. И. О.],B616)</f>
        <v>0</v>
      </c>
      <c r="L615" s="434">
        <f>SUMIFS(Таблица14[Столбец2],Таблица14[коэф],"1,5",Таблица14[р/р],"5/8",Таблица14[Ф. И. О.],B616)</f>
        <v>0</v>
      </c>
      <c r="M615" s="434"/>
      <c r="N615" s="434"/>
      <c r="O615" s="434"/>
      <c r="P615" s="406"/>
      <c r="Q615" s="389">
        <f>база!$L$5</f>
        <v>231.45480000000001</v>
      </c>
      <c r="R615" s="390">
        <v>1.2</v>
      </c>
      <c r="S615" s="400">
        <f>SUMIFS(Таблица14[часы],Таблица14[коэф],"1,2",Таблица14[р/р],"4/16",Таблица14[Ф. И. О.],B616)</f>
        <v>0</v>
      </c>
      <c r="T615" s="392">
        <f>SUMIFS(Таблица14[Столбец2],Таблица14[коэф],"1,2",Таблица14[р/р],"4/16",Таблица14[Ф. И. О.],B616)</f>
        <v>0</v>
      </c>
      <c r="U615" s="478">
        <f>база!$M$5</f>
        <v>247.41720000000001</v>
      </c>
      <c r="V615" s="390">
        <v>1.2</v>
      </c>
      <c r="W615" s="412">
        <f>SUMIFS(Таблица14[часы],Таблица14[коэф],"1,2",Таблица14[р/р],"4/24",Таблица14[Ф. И. О.],B616)</f>
        <v>0</v>
      </c>
      <c r="X615" s="545">
        <f>SUMIFS(Таблица14[Столбец2],Таблица14[коэф],"1,2",Таблица14[р/р],"4/24",Таблица14[Ф. И. О.],B616)</f>
        <v>0</v>
      </c>
      <c r="Y615" s="795"/>
      <c r="Z615" s="797"/>
      <c r="AA615" s="786"/>
      <c r="AC615" s="754" t="str">
        <f>IF(SUMIFS(Таблица14[Столбец2],Таблица14[Ф. И. О.],B616)-Z611=0,"",SUMIFS(Таблица14[Столбец2],Таблица14[Ф. И. О.],B616)-Z611)</f>
        <v/>
      </c>
    </row>
    <row r="616" spans="1:29">
      <c r="A616" s="786"/>
      <c r="B616" s="216" t="str">
        <f>база!B57</f>
        <v>Никифорова Юлия Анатольевна</v>
      </c>
      <c r="C616" s="789"/>
      <c r="D616" s="792"/>
      <c r="E616" s="389"/>
      <c r="F616" s="390"/>
      <c r="G616" s="400"/>
      <c r="H616" s="392"/>
      <c r="I616" s="432"/>
      <c r="J616" s="433"/>
      <c r="K616" s="434"/>
      <c r="L616" s="434"/>
      <c r="M616" s="434"/>
      <c r="N616" s="434"/>
      <c r="O616" s="434"/>
      <c r="P616" s="406"/>
      <c r="Q616" s="389">
        <f>база!$L$6</f>
        <v>261.04640000000001</v>
      </c>
      <c r="R616" s="390">
        <v>1.2</v>
      </c>
      <c r="S616" s="400">
        <f>SUMIFS(Таблица14[часы],Таблица14[коэф],"1,2",Таблица14[р/р],"5/16",Таблица14[Ф. И. О.],B616)</f>
        <v>0</v>
      </c>
      <c r="T616" s="392">
        <f>SUMIFS(Таблица14[Столбец2],Таблица14[коэф],"1,2",Таблица14[р/р],"5/16",Таблица14[Ф. И. О.],B616)</f>
        <v>0</v>
      </c>
      <c r="U616" s="478">
        <f>база!$M$6</f>
        <v>279.0496</v>
      </c>
      <c r="V616" s="390">
        <v>1.2</v>
      </c>
      <c r="W616" s="412">
        <f>SUMIFS(Таблица14[часы],Таблица14[коэф],"1,2",Таблица14[р/р],"5/24",Таблица14[Ф. И. О.],B616)</f>
        <v>0</v>
      </c>
      <c r="X616" s="545">
        <f>SUMIFS(Таблица14[Столбец2],Таблица14[коэф],"1,2",Таблица14[р/р],"5/24",Таблица14[Ф. И. О.],B616)</f>
        <v>0</v>
      </c>
      <c r="Y616" s="795"/>
      <c r="Z616" s="797"/>
      <c r="AA616" s="786"/>
      <c r="AC616" s="754" t="str">
        <f>IF(SUMIFS(Таблица14[часы],Таблица14[Ф. И. О.],B616)-Y611=0,"",SUMIFS(Таблица14[часы],Таблица14[Ф. И. О.],B616)-Y611)</f>
        <v/>
      </c>
    </row>
    <row r="617" spans="1:29">
      <c r="A617" s="786"/>
      <c r="B617" s="216"/>
      <c r="C617" s="789"/>
      <c r="D617" s="792"/>
      <c r="E617" s="389"/>
      <c r="F617" s="390"/>
      <c r="G617" s="400"/>
      <c r="H617" s="392"/>
      <c r="I617" s="432"/>
      <c r="J617" s="433"/>
      <c r="K617" s="434"/>
      <c r="L617" s="434"/>
      <c r="M617" s="434"/>
      <c r="N617" s="434"/>
      <c r="O617" s="434"/>
      <c r="P617" s="406"/>
      <c r="Q617" s="389">
        <f>IF($D$6&lt;=3,база!$L$4,
IF($D$6=4,база!$L$5,
IF($D$6=5,база!$L$6)))</f>
        <v>231.45480000000001</v>
      </c>
      <c r="R617" s="390">
        <v>1.3</v>
      </c>
      <c r="S617" s="400">
        <f>SUMIFS(Таблица14[часы],Таблица14[коэф],"1,3",Таблица14[р/р],"3/16",Таблица14[Ф. И. О.],B616)</f>
        <v>0</v>
      </c>
      <c r="T617" s="392">
        <f>SUMIFS(Таблица14[Столбец2],Таблица14[коэф],"1,3",Таблица14[р/р],"3/16",Таблица14[Ф. И. О.],B616)</f>
        <v>0</v>
      </c>
      <c r="U617" s="478">
        <f>IF(D611&lt;=3,база!$M$4,
IF(D611=4,база!$M$5,
IF(D611=5,база!$M$6)))</f>
        <v>225.09719999999999</v>
      </c>
      <c r="V617" s="390">
        <v>1.3</v>
      </c>
      <c r="W617" s="412">
        <f>SUMIFS(Таблица14[часы],Таблица14[коэф],"1,3",Таблица14[р/р],"3/24",Таблица14[Ф. И. О.],B616)</f>
        <v>0</v>
      </c>
      <c r="X617" s="545">
        <f>SUMIFS(Таблица14[Столбец2],Таблица14[коэф],"1,3",Таблица14[р/р],"3/24",Таблица14[Ф. И. О.],B616)</f>
        <v>0</v>
      </c>
      <c r="Y617" s="795"/>
      <c r="Z617" s="797"/>
      <c r="AA617" s="786"/>
    </row>
    <row r="618" spans="1:29">
      <c r="A618" s="786"/>
      <c r="B618" s="216"/>
      <c r="C618" s="789"/>
      <c r="D618" s="792"/>
      <c r="E618" s="389"/>
      <c r="F618" s="390"/>
      <c r="G618" s="400"/>
      <c r="H618" s="392"/>
      <c r="I618" s="432"/>
      <c r="J618" s="433"/>
      <c r="K618" s="434"/>
      <c r="L618" s="434"/>
      <c r="M618" s="434"/>
      <c r="N618" s="434"/>
      <c r="O618" s="434"/>
      <c r="P618" s="406"/>
      <c r="Q618" s="389">
        <f>база!$L$5</f>
        <v>231.45480000000001</v>
      </c>
      <c r="R618" s="390">
        <v>1.3</v>
      </c>
      <c r="S618" s="400">
        <f>SUMIFS(Таблица14[часы],Таблица14[коэф],"1,3",Таблица14[р/р],"4/16",Таблица14[Ф. И. О.],B616)</f>
        <v>0</v>
      </c>
      <c r="T618" s="392">
        <f>SUMIFS(Таблица14[Столбец2],Таблица14[коэф],"1,3",Таблица14[р/р],"4/16",Таблица14[Ф. И. О.],B616)</f>
        <v>0</v>
      </c>
      <c r="U618" s="478">
        <f>база!$M$5</f>
        <v>247.41720000000001</v>
      </c>
      <c r="V618" s="390">
        <v>1.3</v>
      </c>
      <c r="W618" s="412">
        <f>SUMIFS(Таблица14[часы],Таблица14[коэф],"1,3",Таблица14[р/р],"4/24",Таблица14[Ф. И. О.],B616)</f>
        <v>0</v>
      </c>
      <c r="X618" s="545">
        <f>SUMIFS(Таблица14[Столбец2],Таблица14[коэф],"1,3",Таблица14[р/р],"4/24",Таблица14[Ф. И. О.],B616)</f>
        <v>0</v>
      </c>
      <c r="Y618" s="795"/>
      <c r="Z618" s="797"/>
      <c r="AA618" s="786"/>
    </row>
    <row r="619" spans="1:29">
      <c r="A619" s="786"/>
      <c r="B619" s="216"/>
      <c r="C619" s="789"/>
      <c r="D619" s="792"/>
      <c r="E619" s="389"/>
      <c r="F619" s="390"/>
      <c r="G619" s="400"/>
      <c r="H619" s="392"/>
      <c r="I619" s="432"/>
      <c r="J619" s="433"/>
      <c r="K619" s="434"/>
      <c r="L619" s="434"/>
      <c r="M619" s="434"/>
      <c r="N619" s="434"/>
      <c r="O619" s="434"/>
      <c r="P619" s="406"/>
      <c r="Q619" s="389">
        <f>IF(D611&lt;=3,база!$L$4,
IF(D611=4,база!$L$5,
IF(D611=5,база!$L$6)))</f>
        <v>210.57480000000001</v>
      </c>
      <c r="R619" s="390">
        <v>1.4</v>
      </c>
      <c r="S619" s="400">
        <f>SUMIFS(Таблица14[часы],Таблица14[коэф],"1,4",Таблица14[р/р],"3/16",Таблица14[Ф. И. О.],B616)</f>
        <v>0</v>
      </c>
      <c r="T619" s="392">
        <f>SUMIFS(Таблица14[Столбец2],Таблица14[коэф],"1,4",Таблица14[р/р],"3/16",Таблица14[Ф. И. О.],B616)</f>
        <v>0</v>
      </c>
      <c r="U619" s="478">
        <f>IF(D611&lt;=3,база!$M$4,
IF(D611=4,база!$M$5,
IF(D611=5,база!$M$6)))</f>
        <v>225.09719999999999</v>
      </c>
      <c r="V619" s="390">
        <v>1.4</v>
      </c>
      <c r="W619" s="412">
        <f>SUMIFS(Таблица14[часы],Таблица14[коэф],"1,4",Таблица14[р/р],"3/24",Таблица14[Ф. И. О.],B616)</f>
        <v>0</v>
      </c>
      <c r="X619" s="545">
        <f>SUMIFS(Таблица14[Столбец2],Таблица14[коэф],"1,4",Таблица14[р/р],"3/24",Таблица14[Ф. И. О.],B616)</f>
        <v>0</v>
      </c>
      <c r="Y619" s="795"/>
      <c r="Z619" s="797"/>
      <c r="AA619" s="786"/>
    </row>
    <row r="620" spans="1:29">
      <c r="A620" s="786"/>
      <c r="B620" s="216"/>
      <c r="C620" s="789"/>
      <c r="D620" s="792"/>
      <c r="E620" s="389"/>
      <c r="F620" s="390"/>
      <c r="G620" s="400"/>
      <c r="H620" s="392"/>
      <c r="I620" s="432"/>
      <c r="J620" s="433"/>
      <c r="K620" s="434"/>
      <c r="L620" s="434"/>
      <c r="M620" s="434"/>
      <c r="N620" s="434"/>
      <c r="O620" s="434"/>
      <c r="P620" s="406"/>
      <c r="Q620" s="389">
        <f>база!$L$5</f>
        <v>231.45480000000001</v>
      </c>
      <c r="R620" s="390">
        <v>1.4</v>
      </c>
      <c r="S620" s="400">
        <f>SUMIFS(Таблица14[часы],Таблица14[коэф],"1,4",Таблица14[р/р],"4/16",Таблица14[Ф. И. О.],B616)</f>
        <v>0</v>
      </c>
      <c r="T620" s="392">
        <f>SUMIFS(Таблица14[Столбец2],Таблица14[коэф],"1,4",Таблица14[р/р],"4/16",Таблица14[Ф. И. О.],B616)</f>
        <v>0</v>
      </c>
      <c r="U620" s="478">
        <f>база!$M$5</f>
        <v>247.41720000000001</v>
      </c>
      <c r="V620" s="390">
        <v>1.4</v>
      </c>
      <c r="W620" s="412">
        <f>SUMIFS(Таблица14[часы],Таблица14[коэф],"1,4",Таблица14[р/р],"4/24",Таблица14[Ф. И. О.],B616)</f>
        <v>0</v>
      </c>
      <c r="X620" s="545">
        <f>SUMIFS(Таблица14[Столбец2],Таблица14[коэф],"1,4",Таблица14[р/р],"4/24",Таблица14[Ф. И. О.],B616)</f>
        <v>0</v>
      </c>
      <c r="Y620" s="795"/>
      <c r="Z620" s="797"/>
      <c r="AA620" s="786"/>
    </row>
    <row r="621" spans="1:29" ht="21" thickBot="1">
      <c r="A621" s="787"/>
      <c r="B621" s="352"/>
      <c r="C621" s="790"/>
      <c r="D621" s="793"/>
      <c r="E621" s="473"/>
      <c r="F621" s="464"/>
      <c r="G621" s="657"/>
      <c r="H621" s="468"/>
      <c r="I621" s="651"/>
      <c r="J621" s="456"/>
      <c r="K621" s="652"/>
      <c r="L621" s="457"/>
      <c r="M621" s="651"/>
      <c r="N621" s="652"/>
      <c r="O621" s="652"/>
      <c r="P621" s="476"/>
      <c r="Q621" s="658">
        <f>база!$L$6</f>
        <v>261.04640000000001</v>
      </c>
      <c r="R621" s="464">
        <v>1.4</v>
      </c>
      <c r="S621" s="465">
        <f>SUMIFS(Таблица14[часы],Таблица14[коэф],"1,4",Таблица14[р/р],"5/16",Таблица14[Ф. И. О.],B616)</f>
        <v>0</v>
      </c>
      <c r="T621" s="468">
        <f>SUMIFS(Таблица14[Столбец2],Таблица14[коэф],"1,4",Таблица14[р/р],"5/16",Таблица14[Ф. И. О.],B616)</f>
        <v>0</v>
      </c>
      <c r="U621" s="463">
        <f>база!$M$6</f>
        <v>279.0496</v>
      </c>
      <c r="V621" s="464">
        <v>1.4</v>
      </c>
      <c r="W621" s="465">
        <f>SUMIFS(Таблица14[часы],Таблица14[коэф],"1,4",Таблица14[р/р],"5/24",Таблица14[Ф. И. О.],B616)</f>
        <v>0</v>
      </c>
      <c r="X621" s="468">
        <f>SUMIFS(Таблица14[Столбец2],Таблица14[коэф],"1,4",Таблица14[р/р],"5/24",Таблица14[Ф. И. О.],B616)</f>
        <v>0</v>
      </c>
      <c r="Y621" s="796"/>
      <c r="Z621" s="798"/>
      <c r="AA621" s="787"/>
    </row>
    <row r="622" spans="1:29">
      <c r="A622" s="786">
        <v>57</v>
      </c>
      <c r="B622" s="216"/>
      <c r="C622" s="788">
        <f>INDEX(база!$E$2:$E$98, MATCH(B627,база!$B$2:$B$100,0))</f>
        <v>17307</v>
      </c>
      <c r="D622" s="791">
        <f>INDEX(база!$D$2:$D$121, MATCH(B627,база!$B$2:$B$100,0))</f>
        <v>3</v>
      </c>
      <c r="E622" s="481">
        <f>IF(D622&lt;=3,база!$I$4,
IF(D622=4,база!$I$5,
IF(D622=5,база!$I$6)))</f>
        <v>188.7912</v>
      </c>
      <c r="F622" s="417">
        <v>1</v>
      </c>
      <c r="G622" s="418">
        <f>SUMIFS(Таблица14[часы],Таблица14[коэф],"1",Таблица14[р/р],"2/4",Таблица14[Ф. И. О.],B627)</f>
        <v>0</v>
      </c>
      <c r="H622" s="402">
        <f>SUMIFS(Таблица14[Столбец2],Таблица14[коэф],"1",Таблица14[р/р],"2/4",Таблица14[Ф. И. О.],B627)</f>
        <v>0</v>
      </c>
      <c r="I622" s="452">
        <f>IF(D622&lt;=3,база!$J$4,
IF(D622=4,база!$J$5,
IF(D622=5,база!$J$6)))</f>
        <v>196.05240000000001</v>
      </c>
      <c r="J622" s="475">
        <v>1</v>
      </c>
      <c r="K622" s="453">
        <f>SUMIFS(Таблица14[часы],Таблица14[коэф],"1",Таблица14[р/р],"2/8",Таблица14[Ф. И. О.],B627)</f>
        <v>0</v>
      </c>
      <c r="L622" s="453">
        <f>SUMIFS(Таблица14[Столбец2],Таблица14[коэф],"1",Таблица14[р/р],"2/8",Таблица14[Ф. И. О.],B627)</f>
        <v>0</v>
      </c>
      <c r="M622" s="453"/>
      <c r="N622" s="453">
        <v>1</v>
      </c>
      <c r="O622" s="453">
        <f>SUMIFS(Data_Tech!$AM$3:$AM$67,Data_Tech!$E$3:$E$67,"1",Data_Tech!$G$3:$G$67,"3/12",Data_Tech!$F$3:$F$67,B627)</f>
        <v>0</v>
      </c>
      <c r="P622" s="398">
        <f>ROUND(M622*N622*O622,2)</f>
        <v>0</v>
      </c>
      <c r="Q622" s="481">
        <f>IF(D622&lt;=3,база!$L$4,
IF(D622=4,база!$L$5,
IF(D622=5,база!$L$6)))</f>
        <v>210.57480000000001</v>
      </c>
      <c r="R622" s="417">
        <v>1</v>
      </c>
      <c r="S622" s="418">
        <f>SUMIFS(Таблица14[часы],Таблица14[коэф],"1",Таблица14[р/р],"3/16",Таблица14[Ф. И. О.],B627)</f>
        <v>0</v>
      </c>
      <c r="T622" s="402">
        <f>SUMIFS(Таблица14[Столбец2],Таблица14[коэф],"1",Таблица14[р/р],"3/16",Таблица14[Ф. И. О.],B627)</f>
        <v>0</v>
      </c>
      <c r="U622" s="483">
        <f>IF(D622&lt;=3,база!$M$4,
IF(D622=4,база!$M$5,
IF(D622=5,база!$M$6)))</f>
        <v>225.09719999999999</v>
      </c>
      <c r="V622" s="417">
        <v>1</v>
      </c>
      <c r="W622" s="455">
        <f>SUMIFS(Таблица14[часы],Таблица14[коэф],"1",Таблица14[р/р],"3/24",Таблица14[Ф. И. О.],B627)</f>
        <v>0</v>
      </c>
      <c r="X622" s="552">
        <f>SUMIFS(Таблица14[Столбец2],Таблица14[коэф],"1",Таблица14[р/р],"3/24",Таблица14[Ф. И. О.],B627)</f>
        <v>0</v>
      </c>
      <c r="Y622" s="795">
        <f t="shared" ref="Y622" si="252">SUM(G622:G632,K622:K632,O622:O632,S622:S632,W622:W632)</f>
        <v>0</v>
      </c>
      <c r="Z622" s="797">
        <f t="shared" ref="Z622" si="253">IFERROR(SUM(H622:H632,L622:L632,T622:T632,X622:X632),"")</f>
        <v>0</v>
      </c>
      <c r="AA622" s="786"/>
    </row>
    <row r="623" spans="1:29">
      <c r="A623" s="786"/>
      <c r="B623" s="216"/>
      <c r="C623" s="789"/>
      <c r="D623" s="792"/>
      <c r="E623" s="389">
        <f>IF(D622&lt;=3,база!$I$4,
IF(D622=4,база!$I$5,
IF(D622=5,база!$I$6)))</f>
        <v>188.7912</v>
      </c>
      <c r="F623" s="390">
        <v>1</v>
      </c>
      <c r="G623" s="400">
        <f>SUMIFS(Таблица14[часы],Таблица14[коэф],"1",Таблица14[р/р],"3/4",Таблица14[Ф. И. О.],B627)</f>
        <v>0</v>
      </c>
      <c r="H623" s="392">
        <f>SUMIFS(Таблица14[Столбец2],Таблица14[коэф],"1",Таблица14[р/р],"3/4",Таблица14[Ф. И. О.],B627)</f>
        <v>0</v>
      </c>
      <c r="I623" s="432">
        <f>IF(D622&lt;=3,база!$J$4,
IF(D622=4,база!$J$5,
IF(D622=5,база!$J$6)))</f>
        <v>196.05240000000001</v>
      </c>
      <c r="J623" s="433">
        <v>1</v>
      </c>
      <c r="K623" s="434">
        <f>SUMIFS(Таблица14[часы],Таблица14[коэф],"1",Таблица14[р/р],"3/8",Таблица14[Ф. И. О.],B627)</f>
        <v>0</v>
      </c>
      <c r="L623" s="434">
        <f>SUMIFS(Таблица14[Столбец2],Таблица14[коэф],"1",Таблица14[р/р],"3/8",Таблица14[Ф. И. О.],B627)</f>
        <v>0</v>
      </c>
      <c r="M623" s="434"/>
      <c r="N623" s="434">
        <v>1</v>
      </c>
      <c r="O623" s="434">
        <f>SUMIFS(Data_Tech!$AM$3:$AM$67,Data_Tech!$E$3:$E$67,"1",Data_Tech!$G$3:$G$67,"4/12",Data_Tech!$F$3:$F$67,B627)</f>
        <v>0</v>
      </c>
      <c r="P623" s="406">
        <f>ROUND(M623*O623,2)</f>
        <v>0</v>
      </c>
      <c r="Q623" s="389">
        <f>база!$L$5</f>
        <v>231.45480000000001</v>
      </c>
      <c r="R623" s="390">
        <v>1</v>
      </c>
      <c r="S623" s="400">
        <f>SUMIFS(Таблица14[часы],Таблица14[коэф],"1",Таблица14[р/р],"4/16",Таблица14[Ф. И. О.],B627)</f>
        <v>0</v>
      </c>
      <c r="T623" s="392">
        <f>SUMIFS(Таблица14[Столбец2],Таблица14[коэф],"1",Таблица14[р/р],"4/16",Таблица14[Ф. И. О.],B627)</f>
        <v>0</v>
      </c>
      <c r="U623" s="478">
        <f>база!$M$5</f>
        <v>247.41720000000001</v>
      </c>
      <c r="V623" s="390">
        <v>1</v>
      </c>
      <c r="W623" s="412">
        <f>SUMIFS(Таблица14[часы],Таблица14[коэф],"1",Таблица14[р/р],"4/24",Таблица14[Ф. И. О.],B627)</f>
        <v>0</v>
      </c>
      <c r="X623" s="545">
        <f>SUMIFS(Таблица14[Столбец2],Таблица14[коэф],"1",Таблица14[р/р],"4/24",Таблица14[Ф. И. О.],B627)</f>
        <v>0</v>
      </c>
      <c r="Y623" s="795"/>
      <c r="Z623" s="797"/>
      <c r="AA623" s="786"/>
    </row>
    <row r="624" spans="1:29">
      <c r="A624" s="786"/>
      <c r="B624" s="216"/>
      <c r="C624" s="789"/>
      <c r="D624" s="792"/>
      <c r="E624" s="389"/>
      <c r="F624" s="390"/>
      <c r="G624" s="400"/>
      <c r="H624" s="392"/>
      <c r="I624" s="432"/>
      <c r="J624" s="433"/>
      <c r="K624" s="434"/>
      <c r="L624" s="434"/>
      <c r="M624" s="434"/>
      <c r="N624" s="434"/>
      <c r="O624" s="434"/>
      <c r="P624" s="406"/>
      <c r="Q624" s="389">
        <f>база!$L$6</f>
        <v>261.04640000000001</v>
      </c>
      <c r="R624" s="390">
        <v>1</v>
      </c>
      <c r="S624" s="400">
        <f>SUMIFS(Таблица14[часы],Таблица14[коэф],"1",Таблица14[р/р],"5/16",Таблица14[Ф. И. О.],B627)</f>
        <v>0</v>
      </c>
      <c r="T624" s="392">
        <f>SUMIFS(Таблица14[Столбец2],Таблица14[коэф],"1",Таблица14[р/р],"5/16",Таблица14[Ф. И. О.],B627)</f>
        <v>0</v>
      </c>
      <c r="U624" s="478">
        <f>база!$M$6</f>
        <v>279.0496</v>
      </c>
      <c r="V624" s="390">
        <v>1</v>
      </c>
      <c r="W624" s="412">
        <f>SUMIFS(Таблица14[часы],Таблица14[коэф],"1",Таблица14[р/р],"5/24",Таблица14[Ф. И. О.],B627)</f>
        <v>0</v>
      </c>
      <c r="X624" s="545">
        <f>SUMIFS(Таблица14[Столбец2],Таблица14[коэф],"1",Таблица14[р/р],"5/24",Таблица14[Ф. И. О.],B627)</f>
        <v>0</v>
      </c>
      <c r="Y624" s="795"/>
      <c r="Z624" s="797"/>
      <c r="AA624" s="786"/>
    </row>
    <row r="625" spans="1:29">
      <c r="A625" s="786"/>
      <c r="B625" s="216"/>
      <c r="C625" s="789"/>
      <c r="D625" s="792"/>
      <c r="E625" s="389"/>
      <c r="F625" s="390"/>
      <c r="G625" s="400"/>
      <c r="H625" s="392"/>
      <c r="I625" s="432">
        <f>база!$J$5</f>
        <v>215.4924</v>
      </c>
      <c r="J625" s="433">
        <v>1.5</v>
      </c>
      <c r="K625" s="434">
        <f>SUMIFS(Таблица14[часы],Таблица14[коэф],"1,5",Таблица14[р/р],"4/8",Таблица14[Ф. И. О.],B627)</f>
        <v>0</v>
      </c>
      <c r="L625" s="434">
        <f>SUMIFS(Таблица14[Столбец2],Таблица14[коэф],"1,5",Таблица14[р/р],"4/8",Таблица14[Ф. И. О.],B627)</f>
        <v>0</v>
      </c>
      <c r="M625" s="434"/>
      <c r="N625" s="434"/>
      <c r="O625" s="434"/>
      <c r="P625" s="406"/>
      <c r="Q625" s="389">
        <f>IF(D622&lt;=3,база!$L$4,
IF(D622=4,база!$L$5,
IF(D622=5,база!$L$6)))</f>
        <v>210.57480000000001</v>
      </c>
      <c r="R625" s="390">
        <v>1.2</v>
      </c>
      <c r="S625" s="400">
        <f>SUMIFS(Таблица14[часы],Таблица14[коэф],"1,2",Таблица14[р/р],"3/16",Таблица14[Ф. И. О.],B627)</f>
        <v>0</v>
      </c>
      <c r="T625" s="392">
        <f>SUMIFS(Таблица14[Столбец2],Таблица14[коэф],"1,2",Таблица14[р/р],"3/16",Таблица14[Ф. И. О.],B627)</f>
        <v>0</v>
      </c>
      <c r="U625" s="478">
        <f>IF(D622&lt;=3,база!$M$4,
IF(D622=4,база!$M$5,
IF(D622=5,база!$M$6)))</f>
        <v>225.09719999999999</v>
      </c>
      <c r="V625" s="390">
        <v>1.2</v>
      </c>
      <c r="W625" s="412">
        <f>SUMIFS(Таблица14[часы],Таблица14[коэф],"1,2",Таблица14[р/р],"3/24",Таблица14[Ф. И. О.],B627)</f>
        <v>0</v>
      </c>
      <c r="X625" s="545">
        <f>SUMIFS(Таблица14[Столбец2],Таблица14[коэф],"1,2",Таблица14[р/р],"3/24",Таблица14[Ф. И. О.],B627)</f>
        <v>0</v>
      </c>
      <c r="Y625" s="795"/>
      <c r="Z625" s="797"/>
      <c r="AA625" s="786"/>
    </row>
    <row r="626" spans="1:29">
      <c r="A626" s="786"/>
      <c r="B626" s="216"/>
      <c r="C626" s="789"/>
      <c r="D626" s="792"/>
      <c r="E626" s="389"/>
      <c r="F626" s="390"/>
      <c r="G626" s="400"/>
      <c r="H626" s="392"/>
      <c r="I626" s="432">
        <f>база!$J$6</f>
        <v>243.04319999999998</v>
      </c>
      <c r="J626" s="433">
        <v>1.5</v>
      </c>
      <c r="K626" s="434">
        <f>SUMIFS(Таблица14[часы],Таблица14[коэф],"1,5",Таблица14[р/р],"5/8",Таблица14[Ф. И. О.],B627)</f>
        <v>0</v>
      </c>
      <c r="L626" s="434">
        <f>SUMIFS(Таблица14[Столбец2],Таблица14[коэф],"1,5",Таблица14[р/р],"5/8",Таблица14[Ф. И. О.],B627)</f>
        <v>0</v>
      </c>
      <c r="M626" s="434"/>
      <c r="N626" s="434"/>
      <c r="O626" s="434"/>
      <c r="P626" s="406"/>
      <c r="Q626" s="389">
        <f>база!$L$5</f>
        <v>231.45480000000001</v>
      </c>
      <c r="R626" s="390">
        <v>1.2</v>
      </c>
      <c r="S626" s="400">
        <f>SUMIFS(Таблица14[часы],Таблица14[коэф],"1,2",Таблица14[р/р],"4/16",Таблица14[Ф. И. О.],B627)</f>
        <v>0</v>
      </c>
      <c r="T626" s="392">
        <f>SUMIFS(Таблица14[Столбец2],Таблица14[коэф],"1,2",Таблица14[р/р],"4/16",Таблица14[Ф. И. О.],B627)</f>
        <v>0</v>
      </c>
      <c r="U626" s="478">
        <f>база!$M$5</f>
        <v>247.41720000000001</v>
      </c>
      <c r="V626" s="390">
        <v>1.2</v>
      </c>
      <c r="W626" s="412">
        <f>SUMIFS(Таблица14[часы],Таблица14[коэф],"1,2",Таблица14[р/р],"4/24",Таблица14[Ф. И. О.],B627)</f>
        <v>0</v>
      </c>
      <c r="X626" s="545">
        <f>SUMIFS(Таблица14[Столбец2],Таблица14[коэф],"1,2",Таблица14[р/р],"4/24",Таблица14[Ф. И. О.],B627)</f>
        <v>0</v>
      </c>
      <c r="Y626" s="795"/>
      <c r="Z626" s="797"/>
      <c r="AA626" s="786"/>
    </row>
    <row r="627" spans="1:29">
      <c r="A627" s="786"/>
      <c r="B627" s="216" t="str">
        <f>база!B58</f>
        <v>Новикова Александра Владимировна</v>
      </c>
      <c r="C627" s="789"/>
      <c r="D627" s="792"/>
      <c r="E627" s="389"/>
      <c r="F627" s="390"/>
      <c r="G627" s="400"/>
      <c r="H627" s="392"/>
      <c r="I627" s="432"/>
      <c r="J627" s="433"/>
      <c r="K627" s="434"/>
      <c r="L627" s="434"/>
      <c r="M627" s="434"/>
      <c r="N627" s="434"/>
      <c r="O627" s="434"/>
      <c r="P627" s="406"/>
      <c r="Q627" s="389">
        <f>база!$L$6</f>
        <v>261.04640000000001</v>
      </c>
      <c r="R627" s="390">
        <v>1.2</v>
      </c>
      <c r="S627" s="400">
        <f>SUMIFS(Таблица14[часы],Таблица14[коэф],"1,2",Таблица14[р/р],"5/16",Таблица14[Ф. И. О.],B627)</f>
        <v>0</v>
      </c>
      <c r="T627" s="392">
        <f>SUMIFS(Таблица14[Столбец2],Таблица14[коэф],"1,2",Таблица14[р/р],"5/16",Таблица14[Ф. И. О.],B627)</f>
        <v>0</v>
      </c>
      <c r="U627" s="478">
        <f>база!$M$6</f>
        <v>279.0496</v>
      </c>
      <c r="V627" s="390">
        <v>1.2</v>
      </c>
      <c r="W627" s="412">
        <f>SUMIFS(Таблица14[часы],Таблица14[коэф],"1,2",Таблица14[р/р],"5/24",Таблица14[Ф. И. О.],B627)</f>
        <v>0</v>
      </c>
      <c r="X627" s="545">
        <f>SUMIFS(Таблица14[Столбец2],Таблица14[коэф],"1,2",Таблица14[р/р],"5/24",Таблица14[Ф. И. О.],B627)</f>
        <v>0</v>
      </c>
      <c r="Y627" s="795"/>
      <c r="Z627" s="797"/>
      <c r="AA627" s="786"/>
      <c r="AC627" s="754" t="str">
        <f>IF(SUMIFS(Таблица14[Столбец2],Таблица14[Ф. И. О.],B627)-Z622=0,"",SUMIFS(Таблица14[Столбец2],Таблица14[Ф. И. О.],B627)-Z622)</f>
        <v/>
      </c>
    </row>
    <row r="628" spans="1:29">
      <c r="A628" s="786"/>
      <c r="B628" s="216"/>
      <c r="C628" s="789"/>
      <c r="D628" s="792"/>
      <c r="E628" s="389"/>
      <c r="F628" s="390"/>
      <c r="G628" s="400"/>
      <c r="H628" s="392"/>
      <c r="I628" s="432"/>
      <c r="J628" s="433"/>
      <c r="K628" s="434"/>
      <c r="L628" s="434"/>
      <c r="M628" s="434"/>
      <c r="N628" s="434"/>
      <c r="O628" s="434"/>
      <c r="P628" s="406"/>
      <c r="Q628" s="389">
        <f>IF($D$6&lt;=3,база!$L$4,
IF($D$6=4,база!$L$5,
IF($D$6=5,база!$L$6)))</f>
        <v>231.45480000000001</v>
      </c>
      <c r="R628" s="390">
        <v>1.3</v>
      </c>
      <c r="S628" s="400">
        <f>SUMIFS(Таблица14[часы],Таблица14[коэф],"1,3",Таблица14[р/р],"3/16",Таблица14[Ф. И. О.],B627)</f>
        <v>0</v>
      </c>
      <c r="T628" s="392">
        <f>SUMIFS(Таблица14[Столбец2],Таблица14[коэф],"1,3",Таблица14[р/р],"3/16",Таблица14[Ф. И. О.],B627)</f>
        <v>0</v>
      </c>
      <c r="U628" s="478">
        <f>IF(D622&lt;=3,база!$M$4,
IF(D622=4,база!$M$5,
IF(D622=5,база!$M$6)))</f>
        <v>225.09719999999999</v>
      </c>
      <c r="V628" s="390">
        <v>1.3</v>
      </c>
      <c r="W628" s="412">
        <f>SUMIFS(Таблица14[часы],Таблица14[коэф],"1,3",Таблица14[р/р],"3/24",Таблица14[Ф. И. О.],B627)</f>
        <v>0</v>
      </c>
      <c r="X628" s="545">
        <f>SUMIFS(Таблица14[Столбец2],Таблица14[коэф],"1,3",Таблица14[р/р],"3/24",Таблица14[Ф. И. О.],B627)</f>
        <v>0</v>
      </c>
      <c r="Y628" s="795"/>
      <c r="Z628" s="797"/>
      <c r="AA628" s="786"/>
      <c r="AC628" s="754" t="str">
        <f>IF(SUMIFS(Таблица14[часы],Таблица14[Ф. И. О.],B627)-Y622=0,"",SUMIFS(Таблица14[часы],Таблица14[Ф. И. О.],B627)-Y622)</f>
        <v/>
      </c>
    </row>
    <row r="629" spans="1:29">
      <c r="A629" s="786"/>
      <c r="B629" s="216"/>
      <c r="C629" s="789"/>
      <c r="D629" s="792"/>
      <c r="E629" s="389"/>
      <c r="F629" s="390"/>
      <c r="G629" s="400"/>
      <c r="H629" s="392"/>
      <c r="I629" s="432"/>
      <c r="J629" s="433"/>
      <c r="K629" s="434"/>
      <c r="L629" s="434"/>
      <c r="M629" s="434"/>
      <c r="N629" s="434"/>
      <c r="O629" s="434"/>
      <c r="P629" s="406"/>
      <c r="Q629" s="389">
        <f>база!$L$5</f>
        <v>231.45480000000001</v>
      </c>
      <c r="R629" s="390">
        <v>1.3</v>
      </c>
      <c r="S629" s="400">
        <f>SUMIFS(Таблица14[часы],Таблица14[коэф],"1,3",Таблица14[р/р],"4/16",Таблица14[Ф. И. О.],B627)</f>
        <v>0</v>
      </c>
      <c r="T629" s="392">
        <f>SUMIFS(Таблица14[Столбец2],Таблица14[коэф],"1,3",Таблица14[р/р],"4/16",Таблица14[Ф. И. О.],B627)</f>
        <v>0</v>
      </c>
      <c r="U629" s="478">
        <f>база!$M$5</f>
        <v>247.41720000000001</v>
      </c>
      <c r="V629" s="390">
        <v>1.3</v>
      </c>
      <c r="W629" s="412">
        <f>SUMIFS(Таблица14[часы],Таблица14[коэф],"1,3",Таблица14[р/р],"4/24",Таблица14[Ф. И. О.],B627)</f>
        <v>0</v>
      </c>
      <c r="X629" s="545">
        <f>SUMIFS(Таблица14[Столбец2],Таблица14[коэф],"1,3",Таблица14[р/р],"4/24",Таблица14[Ф. И. О.],B627)</f>
        <v>0</v>
      </c>
      <c r="Y629" s="795"/>
      <c r="Z629" s="797"/>
      <c r="AA629" s="786"/>
    </row>
    <row r="630" spans="1:29">
      <c r="A630" s="786"/>
      <c r="B630" s="216"/>
      <c r="C630" s="789"/>
      <c r="D630" s="792"/>
      <c r="E630" s="389"/>
      <c r="F630" s="390"/>
      <c r="G630" s="400"/>
      <c r="H630" s="392"/>
      <c r="I630" s="432"/>
      <c r="J630" s="433"/>
      <c r="K630" s="434"/>
      <c r="L630" s="434"/>
      <c r="M630" s="434"/>
      <c r="N630" s="434"/>
      <c r="O630" s="434"/>
      <c r="P630" s="406"/>
      <c r="Q630" s="389">
        <f>IF(D622&lt;=3,база!$L$4,
IF(D622=4,база!$L$5,
IF(D622=5,база!$L$6)))</f>
        <v>210.57480000000001</v>
      </c>
      <c r="R630" s="390">
        <v>1.4</v>
      </c>
      <c r="S630" s="400">
        <f>SUMIFS(Таблица14[часы],Таблица14[коэф],"1,4",Таблица14[р/р],"3/16",Таблица14[Ф. И. О.],B627)</f>
        <v>0</v>
      </c>
      <c r="T630" s="392">
        <f>SUMIFS(Таблица14[Столбец2],Таблица14[коэф],"1,4",Таблица14[р/р],"3/16",Таблица14[Ф. И. О.],B627)</f>
        <v>0</v>
      </c>
      <c r="U630" s="478">
        <f>IF(D622&lt;=3,база!$M$4,
IF(D622=4,база!$M$5,
IF(D622=5,база!$M$6)))</f>
        <v>225.09719999999999</v>
      </c>
      <c r="V630" s="390">
        <v>1.4</v>
      </c>
      <c r="W630" s="412">
        <f>SUMIFS(Таблица14[часы],Таблица14[коэф],"1,4",Таблица14[р/р],"3/24",Таблица14[Ф. И. О.],B627)</f>
        <v>0</v>
      </c>
      <c r="X630" s="545">
        <f>SUMIFS(Таблица14[Столбец2],Таблица14[коэф],"1,4",Таблица14[р/р],"3/24",Таблица14[Ф. И. О.],B627)</f>
        <v>0</v>
      </c>
      <c r="Y630" s="795"/>
      <c r="Z630" s="797"/>
      <c r="AA630" s="786"/>
    </row>
    <row r="631" spans="1:29">
      <c r="A631" s="786"/>
      <c r="B631" s="216"/>
      <c r="C631" s="789"/>
      <c r="D631" s="792"/>
      <c r="E631" s="389"/>
      <c r="F631" s="390"/>
      <c r="G631" s="400"/>
      <c r="H631" s="392"/>
      <c r="I631" s="432"/>
      <c r="J631" s="433"/>
      <c r="K631" s="434"/>
      <c r="L631" s="434"/>
      <c r="M631" s="434"/>
      <c r="N631" s="434"/>
      <c r="O631" s="434"/>
      <c r="P631" s="406"/>
      <c r="Q631" s="389">
        <f>база!$L$5</f>
        <v>231.45480000000001</v>
      </c>
      <c r="R631" s="390">
        <v>1.4</v>
      </c>
      <c r="S631" s="400">
        <f>SUMIFS(Таблица14[часы],Таблица14[коэф],"1,4",Таблица14[р/р],"4/16",Таблица14[Ф. И. О.],B627)</f>
        <v>0</v>
      </c>
      <c r="T631" s="392">
        <f>SUMIFS(Таблица14[Столбец2],Таблица14[коэф],"1,4",Таблица14[р/р],"4/16",Таблица14[Ф. И. О.],B627)</f>
        <v>0</v>
      </c>
      <c r="U631" s="478">
        <f>база!$M$5</f>
        <v>247.41720000000001</v>
      </c>
      <c r="V631" s="390">
        <v>1.4</v>
      </c>
      <c r="W631" s="412">
        <f>SUMIFS(Таблица14[часы],Таблица14[коэф],"1,4",Таблица14[р/р],"4/24",Таблица14[Ф. И. О.],B627)</f>
        <v>0</v>
      </c>
      <c r="X631" s="545">
        <f>SUMIFS(Таблица14[Столбец2],Таблица14[коэф],"1,4",Таблица14[р/р],"4/24",Таблица14[Ф. И. О.],B627)</f>
        <v>0</v>
      </c>
      <c r="Y631" s="795"/>
      <c r="Z631" s="797"/>
      <c r="AA631" s="786"/>
    </row>
    <row r="632" spans="1:29" ht="21" thickBot="1">
      <c r="A632" s="787"/>
      <c r="B632" s="352"/>
      <c r="C632" s="790"/>
      <c r="D632" s="793"/>
      <c r="E632" s="473"/>
      <c r="F632" s="464"/>
      <c r="G632" s="657"/>
      <c r="H632" s="468"/>
      <c r="I632" s="651"/>
      <c r="J632" s="456"/>
      <c r="K632" s="652"/>
      <c r="L632" s="457"/>
      <c r="M632" s="651"/>
      <c r="N632" s="652"/>
      <c r="O632" s="652"/>
      <c r="P632" s="476"/>
      <c r="Q632" s="658">
        <f>база!$L$6</f>
        <v>261.04640000000001</v>
      </c>
      <c r="R632" s="464">
        <v>1.4</v>
      </c>
      <c r="S632" s="465">
        <f>SUMIFS(Таблица14[часы],Таблица14[коэф],"1,4",Таблица14[р/р],"5/16",Таблица14[Ф. И. О.],B627)</f>
        <v>0</v>
      </c>
      <c r="T632" s="468">
        <f>SUMIFS(Таблица14[Столбец2],Таблица14[коэф],"1,4",Таблица14[р/р],"5/16",Таблица14[Ф. И. О.],B627)</f>
        <v>0</v>
      </c>
      <c r="U632" s="463">
        <f>база!$M$6</f>
        <v>279.0496</v>
      </c>
      <c r="V632" s="464">
        <v>1.4</v>
      </c>
      <c r="W632" s="465">
        <f>SUMIFS(Таблица14[часы],Таблица14[коэф],"1,4",Таблица14[р/р],"5/24",Таблица14[Ф. И. О.],B627)</f>
        <v>0</v>
      </c>
      <c r="X632" s="468">
        <f>SUMIFS(Таблица14[Столбец2],Таблица14[коэф],"1,4",Таблица14[р/р],"5/24",Таблица14[Ф. И. О.],B627)</f>
        <v>0</v>
      </c>
      <c r="Y632" s="796"/>
      <c r="Z632" s="798"/>
      <c r="AA632" s="787"/>
    </row>
    <row r="633" spans="1:29">
      <c r="A633" s="786">
        <v>58</v>
      </c>
      <c r="B633" s="216"/>
      <c r="C633" s="788">
        <f>INDEX(база!$E$2:$E$98, MATCH(B638,база!$B$2:$B$100,0))</f>
        <v>16950</v>
      </c>
      <c r="D633" s="791">
        <f>INDEX(база!$D$2:$D$121, MATCH(B638,база!$B$2:$B$100,0))</f>
        <v>3</v>
      </c>
      <c r="E633" s="481">
        <f>IF(D633&lt;=3,база!$I$4,
IF(D633=4,база!$I$5,
IF(D633=5,база!$I$6)))</f>
        <v>188.7912</v>
      </c>
      <c r="F633" s="417">
        <v>1</v>
      </c>
      <c r="G633" s="418">
        <f>SUMIFS(Таблица14[часы],Таблица14[коэф],"1",Таблица14[р/р],"2/4",Таблица14[Ф. И. О.],B638)</f>
        <v>0</v>
      </c>
      <c r="H633" s="402">
        <f>SUMIFS(Таблица14[Столбец2],Таблица14[коэф],"1",Таблица14[р/р],"2/4",Таблица14[Ф. И. О.],B638)</f>
        <v>0</v>
      </c>
      <c r="I633" s="452">
        <f>IF(D633&lt;=3,база!$J$4,
IF(D633=4,база!$J$5,
IF(D633=5,база!$J$6)))</f>
        <v>196.05240000000001</v>
      </c>
      <c r="J633" s="475">
        <v>1</v>
      </c>
      <c r="K633" s="453">
        <f>SUMIFS(Таблица14[часы],Таблица14[коэф],"1",Таблица14[р/р],"2/8",Таблица14[Ф. И. О.],B638)</f>
        <v>0</v>
      </c>
      <c r="L633" s="453">
        <f>SUMIFS(Таблица14[Столбец2],Таблица14[коэф],"1",Таблица14[р/р],"2/8",Таблица14[Ф. И. О.],B638)</f>
        <v>0</v>
      </c>
      <c r="M633" s="453"/>
      <c r="N633" s="453">
        <v>1</v>
      </c>
      <c r="O633" s="453">
        <f>SUMIFS(Data_Tech!$AM$3:$AM$67,Data_Tech!$E$3:$E$67,"1",Data_Tech!$G$3:$G$67,"3/12",Data_Tech!$F$3:$F$67,B638)</f>
        <v>0</v>
      </c>
      <c r="P633" s="398">
        <f>ROUND(M633*N633*O633,2)</f>
        <v>0</v>
      </c>
      <c r="Q633" s="481">
        <f>IF(D633&lt;=3,база!$L$4,
IF(D633=4,база!$L$5,
IF(D633=5,база!$L$6)))</f>
        <v>210.57480000000001</v>
      </c>
      <c r="R633" s="417">
        <v>1</v>
      </c>
      <c r="S633" s="418">
        <f>SUMIFS(Таблица14[часы],Таблица14[коэф],"1",Таблица14[р/р],"3/16",Таблица14[Ф. И. О.],B638)</f>
        <v>0</v>
      </c>
      <c r="T633" s="402">
        <f>SUMIFS(Таблица14[Столбец2],Таблица14[коэф],"1",Таблица14[р/р],"3/16",Таблица14[Ф. И. О.],B638)</f>
        <v>0</v>
      </c>
      <c r="U633" s="483">
        <f>IF(D633&lt;=3,база!$M$4,
IF(D633=4,база!$M$5,
IF(D633=5,база!$M$6)))</f>
        <v>225.09719999999999</v>
      </c>
      <c r="V633" s="417">
        <v>1</v>
      </c>
      <c r="W633" s="455">
        <f>SUMIFS(Таблица14[часы],Таблица14[коэф],"1",Таблица14[р/р],"3/24",Таблица14[Ф. И. О.],B638)</f>
        <v>0</v>
      </c>
      <c r="X633" s="552">
        <f>SUMIFS(Таблица14[Столбец2],Таблица14[коэф],"1",Таблица14[р/р],"3/24",Таблица14[Ф. И. О.],B638)</f>
        <v>0</v>
      </c>
      <c r="Y633" s="801">
        <f>SUM(G633:G643,K633:K643,O633:O643,S633:S643,W633:W643)</f>
        <v>0</v>
      </c>
      <c r="Z633" s="797">
        <f>IFERROR(SUM(H633:H643,L633:L643,T633:T643,X633:X643),"")</f>
        <v>0</v>
      </c>
      <c r="AA633" s="786"/>
    </row>
    <row r="634" spans="1:29">
      <c r="A634" s="786"/>
      <c r="B634" s="216"/>
      <c r="C634" s="789"/>
      <c r="D634" s="792"/>
      <c r="E634" s="389">
        <f>IF(D633&lt;=3,база!$I$4,
IF(D633=4,база!$I$5,
IF(D633=5,база!$I$6)))</f>
        <v>188.7912</v>
      </c>
      <c r="F634" s="390">
        <v>1</v>
      </c>
      <c r="G634" s="400">
        <f>SUMIFS(Таблица14[часы],Таблица14[коэф],"1",Таблица14[р/р],"3/4",Таблица14[Ф. И. О.],B638)</f>
        <v>0</v>
      </c>
      <c r="H634" s="392">
        <f>SUMIFS(Таблица14[Столбец2],Таблица14[коэф],"1",Таблица14[р/р],"3/4",Таблица14[Ф. И. О.],B638)</f>
        <v>0</v>
      </c>
      <c r="I634" s="432">
        <f>IF(D633&lt;=3,база!$J$4,
IF(D633=4,база!$J$5,
IF(D633=5,база!$J$6)))</f>
        <v>196.05240000000001</v>
      </c>
      <c r="J634" s="433">
        <v>1</v>
      </c>
      <c r="K634" s="434">
        <f>SUMIFS(Таблица14[часы],Таблица14[коэф],"1",Таблица14[р/р],"3/8",Таблица14[Ф. И. О.],B638)</f>
        <v>0</v>
      </c>
      <c r="L634" s="434">
        <f>SUMIFS(Таблица14[Столбец2],Таблица14[коэф],"1",Таблица14[р/р],"3/8",Таблица14[Ф. И. О.],B638)</f>
        <v>0</v>
      </c>
      <c r="M634" s="434"/>
      <c r="N634" s="434">
        <v>1</v>
      </c>
      <c r="O634" s="434">
        <f>SUMIFS(Data_Tech!$AM$3:$AM$67,Data_Tech!$E$3:$E$67,"1",Data_Tech!$G$3:$G$67,"4/12",Data_Tech!$F$3:$F$67,B638)</f>
        <v>0</v>
      </c>
      <c r="P634" s="406">
        <f>ROUND(M634*O634,2)</f>
        <v>0</v>
      </c>
      <c r="Q634" s="389">
        <f>база!$L$5</f>
        <v>231.45480000000001</v>
      </c>
      <c r="R634" s="390">
        <v>1</v>
      </c>
      <c r="S634" s="400">
        <f>SUMIFS(Таблица14[часы],Таблица14[коэф],"1",Таблица14[р/р],"4/16",Таблица14[Ф. И. О.],B638)</f>
        <v>0</v>
      </c>
      <c r="T634" s="392">
        <f>SUMIFS(Таблица14[Столбец2],Таблица14[коэф],"1",Таблица14[р/р],"4/16",Таблица14[Ф. И. О.],B638)</f>
        <v>0</v>
      </c>
      <c r="U634" s="478">
        <f>база!$M$5</f>
        <v>247.41720000000001</v>
      </c>
      <c r="V634" s="390">
        <v>1</v>
      </c>
      <c r="W634" s="412">
        <f>SUMIFS(Таблица14[часы],Таблица14[коэф],"1",Таблица14[р/р],"4/24",Таблица14[Ф. И. О.],B638)</f>
        <v>0</v>
      </c>
      <c r="X634" s="545">
        <f>SUMIFS(Таблица14[Столбец2],Таблица14[коэф],"1",Таблица14[р/р],"4/24",Таблица14[Ф. И. О.],B638)</f>
        <v>0</v>
      </c>
      <c r="Y634" s="801"/>
      <c r="Z634" s="797"/>
      <c r="AA634" s="786"/>
    </row>
    <row r="635" spans="1:29">
      <c r="A635" s="786"/>
      <c r="B635" s="216"/>
      <c r="C635" s="789"/>
      <c r="D635" s="792"/>
      <c r="E635" s="389"/>
      <c r="F635" s="390"/>
      <c r="G635" s="400"/>
      <c r="H635" s="392"/>
      <c r="I635" s="432"/>
      <c r="J635" s="433"/>
      <c r="K635" s="434"/>
      <c r="L635" s="434"/>
      <c r="M635" s="434"/>
      <c r="N635" s="434"/>
      <c r="O635" s="434"/>
      <c r="P635" s="406"/>
      <c r="Q635" s="389">
        <f>база!$L$6</f>
        <v>261.04640000000001</v>
      </c>
      <c r="R635" s="390">
        <v>1</v>
      </c>
      <c r="S635" s="400">
        <f>SUMIFS(Таблица14[часы],Таблица14[коэф],"1",Таблица14[р/р],"5/16",Таблица14[Ф. И. О.],B638)</f>
        <v>0</v>
      </c>
      <c r="T635" s="392">
        <f>SUMIFS(Таблица14[Столбец2],Таблица14[коэф],"1",Таблица14[р/р],"5/16",Таблица14[Ф. И. О.],B638)</f>
        <v>0</v>
      </c>
      <c r="U635" s="478">
        <f>база!$M$6</f>
        <v>279.0496</v>
      </c>
      <c r="V635" s="390">
        <v>1</v>
      </c>
      <c r="W635" s="412">
        <f>SUMIFS(Таблица14[часы],Таблица14[коэф],"1",Таблица14[р/р],"5/24",Таблица14[Ф. И. О.],B638)</f>
        <v>0</v>
      </c>
      <c r="X635" s="545">
        <f>SUMIFS(Таблица14[Столбец2],Таблица14[коэф],"1",Таблица14[р/р],"5/24",Таблица14[Ф. И. О.],B638)</f>
        <v>0</v>
      </c>
      <c r="Y635" s="801"/>
      <c r="Z635" s="797"/>
      <c r="AA635" s="786"/>
    </row>
    <row r="636" spans="1:29">
      <c r="A636" s="786"/>
      <c r="B636" s="216"/>
      <c r="C636" s="789"/>
      <c r="D636" s="792"/>
      <c r="E636" s="389"/>
      <c r="F636" s="390"/>
      <c r="G636" s="400"/>
      <c r="H636" s="392"/>
      <c r="I636" s="432">
        <f>база!$J$5</f>
        <v>215.4924</v>
      </c>
      <c r="J636" s="433">
        <v>1.5</v>
      </c>
      <c r="K636" s="434">
        <f>SUMIFS(Таблица14[часы],Таблица14[коэф],"1,5",Таблица14[р/р],"4/8",Таблица14[Ф. И. О.],B638)</f>
        <v>0</v>
      </c>
      <c r="L636" s="434">
        <f>SUMIFS(Таблица14[Столбец2],Таблица14[коэф],"1,5",Таблица14[р/р],"4/8",Таблица14[Ф. И. О.],B638)</f>
        <v>0</v>
      </c>
      <c r="M636" s="434"/>
      <c r="N636" s="434"/>
      <c r="O636" s="434"/>
      <c r="P636" s="406"/>
      <c r="Q636" s="389">
        <f>IF(D633&lt;=3,база!$L$4,
IF(D633=4,база!$L$5,
IF(D633=5,база!$L$6)))</f>
        <v>210.57480000000001</v>
      </c>
      <c r="R636" s="390">
        <v>1.2</v>
      </c>
      <c r="S636" s="400">
        <f>SUMIFS(Таблица14[часы],Таблица14[коэф],"1,2",Таблица14[р/р],"3/16",Таблица14[Ф. И. О.],B638)</f>
        <v>0</v>
      </c>
      <c r="T636" s="392">
        <f>SUMIFS(Таблица14[Столбец2],Таблица14[коэф],"1,2",Таблица14[р/р],"3/16",Таблица14[Ф. И. О.],B638)</f>
        <v>0</v>
      </c>
      <c r="U636" s="478">
        <f>IF(D633&lt;=3,база!$M$4,
IF(D633=4,база!$M$5,
IF(D633=5,база!$M$6)))</f>
        <v>225.09719999999999</v>
      </c>
      <c r="V636" s="390">
        <v>1.2</v>
      </c>
      <c r="W636" s="412">
        <f>SUMIFS(Таблица14[часы],Таблица14[коэф],"1,2",Таблица14[р/р],"3/24",Таблица14[Ф. И. О.],B638)</f>
        <v>0</v>
      </c>
      <c r="X636" s="545">
        <f>SUMIFS(Таблица14[Столбец2],Таблица14[коэф],"1,2",Таблица14[р/р],"3/24",Таблица14[Ф. И. О.],B638)</f>
        <v>0</v>
      </c>
      <c r="Y636" s="801"/>
      <c r="Z636" s="797"/>
      <c r="AA636" s="786"/>
    </row>
    <row r="637" spans="1:29">
      <c r="A637" s="786"/>
      <c r="B637" s="216"/>
      <c r="C637" s="789"/>
      <c r="D637" s="792"/>
      <c r="E637" s="389"/>
      <c r="F637" s="390"/>
      <c r="G637" s="400"/>
      <c r="H637" s="392"/>
      <c r="I637" s="432">
        <f>база!$J$6</f>
        <v>243.04319999999998</v>
      </c>
      <c r="J637" s="433">
        <v>1.5</v>
      </c>
      <c r="K637" s="434">
        <f>SUMIFS(Таблица14[часы],Таблица14[коэф],"1,5",Таблица14[р/р],"5/8",Таблица14[Ф. И. О.],B638)</f>
        <v>0</v>
      </c>
      <c r="L637" s="434">
        <f>SUMIFS(Таблица14[Столбец2],Таблица14[коэф],"1,5",Таблица14[р/р],"5/8",Таблица14[Ф. И. О.],B638)</f>
        <v>0</v>
      </c>
      <c r="M637" s="434"/>
      <c r="N637" s="434"/>
      <c r="O637" s="434"/>
      <c r="P637" s="406"/>
      <c r="Q637" s="389">
        <f>база!$L$5</f>
        <v>231.45480000000001</v>
      </c>
      <c r="R637" s="390">
        <v>1.2</v>
      </c>
      <c r="S637" s="400">
        <f>SUMIFS(Таблица14[часы],Таблица14[коэф],"1,2",Таблица14[р/р],"4/16",Таблица14[Ф. И. О.],B638)</f>
        <v>0</v>
      </c>
      <c r="T637" s="392">
        <f>SUMIFS(Таблица14[Столбец2],Таблица14[коэф],"1,2",Таблица14[р/р],"4/16",Таблица14[Ф. И. О.],B638)</f>
        <v>0</v>
      </c>
      <c r="U637" s="478">
        <f>база!$M$5</f>
        <v>247.41720000000001</v>
      </c>
      <c r="V637" s="390">
        <v>1.2</v>
      </c>
      <c r="W637" s="412">
        <f>SUMIFS(Таблица14[часы],Таблица14[коэф],"1,2",Таблица14[р/р],"4/24",Таблица14[Ф. И. О.],B638)</f>
        <v>0</v>
      </c>
      <c r="X637" s="545">
        <f>SUMIFS(Таблица14[Столбец2],Таблица14[коэф],"1,2",Таблица14[р/р],"4/24",Таблица14[Ф. И. О.],B638)</f>
        <v>0</v>
      </c>
      <c r="Y637" s="801"/>
      <c r="Z637" s="797"/>
      <c r="AA637" s="786"/>
      <c r="AC637" s="754" t="str">
        <f>IF(SUMIFS(Таблица14[Столбец2],Таблица14[Ф. И. О.],B638)-Z633=0,"",SUMIFS(Таблица14[Столбец2],Таблица14[Ф. И. О.],B638)-Z633)</f>
        <v/>
      </c>
    </row>
    <row r="638" spans="1:29">
      <c r="A638" s="786"/>
      <c r="B638" s="216" t="str">
        <f>база!B59</f>
        <v>Овчинников Глеб Эдуардович</v>
      </c>
      <c r="C638" s="789"/>
      <c r="D638" s="792"/>
      <c r="E638" s="389"/>
      <c r="F638" s="390"/>
      <c r="G638" s="400"/>
      <c r="H638" s="392"/>
      <c r="I638" s="432"/>
      <c r="J638" s="433"/>
      <c r="K638" s="434"/>
      <c r="L638" s="434"/>
      <c r="M638" s="434"/>
      <c r="N638" s="434"/>
      <c r="O638" s="434"/>
      <c r="P638" s="406"/>
      <c r="Q638" s="389">
        <f>база!$L$6</f>
        <v>261.04640000000001</v>
      </c>
      <c r="R638" s="390">
        <v>1.2</v>
      </c>
      <c r="S638" s="400">
        <f>SUMIFS(Таблица14[часы],Таблица14[коэф],"1,2",Таблица14[р/р],"5/16",Таблица14[Ф. И. О.],B638)</f>
        <v>0</v>
      </c>
      <c r="T638" s="392">
        <f>SUMIFS(Таблица14[Столбец2],Таблица14[коэф],"1,2",Таблица14[р/р],"5/16",Таблица14[Ф. И. О.],B638)</f>
        <v>0</v>
      </c>
      <c r="U638" s="478">
        <f>база!$M$6</f>
        <v>279.0496</v>
      </c>
      <c r="V638" s="390">
        <v>1.2</v>
      </c>
      <c r="W638" s="412">
        <f>SUMIFS(Таблица14[часы],Таблица14[коэф],"1,2",Таблица14[р/р],"5/24",Таблица14[Ф. И. О.],B638)</f>
        <v>0</v>
      </c>
      <c r="X638" s="545">
        <f>SUMIFS(Таблица14[Столбец2],Таблица14[коэф],"1,2",Таблица14[р/р],"5/24",Таблица14[Ф. И. О.],B638)</f>
        <v>0</v>
      </c>
      <c r="Y638" s="801"/>
      <c r="Z638" s="797"/>
      <c r="AA638" s="786"/>
      <c r="AC638" s="754" t="str">
        <f>IF(SUMIFS(Таблица14[часы],Таблица14[Ф. И. О.],B638)-Y633=0,"",SUMIFS(Таблица14[часы],Таблица14[Ф. И. О.],B638)-Y633)</f>
        <v/>
      </c>
    </row>
    <row r="639" spans="1:29">
      <c r="A639" s="786"/>
      <c r="B639" s="216"/>
      <c r="C639" s="789"/>
      <c r="D639" s="792"/>
      <c r="E639" s="389"/>
      <c r="F639" s="390"/>
      <c r="G639" s="400"/>
      <c r="H639" s="392"/>
      <c r="I639" s="432"/>
      <c r="J639" s="433"/>
      <c r="K639" s="434"/>
      <c r="L639" s="434"/>
      <c r="M639" s="434"/>
      <c r="N639" s="434"/>
      <c r="O639" s="434"/>
      <c r="P639" s="406"/>
      <c r="Q639" s="389">
        <f>IF($D$6&lt;=3,база!$L$4,
IF($D$6=4,база!$L$5,
IF($D$6=5,база!$L$6)))</f>
        <v>231.45480000000001</v>
      </c>
      <c r="R639" s="390">
        <v>1.3</v>
      </c>
      <c r="S639" s="400">
        <f>SUMIFS(Таблица14[часы],Таблица14[коэф],"1,3",Таблица14[р/р],"3/16",Таблица14[Ф. И. О.],B638)</f>
        <v>0</v>
      </c>
      <c r="T639" s="392">
        <f>SUMIFS(Таблица14[Столбец2],Таблица14[коэф],"1,3",Таблица14[р/р],"3/16",Таблица14[Ф. И. О.],B638)</f>
        <v>0</v>
      </c>
      <c r="U639" s="478">
        <f>IF(D633&lt;=3,база!$M$4,
IF(D633=4,база!$M$5,
IF(D633=5,база!$M$6)))</f>
        <v>225.09719999999999</v>
      </c>
      <c r="V639" s="390">
        <v>1.3</v>
      </c>
      <c r="W639" s="412">
        <f>SUMIFS(Таблица14[часы],Таблица14[коэф],"1,3",Таблица14[р/р],"3/24",Таблица14[Ф. И. О.],B638)</f>
        <v>0</v>
      </c>
      <c r="X639" s="545">
        <f>SUMIFS(Таблица14[Столбец2],Таблица14[коэф],"1,3",Таблица14[р/р],"3/24",Таблица14[Ф. И. О.],B638)</f>
        <v>0</v>
      </c>
      <c r="Y639" s="801"/>
      <c r="Z639" s="797"/>
      <c r="AA639" s="786"/>
    </row>
    <row r="640" spans="1:29">
      <c r="A640" s="786"/>
      <c r="B640" s="216"/>
      <c r="C640" s="789"/>
      <c r="D640" s="792"/>
      <c r="E640" s="389"/>
      <c r="F640" s="390"/>
      <c r="G640" s="400"/>
      <c r="H640" s="392"/>
      <c r="I640" s="432"/>
      <c r="J640" s="433"/>
      <c r="K640" s="434"/>
      <c r="L640" s="434"/>
      <c r="M640" s="434"/>
      <c r="N640" s="434"/>
      <c r="O640" s="434"/>
      <c r="P640" s="406"/>
      <c r="Q640" s="389">
        <f>база!$L$5</f>
        <v>231.45480000000001</v>
      </c>
      <c r="R640" s="390">
        <v>1.3</v>
      </c>
      <c r="S640" s="400">
        <f>SUMIFS(Таблица14[часы],Таблица14[коэф],"1,3",Таблица14[р/р],"4/16",Таблица14[Ф. И. О.],B638)</f>
        <v>0</v>
      </c>
      <c r="T640" s="392">
        <f>SUMIFS(Таблица14[Столбец2],Таблица14[коэф],"1,3",Таблица14[р/р],"4/16",Таблица14[Ф. И. О.],B638)</f>
        <v>0</v>
      </c>
      <c r="U640" s="478">
        <f>база!$M$5</f>
        <v>247.41720000000001</v>
      </c>
      <c r="V640" s="390">
        <v>1.3</v>
      </c>
      <c r="W640" s="412">
        <f>SUMIFS(Таблица14[часы],Таблица14[коэф],"1,3",Таблица14[р/р],"4/24",Таблица14[Ф. И. О.],B638)</f>
        <v>0</v>
      </c>
      <c r="X640" s="545">
        <f>SUMIFS(Таблица14[Столбец2],Таблица14[коэф],"1,3",Таблица14[р/р],"4/24",Таблица14[Ф. И. О.],B638)</f>
        <v>0</v>
      </c>
      <c r="Y640" s="801"/>
      <c r="Z640" s="797"/>
      <c r="AA640" s="786"/>
    </row>
    <row r="641" spans="1:29">
      <c r="A641" s="786"/>
      <c r="B641" s="216"/>
      <c r="C641" s="789"/>
      <c r="D641" s="792"/>
      <c r="E641" s="389"/>
      <c r="F641" s="390"/>
      <c r="G641" s="400"/>
      <c r="H641" s="392"/>
      <c r="I641" s="432"/>
      <c r="J641" s="433"/>
      <c r="K641" s="434"/>
      <c r="L641" s="434"/>
      <c r="M641" s="434"/>
      <c r="N641" s="434"/>
      <c r="O641" s="434"/>
      <c r="P641" s="406"/>
      <c r="Q641" s="389">
        <f>IF(D633&lt;=3,база!$L$4,
IF(D633=4,база!$L$5,
IF(D633=5,база!$L$6)))</f>
        <v>210.57480000000001</v>
      </c>
      <c r="R641" s="390">
        <v>1.4</v>
      </c>
      <c r="S641" s="400">
        <f>SUMIFS(Таблица14[часы],Таблица14[коэф],"1,4",Таблица14[р/р],"3/16",Таблица14[Ф. И. О.],B638)</f>
        <v>0</v>
      </c>
      <c r="T641" s="392">
        <f>SUMIFS(Таблица14[Столбец2],Таблица14[коэф],"1,4",Таблица14[р/р],"3/16",Таблица14[Ф. И. О.],B638)</f>
        <v>0</v>
      </c>
      <c r="U641" s="478">
        <f>IF(D633&lt;=3,база!$M$4,
IF(D633=4,база!$M$5,
IF(D633=5,база!$M$6)))</f>
        <v>225.09719999999999</v>
      </c>
      <c r="V641" s="390">
        <v>1.4</v>
      </c>
      <c r="W641" s="412">
        <f>SUMIFS(Таблица14[часы],Таблица14[коэф],"1,4",Таблица14[р/р],"3/24",Таблица14[Ф. И. О.],B638)</f>
        <v>0</v>
      </c>
      <c r="X641" s="545">
        <f>SUMIFS(Таблица14[Столбец2],Таблица14[коэф],"1,4",Таблица14[р/р],"3/24",Таблица14[Ф. И. О.],B638)</f>
        <v>0</v>
      </c>
      <c r="Y641" s="801"/>
      <c r="Z641" s="797"/>
      <c r="AA641" s="786"/>
    </row>
    <row r="642" spans="1:29">
      <c r="A642" s="786"/>
      <c r="B642" s="216"/>
      <c r="C642" s="789"/>
      <c r="D642" s="792"/>
      <c r="E642" s="389"/>
      <c r="F642" s="390"/>
      <c r="G642" s="400"/>
      <c r="H642" s="392"/>
      <c r="I642" s="432"/>
      <c r="J642" s="433"/>
      <c r="K642" s="434"/>
      <c r="L642" s="434"/>
      <c r="M642" s="434"/>
      <c r="N642" s="434"/>
      <c r="O642" s="434"/>
      <c r="P642" s="406"/>
      <c r="Q642" s="389">
        <f>база!$L$5</f>
        <v>231.45480000000001</v>
      </c>
      <c r="R642" s="390">
        <v>1.4</v>
      </c>
      <c r="S642" s="400">
        <f>SUMIFS(Таблица14[часы],Таблица14[коэф],"1,4",Таблица14[р/р],"4/16",Таблица14[Ф. И. О.],B638)</f>
        <v>0</v>
      </c>
      <c r="T642" s="392">
        <f>SUMIFS(Таблица14[Столбец2],Таблица14[коэф],"1,4",Таблица14[р/р],"4/16",Таблица14[Ф. И. О.],B638)</f>
        <v>0</v>
      </c>
      <c r="U642" s="478">
        <f>база!$M$5</f>
        <v>247.41720000000001</v>
      </c>
      <c r="V642" s="390">
        <v>1.4</v>
      </c>
      <c r="W642" s="412">
        <f>SUMIFS(Таблица14[часы],Таблица14[коэф],"1,4",Таблица14[р/р],"4/24",Таблица14[Ф. И. О.],B638)</f>
        <v>0</v>
      </c>
      <c r="X642" s="545">
        <f>SUMIFS(Таблица14[Столбец2],Таблица14[коэф],"1,4",Таблица14[р/р],"4/24",Таблица14[Ф. И. О.],B638)</f>
        <v>0</v>
      </c>
      <c r="Y642" s="801"/>
      <c r="Z642" s="797"/>
      <c r="AA642" s="786"/>
    </row>
    <row r="643" spans="1:29" ht="21" thickBot="1">
      <c r="A643" s="787"/>
      <c r="B643" s="352"/>
      <c r="C643" s="790"/>
      <c r="D643" s="793"/>
      <c r="E643" s="445"/>
      <c r="F643" s="446"/>
      <c r="G643" s="653"/>
      <c r="H643" s="535"/>
      <c r="I643" s="654"/>
      <c r="J643" s="617"/>
      <c r="K643" s="655"/>
      <c r="L643" s="457"/>
      <c r="M643" s="654"/>
      <c r="N643" s="655"/>
      <c r="O643" s="655"/>
      <c r="P643" s="538"/>
      <c r="Q643" s="656">
        <f>база!$L$6</f>
        <v>261.04640000000001</v>
      </c>
      <c r="R643" s="446">
        <v>1.4</v>
      </c>
      <c r="S643" s="447">
        <f>SUMIFS(Таблица14[часы],Таблица14[коэф],"1,4",Таблица14[р/р],"5/16",Таблица14[Ф. И. О.],B638)</f>
        <v>0</v>
      </c>
      <c r="T643" s="535">
        <f>SUMIFS(Таблица14[Столбец2],Таблица14[коэф],"1,4",Таблица14[р/р],"5/16",Таблица14[Ф. И. О.],B638)</f>
        <v>0</v>
      </c>
      <c r="U643" s="536">
        <f>база!$M$6</f>
        <v>279.0496</v>
      </c>
      <c r="V643" s="464">
        <v>1.4</v>
      </c>
      <c r="W643" s="447">
        <f>SUMIFS(Таблица14[часы],Таблица14[коэф],"1,4",Таблица14[р/р],"5/24",Таблица14[Ф. И. О.],B638)</f>
        <v>0</v>
      </c>
      <c r="X643" s="535">
        <f>SUMIFS(Таблица14[Столбец2],Таблица14[коэф],"1,4",Таблица14[р/р],"5/24",Таблица14[Ф. И. О.],B638)</f>
        <v>0</v>
      </c>
      <c r="Y643" s="802"/>
      <c r="Z643" s="798"/>
      <c r="AA643" s="787"/>
    </row>
    <row r="644" spans="1:29" ht="18.75" customHeight="1">
      <c r="A644" s="786">
        <v>59</v>
      </c>
      <c r="B644" s="216"/>
      <c r="C644" s="788">
        <f>INDEX(база!$E$2:$E$150, MATCH(B649,база!$B$2:$B$150,0))</f>
        <v>16311</v>
      </c>
      <c r="D644" s="791">
        <f>INDEX(база!$D$2:$D$121, MATCH(B649,база!$B$2:$B$100,0))</f>
        <v>3</v>
      </c>
      <c r="E644" s="481">
        <f>IF(D644&lt;=3,база!$I$4,
IF(D644=4,база!$I$5,
IF(D644=5,база!$I$6)))</f>
        <v>188.7912</v>
      </c>
      <c r="F644" s="417">
        <v>1</v>
      </c>
      <c r="G644" s="418">
        <f>SUMIFS(Таблица14[часы],Таблица14[коэф],"1",Таблица14[р/р],"2/4",Таблица14[Ф. И. О.],B649)</f>
        <v>0</v>
      </c>
      <c r="H644" s="402">
        <f>SUMIFS(Таблица14[Столбец2],Таблица14[коэф],"1",Таблица14[р/р],"2/4",Таблица14[Ф. И. О.],B649)</f>
        <v>0</v>
      </c>
      <c r="I644" s="452">
        <f>IF(D644&lt;=3,база!$J$4,
IF(D644=4,база!$J$5,
IF(D644=5,база!$J$6)))</f>
        <v>196.05240000000001</v>
      </c>
      <c r="J644" s="475">
        <v>1</v>
      </c>
      <c r="K644" s="453">
        <f>SUMIFS(Таблица14[часы],Таблица14[коэф],"1",Таблица14[р/р],"2/8",Таблица14[Ф. И. О.],B649)</f>
        <v>0</v>
      </c>
      <c r="L644" s="453">
        <f>SUMIFS(Таблица14[Столбец2],Таблица14[коэф],"1",Таблица14[р/р],"2/8",Таблица14[Ф. И. О.],B649)</f>
        <v>0</v>
      </c>
      <c r="M644" s="453"/>
      <c r="N644" s="453">
        <v>1</v>
      </c>
      <c r="O644" s="453">
        <f>SUMIFS(Data_Tech!$AM$3:$AM$67,Data_Tech!$E$3:$E$67,"1",Data_Tech!$G$3:$G$67,"3/12",Data_Tech!$F$3:$F$67,B649)</f>
        <v>0</v>
      </c>
      <c r="P644" s="398">
        <f>ROUND(M644*N644*O644,2)</f>
        <v>0</v>
      </c>
      <c r="Q644" s="481">
        <f>IF(D644&lt;=3,база!$L$4,
IF(D644=4,база!$L$5,
IF(D644=5,база!$L$6)))</f>
        <v>210.57480000000001</v>
      </c>
      <c r="R644" s="417">
        <v>1</v>
      </c>
      <c r="S644" s="418">
        <f>SUMIFS(Таблица14[часы],Таблица14[коэф],"1",Таблица14[р/р],"3/16",Таблица14[Ф. И. О.],B649)</f>
        <v>0</v>
      </c>
      <c r="T644" s="402">
        <f>SUMIFS(Таблица14[Столбец2],Таблица14[коэф],"1",Таблица14[р/р],"3/16",Таблица14[Ф. И. О.],B649)</f>
        <v>0</v>
      </c>
      <c r="U644" s="483">
        <f>IF(D644&lt;=3,база!$M$4,
IF(D644=4,база!$M$5,
IF(D644=5,база!$M$6)))</f>
        <v>225.09719999999999</v>
      </c>
      <c r="V644" s="417">
        <v>1</v>
      </c>
      <c r="W644" s="455">
        <f>SUMIFS(Таблица14[часы],Таблица14[коэф],"1",Таблица14[р/р],"3/24",Таблица14[Ф. И. О.],B649)</f>
        <v>0</v>
      </c>
      <c r="X644" s="552">
        <f>SUMIFS(Таблица14[Столбец2],Таблица14[коэф],"1",Таблица14[р/р],"3/24",Таблица14[Ф. И. О.],B649)</f>
        <v>0</v>
      </c>
      <c r="Y644" s="801">
        <f t="shared" ref="Y644" si="254">SUM(G644:G654,K644:K654,O644:O654,S644:S654,W644:W654)</f>
        <v>0</v>
      </c>
      <c r="Z644" s="797">
        <f t="shared" ref="Z644" si="255">IFERROR(SUM(H644:H654,L644:L654,T644:T654,X644:X654),"")</f>
        <v>0</v>
      </c>
      <c r="AA644" s="786"/>
    </row>
    <row r="645" spans="1:29" ht="18.75" customHeight="1">
      <c r="A645" s="786"/>
      <c r="B645" s="216"/>
      <c r="C645" s="789"/>
      <c r="D645" s="792"/>
      <c r="E645" s="389">
        <f>IF(D644&lt;=3,база!$I$4,
IF(D644=4,база!$I$5,
IF(D644=5,база!$I$6)))</f>
        <v>188.7912</v>
      </c>
      <c r="F645" s="390">
        <v>1</v>
      </c>
      <c r="G645" s="400">
        <f>SUMIFS(Таблица14[часы],Таблица14[коэф],"1",Таблица14[р/р],"3/4",Таблица14[Ф. И. О.],B649)</f>
        <v>0</v>
      </c>
      <c r="H645" s="392">
        <f>SUMIFS(Таблица14[Столбец2],Таблица14[коэф],"1",Таблица14[р/р],"3/4",Таблица14[Ф. И. О.],B649)</f>
        <v>0</v>
      </c>
      <c r="I645" s="432">
        <f>IF(D644&lt;=3,база!$J$4,
IF(D644=4,база!$J$5,
IF(D644=5,база!$J$6)))</f>
        <v>196.05240000000001</v>
      </c>
      <c r="J645" s="433">
        <v>1</v>
      </c>
      <c r="K645" s="434">
        <f>SUMIFS(Таблица14[часы],Таблица14[коэф],"1",Таблица14[р/р],"3/8",Таблица14[Ф. И. О.],B649)</f>
        <v>0</v>
      </c>
      <c r="L645" s="434">
        <f>SUMIFS(Таблица14[Столбец2],Таблица14[коэф],"1",Таблица14[р/р],"3/8",Таблица14[Ф. И. О.],B649)</f>
        <v>0</v>
      </c>
      <c r="M645" s="434"/>
      <c r="N645" s="434">
        <v>1</v>
      </c>
      <c r="O645" s="434">
        <f>SUMIFS(Data_Tech!$AM$3:$AM$67,Data_Tech!$E$3:$E$67,"1",Data_Tech!$G$3:$G$67,"4/12",Data_Tech!$F$3:$F$67,B649)</f>
        <v>0</v>
      </c>
      <c r="P645" s="406">
        <f>ROUND(M645*O645,2)</f>
        <v>0</v>
      </c>
      <c r="Q645" s="389">
        <f>база!$L$5</f>
        <v>231.45480000000001</v>
      </c>
      <c r="R645" s="390">
        <v>1</v>
      </c>
      <c r="S645" s="400">
        <f>SUMIFS(Таблица14[часы],Таблица14[коэф],"1",Таблица14[р/р],"4/16",Таблица14[Ф. И. О.],B649)</f>
        <v>0</v>
      </c>
      <c r="T645" s="392">
        <f>SUMIFS(Таблица14[Столбец2],Таблица14[коэф],"1",Таблица14[р/р],"4/16",Таблица14[Ф. И. О.],B649)</f>
        <v>0</v>
      </c>
      <c r="U645" s="478">
        <f>база!$M$5</f>
        <v>247.41720000000001</v>
      </c>
      <c r="V645" s="390">
        <v>1</v>
      </c>
      <c r="W645" s="412">
        <f>SUMIFS(Таблица14[часы],Таблица14[коэф],"1",Таблица14[р/р],"4/24",Таблица14[Ф. И. О.],B649)</f>
        <v>0</v>
      </c>
      <c r="X645" s="545">
        <f>SUMIFS(Таблица14[Столбец2],Таблица14[коэф],"1",Таблица14[р/р],"4/24",Таблица14[Ф. И. О.],B649)</f>
        <v>0</v>
      </c>
      <c r="Y645" s="801"/>
      <c r="Z645" s="797"/>
      <c r="AA645" s="786"/>
    </row>
    <row r="646" spans="1:29" ht="18.75" customHeight="1">
      <c r="A646" s="786"/>
      <c r="B646" s="216"/>
      <c r="C646" s="789"/>
      <c r="D646" s="792"/>
      <c r="E646" s="389"/>
      <c r="F646" s="390"/>
      <c r="G646" s="400"/>
      <c r="H646" s="392"/>
      <c r="I646" s="432"/>
      <c r="J646" s="433"/>
      <c r="K646" s="434"/>
      <c r="L646" s="434"/>
      <c r="M646" s="434"/>
      <c r="N646" s="434"/>
      <c r="O646" s="434"/>
      <c r="P646" s="406"/>
      <c r="Q646" s="389">
        <f>база!$L$6</f>
        <v>261.04640000000001</v>
      </c>
      <c r="R646" s="390">
        <v>1</v>
      </c>
      <c r="S646" s="400">
        <f>SUMIFS(Таблица14[часы],Таблица14[коэф],"1",Таблица14[р/р],"5/16",Таблица14[Ф. И. О.],B649)</f>
        <v>0</v>
      </c>
      <c r="T646" s="392">
        <f>SUMIFS(Таблица14[Столбец2],Таблица14[коэф],"1",Таблица14[р/р],"5/16",Таблица14[Ф. И. О.],B649)</f>
        <v>0</v>
      </c>
      <c r="U646" s="478">
        <f>база!$M$6</f>
        <v>279.0496</v>
      </c>
      <c r="V646" s="390">
        <v>1</v>
      </c>
      <c r="W646" s="412">
        <f>SUMIFS(Таблица14[часы],Таблица14[коэф],"1",Таблица14[р/р],"5/24",Таблица14[Ф. И. О.],B649)</f>
        <v>0</v>
      </c>
      <c r="X646" s="545">
        <f>SUMIFS(Таблица14[Столбец2],Таблица14[коэф],"1",Таблица14[р/р],"5/24",Таблица14[Ф. И. О.],B649)</f>
        <v>0</v>
      </c>
      <c r="Y646" s="801"/>
      <c r="Z646" s="797"/>
      <c r="AA646" s="786"/>
    </row>
    <row r="647" spans="1:29" ht="18.75" customHeight="1">
      <c r="A647" s="786"/>
      <c r="B647" s="216"/>
      <c r="C647" s="789"/>
      <c r="D647" s="792"/>
      <c r="E647" s="389"/>
      <c r="F647" s="390"/>
      <c r="G647" s="400"/>
      <c r="H647" s="392"/>
      <c r="I647" s="432">
        <f>база!$J$5</f>
        <v>215.4924</v>
      </c>
      <c r="J647" s="433">
        <v>1.5</v>
      </c>
      <c r="K647" s="434">
        <f>SUMIFS(Таблица14[часы],Таблица14[коэф],"1,5",Таблица14[р/р],"4/8",Таблица14[Ф. И. О.],B649)</f>
        <v>0</v>
      </c>
      <c r="L647" s="434">
        <f>SUMIFS(Таблица14[Столбец2],Таблица14[коэф],"1,5",Таблица14[р/р],"4/8",Таблица14[Ф. И. О.],B649)</f>
        <v>0</v>
      </c>
      <c r="M647" s="434"/>
      <c r="N647" s="434"/>
      <c r="O647" s="434"/>
      <c r="P647" s="406"/>
      <c r="Q647" s="389">
        <f>IF(D644&lt;=3,база!$L$4,
IF(D644=4,база!$L$5,
IF(D644=5,база!$L$6)))</f>
        <v>210.57480000000001</v>
      </c>
      <c r="R647" s="390">
        <v>1.2</v>
      </c>
      <c r="S647" s="400">
        <f>SUMIFS(Таблица14[часы],Таблица14[коэф],"1,2",Таблица14[р/р],"3/16",Таблица14[Ф. И. О.],B649)</f>
        <v>0</v>
      </c>
      <c r="T647" s="392">
        <f>SUMIFS(Таблица14[Столбец2],Таблица14[коэф],"1,2",Таблица14[р/р],"3/16",Таблица14[Ф. И. О.],B649)</f>
        <v>0</v>
      </c>
      <c r="U647" s="478">
        <f>IF(D644&lt;=3,база!$M$4,
IF(D644=4,база!$M$5,
IF(D644=5,база!$M$6)))</f>
        <v>225.09719999999999</v>
      </c>
      <c r="V647" s="390">
        <v>1.2</v>
      </c>
      <c r="W647" s="412">
        <f>SUMIFS(Таблица14[часы],Таблица14[коэф],"1,2",Таблица14[р/р],"3/24",Таблица14[Ф. И. О.],B649)</f>
        <v>0</v>
      </c>
      <c r="X647" s="545">
        <f>SUMIFS(Таблица14[Столбец2],Таблица14[коэф],"1,2",Таблица14[р/р],"3/24",Таблица14[Ф. И. О.],B649)</f>
        <v>0</v>
      </c>
      <c r="Y647" s="801"/>
      <c r="Z647" s="797"/>
      <c r="AA647" s="786"/>
    </row>
    <row r="648" spans="1:29" ht="18.75" customHeight="1">
      <c r="A648" s="786"/>
      <c r="B648" s="216"/>
      <c r="C648" s="789"/>
      <c r="D648" s="792"/>
      <c r="E648" s="389"/>
      <c r="F648" s="390"/>
      <c r="G648" s="400"/>
      <c r="H648" s="392"/>
      <c r="I648" s="432">
        <f>база!$J$6</f>
        <v>243.04319999999998</v>
      </c>
      <c r="J648" s="433">
        <v>1.5</v>
      </c>
      <c r="K648" s="434">
        <f>SUMIFS(Таблица14[часы],Таблица14[коэф],"1,5",Таблица14[р/р],"5/8",Таблица14[Ф. И. О.],B649)</f>
        <v>0</v>
      </c>
      <c r="L648" s="434">
        <f>SUMIFS(Таблица14[Столбец2],Таблица14[коэф],"1,5",Таблица14[р/р],"5/8",Таблица14[Ф. И. О.],B649)</f>
        <v>0</v>
      </c>
      <c r="M648" s="434"/>
      <c r="N648" s="434"/>
      <c r="O648" s="434"/>
      <c r="P648" s="406"/>
      <c r="Q648" s="389">
        <f>база!$L$5</f>
        <v>231.45480000000001</v>
      </c>
      <c r="R648" s="390">
        <v>1.2</v>
      </c>
      <c r="S648" s="400">
        <f>SUMIFS(Таблица14[часы],Таблица14[коэф],"1,2",Таблица14[р/р],"4/16",Таблица14[Ф. И. О.],B649)</f>
        <v>0</v>
      </c>
      <c r="T648" s="392">
        <f>SUMIFS(Таблица14[Столбец2],Таблица14[коэф],"1,2",Таблица14[р/р],"4/16",Таблица14[Ф. И. О.],B649)</f>
        <v>0</v>
      </c>
      <c r="U648" s="478">
        <f>база!$M$5</f>
        <v>247.41720000000001</v>
      </c>
      <c r="V648" s="390">
        <v>1.2</v>
      </c>
      <c r="W648" s="412">
        <f>SUMIFS(Таблица14[часы],Таблица14[коэф],"1,2",Таблица14[р/р],"4/24",Таблица14[Ф. И. О.],B649)</f>
        <v>0</v>
      </c>
      <c r="X648" s="545">
        <f>SUMIFS(Таблица14[Столбец2],Таблица14[коэф],"1,2",Таблица14[р/р],"4/24",Таблица14[Ф. И. О.],B649)</f>
        <v>0</v>
      </c>
      <c r="Y648" s="801"/>
      <c r="Z648" s="797"/>
      <c r="AA648" s="786"/>
    </row>
    <row r="649" spans="1:29" ht="18.75" customHeight="1">
      <c r="A649" s="786"/>
      <c r="B649" s="216" t="str">
        <f>база!B60</f>
        <v>Оленева Анна Викторовна</v>
      </c>
      <c r="C649" s="789"/>
      <c r="D649" s="792"/>
      <c r="E649" s="389"/>
      <c r="F649" s="390"/>
      <c r="G649" s="400"/>
      <c r="H649" s="392"/>
      <c r="I649" s="432"/>
      <c r="J649" s="433"/>
      <c r="K649" s="434"/>
      <c r="L649" s="434"/>
      <c r="M649" s="434"/>
      <c r="N649" s="434"/>
      <c r="O649" s="434"/>
      <c r="P649" s="406"/>
      <c r="Q649" s="389">
        <f>база!$L$6</f>
        <v>261.04640000000001</v>
      </c>
      <c r="R649" s="390">
        <v>1.2</v>
      </c>
      <c r="S649" s="400">
        <f>SUMIFS(Таблица14[часы],Таблица14[коэф],"1,2",Таблица14[р/р],"5/16",Таблица14[Ф. И. О.],B649)</f>
        <v>0</v>
      </c>
      <c r="T649" s="392">
        <f>SUMIFS(Таблица14[Столбец2],Таблица14[коэф],"1,2",Таблица14[р/р],"5/16",Таблица14[Ф. И. О.],B649)</f>
        <v>0</v>
      </c>
      <c r="U649" s="478">
        <f>база!$M$6</f>
        <v>279.0496</v>
      </c>
      <c r="V649" s="390">
        <v>1.2</v>
      </c>
      <c r="W649" s="412">
        <f>SUMIFS(Таблица14[часы],Таблица14[коэф],"1,2",Таблица14[р/р],"5/24",Таблица14[Ф. И. О.],B649)</f>
        <v>0</v>
      </c>
      <c r="X649" s="545">
        <f>SUMIFS(Таблица14[Столбец2],Таблица14[коэф],"1,2",Таблица14[р/р],"5/24",Таблица14[Ф. И. О.],B649)</f>
        <v>0</v>
      </c>
      <c r="Y649" s="801"/>
      <c r="Z649" s="797"/>
      <c r="AA649" s="786"/>
      <c r="AC649" s="754" t="str">
        <f>IF(SUMIFS(Таблица14[Столбец2],Таблица14[Ф. И. О.],B649)-Z644=0,"",SUMIFS(Таблица14[Столбец2],Таблица14[Ф. И. О.],B649)-Z644)</f>
        <v/>
      </c>
    </row>
    <row r="650" spans="1:29" ht="18.75" customHeight="1">
      <c r="A650" s="786"/>
      <c r="B650" s="216"/>
      <c r="C650" s="789"/>
      <c r="D650" s="792"/>
      <c r="E650" s="389"/>
      <c r="F650" s="390"/>
      <c r="G650" s="400"/>
      <c r="H650" s="392"/>
      <c r="I650" s="432"/>
      <c r="J650" s="433"/>
      <c r="K650" s="434"/>
      <c r="L650" s="434"/>
      <c r="M650" s="434"/>
      <c r="N650" s="434"/>
      <c r="O650" s="434"/>
      <c r="P650" s="406"/>
      <c r="Q650" s="389">
        <f>IF($D$6&lt;=3,база!$L$4,
IF($D$6=4,база!$L$5,
IF($D$6=5,база!$L$6)))</f>
        <v>231.45480000000001</v>
      </c>
      <c r="R650" s="390">
        <v>1.3</v>
      </c>
      <c r="S650" s="400">
        <f>SUMIFS(Таблица14[часы],Таблица14[коэф],"1,3",Таблица14[р/р],"3/16",Таблица14[Ф. И. О.],B649)</f>
        <v>0</v>
      </c>
      <c r="T650" s="392">
        <f>SUMIFS(Таблица14[Столбец2],Таблица14[коэф],"1,3",Таблица14[р/р],"3/16",Таблица14[Ф. И. О.],B649)</f>
        <v>0</v>
      </c>
      <c r="U650" s="478">
        <f>IF(D644&lt;=3,база!$M$4,
IF(D644=4,база!$M$5,
IF(D644=5,база!$M$6)))</f>
        <v>225.09719999999999</v>
      </c>
      <c r="V650" s="390">
        <v>1.3</v>
      </c>
      <c r="W650" s="412">
        <f>SUMIFS(Таблица14[часы],Таблица14[коэф],"1,3",Таблица14[р/р],"3/24",Таблица14[Ф. И. О.],B649)</f>
        <v>0</v>
      </c>
      <c r="X650" s="545">
        <f>SUMIFS(Таблица14[Столбец2],Таблица14[коэф],"1,3",Таблица14[р/р],"3/24",Таблица14[Ф. И. О.],B649)</f>
        <v>0</v>
      </c>
      <c r="Y650" s="801"/>
      <c r="Z650" s="797"/>
      <c r="AA650" s="786"/>
      <c r="AC650" s="754" t="str">
        <f>IF(SUMIFS(Таблица14[часы],Таблица14[Ф. И. О.],B649)-Y644=0,"",SUMIFS(Таблица14[часы],Таблица14[Ф. И. О.],B649)-Y644)</f>
        <v/>
      </c>
    </row>
    <row r="651" spans="1:29" ht="18.75" customHeight="1">
      <c r="A651" s="786"/>
      <c r="B651" s="216"/>
      <c r="C651" s="789"/>
      <c r="D651" s="792"/>
      <c r="E651" s="389"/>
      <c r="F651" s="390"/>
      <c r="G651" s="400"/>
      <c r="H651" s="392"/>
      <c r="I651" s="432"/>
      <c r="J651" s="433"/>
      <c r="K651" s="434"/>
      <c r="L651" s="434"/>
      <c r="M651" s="434"/>
      <c r="N651" s="434"/>
      <c r="O651" s="434"/>
      <c r="P651" s="406"/>
      <c r="Q651" s="389">
        <f>база!$L$5</f>
        <v>231.45480000000001</v>
      </c>
      <c r="R651" s="390">
        <v>1.3</v>
      </c>
      <c r="S651" s="400">
        <f>SUMIFS(Таблица14[часы],Таблица14[коэф],"1,3",Таблица14[р/р],"4/16",Таблица14[Ф. И. О.],B649)</f>
        <v>0</v>
      </c>
      <c r="T651" s="392">
        <f>SUMIFS(Таблица14[Столбец2],Таблица14[коэф],"1,3",Таблица14[р/р],"4/16",Таблица14[Ф. И. О.],B649)</f>
        <v>0</v>
      </c>
      <c r="U651" s="478">
        <f>база!$M$5</f>
        <v>247.41720000000001</v>
      </c>
      <c r="V651" s="390">
        <v>1.3</v>
      </c>
      <c r="W651" s="412">
        <f>SUMIFS(Таблица14[часы],Таблица14[коэф],"1,3",Таблица14[р/р],"4/24",Таблица14[Ф. И. О.],B649)</f>
        <v>0</v>
      </c>
      <c r="X651" s="545">
        <f>SUMIFS(Таблица14[Столбец2],Таблица14[коэф],"1,3",Таблица14[р/р],"4/24",Таблица14[Ф. И. О.],B649)</f>
        <v>0</v>
      </c>
      <c r="Y651" s="801"/>
      <c r="Z651" s="797"/>
      <c r="AA651" s="786"/>
    </row>
    <row r="652" spans="1:29" ht="18.75" customHeight="1">
      <c r="A652" s="786"/>
      <c r="B652" s="216"/>
      <c r="C652" s="789"/>
      <c r="D652" s="792"/>
      <c r="E652" s="389"/>
      <c r="F652" s="390"/>
      <c r="G652" s="400"/>
      <c r="H652" s="392"/>
      <c r="I652" s="432"/>
      <c r="J652" s="433"/>
      <c r="K652" s="434"/>
      <c r="L652" s="434"/>
      <c r="M652" s="434"/>
      <c r="N652" s="434"/>
      <c r="O652" s="434"/>
      <c r="P652" s="406"/>
      <c r="Q652" s="389">
        <f>IF(D644&lt;=3,база!$L$4,
IF(D644=4,база!$L$5,
IF(D644=5,база!$L$6)))</f>
        <v>210.57480000000001</v>
      </c>
      <c r="R652" s="390">
        <v>1.4</v>
      </c>
      <c r="S652" s="400">
        <f>SUMIFS(Таблица14[часы],Таблица14[коэф],"1,4",Таблица14[р/р],"3/16",Таблица14[Ф. И. О.],B649)</f>
        <v>0</v>
      </c>
      <c r="T652" s="392">
        <f>SUMIFS(Таблица14[Столбец2],Таблица14[коэф],"1,4",Таблица14[р/р],"3/16",Таблица14[Ф. И. О.],B649)</f>
        <v>0</v>
      </c>
      <c r="U652" s="478">
        <f>IF(D644&lt;=3,база!$M$4,
IF(D644=4,база!$M$5,
IF(D644=5,база!$M$6)))</f>
        <v>225.09719999999999</v>
      </c>
      <c r="V652" s="390">
        <v>1.4</v>
      </c>
      <c r="W652" s="412">
        <f>SUMIFS(Таблица14[часы],Таблица14[коэф],"1,4",Таблица14[р/р],"3/24",Таблица14[Ф. И. О.],B649)</f>
        <v>0</v>
      </c>
      <c r="X652" s="545">
        <f>SUMIFS(Таблица14[Столбец2],Таблица14[коэф],"1,4",Таблица14[р/р],"3/24",Таблица14[Ф. И. О.],B649)</f>
        <v>0</v>
      </c>
      <c r="Y652" s="801"/>
      <c r="Z652" s="797"/>
      <c r="AA652" s="786"/>
    </row>
    <row r="653" spans="1:29" ht="18.75" customHeight="1">
      <c r="A653" s="786"/>
      <c r="B653" s="216"/>
      <c r="C653" s="789"/>
      <c r="D653" s="792"/>
      <c r="E653" s="389"/>
      <c r="F653" s="390"/>
      <c r="G653" s="400"/>
      <c r="H653" s="392"/>
      <c r="I653" s="432"/>
      <c r="J653" s="433"/>
      <c r="K653" s="434"/>
      <c r="L653" s="434"/>
      <c r="M653" s="434"/>
      <c r="N653" s="434"/>
      <c r="O653" s="434"/>
      <c r="P653" s="406"/>
      <c r="Q653" s="389">
        <f>база!$L$5</f>
        <v>231.45480000000001</v>
      </c>
      <c r="R653" s="390">
        <v>1.4</v>
      </c>
      <c r="S653" s="400">
        <f>SUMIFS(Таблица14[часы],Таблица14[коэф],"1,4",Таблица14[р/р],"4/16",Таблица14[Ф. И. О.],B649)</f>
        <v>0</v>
      </c>
      <c r="T653" s="392">
        <f>SUMIFS(Таблица14[Столбец2],Таблица14[коэф],"1,4",Таблица14[р/р],"4/16",Таблица14[Ф. И. О.],B649)</f>
        <v>0</v>
      </c>
      <c r="U653" s="478">
        <f>база!$M$5</f>
        <v>247.41720000000001</v>
      </c>
      <c r="V653" s="390">
        <v>1.4</v>
      </c>
      <c r="W653" s="412">
        <f>SUMIFS(Таблица14[часы],Таблица14[коэф],"1,4",Таблица14[р/р],"4/24",Таблица14[Ф. И. О.],B649)</f>
        <v>0</v>
      </c>
      <c r="X653" s="545">
        <f>SUMIFS(Таблица14[Столбец2],Таблица14[коэф],"1,4",Таблица14[р/р],"4/24",Таблица14[Ф. И. О.],B649)</f>
        <v>0</v>
      </c>
      <c r="Y653" s="801"/>
      <c r="Z653" s="797"/>
      <c r="AA653" s="786"/>
    </row>
    <row r="654" spans="1:29" ht="19.5" customHeight="1" thickBot="1">
      <c r="A654" s="787"/>
      <c r="B654" s="352"/>
      <c r="C654" s="790"/>
      <c r="D654" s="793"/>
      <c r="E654" s="473"/>
      <c r="F654" s="464"/>
      <c r="G654" s="657"/>
      <c r="H654" s="468"/>
      <c r="I654" s="651"/>
      <c r="J654" s="456"/>
      <c r="K654" s="652"/>
      <c r="L654" s="457"/>
      <c r="M654" s="651"/>
      <c r="N654" s="652"/>
      <c r="O654" s="652"/>
      <c r="P654" s="476"/>
      <c r="Q654" s="658">
        <f>база!$L$6</f>
        <v>261.04640000000001</v>
      </c>
      <c r="R654" s="464">
        <v>1.4</v>
      </c>
      <c r="S654" s="465">
        <f>SUMIFS(Таблица14[часы],Таблица14[коэф],"1,4",Таблица14[р/р],"5/16",Таблица14[Ф. И. О.],B649)</f>
        <v>0</v>
      </c>
      <c r="T654" s="468">
        <f>SUMIFS(Таблица14[Столбец2],Таблица14[коэф],"1,4",Таблица14[р/р],"5/16",Таблица14[Ф. И. О.],B649)</f>
        <v>0</v>
      </c>
      <c r="U654" s="463">
        <f>база!$M$6</f>
        <v>279.0496</v>
      </c>
      <c r="V654" s="464">
        <v>1.4</v>
      </c>
      <c r="W654" s="465">
        <f>SUMIFS(Таблица14[часы],Таблица14[коэф],"1,4",Таблица14[р/р],"5/24",Таблица14[Ф. И. О.],B649)</f>
        <v>0</v>
      </c>
      <c r="X654" s="468">
        <f>SUMIFS(Таблица14[Столбец2],Таблица14[коэф],"1,4",Таблица14[р/р],"5/24",Таблица14[Ф. И. О.],B649)</f>
        <v>0</v>
      </c>
      <c r="Y654" s="802"/>
      <c r="Z654" s="798"/>
      <c r="AA654" s="787"/>
    </row>
    <row r="655" spans="1:29" ht="18.75" customHeight="1">
      <c r="A655" s="786">
        <v>60</v>
      </c>
      <c r="B655" s="216"/>
      <c r="C655" s="788">
        <f>INDEX(база!$E$2:$E$150, MATCH(B660,база!$B$2:$B$150,0))</f>
        <v>17343</v>
      </c>
      <c r="D655" s="791">
        <f>INDEX(база!$D$2:$D$150, MATCH(B660,база!$B$2:$B$150,0))</f>
        <v>3</v>
      </c>
      <c r="E655" s="481">
        <f>IF(D655&lt;=3,база!$I$4,
IF(D655=4,база!$I$5,
IF(D655=5,база!$I$6)))</f>
        <v>188.7912</v>
      </c>
      <c r="F655" s="417">
        <v>1</v>
      </c>
      <c r="G655" s="418">
        <f>SUMIFS(Таблица14[часы],Таблица14[коэф],"1",Таблица14[р/р],"2/4",Таблица14[Ф. И. О.],B660)</f>
        <v>0</v>
      </c>
      <c r="H655" s="402">
        <f>SUMIFS(Таблица14[Столбец2],Таблица14[коэф],"1",Таблица14[р/р],"2/4",Таблица14[Ф. И. О.],B660)</f>
        <v>0</v>
      </c>
      <c r="I655" s="452">
        <f>IF(D655&lt;=3,база!$J$4,
IF(D655=4,база!$J$5,
IF(D655=5,база!$J$6)))</f>
        <v>196.05240000000001</v>
      </c>
      <c r="J655" s="475">
        <v>1</v>
      </c>
      <c r="K655" s="453">
        <f>SUMIFS(Таблица14[часы],Таблица14[коэф],"1",Таблица14[р/р],"2/8",Таблица14[Ф. И. О.],B660)</f>
        <v>0</v>
      </c>
      <c r="L655" s="453">
        <f>SUMIFS(Таблица14[Столбец2],Таблица14[коэф],"1",Таблица14[р/р],"2/8",Таблица14[Ф. И. О.],B660)</f>
        <v>0</v>
      </c>
      <c r="M655" s="453"/>
      <c r="N655" s="453">
        <v>1</v>
      </c>
      <c r="O655" s="453">
        <f>SUMIFS(Data_Tech!$AM$3:$AM$67,Data_Tech!$E$3:$E$67,"1",Data_Tech!$G$3:$G$67,"3/12",Data_Tech!$F$3:$F$67,B660)</f>
        <v>0</v>
      </c>
      <c r="P655" s="398">
        <f>ROUND(M655*N655*O655,2)</f>
        <v>0</v>
      </c>
      <c r="Q655" s="481">
        <f>IF(D655&lt;=3,база!$L$4,
IF(D655=4,база!$L$5,
IF(D655=5,база!$L$6)))</f>
        <v>210.57480000000001</v>
      </c>
      <c r="R655" s="417">
        <v>1</v>
      </c>
      <c r="S655" s="418">
        <f>SUMIFS(Таблица14[часы],Таблица14[коэф],"1",Таблица14[р/р],"3/16",Таблица14[Ф. И. О.],B660)</f>
        <v>0</v>
      </c>
      <c r="T655" s="402">
        <f>SUMIFS(Таблица14[Столбец2],Таблица14[коэф],"1",Таблица14[р/р],"3/16",Таблица14[Ф. И. О.],B660)</f>
        <v>0</v>
      </c>
      <c r="U655" s="483">
        <f>IF(D655&lt;=3,база!$M$4,
IF(D655=4,база!$M$5,
IF(D655=5,база!$M$6)))</f>
        <v>225.09719999999999</v>
      </c>
      <c r="V655" s="417">
        <v>1</v>
      </c>
      <c r="W655" s="455">
        <f>SUMIFS(Таблица14[часы],Таблица14[коэф],"1",Таблица14[р/р],"3/24",Таблица14[Ф. И. О.],B660)</f>
        <v>0</v>
      </c>
      <c r="X655" s="552">
        <f>SUMIFS(Таблица14[Столбец2],Таблица14[коэф],"1",Таблица14[р/р],"3/24",Таблица14[Ф. И. О.],B660)</f>
        <v>0</v>
      </c>
      <c r="Y655" s="801">
        <f t="shared" ref="Y655" si="256">SUM(G655:G665,K655:K665,O655:O665,S655:S665,W655:W665)</f>
        <v>0</v>
      </c>
      <c r="Z655" s="797">
        <f t="shared" ref="Z655" si="257">IFERROR(SUM(H655:H665,L655:L665,T655:T665,X655:X665),"")</f>
        <v>0</v>
      </c>
      <c r="AA655" s="786"/>
    </row>
    <row r="656" spans="1:29" ht="18.75" customHeight="1">
      <c r="A656" s="786"/>
      <c r="B656" s="216"/>
      <c r="C656" s="789"/>
      <c r="D656" s="792"/>
      <c r="E656" s="389">
        <f>IF(D655&lt;=3,база!$I$4,
IF(D655=4,база!$I$5,
IF(D655=5,база!$I$6)))</f>
        <v>188.7912</v>
      </c>
      <c r="F656" s="390">
        <v>1</v>
      </c>
      <c r="G656" s="400">
        <f>SUMIFS(Таблица14[часы],Таблица14[коэф],"1",Таблица14[р/р],"3/4",Таблица14[Ф. И. О.],B660)</f>
        <v>0</v>
      </c>
      <c r="H656" s="392">
        <f>SUMIFS(Таблица14[Столбец2],Таблица14[коэф],"1",Таблица14[р/р],"3/4",Таблица14[Ф. И. О.],B660)</f>
        <v>0</v>
      </c>
      <c r="I656" s="432">
        <f>IF(D655&lt;=3,база!$J$4,
IF(D655=4,база!$J$5,
IF(D655=5,база!$J$6)))</f>
        <v>196.05240000000001</v>
      </c>
      <c r="J656" s="433">
        <v>1</v>
      </c>
      <c r="K656" s="434">
        <f>SUMIFS(Таблица14[часы],Таблица14[коэф],"1",Таблица14[р/р],"3/8",Таблица14[Ф. И. О.],B660)</f>
        <v>0</v>
      </c>
      <c r="L656" s="434">
        <f>SUMIFS(Таблица14[Столбец2],Таблица14[коэф],"1",Таблица14[р/р],"3/8",Таблица14[Ф. И. О.],B660)</f>
        <v>0</v>
      </c>
      <c r="M656" s="434"/>
      <c r="N656" s="434">
        <v>1</v>
      </c>
      <c r="O656" s="434">
        <f>SUMIFS(Data_Tech!$AM$3:$AM$67,Data_Tech!$E$3:$E$67,"1",Data_Tech!$G$3:$G$67,"4/12",Data_Tech!$F$3:$F$67,B660)</f>
        <v>0</v>
      </c>
      <c r="P656" s="406">
        <f>ROUND(M656*O656,2)</f>
        <v>0</v>
      </c>
      <c r="Q656" s="389">
        <f>база!$L$5</f>
        <v>231.45480000000001</v>
      </c>
      <c r="R656" s="390">
        <v>1</v>
      </c>
      <c r="S656" s="400">
        <f>SUMIFS(Таблица14[часы],Таблица14[коэф],"1",Таблица14[р/р],"4/16",Таблица14[Ф. И. О.],B660)</f>
        <v>0</v>
      </c>
      <c r="T656" s="392">
        <f>SUMIFS(Таблица14[Столбец2],Таблица14[коэф],"1",Таблица14[р/р],"4/16",Таблица14[Ф. И. О.],B660)</f>
        <v>0</v>
      </c>
      <c r="U656" s="478">
        <f>база!$M$5</f>
        <v>247.41720000000001</v>
      </c>
      <c r="V656" s="390">
        <v>1</v>
      </c>
      <c r="W656" s="412">
        <f>SUMIFS(Таблица14[часы],Таблица14[коэф],"1",Таблица14[р/р],"4/24",Таблица14[Ф. И. О.],B660)</f>
        <v>0</v>
      </c>
      <c r="X656" s="545">
        <f>SUMIFS(Таблица14[Столбец2],Таблица14[коэф],"1",Таблица14[р/р],"4/24",Таблица14[Ф. И. О.],B660)</f>
        <v>0</v>
      </c>
      <c r="Y656" s="801"/>
      <c r="Z656" s="797"/>
      <c r="AA656" s="786"/>
    </row>
    <row r="657" spans="1:29" ht="18.75" customHeight="1">
      <c r="A657" s="786"/>
      <c r="B657" s="216"/>
      <c r="C657" s="789"/>
      <c r="D657" s="792"/>
      <c r="E657" s="389"/>
      <c r="F657" s="390"/>
      <c r="G657" s="400"/>
      <c r="H657" s="392"/>
      <c r="I657" s="432"/>
      <c r="J657" s="433"/>
      <c r="K657" s="434"/>
      <c r="L657" s="434"/>
      <c r="M657" s="434"/>
      <c r="N657" s="434"/>
      <c r="O657" s="434"/>
      <c r="P657" s="406"/>
      <c r="Q657" s="389">
        <f>база!$L$6</f>
        <v>261.04640000000001</v>
      </c>
      <c r="R657" s="390">
        <v>1</v>
      </c>
      <c r="S657" s="400">
        <f>SUMIFS(Таблица14[часы],Таблица14[коэф],"1",Таблица14[р/р],"5/16",Таблица14[Ф. И. О.],B660)</f>
        <v>0</v>
      </c>
      <c r="T657" s="392">
        <f>SUMIFS(Таблица14[Столбец2],Таблица14[коэф],"1",Таблица14[р/р],"5/16",Таблица14[Ф. И. О.],B660)</f>
        <v>0</v>
      </c>
      <c r="U657" s="478">
        <f>база!$M$6</f>
        <v>279.0496</v>
      </c>
      <c r="V657" s="390">
        <v>1</v>
      </c>
      <c r="W657" s="412">
        <f>SUMIFS(Таблица14[часы],Таблица14[коэф],"1",Таблица14[р/р],"5/24",Таблица14[Ф. И. О.],B660)</f>
        <v>0</v>
      </c>
      <c r="X657" s="545">
        <f>SUMIFS(Таблица14[Столбец2],Таблица14[коэф],"1",Таблица14[р/р],"5/24",Таблица14[Ф. И. О.],B660)</f>
        <v>0</v>
      </c>
      <c r="Y657" s="801"/>
      <c r="Z657" s="797"/>
      <c r="AA657" s="786"/>
    </row>
    <row r="658" spans="1:29" ht="18.75" customHeight="1">
      <c r="A658" s="786"/>
      <c r="B658" s="216"/>
      <c r="C658" s="789"/>
      <c r="D658" s="792"/>
      <c r="E658" s="389"/>
      <c r="F658" s="390"/>
      <c r="G658" s="400"/>
      <c r="H658" s="392"/>
      <c r="I658" s="432">
        <f>база!$J$5</f>
        <v>215.4924</v>
      </c>
      <c r="J658" s="433">
        <v>1.5</v>
      </c>
      <c r="K658" s="434">
        <f>SUMIFS(Таблица14[часы],Таблица14[коэф],"1,5",Таблица14[р/р],"4/8",Таблица14[Ф. И. О.],B660)</f>
        <v>0</v>
      </c>
      <c r="L658" s="434">
        <f>SUMIFS(Таблица14[Столбец2],Таблица14[коэф],"1,5",Таблица14[р/р],"4/8",Таблица14[Ф. И. О.],B660)</f>
        <v>0</v>
      </c>
      <c r="M658" s="434"/>
      <c r="N658" s="434"/>
      <c r="O658" s="434"/>
      <c r="P658" s="406"/>
      <c r="Q658" s="389">
        <f>IF(D655&lt;=3,база!$L$4,
IF(D655=4,база!$L$5,
IF(D655=5,база!$L$6)))</f>
        <v>210.57480000000001</v>
      </c>
      <c r="R658" s="390">
        <v>1.2</v>
      </c>
      <c r="S658" s="400">
        <f>SUMIFS(Таблица14[часы],Таблица14[коэф],"1,2",Таблица14[р/р],"3/16",Таблица14[Ф. И. О.],B660)</f>
        <v>0</v>
      </c>
      <c r="T658" s="392">
        <f>SUMIFS(Таблица14[Столбец2],Таблица14[коэф],"1,2",Таблица14[р/р],"3/16",Таблица14[Ф. И. О.],B660)</f>
        <v>0</v>
      </c>
      <c r="U658" s="478">
        <f>IF(D655&lt;=3,база!$M$4,
IF(D655=4,база!$M$5,
IF(D655=5,база!$M$6)))</f>
        <v>225.09719999999999</v>
      </c>
      <c r="V658" s="390">
        <v>1.2</v>
      </c>
      <c r="W658" s="412">
        <f>SUMIFS(Таблица14[часы],Таблица14[коэф],"1,2",Таблица14[р/р],"3/24",Таблица14[Ф. И. О.],B660)</f>
        <v>0</v>
      </c>
      <c r="X658" s="545">
        <f>SUMIFS(Таблица14[Столбец2],Таблица14[коэф],"1,2",Таблица14[р/р],"3/24",Таблица14[Ф. И. О.],B660)</f>
        <v>0</v>
      </c>
      <c r="Y658" s="801"/>
      <c r="Z658" s="797"/>
      <c r="AA658" s="786"/>
    </row>
    <row r="659" spans="1:29" ht="18.75" customHeight="1">
      <c r="A659" s="786"/>
      <c r="B659" s="216"/>
      <c r="C659" s="789"/>
      <c r="D659" s="792"/>
      <c r="E659" s="389"/>
      <c r="F659" s="390"/>
      <c r="G659" s="400"/>
      <c r="H659" s="392"/>
      <c r="I659" s="432">
        <f>база!$J$6</f>
        <v>243.04319999999998</v>
      </c>
      <c r="J659" s="433">
        <v>1.5</v>
      </c>
      <c r="K659" s="434">
        <f>SUMIFS(Таблица14[часы],Таблица14[коэф],"1,5",Таблица14[р/р],"5/8",Таблица14[Ф. И. О.],B660)</f>
        <v>0</v>
      </c>
      <c r="L659" s="434">
        <f>SUMIFS(Таблица14[Столбец2],Таблица14[коэф],"1,5",Таблица14[р/р],"5/8",Таблица14[Ф. И. О.],B660)</f>
        <v>0</v>
      </c>
      <c r="M659" s="434"/>
      <c r="N659" s="434"/>
      <c r="O659" s="434"/>
      <c r="P659" s="406"/>
      <c r="Q659" s="389">
        <f>база!$L$5</f>
        <v>231.45480000000001</v>
      </c>
      <c r="R659" s="390">
        <v>1.2</v>
      </c>
      <c r="S659" s="400">
        <f>SUMIFS(Таблица14[часы],Таблица14[коэф],"1,2",Таблица14[р/р],"4/16",Таблица14[Ф. И. О.],B660)</f>
        <v>0</v>
      </c>
      <c r="T659" s="392">
        <f>SUMIFS(Таблица14[Столбец2],Таблица14[коэф],"1,2",Таблица14[р/р],"4/16",Таблица14[Ф. И. О.],B660)</f>
        <v>0</v>
      </c>
      <c r="U659" s="478">
        <f>база!$M$5</f>
        <v>247.41720000000001</v>
      </c>
      <c r="V659" s="390">
        <v>1.2</v>
      </c>
      <c r="W659" s="412">
        <f>SUMIFS(Таблица14[часы],Таблица14[коэф],"1,2",Таблица14[р/р],"4/24",Таблица14[Ф. И. О.],B660)</f>
        <v>0</v>
      </c>
      <c r="X659" s="545">
        <f>SUMIFS(Таблица14[Столбец2],Таблица14[коэф],"1,2",Таблица14[р/р],"4/24",Таблица14[Ф. И. О.],B660)</f>
        <v>0</v>
      </c>
      <c r="Y659" s="801"/>
      <c r="Z659" s="797"/>
      <c r="AA659" s="786"/>
      <c r="AC659" s="754" t="str">
        <f>IF(SUMIFS(Таблица14[Столбец2],Таблица14[Ф. И. О.],B660)-Z655=0,"",SUMIFS(Таблица14[Столбец2],Таблица14[Ф. И. О.],B660)-Z655)</f>
        <v/>
      </c>
    </row>
    <row r="660" spans="1:29" ht="18.75" customHeight="1">
      <c r="A660" s="786"/>
      <c r="B660" s="216" t="str">
        <f>база!B61</f>
        <v>Ополченова Ольга Валерьевна</v>
      </c>
      <c r="C660" s="789"/>
      <c r="D660" s="792"/>
      <c r="E660" s="389"/>
      <c r="F660" s="390"/>
      <c r="G660" s="400"/>
      <c r="H660" s="392"/>
      <c r="I660" s="432"/>
      <c r="J660" s="433"/>
      <c r="K660" s="434"/>
      <c r="L660" s="434"/>
      <c r="M660" s="434"/>
      <c r="N660" s="434"/>
      <c r="O660" s="434"/>
      <c r="P660" s="406"/>
      <c r="Q660" s="389">
        <f>база!$L$6</f>
        <v>261.04640000000001</v>
      </c>
      <c r="R660" s="390">
        <v>1.2</v>
      </c>
      <c r="S660" s="400">
        <f>SUMIFS(Таблица14[часы],Таблица14[коэф],"1,2",Таблица14[р/р],"5/16",Таблица14[Ф. И. О.],B660)</f>
        <v>0</v>
      </c>
      <c r="T660" s="392">
        <f>SUMIFS(Таблица14[Столбец2],Таблица14[коэф],"1,2",Таблица14[р/р],"5/16",Таблица14[Ф. И. О.],B660)</f>
        <v>0</v>
      </c>
      <c r="U660" s="478">
        <f>база!$M$6</f>
        <v>279.0496</v>
      </c>
      <c r="V660" s="390">
        <v>1.2</v>
      </c>
      <c r="W660" s="412">
        <f>SUMIFS(Таблица14[часы],Таблица14[коэф],"1,2",Таблица14[р/р],"5/24",Таблица14[Ф. И. О.],B660)</f>
        <v>0</v>
      </c>
      <c r="X660" s="545">
        <f>SUMIFS(Таблица14[Столбец2],Таблица14[коэф],"1,2",Таблица14[р/р],"5/24",Таблица14[Ф. И. О.],B660)</f>
        <v>0</v>
      </c>
      <c r="Y660" s="801"/>
      <c r="Z660" s="797"/>
      <c r="AA660" s="786"/>
      <c r="AC660" s="754" t="str">
        <f>IF(SUMIFS(Таблица14[часы],Таблица14[Ф. И. О.],B660)-Y655=0,"",SUMIFS(Таблица14[часы],Таблица14[Ф. И. О.],B660)-Y655)</f>
        <v/>
      </c>
    </row>
    <row r="661" spans="1:29" ht="18.75" customHeight="1">
      <c r="A661" s="786"/>
      <c r="B661" s="216"/>
      <c r="C661" s="789"/>
      <c r="D661" s="792"/>
      <c r="E661" s="389"/>
      <c r="F661" s="390"/>
      <c r="G661" s="400"/>
      <c r="H661" s="392"/>
      <c r="I661" s="432"/>
      <c r="J661" s="433"/>
      <c r="K661" s="434"/>
      <c r="L661" s="434"/>
      <c r="M661" s="434"/>
      <c r="N661" s="434"/>
      <c r="O661" s="434"/>
      <c r="P661" s="406"/>
      <c r="Q661" s="389">
        <f>IF($D$6&lt;=3,база!$L$4,
IF($D$6=4,база!$L$5,
IF($D$6=5,база!$L$6)))</f>
        <v>231.45480000000001</v>
      </c>
      <c r="R661" s="390">
        <v>1.3</v>
      </c>
      <c r="S661" s="400">
        <f>SUMIFS(Таблица14[часы],Таблица14[коэф],"1,3",Таблица14[р/р],"3/16",Таблица14[Ф. И. О.],B660)</f>
        <v>0</v>
      </c>
      <c r="T661" s="392">
        <f>SUMIFS(Таблица14[Столбец2],Таблица14[коэф],"1,3",Таблица14[р/р],"3/16",Таблица14[Ф. И. О.],B660)</f>
        <v>0</v>
      </c>
      <c r="U661" s="478">
        <f>IF(D655&lt;=3,база!$M$4,
IF(D655=4,база!$M$5,
IF(D655=5,база!$M$6)))</f>
        <v>225.09719999999999</v>
      </c>
      <c r="V661" s="390">
        <v>1.3</v>
      </c>
      <c r="W661" s="412">
        <f>SUMIFS(Таблица14[часы],Таблица14[коэф],"1,3",Таблица14[р/р],"3/24",Таблица14[Ф. И. О.],B660)</f>
        <v>0</v>
      </c>
      <c r="X661" s="545">
        <f>SUMIFS(Таблица14[Столбец2],Таблица14[коэф],"1,3",Таблица14[р/р],"3/24",Таблица14[Ф. И. О.],B660)</f>
        <v>0</v>
      </c>
      <c r="Y661" s="801"/>
      <c r="Z661" s="797"/>
      <c r="AA661" s="786"/>
    </row>
    <row r="662" spans="1:29" ht="18.75" customHeight="1">
      <c r="A662" s="786"/>
      <c r="B662" s="216"/>
      <c r="C662" s="789"/>
      <c r="D662" s="792"/>
      <c r="E662" s="389"/>
      <c r="F662" s="390"/>
      <c r="G662" s="400"/>
      <c r="H662" s="392"/>
      <c r="I662" s="432"/>
      <c r="J662" s="433"/>
      <c r="K662" s="434"/>
      <c r="L662" s="434"/>
      <c r="M662" s="434"/>
      <c r="N662" s="434"/>
      <c r="O662" s="434"/>
      <c r="P662" s="406"/>
      <c r="Q662" s="389">
        <f>база!$L$5</f>
        <v>231.45480000000001</v>
      </c>
      <c r="R662" s="390">
        <v>1.3</v>
      </c>
      <c r="S662" s="400">
        <f>SUMIFS(Таблица14[часы],Таблица14[коэф],"1,3",Таблица14[р/р],"4/16",Таблица14[Ф. И. О.],B660)</f>
        <v>0</v>
      </c>
      <c r="T662" s="392">
        <f>SUMIFS(Таблица14[Столбец2],Таблица14[коэф],"1,3",Таблица14[р/р],"4/16",Таблица14[Ф. И. О.],B660)</f>
        <v>0</v>
      </c>
      <c r="U662" s="478">
        <f>база!$M$5</f>
        <v>247.41720000000001</v>
      </c>
      <c r="V662" s="390">
        <v>1.3</v>
      </c>
      <c r="W662" s="412">
        <f>SUMIFS(Таблица14[часы],Таблица14[коэф],"1,3",Таблица14[р/р],"4/24",Таблица14[Ф. И. О.],B660)</f>
        <v>0</v>
      </c>
      <c r="X662" s="545">
        <f>SUMIFS(Таблица14[Столбец2],Таблица14[коэф],"1,3",Таблица14[р/р],"4/24",Таблица14[Ф. И. О.],B660)</f>
        <v>0</v>
      </c>
      <c r="Y662" s="801"/>
      <c r="Z662" s="797"/>
      <c r="AA662" s="786"/>
    </row>
    <row r="663" spans="1:29" ht="18.75" customHeight="1">
      <c r="A663" s="786"/>
      <c r="B663" s="216"/>
      <c r="C663" s="789"/>
      <c r="D663" s="792"/>
      <c r="E663" s="389"/>
      <c r="F663" s="390"/>
      <c r="G663" s="400"/>
      <c r="H663" s="392"/>
      <c r="I663" s="432"/>
      <c r="J663" s="433"/>
      <c r="K663" s="434"/>
      <c r="L663" s="434"/>
      <c r="M663" s="434"/>
      <c r="N663" s="434"/>
      <c r="O663" s="434"/>
      <c r="P663" s="406"/>
      <c r="Q663" s="389">
        <f>IF(D655&lt;=3,база!$L$4,
IF(D655=4,база!$L$5,
IF(D655=5,база!$L$6)))</f>
        <v>210.57480000000001</v>
      </c>
      <c r="R663" s="390">
        <v>1.4</v>
      </c>
      <c r="S663" s="400">
        <f>SUMIFS(Таблица14[часы],Таблица14[коэф],"1,4",Таблица14[р/р],"3/16",Таблица14[Ф. И. О.],B660)</f>
        <v>0</v>
      </c>
      <c r="T663" s="392">
        <f>SUMIFS(Таблица14[Столбец2],Таблица14[коэф],"1,4",Таблица14[р/р],"3/16",Таблица14[Ф. И. О.],B660)</f>
        <v>0</v>
      </c>
      <c r="U663" s="478">
        <f>IF(D655&lt;=3,база!$M$4,
IF(D655=4,база!$M$5,
IF(D655=5,база!$M$6)))</f>
        <v>225.09719999999999</v>
      </c>
      <c r="V663" s="390">
        <v>1.4</v>
      </c>
      <c r="W663" s="412">
        <f>SUMIFS(Таблица14[часы],Таблица14[коэф],"1,4",Таблица14[р/р],"3/24",Таблица14[Ф. И. О.],B660)</f>
        <v>0</v>
      </c>
      <c r="X663" s="545">
        <f>SUMIFS(Таблица14[Столбец2],Таблица14[коэф],"1,4",Таблица14[р/р],"3/24",Таблица14[Ф. И. О.],B660)</f>
        <v>0</v>
      </c>
      <c r="Y663" s="801"/>
      <c r="Z663" s="797"/>
      <c r="AA663" s="786"/>
    </row>
    <row r="664" spans="1:29" ht="18.75" customHeight="1">
      <c r="A664" s="786"/>
      <c r="B664" s="216"/>
      <c r="C664" s="789"/>
      <c r="D664" s="792"/>
      <c r="E664" s="389"/>
      <c r="F664" s="390"/>
      <c r="G664" s="400"/>
      <c r="H664" s="392"/>
      <c r="I664" s="432"/>
      <c r="J664" s="433"/>
      <c r="K664" s="434"/>
      <c r="L664" s="434"/>
      <c r="M664" s="434"/>
      <c r="N664" s="434"/>
      <c r="O664" s="434"/>
      <c r="P664" s="406"/>
      <c r="Q664" s="389">
        <f>база!$L$5</f>
        <v>231.45480000000001</v>
      </c>
      <c r="R664" s="390">
        <v>1.4</v>
      </c>
      <c r="S664" s="400">
        <f>SUMIFS(Таблица14[часы],Таблица14[коэф],"1,4",Таблица14[р/р],"4/16",Таблица14[Ф. И. О.],B660)</f>
        <v>0</v>
      </c>
      <c r="T664" s="392">
        <f>SUMIFS(Таблица14[Столбец2],Таблица14[коэф],"1,4",Таблица14[р/р],"4/16",Таблица14[Ф. И. О.],B660)</f>
        <v>0</v>
      </c>
      <c r="U664" s="478">
        <f>база!$M$5</f>
        <v>247.41720000000001</v>
      </c>
      <c r="V664" s="390">
        <v>1.4</v>
      </c>
      <c r="W664" s="412">
        <f>SUMIFS(Таблица14[часы],Таблица14[коэф],"1,4",Таблица14[р/р],"4/24",Таблица14[Ф. И. О.],B660)</f>
        <v>0</v>
      </c>
      <c r="X664" s="545">
        <f>SUMIFS(Таблица14[Столбец2],Таблица14[коэф],"1,4",Таблица14[р/р],"4/24",Таблица14[Ф. И. О.],B660)</f>
        <v>0</v>
      </c>
      <c r="Y664" s="801"/>
      <c r="Z664" s="797"/>
      <c r="AA664" s="786"/>
    </row>
    <row r="665" spans="1:29" ht="19.5" customHeight="1" thickBot="1">
      <c r="A665" s="787"/>
      <c r="B665" s="352"/>
      <c r="C665" s="790"/>
      <c r="D665" s="793"/>
      <c r="E665" s="437"/>
      <c r="F665" s="438"/>
      <c r="G665" s="697"/>
      <c r="H665" s="440"/>
      <c r="I665" s="413"/>
      <c r="J665" s="604"/>
      <c r="K665" s="414"/>
      <c r="L665" s="460"/>
      <c r="M665" s="413"/>
      <c r="N665" s="414"/>
      <c r="O665" s="414"/>
      <c r="P665" s="415"/>
      <c r="Q665" s="692">
        <f>база!$L$6</f>
        <v>261.04640000000001</v>
      </c>
      <c r="R665" s="438">
        <v>1.4</v>
      </c>
      <c r="S665" s="439">
        <f>SUMIFS(Таблица14[часы],Таблица14[коэф],"1,4",Таблица14[р/р],"5/16",Таблица14[Ф. И. О.],B660)</f>
        <v>0</v>
      </c>
      <c r="T665" s="440">
        <f>SUMIFS(Таблица14[Столбец2],Таблица14[коэф],"1,4",Таблица14[р/р],"5/16",Таблица14[Ф. И. О.],B660)</f>
        <v>0</v>
      </c>
      <c r="U665" s="515">
        <f>база!$M$6</f>
        <v>279.0496</v>
      </c>
      <c r="V665" s="403">
        <v>1.4</v>
      </c>
      <c r="W665" s="439">
        <f>SUMIFS(Таблица14[часы],Таблица14[коэф],"1,4",Таблица14[р/р],"5/24",Таблица14[Ф. И. О.],B660)</f>
        <v>0</v>
      </c>
      <c r="X665" s="440">
        <f>SUMIFS(Таблица14[Столбец2],Таблица14[коэф],"1,4",Таблица14[р/р],"5/24",Таблица14[Ф. И. О.],B660)</f>
        <v>0</v>
      </c>
      <c r="Y665" s="802"/>
      <c r="Z665" s="798"/>
      <c r="AA665" s="787"/>
    </row>
    <row r="666" spans="1:29" ht="18.75" customHeight="1">
      <c r="A666" s="786">
        <v>61</v>
      </c>
      <c r="B666" s="216"/>
      <c r="C666" s="788">
        <f>INDEX(база!$E$2:$E$150, MATCH(B671,база!$B$2:$B$150,0))</f>
        <v>15556</v>
      </c>
      <c r="D666" s="791">
        <f>INDEX(база!$D$2:$D$150, MATCH(B671,база!$B$2:$B$150,0))</f>
        <v>3</v>
      </c>
      <c r="E666" s="377">
        <f>IF(D666&lt;=3,база!$I$4,
IF(D666=4,база!$I$5,
IF(D666=5,база!$I$6)))</f>
        <v>188.7912</v>
      </c>
      <c r="F666" s="378">
        <v>1</v>
      </c>
      <c r="G666" s="387">
        <f>SUMIFS(Таблица14[часы],Таблица14[коэф],"1",Таблица14[р/р],"2/4",Таблица14[Ф. И. О.],B671)</f>
        <v>0</v>
      </c>
      <c r="H666" s="380">
        <f>SUMIFS(Таблица14[Столбец2],Таблица14[коэф],"1",Таблица14[р/р],"2/4",Таблица14[Ф. И. О.],B671)</f>
        <v>0</v>
      </c>
      <c r="I666" s="426">
        <f>IF(D666&lt;=3,база!$J$4,
IF(D666=4,база!$J$5,
IF(D666=5,база!$J$6)))</f>
        <v>196.05240000000001</v>
      </c>
      <c r="J666" s="427">
        <v>1</v>
      </c>
      <c r="K666" s="428">
        <f>SUMIFS(Таблица14[часы],Таблица14[коэф],"1",Таблица14[р/р],"2/8",Таблица14[Ф. И. О.],B671)</f>
        <v>0</v>
      </c>
      <c r="L666" s="428">
        <f>SUMIFS(Таблица14[Столбец2],Таблица14[коэф],"1",Таблица14[р/р],"2/8",Таблица14[Ф. И. О.],B671)</f>
        <v>0</v>
      </c>
      <c r="M666" s="428"/>
      <c r="N666" s="428">
        <v>1</v>
      </c>
      <c r="O666" s="428">
        <f>SUMIFS(Data_Tech!$AM$3:$AM$67,Data_Tech!$E$3:$E$67,"1",Data_Tech!$G$3:$G$67,"3/12",Data_Tech!$F$3:$F$67,B671)</f>
        <v>0</v>
      </c>
      <c r="P666" s="385">
        <f>ROUND(M666*N666*O666,2)</f>
        <v>0</v>
      </c>
      <c r="Q666" s="377">
        <f>IF(D666&lt;=3,база!$L$4,
IF(D666=4,база!$L$5,
IF(D666=5,база!$L$6)))</f>
        <v>210.57480000000001</v>
      </c>
      <c r="R666" s="378">
        <v>1</v>
      </c>
      <c r="S666" s="387">
        <f>SUMIFS(Таблица14[часы],Таблица14[коэф],"1",Таблица14[р/р],"3/16",Таблица14[Ф. И. О.],B671)</f>
        <v>0</v>
      </c>
      <c r="T666" s="380">
        <f>SUMIFS(Таблица14[Столбец2],Таблица14[коэф],"1",Таблица14[р/р],"3/16",Таблица14[Ф. И. О.],B671)</f>
        <v>0</v>
      </c>
      <c r="U666" s="477">
        <f>IF(D666&lt;=3,база!$M$4,
IF(D666=4,база!$M$5,
IF(D666=5,база!$M$6)))</f>
        <v>225.09719999999999</v>
      </c>
      <c r="V666" s="378">
        <v>1</v>
      </c>
      <c r="W666" s="430">
        <f>SUMIFS(Таблица14[часы],Таблица14[коэф],"1",Таблица14[р/р],"3/24",Таблица14[Ф. И. О.],B671)</f>
        <v>0</v>
      </c>
      <c r="X666" s="543">
        <f>SUMIFS(Таблица14[Столбец2],Таблица14[коэф],"1",Таблица14[р/р],"3/24",Таблица14[Ф. И. О.],B671)</f>
        <v>0</v>
      </c>
      <c r="Y666" s="801">
        <f t="shared" ref="Y666" si="258">SUM(G666:G676,K666:K676,O666:O676,S666:S676,W666:W676)</f>
        <v>0</v>
      </c>
      <c r="Z666" s="797">
        <f t="shared" ref="Z666" si="259">IFERROR(SUM(H666:H676,L666:L676,T666:T676,X666:X676),"")</f>
        <v>0</v>
      </c>
      <c r="AA666" s="786"/>
    </row>
    <row r="667" spans="1:29" ht="18.75" customHeight="1">
      <c r="A667" s="786"/>
      <c r="B667" s="216"/>
      <c r="C667" s="789"/>
      <c r="D667" s="792"/>
      <c r="E667" s="389">
        <f>IF(D666&lt;=3,база!$I$4,
IF(D666=4,база!$I$5,
IF(D666=5,база!$I$6)))</f>
        <v>188.7912</v>
      </c>
      <c r="F667" s="390">
        <v>1</v>
      </c>
      <c r="G667" s="400">
        <f>SUMIFS(Таблица14[часы],Таблица14[коэф],"1",Таблица14[р/р],"3/4",Таблица14[Ф. И. О.],B671)</f>
        <v>0</v>
      </c>
      <c r="H667" s="392">
        <f>SUMIFS(Таблица14[Столбец2],Таблица14[коэф],"1",Таблица14[р/р],"3/4",Таблица14[Ф. И. О.],B671)</f>
        <v>0</v>
      </c>
      <c r="I667" s="432">
        <f>IF(D666&lt;=3,база!$J$4,
IF(D666=4,база!$J$5,
IF(D666=5,база!$J$6)))</f>
        <v>196.05240000000001</v>
      </c>
      <c r="J667" s="433">
        <v>1</v>
      </c>
      <c r="K667" s="434">
        <f>SUMIFS(Таблица14[часы],Таблица14[коэф],"1",Таблица14[р/р],"3/8",Таблица14[Ф. И. О.],B671)</f>
        <v>0</v>
      </c>
      <c r="L667" s="434">
        <f>SUMIFS(Таблица14[Столбец2],Таблица14[коэф],"1",Таблица14[р/р],"3/8",Таблица14[Ф. И. О.],B671)</f>
        <v>0</v>
      </c>
      <c r="M667" s="434"/>
      <c r="N667" s="434">
        <v>1</v>
      </c>
      <c r="O667" s="434">
        <f>SUMIFS(Data_Tech!$AM$3:$AM$67,Data_Tech!$E$3:$E$67,"1",Data_Tech!$G$3:$G$67,"4/12",Data_Tech!$F$3:$F$67,B671)</f>
        <v>0</v>
      </c>
      <c r="P667" s="406">
        <f>ROUND(M667*O667,2)</f>
        <v>0</v>
      </c>
      <c r="Q667" s="389">
        <f>база!$L$5</f>
        <v>231.45480000000001</v>
      </c>
      <c r="R667" s="390">
        <v>1</v>
      </c>
      <c r="S667" s="400">
        <f>SUMIFS(Таблица14[часы],Таблица14[коэф],"1",Таблица14[р/р],"4/16",Таблица14[Ф. И. О.],B671)</f>
        <v>0</v>
      </c>
      <c r="T667" s="392">
        <f>SUMIFS(Таблица14[Столбец2],Таблица14[коэф],"1",Таблица14[р/р],"4/16",Таблица14[Ф. И. О.],B671)</f>
        <v>0</v>
      </c>
      <c r="U667" s="478">
        <f>база!$M$5</f>
        <v>247.41720000000001</v>
      </c>
      <c r="V667" s="390">
        <v>1</v>
      </c>
      <c r="W667" s="412">
        <f>SUMIFS(Таблица14[часы],Таблица14[коэф],"1",Таблица14[р/р],"4/24",Таблица14[Ф. И. О.],B671)</f>
        <v>0</v>
      </c>
      <c r="X667" s="545">
        <f>SUMIFS(Таблица14[Столбец2],Таблица14[коэф],"1",Таблица14[р/р],"4/24",Таблица14[Ф. И. О.],B671)</f>
        <v>0</v>
      </c>
      <c r="Y667" s="801"/>
      <c r="Z667" s="797"/>
      <c r="AA667" s="786"/>
    </row>
    <row r="668" spans="1:29" ht="18.75" customHeight="1">
      <c r="A668" s="786"/>
      <c r="B668" s="216"/>
      <c r="C668" s="789"/>
      <c r="D668" s="792"/>
      <c r="E668" s="389"/>
      <c r="F668" s="390"/>
      <c r="G668" s="400"/>
      <c r="H668" s="392"/>
      <c r="I668" s="432"/>
      <c r="J668" s="433"/>
      <c r="K668" s="434"/>
      <c r="L668" s="434"/>
      <c r="M668" s="434"/>
      <c r="N668" s="434"/>
      <c r="O668" s="434"/>
      <c r="P668" s="406"/>
      <c r="Q668" s="389">
        <f>база!$L$6</f>
        <v>261.04640000000001</v>
      </c>
      <c r="R668" s="390">
        <v>1</v>
      </c>
      <c r="S668" s="400">
        <f>SUMIFS(Таблица14[часы],Таблица14[коэф],"1",Таблица14[р/р],"5/16",Таблица14[Ф. И. О.],B671)</f>
        <v>0</v>
      </c>
      <c r="T668" s="392">
        <f>SUMIFS(Таблица14[Столбец2],Таблица14[коэф],"1",Таблица14[р/р],"5/16",Таблица14[Ф. И. О.],B671)</f>
        <v>0</v>
      </c>
      <c r="U668" s="478">
        <f>база!$M$6</f>
        <v>279.0496</v>
      </c>
      <c r="V668" s="390">
        <v>1</v>
      </c>
      <c r="W668" s="412">
        <f>SUMIFS(Таблица14[часы],Таблица14[коэф],"1",Таблица14[р/р],"5/24",Таблица14[Ф. И. О.],B671)</f>
        <v>0</v>
      </c>
      <c r="X668" s="545">
        <f>SUMIFS(Таблица14[Столбец2],Таблица14[коэф],"1",Таблица14[р/р],"5/24",Таблица14[Ф. И. О.],B671)</f>
        <v>0</v>
      </c>
      <c r="Y668" s="801"/>
      <c r="Z668" s="797"/>
      <c r="AA668" s="786"/>
    </row>
    <row r="669" spans="1:29" ht="18.75" customHeight="1">
      <c r="A669" s="786"/>
      <c r="B669" s="216"/>
      <c r="C669" s="789"/>
      <c r="D669" s="792"/>
      <c r="E669" s="389"/>
      <c r="F669" s="390"/>
      <c r="G669" s="400"/>
      <c r="H669" s="392"/>
      <c r="I669" s="432">
        <f>база!$J$5</f>
        <v>215.4924</v>
      </c>
      <c r="J669" s="433">
        <v>1.5</v>
      </c>
      <c r="K669" s="434">
        <f>SUMIFS(Таблица14[часы],Таблица14[коэф],"1,5",Таблица14[р/р],"4/8",Таблица14[Ф. И. О.],B671)</f>
        <v>0</v>
      </c>
      <c r="L669" s="434">
        <f>SUMIFS(Таблица14[Столбец2],Таблица14[коэф],"1,5",Таблица14[р/р],"4/8",Таблица14[Ф. И. О.],B671)</f>
        <v>0</v>
      </c>
      <c r="M669" s="434"/>
      <c r="N669" s="434"/>
      <c r="O669" s="434"/>
      <c r="P669" s="406"/>
      <c r="Q669" s="389">
        <f>IF(D666&lt;=3,база!$L$4,
IF(D666=4,база!$L$5,
IF(D666=5,база!$L$6)))</f>
        <v>210.57480000000001</v>
      </c>
      <c r="R669" s="390">
        <v>1.2</v>
      </c>
      <c r="S669" s="400">
        <f>SUMIFS(Таблица14[часы],Таблица14[коэф],"1,2",Таблица14[р/р],"3/16",Таблица14[Ф. И. О.],B671)</f>
        <v>0</v>
      </c>
      <c r="T669" s="392">
        <f>SUMIFS(Таблица14[Столбец2],Таблица14[коэф],"1,2",Таблица14[р/р],"3/16",Таблица14[Ф. И. О.],B671)</f>
        <v>0</v>
      </c>
      <c r="U669" s="478">
        <f>IF(D666&lt;=3,база!$M$4,
IF(D666=4,база!$M$5,
IF(D666=5,база!$M$6)))</f>
        <v>225.09719999999999</v>
      </c>
      <c r="V669" s="390">
        <v>1.2</v>
      </c>
      <c r="W669" s="412">
        <f>SUMIFS(Таблица14[часы],Таблица14[коэф],"1,2",Таблица14[р/р],"3/24",Таблица14[Ф. И. О.],B671)</f>
        <v>0</v>
      </c>
      <c r="X669" s="545">
        <f>SUMIFS(Таблица14[Столбец2],Таблица14[коэф],"1,2",Таблица14[р/р],"3/24",Таблица14[Ф. И. О.],B671)</f>
        <v>0</v>
      </c>
      <c r="Y669" s="801"/>
      <c r="Z669" s="797"/>
      <c r="AA669" s="786"/>
    </row>
    <row r="670" spans="1:29" ht="18.75" customHeight="1">
      <c r="A670" s="786"/>
      <c r="B670" s="216"/>
      <c r="C670" s="789"/>
      <c r="D670" s="792"/>
      <c r="E670" s="389"/>
      <c r="F670" s="390"/>
      <c r="G670" s="400"/>
      <c r="H670" s="392"/>
      <c r="I670" s="432">
        <f>база!$J$6</f>
        <v>243.04319999999998</v>
      </c>
      <c r="J670" s="433">
        <v>1.5</v>
      </c>
      <c r="K670" s="434">
        <f>SUMIFS(Таблица14[часы],Таблица14[коэф],"1,5",Таблица14[р/р],"5/8",Таблица14[Ф. И. О.],B671)</f>
        <v>0</v>
      </c>
      <c r="L670" s="434">
        <f>SUMIFS(Таблица14[Столбец2],Таблица14[коэф],"1,5",Таблица14[р/р],"5/8",Таблица14[Ф. И. О.],B671)</f>
        <v>0</v>
      </c>
      <c r="M670" s="434"/>
      <c r="N670" s="434"/>
      <c r="O670" s="434"/>
      <c r="P670" s="406"/>
      <c r="Q670" s="389">
        <f>база!$L$5</f>
        <v>231.45480000000001</v>
      </c>
      <c r="R670" s="390">
        <v>1.2</v>
      </c>
      <c r="S670" s="400">
        <f>SUMIFS(Таблица14[часы],Таблица14[коэф],"1,2",Таблица14[р/р],"4/16",Таблица14[Ф. И. О.],B671)</f>
        <v>0</v>
      </c>
      <c r="T670" s="392">
        <f>SUMIFS(Таблица14[Столбец2],Таблица14[коэф],"1,2",Таблица14[р/р],"4/16",Таблица14[Ф. И. О.],B671)</f>
        <v>0</v>
      </c>
      <c r="U670" s="478">
        <f>база!$M$5</f>
        <v>247.41720000000001</v>
      </c>
      <c r="V670" s="390">
        <v>1.2</v>
      </c>
      <c r="W670" s="412">
        <f>SUMIFS(Таблица14[часы],Таблица14[коэф],"1,2",Таблица14[р/р],"4/24",Таблица14[Ф. И. О.],B671)</f>
        <v>0</v>
      </c>
      <c r="X670" s="545">
        <f>SUMIFS(Таблица14[Столбец2],Таблица14[коэф],"1,2",Таблица14[р/р],"4/24",Таблица14[Ф. И. О.],B671)</f>
        <v>0</v>
      </c>
      <c r="Y670" s="801"/>
      <c r="Z670" s="797"/>
      <c r="AA670" s="786"/>
    </row>
    <row r="671" spans="1:29" ht="18.75" customHeight="1">
      <c r="A671" s="786"/>
      <c r="B671" s="216" t="str">
        <f>база!B62</f>
        <v>Петрова Анна Сергеевна</v>
      </c>
      <c r="C671" s="789"/>
      <c r="D671" s="792"/>
      <c r="E671" s="389"/>
      <c r="F671" s="390"/>
      <c r="G671" s="400"/>
      <c r="H671" s="392"/>
      <c r="I671" s="432"/>
      <c r="J671" s="433"/>
      <c r="K671" s="434"/>
      <c r="L671" s="434"/>
      <c r="M671" s="434"/>
      <c r="N671" s="434"/>
      <c r="O671" s="434"/>
      <c r="P671" s="406"/>
      <c r="Q671" s="389">
        <f>база!$L$6</f>
        <v>261.04640000000001</v>
      </c>
      <c r="R671" s="390">
        <v>1.2</v>
      </c>
      <c r="S671" s="400">
        <f>SUMIFS(Таблица14[часы],Таблица14[коэф],"1,2",Таблица14[р/р],"5/16",Таблица14[Ф. И. О.],B671)</f>
        <v>0</v>
      </c>
      <c r="T671" s="392">
        <f>SUMIFS(Таблица14[Столбец2],Таблица14[коэф],"1,2",Таблица14[р/р],"5/16",Таблица14[Ф. И. О.],B671)</f>
        <v>0</v>
      </c>
      <c r="U671" s="478">
        <f>база!$M$6</f>
        <v>279.0496</v>
      </c>
      <c r="V671" s="390">
        <v>1.2</v>
      </c>
      <c r="W671" s="412">
        <f>SUMIFS(Таблица14[часы],Таблица14[коэф],"1,2",Таблица14[р/р],"5/24",Таблица14[Ф. И. О.],B671)</f>
        <v>0</v>
      </c>
      <c r="X671" s="545">
        <f>SUMIFS(Таблица14[Столбец2],Таблица14[коэф],"1,2",Таблица14[р/р],"5/24",Таблица14[Ф. И. О.],B671)</f>
        <v>0</v>
      </c>
      <c r="Y671" s="801"/>
      <c r="Z671" s="797"/>
      <c r="AA671" s="786"/>
      <c r="AC671" s="754" t="str">
        <f>IF(SUMIFS(Таблица14[Столбец2],Таблица14[Ф. И. О.],B671)-Z666=0,"",SUMIFS(Таблица14[Столбец2],Таблица14[Ф. И. О.],B671)-Z666)</f>
        <v/>
      </c>
    </row>
    <row r="672" spans="1:29" ht="18.75" customHeight="1">
      <c r="A672" s="786"/>
      <c r="B672" s="216"/>
      <c r="C672" s="789"/>
      <c r="D672" s="792"/>
      <c r="E672" s="389"/>
      <c r="F672" s="390"/>
      <c r="G672" s="400"/>
      <c r="H672" s="392"/>
      <c r="I672" s="432"/>
      <c r="J672" s="433"/>
      <c r="K672" s="434"/>
      <c r="L672" s="434"/>
      <c r="M672" s="434"/>
      <c r="N672" s="434"/>
      <c r="O672" s="434"/>
      <c r="P672" s="406"/>
      <c r="Q672" s="389">
        <f>IF($D$6&lt;=3,база!$L$4,
IF($D$6=4,база!$L$5,
IF($D$6=5,база!$L$6)))</f>
        <v>231.45480000000001</v>
      </c>
      <c r="R672" s="390">
        <v>1.3</v>
      </c>
      <c r="S672" s="400">
        <f>SUMIFS(Таблица14[часы],Таблица14[коэф],"1,3",Таблица14[р/р],"3/16",Таблица14[Ф. И. О.],B671)</f>
        <v>0</v>
      </c>
      <c r="T672" s="392">
        <f>SUMIFS(Таблица14[Столбец2],Таблица14[коэф],"1,3",Таблица14[р/р],"3/16",Таблица14[Ф. И. О.],B671)</f>
        <v>0</v>
      </c>
      <c r="U672" s="478">
        <f>IF(D666&lt;=3,база!$M$4,
IF(D666=4,база!$M$5,
IF(D666=5,база!$M$6)))</f>
        <v>225.09719999999999</v>
      </c>
      <c r="V672" s="390">
        <v>1.3</v>
      </c>
      <c r="W672" s="412">
        <f>SUMIFS(Таблица14[часы],Таблица14[коэф],"1,3",Таблица14[р/р],"3/24",Таблица14[Ф. И. О.],B671)</f>
        <v>0</v>
      </c>
      <c r="X672" s="545">
        <f>SUMIFS(Таблица14[Столбец2],Таблица14[коэф],"1,3",Таблица14[р/р],"3/24",Таблица14[Ф. И. О.],B671)</f>
        <v>0</v>
      </c>
      <c r="Y672" s="801"/>
      <c r="Z672" s="797"/>
      <c r="AA672" s="786"/>
      <c r="AC672" s="754" t="str">
        <f>IF(SUMIFS(Таблица14[часы],Таблица14[Ф. И. О.],B671)-Y666=0,"",SUMIFS(Таблица14[часы],Таблица14[Ф. И. О.],B671)-Y666)</f>
        <v/>
      </c>
    </row>
    <row r="673" spans="1:29" ht="18.75" customHeight="1">
      <c r="A673" s="786"/>
      <c r="B673" s="216"/>
      <c r="C673" s="789"/>
      <c r="D673" s="792"/>
      <c r="E673" s="389"/>
      <c r="F673" s="390"/>
      <c r="G673" s="400"/>
      <c r="H673" s="392"/>
      <c r="I673" s="432"/>
      <c r="J673" s="433"/>
      <c r="K673" s="434"/>
      <c r="L673" s="434"/>
      <c r="M673" s="434"/>
      <c r="N673" s="434"/>
      <c r="O673" s="434"/>
      <c r="P673" s="406"/>
      <c r="Q673" s="389">
        <f>база!$L$5</f>
        <v>231.45480000000001</v>
      </c>
      <c r="R673" s="390">
        <v>1.3</v>
      </c>
      <c r="S673" s="400">
        <f>SUMIFS(Таблица14[часы],Таблица14[коэф],"1,3",Таблица14[р/р],"4/16",Таблица14[Ф. И. О.],B671)</f>
        <v>0</v>
      </c>
      <c r="T673" s="392">
        <f>SUMIFS(Таблица14[Столбец2],Таблица14[коэф],"1,3",Таблица14[р/р],"4/16",Таблица14[Ф. И. О.],B671)</f>
        <v>0</v>
      </c>
      <c r="U673" s="478">
        <f>база!$M$5</f>
        <v>247.41720000000001</v>
      </c>
      <c r="V673" s="390">
        <v>1.3</v>
      </c>
      <c r="W673" s="412">
        <f>SUMIFS(Таблица14[часы],Таблица14[коэф],"1,3",Таблица14[р/р],"4/24",Таблица14[Ф. И. О.],B671)</f>
        <v>0</v>
      </c>
      <c r="X673" s="545">
        <f>SUMIFS(Таблица14[Столбец2],Таблица14[коэф],"1,3",Таблица14[р/р],"4/24",Таблица14[Ф. И. О.],B671)</f>
        <v>0</v>
      </c>
      <c r="Y673" s="801"/>
      <c r="Z673" s="797"/>
      <c r="AA673" s="786"/>
    </row>
    <row r="674" spans="1:29" ht="18.75" customHeight="1">
      <c r="A674" s="786"/>
      <c r="B674" s="216"/>
      <c r="C674" s="789"/>
      <c r="D674" s="792"/>
      <c r="E674" s="389"/>
      <c r="F674" s="390"/>
      <c r="G674" s="400"/>
      <c r="H674" s="392"/>
      <c r="I674" s="432"/>
      <c r="J674" s="433"/>
      <c r="K674" s="434"/>
      <c r="L674" s="434"/>
      <c r="M674" s="434"/>
      <c r="N674" s="434"/>
      <c r="O674" s="434"/>
      <c r="P674" s="406"/>
      <c r="Q674" s="389">
        <f>IF(D666&lt;=3,база!$L$4,
IF(D666=4,база!$L$5,
IF(D666=5,база!$L$6)))</f>
        <v>210.57480000000001</v>
      </c>
      <c r="R674" s="390">
        <v>1.4</v>
      </c>
      <c r="S674" s="400">
        <f>SUMIFS(Таблица14[часы],Таблица14[коэф],"1,4",Таблица14[р/р],"3/16",Таблица14[Ф. И. О.],B671)</f>
        <v>0</v>
      </c>
      <c r="T674" s="392">
        <f>SUMIFS(Таблица14[Столбец2],Таблица14[коэф],"1,4",Таблица14[р/р],"3/16",Таблица14[Ф. И. О.],B671)</f>
        <v>0</v>
      </c>
      <c r="U674" s="478">
        <f>IF(D666&lt;=3,база!$M$4,
IF(D666=4,база!$M$5,
IF(D666=5,база!$M$6)))</f>
        <v>225.09719999999999</v>
      </c>
      <c r="V674" s="390">
        <v>1.4</v>
      </c>
      <c r="W674" s="412">
        <f>SUMIFS(Таблица14[часы],Таблица14[коэф],"1,4",Таблица14[р/р],"3/24",Таблица14[Ф. И. О.],B671)</f>
        <v>0</v>
      </c>
      <c r="X674" s="545">
        <f>SUMIFS(Таблица14[Столбец2],Таблица14[коэф],"1,4",Таблица14[р/р],"3/24",Таблица14[Ф. И. О.],B671)</f>
        <v>0</v>
      </c>
      <c r="Y674" s="801"/>
      <c r="Z674" s="797"/>
      <c r="AA674" s="786"/>
    </row>
    <row r="675" spans="1:29" ht="18.75" customHeight="1">
      <c r="A675" s="786"/>
      <c r="B675" s="216"/>
      <c r="C675" s="789"/>
      <c r="D675" s="792"/>
      <c r="E675" s="389"/>
      <c r="F675" s="390"/>
      <c r="G675" s="400"/>
      <c r="H675" s="392"/>
      <c r="I675" s="432"/>
      <c r="J675" s="433"/>
      <c r="K675" s="434"/>
      <c r="L675" s="434"/>
      <c r="M675" s="434"/>
      <c r="N675" s="434"/>
      <c r="O675" s="434"/>
      <c r="P675" s="406"/>
      <c r="Q675" s="389">
        <f>база!$L$5</f>
        <v>231.45480000000001</v>
      </c>
      <c r="R675" s="390">
        <v>1.4</v>
      </c>
      <c r="S675" s="400">
        <f>SUMIFS(Таблица14[часы],Таблица14[коэф],"1,4",Таблица14[р/р],"4/16",Таблица14[Ф. И. О.],B671)</f>
        <v>0</v>
      </c>
      <c r="T675" s="392">
        <f>SUMIFS(Таблица14[Столбец2],Таблица14[коэф],"1,4",Таблица14[р/р],"4/16",Таблица14[Ф. И. О.],B671)</f>
        <v>0</v>
      </c>
      <c r="U675" s="478">
        <f>база!$M$5</f>
        <v>247.41720000000001</v>
      </c>
      <c r="V675" s="390">
        <v>1.4</v>
      </c>
      <c r="W675" s="412">
        <f>SUMIFS(Таблица14[часы],Таблица14[коэф],"1,4",Таблица14[р/р],"4/24",Таблица14[Ф. И. О.],B671)</f>
        <v>0</v>
      </c>
      <c r="X675" s="545">
        <f>SUMIFS(Таблица14[Столбец2],Таблица14[коэф],"1,4",Таблица14[р/р],"4/24",Таблица14[Ф. И. О.],B671)</f>
        <v>0</v>
      </c>
      <c r="Y675" s="801"/>
      <c r="Z675" s="797"/>
      <c r="AA675" s="786"/>
    </row>
    <row r="676" spans="1:29" ht="19.5" customHeight="1" thickBot="1">
      <c r="A676" s="787"/>
      <c r="B676" s="352"/>
      <c r="C676" s="790"/>
      <c r="D676" s="793"/>
      <c r="E676" s="445"/>
      <c r="F676" s="446"/>
      <c r="G676" s="653"/>
      <c r="H676" s="535"/>
      <c r="I676" s="654"/>
      <c r="J676" s="617"/>
      <c r="K676" s="655"/>
      <c r="L676" s="457"/>
      <c r="M676" s="654"/>
      <c r="N676" s="655"/>
      <c r="O676" s="655"/>
      <c r="P676" s="538"/>
      <c r="Q676" s="656">
        <f>база!$L$6</f>
        <v>261.04640000000001</v>
      </c>
      <c r="R676" s="446">
        <v>1.4</v>
      </c>
      <c r="S676" s="447">
        <f>SUMIFS(Таблица14[часы],Таблица14[коэф],"1,4",Таблица14[р/р],"5/16",Таблица14[Ф. И. О.],B671)</f>
        <v>0</v>
      </c>
      <c r="T676" s="535">
        <f>SUMIFS(Таблица14[Столбец2],Таблица14[коэф],"1,4",Таблица14[р/р],"5/16",Таблица14[Ф. И. О.],B671)</f>
        <v>0</v>
      </c>
      <c r="U676" s="536">
        <f>база!$M$6</f>
        <v>279.0496</v>
      </c>
      <c r="V676" s="464">
        <v>1.4</v>
      </c>
      <c r="W676" s="447">
        <f>SUMIFS(Таблица14[часы],Таблица14[коэф],"1,4",Таблица14[р/р],"5/24",Таблица14[Ф. И. О.],B671)</f>
        <v>0</v>
      </c>
      <c r="X676" s="535">
        <f>SUMIFS(Таблица14[Столбец2],Таблица14[коэф],"1,4",Таблица14[р/р],"5/24",Таблица14[Ф. И. О.],B671)</f>
        <v>0</v>
      </c>
      <c r="Y676" s="802"/>
      <c r="Z676" s="798"/>
      <c r="AA676" s="787"/>
    </row>
    <row r="677" spans="1:29" ht="18.75" customHeight="1">
      <c r="A677" s="786">
        <v>62</v>
      </c>
      <c r="B677" s="216"/>
      <c r="C677" s="788">
        <f>INDEX(база!$E$2:$E$150, MATCH(B682,база!$B$2:$B$150,0))</f>
        <v>15589</v>
      </c>
      <c r="D677" s="791">
        <f>INDEX(база!$D$2:$D$150, MATCH(B682,база!$B$2:$B$150,0))</f>
        <v>3</v>
      </c>
      <c r="E677" s="481">
        <f>IF(D677&lt;=3,база!$I$4,
IF(D677=4,база!$I$5,
IF(D677=5,база!$I$6)))</f>
        <v>188.7912</v>
      </c>
      <c r="F677" s="417">
        <v>1</v>
      </c>
      <c r="G677" s="418">
        <f>SUMIFS(Таблица14[часы],Таблица14[коэф],"1",Таблица14[р/р],"2/4",Таблица14[Ф. И. О.],B682)</f>
        <v>0</v>
      </c>
      <c r="H677" s="402">
        <f>SUMIFS(Таблица14[Столбец2],Таблица14[коэф],"1",Таблица14[р/р],"2/4",Таблица14[Ф. И. О.],B682)</f>
        <v>0</v>
      </c>
      <c r="I677" s="452">
        <f>IF(D677&lt;=3,база!$J$4,
IF(D677=4,база!$J$5,
IF(D677=5,база!$J$6)))</f>
        <v>196.05240000000001</v>
      </c>
      <c r="J677" s="475">
        <v>1</v>
      </c>
      <c r="K677" s="453">
        <f>SUMIFS(Таблица14[часы],Таблица14[коэф],"1",Таблица14[р/р],"2/8",Таблица14[Ф. И. О.],B682)</f>
        <v>0</v>
      </c>
      <c r="L677" s="453">
        <f>SUMIFS(Таблица14[Столбец2],Таблица14[коэф],"1",Таблица14[р/р],"2/8",Таблица14[Ф. И. О.],B682)</f>
        <v>0</v>
      </c>
      <c r="M677" s="453"/>
      <c r="N677" s="453">
        <v>1</v>
      </c>
      <c r="O677" s="453">
        <f>SUMIFS(Data_Tech!$AM$3:$AM$67,Data_Tech!$E$3:$E$67,"1",Data_Tech!$G$3:$G$67,"3/12",Data_Tech!$F$3:$F$67,B682)</f>
        <v>0</v>
      </c>
      <c r="P677" s="398">
        <f>ROUND(M677*N677*O677,2)</f>
        <v>0</v>
      </c>
      <c r="Q677" s="481">
        <f>IF(D677&lt;=3,база!$L$4,
IF(D677=4,база!$L$5,
IF(D677=5,база!$L$6)))</f>
        <v>210.57480000000001</v>
      </c>
      <c r="R677" s="417">
        <v>1</v>
      </c>
      <c r="S677" s="418">
        <f>SUMIFS(Таблица14[часы],Таблица14[коэф],"1",Таблица14[р/р],"3/16",Таблица14[Ф. И. О.],B682)</f>
        <v>0</v>
      </c>
      <c r="T677" s="402">
        <f>SUMIFS(Таблица14[Столбец2],Таблица14[коэф],"1",Таблица14[р/р],"3/16",Таблица14[Ф. И. О.],B682)</f>
        <v>0</v>
      </c>
      <c r="U677" s="483">
        <f>IF(D677&lt;=3,база!$M$4,
IF(D677=4,база!$M$5,
IF(D677=5,база!$M$6)))</f>
        <v>225.09719999999999</v>
      </c>
      <c r="V677" s="417">
        <v>1</v>
      </c>
      <c r="W677" s="455">
        <f>SUMIFS(Таблица14[часы],Таблица14[коэф],"1",Таблица14[р/р],"3/24",Таблица14[Ф. И. О.],B682)</f>
        <v>0</v>
      </c>
      <c r="X677" s="552">
        <f>SUMIFS(Таблица14[Столбец2],Таблица14[коэф],"1",Таблица14[р/р],"3/24",Таблица14[Ф. И. О.],B682)</f>
        <v>0</v>
      </c>
      <c r="Y677" s="801">
        <f t="shared" ref="Y677" si="260">SUM(G677:G687,K677:K687,O677:O687,S677:S687,W677:W687)</f>
        <v>0</v>
      </c>
      <c r="Z677" s="797">
        <f t="shared" ref="Z677" si="261">IFERROR(SUM(H677:H687,L677:L687,T677:T687,X677:X687),"")</f>
        <v>0</v>
      </c>
      <c r="AA677" s="786"/>
    </row>
    <row r="678" spans="1:29" ht="18.75" customHeight="1">
      <c r="A678" s="786"/>
      <c r="B678" s="216"/>
      <c r="C678" s="789"/>
      <c r="D678" s="792"/>
      <c r="E678" s="389">
        <f>IF(D677&lt;=3,база!$I$4,
IF(D677=4,база!$I$5,
IF(D677=5,база!$I$6)))</f>
        <v>188.7912</v>
      </c>
      <c r="F678" s="390">
        <v>1</v>
      </c>
      <c r="G678" s="400">
        <f>SUMIFS(Таблица14[часы],Таблица14[коэф],"1",Таблица14[р/р],"3/4",Таблица14[Ф. И. О.],B682)</f>
        <v>0</v>
      </c>
      <c r="H678" s="392">
        <f>SUMIFS(Таблица14[Столбец2],Таблица14[коэф],"1",Таблица14[р/р],"3/4",Таблица14[Ф. И. О.],B682)</f>
        <v>0</v>
      </c>
      <c r="I678" s="432">
        <f>IF(D677&lt;=3,база!$J$4,
IF(D677=4,база!$J$5,
IF(D677=5,база!$J$6)))</f>
        <v>196.05240000000001</v>
      </c>
      <c r="J678" s="433">
        <v>1</v>
      </c>
      <c r="K678" s="434">
        <f>SUMIFS(Таблица14[часы],Таблица14[коэф],"1",Таблица14[р/р],"3/8",Таблица14[Ф. И. О.],B682)</f>
        <v>0</v>
      </c>
      <c r="L678" s="434">
        <f>SUMIFS(Таблица14[Столбец2],Таблица14[коэф],"1",Таблица14[р/р],"3/8",Таблица14[Ф. И. О.],B682)</f>
        <v>0</v>
      </c>
      <c r="M678" s="434"/>
      <c r="N678" s="434">
        <v>1</v>
      </c>
      <c r="O678" s="434">
        <f>SUMIFS(Data_Tech!$AM$3:$AM$67,Data_Tech!$E$3:$E$67,"1",Data_Tech!$G$3:$G$67,"4/12",Data_Tech!$F$3:$F$67,B682)</f>
        <v>0</v>
      </c>
      <c r="P678" s="406">
        <f>ROUND(M678*O678,2)</f>
        <v>0</v>
      </c>
      <c r="Q678" s="389">
        <f>база!$L$5</f>
        <v>231.45480000000001</v>
      </c>
      <c r="R678" s="390">
        <v>1</v>
      </c>
      <c r="S678" s="400">
        <f>SUMIFS(Таблица14[часы],Таблица14[коэф],"1",Таблица14[р/р],"4/16",Таблица14[Ф. И. О.],B682)</f>
        <v>0</v>
      </c>
      <c r="T678" s="392">
        <f>SUMIFS(Таблица14[Столбец2],Таблица14[коэф],"1",Таблица14[р/р],"4/16",Таблица14[Ф. И. О.],B682)</f>
        <v>0</v>
      </c>
      <c r="U678" s="478">
        <f>база!$M$5</f>
        <v>247.41720000000001</v>
      </c>
      <c r="V678" s="390">
        <v>1</v>
      </c>
      <c r="W678" s="412">
        <f>SUMIFS(Таблица14[часы],Таблица14[коэф],"1",Таблица14[р/р],"4/24",Таблица14[Ф. И. О.],B682)</f>
        <v>0</v>
      </c>
      <c r="X678" s="545">
        <f>SUMIFS(Таблица14[Столбец2],Таблица14[коэф],"1",Таблица14[р/р],"4/24",Таблица14[Ф. И. О.],B682)</f>
        <v>0</v>
      </c>
      <c r="Y678" s="801"/>
      <c r="Z678" s="797"/>
      <c r="AA678" s="786"/>
    </row>
    <row r="679" spans="1:29" ht="18.75" customHeight="1">
      <c r="A679" s="786"/>
      <c r="B679" s="216"/>
      <c r="C679" s="789"/>
      <c r="D679" s="792"/>
      <c r="E679" s="389"/>
      <c r="F679" s="390"/>
      <c r="G679" s="400"/>
      <c r="H679" s="392"/>
      <c r="I679" s="432"/>
      <c r="J679" s="433"/>
      <c r="K679" s="434"/>
      <c r="L679" s="434"/>
      <c r="M679" s="434"/>
      <c r="N679" s="434"/>
      <c r="O679" s="434"/>
      <c r="P679" s="406"/>
      <c r="Q679" s="389">
        <f>база!$L$6</f>
        <v>261.04640000000001</v>
      </c>
      <c r="R679" s="390">
        <v>1</v>
      </c>
      <c r="S679" s="400">
        <f>SUMIFS(Таблица14[часы],Таблица14[коэф],"1",Таблица14[р/р],"5/16",Таблица14[Ф. И. О.],B682)</f>
        <v>0</v>
      </c>
      <c r="T679" s="392">
        <f>SUMIFS(Таблица14[Столбец2],Таблица14[коэф],"1",Таблица14[р/р],"5/16",Таблица14[Ф. И. О.],B682)</f>
        <v>0</v>
      </c>
      <c r="U679" s="478">
        <f>база!$M$6</f>
        <v>279.0496</v>
      </c>
      <c r="V679" s="390">
        <v>1</v>
      </c>
      <c r="W679" s="412">
        <f>SUMIFS(Таблица14[часы],Таблица14[коэф],"1",Таблица14[р/р],"5/24",Таблица14[Ф. И. О.],B682)</f>
        <v>0</v>
      </c>
      <c r="X679" s="545">
        <f>SUMIFS(Таблица14[Столбец2],Таблица14[коэф],"1",Таблица14[р/р],"5/24",Таблица14[Ф. И. О.],B682)</f>
        <v>0</v>
      </c>
      <c r="Y679" s="801"/>
      <c r="Z679" s="797"/>
      <c r="AA679" s="786"/>
    </row>
    <row r="680" spans="1:29" ht="18.75" customHeight="1">
      <c r="A680" s="786"/>
      <c r="B680" s="216"/>
      <c r="C680" s="789"/>
      <c r="D680" s="792"/>
      <c r="E680" s="389"/>
      <c r="F680" s="390"/>
      <c r="G680" s="400"/>
      <c r="H680" s="392"/>
      <c r="I680" s="432">
        <f>база!$J$5</f>
        <v>215.4924</v>
      </c>
      <c r="J680" s="433">
        <v>1.5</v>
      </c>
      <c r="K680" s="434">
        <f>SUMIFS(Таблица14[часы],Таблица14[коэф],"1,5",Таблица14[р/р],"4/8",Таблица14[Ф. И. О.],B682)</f>
        <v>0</v>
      </c>
      <c r="L680" s="434">
        <f>SUMIFS(Таблица14[Столбец2],Таблица14[коэф],"1,5",Таблица14[р/р],"4/8",Таблица14[Ф. И. О.],B682)</f>
        <v>0</v>
      </c>
      <c r="M680" s="434"/>
      <c r="N680" s="434"/>
      <c r="O680" s="434"/>
      <c r="P680" s="406"/>
      <c r="Q680" s="389">
        <f>IF(D677&lt;=3,база!$L$4,
IF(D677=4,база!$L$5,
IF(D677=5,база!$L$6)))</f>
        <v>210.57480000000001</v>
      </c>
      <c r="R680" s="390">
        <v>1.2</v>
      </c>
      <c r="S680" s="400">
        <f>SUMIFS(Таблица14[часы],Таблица14[коэф],"1,2",Таблица14[р/р],"3/16",Таблица14[Ф. И. О.],B682)</f>
        <v>0</v>
      </c>
      <c r="T680" s="392">
        <f>SUMIFS(Таблица14[Столбец2],Таблица14[коэф],"1,2",Таблица14[р/р],"3/16",Таблица14[Ф. И. О.],B682)</f>
        <v>0</v>
      </c>
      <c r="U680" s="478">
        <f>IF(D677&lt;=3,база!$M$4,
IF(D677=4,база!$M$5,
IF(D677=5,база!$M$6)))</f>
        <v>225.09719999999999</v>
      </c>
      <c r="V680" s="390">
        <v>1.2</v>
      </c>
      <c r="W680" s="412">
        <f>SUMIFS(Таблица14[часы],Таблица14[коэф],"1,2",Таблица14[р/р],"3/24",Таблица14[Ф. И. О.],B682)</f>
        <v>0</v>
      </c>
      <c r="X680" s="545">
        <f>SUMIFS(Таблица14[Столбец2],Таблица14[коэф],"1,2",Таблица14[р/р],"3/24",Таблица14[Ф. И. О.],B682)</f>
        <v>0</v>
      </c>
      <c r="Y680" s="801"/>
      <c r="Z680" s="797"/>
      <c r="AA680" s="786"/>
    </row>
    <row r="681" spans="1:29" ht="18.75" customHeight="1">
      <c r="A681" s="786"/>
      <c r="B681" s="216"/>
      <c r="C681" s="789"/>
      <c r="D681" s="792"/>
      <c r="E681" s="389"/>
      <c r="F681" s="390"/>
      <c r="G681" s="400"/>
      <c r="H681" s="392"/>
      <c r="I681" s="432">
        <f>база!$J$6</f>
        <v>243.04319999999998</v>
      </c>
      <c r="J681" s="433">
        <v>1.5</v>
      </c>
      <c r="K681" s="434">
        <f>SUMIFS(Таблица14[часы],Таблица14[коэф],"1,5",Таблица14[р/р],"5/8",Таблица14[Ф. И. О.],B682)</f>
        <v>0</v>
      </c>
      <c r="L681" s="434">
        <f>SUMIFS(Таблица14[Столбец2],Таблица14[коэф],"1,5",Таблица14[р/р],"5/8",Таблица14[Ф. И. О.],B682)</f>
        <v>0</v>
      </c>
      <c r="M681" s="434"/>
      <c r="N681" s="434"/>
      <c r="O681" s="434"/>
      <c r="P681" s="406"/>
      <c r="Q681" s="389">
        <f>база!$L$5</f>
        <v>231.45480000000001</v>
      </c>
      <c r="R681" s="390">
        <v>1.2</v>
      </c>
      <c r="S681" s="400">
        <f>SUMIFS(Таблица14[часы],Таблица14[коэф],"1,2",Таблица14[р/р],"4/16",Таблица14[Ф. И. О.],B682)</f>
        <v>0</v>
      </c>
      <c r="T681" s="392">
        <f>SUMIFS(Таблица14[Столбец2],Таблица14[коэф],"1,2",Таблица14[р/р],"4/16",Таблица14[Ф. И. О.],B682)</f>
        <v>0</v>
      </c>
      <c r="U681" s="478">
        <f>база!$M$5</f>
        <v>247.41720000000001</v>
      </c>
      <c r="V681" s="390">
        <v>1.2</v>
      </c>
      <c r="W681" s="412">
        <f>SUMIFS(Таблица14[часы],Таблица14[коэф],"1,2",Таблица14[р/р],"4/24",Таблица14[Ф. И. О.],B682)</f>
        <v>0</v>
      </c>
      <c r="X681" s="545">
        <f>SUMIFS(Таблица14[Столбец2],Таблица14[коэф],"1,2",Таблица14[р/р],"4/24",Таблица14[Ф. И. О.],B682)</f>
        <v>0</v>
      </c>
      <c r="Y681" s="801"/>
      <c r="Z681" s="797"/>
      <c r="AA681" s="786"/>
      <c r="AC681" s="754" t="str">
        <f>IF(SUMIFS(Таблица14[Столбец2],Таблица14[Ф. И. О.],B682)-Z677=0,"",SUMIFS(Таблица14[Столбец2],Таблица14[Ф. И. О.],B682)-Z677)</f>
        <v/>
      </c>
    </row>
    <row r="682" spans="1:29" ht="18.75" customHeight="1">
      <c r="A682" s="786"/>
      <c r="B682" s="216" t="str">
        <f>база!B63</f>
        <v>Пириева Виктория Хозеиновна</v>
      </c>
      <c r="C682" s="789"/>
      <c r="D682" s="792"/>
      <c r="E682" s="389"/>
      <c r="F682" s="390"/>
      <c r="G682" s="400"/>
      <c r="H682" s="392"/>
      <c r="I682" s="432"/>
      <c r="J682" s="433"/>
      <c r="K682" s="434"/>
      <c r="L682" s="434"/>
      <c r="M682" s="434"/>
      <c r="N682" s="434"/>
      <c r="O682" s="434"/>
      <c r="P682" s="406"/>
      <c r="Q682" s="389">
        <f>база!$L$6</f>
        <v>261.04640000000001</v>
      </c>
      <c r="R682" s="390">
        <v>1.2</v>
      </c>
      <c r="S682" s="400">
        <f>SUMIFS(Таблица14[часы],Таблица14[коэф],"1,2",Таблица14[р/р],"5/16",Таблица14[Ф. И. О.],B682)</f>
        <v>0</v>
      </c>
      <c r="T682" s="392">
        <f>SUMIFS(Таблица14[Столбец2],Таблица14[коэф],"1,2",Таблица14[р/р],"5/16",Таблица14[Ф. И. О.],B682)</f>
        <v>0</v>
      </c>
      <c r="U682" s="478">
        <f>база!$M$6</f>
        <v>279.0496</v>
      </c>
      <c r="V682" s="390">
        <v>1.2</v>
      </c>
      <c r="W682" s="412">
        <f>SUMIFS(Таблица14[часы],Таблица14[коэф],"1,2",Таблица14[р/р],"5/24",Таблица14[Ф. И. О.],B682)</f>
        <v>0</v>
      </c>
      <c r="X682" s="545">
        <f>SUMIFS(Таблица14[Столбец2],Таблица14[коэф],"1,2",Таблица14[р/р],"5/24",Таблица14[Ф. И. О.],B682)</f>
        <v>0</v>
      </c>
      <c r="Y682" s="801"/>
      <c r="Z682" s="797"/>
      <c r="AA682" s="786"/>
      <c r="AC682" s="754" t="str">
        <f>IF(SUMIFS(Таблица14[часы],Таблица14[Ф. И. О.],B682)-Y677=0,"",SUMIFS(Таблица14[часы],Таблица14[Ф. И. О.],B682)-Y677)</f>
        <v/>
      </c>
    </row>
    <row r="683" spans="1:29" ht="18.75" customHeight="1">
      <c r="A683" s="786"/>
      <c r="B683" s="216"/>
      <c r="C683" s="789"/>
      <c r="D683" s="792"/>
      <c r="E683" s="389"/>
      <c r="F683" s="390"/>
      <c r="G683" s="400"/>
      <c r="H683" s="392"/>
      <c r="I683" s="432"/>
      <c r="J683" s="433"/>
      <c r="K683" s="434"/>
      <c r="L683" s="434"/>
      <c r="M683" s="434"/>
      <c r="N683" s="434"/>
      <c r="O683" s="434"/>
      <c r="P683" s="406"/>
      <c r="Q683" s="389">
        <f>IF($D$6&lt;=3,база!$L$4,
IF($D$6=4,база!$L$5,
IF($D$6=5,база!$L$6)))</f>
        <v>231.45480000000001</v>
      </c>
      <c r="R683" s="390">
        <v>1.3</v>
      </c>
      <c r="S683" s="400">
        <f>SUMIFS(Таблица14[часы],Таблица14[коэф],"1,3",Таблица14[р/р],"3/16",Таблица14[Ф. И. О.],B682)</f>
        <v>0</v>
      </c>
      <c r="T683" s="392">
        <f>SUMIFS(Таблица14[Столбец2],Таблица14[коэф],"1,3",Таблица14[р/р],"3/16",Таблица14[Ф. И. О.],B682)</f>
        <v>0</v>
      </c>
      <c r="U683" s="478">
        <f>IF(D677&lt;=3,база!$M$4,
IF(D677=4,база!$M$5,
IF(D677=5,база!$M$6)))</f>
        <v>225.09719999999999</v>
      </c>
      <c r="V683" s="390">
        <v>1.3</v>
      </c>
      <c r="W683" s="412">
        <f>SUMIFS(Таблица14[часы],Таблица14[коэф],"1,3",Таблица14[р/р],"3/24",Таблица14[Ф. И. О.],B682)</f>
        <v>0</v>
      </c>
      <c r="X683" s="545">
        <f>SUMIFS(Таблица14[Столбец2],Таблица14[коэф],"1,3",Таблица14[р/р],"3/24",Таблица14[Ф. И. О.],B682)</f>
        <v>0</v>
      </c>
      <c r="Y683" s="801"/>
      <c r="Z683" s="797"/>
      <c r="AA683" s="786"/>
    </row>
    <row r="684" spans="1:29" ht="18.75" customHeight="1">
      <c r="A684" s="786"/>
      <c r="B684" s="216"/>
      <c r="C684" s="789"/>
      <c r="D684" s="792"/>
      <c r="E684" s="389"/>
      <c r="F684" s="390"/>
      <c r="G684" s="400"/>
      <c r="H684" s="392"/>
      <c r="I684" s="432"/>
      <c r="J684" s="433"/>
      <c r="K684" s="434"/>
      <c r="L684" s="434"/>
      <c r="M684" s="434"/>
      <c r="N684" s="434"/>
      <c r="O684" s="434"/>
      <c r="P684" s="406"/>
      <c r="Q684" s="389">
        <f>база!$L$5</f>
        <v>231.45480000000001</v>
      </c>
      <c r="R684" s="390">
        <v>1.3</v>
      </c>
      <c r="S684" s="400">
        <f>SUMIFS(Таблица14[часы],Таблица14[коэф],"1,3",Таблица14[р/р],"4/16",Таблица14[Ф. И. О.],B682)</f>
        <v>0</v>
      </c>
      <c r="T684" s="392">
        <f>SUMIFS(Таблица14[Столбец2],Таблица14[коэф],"1,3",Таблица14[р/р],"4/16",Таблица14[Ф. И. О.],B682)</f>
        <v>0</v>
      </c>
      <c r="U684" s="478">
        <f>база!$M$5</f>
        <v>247.41720000000001</v>
      </c>
      <c r="V684" s="390">
        <v>1.3</v>
      </c>
      <c r="W684" s="412">
        <f>SUMIFS(Таблица14[часы],Таблица14[коэф],"1,3",Таблица14[р/р],"4/24",Таблица14[Ф. И. О.],B682)</f>
        <v>0</v>
      </c>
      <c r="X684" s="545">
        <f>SUMIFS(Таблица14[Столбец2],Таблица14[коэф],"1,3",Таблица14[р/р],"4/24",Таблица14[Ф. И. О.],B682)</f>
        <v>0</v>
      </c>
      <c r="Y684" s="801"/>
      <c r="Z684" s="797"/>
      <c r="AA684" s="786"/>
    </row>
    <row r="685" spans="1:29" ht="18.75" customHeight="1">
      <c r="A685" s="786"/>
      <c r="B685" s="216"/>
      <c r="C685" s="789"/>
      <c r="D685" s="792"/>
      <c r="E685" s="389"/>
      <c r="F685" s="390"/>
      <c r="G685" s="400"/>
      <c r="H685" s="392"/>
      <c r="I685" s="432"/>
      <c r="J685" s="433"/>
      <c r="K685" s="434"/>
      <c r="L685" s="434"/>
      <c r="M685" s="434"/>
      <c r="N685" s="434"/>
      <c r="O685" s="434"/>
      <c r="P685" s="406"/>
      <c r="Q685" s="389">
        <f>IF(D677&lt;=3,база!$L$4,
IF(D677=4,база!$L$5,
IF(D677=5,база!$L$6)))</f>
        <v>210.57480000000001</v>
      </c>
      <c r="R685" s="390">
        <v>1.4</v>
      </c>
      <c r="S685" s="400">
        <f>SUMIFS(Таблица14[часы],Таблица14[коэф],"1,4",Таблица14[р/р],"3/16",Таблица14[Ф. И. О.],B682)</f>
        <v>0</v>
      </c>
      <c r="T685" s="392">
        <f>SUMIFS(Таблица14[Столбец2],Таблица14[коэф],"1,4",Таблица14[р/р],"3/16",Таблица14[Ф. И. О.],B682)</f>
        <v>0</v>
      </c>
      <c r="U685" s="478">
        <f>IF(D677&lt;=3,база!$M$4,
IF(D677=4,база!$M$5,
IF(D677=5,база!$M$6)))</f>
        <v>225.09719999999999</v>
      </c>
      <c r="V685" s="390">
        <v>1.4</v>
      </c>
      <c r="W685" s="412">
        <f>SUMIFS(Таблица14[часы],Таблица14[коэф],"1,4",Таблица14[р/р],"3/24",Таблица14[Ф. И. О.],B682)</f>
        <v>0</v>
      </c>
      <c r="X685" s="545">
        <f>SUMIFS(Таблица14[Столбец2],Таблица14[коэф],"1,4",Таблица14[р/р],"3/24",Таблица14[Ф. И. О.],B682)</f>
        <v>0</v>
      </c>
      <c r="Y685" s="801"/>
      <c r="Z685" s="797"/>
      <c r="AA685" s="786"/>
    </row>
    <row r="686" spans="1:29" ht="18.75" customHeight="1">
      <c r="A686" s="786"/>
      <c r="B686" s="216"/>
      <c r="C686" s="789"/>
      <c r="D686" s="792"/>
      <c r="E686" s="389"/>
      <c r="F686" s="390"/>
      <c r="G686" s="400"/>
      <c r="H686" s="392"/>
      <c r="I686" s="432"/>
      <c r="J686" s="433"/>
      <c r="K686" s="434"/>
      <c r="L686" s="434"/>
      <c r="M686" s="434"/>
      <c r="N686" s="434"/>
      <c r="O686" s="434"/>
      <c r="P686" s="406"/>
      <c r="Q686" s="389">
        <f>база!$L$5</f>
        <v>231.45480000000001</v>
      </c>
      <c r="R686" s="390">
        <v>1.4</v>
      </c>
      <c r="S686" s="400">
        <f>SUMIFS(Таблица14[часы],Таблица14[коэф],"1,4",Таблица14[р/р],"4/16",Таблица14[Ф. И. О.],B682)</f>
        <v>0</v>
      </c>
      <c r="T686" s="392">
        <f>SUMIFS(Таблица14[Столбец2],Таблица14[коэф],"1,4",Таблица14[р/р],"4/16",Таблица14[Ф. И. О.],B682)</f>
        <v>0</v>
      </c>
      <c r="U686" s="478">
        <f>база!$M$5</f>
        <v>247.41720000000001</v>
      </c>
      <c r="V686" s="390">
        <v>1.4</v>
      </c>
      <c r="W686" s="412">
        <f>SUMIFS(Таблица14[часы],Таблица14[коэф],"1,4",Таблица14[р/р],"4/24",Таблица14[Ф. И. О.],B682)</f>
        <v>0</v>
      </c>
      <c r="X686" s="545">
        <f>SUMIFS(Таблица14[Столбец2],Таблица14[коэф],"1,4",Таблица14[р/р],"4/24",Таблица14[Ф. И. О.],B682)</f>
        <v>0</v>
      </c>
      <c r="Y686" s="801"/>
      <c r="Z686" s="797"/>
      <c r="AA686" s="786"/>
    </row>
    <row r="687" spans="1:29" ht="19.5" customHeight="1" thickBot="1">
      <c r="A687" s="787"/>
      <c r="B687" s="352"/>
      <c r="C687" s="790"/>
      <c r="D687" s="793"/>
      <c r="E687" s="437"/>
      <c r="F687" s="438"/>
      <c r="G687" s="697"/>
      <c r="H687" s="440"/>
      <c r="I687" s="413"/>
      <c r="J687" s="604"/>
      <c r="K687" s="414"/>
      <c r="L687" s="460"/>
      <c r="M687" s="413"/>
      <c r="N687" s="414"/>
      <c r="O687" s="414"/>
      <c r="P687" s="415"/>
      <c r="Q687" s="692">
        <f>база!$L$6</f>
        <v>261.04640000000001</v>
      </c>
      <c r="R687" s="438">
        <v>1.4</v>
      </c>
      <c r="S687" s="439">
        <f>SUMIFS(Таблица14[часы],Таблица14[коэф],"1,4",Таблица14[р/р],"5/16",Таблица14[Ф. И. О.],B682)</f>
        <v>0</v>
      </c>
      <c r="T687" s="440">
        <f>SUMIFS(Таблица14[Столбец2],Таблица14[коэф],"1,4",Таблица14[р/р],"5/16",Таблица14[Ф. И. О.],B682)</f>
        <v>0</v>
      </c>
      <c r="U687" s="515">
        <f>база!$M$6</f>
        <v>279.0496</v>
      </c>
      <c r="V687" s="403">
        <v>1.4</v>
      </c>
      <c r="W687" s="439">
        <f>SUMIFS(Таблица14[часы],Таблица14[коэф],"1,4",Таблица14[р/р],"5/24",Таблица14[Ф. И. О.],B682)</f>
        <v>0</v>
      </c>
      <c r="X687" s="440">
        <f>SUMIFS(Таблица14[Столбец2],Таблица14[коэф],"1,4",Таблица14[р/р],"5/24",Таблица14[Ф. И. О.],B682)</f>
        <v>0</v>
      </c>
      <c r="Y687" s="802"/>
      <c r="Z687" s="798"/>
      <c r="AA687" s="787"/>
    </row>
    <row r="688" spans="1:29" ht="18.75" customHeight="1">
      <c r="A688" s="786">
        <v>63</v>
      </c>
      <c r="B688" s="216"/>
      <c r="C688" s="788">
        <f>INDEX(база!$E$2:$E$150, MATCH(B693,база!$B$2:$B$150,0))</f>
        <v>16858</v>
      </c>
      <c r="D688" s="791">
        <f>INDEX(база!$D$2:$D$150, MATCH(B693,база!$B$2:$B$150,0))</f>
        <v>3</v>
      </c>
      <c r="E688" s="377">
        <f>IF(D688&lt;=3,база!$I$4,
IF(D688=4,база!$I$5,
IF(D688=5,база!$I$6)))</f>
        <v>188.7912</v>
      </c>
      <c r="F688" s="378">
        <v>1</v>
      </c>
      <c r="G688" s="387">
        <f>SUMIFS(Таблица14[часы],Таблица14[коэф],"1",Таблица14[р/р],"2/4",Таблица14[Ф. И. О.],B693)</f>
        <v>0</v>
      </c>
      <c r="H688" s="380">
        <f>SUMIFS(Таблица14[Столбец2],Таблица14[коэф],"1",Таблица14[р/р],"2/4",Таблица14[Ф. И. О.],B693)</f>
        <v>0</v>
      </c>
      <c r="I688" s="426">
        <f>IF(D688&lt;=3,база!$J$4,
IF(D688=4,база!$J$5,
IF(D688=5,база!$J$6)))</f>
        <v>196.05240000000001</v>
      </c>
      <c r="J688" s="427">
        <v>1</v>
      </c>
      <c r="K688" s="428">
        <f>SUMIFS(Таблица14[часы],Таблица14[коэф],"1",Таблица14[р/р],"2/8",Таблица14[Ф. И. О.],B693)</f>
        <v>0</v>
      </c>
      <c r="L688" s="428">
        <f>SUMIFS(Таблица14[Столбец2],Таблица14[коэф],"1",Таблица14[р/р],"2/8",Таблица14[Ф. И. О.],B693)</f>
        <v>0</v>
      </c>
      <c r="M688" s="428"/>
      <c r="N688" s="428">
        <v>1</v>
      </c>
      <c r="O688" s="428">
        <f>SUMIFS(Data_Tech!$AM$3:$AM$67,Data_Tech!$E$3:$E$67,"1",Data_Tech!$G$3:$G$67,"3/12",Data_Tech!$F$3:$F$67,B693)</f>
        <v>0</v>
      </c>
      <c r="P688" s="385">
        <f>ROUND(M688*N688*O688,2)</f>
        <v>0</v>
      </c>
      <c r="Q688" s="377">
        <f>IF(D688&lt;=3,база!$L$4,
IF(D688=4,база!$L$5,
IF(D688=5,база!$L$6)))</f>
        <v>210.57480000000001</v>
      </c>
      <c r="R688" s="378">
        <v>1</v>
      </c>
      <c r="S688" s="387">
        <f>SUMIFS(Таблица14[часы],Таблица14[коэф],"1",Таблица14[р/р],"3/16",Таблица14[Ф. И. О.],B693)</f>
        <v>0</v>
      </c>
      <c r="T688" s="380">
        <f>SUMIFS(Таблица14[Столбец2],Таблица14[коэф],"1",Таблица14[р/р],"3/16",Таблица14[Ф. И. О.],B693)</f>
        <v>0</v>
      </c>
      <c r="U688" s="477">
        <f>IF(D688&lt;=3,база!$M$4,
IF(D688=4,база!$M$5,
IF(D688=5,база!$M$6)))</f>
        <v>225.09719999999999</v>
      </c>
      <c r="V688" s="378">
        <v>1</v>
      </c>
      <c r="W688" s="430">
        <f>SUMIFS(Таблица14[часы],Таблица14[коэф],"1",Таблица14[р/р],"3/24",Таблица14[Ф. И. О.],B693)</f>
        <v>0</v>
      </c>
      <c r="X688" s="543">
        <f>SUMIFS(Таблица14[Столбец2],Таблица14[коэф],"1",Таблица14[р/р],"3/24",Таблица14[Ф. И. О.],B693)</f>
        <v>0</v>
      </c>
      <c r="Y688" s="801">
        <f t="shared" ref="Y688" si="262">SUM(G688:G698,K688:K698,O688:O698,S688:S698,W688:W698)</f>
        <v>0</v>
      </c>
      <c r="Z688" s="797">
        <f t="shared" ref="Z688" si="263">IFERROR(SUM(H688:H698,L688:L698,T688:T698,X688:X698),"")</f>
        <v>0</v>
      </c>
      <c r="AA688" s="786"/>
    </row>
    <row r="689" spans="1:29" ht="18.75" customHeight="1">
      <c r="A689" s="786"/>
      <c r="B689" s="216"/>
      <c r="C689" s="789"/>
      <c r="D689" s="792"/>
      <c r="E689" s="389">
        <f>IF(D688&lt;=3,база!$I$4,
IF(D688=4,база!$I$5,
IF(D688=5,база!$I$6)))</f>
        <v>188.7912</v>
      </c>
      <c r="F689" s="390">
        <v>1</v>
      </c>
      <c r="G689" s="400">
        <f>SUMIFS(Таблица14[часы],Таблица14[коэф],"1",Таблица14[р/р],"3/4",Таблица14[Ф. И. О.],B693)</f>
        <v>0</v>
      </c>
      <c r="H689" s="392">
        <f>SUMIFS(Таблица14[Столбец2],Таблица14[коэф],"1",Таблица14[р/р],"3/4",Таблица14[Ф. И. О.],B693)</f>
        <v>0</v>
      </c>
      <c r="I689" s="432">
        <f>IF(D688&lt;=3,база!$J$4,
IF(D688=4,база!$J$5,
IF(D688=5,база!$J$6)))</f>
        <v>196.05240000000001</v>
      </c>
      <c r="J689" s="433">
        <v>1</v>
      </c>
      <c r="K689" s="434">
        <f>SUMIFS(Таблица14[часы],Таблица14[коэф],"1",Таблица14[р/р],"3/8",Таблица14[Ф. И. О.],B693)</f>
        <v>0</v>
      </c>
      <c r="L689" s="434">
        <f>SUMIFS(Таблица14[Столбец2],Таблица14[коэф],"1",Таблица14[р/р],"3/8",Таблица14[Ф. И. О.],B693)</f>
        <v>0</v>
      </c>
      <c r="M689" s="434"/>
      <c r="N689" s="434">
        <v>1</v>
      </c>
      <c r="O689" s="434">
        <f>SUMIFS(Data_Tech!$AM$3:$AM$67,Data_Tech!$E$3:$E$67,"1",Data_Tech!$G$3:$G$67,"4/12",Data_Tech!$F$3:$F$67,B693)</f>
        <v>0</v>
      </c>
      <c r="P689" s="406">
        <f>ROUND(M689*O689,2)</f>
        <v>0</v>
      </c>
      <c r="Q689" s="389">
        <f>база!$L$5</f>
        <v>231.45480000000001</v>
      </c>
      <c r="R689" s="390">
        <v>1</v>
      </c>
      <c r="S689" s="400">
        <f>SUMIFS(Таблица14[часы],Таблица14[коэф],"1",Таблица14[р/р],"4/16",Таблица14[Ф. И. О.],B693)</f>
        <v>0</v>
      </c>
      <c r="T689" s="392">
        <f>SUMIFS(Таблица14[Столбец2],Таблица14[коэф],"1",Таблица14[р/р],"4/16",Таблица14[Ф. И. О.],B693)</f>
        <v>0</v>
      </c>
      <c r="U689" s="478">
        <f>база!$M$5</f>
        <v>247.41720000000001</v>
      </c>
      <c r="V689" s="390">
        <v>1</v>
      </c>
      <c r="W689" s="412">
        <f>SUMIFS(Таблица14[часы],Таблица14[коэф],"1",Таблица14[р/р],"4/24",Таблица14[Ф. И. О.],B693)</f>
        <v>0</v>
      </c>
      <c r="X689" s="545">
        <f>SUMIFS(Таблица14[Столбец2],Таблица14[коэф],"1",Таблица14[р/р],"4/24",Таблица14[Ф. И. О.],B693)</f>
        <v>0</v>
      </c>
      <c r="Y689" s="801"/>
      <c r="Z689" s="797"/>
      <c r="AA689" s="786"/>
    </row>
    <row r="690" spans="1:29" ht="18.75" customHeight="1">
      <c r="A690" s="786"/>
      <c r="B690" s="216"/>
      <c r="C690" s="789"/>
      <c r="D690" s="792"/>
      <c r="E690" s="389"/>
      <c r="F690" s="390"/>
      <c r="G690" s="400"/>
      <c r="H690" s="392"/>
      <c r="I690" s="432"/>
      <c r="J690" s="433"/>
      <c r="K690" s="434"/>
      <c r="L690" s="434"/>
      <c r="M690" s="434"/>
      <c r="N690" s="434"/>
      <c r="O690" s="434"/>
      <c r="P690" s="406"/>
      <c r="Q690" s="389">
        <f>база!$L$6</f>
        <v>261.04640000000001</v>
      </c>
      <c r="R690" s="390">
        <v>1</v>
      </c>
      <c r="S690" s="400">
        <f>SUMIFS(Таблица14[часы],Таблица14[коэф],"1",Таблица14[р/р],"5/16",Таблица14[Ф. И. О.],B693)</f>
        <v>0</v>
      </c>
      <c r="T690" s="392">
        <f>SUMIFS(Таблица14[Столбец2],Таблица14[коэф],"1",Таблица14[р/р],"5/16",Таблица14[Ф. И. О.],B693)</f>
        <v>0</v>
      </c>
      <c r="U690" s="478">
        <f>база!$M$6</f>
        <v>279.0496</v>
      </c>
      <c r="V690" s="390">
        <v>1</v>
      </c>
      <c r="W690" s="412">
        <f>SUMIFS(Таблица14[часы],Таблица14[коэф],"1",Таблица14[р/р],"5/24",Таблица14[Ф. И. О.],B693)</f>
        <v>0</v>
      </c>
      <c r="X690" s="545">
        <f>SUMIFS(Таблица14[Столбец2],Таблица14[коэф],"1",Таблица14[р/р],"5/24",Таблица14[Ф. И. О.],B693)</f>
        <v>0</v>
      </c>
      <c r="Y690" s="801"/>
      <c r="Z690" s="797"/>
      <c r="AA690" s="786"/>
    </row>
    <row r="691" spans="1:29" ht="18.75" customHeight="1">
      <c r="A691" s="786"/>
      <c r="B691" s="216"/>
      <c r="C691" s="789"/>
      <c r="D691" s="792"/>
      <c r="E691" s="389"/>
      <c r="F691" s="390"/>
      <c r="G691" s="400"/>
      <c r="H691" s="392"/>
      <c r="I691" s="432">
        <f>база!$J$5</f>
        <v>215.4924</v>
      </c>
      <c r="J691" s="433">
        <v>1.5</v>
      </c>
      <c r="K691" s="434">
        <f>SUMIFS(Таблица14[часы],Таблица14[коэф],"1,5",Таблица14[р/р],"4/8",Таблица14[Ф. И. О.],B693)</f>
        <v>0</v>
      </c>
      <c r="L691" s="434">
        <f>SUMIFS(Таблица14[Столбец2],Таблица14[коэф],"1,5",Таблица14[р/р],"4/8",Таблица14[Ф. И. О.],B693)</f>
        <v>0</v>
      </c>
      <c r="M691" s="434"/>
      <c r="N691" s="434"/>
      <c r="O691" s="434"/>
      <c r="P691" s="406"/>
      <c r="Q691" s="389">
        <f>IF(D688&lt;=3,база!$L$4,
IF(D688=4,база!$L$5,
IF(D688=5,база!$L$6)))</f>
        <v>210.57480000000001</v>
      </c>
      <c r="R691" s="390">
        <v>1.2</v>
      </c>
      <c r="S691" s="400">
        <f>SUMIFS(Таблица14[часы],Таблица14[коэф],"1,2",Таблица14[р/р],"3/16",Таблица14[Ф. И. О.],B693)</f>
        <v>0</v>
      </c>
      <c r="T691" s="392">
        <f>SUMIFS(Таблица14[Столбец2],Таблица14[коэф],"1,2",Таблица14[р/р],"3/16",Таблица14[Ф. И. О.],B693)</f>
        <v>0</v>
      </c>
      <c r="U691" s="478">
        <f>IF(D688&lt;=3,база!$M$4,
IF(D688=4,база!$M$5,
IF(D688=5,база!$M$6)))</f>
        <v>225.09719999999999</v>
      </c>
      <c r="V691" s="390">
        <v>1.2</v>
      </c>
      <c r="W691" s="412">
        <f>SUMIFS(Таблица14[часы],Таблица14[коэф],"1,2",Таблица14[р/р],"3/24",Таблица14[Ф. И. О.],B693)</f>
        <v>0</v>
      </c>
      <c r="X691" s="545">
        <f>SUMIFS(Таблица14[Столбец2],Таблица14[коэф],"1,2",Таблица14[р/р],"3/24",Таблица14[Ф. И. О.],B693)</f>
        <v>0</v>
      </c>
      <c r="Y691" s="801"/>
      <c r="Z691" s="797"/>
      <c r="AA691" s="786"/>
    </row>
    <row r="692" spans="1:29" ht="18.75" customHeight="1">
      <c r="A692" s="786"/>
      <c r="B692" s="216"/>
      <c r="C692" s="789"/>
      <c r="D692" s="792"/>
      <c r="E692" s="389"/>
      <c r="F692" s="390"/>
      <c r="G692" s="400"/>
      <c r="H692" s="392"/>
      <c r="I692" s="432">
        <f>база!$J$6</f>
        <v>243.04319999999998</v>
      </c>
      <c r="J692" s="433">
        <v>1.5</v>
      </c>
      <c r="K692" s="434">
        <f>SUMIFS(Таблица14[часы],Таблица14[коэф],"1,5",Таблица14[р/р],"5/8",Таблица14[Ф. И. О.],B693)</f>
        <v>0</v>
      </c>
      <c r="L692" s="434">
        <f>SUMIFS(Таблица14[Столбец2],Таблица14[коэф],"1,5",Таблица14[р/р],"5/8",Таблица14[Ф. И. О.],B693)</f>
        <v>0</v>
      </c>
      <c r="M692" s="434"/>
      <c r="N692" s="434"/>
      <c r="O692" s="434"/>
      <c r="P692" s="406"/>
      <c r="Q692" s="389">
        <f>база!$L$5</f>
        <v>231.45480000000001</v>
      </c>
      <c r="R692" s="390">
        <v>1.2</v>
      </c>
      <c r="S692" s="400">
        <f>SUMIFS(Таблица14[часы],Таблица14[коэф],"1,2",Таблица14[р/р],"4/16",Таблица14[Ф. И. О.],B693)</f>
        <v>0</v>
      </c>
      <c r="T692" s="392">
        <f>SUMIFS(Таблица14[Столбец2],Таблица14[коэф],"1,2",Таблица14[р/р],"4/16",Таблица14[Ф. И. О.],B693)</f>
        <v>0</v>
      </c>
      <c r="U692" s="478">
        <f>база!$M$5</f>
        <v>247.41720000000001</v>
      </c>
      <c r="V692" s="390">
        <v>1.2</v>
      </c>
      <c r="W692" s="412">
        <f>SUMIFS(Таблица14[часы],Таблица14[коэф],"1,2",Таблица14[р/р],"4/24",Таблица14[Ф. И. О.],B693)</f>
        <v>0</v>
      </c>
      <c r="X692" s="545">
        <f>SUMIFS(Таблица14[Столбец2],Таблица14[коэф],"1,2",Таблица14[р/р],"4/24",Таблица14[Ф. И. О.],B693)</f>
        <v>0</v>
      </c>
      <c r="Y692" s="801"/>
      <c r="Z692" s="797"/>
      <c r="AA692" s="786"/>
    </row>
    <row r="693" spans="1:29" ht="18.75" customHeight="1">
      <c r="A693" s="786"/>
      <c r="B693" s="216" t="str">
        <f>база!B64</f>
        <v>Полушкина Анастасия Юрьевна</v>
      </c>
      <c r="C693" s="789"/>
      <c r="D693" s="792"/>
      <c r="E693" s="389"/>
      <c r="F693" s="390"/>
      <c r="G693" s="400"/>
      <c r="H693" s="392"/>
      <c r="I693" s="432"/>
      <c r="J693" s="433"/>
      <c r="K693" s="434"/>
      <c r="L693" s="434"/>
      <c r="M693" s="434"/>
      <c r="N693" s="434"/>
      <c r="O693" s="434"/>
      <c r="P693" s="406"/>
      <c r="Q693" s="389">
        <f>база!$L$6</f>
        <v>261.04640000000001</v>
      </c>
      <c r="R693" s="390">
        <v>1.2</v>
      </c>
      <c r="S693" s="400">
        <f>SUMIFS(Таблица14[часы],Таблица14[коэф],"1,2",Таблица14[р/р],"5/16",Таблица14[Ф. И. О.],B693)</f>
        <v>0</v>
      </c>
      <c r="T693" s="392">
        <f>SUMIFS(Таблица14[Столбец2],Таблица14[коэф],"1,2",Таблица14[р/р],"5/16",Таблица14[Ф. И. О.],B693)</f>
        <v>0</v>
      </c>
      <c r="U693" s="478">
        <f>база!$M$6</f>
        <v>279.0496</v>
      </c>
      <c r="V693" s="390">
        <v>1.2</v>
      </c>
      <c r="W693" s="412">
        <f>SUMIFS(Таблица14[часы],Таблица14[коэф],"1,2",Таблица14[р/р],"5/24",Таблица14[Ф. И. О.],B693)</f>
        <v>0</v>
      </c>
      <c r="X693" s="545">
        <f>SUMIFS(Таблица14[Столбец2],Таблица14[коэф],"1,2",Таблица14[р/р],"5/24",Таблица14[Ф. И. О.],B693)</f>
        <v>0</v>
      </c>
      <c r="Y693" s="801"/>
      <c r="Z693" s="797"/>
      <c r="AA693" s="786"/>
      <c r="AC693" s="754" t="str">
        <f>IF(SUMIFS(Таблица14[Столбец2],Таблица14[Ф. И. О.],B693)-Z688=0,"",SUMIFS(Таблица14[Столбец2],Таблица14[Ф. И. О.],B693)-Z688)</f>
        <v/>
      </c>
    </row>
    <row r="694" spans="1:29" ht="18.75" customHeight="1">
      <c r="A694" s="786"/>
      <c r="B694" s="216"/>
      <c r="C694" s="789"/>
      <c r="D694" s="792"/>
      <c r="E694" s="389"/>
      <c r="F694" s="390"/>
      <c r="G694" s="400"/>
      <c r="H694" s="392"/>
      <c r="I694" s="432"/>
      <c r="J694" s="433"/>
      <c r="K694" s="434"/>
      <c r="L694" s="434"/>
      <c r="M694" s="434"/>
      <c r="N694" s="434"/>
      <c r="O694" s="434"/>
      <c r="P694" s="406"/>
      <c r="Q694" s="389">
        <f>IF($D$6&lt;=3,база!$L$4,
IF($D$6=4,база!$L$5,
IF($D$6=5,база!$L$6)))</f>
        <v>231.45480000000001</v>
      </c>
      <c r="R694" s="390">
        <v>1.3</v>
      </c>
      <c r="S694" s="400">
        <f>SUMIFS(Таблица14[часы],Таблица14[коэф],"1,3",Таблица14[р/р],"3/16",Таблица14[Ф. И. О.],B693)</f>
        <v>0</v>
      </c>
      <c r="T694" s="392">
        <f>SUMIFS(Таблица14[Столбец2],Таблица14[коэф],"1,3",Таблица14[р/р],"3/16",Таблица14[Ф. И. О.],B693)</f>
        <v>0</v>
      </c>
      <c r="U694" s="478">
        <f>IF(D688&lt;=3,база!$M$4,
IF(D688=4,база!$M$5,
IF(D688=5,база!$M$6)))</f>
        <v>225.09719999999999</v>
      </c>
      <c r="V694" s="390">
        <v>1.3</v>
      </c>
      <c r="W694" s="412">
        <f>SUMIFS(Таблица14[часы],Таблица14[коэф],"1,3",Таблица14[р/р],"3/24",Таблица14[Ф. И. О.],B693)</f>
        <v>0</v>
      </c>
      <c r="X694" s="545">
        <f>SUMIFS(Таблица14[Столбец2],Таблица14[коэф],"1,3",Таблица14[р/р],"3/24",Таблица14[Ф. И. О.],B693)</f>
        <v>0</v>
      </c>
      <c r="Y694" s="801"/>
      <c r="Z694" s="797"/>
      <c r="AA694" s="786"/>
      <c r="AC694" s="754" t="str">
        <f>IF(SUMIFS(Таблица14[часы],Таблица14[Ф. И. О.],B693)-Y688=0,"",SUMIFS(Таблица14[часы],Таблица14[Ф. И. О.],B693)-Y688)</f>
        <v/>
      </c>
    </row>
    <row r="695" spans="1:29" ht="18.75" customHeight="1">
      <c r="A695" s="786"/>
      <c r="B695" s="216"/>
      <c r="C695" s="789"/>
      <c r="D695" s="792"/>
      <c r="E695" s="389"/>
      <c r="F695" s="390"/>
      <c r="G695" s="400"/>
      <c r="H695" s="392"/>
      <c r="I695" s="432"/>
      <c r="J695" s="433"/>
      <c r="K695" s="434"/>
      <c r="L695" s="434"/>
      <c r="M695" s="434"/>
      <c r="N695" s="434"/>
      <c r="O695" s="434"/>
      <c r="P695" s="406"/>
      <c r="Q695" s="389">
        <f>база!$L$5</f>
        <v>231.45480000000001</v>
      </c>
      <c r="R695" s="390">
        <v>1.3</v>
      </c>
      <c r="S695" s="400">
        <f>SUMIFS(Таблица14[часы],Таблица14[коэф],"1,3",Таблица14[р/р],"4/16",Таблица14[Ф. И. О.],B693)</f>
        <v>0</v>
      </c>
      <c r="T695" s="392">
        <f>SUMIFS(Таблица14[Столбец2],Таблица14[коэф],"1,3",Таблица14[р/р],"4/16",Таблица14[Ф. И. О.],B693)</f>
        <v>0</v>
      </c>
      <c r="U695" s="478">
        <f>база!$M$5</f>
        <v>247.41720000000001</v>
      </c>
      <c r="V695" s="390">
        <v>1.3</v>
      </c>
      <c r="W695" s="412">
        <f>SUMIFS(Таблица14[часы],Таблица14[коэф],"1,3",Таблица14[р/р],"4/24",Таблица14[Ф. И. О.],B693)</f>
        <v>0</v>
      </c>
      <c r="X695" s="545">
        <f>SUMIFS(Таблица14[Столбец2],Таблица14[коэф],"1,3",Таблица14[р/р],"4/24",Таблица14[Ф. И. О.],B693)</f>
        <v>0</v>
      </c>
      <c r="Y695" s="801"/>
      <c r="Z695" s="797"/>
      <c r="AA695" s="786"/>
    </row>
    <row r="696" spans="1:29" ht="18.75" customHeight="1">
      <c r="A696" s="786"/>
      <c r="B696" s="216"/>
      <c r="C696" s="789"/>
      <c r="D696" s="792"/>
      <c r="E696" s="389"/>
      <c r="F696" s="390"/>
      <c r="G696" s="400"/>
      <c r="H696" s="392"/>
      <c r="I696" s="432"/>
      <c r="J696" s="433"/>
      <c r="K696" s="434"/>
      <c r="L696" s="434"/>
      <c r="M696" s="434"/>
      <c r="N696" s="434"/>
      <c r="O696" s="434"/>
      <c r="P696" s="406"/>
      <c r="Q696" s="389">
        <f>IF(D688&lt;=3,база!$L$4,
IF(D688=4,база!$L$5,
IF(D688=5,база!$L$6)))</f>
        <v>210.57480000000001</v>
      </c>
      <c r="R696" s="390">
        <v>1.4</v>
      </c>
      <c r="S696" s="400">
        <f>SUMIFS(Таблица14[часы],Таблица14[коэф],"1,4",Таблица14[р/р],"3/16",Таблица14[Ф. И. О.],B693)</f>
        <v>0</v>
      </c>
      <c r="T696" s="392">
        <f>SUMIFS(Таблица14[Столбец2],Таблица14[коэф],"1,4",Таблица14[р/р],"3/16",Таблица14[Ф. И. О.],B693)</f>
        <v>0</v>
      </c>
      <c r="U696" s="478">
        <f>IF(D688&lt;=3,база!$M$4,
IF(D688=4,база!$M$5,
IF(D688=5,база!$M$6)))</f>
        <v>225.09719999999999</v>
      </c>
      <c r="V696" s="390">
        <v>1.4</v>
      </c>
      <c r="W696" s="412">
        <f>SUMIFS(Таблица14[часы],Таблица14[коэф],"1,4",Таблица14[р/р],"3/24",Таблица14[Ф. И. О.],B693)</f>
        <v>0</v>
      </c>
      <c r="X696" s="545">
        <f>SUMIFS(Таблица14[Столбец2],Таблица14[коэф],"1,4",Таблица14[р/р],"3/24",Таблица14[Ф. И. О.],B693)</f>
        <v>0</v>
      </c>
      <c r="Y696" s="801"/>
      <c r="Z696" s="797"/>
      <c r="AA696" s="786"/>
    </row>
    <row r="697" spans="1:29" ht="18.75" customHeight="1">
      <c r="A697" s="786"/>
      <c r="B697" s="216"/>
      <c r="C697" s="789"/>
      <c r="D697" s="792"/>
      <c r="E697" s="389"/>
      <c r="F697" s="390"/>
      <c r="G697" s="400"/>
      <c r="H697" s="392"/>
      <c r="I697" s="432"/>
      <c r="J697" s="433"/>
      <c r="K697" s="434"/>
      <c r="L697" s="434"/>
      <c r="M697" s="434"/>
      <c r="N697" s="434"/>
      <c r="O697" s="434"/>
      <c r="P697" s="406"/>
      <c r="Q697" s="389">
        <f>база!$L$5</f>
        <v>231.45480000000001</v>
      </c>
      <c r="R697" s="390">
        <v>1.4</v>
      </c>
      <c r="S697" s="400">
        <f>SUMIFS(Таблица14[часы],Таблица14[коэф],"1,4",Таблица14[р/р],"4/16",Таблица14[Ф. И. О.],B693)</f>
        <v>0</v>
      </c>
      <c r="T697" s="392">
        <f>SUMIFS(Таблица14[Столбец2],Таблица14[коэф],"1,4",Таблица14[р/р],"4/16",Таблица14[Ф. И. О.],B693)</f>
        <v>0</v>
      </c>
      <c r="U697" s="478">
        <f>база!$M$5</f>
        <v>247.41720000000001</v>
      </c>
      <c r="V697" s="390">
        <v>1.4</v>
      </c>
      <c r="W697" s="412">
        <f>SUMIFS(Таблица14[часы],Таблица14[коэф],"1,4",Таблица14[р/р],"4/24",Таблица14[Ф. И. О.],B693)</f>
        <v>0</v>
      </c>
      <c r="X697" s="545">
        <f>SUMIFS(Таблица14[Столбец2],Таблица14[коэф],"1,4",Таблица14[р/р],"4/24",Таблица14[Ф. И. О.],B693)</f>
        <v>0</v>
      </c>
      <c r="Y697" s="801"/>
      <c r="Z697" s="797"/>
      <c r="AA697" s="786"/>
    </row>
    <row r="698" spans="1:29" ht="19.5" customHeight="1" thickBot="1">
      <c r="A698" s="787"/>
      <c r="B698" s="352"/>
      <c r="C698" s="790"/>
      <c r="D698" s="793"/>
      <c r="E698" s="445"/>
      <c r="F698" s="446"/>
      <c r="G698" s="653"/>
      <c r="H698" s="535"/>
      <c r="I698" s="654"/>
      <c r="J698" s="617"/>
      <c r="K698" s="655"/>
      <c r="L698" s="457"/>
      <c r="M698" s="654"/>
      <c r="N698" s="655"/>
      <c r="O698" s="655"/>
      <c r="P698" s="538"/>
      <c r="Q698" s="656">
        <f>база!$L$6</f>
        <v>261.04640000000001</v>
      </c>
      <c r="R698" s="446">
        <v>1.4</v>
      </c>
      <c r="S698" s="447">
        <f>SUMIFS(Таблица14[часы],Таблица14[коэф],"1,4",Таблица14[р/р],"5/16",Таблица14[Ф. И. О.],B693)</f>
        <v>0</v>
      </c>
      <c r="T698" s="535">
        <f>SUMIFS(Таблица14[Столбец2],Таблица14[коэф],"1,4",Таблица14[р/р],"5/16",Таблица14[Ф. И. О.],B693)</f>
        <v>0</v>
      </c>
      <c r="U698" s="536">
        <f>база!$M$6</f>
        <v>279.0496</v>
      </c>
      <c r="V698" s="464">
        <v>1.4</v>
      </c>
      <c r="W698" s="447">
        <f>SUMIFS(Таблица14[часы],Таблица14[коэф],"1,4",Таблица14[р/р],"5/24",Таблица14[Ф. И. О.],B693)</f>
        <v>0</v>
      </c>
      <c r="X698" s="535">
        <f>SUMIFS(Таблица14[Столбец2],Таблица14[коэф],"1,4",Таблица14[р/р],"5/24",Таблица14[Ф. И. О.],B693)</f>
        <v>0</v>
      </c>
      <c r="Y698" s="802"/>
      <c r="Z698" s="798"/>
      <c r="AA698" s="787"/>
    </row>
    <row r="699" spans="1:29" ht="18.75" customHeight="1">
      <c r="A699" s="786">
        <v>64</v>
      </c>
      <c r="B699" s="216"/>
      <c r="C699" s="788">
        <f>INDEX(база!$E$2:$E$150, MATCH(B704,база!$B$2:$B$150,0))</f>
        <v>15098</v>
      </c>
      <c r="D699" s="791">
        <f>INDEX(база!$D$2:$D$150, MATCH(B704,база!$B$2:$B$150,0))</f>
        <v>3</v>
      </c>
      <c r="E699" s="481">
        <f>IF(D699&lt;=3,база!$I$4,
IF(D699=4,база!$I$5,
IF(D699=5,база!$I$6)))</f>
        <v>188.7912</v>
      </c>
      <c r="F699" s="417">
        <v>1</v>
      </c>
      <c r="G699" s="418">
        <f>SUMIFS(Таблица14[часы],Таблица14[коэф],"1",Таблица14[р/р],"2/4",Таблица14[Ф. И. О.],B704)</f>
        <v>0</v>
      </c>
      <c r="H699" s="402">
        <f>SUMIFS(Таблица14[Столбец2],Таблица14[коэф],"1",Таблица14[р/р],"2/4",Таблица14[Ф. И. О.],B704)</f>
        <v>0</v>
      </c>
      <c r="I699" s="452">
        <f>IF(D699&lt;=3,база!$J$4,
IF(D699=4,база!$J$5,
IF(D699=5,база!$J$6)))</f>
        <v>196.05240000000001</v>
      </c>
      <c r="J699" s="475">
        <v>1</v>
      </c>
      <c r="K699" s="453">
        <f>SUMIFS(Таблица14[часы],Таблица14[коэф],"1",Таблица14[р/р],"2/8",Таблица14[Ф. И. О.],B704)</f>
        <v>0</v>
      </c>
      <c r="L699" s="453">
        <f>SUMIFS(Таблица14[Столбец2],Таблица14[коэф],"1",Таблица14[р/р],"2/8",Таблица14[Ф. И. О.],B704)</f>
        <v>0</v>
      </c>
      <c r="M699" s="453"/>
      <c r="N699" s="453">
        <v>1</v>
      </c>
      <c r="O699" s="453">
        <f>SUMIFS(Data_Tech!$AM$3:$AM$67,Data_Tech!$E$3:$E$67,"1",Data_Tech!$G$3:$G$67,"3/12",Data_Tech!$F$3:$F$67,B704)</f>
        <v>0</v>
      </c>
      <c r="P699" s="398">
        <f>ROUND(M699*N699*O699,2)</f>
        <v>0</v>
      </c>
      <c r="Q699" s="481">
        <f>IF(D699&lt;=3,база!$L$4,
IF(D699=4,база!$L$5,
IF(D699=5,база!$L$6)))</f>
        <v>210.57480000000001</v>
      </c>
      <c r="R699" s="417">
        <v>1</v>
      </c>
      <c r="S699" s="418">
        <f>SUMIFS(Таблица14[часы],Таблица14[коэф],"1",Таблица14[р/р],"3/16",Таблица14[Ф. И. О.],B704)</f>
        <v>0</v>
      </c>
      <c r="T699" s="402">
        <f>SUMIFS(Таблица14[Столбец2],Таблица14[коэф],"1",Таблица14[р/р],"3/16",Таблица14[Ф. И. О.],B704)</f>
        <v>0</v>
      </c>
      <c r="U699" s="483">
        <f>IF(D699&lt;=3,база!$M$4,
IF(D699=4,база!$M$5,
IF(D699=5,база!$M$6)))</f>
        <v>225.09719999999999</v>
      </c>
      <c r="V699" s="417">
        <v>1</v>
      </c>
      <c r="W699" s="455">
        <f>SUMIFS(Таблица14[часы],Таблица14[коэф],"1",Таблица14[р/р],"3/24",Таблица14[Ф. И. О.],B704)</f>
        <v>0</v>
      </c>
      <c r="X699" s="552">
        <f>SUMIFS(Таблица14[Столбец2],Таблица14[коэф],"1",Таблица14[р/р],"3/24",Таблица14[Ф. И. О.],B704)</f>
        <v>0</v>
      </c>
      <c r="Y699" s="801">
        <f t="shared" ref="Y699" si="264">SUM(G699:G709,K699:K709,O699:O709,S699:S709,W699:W709)</f>
        <v>0</v>
      </c>
      <c r="Z699" s="797">
        <f t="shared" ref="Z699" si="265">IFERROR(SUM(H699:H709,L699:L709,T699:T709,X699:X709),"")</f>
        <v>0</v>
      </c>
      <c r="AA699" s="786"/>
    </row>
    <row r="700" spans="1:29" ht="18.75" customHeight="1">
      <c r="A700" s="786"/>
      <c r="B700" s="216"/>
      <c r="C700" s="789"/>
      <c r="D700" s="792"/>
      <c r="E700" s="389">
        <f>IF(D699&lt;=3,база!$I$4,
IF(D699=4,база!$I$5,
IF(D699=5,база!$I$6)))</f>
        <v>188.7912</v>
      </c>
      <c r="F700" s="390">
        <v>1</v>
      </c>
      <c r="G700" s="400">
        <f>SUMIFS(Таблица14[часы],Таблица14[коэф],"1",Таблица14[р/р],"3/4",Таблица14[Ф. И. О.],B704)</f>
        <v>0</v>
      </c>
      <c r="H700" s="392">
        <f>SUMIFS(Таблица14[Столбец2],Таблица14[коэф],"1",Таблица14[р/р],"3/4",Таблица14[Ф. И. О.],B704)</f>
        <v>0</v>
      </c>
      <c r="I700" s="432">
        <f>IF(D699&lt;=3,база!$J$4,
IF(D699=4,база!$J$5,
IF(D699=5,база!$J$6)))</f>
        <v>196.05240000000001</v>
      </c>
      <c r="J700" s="433">
        <v>1</v>
      </c>
      <c r="K700" s="434">
        <f>SUMIFS(Таблица14[часы],Таблица14[коэф],"1",Таблица14[р/р],"3/8",Таблица14[Ф. И. О.],B704)</f>
        <v>0</v>
      </c>
      <c r="L700" s="434">
        <f>SUMIFS(Таблица14[Столбец2],Таблица14[коэф],"1",Таблица14[р/р],"3/8",Таблица14[Ф. И. О.],B704)</f>
        <v>0</v>
      </c>
      <c r="M700" s="434"/>
      <c r="N700" s="434">
        <v>1</v>
      </c>
      <c r="O700" s="434">
        <f>SUMIFS(Data_Tech!$AM$3:$AM$67,Data_Tech!$E$3:$E$67,"1",Data_Tech!$G$3:$G$67,"4/12",Data_Tech!$F$3:$F$67,B704)</f>
        <v>0</v>
      </c>
      <c r="P700" s="406">
        <f>ROUND(M700*O700,2)</f>
        <v>0</v>
      </c>
      <c r="Q700" s="389">
        <f>база!$L$5</f>
        <v>231.45480000000001</v>
      </c>
      <c r="R700" s="390">
        <v>1</v>
      </c>
      <c r="S700" s="400">
        <f>SUMIFS(Таблица14[часы],Таблица14[коэф],"1",Таблица14[р/р],"4/16",Таблица14[Ф. И. О.],B704)</f>
        <v>0</v>
      </c>
      <c r="T700" s="392">
        <f>SUMIFS(Таблица14[Столбец2],Таблица14[коэф],"1",Таблица14[р/р],"4/16",Таблица14[Ф. И. О.],B704)</f>
        <v>0</v>
      </c>
      <c r="U700" s="478">
        <f>база!$M$5</f>
        <v>247.41720000000001</v>
      </c>
      <c r="V700" s="390">
        <v>1</v>
      </c>
      <c r="W700" s="412">
        <f>SUMIFS(Таблица14[часы],Таблица14[коэф],"1",Таблица14[р/р],"4/24",Таблица14[Ф. И. О.],B704)</f>
        <v>0</v>
      </c>
      <c r="X700" s="545">
        <f>SUMIFS(Таблица14[Столбец2],Таблица14[коэф],"1",Таблица14[р/р],"4/24",Таблица14[Ф. И. О.],B704)</f>
        <v>0</v>
      </c>
      <c r="Y700" s="801"/>
      <c r="Z700" s="797"/>
      <c r="AA700" s="786"/>
    </row>
    <row r="701" spans="1:29" ht="18.75" customHeight="1">
      <c r="A701" s="786"/>
      <c r="B701" s="216"/>
      <c r="C701" s="789"/>
      <c r="D701" s="792"/>
      <c r="E701" s="389"/>
      <c r="F701" s="390"/>
      <c r="G701" s="400"/>
      <c r="H701" s="392"/>
      <c r="I701" s="432"/>
      <c r="J701" s="433"/>
      <c r="K701" s="434"/>
      <c r="L701" s="434"/>
      <c r="M701" s="434"/>
      <c r="N701" s="434"/>
      <c r="O701" s="434"/>
      <c r="P701" s="406"/>
      <c r="Q701" s="389">
        <f>база!$L$6</f>
        <v>261.04640000000001</v>
      </c>
      <c r="R701" s="390">
        <v>1</v>
      </c>
      <c r="S701" s="400">
        <f>SUMIFS(Таблица14[часы],Таблица14[коэф],"1",Таблица14[р/р],"5/16",Таблица14[Ф. И. О.],B704)</f>
        <v>0</v>
      </c>
      <c r="T701" s="392">
        <f>SUMIFS(Таблица14[Столбец2],Таблица14[коэф],"1",Таблица14[р/р],"5/16",Таблица14[Ф. И. О.],B704)</f>
        <v>0</v>
      </c>
      <c r="U701" s="478">
        <f>база!$M$6</f>
        <v>279.0496</v>
      </c>
      <c r="V701" s="390">
        <v>1</v>
      </c>
      <c r="W701" s="412">
        <f>SUMIFS(Таблица14[часы],Таблица14[коэф],"1",Таблица14[р/р],"5/24",Таблица14[Ф. И. О.],B704)</f>
        <v>0</v>
      </c>
      <c r="X701" s="545">
        <f>SUMIFS(Таблица14[Столбец2],Таблица14[коэф],"1",Таблица14[р/р],"5/24",Таблица14[Ф. И. О.],B704)</f>
        <v>0</v>
      </c>
      <c r="Y701" s="801"/>
      <c r="Z701" s="797"/>
      <c r="AA701" s="786"/>
    </row>
    <row r="702" spans="1:29" ht="18.75" customHeight="1">
      <c r="A702" s="786"/>
      <c r="B702" s="216"/>
      <c r="C702" s="789"/>
      <c r="D702" s="792"/>
      <c r="E702" s="389"/>
      <c r="F702" s="390"/>
      <c r="G702" s="400"/>
      <c r="H702" s="392"/>
      <c r="I702" s="432">
        <f>база!$J$5</f>
        <v>215.4924</v>
      </c>
      <c r="J702" s="433">
        <v>1.5</v>
      </c>
      <c r="K702" s="434">
        <f>SUMIFS(Таблица14[часы],Таблица14[коэф],"1,5",Таблица14[р/р],"4/8",Таблица14[Ф. И. О.],B704)</f>
        <v>0</v>
      </c>
      <c r="L702" s="434">
        <f>SUMIFS(Таблица14[Столбец2],Таблица14[коэф],"1,5",Таблица14[р/р],"4/8",Таблица14[Ф. И. О.],B704)</f>
        <v>0</v>
      </c>
      <c r="M702" s="434"/>
      <c r="N702" s="434"/>
      <c r="O702" s="434"/>
      <c r="P702" s="406"/>
      <c r="Q702" s="389">
        <f>IF(D699&lt;=3,база!$L$4,
IF(D699=4,база!$L$5,
IF(D699=5,база!$L$6)))</f>
        <v>210.57480000000001</v>
      </c>
      <c r="R702" s="390">
        <v>1.2</v>
      </c>
      <c r="S702" s="400">
        <f>SUMIFS(Таблица14[часы],Таблица14[коэф],"1,2",Таблица14[р/р],"3/16",Таблица14[Ф. И. О.],B704)</f>
        <v>0</v>
      </c>
      <c r="T702" s="392">
        <f>SUMIFS(Таблица14[Столбец2],Таблица14[коэф],"1,2",Таблица14[р/р],"3/16",Таблица14[Ф. И. О.],B704)</f>
        <v>0</v>
      </c>
      <c r="U702" s="478">
        <f>IF(D699&lt;=3,база!$M$4,
IF(D699=4,база!$M$5,
IF(D699=5,база!$M$6)))</f>
        <v>225.09719999999999</v>
      </c>
      <c r="V702" s="390">
        <v>1.2</v>
      </c>
      <c r="W702" s="412">
        <f>SUMIFS(Таблица14[часы],Таблица14[коэф],"1,2",Таблица14[р/р],"3/24",Таблица14[Ф. И. О.],B704)</f>
        <v>0</v>
      </c>
      <c r="X702" s="545">
        <f>SUMIFS(Таблица14[Столбец2],Таблица14[коэф],"1,2",Таблица14[р/р],"3/24",Таблица14[Ф. И. О.],B704)</f>
        <v>0</v>
      </c>
      <c r="Y702" s="801"/>
      <c r="Z702" s="797"/>
      <c r="AA702" s="786"/>
    </row>
    <row r="703" spans="1:29" ht="18.75" customHeight="1">
      <c r="A703" s="786"/>
      <c r="B703" s="216"/>
      <c r="C703" s="789"/>
      <c r="D703" s="792"/>
      <c r="E703" s="389"/>
      <c r="F703" s="390"/>
      <c r="G703" s="400"/>
      <c r="H703" s="392"/>
      <c r="I703" s="432">
        <f>база!$J$6</f>
        <v>243.04319999999998</v>
      </c>
      <c r="J703" s="433">
        <v>1.5</v>
      </c>
      <c r="K703" s="434">
        <f>SUMIFS(Таблица14[часы],Таблица14[коэф],"1,5",Таблица14[р/р],"5/8",Таблица14[Ф. И. О.],B704)</f>
        <v>0</v>
      </c>
      <c r="L703" s="434">
        <f>SUMIFS(Таблица14[Столбец2],Таблица14[коэф],"1,5",Таблица14[р/р],"5/8",Таблица14[Ф. И. О.],B704)</f>
        <v>0</v>
      </c>
      <c r="M703" s="434"/>
      <c r="N703" s="434"/>
      <c r="O703" s="434"/>
      <c r="P703" s="406"/>
      <c r="Q703" s="389">
        <f>база!$L$5</f>
        <v>231.45480000000001</v>
      </c>
      <c r="R703" s="390">
        <v>1.2</v>
      </c>
      <c r="S703" s="400">
        <f>SUMIFS(Таблица14[часы],Таблица14[коэф],"1,2",Таблица14[р/р],"4/16",Таблица14[Ф. И. О.],B704)</f>
        <v>0</v>
      </c>
      <c r="T703" s="392">
        <f>SUMIFS(Таблица14[Столбец2],Таблица14[коэф],"1,2",Таблица14[р/р],"4/16",Таблица14[Ф. И. О.],B704)</f>
        <v>0</v>
      </c>
      <c r="U703" s="478">
        <f>база!$M$5</f>
        <v>247.41720000000001</v>
      </c>
      <c r="V703" s="390">
        <v>1.2</v>
      </c>
      <c r="W703" s="412">
        <f>SUMIFS(Таблица14[часы],Таблица14[коэф],"1,2",Таблица14[р/р],"4/24",Таблица14[Ф. И. О.],B704)</f>
        <v>0</v>
      </c>
      <c r="X703" s="545">
        <f>SUMIFS(Таблица14[Столбец2],Таблица14[коэф],"1,2",Таблица14[р/р],"4/24",Таблица14[Ф. И. О.],B704)</f>
        <v>0</v>
      </c>
      <c r="Y703" s="801"/>
      <c r="Z703" s="797"/>
      <c r="AA703" s="786"/>
      <c r="AC703" s="754" t="str">
        <f>IF(SUMIFS(Таблица14[Столбец2],Таблица14[Ф. И. О.],B704)-Z699=0,"",SUMIFS(Таблица14[Столбец2],Таблица14[Ф. И. О.],B704)-Z699)</f>
        <v/>
      </c>
    </row>
    <row r="704" spans="1:29" ht="18.75" customHeight="1">
      <c r="A704" s="786"/>
      <c r="B704" s="216" t="str">
        <f>база!B65</f>
        <v>Потемкина Елена Анатольевна</v>
      </c>
      <c r="C704" s="789"/>
      <c r="D704" s="792"/>
      <c r="E704" s="389"/>
      <c r="F704" s="390"/>
      <c r="G704" s="400"/>
      <c r="H704" s="392"/>
      <c r="I704" s="432"/>
      <c r="J704" s="433"/>
      <c r="K704" s="434"/>
      <c r="L704" s="434"/>
      <c r="M704" s="434"/>
      <c r="N704" s="434"/>
      <c r="O704" s="434"/>
      <c r="P704" s="406"/>
      <c r="Q704" s="389">
        <f>база!$L$6</f>
        <v>261.04640000000001</v>
      </c>
      <c r="R704" s="390">
        <v>1.2</v>
      </c>
      <c r="S704" s="400">
        <f>SUMIFS(Таблица14[часы],Таблица14[коэф],"1,2",Таблица14[р/р],"5/16",Таблица14[Ф. И. О.],B704)</f>
        <v>0</v>
      </c>
      <c r="T704" s="392">
        <f>SUMIFS(Таблица14[Столбец2],Таблица14[коэф],"1,2",Таблица14[р/р],"5/16",Таблица14[Ф. И. О.],B704)</f>
        <v>0</v>
      </c>
      <c r="U704" s="478">
        <f>база!$M$6</f>
        <v>279.0496</v>
      </c>
      <c r="V704" s="390">
        <v>1.2</v>
      </c>
      <c r="W704" s="412">
        <f>SUMIFS(Таблица14[часы],Таблица14[коэф],"1,2",Таблица14[р/р],"5/24",Таблица14[Ф. И. О.],B704)</f>
        <v>0</v>
      </c>
      <c r="X704" s="545">
        <f>SUMIFS(Таблица14[Столбец2],Таблица14[коэф],"1,2",Таблица14[р/р],"5/24",Таблица14[Ф. И. О.],B704)</f>
        <v>0</v>
      </c>
      <c r="Y704" s="801"/>
      <c r="Z704" s="797"/>
      <c r="AA704" s="786"/>
      <c r="AC704" s="754" t="str">
        <f>IF(SUMIFS(Таблица14[часы],Таблица14[Ф. И. О.],B704)-Y699=0,"",SUMIFS(Таблица14[часы],Таблица14[Ф. И. О.],B704)-Y699)</f>
        <v/>
      </c>
    </row>
    <row r="705" spans="1:29" ht="18.75" customHeight="1">
      <c r="A705" s="786"/>
      <c r="B705" s="216"/>
      <c r="C705" s="789"/>
      <c r="D705" s="792"/>
      <c r="E705" s="389"/>
      <c r="F705" s="390"/>
      <c r="G705" s="400"/>
      <c r="H705" s="392"/>
      <c r="I705" s="432"/>
      <c r="J705" s="433"/>
      <c r="K705" s="434"/>
      <c r="L705" s="434"/>
      <c r="M705" s="434"/>
      <c r="N705" s="434"/>
      <c r="O705" s="434"/>
      <c r="P705" s="406"/>
      <c r="Q705" s="389">
        <f>IF($D$6&lt;=3,база!$L$4,
IF($D$6=4,база!$L$5,
IF($D$6=5,база!$L$6)))</f>
        <v>231.45480000000001</v>
      </c>
      <c r="R705" s="390">
        <v>1.3</v>
      </c>
      <c r="S705" s="400">
        <f>SUMIFS(Таблица14[часы],Таблица14[коэф],"1,3",Таблица14[р/р],"3/16",Таблица14[Ф. И. О.],B704)</f>
        <v>0</v>
      </c>
      <c r="T705" s="392">
        <f>SUMIFS(Таблица14[Столбец2],Таблица14[коэф],"1,3",Таблица14[р/р],"3/16",Таблица14[Ф. И. О.],B704)</f>
        <v>0</v>
      </c>
      <c r="U705" s="478">
        <f>IF(D699&lt;=3,база!$M$4,
IF(D699=4,база!$M$5,
IF(D699=5,база!$M$6)))</f>
        <v>225.09719999999999</v>
      </c>
      <c r="V705" s="390">
        <v>1.3</v>
      </c>
      <c r="W705" s="412">
        <f>SUMIFS(Таблица14[часы],Таблица14[коэф],"1,3",Таблица14[р/р],"3/24",Таблица14[Ф. И. О.],B704)</f>
        <v>0</v>
      </c>
      <c r="X705" s="545">
        <f>SUMIFS(Таблица14[Столбец2],Таблица14[коэф],"1,3",Таблица14[р/р],"3/24",Таблица14[Ф. И. О.],B704)</f>
        <v>0</v>
      </c>
      <c r="Y705" s="801"/>
      <c r="Z705" s="797"/>
      <c r="AA705" s="786"/>
    </row>
    <row r="706" spans="1:29" ht="18.75" customHeight="1">
      <c r="A706" s="786"/>
      <c r="B706" s="216"/>
      <c r="C706" s="789"/>
      <c r="D706" s="792"/>
      <c r="E706" s="389"/>
      <c r="F706" s="390"/>
      <c r="G706" s="400"/>
      <c r="H706" s="392"/>
      <c r="I706" s="432"/>
      <c r="J706" s="433"/>
      <c r="K706" s="434"/>
      <c r="L706" s="434"/>
      <c r="M706" s="434"/>
      <c r="N706" s="434"/>
      <c r="O706" s="434"/>
      <c r="P706" s="406"/>
      <c r="Q706" s="389">
        <f>база!$L$5</f>
        <v>231.45480000000001</v>
      </c>
      <c r="R706" s="390">
        <v>1.3</v>
      </c>
      <c r="S706" s="400">
        <f>SUMIFS(Таблица14[часы],Таблица14[коэф],"1,3",Таблица14[р/р],"4/16",Таблица14[Ф. И. О.],B704)</f>
        <v>0</v>
      </c>
      <c r="T706" s="392">
        <f>SUMIFS(Таблица14[Столбец2],Таблица14[коэф],"1,3",Таблица14[р/р],"4/16",Таблица14[Ф. И. О.],B704)</f>
        <v>0</v>
      </c>
      <c r="U706" s="478">
        <f>база!$M$5</f>
        <v>247.41720000000001</v>
      </c>
      <c r="V706" s="390">
        <v>1.3</v>
      </c>
      <c r="W706" s="412">
        <f>SUMIFS(Таблица14[часы],Таблица14[коэф],"1,3",Таблица14[р/р],"4/24",Таблица14[Ф. И. О.],B704)</f>
        <v>0</v>
      </c>
      <c r="X706" s="545">
        <f>SUMIFS(Таблица14[Столбец2],Таблица14[коэф],"1,3",Таблица14[р/р],"4/24",Таблица14[Ф. И. О.],B704)</f>
        <v>0</v>
      </c>
      <c r="Y706" s="801"/>
      <c r="Z706" s="797"/>
      <c r="AA706" s="786"/>
    </row>
    <row r="707" spans="1:29" ht="18.75" customHeight="1">
      <c r="A707" s="786"/>
      <c r="B707" s="216"/>
      <c r="C707" s="789"/>
      <c r="D707" s="792"/>
      <c r="E707" s="389"/>
      <c r="F707" s="390"/>
      <c r="G707" s="400"/>
      <c r="H707" s="392"/>
      <c r="I707" s="432"/>
      <c r="J707" s="433"/>
      <c r="K707" s="434"/>
      <c r="L707" s="434"/>
      <c r="M707" s="434"/>
      <c r="N707" s="434"/>
      <c r="O707" s="434"/>
      <c r="P707" s="406"/>
      <c r="Q707" s="389">
        <f>IF(D699&lt;=3,база!$L$4,
IF(D699=4,база!$L$5,
IF(D699=5,база!$L$6)))</f>
        <v>210.57480000000001</v>
      </c>
      <c r="R707" s="390">
        <v>1.4</v>
      </c>
      <c r="S707" s="400">
        <f>SUMIFS(Таблица14[часы],Таблица14[коэф],"1,4",Таблица14[р/р],"3/16",Таблица14[Ф. И. О.],B704)</f>
        <v>0</v>
      </c>
      <c r="T707" s="392">
        <f>SUMIFS(Таблица14[Столбец2],Таблица14[коэф],"1,4",Таблица14[р/р],"3/16",Таблица14[Ф. И. О.],B704)</f>
        <v>0</v>
      </c>
      <c r="U707" s="478">
        <f>IF(D699&lt;=3,база!$M$4,
IF(D699=4,база!$M$5,
IF(D699=5,база!$M$6)))</f>
        <v>225.09719999999999</v>
      </c>
      <c r="V707" s="390">
        <v>1.4</v>
      </c>
      <c r="W707" s="412">
        <f>SUMIFS(Таблица14[часы],Таблица14[коэф],"1,4",Таблица14[р/р],"3/24",Таблица14[Ф. И. О.],B704)</f>
        <v>0</v>
      </c>
      <c r="X707" s="545">
        <f>SUMIFS(Таблица14[Столбец2],Таблица14[коэф],"1,4",Таблица14[р/р],"3/24",Таблица14[Ф. И. О.],B704)</f>
        <v>0</v>
      </c>
      <c r="Y707" s="801"/>
      <c r="Z707" s="797"/>
      <c r="AA707" s="786"/>
    </row>
    <row r="708" spans="1:29" ht="18.75" customHeight="1">
      <c r="A708" s="786"/>
      <c r="B708" s="216"/>
      <c r="C708" s="789"/>
      <c r="D708" s="792"/>
      <c r="E708" s="389"/>
      <c r="F708" s="390"/>
      <c r="G708" s="400"/>
      <c r="H708" s="392"/>
      <c r="I708" s="432"/>
      <c r="J708" s="433"/>
      <c r="K708" s="434"/>
      <c r="L708" s="434"/>
      <c r="M708" s="434"/>
      <c r="N708" s="434"/>
      <c r="O708" s="434"/>
      <c r="P708" s="406"/>
      <c r="Q708" s="389">
        <f>база!$L$5</f>
        <v>231.45480000000001</v>
      </c>
      <c r="R708" s="390">
        <v>1.4</v>
      </c>
      <c r="S708" s="400">
        <f>SUMIFS(Таблица14[часы],Таблица14[коэф],"1,4",Таблица14[р/р],"4/16",Таблица14[Ф. И. О.],B704)</f>
        <v>0</v>
      </c>
      <c r="T708" s="392">
        <f>SUMIFS(Таблица14[Столбец2],Таблица14[коэф],"1,4",Таблица14[р/р],"4/16",Таблица14[Ф. И. О.],B704)</f>
        <v>0</v>
      </c>
      <c r="U708" s="478">
        <f>база!$M$5</f>
        <v>247.41720000000001</v>
      </c>
      <c r="V708" s="390">
        <v>1.4</v>
      </c>
      <c r="W708" s="412">
        <f>SUMIFS(Таблица14[часы],Таблица14[коэф],"1,4",Таблица14[р/р],"4/24",Таблица14[Ф. И. О.],B704)</f>
        <v>0</v>
      </c>
      <c r="X708" s="545">
        <f>SUMIFS(Таблица14[Столбец2],Таблица14[коэф],"1,4",Таблица14[р/р],"4/24",Таблица14[Ф. И. О.],B704)</f>
        <v>0</v>
      </c>
      <c r="Y708" s="801"/>
      <c r="Z708" s="797"/>
      <c r="AA708" s="786"/>
    </row>
    <row r="709" spans="1:29" ht="19.5" customHeight="1" thickBot="1">
      <c r="A709" s="787"/>
      <c r="B709" s="352"/>
      <c r="C709" s="790"/>
      <c r="D709" s="793"/>
      <c r="E709" s="437"/>
      <c r="F709" s="438"/>
      <c r="G709" s="697"/>
      <c r="H709" s="440"/>
      <c r="I709" s="413"/>
      <c r="J709" s="604"/>
      <c r="K709" s="414"/>
      <c r="L709" s="460"/>
      <c r="M709" s="413"/>
      <c r="N709" s="414"/>
      <c r="O709" s="414"/>
      <c r="P709" s="415"/>
      <c r="Q709" s="692">
        <f>база!$L$6</f>
        <v>261.04640000000001</v>
      </c>
      <c r="R709" s="438">
        <v>1.4</v>
      </c>
      <c r="S709" s="439">
        <f>SUMIFS(Таблица14[часы],Таблица14[коэф],"1,4",Таблица14[р/р],"5/16",Таблица14[Ф. И. О.],B704)</f>
        <v>0</v>
      </c>
      <c r="T709" s="440">
        <f>SUMIFS(Таблица14[Столбец2],Таблица14[коэф],"1,4",Таблица14[р/р],"5/16",Таблица14[Ф. И. О.],B704)</f>
        <v>0</v>
      </c>
      <c r="U709" s="515">
        <f>база!$M$6</f>
        <v>279.0496</v>
      </c>
      <c r="V709" s="403">
        <v>1.4</v>
      </c>
      <c r="W709" s="439">
        <f>SUMIFS(Таблица14[часы],Таблица14[коэф],"1,4",Таблица14[р/р],"5/24",Таблица14[Ф. И. О.],B704)</f>
        <v>0</v>
      </c>
      <c r="X709" s="440">
        <f>SUMIFS(Таблица14[Столбец2],Таблица14[коэф],"1,4",Таблица14[р/р],"5/24",Таблица14[Ф. И. О.],B704)</f>
        <v>0</v>
      </c>
      <c r="Y709" s="802"/>
      <c r="Z709" s="798"/>
      <c r="AA709" s="787"/>
    </row>
    <row r="710" spans="1:29" ht="18.75" customHeight="1">
      <c r="A710" s="786">
        <v>65</v>
      </c>
      <c r="B710" s="216"/>
      <c r="C710" s="788">
        <f>INDEX(база!$E$2:$E$150, MATCH(B715,база!$B$2:$B$150,0))</f>
        <v>15237</v>
      </c>
      <c r="D710" s="791">
        <f>INDEX(база!$D$2:$D$150, MATCH(B715,база!$B$2:$B$150,0))</f>
        <v>3</v>
      </c>
      <c r="E710" s="377">
        <f>IF(D710&lt;=3,база!$I$4,
IF(D710=4,база!$I$5,
IF(D710=5,база!$I$6)))</f>
        <v>188.7912</v>
      </c>
      <c r="F710" s="378">
        <v>1</v>
      </c>
      <c r="G710" s="387">
        <f>SUMIFS(Таблица14[часы],Таблица14[коэф],"1",Таблица14[р/р],"2/4",Таблица14[Ф. И. О.],B715)</f>
        <v>0</v>
      </c>
      <c r="H710" s="380">
        <f>SUMIFS(Таблица14[Столбец2],Таблица14[коэф],"1",Таблица14[р/р],"2/4",Таблица14[Ф. И. О.],B715)</f>
        <v>0</v>
      </c>
      <c r="I710" s="426">
        <f>IF(D710&lt;=3,база!$J$4,
IF(D710=4,база!$J$5,
IF(D710=5,база!$J$6)))</f>
        <v>196.05240000000001</v>
      </c>
      <c r="J710" s="427">
        <v>1</v>
      </c>
      <c r="K710" s="428">
        <f>SUMIFS(Таблица14[часы],Таблица14[коэф],"1",Таблица14[р/р],"2/8",Таблица14[Ф. И. О.],B715)</f>
        <v>0</v>
      </c>
      <c r="L710" s="428">
        <f>SUMIFS(Таблица14[Столбец2],Таблица14[коэф],"1",Таблица14[р/р],"2/8",Таблица14[Ф. И. О.],B715)</f>
        <v>0</v>
      </c>
      <c r="M710" s="428"/>
      <c r="N710" s="428">
        <v>1</v>
      </c>
      <c r="O710" s="428">
        <f>SUMIFS(Data_Tech!$AM$3:$AM$67,Data_Tech!$E$3:$E$67,"1",Data_Tech!$G$3:$G$67,"3/12",Data_Tech!$F$3:$F$67,B715)</f>
        <v>0</v>
      </c>
      <c r="P710" s="385">
        <f>ROUND(M710*N710*O710,2)</f>
        <v>0</v>
      </c>
      <c r="Q710" s="377">
        <f>IF(D710&lt;=3,база!$L$4,
IF(D710=4,база!$L$5,
IF(D710=5,база!$L$6)))</f>
        <v>210.57480000000001</v>
      </c>
      <c r="R710" s="378">
        <v>1</v>
      </c>
      <c r="S710" s="387">
        <f>SUMIFS(Таблица14[часы],Таблица14[коэф],"1",Таблица14[р/р],"3/16",Таблица14[Ф. И. О.],B715)</f>
        <v>0</v>
      </c>
      <c r="T710" s="380">
        <f>SUMIFS(Таблица14[Столбец2],Таблица14[коэф],"1",Таблица14[р/р],"3/16",Таблица14[Ф. И. О.],B715)</f>
        <v>0</v>
      </c>
      <c r="U710" s="477">
        <f>IF(D710&lt;=3,база!$M$4,
IF(D710=4,база!$M$5,
IF(D710=5,база!$M$6)))</f>
        <v>225.09719999999999</v>
      </c>
      <c r="V710" s="378">
        <v>1</v>
      </c>
      <c r="W710" s="430">
        <f>SUMIFS(Таблица14[часы],Таблица14[коэф],"1",Таблица14[р/р],"3/24",Таблица14[Ф. И. О.],B715)</f>
        <v>0</v>
      </c>
      <c r="X710" s="543">
        <f>SUMIFS(Таблица14[Столбец2],Таблица14[коэф],"1",Таблица14[р/р],"3/24",Таблица14[Ф. И. О.],B715)</f>
        <v>0</v>
      </c>
      <c r="Y710" s="801">
        <f t="shared" ref="Y710" si="266">SUM(G710:G720,K710:K720,O710:O720,S710:S720,W710:W720)</f>
        <v>0</v>
      </c>
      <c r="Z710" s="797">
        <f t="shared" ref="Z710" si="267">IFERROR(SUM(H710:H720,L710:L720,T710:T720,X710:X720),"")</f>
        <v>0</v>
      </c>
      <c r="AA710" s="786"/>
    </row>
    <row r="711" spans="1:29" ht="18.75" customHeight="1">
      <c r="A711" s="786"/>
      <c r="B711" s="216"/>
      <c r="C711" s="789"/>
      <c r="D711" s="792"/>
      <c r="E711" s="389">
        <f>IF(D710&lt;=3,база!$I$4,
IF(D710=4,база!$I$5,
IF(D710=5,база!$I$6)))</f>
        <v>188.7912</v>
      </c>
      <c r="F711" s="390">
        <v>1</v>
      </c>
      <c r="G711" s="400">
        <f>SUMIFS(Таблица14[часы],Таблица14[коэф],"1",Таблица14[р/р],"3/4",Таблица14[Ф. И. О.],B715)</f>
        <v>0</v>
      </c>
      <c r="H711" s="392">
        <f>SUMIFS(Таблица14[Столбец2],Таблица14[коэф],"1",Таблица14[р/р],"3/4",Таблица14[Ф. И. О.],B715)</f>
        <v>0</v>
      </c>
      <c r="I711" s="432">
        <f>IF(D710&lt;=3,база!$J$4,
IF(D710=4,база!$J$5,
IF(D710=5,база!$J$6)))</f>
        <v>196.05240000000001</v>
      </c>
      <c r="J711" s="433">
        <v>1</v>
      </c>
      <c r="K711" s="434">
        <f>SUMIFS(Таблица14[часы],Таблица14[коэф],"1",Таблица14[р/р],"3/8",Таблица14[Ф. И. О.],B715)</f>
        <v>0</v>
      </c>
      <c r="L711" s="434">
        <f>SUMIFS(Таблица14[Столбец2],Таблица14[коэф],"1",Таблица14[р/р],"3/8",Таблица14[Ф. И. О.],B715)</f>
        <v>0</v>
      </c>
      <c r="M711" s="434"/>
      <c r="N711" s="434">
        <v>1</v>
      </c>
      <c r="O711" s="434">
        <f>SUMIFS(Data_Tech!$AM$3:$AM$67,Data_Tech!$E$3:$E$67,"1",Data_Tech!$G$3:$G$67,"4/12",Data_Tech!$F$3:$F$67,B715)</f>
        <v>0</v>
      </c>
      <c r="P711" s="406">
        <f>ROUND(M711*O711,2)</f>
        <v>0</v>
      </c>
      <c r="Q711" s="389">
        <f>база!$L$5</f>
        <v>231.45480000000001</v>
      </c>
      <c r="R711" s="390">
        <v>1</v>
      </c>
      <c r="S711" s="400">
        <f>SUMIFS(Таблица14[часы],Таблица14[коэф],"1",Таблица14[р/р],"4/16",Таблица14[Ф. И. О.],B715)</f>
        <v>0</v>
      </c>
      <c r="T711" s="392">
        <f>SUMIFS(Таблица14[Столбец2],Таблица14[коэф],"1",Таблица14[р/р],"4/16",Таблица14[Ф. И. О.],B715)</f>
        <v>0</v>
      </c>
      <c r="U711" s="478">
        <f>база!$M$5</f>
        <v>247.41720000000001</v>
      </c>
      <c r="V711" s="390">
        <v>1</v>
      </c>
      <c r="W711" s="412">
        <f>SUMIFS(Таблица14[часы],Таблица14[коэф],"1",Таблица14[р/р],"4/24",Таблица14[Ф. И. О.],B715)</f>
        <v>0</v>
      </c>
      <c r="X711" s="545">
        <f>SUMIFS(Таблица14[Столбец2],Таблица14[коэф],"1",Таблица14[р/р],"4/24",Таблица14[Ф. И. О.],B715)</f>
        <v>0</v>
      </c>
      <c r="Y711" s="801"/>
      <c r="Z711" s="797"/>
      <c r="AA711" s="786"/>
    </row>
    <row r="712" spans="1:29" ht="18.75" customHeight="1">
      <c r="A712" s="786"/>
      <c r="B712" s="216"/>
      <c r="C712" s="789"/>
      <c r="D712" s="792"/>
      <c r="E712" s="389"/>
      <c r="F712" s="390"/>
      <c r="G712" s="400"/>
      <c r="H712" s="392"/>
      <c r="I712" s="432"/>
      <c r="J712" s="433"/>
      <c r="K712" s="434"/>
      <c r="L712" s="434"/>
      <c r="M712" s="434"/>
      <c r="N712" s="434"/>
      <c r="O712" s="434"/>
      <c r="P712" s="406"/>
      <c r="Q712" s="389">
        <f>база!$L$6</f>
        <v>261.04640000000001</v>
      </c>
      <c r="R712" s="390">
        <v>1</v>
      </c>
      <c r="S712" s="400">
        <f>SUMIFS(Таблица14[часы],Таблица14[коэф],"1",Таблица14[р/р],"5/16",Таблица14[Ф. И. О.],B715)</f>
        <v>0</v>
      </c>
      <c r="T712" s="392">
        <f>SUMIFS(Таблица14[Столбец2],Таблица14[коэф],"1",Таблица14[р/р],"5/16",Таблица14[Ф. И. О.],B715)</f>
        <v>0</v>
      </c>
      <c r="U712" s="478">
        <f>база!$M$6</f>
        <v>279.0496</v>
      </c>
      <c r="V712" s="390">
        <v>1</v>
      </c>
      <c r="W712" s="412">
        <f>SUMIFS(Таблица14[часы],Таблица14[коэф],"1",Таблица14[р/р],"5/24",Таблица14[Ф. И. О.],B715)</f>
        <v>0</v>
      </c>
      <c r="X712" s="545">
        <f>SUMIFS(Таблица14[Столбец2],Таблица14[коэф],"1",Таблица14[р/р],"5/24",Таблица14[Ф. И. О.],B715)</f>
        <v>0</v>
      </c>
      <c r="Y712" s="801"/>
      <c r="Z712" s="797"/>
      <c r="AA712" s="786"/>
    </row>
    <row r="713" spans="1:29" ht="18.75" customHeight="1">
      <c r="A713" s="786"/>
      <c r="B713" s="216"/>
      <c r="C713" s="789"/>
      <c r="D713" s="792"/>
      <c r="E713" s="389"/>
      <c r="F713" s="390"/>
      <c r="G713" s="400"/>
      <c r="H713" s="392"/>
      <c r="I713" s="432">
        <f>база!$J$5</f>
        <v>215.4924</v>
      </c>
      <c r="J713" s="433">
        <v>1.5</v>
      </c>
      <c r="K713" s="434">
        <f>SUMIFS(Таблица14[часы],Таблица14[коэф],"1,5",Таблица14[р/р],"4/8",Таблица14[Ф. И. О.],B715)</f>
        <v>0</v>
      </c>
      <c r="L713" s="434">
        <f>SUMIFS(Таблица14[Столбец2],Таблица14[коэф],"1,5",Таблица14[р/р],"4/8",Таблица14[Ф. И. О.],B715)</f>
        <v>0</v>
      </c>
      <c r="M713" s="434"/>
      <c r="N713" s="434"/>
      <c r="O713" s="434"/>
      <c r="P713" s="406"/>
      <c r="Q713" s="389">
        <f>IF(D710&lt;=3,база!$L$4,
IF(D710=4,база!$L$5,
IF(D710=5,база!$L$6)))</f>
        <v>210.57480000000001</v>
      </c>
      <c r="R713" s="390">
        <v>1.2</v>
      </c>
      <c r="S713" s="400">
        <f>SUMIFS(Таблица14[часы],Таблица14[коэф],"1,2",Таблица14[р/р],"3/16",Таблица14[Ф. И. О.],B715)</f>
        <v>0</v>
      </c>
      <c r="T713" s="392">
        <f>SUMIFS(Таблица14[Столбец2],Таблица14[коэф],"1,2",Таблица14[р/р],"3/16",Таблица14[Ф. И. О.],B715)</f>
        <v>0</v>
      </c>
      <c r="U713" s="478">
        <f>IF(D710&lt;=3,база!$M$4,
IF(D710=4,база!$M$5,
IF(D710=5,база!$M$6)))</f>
        <v>225.09719999999999</v>
      </c>
      <c r="V713" s="390">
        <v>1.2</v>
      </c>
      <c r="W713" s="412">
        <f>SUMIFS(Таблица14[часы],Таблица14[коэф],"1,2",Таблица14[р/р],"3/24",Таблица14[Ф. И. О.],B715)</f>
        <v>0</v>
      </c>
      <c r="X713" s="545">
        <f>SUMIFS(Таблица14[Столбец2],Таблица14[коэф],"1,2",Таблица14[р/р],"3/24",Таблица14[Ф. И. О.],B715)</f>
        <v>0</v>
      </c>
      <c r="Y713" s="801"/>
      <c r="Z713" s="797"/>
      <c r="AA713" s="786"/>
    </row>
    <row r="714" spans="1:29" ht="18.75" customHeight="1">
      <c r="A714" s="786"/>
      <c r="B714" s="216"/>
      <c r="C714" s="789"/>
      <c r="D714" s="792"/>
      <c r="E714" s="389"/>
      <c r="F714" s="390"/>
      <c r="G714" s="400"/>
      <c r="H714" s="392"/>
      <c r="I714" s="432">
        <f>база!$J$6</f>
        <v>243.04319999999998</v>
      </c>
      <c r="J714" s="433">
        <v>1.5</v>
      </c>
      <c r="K714" s="434">
        <f>SUMIFS(Таблица14[часы],Таблица14[коэф],"1,5",Таблица14[р/р],"5/8",Таблица14[Ф. И. О.],B715)</f>
        <v>0</v>
      </c>
      <c r="L714" s="434">
        <f>SUMIFS(Таблица14[Столбец2],Таблица14[коэф],"1,5",Таблица14[р/р],"5/8",Таблица14[Ф. И. О.],B715)</f>
        <v>0</v>
      </c>
      <c r="M714" s="434"/>
      <c r="N714" s="434"/>
      <c r="O714" s="434"/>
      <c r="P714" s="406"/>
      <c r="Q714" s="389">
        <f>база!$L$5</f>
        <v>231.45480000000001</v>
      </c>
      <c r="R714" s="390">
        <v>1.2</v>
      </c>
      <c r="S714" s="400">
        <f>SUMIFS(Таблица14[часы],Таблица14[коэф],"1,2",Таблица14[р/р],"4/16",Таблица14[Ф. И. О.],B715)</f>
        <v>0</v>
      </c>
      <c r="T714" s="392">
        <f>SUMIFS(Таблица14[Столбец2],Таблица14[коэф],"1,2",Таблица14[р/р],"4/16",Таблица14[Ф. И. О.],B715)</f>
        <v>0</v>
      </c>
      <c r="U714" s="478">
        <f>база!$M$5</f>
        <v>247.41720000000001</v>
      </c>
      <c r="V714" s="390">
        <v>1.2</v>
      </c>
      <c r="W714" s="412">
        <f>SUMIFS(Таблица14[часы],Таблица14[коэф],"1,2",Таблица14[р/р],"4/24",Таблица14[Ф. И. О.],B715)</f>
        <v>0</v>
      </c>
      <c r="X714" s="545">
        <f>SUMIFS(Таблица14[Столбец2],Таблица14[коэф],"1,2",Таблица14[р/р],"4/24",Таблица14[Ф. И. О.],B715)</f>
        <v>0</v>
      </c>
      <c r="Y714" s="801"/>
      <c r="Z714" s="797"/>
      <c r="AA714" s="786"/>
    </row>
    <row r="715" spans="1:29" ht="18.75" customHeight="1">
      <c r="A715" s="786"/>
      <c r="B715" s="216" t="str">
        <f>база!B66</f>
        <v>Пригоженкова Ольга Сергеевна</v>
      </c>
      <c r="C715" s="789"/>
      <c r="D715" s="792"/>
      <c r="E715" s="389"/>
      <c r="F715" s="390"/>
      <c r="G715" s="400"/>
      <c r="H715" s="392"/>
      <c r="I715" s="432"/>
      <c r="J715" s="433"/>
      <c r="K715" s="434"/>
      <c r="L715" s="434"/>
      <c r="M715" s="434"/>
      <c r="N715" s="434"/>
      <c r="O715" s="434"/>
      <c r="P715" s="406"/>
      <c r="Q715" s="389">
        <f>база!$L$6</f>
        <v>261.04640000000001</v>
      </c>
      <c r="R715" s="390">
        <v>1.2</v>
      </c>
      <c r="S715" s="400">
        <f>SUMIFS(Таблица14[часы],Таблица14[коэф],"1,2",Таблица14[р/р],"5/16",Таблица14[Ф. И. О.],B715)</f>
        <v>0</v>
      </c>
      <c r="T715" s="392">
        <f>SUMIFS(Таблица14[Столбец2],Таблица14[коэф],"1,2",Таблица14[р/р],"5/16",Таблица14[Ф. И. О.],B715)</f>
        <v>0</v>
      </c>
      <c r="U715" s="478">
        <f>база!$M$6</f>
        <v>279.0496</v>
      </c>
      <c r="V715" s="390">
        <v>1.2</v>
      </c>
      <c r="W715" s="412">
        <f>SUMIFS(Таблица14[часы],Таблица14[коэф],"1,2",Таблица14[р/р],"5/24",Таблица14[Ф. И. О.],B715)</f>
        <v>0</v>
      </c>
      <c r="X715" s="545">
        <f>SUMIFS(Таблица14[Столбец2],Таблица14[коэф],"1,2",Таблица14[р/р],"5/24",Таблица14[Ф. И. О.],B715)</f>
        <v>0</v>
      </c>
      <c r="Y715" s="801"/>
      <c r="Z715" s="797"/>
      <c r="AA715" s="786"/>
      <c r="AC715" s="754" t="str">
        <f>IF(SUMIFS(Таблица14[Столбец2],Таблица14[Ф. И. О.],B715)-Z710=0,"",SUMIFS(Таблица14[Столбец2],Таблица14[Ф. И. О.],B715)-Z710)</f>
        <v/>
      </c>
    </row>
    <row r="716" spans="1:29" ht="18.75" customHeight="1">
      <c r="A716" s="786"/>
      <c r="B716" s="216"/>
      <c r="C716" s="789"/>
      <c r="D716" s="792"/>
      <c r="E716" s="389"/>
      <c r="F716" s="390"/>
      <c r="G716" s="400"/>
      <c r="H716" s="392"/>
      <c r="I716" s="432"/>
      <c r="J716" s="433"/>
      <c r="K716" s="434"/>
      <c r="L716" s="434"/>
      <c r="M716" s="434"/>
      <c r="N716" s="434"/>
      <c r="O716" s="434"/>
      <c r="P716" s="406"/>
      <c r="Q716" s="389">
        <f>IF($D$6&lt;=3,база!$L$4,
IF($D$6=4,база!$L$5,
IF($D$6=5,база!$L$6)))</f>
        <v>231.45480000000001</v>
      </c>
      <c r="R716" s="390">
        <v>1.3</v>
      </c>
      <c r="S716" s="400">
        <f>SUMIFS(Таблица14[часы],Таблица14[коэф],"1,3",Таблица14[р/р],"3/16",Таблица14[Ф. И. О.],B715)</f>
        <v>0</v>
      </c>
      <c r="T716" s="392">
        <f>SUMIFS(Таблица14[Столбец2],Таблица14[коэф],"1,3",Таблица14[р/р],"3/16",Таблица14[Ф. И. О.],B715)</f>
        <v>0</v>
      </c>
      <c r="U716" s="478">
        <f>IF(D710&lt;=3,база!$M$4,
IF(D710=4,база!$M$5,
IF(D710=5,база!$M$6)))</f>
        <v>225.09719999999999</v>
      </c>
      <c r="V716" s="390">
        <v>1.3</v>
      </c>
      <c r="W716" s="412">
        <f>SUMIFS(Таблица14[часы],Таблица14[коэф],"1,3",Таблица14[р/р],"3/24",Таблица14[Ф. И. О.],B715)</f>
        <v>0</v>
      </c>
      <c r="X716" s="545">
        <f>SUMIFS(Таблица14[Столбец2],Таблица14[коэф],"1,3",Таблица14[р/р],"3/24",Таблица14[Ф. И. О.],B715)</f>
        <v>0</v>
      </c>
      <c r="Y716" s="801"/>
      <c r="Z716" s="797"/>
      <c r="AA716" s="786"/>
      <c r="AC716" s="754" t="str">
        <f>IF(SUMIFS(Таблица14[часы],Таблица14[Ф. И. О.],B715)-Y710=0,"",SUMIFS(Таблица14[часы],Таблица14[Ф. И. О.],B715)-Y710)</f>
        <v/>
      </c>
    </row>
    <row r="717" spans="1:29" ht="18.75" customHeight="1">
      <c r="A717" s="786"/>
      <c r="B717" s="216"/>
      <c r="C717" s="789"/>
      <c r="D717" s="792"/>
      <c r="E717" s="389"/>
      <c r="F717" s="390"/>
      <c r="G717" s="400"/>
      <c r="H717" s="392"/>
      <c r="I717" s="432"/>
      <c r="J717" s="433"/>
      <c r="K717" s="434"/>
      <c r="L717" s="434"/>
      <c r="M717" s="434"/>
      <c r="N717" s="434"/>
      <c r="O717" s="434"/>
      <c r="P717" s="406"/>
      <c r="Q717" s="389">
        <f>база!$L$5</f>
        <v>231.45480000000001</v>
      </c>
      <c r="R717" s="390">
        <v>1.3</v>
      </c>
      <c r="S717" s="400">
        <f>SUMIFS(Таблица14[часы],Таблица14[коэф],"1,3",Таблица14[р/р],"4/16",Таблица14[Ф. И. О.],B715)</f>
        <v>0</v>
      </c>
      <c r="T717" s="392">
        <f>SUMIFS(Таблица14[Столбец2],Таблица14[коэф],"1,3",Таблица14[р/р],"4/16",Таблица14[Ф. И. О.],B715)</f>
        <v>0</v>
      </c>
      <c r="U717" s="478">
        <f>база!$M$5</f>
        <v>247.41720000000001</v>
      </c>
      <c r="V717" s="390">
        <v>1.3</v>
      </c>
      <c r="W717" s="412">
        <f>SUMIFS(Таблица14[часы],Таблица14[коэф],"1,3",Таблица14[р/р],"4/24",Таблица14[Ф. И. О.],B715)</f>
        <v>0</v>
      </c>
      <c r="X717" s="545">
        <f>SUMIFS(Таблица14[Столбец2],Таблица14[коэф],"1,3",Таблица14[р/р],"4/24",Таблица14[Ф. И. О.],B715)</f>
        <v>0</v>
      </c>
      <c r="Y717" s="801"/>
      <c r="Z717" s="797"/>
      <c r="AA717" s="786"/>
    </row>
    <row r="718" spans="1:29" ht="18.75" customHeight="1">
      <c r="A718" s="786"/>
      <c r="B718" s="216"/>
      <c r="C718" s="789"/>
      <c r="D718" s="792"/>
      <c r="E718" s="389"/>
      <c r="F718" s="390"/>
      <c r="G718" s="400"/>
      <c r="H718" s="392"/>
      <c r="I718" s="432"/>
      <c r="J718" s="433"/>
      <c r="K718" s="434"/>
      <c r="L718" s="434"/>
      <c r="M718" s="434"/>
      <c r="N718" s="434"/>
      <c r="O718" s="434"/>
      <c r="P718" s="406"/>
      <c r="Q718" s="389">
        <f>IF(D710&lt;=3,база!$L$4,
IF(D710=4,база!$L$5,
IF(D710=5,база!$L$6)))</f>
        <v>210.57480000000001</v>
      </c>
      <c r="R718" s="390">
        <v>1.4</v>
      </c>
      <c r="S718" s="400">
        <f>SUMIFS(Таблица14[часы],Таблица14[коэф],"1,4",Таблица14[р/р],"3/16",Таблица14[Ф. И. О.],B715)</f>
        <v>0</v>
      </c>
      <c r="T718" s="392">
        <f>SUMIFS(Таблица14[Столбец2],Таблица14[коэф],"1,4",Таблица14[р/р],"3/16",Таблица14[Ф. И. О.],B715)</f>
        <v>0</v>
      </c>
      <c r="U718" s="478">
        <f>IF(D710&lt;=3,база!$M$4,
IF(D710=4,база!$M$5,
IF(D710=5,база!$M$6)))</f>
        <v>225.09719999999999</v>
      </c>
      <c r="V718" s="390">
        <v>1.4</v>
      </c>
      <c r="W718" s="412">
        <f>SUMIFS(Таблица14[часы],Таблица14[коэф],"1,4",Таблица14[р/р],"3/24",Таблица14[Ф. И. О.],B715)</f>
        <v>0</v>
      </c>
      <c r="X718" s="545">
        <f>SUMIFS(Таблица14[Столбец2],Таблица14[коэф],"1,4",Таблица14[р/р],"3/24",Таблица14[Ф. И. О.],B715)</f>
        <v>0</v>
      </c>
      <c r="Y718" s="801"/>
      <c r="Z718" s="797"/>
      <c r="AA718" s="786"/>
    </row>
    <row r="719" spans="1:29" ht="18.75" customHeight="1">
      <c r="A719" s="786"/>
      <c r="B719" s="216"/>
      <c r="C719" s="789"/>
      <c r="D719" s="792"/>
      <c r="E719" s="389"/>
      <c r="F719" s="390"/>
      <c r="G719" s="400"/>
      <c r="H719" s="392"/>
      <c r="I719" s="432"/>
      <c r="J719" s="433"/>
      <c r="K719" s="434"/>
      <c r="L719" s="434"/>
      <c r="M719" s="434"/>
      <c r="N719" s="434"/>
      <c r="O719" s="434"/>
      <c r="P719" s="406"/>
      <c r="Q719" s="389">
        <f>база!$L$5</f>
        <v>231.45480000000001</v>
      </c>
      <c r="R719" s="390">
        <v>1.4</v>
      </c>
      <c r="S719" s="400">
        <f>SUMIFS(Таблица14[часы],Таблица14[коэф],"1,4",Таблица14[р/р],"4/16",Таблица14[Ф. И. О.],B715)</f>
        <v>0</v>
      </c>
      <c r="T719" s="392">
        <f>SUMIFS(Таблица14[Столбец2],Таблица14[коэф],"1,4",Таблица14[р/р],"4/16",Таблица14[Ф. И. О.],B715)</f>
        <v>0</v>
      </c>
      <c r="U719" s="478">
        <f>база!$M$5</f>
        <v>247.41720000000001</v>
      </c>
      <c r="V719" s="390">
        <v>1.4</v>
      </c>
      <c r="W719" s="412">
        <f>SUMIFS(Таблица14[часы],Таблица14[коэф],"1,4",Таблица14[р/р],"4/24",Таблица14[Ф. И. О.],B715)</f>
        <v>0</v>
      </c>
      <c r="X719" s="545">
        <f>SUMIFS(Таблица14[Столбец2],Таблица14[коэф],"1,4",Таблица14[р/р],"4/24",Таблица14[Ф. И. О.],B715)</f>
        <v>0</v>
      </c>
      <c r="Y719" s="801"/>
      <c r="Z719" s="797"/>
      <c r="AA719" s="786"/>
    </row>
    <row r="720" spans="1:29" ht="19.5" customHeight="1" thickBot="1">
      <c r="A720" s="787"/>
      <c r="B720" s="352"/>
      <c r="C720" s="790"/>
      <c r="D720" s="793"/>
      <c r="E720" s="445"/>
      <c r="F720" s="446"/>
      <c r="G720" s="653"/>
      <c r="H720" s="535"/>
      <c r="I720" s="654"/>
      <c r="J720" s="617"/>
      <c r="K720" s="655"/>
      <c r="L720" s="457"/>
      <c r="M720" s="654"/>
      <c r="N720" s="655"/>
      <c r="O720" s="655"/>
      <c r="P720" s="538"/>
      <c r="Q720" s="656">
        <f>база!$L$6</f>
        <v>261.04640000000001</v>
      </c>
      <c r="R720" s="446">
        <v>1.4</v>
      </c>
      <c r="S720" s="447">
        <f>SUMIFS(Таблица14[часы],Таблица14[коэф],"1,4",Таблица14[р/р],"5/16",Таблица14[Ф. И. О.],B715)</f>
        <v>0</v>
      </c>
      <c r="T720" s="535">
        <f>SUMIFS(Таблица14[Столбец2],Таблица14[коэф],"1,4",Таблица14[р/р],"5/16",Таблица14[Ф. И. О.],B715)</f>
        <v>0</v>
      </c>
      <c r="U720" s="536">
        <f>база!$M$6</f>
        <v>279.0496</v>
      </c>
      <c r="V720" s="464">
        <v>1.4</v>
      </c>
      <c r="W720" s="447">
        <f>SUMIFS(Таблица14[часы],Таблица14[коэф],"1,4",Таблица14[р/р],"5/24",Таблица14[Ф. И. О.],B715)</f>
        <v>0</v>
      </c>
      <c r="X720" s="535">
        <f>SUMIFS(Таблица14[Столбец2],Таблица14[коэф],"1,4",Таблица14[р/р],"5/24",Таблица14[Ф. И. О.],B715)</f>
        <v>0</v>
      </c>
      <c r="Y720" s="802"/>
      <c r="Z720" s="798"/>
      <c r="AA720" s="787"/>
    </row>
    <row r="721" spans="1:29" ht="18.75" customHeight="1">
      <c r="A721" s="786">
        <v>66</v>
      </c>
      <c r="B721" s="216"/>
      <c r="C721" s="788">
        <f>INDEX(база!$E$2:$E$150, MATCH(B726,база!$B$2:$B$150,0))</f>
        <v>17208</v>
      </c>
      <c r="D721" s="791">
        <f>INDEX(база!$D$2:$D$150, MATCH(B726,база!$B$2:$B$150,0))</f>
        <v>3</v>
      </c>
      <c r="E721" s="481">
        <f>IF(D721&lt;=3,база!$I$4,
IF(D721=4,база!$I$5,
IF(D721=5,база!$I$6)))</f>
        <v>188.7912</v>
      </c>
      <c r="F721" s="417">
        <v>1</v>
      </c>
      <c r="G721" s="418">
        <f>SUMIFS(Таблица14[часы],Таблица14[коэф],"1",Таблица14[р/р],"2/4",Таблица14[Ф. И. О.],B726)</f>
        <v>0</v>
      </c>
      <c r="H721" s="402">
        <f>SUMIFS(Таблица14[Столбец2],Таблица14[коэф],"1",Таблица14[р/р],"2/4",Таблица14[Ф. И. О.],B726)</f>
        <v>0</v>
      </c>
      <c r="I721" s="452">
        <f>IF(D721&lt;=3,база!$J$4,
IF(D721=4,база!$J$5,
IF(D721=5,база!$J$6)))</f>
        <v>196.05240000000001</v>
      </c>
      <c r="J721" s="475">
        <v>1</v>
      </c>
      <c r="K721" s="453">
        <f>SUMIFS(Таблица14[часы],Таблица14[коэф],"1",Таблица14[р/р],"2/8",Таблица14[Ф. И. О.],B726)</f>
        <v>0</v>
      </c>
      <c r="L721" s="453">
        <f>SUMIFS(Таблица14[Столбец2],Таблица14[коэф],"1",Таблица14[р/р],"2/8",Таблица14[Ф. И. О.],B726)</f>
        <v>0</v>
      </c>
      <c r="M721" s="453"/>
      <c r="N721" s="453">
        <v>1</v>
      </c>
      <c r="O721" s="453">
        <f>SUMIFS(Data_Tech!$AM$3:$AM$67,Data_Tech!$E$3:$E$67,"1",Data_Tech!$G$3:$G$67,"3/12",Data_Tech!$F$3:$F$67,B726)</f>
        <v>0</v>
      </c>
      <c r="P721" s="398">
        <f>ROUND(M721*N721*O721,2)</f>
        <v>0</v>
      </c>
      <c r="Q721" s="481">
        <f>IF(D721&lt;=3,база!$L$4,
IF(D721=4,база!$L$5,
IF(D721=5,база!$L$6)))</f>
        <v>210.57480000000001</v>
      </c>
      <c r="R721" s="417">
        <v>1</v>
      </c>
      <c r="S721" s="418">
        <f>SUMIFS(Таблица14[часы],Таблица14[коэф],"1",Таблица14[р/р],"3/16",Таблица14[Ф. И. О.],B726)</f>
        <v>0</v>
      </c>
      <c r="T721" s="402">
        <f>SUMIFS(Таблица14[Столбец2],Таблица14[коэф],"1",Таблица14[р/р],"3/16",Таблица14[Ф. И. О.],B726)</f>
        <v>0</v>
      </c>
      <c r="U721" s="483">
        <f>IF(D721&lt;=3,база!$M$4,
IF(D721=4,база!$M$5,
IF(D721=5,база!$M$6)))</f>
        <v>225.09719999999999</v>
      </c>
      <c r="V721" s="417">
        <v>1</v>
      </c>
      <c r="W721" s="455">
        <f>SUMIFS(Таблица14[часы],Таблица14[коэф],"1",Таблица14[р/р],"3/24",Таблица14[Ф. И. О.],B726)</f>
        <v>0</v>
      </c>
      <c r="X721" s="552">
        <f>SUMIFS(Таблица14[Столбец2],Таблица14[коэф],"1",Таблица14[р/р],"3/24",Таблица14[Ф. И. О.],B726)</f>
        <v>0</v>
      </c>
      <c r="Y721" s="801">
        <f t="shared" ref="Y721" si="268">SUM(G721:G731,K721:K731,O721:O731,S721:S731,W721:W731)</f>
        <v>0</v>
      </c>
      <c r="Z721" s="797">
        <f t="shared" ref="Z721" si="269">IFERROR(SUM(H721:H731,L721:L731,T721:T731,X721:X731),"")</f>
        <v>0</v>
      </c>
      <c r="AA721" s="786"/>
    </row>
    <row r="722" spans="1:29" ht="18.75" customHeight="1">
      <c r="A722" s="786"/>
      <c r="B722" s="216"/>
      <c r="C722" s="789"/>
      <c r="D722" s="792"/>
      <c r="E722" s="389">
        <f>IF(D721&lt;=3,база!$I$4,
IF(D721=4,база!$I$5,
IF(D721=5,база!$I$6)))</f>
        <v>188.7912</v>
      </c>
      <c r="F722" s="390">
        <v>1</v>
      </c>
      <c r="G722" s="400">
        <f>SUMIFS(Таблица14[часы],Таблица14[коэф],"1",Таблица14[р/р],"3/4",Таблица14[Ф. И. О.],B726)</f>
        <v>0</v>
      </c>
      <c r="H722" s="392">
        <f>SUMIFS(Таблица14[Столбец2],Таблица14[коэф],"1",Таблица14[р/р],"3/4",Таблица14[Ф. И. О.],B726)</f>
        <v>0</v>
      </c>
      <c r="I722" s="432">
        <f>IF(D721&lt;=3,база!$J$4,
IF(D721=4,база!$J$5,
IF(D721=5,база!$J$6)))</f>
        <v>196.05240000000001</v>
      </c>
      <c r="J722" s="433">
        <v>1</v>
      </c>
      <c r="K722" s="434">
        <f>SUMIFS(Таблица14[часы],Таблица14[коэф],"1",Таблица14[р/р],"3/8",Таблица14[Ф. И. О.],B726)</f>
        <v>0</v>
      </c>
      <c r="L722" s="434">
        <f>SUMIFS(Таблица14[Столбец2],Таблица14[коэф],"1",Таблица14[р/р],"3/8",Таблица14[Ф. И. О.],B726)</f>
        <v>0</v>
      </c>
      <c r="M722" s="434"/>
      <c r="N722" s="434">
        <v>1</v>
      </c>
      <c r="O722" s="434">
        <f>SUMIFS(Data_Tech!$AM$3:$AM$67,Data_Tech!$E$3:$E$67,"1",Data_Tech!$G$3:$G$67,"4/12",Data_Tech!$F$3:$F$67,B726)</f>
        <v>0</v>
      </c>
      <c r="P722" s="406">
        <f>ROUND(M722*O722,2)</f>
        <v>0</v>
      </c>
      <c r="Q722" s="389">
        <f>база!$L$5</f>
        <v>231.45480000000001</v>
      </c>
      <c r="R722" s="390">
        <v>1</v>
      </c>
      <c r="S722" s="400">
        <f>SUMIFS(Таблица14[часы],Таблица14[коэф],"1",Таблица14[р/р],"4/16",Таблица14[Ф. И. О.],B726)</f>
        <v>0</v>
      </c>
      <c r="T722" s="392">
        <f>SUMIFS(Таблица14[Столбец2],Таблица14[коэф],"1",Таблица14[р/р],"4/16",Таблица14[Ф. И. О.],B726)</f>
        <v>0</v>
      </c>
      <c r="U722" s="478">
        <f>база!$M$5</f>
        <v>247.41720000000001</v>
      </c>
      <c r="V722" s="390">
        <v>1</v>
      </c>
      <c r="W722" s="412">
        <f>SUMIFS(Таблица14[часы],Таблица14[коэф],"1",Таблица14[р/р],"4/24",Таблица14[Ф. И. О.],B726)</f>
        <v>0</v>
      </c>
      <c r="X722" s="545">
        <f>SUMIFS(Таблица14[Столбец2],Таблица14[коэф],"1",Таблица14[р/р],"4/24",Таблица14[Ф. И. О.],B726)</f>
        <v>0</v>
      </c>
      <c r="Y722" s="801"/>
      <c r="Z722" s="797"/>
      <c r="AA722" s="786"/>
    </row>
    <row r="723" spans="1:29" ht="18.75" customHeight="1">
      <c r="A723" s="786"/>
      <c r="B723" s="216"/>
      <c r="C723" s="789"/>
      <c r="D723" s="792"/>
      <c r="E723" s="389"/>
      <c r="F723" s="390"/>
      <c r="G723" s="400"/>
      <c r="H723" s="392"/>
      <c r="I723" s="432"/>
      <c r="J723" s="433"/>
      <c r="K723" s="434"/>
      <c r="L723" s="434"/>
      <c r="M723" s="434"/>
      <c r="N723" s="434"/>
      <c r="O723" s="434"/>
      <c r="P723" s="406"/>
      <c r="Q723" s="389">
        <f>база!$L$6</f>
        <v>261.04640000000001</v>
      </c>
      <c r="R723" s="390">
        <v>1</v>
      </c>
      <c r="S723" s="400">
        <f>SUMIFS(Таблица14[часы],Таблица14[коэф],"1",Таблица14[р/р],"5/16",Таблица14[Ф. И. О.],B726)</f>
        <v>0</v>
      </c>
      <c r="T723" s="392">
        <f>SUMIFS(Таблица14[Столбец2],Таблица14[коэф],"1",Таблица14[р/р],"5/16",Таблица14[Ф. И. О.],B726)</f>
        <v>0</v>
      </c>
      <c r="U723" s="478">
        <f>база!$M$6</f>
        <v>279.0496</v>
      </c>
      <c r="V723" s="390">
        <v>1</v>
      </c>
      <c r="W723" s="412">
        <f>SUMIFS(Таблица14[часы],Таблица14[коэф],"1",Таблица14[р/р],"5/24",Таблица14[Ф. И. О.],B726)</f>
        <v>0</v>
      </c>
      <c r="X723" s="545">
        <f>SUMIFS(Таблица14[Столбец2],Таблица14[коэф],"1",Таблица14[р/р],"5/24",Таблица14[Ф. И. О.],B726)</f>
        <v>0</v>
      </c>
      <c r="Y723" s="801"/>
      <c r="Z723" s="797"/>
      <c r="AA723" s="786"/>
    </row>
    <row r="724" spans="1:29" ht="18.75" customHeight="1">
      <c r="A724" s="786"/>
      <c r="B724" s="216"/>
      <c r="C724" s="789"/>
      <c r="D724" s="792"/>
      <c r="E724" s="389"/>
      <c r="F724" s="390"/>
      <c r="G724" s="400"/>
      <c r="H724" s="392"/>
      <c r="I724" s="432">
        <f>база!$J$5</f>
        <v>215.4924</v>
      </c>
      <c r="J724" s="433">
        <v>1.5</v>
      </c>
      <c r="K724" s="434">
        <f>SUMIFS(Таблица14[часы],Таблица14[коэф],"1,5",Таблица14[р/р],"4/8",Таблица14[Ф. И. О.],B726)</f>
        <v>0</v>
      </c>
      <c r="L724" s="434">
        <f>SUMIFS(Таблица14[Столбец2],Таблица14[коэф],"1,5",Таблица14[р/р],"4/8",Таблица14[Ф. И. О.],B726)</f>
        <v>0</v>
      </c>
      <c r="M724" s="434"/>
      <c r="N724" s="434"/>
      <c r="O724" s="434"/>
      <c r="P724" s="406"/>
      <c r="Q724" s="389">
        <f>IF(D721&lt;=3,база!$L$4,
IF(D721=4,база!$L$5,
IF(D721=5,база!$L$6)))</f>
        <v>210.57480000000001</v>
      </c>
      <c r="R724" s="390">
        <v>1.2</v>
      </c>
      <c r="S724" s="400">
        <f>SUMIFS(Таблица14[часы],Таблица14[коэф],"1,2",Таблица14[р/р],"3/16",Таблица14[Ф. И. О.],B726)</f>
        <v>0</v>
      </c>
      <c r="T724" s="392">
        <f>SUMIFS(Таблица14[Столбец2],Таблица14[коэф],"1,2",Таблица14[р/р],"3/16",Таблица14[Ф. И. О.],B726)</f>
        <v>0</v>
      </c>
      <c r="U724" s="478">
        <f>IF(D721&lt;=3,база!$M$4,
IF(D721=4,база!$M$5,
IF(D721=5,база!$M$6)))</f>
        <v>225.09719999999999</v>
      </c>
      <c r="V724" s="390">
        <v>1.2</v>
      </c>
      <c r="W724" s="412">
        <f>SUMIFS(Таблица14[часы],Таблица14[коэф],"1,2",Таблица14[р/р],"3/24",Таблица14[Ф. И. О.],B726)</f>
        <v>0</v>
      </c>
      <c r="X724" s="545">
        <f>SUMIFS(Таблица14[Столбец2],Таблица14[коэф],"1,2",Таблица14[р/р],"3/24",Таблица14[Ф. И. О.],B726)</f>
        <v>0</v>
      </c>
      <c r="Y724" s="801"/>
      <c r="Z724" s="797"/>
      <c r="AA724" s="786"/>
    </row>
    <row r="725" spans="1:29" ht="18.75" customHeight="1">
      <c r="A725" s="786"/>
      <c r="B725" s="216"/>
      <c r="C725" s="789"/>
      <c r="D725" s="792"/>
      <c r="E725" s="389"/>
      <c r="F725" s="390"/>
      <c r="G725" s="400"/>
      <c r="H725" s="392"/>
      <c r="I725" s="432">
        <f>база!$J$6</f>
        <v>243.04319999999998</v>
      </c>
      <c r="J725" s="433">
        <v>1.5</v>
      </c>
      <c r="K725" s="434">
        <f>SUMIFS(Таблица14[часы],Таблица14[коэф],"1,5",Таблица14[р/р],"5/8",Таблица14[Ф. И. О.],B726)</f>
        <v>0</v>
      </c>
      <c r="L725" s="434">
        <f>SUMIFS(Таблица14[Столбец2],Таблица14[коэф],"1,5",Таблица14[р/р],"5/8",Таблица14[Ф. И. О.],B726)</f>
        <v>0</v>
      </c>
      <c r="M725" s="434"/>
      <c r="N725" s="434"/>
      <c r="O725" s="434"/>
      <c r="P725" s="406"/>
      <c r="Q725" s="389">
        <f>база!$L$5</f>
        <v>231.45480000000001</v>
      </c>
      <c r="R725" s="390">
        <v>1.2</v>
      </c>
      <c r="S725" s="400">
        <f>SUMIFS(Таблица14[часы],Таблица14[коэф],"1,2",Таблица14[р/р],"4/16",Таблица14[Ф. И. О.],B726)</f>
        <v>0</v>
      </c>
      <c r="T725" s="392">
        <f>SUMIFS(Таблица14[Столбец2],Таблица14[коэф],"1,2",Таблица14[р/р],"4/16",Таблица14[Ф. И. О.],B726)</f>
        <v>0</v>
      </c>
      <c r="U725" s="478">
        <f>база!$M$5</f>
        <v>247.41720000000001</v>
      </c>
      <c r="V725" s="390">
        <v>1.2</v>
      </c>
      <c r="W725" s="412">
        <f>SUMIFS(Таблица14[часы],Таблица14[коэф],"1,2",Таблица14[р/р],"4/24",Таблица14[Ф. И. О.],B726)</f>
        <v>0</v>
      </c>
      <c r="X725" s="545">
        <f>SUMIFS(Таблица14[Столбец2],Таблица14[коэф],"1,2",Таблица14[р/р],"4/24",Таблица14[Ф. И. О.],B726)</f>
        <v>0</v>
      </c>
      <c r="Y725" s="801"/>
      <c r="Z725" s="797"/>
      <c r="AA725" s="786"/>
      <c r="AC725" s="754" t="str">
        <f>IF(SUMIFS(Таблица14[Столбец2],Таблица14[Ф. И. О.],B726)-Z721=0,"",SUMIFS(Таблица14[Столбец2],Таблица14[Ф. И. О.],B726)-Z721)</f>
        <v/>
      </c>
    </row>
    <row r="726" spans="1:29" ht="18.75" customHeight="1">
      <c r="A726" s="786"/>
      <c r="B726" s="216" t="str">
        <f>база!B67</f>
        <v>Рысев Иван Александрович</v>
      </c>
      <c r="C726" s="789"/>
      <c r="D726" s="792"/>
      <c r="E726" s="389"/>
      <c r="F726" s="390"/>
      <c r="G726" s="400"/>
      <c r="H726" s="392"/>
      <c r="I726" s="432"/>
      <c r="J726" s="433"/>
      <c r="K726" s="434"/>
      <c r="L726" s="434"/>
      <c r="M726" s="434"/>
      <c r="N726" s="434"/>
      <c r="O726" s="434"/>
      <c r="P726" s="406"/>
      <c r="Q726" s="389">
        <f>база!$L$6</f>
        <v>261.04640000000001</v>
      </c>
      <c r="R726" s="390">
        <v>1.2</v>
      </c>
      <c r="S726" s="400">
        <f>SUMIFS(Таблица14[часы],Таблица14[коэф],"1,2",Таблица14[р/р],"5/16",Таблица14[Ф. И. О.],B726)</f>
        <v>0</v>
      </c>
      <c r="T726" s="392">
        <f>SUMIFS(Таблица14[Столбец2],Таблица14[коэф],"1,2",Таблица14[р/р],"5/16",Таблица14[Ф. И. О.],B726)</f>
        <v>0</v>
      </c>
      <c r="U726" s="478">
        <f>база!$M$6</f>
        <v>279.0496</v>
      </c>
      <c r="V726" s="390">
        <v>1.2</v>
      </c>
      <c r="W726" s="412">
        <f>SUMIFS(Таблица14[часы],Таблица14[коэф],"1,2",Таблица14[р/р],"5/24",Таблица14[Ф. И. О.],B726)</f>
        <v>0</v>
      </c>
      <c r="X726" s="545">
        <f>SUMIFS(Таблица14[Столбец2],Таблица14[коэф],"1,2",Таблица14[р/р],"5/24",Таблица14[Ф. И. О.],B726)</f>
        <v>0</v>
      </c>
      <c r="Y726" s="801"/>
      <c r="Z726" s="797"/>
      <c r="AA726" s="786"/>
      <c r="AC726" s="754" t="str">
        <f>IF(SUMIFS(Таблица14[часы],Таблица14[Ф. И. О.],B726)-Y721=0,"",SUMIFS(Таблица14[часы],Таблица14[Ф. И. О.],B726)-Y721)</f>
        <v/>
      </c>
    </row>
    <row r="727" spans="1:29" ht="18.75" customHeight="1">
      <c r="A727" s="786"/>
      <c r="B727" s="216"/>
      <c r="C727" s="789"/>
      <c r="D727" s="792"/>
      <c r="E727" s="389"/>
      <c r="F727" s="390"/>
      <c r="G727" s="400"/>
      <c r="H727" s="392"/>
      <c r="I727" s="432"/>
      <c r="J727" s="433"/>
      <c r="K727" s="434"/>
      <c r="L727" s="434"/>
      <c r="M727" s="434"/>
      <c r="N727" s="434"/>
      <c r="O727" s="434"/>
      <c r="P727" s="406"/>
      <c r="Q727" s="389">
        <f>IF($D$6&lt;=3,база!$L$4,
IF($D$6=4,база!$L$5,
IF($D$6=5,база!$L$6)))</f>
        <v>231.45480000000001</v>
      </c>
      <c r="R727" s="390">
        <v>1.3</v>
      </c>
      <c r="S727" s="400">
        <f>SUMIFS(Таблица14[часы],Таблица14[коэф],"1,3",Таблица14[р/р],"3/16",Таблица14[Ф. И. О.],B726)</f>
        <v>0</v>
      </c>
      <c r="T727" s="392">
        <f>SUMIFS(Таблица14[Столбец2],Таблица14[коэф],"1,3",Таблица14[р/р],"3/16",Таблица14[Ф. И. О.],B726)</f>
        <v>0</v>
      </c>
      <c r="U727" s="478">
        <f>IF(D721&lt;=3,база!$M$4,
IF(D721=4,база!$M$5,
IF(D721=5,база!$M$6)))</f>
        <v>225.09719999999999</v>
      </c>
      <c r="V727" s="390">
        <v>1.3</v>
      </c>
      <c r="W727" s="412">
        <f>SUMIFS(Таблица14[часы],Таблица14[коэф],"1,3",Таблица14[р/р],"3/24",Таблица14[Ф. И. О.],B726)</f>
        <v>0</v>
      </c>
      <c r="X727" s="545">
        <f>SUMIFS(Таблица14[Столбец2],Таблица14[коэф],"1,3",Таблица14[р/р],"3/24",Таблица14[Ф. И. О.],B726)</f>
        <v>0</v>
      </c>
      <c r="Y727" s="801"/>
      <c r="Z727" s="797"/>
      <c r="AA727" s="786"/>
    </row>
    <row r="728" spans="1:29" ht="18.75" customHeight="1">
      <c r="A728" s="786"/>
      <c r="B728" s="216"/>
      <c r="C728" s="789"/>
      <c r="D728" s="792"/>
      <c r="E728" s="389"/>
      <c r="F728" s="390"/>
      <c r="G728" s="400"/>
      <c r="H728" s="392"/>
      <c r="I728" s="432"/>
      <c r="J728" s="433"/>
      <c r="K728" s="434"/>
      <c r="L728" s="434"/>
      <c r="M728" s="434"/>
      <c r="N728" s="434"/>
      <c r="O728" s="434"/>
      <c r="P728" s="406"/>
      <c r="Q728" s="389">
        <f>база!$L$5</f>
        <v>231.45480000000001</v>
      </c>
      <c r="R728" s="390">
        <v>1.3</v>
      </c>
      <c r="S728" s="400">
        <f>SUMIFS(Таблица14[часы],Таблица14[коэф],"1,3",Таблица14[р/р],"4/16",Таблица14[Ф. И. О.],B726)</f>
        <v>0</v>
      </c>
      <c r="T728" s="392">
        <f>SUMIFS(Таблица14[Столбец2],Таблица14[коэф],"1,3",Таблица14[р/р],"4/16",Таблица14[Ф. И. О.],B726)</f>
        <v>0</v>
      </c>
      <c r="U728" s="478">
        <f>база!$M$5</f>
        <v>247.41720000000001</v>
      </c>
      <c r="V728" s="390">
        <v>1.3</v>
      </c>
      <c r="W728" s="412">
        <f>SUMIFS(Таблица14[часы],Таблица14[коэф],"1,3",Таблица14[р/р],"4/24",Таблица14[Ф. И. О.],B726)</f>
        <v>0</v>
      </c>
      <c r="X728" s="545">
        <f>SUMIFS(Таблица14[Столбец2],Таблица14[коэф],"1,3",Таблица14[р/р],"4/24",Таблица14[Ф. И. О.],B726)</f>
        <v>0</v>
      </c>
      <c r="Y728" s="801"/>
      <c r="Z728" s="797"/>
      <c r="AA728" s="786"/>
    </row>
    <row r="729" spans="1:29" ht="18.75" customHeight="1">
      <c r="A729" s="786"/>
      <c r="B729" s="216"/>
      <c r="C729" s="789"/>
      <c r="D729" s="792"/>
      <c r="E729" s="389"/>
      <c r="F729" s="390"/>
      <c r="G729" s="400"/>
      <c r="H729" s="392"/>
      <c r="I729" s="432"/>
      <c r="J729" s="433"/>
      <c r="K729" s="434"/>
      <c r="L729" s="434"/>
      <c r="M729" s="434"/>
      <c r="N729" s="434"/>
      <c r="O729" s="434"/>
      <c r="P729" s="406"/>
      <c r="Q729" s="389">
        <f>IF(D721&lt;=3,база!$L$4,
IF(D721=4,база!$L$5,
IF(D721=5,база!$L$6)))</f>
        <v>210.57480000000001</v>
      </c>
      <c r="R729" s="390">
        <v>1.4</v>
      </c>
      <c r="S729" s="400">
        <f>SUMIFS(Таблица14[часы],Таблица14[коэф],"1,4",Таблица14[р/р],"3/16",Таблица14[Ф. И. О.],B726)</f>
        <v>0</v>
      </c>
      <c r="T729" s="392">
        <f>SUMIFS(Таблица14[Столбец2],Таблица14[коэф],"1,4",Таблица14[р/р],"3/16",Таблица14[Ф. И. О.],B726)</f>
        <v>0</v>
      </c>
      <c r="U729" s="478">
        <f>IF(D721&lt;=3,база!$M$4,
IF(D721=4,база!$M$5,
IF(D721=5,база!$M$6)))</f>
        <v>225.09719999999999</v>
      </c>
      <c r="V729" s="390">
        <v>1.4</v>
      </c>
      <c r="W729" s="412">
        <f>SUMIFS(Таблица14[часы],Таблица14[коэф],"1,4",Таблица14[р/р],"3/24",Таблица14[Ф. И. О.],B726)</f>
        <v>0</v>
      </c>
      <c r="X729" s="545">
        <f>SUMIFS(Таблица14[Столбец2],Таблица14[коэф],"1,4",Таблица14[р/р],"3/24",Таблица14[Ф. И. О.],B726)</f>
        <v>0</v>
      </c>
      <c r="Y729" s="801"/>
      <c r="Z729" s="797"/>
      <c r="AA729" s="786"/>
    </row>
    <row r="730" spans="1:29" ht="18.75" customHeight="1">
      <c r="A730" s="786"/>
      <c r="B730" s="216"/>
      <c r="C730" s="789"/>
      <c r="D730" s="792"/>
      <c r="E730" s="389"/>
      <c r="F730" s="390"/>
      <c r="G730" s="400"/>
      <c r="H730" s="392"/>
      <c r="I730" s="432"/>
      <c r="J730" s="433"/>
      <c r="K730" s="434"/>
      <c r="L730" s="434"/>
      <c r="M730" s="434"/>
      <c r="N730" s="434"/>
      <c r="O730" s="434"/>
      <c r="P730" s="406"/>
      <c r="Q730" s="389">
        <f>база!$L$5</f>
        <v>231.45480000000001</v>
      </c>
      <c r="R730" s="390">
        <v>1.4</v>
      </c>
      <c r="S730" s="400">
        <f>SUMIFS(Таблица14[часы],Таблица14[коэф],"1,4",Таблица14[р/р],"4/16",Таблица14[Ф. И. О.],B726)</f>
        <v>0</v>
      </c>
      <c r="T730" s="392">
        <f>SUMIFS(Таблица14[Столбец2],Таблица14[коэф],"1,4",Таблица14[р/р],"4/16",Таблица14[Ф. И. О.],B726)</f>
        <v>0</v>
      </c>
      <c r="U730" s="478">
        <f>база!$M$5</f>
        <v>247.41720000000001</v>
      </c>
      <c r="V730" s="390">
        <v>1.4</v>
      </c>
      <c r="W730" s="412">
        <f>SUMIFS(Таблица14[часы],Таблица14[коэф],"1,4",Таблица14[р/р],"4/24",Таблица14[Ф. И. О.],B726)</f>
        <v>0</v>
      </c>
      <c r="X730" s="545">
        <f>SUMIFS(Таблица14[Столбец2],Таблица14[коэф],"1,4",Таблица14[р/р],"4/24",Таблица14[Ф. И. О.],B726)</f>
        <v>0</v>
      </c>
      <c r="Y730" s="801"/>
      <c r="Z730" s="797"/>
      <c r="AA730" s="786"/>
    </row>
    <row r="731" spans="1:29" ht="19.5" customHeight="1" thickBot="1">
      <c r="A731" s="787"/>
      <c r="B731" s="352"/>
      <c r="C731" s="790"/>
      <c r="D731" s="793"/>
      <c r="E731" s="437"/>
      <c r="F731" s="438"/>
      <c r="G731" s="697"/>
      <c r="H731" s="440"/>
      <c r="I731" s="413"/>
      <c r="J731" s="604"/>
      <c r="K731" s="414"/>
      <c r="L731" s="460"/>
      <c r="M731" s="413"/>
      <c r="N731" s="414"/>
      <c r="O731" s="414"/>
      <c r="P731" s="415"/>
      <c r="Q731" s="692">
        <f>база!$L$6</f>
        <v>261.04640000000001</v>
      </c>
      <c r="R731" s="438">
        <v>1.4</v>
      </c>
      <c r="S731" s="439">
        <f>SUMIFS(Таблица14[часы],Таблица14[коэф],"1,4",Таблица14[р/р],"5/16",Таблица14[Ф. И. О.],B726)</f>
        <v>0</v>
      </c>
      <c r="T731" s="440">
        <f>SUMIFS(Таблица14[Столбец2],Таблица14[коэф],"1,4",Таблица14[р/р],"5/16",Таблица14[Ф. И. О.],B726)</f>
        <v>0</v>
      </c>
      <c r="U731" s="515">
        <f>база!$M$6</f>
        <v>279.0496</v>
      </c>
      <c r="V731" s="403">
        <v>1.4</v>
      </c>
      <c r="W731" s="439">
        <f>SUMIFS(Таблица14[часы],Таблица14[коэф],"1,4",Таблица14[р/р],"5/24",Таблица14[Ф. И. О.],B726)</f>
        <v>0</v>
      </c>
      <c r="X731" s="440">
        <f>SUMIFS(Таблица14[Столбец2],Таблица14[коэф],"1,4",Таблица14[р/р],"5/24",Таблица14[Ф. И. О.],B726)</f>
        <v>0</v>
      </c>
      <c r="Y731" s="802"/>
      <c r="Z731" s="798"/>
      <c r="AA731" s="787"/>
    </row>
    <row r="732" spans="1:29" ht="18.75" customHeight="1">
      <c r="A732" s="786">
        <v>67</v>
      </c>
      <c r="B732" s="216"/>
      <c r="C732" s="788">
        <f>INDEX(база!$E$2:$E$150, MATCH(B737,база!$B$2:$B$150,0))</f>
        <v>17324</v>
      </c>
      <c r="D732" s="791">
        <f>INDEX(база!$D$2:$D$150, MATCH(B737,база!$B$2:$B$150,0))</f>
        <v>3</v>
      </c>
      <c r="E732" s="377">
        <f>IF(D732&lt;=3,база!$I$4,
IF(D732=4,база!$I$5,
IF(D732=5,база!$I$6)))</f>
        <v>188.7912</v>
      </c>
      <c r="F732" s="378">
        <v>1</v>
      </c>
      <c r="G732" s="387">
        <f>SUMIFS(Таблица14[часы],Таблица14[коэф],"1",Таблица14[р/р],"2/4",Таблица14[Ф. И. О.],B737)</f>
        <v>0</v>
      </c>
      <c r="H732" s="380">
        <f>SUMIFS(Таблица14[Столбец2],Таблица14[коэф],"1",Таблица14[р/р],"2/4",Таблица14[Ф. И. О.],B737)</f>
        <v>0</v>
      </c>
      <c r="I732" s="426">
        <f>IF(D732&lt;=3,база!$J$4,
IF(D732=4,база!$J$5,
IF(D732=5,база!$J$6)))</f>
        <v>196.05240000000001</v>
      </c>
      <c r="J732" s="427">
        <v>1</v>
      </c>
      <c r="K732" s="428">
        <f>SUMIFS(Таблица14[часы],Таблица14[коэф],"1",Таблица14[р/р],"2/8",Таблица14[Ф. И. О.],B737)</f>
        <v>0</v>
      </c>
      <c r="L732" s="428">
        <f>SUMIFS(Таблица14[Столбец2],Таблица14[коэф],"1",Таблица14[р/р],"2/8",Таблица14[Ф. И. О.],B737)</f>
        <v>0</v>
      </c>
      <c r="M732" s="428"/>
      <c r="N732" s="428">
        <v>1</v>
      </c>
      <c r="O732" s="428">
        <f>SUMIFS(Data_Tech!$AM$3:$AM$67,Data_Tech!$E$3:$E$67,"1",Data_Tech!$G$3:$G$67,"3/12",Data_Tech!$F$3:$F$67,B737)</f>
        <v>0</v>
      </c>
      <c r="P732" s="385">
        <f>ROUND(M732*N732*O732,2)</f>
        <v>0</v>
      </c>
      <c r="Q732" s="377">
        <f>IF(D732&lt;=3,база!$L$4,
IF(D732=4,база!$L$5,
IF(D732=5,база!$L$6)))</f>
        <v>210.57480000000001</v>
      </c>
      <c r="R732" s="378">
        <v>1</v>
      </c>
      <c r="S732" s="387">
        <f>SUMIFS(Таблица14[часы],Таблица14[коэф],"1",Таблица14[р/р],"3/16",Таблица14[Ф. И. О.],B737)</f>
        <v>0</v>
      </c>
      <c r="T732" s="380">
        <f>SUMIFS(Таблица14[Столбец2],Таблица14[коэф],"1",Таблица14[р/р],"3/16",Таблица14[Ф. И. О.],B737)</f>
        <v>0</v>
      </c>
      <c r="U732" s="477">
        <f>IF(D732&lt;=3,база!$M$4,
IF(D732=4,база!$M$5,
IF(D732=5,база!$M$6)))</f>
        <v>225.09719999999999</v>
      </c>
      <c r="V732" s="378">
        <v>1</v>
      </c>
      <c r="W732" s="430">
        <f>SUMIFS(Таблица14[часы],Таблица14[коэф],"1",Таблица14[р/р],"3/24",Таблица14[Ф. И. О.],B737)</f>
        <v>0</v>
      </c>
      <c r="X732" s="543">
        <f>SUMIFS(Таблица14[Столбец2],Таблица14[коэф],"1",Таблица14[р/р],"3/24",Таблица14[Ф. И. О.],B737)</f>
        <v>0</v>
      </c>
      <c r="Y732" s="801">
        <f t="shared" ref="Y732" si="270">SUM(G732:G742,K732:K742,O732:O742,S732:S742,W732:W742)</f>
        <v>0</v>
      </c>
      <c r="Z732" s="797">
        <f t="shared" ref="Z732" si="271">IFERROR(SUM(H732:H742,L732:L742,T732:T742,X732:X742),"")</f>
        <v>0</v>
      </c>
      <c r="AA732" s="786"/>
    </row>
    <row r="733" spans="1:29" ht="18.75" customHeight="1">
      <c r="A733" s="786"/>
      <c r="B733" s="216"/>
      <c r="C733" s="789"/>
      <c r="D733" s="792"/>
      <c r="E733" s="389">
        <f>IF(D732&lt;=3,база!$I$4,
IF(D732=4,база!$I$5,
IF(D732=5,база!$I$6)))</f>
        <v>188.7912</v>
      </c>
      <c r="F733" s="390">
        <v>1</v>
      </c>
      <c r="G733" s="400">
        <f>SUMIFS(Таблица14[часы],Таблица14[коэф],"1",Таблица14[р/р],"3/4",Таблица14[Ф. И. О.],B737)</f>
        <v>0</v>
      </c>
      <c r="H733" s="392">
        <f>SUMIFS(Таблица14[Столбец2],Таблица14[коэф],"1",Таблица14[р/р],"3/4",Таблица14[Ф. И. О.],B737)</f>
        <v>0</v>
      </c>
      <c r="I733" s="432">
        <f>IF(D732&lt;=3,база!$J$4,
IF(D732=4,база!$J$5,
IF(D732=5,база!$J$6)))</f>
        <v>196.05240000000001</v>
      </c>
      <c r="J733" s="433">
        <v>1</v>
      </c>
      <c r="K733" s="434">
        <f>SUMIFS(Таблица14[часы],Таблица14[коэф],"1",Таблица14[р/р],"3/8",Таблица14[Ф. И. О.],B737)</f>
        <v>0</v>
      </c>
      <c r="L733" s="434">
        <f>SUMIFS(Таблица14[Столбец2],Таблица14[коэф],"1",Таблица14[р/р],"3/8",Таблица14[Ф. И. О.],B737)</f>
        <v>0</v>
      </c>
      <c r="M733" s="434"/>
      <c r="N733" s="434">
        <v>1</v>
      </c>
      <c r="O733" s="434">
        <f>SUMIFS(Data_Tech!$AM$3:$AM$67,Data_Tech!$E$3:$E$67,"1",Data_Tech!$G$3:$G$67,"4/12",Data_Tech!$F$3:$F$67,B737)</f>
        <v>0</v>
      </c>
      <c r="P733" s="406">
        <f>ROUND(M733*O733,2)</f>
        <v>0</v>
      </c>
      <c r="Q733" s="389">
        <f>база!$L$5</f>
        <v>231.45480000000001</v>
      </c>
      <c r="R733" s="390">
        <v>1</v>
      </c>
      <c r="S733" s="400">
        <f>SUMIFS(Таблица14[часы],Таблица14[коэф],"1",Таблица14[р/р],"4/16",Таблица14[Ф. И. О.],B737)</f>
        <v>0</v>
      </c>
      <c r="T733" s="392">
        <f>SUMIFS(Таблица14[Столбец2],Таблица14[коэф],"1",Таблица14[р/р],"4/16",Таблица14[Ф. И. О.],B737)</f>
        <v>0</v>
      </c>
      <c r="U733" s="478">
        <f>база!$M$5</f>
        <v>247.41720000000001</v>
      </c>
      <c r="V733" s="390">
        <v>1</v>
      </c>
      <c r="W733" s="412">
        <f>SUMIFS(Таблица14[часы],Таблица14[коэф],"1",Таблица14[р/р],"4/24",Таблица14[Ф. И. О.],B737)</f>
        <v>0</v>
      </c>
      <c r="X733" s="545">
        <f>SUMIFS(Таблица14[Столбец2],Таблица14[коэф],"1",Таблица14[р/р],"4/24",Таблица14[Ф. И. О.],B737)</f>
        <v>0</v>
      </c>
      <c r="Y733" s="801"/>
      <c r="Z733" s="797"/>
      <c r="AA733" s="786"/>
    </row>
    <row r="734" spans="1:29" ht="18.75" customHeight="1">
      <c r="A734" s="786"/>
      <c r="B734" s="216"/>
      <c r="C734" s="789"/>
      <c r="D734" s="792"/>
      <c r="E734" s="389"/>
      <c r="F734" s="390"/>
      <c r="G734" s="400"/>
      <c r="H734" s="392"/>
      <c r="I734" s="432"/>
      <c r="J734" s="433"/>
      <c r="K734" s="434"/>
      <c r="L734" s="434"/>
      <c r="M734" s="434"/>
      <c r="N734" s="434"/>
      <c r="O734" s="434"/>
      <c r="P734" s="406"/>
      <c r="Q734" s="389">
        <f>база!$L$6</f>
        <v>261.04640000000001</v>
      </c>
      <c r="R734" s="390">
        <v>1</v>
      </c>
      <c r="S734" s="400">
        <f>SUMIFS(Таблица14[часы],Таблица14[коэф],"1",Таблица14[р/р],"5/16",Таблица14[Ф. И. О.],B737)</f>
        <v>0</v>
      </c>
      <c r="T734" s="392">
        <f>SUMIFS(Таблица14[Столбец2],Таблица14[коэф],"1",Таблица14[р/р],"5/16",Таблица14[Ф. И. О.],B737)</f>
        <v>0</v>
      </c>
      <c r="U734" s="478">
        <f>база!$M$6</f>
        <v>279.0496</v>
      </c>
      <c r="V734" s="390">
        <v>1</v>
      </c>
      <c r="W734" s="412">
        <f>SUMIFS(Таблица14[часы],Таблица14[коэф],"1",Таблица14[р/р],"5/24",Таблица14[Ф. И. О.],B737)</f>
        <v>0</v>
      </c>
      <c r="X734" s="545">
        <f>SUMIFS(Таблица14[Столбец2],Таблица14[коэф],"1",Таблица14[р/р],"5/24",Таблица14[Ф. И. О.],B737)</f>
        <v>0</v>
      </c>
      <c r="Y734" s="801"/>
      <c r="Z734" s="797"/>
      <c r="AA734" s="786"/>
    </row>
    <row r="735" spans="1:29" ht="18.75" customHeight="1">
      <c r="A735" s="786"/>
      <c r="B735" s="216"/>
      <c r="C735" s="789"/>
      <c r="D735" s="792"/>
      <c r="E735" s="389"/>
      <c r="F735" s="390"/>
      <c r="G735" s="400"/>
      <c r="H735" s="392"/>
      <c r="I735" s="432">
        <f>база!$J$5</f>
        <v>215.4924</v>
      </c>
      <c r="J735" s="433">
        <v>1.5</v>
      </c>
      <c r="K735" s="434">
        <f>SUMIFS(Таблица14[часы],Таблица14[коэф],"1,5",Таблица14[р/р],"4/8",Таблица14[Ф. И. О.],B737)</f>
        <v>0</v>
      </c>
      <c r="L735" s="434">
        <f>SUMIFS(Таблица14[Столбец2],Таблица14[коэф],"1,5",Таблица14[р/р],"4/8",Таблица14[Ф. И. О.],B737)</f>
        <v>0</v>
      </c>
      <c r="M735" s="434"/>
      <c r="N735" s="434"/>
      <c r="O735" s="434"/>
      <c r="P735" s="406"/>
      <c r="Q735" s="389">
        <f>IF(D732&lt;=3,база!$L$4,
IF(D732=4,база!$L$5,
IF(D732=5,база!$L$6)))</f>
        <v>210.57480000000001</v>
      </c>
      <c r="R735" s="390">
        <v>1.2</v>
      </c>
      <c r="S735" s="400">
        <f>SUMIFS(Таблица14[часы],Таблица14[коэф],"1,2",Таблица14[р/р],"3/16",Таблица14[Ф. И. О.],B737)</f>
        <v>0</v>
      </c>
      <c r="T735" s="392">
        <f>SUMIFS(Таблица14[Столбец2],Таблица14[коэф],"1,2",Таблица14[р/р],"3/16",Таблица14[Ф. И. О.],B737)</f>
        <v>0</v>
      </c>
      <c r="U735" s="478">
        <f>IF(D732&lt;=3,база!$M$4,
IF(D732=4,база!$M$5,
IF(D732=5,база!$M$6)))</f>
        <v>225.09719999999999</v>
      </c>
      <c r="V735" s="390">
        <v>1.2</v>
      </c>
      <c r="W735" s="412">
        <f>SUMIFS(Таблица14[часы],Таблица14[коэф],"1,2",Таблица14[р/р],"3/24",Таблица14[Ф. И. О.],B737)</f>
        <v>0</v>
      </c>
      <c r="X735" s="545">
        <f>SUMIFS(Таблица14[Столбец2],Таблица14[коэф],"1,2",Таблица14[р/р],"3/24",Таблица14[Ф. И. О.],B737)</f>
        <v>0</v>
      </c>
      <c r="Y735" s="801"/>
      <c r="Z735" s="797"/>
      <c r="AA735" s="786"/>
    </row>
    <row r="736" spans="1:29" ht="18.75" customHeight="1">
      <c r="A736" s="786"/>
      <c r="B736" s="216"/>
      <c r="C736" s="789"/>
      <c r="D736" s="792"/>
      <c r="E736" s="389"/>
      <c r="F736" s="390"/>
      <c r="G736" s="400"/>
      <c r="H736" s="392"/>
      <c r="I736" s="432">
        <f>база!$J$6</f>
        <v>243.04319999999998</v>
      </c>
      <c r="J736" s="433">
        <v>1.5</v>
      </c>
      <c r="K736" s="434">
        <f>SUMIFS(Таблица14[часы],Таблица14[коэф],"1,5",Таблица14[р/р],"5/8",Таблица14[Ф. И. О.],B737)</f>
        <v>0</v>
      </c>
      <c r="L736" s="434">
        <f>SUMIFS(Таблица14[Столбец2],Таблица14[коэф],"1,5",Таблица14[р/р],"5/8",Таблица14[Ф. И. О.],B737)</f>
        <v>0</v>
      </c>
      <c r="M736" s="434"/>
      <c r="N736" s="434"/>
      <c r="O736" s="434"/>
      <c r="P736" s="406"/>
      <c r="Q736" s="389">
        <f>база!$L$5</f>
        <v>231.45480000000001</v>
      </c>
      <c r="R736" s="390">
        <v>1.2</v>
      </c>
      <c r="S736" s="400">
        <f>SUMIFS(Таблица14[часы],Таблица14[коэф],"1,2",Таблица14[р/р],"4/16",Таблица14[Ф. И. О.],B737)</f>
        <v>0</v>
      </c>
      <c r="T736" s="392">
        <f>SUMIFS(Таблица14[Столбец2],Таблица14[коэф],"1,2",Таблица14[р/р],"4/16",Таблица14[Ф. И. О.],B737)</f>
        <v>0</v>
      </c>
      <c r="U736" s="478">
        <f>база!$M$5</f>
        <v>247.41720000000001</v>
      </c>
      <c r="V736" s="390">
        <v>1.2</v>
      </c>
      <c r="W736" s="412">
        <f>SUMIFS(Таблица14[часы],Таблица14[коэф],"1,2",Таблица14[р/р],"4/24",Таблица14[Ф. И. О.],B737)</f>
        <v>0</v>
      </c>
      <c r="X736" s="545">
        <f>SUMIFS(Таблица14[Столбец2],Таблица14[коэф],"1,2",Таблица14[р/р],"4/24",Таблица14[Ф. И. О.],B737)</f>
        <v>0</v>
      </c>
      <c r="Y736" s="801"/>
      <c r="Z736" s="797"/>
      <c r="AA736" s="786"/>
    </row>
    <row r="737" spans="1:29" ht="18.75" customHeight="1">
      <c r="A737" s="786"/>
      <c r="B737" s="216" t="str">
        <f>база!B68</f>
        <v>Саидова Ольга Владимировна</v>
      </c>
      <c r="C737" s="789"/>
      <c r="D737" s="792"/>
      <c r="E737" s="389"/>
      <c r="F737" s="390"/>
      <c r="G737" s="400"/>
      <c r="H737" s="392"/>
      <c r="I737" s="432"/>
      <c r="J737" s="433"/>
      <c r="K737" s="434"/>
      <c r="L737" s="434"/>
      <c r="M737" s="434"/>
      <c r="N737" s="434"/>
      <c r="O737" s="434"/>
      <c r="P737" s="406"/>
      <c r="Q737" s="389">
        <f>база!$L$6</f>
        <v>261.04640000000001</v>
      </c>
      <c r="R737" s="390">
        <v>1.2</v>
      </c>
      <c r="S737" s="400">
        <f>SUMIFS(Таблица14[часы],Таблица14[коэф],"1,2",Таблица14[р/р],"5/16",Таблица14[Ф. И. О.],B737)</f>
        <v>0</v>
      </c>
      <c r="T737" s="392">
        <f>SUMIFS(Таблица14[Столбец2],Таблица14[коэф],"1,2",Таблица14[р/р],"5/16",Таблица14[Ф. И. О.],B737)</f>
        <v>0</v>
      </c>
      <c r="U737" s="478">
        <f>база!$M$6</f>
        <v>279.0496</v>
      </c>
      <c r="V737" s="390">
        <v>1.2</v>
      </c>
      <c r="W737" s="412">
        <f>SUMIFS(Таблица14[часы],Таблица14[коэф],"1,2",Таблица14[р/р],"5/24",Таблица14[Ф. И. О.],B737)</f>
        <v>0</v>
      </c>
      <c r="X737" s="545">
        <f>SUMIFS(Таблица14[Столбец2],Таблица14[коэф],"1,2",Таблица14[р/р],"5/24",Таблица14[Ф. И. О.],B737)</f>
        <v>0</v>
      </c>
      <c r="Y737" s="801"/>
      <c r="Z737" s="797"/>
      <c r="AA737" s="786"/>
      <c r="AC737" s="754" t="str">
        <f>IF(SUMIFS(Таблица14[Столбец2],Таблица14[Ф. И. О.],B737)-Z732=0,"",SUMIFS(Таблица14[Столбец2],Таблица14[Ф. И. О.],B737)-Z732)</f>
        <v/>
      </c>
    </row>
    <row r="738" spans="1:29" ht="18.75" customHeight="1">
      <c r="A738" s="786"/>
      <c r="B738" s="216"/>
      <c r="C738" s="789"/>
      <c r="D738" s="792"/>
      <c r="E738" s="389"/>
      <c r="F738" s="390"/>
      <c r="G738" s="400"/>
      <c r="H738" s="392"/>
      <c r="I738" s="432"/>
      <c r="J738" s="433"/>
      <c r="K738" s="434"/>
      <c r="L738" s="434"/>
      <c r="M738" s="434"/>
      <c r="N738" s="434"/>
      <c r="O738" s="434"/>
      <c r="P738" s="406"/>
      <c r="Q738" s="389">
        <f>IF($D$6&lt;=3,база!$L$4,
IF($D$6=4,база!$L$5,
IF($D$6=5,база!$L$6)))</f>
        <v>231.45480000000001</v>
      </c>
      <c r="R738" s="390">
        <v>1.3</v>
      </c>
      <c r="S738" s="400">
        <f>SUMIFS(Таблица14[часы],Таблица14[коэф],"1,3",Таблица14[р/р],"3/16",Таблица14[Ф. И. О.],B737)</f>
        <v>0</v>
      </c>
      <c r="T738" s="392">
        <f>SUMIFS(Таблица14[Столбец2],Таблица14[коэф],"1,3",Таблица14[р/р],"3/16",Таблица14[Ф. И. О.],B737)</f>
        <v>0</v>
      </c>
      <c r="U738" s="478">
        <f>IF(D732&lt;=3,база!$M$4,
IF(D732=4,база!$M$5,
IF(D732=5,база!$M$6)))</f>
        <v>225.09719999999999</v>
      </c>
      <c r="V738" s="390">
        <v>1.3</v>
      </c>
      <c r="W738" s="412">
        <f>SUMIFS(Таблица14[часы],Таблица14[коэф],"1,3",Таблица14[р/р],"3/24",Таблица14[Ф. И. О.],B737)</f>
        <v>0</v>
      </c>
      <c r="X738" s="545">
        <f>SUMIFS(Таблица14[Столбец2],Таблица14[коэф],"1,3",Таблица14[р/р],"3/24",Таблица14[Ф. И. О.],B737)</f>
        <v>0</v>
      </c>
      <c r="Y738" s="801"/>
      <c r="Z738" s="797"/>
      <c r="AA738" s="786"/>
      <c r="AC738" s="754" t="str">
        <f>IF(SUMIFS(Таблица14[часы],Таблица14[Ф. И. О.],B737)-Y732=0,"",SUMIFS(Таблица14[часы],Таблица14[Ф. И. О.],B737)-Y732)</f>
        <v/>
      </c>
    </row>
    <row r="739" spans="1:29" ht="18.75" customHeight="1">
      <c r="A739" s="786"/>
      <c r="B739" s="216"/>
      <c r="C739" s="789"/>
      <c r="D739" s="792"/>
      <c r="E739" s="389"/>
      <c r="F739" s="390"/>
      <c r="G739" s="400"/>
      <c r="H739" s="392"/>
      <c r="I739" s="432"/>
      <c r="J739" s="433"/>
      <c r="K739" s="434"/>
      <c r="L739" s="434"/>
      <c r="M739" s="434"/>
      <c r="N739" s="434"/>
      <c r="O739" s="434"/>
      <c r="P739" s="406"/>
      <c r="Q739" s="389">
        <f>база!$L$5</f>
        <v>231.45480000000001</v>
      </c>
      <c r="R739" s="390">
        <v>1.3</v>
      </c>
      <c r="S739" s="400">
        <f>SUMIFS(Таблица14[часы],Таблица14[коэф],"1,3",Таблица14[р/р],"4/16",Таблица14[Ф. И. О.],B737)</f>
        <v>0</v>
      </c>
      <c r="T739" s="392">
        <f>SUMIFS(Таблица14[Столбец2],Таблица14[коэф],"1,3",Таблица14[р/р],"4/16",Таблица14[Ф. И. О.],B737)</f>
        <v>0</v>
      </c>
      <c r="U739" s="478">
        <f>база!$M$5</f>
        <v>247.41720000000001</v>
      </c>
      <c r="V739" s="390">
        <v>1.3</v>
      </c>
      <c r="W739" s="412">
        <f>SUMIFS(Таблица14[часы],Таблица14[коэф],"1,3",Таблица14[р/р],"4/24",Таблица14[Ф. И. О.],B737)</f>
        <v>0</v>
      </c>
      <c r="X739" s="545">
        <f>SUMIFS(Таблица14[Столбец2],Таблица14[коэф],"1,3",Таблица14[р/р],"4/24",Таблица14[Ф. И. О.],B737)</f>
        <v>0</v>
      </c>
      <c r="Y739" s="801"/>
      <c r="Z739" s="797"/>
      <c r="AA739" s="786"/>
    </row>
    <row r="740" spans="1:29" ht="18.75" customHeight="1">
      <c r="A740" s="786"/>
      <c r="B740" s="216"/>
      <c r="C740" s="789"/>
      <c r="D740" s="792"/>
      <c r="E740" s="389"/>
      <c r="F740" s="390"/>
      <c r="G740" s="400"/>
      <c r="H740" s="392"/>
      <c r="I740" s="432"/>
      <c r="J740" s="433"/>
      <c r="K740" s="434"/>
      <c r="L740" s="434"/>
      <c r="M740" s="434"/>
      <c r="N740" s="434"/>
      <c r="O740" s="434"/>
      <c r="P740" s="406"/>
      <c r="Q740" s="389">
        <f>IF(D732&lt;=3,база!$L$4,
IF(D732=4,база!$L$5,
IF(D732=5,база!$L$6)))</f>
        <v>210.57480000000001</v>
      </c>
      <c r="R740" s="390">
        <v>1.4</v>
      </c>
      <c r="S740" s="400">
        <f>SUMIFS(Таблица14[часы],Таблица14[коэф],"1,4",Таблица14[р/р],"3/16",Таблица14[Ф. И. О.],B737)</f>
        <v>0</v>
      </c>
      <c r="T740" s="392">
        <f>SUMIFS(Таблица14[Столбец2],Таблица14[коэф],"1,4",Таблица14[р/р],"3/16",Таблица14[Ф. И. О.],B737)</f>
        <v>0</v>
      </c>
      <c r="U740" s="478">
        <f>IF(D732&lt;=3,база!$M$4,
IF(D732=4,база!$M$5,
IF(D732=5,база!$M$6)))</f>
        <v>225.09719999999999</v>
      </c>
      <c r="V740" s="390">
        <v>1.4</v>
      </c>
      <c r="W740" s="412">
        <f>SUMIFS(Таблица14[часы],Таблица14[коэф],"1,4",Таблица14[р/р],"3/24",Таблица14[Ф. И. О.],B737)</f>
        <v>0</v>
      </c>
      <c r="X740" s="545">
        <f>SUMIFS(Таблица14[Столбец2],Таблица14[коэф],"1,4",Таблица14[р/р],"3/24",Таблица14[Ф. И. О.],B737)</f>
        <v>0</v>
      </c>
      <c r="Y740" s="801"/>
      <c r="Z740" s="797"/>
      <c r="AA740" s="786"/>
    </row>
    <row r="741" spans="1:29" ht="18.75" customHeight="1">
      <c r="A741" s="786"/>
      <c r="B741" s="216"/>
      <c r="C741" s="789"/>
      <c r="D741" s="792"/>
      <c r="E741" s="389"/>
      <c r="F741" s="390"/>
      <c r="G741" s="400"/>
      <c r="H741" s="392"/>
      <c r="I741" s="432"/>
      <c r="J741" s="433"/>
      <c r="K741" s="434"/>
      <c r="L741" s="434"/>
      <c r="M741" s="434"/>
      <c r="N741" s="434"/>
      <c r="O741" s="434"/>
      <c r="P741" s="406"/>
      <c r="Q741" s="389">
        <f>база!$L$5</f>
        <v>231.45480000000001</v>
      </c>
      <c r="R741" s="390">
        <v>1.4</v>
      </c>
      <c r="S741" s="400">
        <f>SUMIFS(Таблица14[часы],Таблица14[коэф],"1,4",Таблица14[р/р],"4/16",Таблица14[Ф. И. О.],B737)</f>
        <v>0</v>
      </c>
      <c r="T741" s="392">
        <f>SUMIFS(Таблица14[Столбец2],Таблица14[коэф],"1,4",Таблица14[р/р],"4/16",Таблица14[Ф. И. О.],B737)</f>
        <v>0</v>
      </c>
      <c r="U741" s="478">
        <f>база!$M$5</f>
        <v>247.41720000000001</v>
      </c>
      <c r="V741" s="390">
        <v>1.4</v>
      </c>
      <c r="W741" s="412">
        <f>SUMIFS(Таблица14[часы],Таблица14[коэф],"1,4",Таблица14[р/р],"4/24",Таблица14[Ф. И. О.],B737)</f>
        <v>0</v>
      </c>
      <c r="X741" s="545">
        <f>SUMIFS(Таблица14[Столбец2],Таблица14[коэф],"1,4",Таблица14[р/р],"4/24",Таблица14[Ф. И. О.],B737)</f>
        <v>0</v>
      </c>
      <c r="Y741" s="801"/>
      <c r="Z741" s="797"/>
      <c r="AA741" s="786"/>
    </row>
    <row r="742" spans="1:29" ht="19.5" customHeight="1" thickBot="1">
      <c r="A742" s="787"/>
      <c r="B742" s="352"/>
      <c r="C742" s="790"/>
      <c r="D742" s="793"/>
      <c r="E742" s="445"/>
      <c r="F742" s="446"/>
      <c r="G742" s="653"/>
      <c r="H742" s="535"/>
      <c r="I742" s="654"/>
      <c r="J742" s="617"/>
      <c r="K742" s="655"/>
      <c r="L742" s="457"/>
      <c r="M742" s="654"/>
      <c r="N742" s="655"/>
      <c r="O742" s="655"/>
      <c r="P742" s="538"/>
      <c r="Q742" s="656">
        <f>база!$L$6</f>
        <v>261.04640000000001</v>
      </c>
      <c r="R742" s="446">
        <v>1.4</v>
      </c>
      <c r="S742" s="447">
        <f>SUMIFS(Таблица14[часы],Таблица14[коэф],"1,4",Таблица14[р/р],"5/16",Таблица14[Ф. И. О.],B737)</f>
        <v>0</v>
      </c>
      <c r="T742" s="535">
        <f>SUMIFS(Таблица14[Столбец2],Таблица14[коэф],"1,4",Таблица14[р/р],"5/16",Таблица14[Ф. И. О.],B737)</f>
        <v>0</v>
      </c>
      <c r="U742" s="536">
        <f>база!$M$6</f>
        <v>279.0496</v>
      </c>
      <c r="V742" s="464">
        <v>1.4</v>
      </c>
      <c r="W742" s="447">
        <f>SUMIFS(Таблица14[часы],Таблица14[коэф],"1,4",Таблица14[р/р],"5/24",Таблица14[Ф. И. О.],B737)</f>
        <v>0</v>
      </c>
      <c r="X742" s="535">
        <f>SUMIFS(Таблица14[Столбец2],Таблица14[коэф],"1,4",Таблица14[р/р],"5/24",Таблица14[Ф. И. О.],B737)</f>
        <v>0</v>
      </c>
      <c r="Y742" s="802"/>
      <c r="Z742" s="798"/>
      <c r="AA742" s="787"/>
    </row>
    <row r="743" spans="1:29" ht="18.75" customHeight="1">
      <c r="A743" s="786">
        <v>68</v>
      </c>
      <c r="B743" s="216"/>
      <c r="C743" s="788">
        <f>INDEX(база!$E$2:$E$150, MATCH(B748,база!$B$2:$B$150,0))</f>
        <v>17102</v>
      </c>
      <c r="D743" s="791">
        <f>INDEX(база!$D$2:$D$150, MATCH(B748,база!$B$2:$B$150,0))</f>
        <v>3</v>
      </c>
      <c r="E743" s="481">
        <f>IF(D743&lt;=3,база!$I$4,
IF(D743=4,база!$I$5,
IF(D743=5,база!$I$6)))</f>
        <v>188.7912</v>
      </c>
      <c r="F743" s="417">
        <v>1</v>
      </c>
      <c r="G743" s="418">
        <f>SUMIFS(Таблица14[часы],Таблица14[коэф],"1",Таблица14[р/р],"2/4",Таблица14[Ф. И. О.],B748)</f>
        <v>0</v>
      </c>
      <c r="H743" s="402">
        <f>SUMIFS(Таблица14[Столбец2],Таблица14[коэф],"1",Таблица14[р/р],"2/4",Таблица14[Ф. И. О.],B748)</f>
        <v>0</v>
      </c>
      <c r="I743" s="452">
        <f>IF(D743&lt;=3,база!$J$4,
IF(D743=4,база!$J$5,
IF(D743=5,база!$J$6)))</f>
        <v>196.05240000000001</v>
      </c>
      <c r="J743" s="475">
        <v>1</v>
      </c>
      <c r="K743" s="453">
        <f>SUMIFS(Таблица14[часы],Таблица14[коэф],"1",Таблица14[р/р],"2/8",Таблица14[Ф. И. О.],B748)</f>
        <v>0</v>
      </c>
      <c r="L743" s="453">
        <f>SUMIFS(Таблица14[Столбец2],Таблица14[коэф],"1",Таблица14[р/р],"2/8",Таблица14[Ф. И. О.],B748)</f>
        <v>0</v>
      </c>
      <c r="M743" s="453"/>
      <c r="N743" s="453">
        <v>1</v>
      </c>
      <c r="O743" s="453">
        <f>SUMIFS(Data_Tech!$AM$3:$AM$67,Data_Tech!$E$3:$E$67,"1",Data_Tech!$G$3:$G$67,"3/12",Data_Tech!$F$3:$F$67,B748)</f>
        <v>0</v>
      </c>
      <c r="P743" s="398">
        <f>ROUND(M743*N743*O743,2)</f>
        <v>0</v>
      </c>
      <c r="Q743" s="481">
        <f>IF(D743&lt;=3,база!$L$4,
IF(D743=4,база!$L$5,
IF(D743=5,база!$L$6)))</f>
        <v>210.57480000000001</v>
      </c>
      <c r="R743" s="417">
        <v>1</v>
      </c>
      <c r="S743" s="418">
        <f>SUMIFS(Таблица14[часы],Таблица14[коэф],"1",Таблица14[р/р],"3/16",Таблица14[Ф. И. О.],B748)</f>
        <v>0</v>
      </c>
      <c r="T743" s="402">
        <f>SUMIFS(Таблица14[Столбец2],Таблица14[коэф],"1",Таблица14[р/р],"3/16",Таблица14[Ф. И. О.],B748)</f>
        <v>0</v>
      </c>
      <c r="U743" s="483">
        <f>IF(D743&lt;=3,база!$M$4,
IF(D743=4,база!$M$5,
IF(D743=5,база!$M$6)))</f>
        <v>225.09719999999999</v>
      </c>
      <c r="V743" s="417">
        <v>1</v>
      </c>
      <c r="W743" s="455">
        <f>SUMIFS(Таблица14[часы],Таблица14[коэф],"1",Таблица14[р/р],"3/24",Таблица14[Ф. И. О.],B748)</f>
        <v>0</v>
      </c>
      <c r="X743" s="552">
        <f>SUMIFS(Таблица14[Столбец2],Таблица14[коэф],"1",Таблица14[р/р],"3/24",Таблица14[Ф. И. О.],B748)</f>
        <v>0</v>
      </c>
      <c r="Y743" s="801">
        <f t="shared" ref="Y743" si="272">SUM(G743:G753,K743:K753,O743:O753,S743:S753,W743:W753)</f>
        <v>0</v>
      </c>
      <c r="Z743" s="797">
        <f t="shared" ref="Z743" si="273">IFERROR(SUM(H743:H753,L743:L753,T743:T753,X743:X753),"")</f>
        <v>0</v>
      </c>
      <c r="AA743" s="786"/>
    </row>
    <row r="744" spans="1:29" ht="18.75" customHeight="1">
      <c r="A744" s="786"/>
      <c r="B744" s="216"/>
      <c r="C744" s="789"/>
      <c r="D744" s="792"/>
      <c r="E744" s="389">
        <f>IF(D743&lt;=3,база!$I$4,
IF(D743=4,база!$I$5,
IF(D743=5,база!$I$6)))</f>
        <v>188.7912</v>
      </c>
      <c r="F744" s="390">
        <v>1</v>
      </c>
      <c r="G744" s="400">
        <f>SUMIFS(Таблица14[часы],Таблица14[коэф],"1",Таблица14[р/р],"3/4",Таблица14[Ф. И. О.],B748)</f>
        <v>0</v>
      </c>
      <c r="H744" s="392">
        <f>SUMIFS(Таблица14[Столбец2],Таблица14[коэф],"1",Таблица14[р/р],"3/4",Таблица14[Ф. И. О.],B748)</f>
        <v>0</v>
      </c>
      <c r="I744" s="432">
        <f>IF(D743&lt;=3,база!$J$4,
IF(D743=4,база!$J$5,
IF(D743=5,база!$J$6)))</f>
        <v>196.05240000000001</v>
      </c>
      <c r="J744" s="433">
        <v>1</v>
      </c>
      <c r="K744" s="434">
        <f>SUMIFS(Таблица14[часы],Таблица14[коэф],"1",Таблица14[р/р],"3/8",Таблица14[Ф. И. О.],B748)</f>
        <v>0</v>
      </c>
      <c r="L744" s="434">
        <f>SUMIFS(Таблица14[Столбец2],Таблица14[коэф],"1",Таблица14[р/р],"3/8",Таблица14[Ф. И. О.],B748)</f>
        <v>0</v>
      </c>
      <c r="M744" s="434"/>
      <c r="N744" s="434">
        <v>1</v>
      </c>
      <c r="O744" s="434">
        <f>SUMIFS(Data_Tech!$AM$3:$AM$67,Data_Tech!$E$3:$E$67,"1",Data_Tech!$G$3:$G$67,"4/12",Data_Tech!$F$3:$F$67,B748)</f>
        <v>0</v>
      </c>
      <c r="P744" s="406">
        <f>ROUND(M744*O744,2)</f>
        <v>0</v>
      </c>
      <c r="Q744" s="389">
        <f>база!$L$5</f>
        <v>231.45480000000001</v>
      </c>
      <c r="R744" s="390">
        <v>1</v>
      </c>
      <c r="S744" s="400">
        <f>SUMIFS(Таблица14[часы],Таблица14[коэф],"1",Таблица14[р/р],"4/16",Таблица14[Ф. И. О.],B748)</f>
        <v>0</v>
      </c>
      <c r="T744" s="392">
        <f>SUMIFS(Таблица14[Столбец2],Таблица14[коэф],"1",Таблица14[р/р],"4/16",Таблица14[Ф. И. О.],B748)</f>
        <v>0</v>
      </c>
      <c r="U744" s="478">
        <f>база!$M$5</f>
        <v>247.41720000000001</v>
      </c>
      <c r="V744" s="390">
        <v>1</v>
      </c>
      <c r="W744" s="412">
        <f>SUMIFS(Таблица14[часы],Таблица14[коэф],"1",Таблица14[р/р],"4/24",Таблица14[Ф. И. О.],B748)</f>
        <v>0</v>
      </c>
      <c r="X744" s="545">
        <f>SUMIFS(Таблица14[Столбец2],Таблица14[коэф],"1",Таблица14[р/р],"4/24",Таблица14[Ф. И. О.],B748)</f>
        <v>0</v>
      </c>
      <c r="Y744" s="801"/>
      <c r="Z744" s="797"/>
      <c r="AA744" s="786"/>
    </row>
    <row r="745" spans="1:29" ht="18.75" customHeight="1">
      <c r="A745" s="786"/>
      <c r="B745" s="216"/>
      <c r="C745" s="789"/>
      <c r="D745" s="792"/>
      <c r="E745" s="389"/>
      <c r="F745" s="390"/>
      <c r="G745" s="400"/>
      <c r="H745" s="392"/>
      <c r="I745" s="432"/>
      <c r="J745" s="433"/>
      <c r="K745" s="434"/>
      <c r="L745" s="434"/>
      <c r="M745" s="434"/>
      <c r="N745" s="434"/>
      <c r="O745" s="434"/>
      <c r="P745" s="406"/>
      <c r="Q745" s="389">
        <f>база!$L$6</f>
        <v>261.04640000000001</v>
      </c>
      <c r="R745" s="390">
        <v>1</v>
      </c>
      <c r="S745" s="400">
        <f>SUMIFS(Таблица14[часы],Таблица14[коэф],"1",Таблица14[р/р],"5/16",Таблица14[Ф. И. О.],B748)</f>
        <v>0</v>
      </c>
      <c r="T745" s="392">
        <f>SUMIFS(Таблица14[Столбец2],Таблица14[коэф],"1",Таблица14[р/р],"5/16",Таблица14[Ф. И. О.],B748)</f>
        <v>0</v>
      </c>
      <c r="U745" s="478">
        <f>база!$M$6</f>
        <v>279.0496</v>
      </c>
      <c r="V745" s="390">
        <v>1</v>
      </c>
      <c r="W745" s="412">
        <f>SUMIFS(Таблица14[часы],Таблица14[коэф],"1",Таблица14[р/р],"5/24",Таблица14[Ф. И. О.],B748)</f>
        <v>0</v>
      </c>
      <c r="X745" s="545">
        <f>SUMIFS(Таблица14[Столбец2],Таблица14[коэф],"1",Таблица14[р/р],"5/24",Таблица14[Ф. И. О.],B748)</f>
        <v>0</v>
      </c>
      <c r="Y745" s="801"/>
      <c r="Z745" s="797"/>
      <c r="AA745" s="786"/>
    </row>
    <row r="746" spans="1:29" ht="18.75" customHeight="1">
      <c r="A746" s="786"/>
      <c r="B746" s="216"/>
      <c r="C746" s="789"/>
      <c r="D746" s="792"/>
      <c r="E746" s="389"/>
      <c r="F746" s="390"/>
      <c r="G746" s="400"/>
      <c r="H746" s="392"/>
      <c r="I746" s="432">
        <f>база!$J$5</f>
        <v>215.4924</v>
      </c>
      <c r="J746" s="433">
        <v>1.5</v>
      </c>
      <c r="K746" s="434">
        <f>SUMIFS(Таблица14[часы],Таблица14[коэф],"1,5",Таблица14[р/р],"4/8",Таблица14[Ф. И. О.],B748)</f>
        <v>0</v>
      </c>
      <c r="L746" s="434">
        <f>SUMIFS(Таблица14[Столбец2],Таблица14[коэф],"1,5",Таблица14[р/р],"4/8",Таблица14[Ф. И. О.],B748)</f>
        <v>0</v>
      </c>
      <c r="M746" s="434"/>
      <c r="N746" s="434"/>
      <c r="O746" s="434"/>
      <c r="P746" s="406"/>
      <c r="Q746" s="389">
        <f>IF(D743&lt;=3,база!$L$4,
IF(D743=4,база!$L$5,
IF(D743=5,база!$L$6)))</f>
        <v>210.57480000000001</v>
      </c>
      <c r="R746" s="390">
        <v>1.2</v>
      </c>
      <c r="S746" s="400">
        <f>SUMIFS(Таблица14[часы],Таблица14[коэф],"1,2",Таблица14[р/р],"3/16",Таблица14[Ф. И. О.],B748)</f>
        <v>0</v>
      </c>
      <c r="T746" s="392">
        <f>SUMIFS(Таблица14[Столбец2],Таблица14[коэф],"1,2",Таблица14[р/р],"3/16",Таблица14[Ф. И. О.],B748)</f>
        <v>0</v>
      </c>
      <c r="U746" s="478">
        <f>IF(D743&lt;=3,база!$M$4,
IF(D743=4,база!$M$5,
IF(D743=5,база!$M$6)))</f>
        <v>225.09719999999999</v>
      </c>
      <c r="V746" s="390">
        <v>1.2</v>
      </c>
      <c r="W746" s="412">
        <f>SUMIFS(Таблица14[часы],Таблица14[коэф],"1,2",Таблица14[р/р],"3/24",Таблица14[Ф. И. О.],B748)</f>
        <v>0</v>
      </c>
      <c r="X746" s="545">
        <f>SUMIFS(Таблица14[Столбец2],Таблица14[коэф],"1,2",Таблица14[р/р],"3/24",Таблица14[Ф. И. О.],B748)</f>
        <v>0</v>
      </c>
      <c r="Y746" s="801"/>
      <c r="Z746" s="797"/>
      <c r="AA746" s="786"/>
    </row>
    <row r="747" spans="1:29" ht="18.75" customHeight="1">
      <c r="A747" s="786"/>
      <c r="B747" s="216"/>
      <c r="C747" s="789"/>
      <c r="D747" s="792"/>
      <c r="E747" s="389"/>
      <c r="F747" s="390"/>
      <c r="G747" s="400"/>
      <c r="H747" s="392"/>
      <c r="I747" s="432">
        <f>база!$J$6</f>
        <v>243.04319999999998</v>
      </c>
      <c r="J747" s="433">
        <v>1.5</v>
      </c>
      <c r="K747" s="434">
        <f>SUMIFS(Таблица14[часы],Таблица14[коэф],"1,5",Таблица14[р/р],"5/8",Таблица14[Ф. И. О.],B748)</f>
        <v>0</v>
      </c>
      <c r="L747" s="434">
        <f>SUMIFS(Таблица14[Столбец2],Таблица14[коэф],"1,5",Таблица14[р/р],"5/8",Таблица14[Ф. И. О.],B748)</f>
        <v>0</v>
      </c>
      <c r="M747" s="434"/>
      <c r="N747" s="434"/>
      <c r="O747" s="434"/>
      <c r="P747" s="406"/>
      <c r="Q747" s="389">
        <f>база!$L$5</f>
        <v>231.45480000000001</v>
      </c>
      <c r="R747" s="390">
        <v>1.2</v>
      </c>
      <c r="S747" s="400">
        <f>SUMIFS(Таблица14[часы],Таблица14[коэф],"1,2",Таблица14[р/р],"4/16",Таблица14[Ф. И. О.],B748)</f>
        <v>0</v>
      </c>
      <c r="T747" s="392">
        <f>SUMIFS(Таблица14[Столбец2],Таблица14[коэф],"1,2",Таблица14[р/р],"4/16",Таблица14[Ф. И. О.],B748)</f>
        <v>0</v>
      </c>
      <c r="U747" s="478">
        <f>база!$M$5</f>
        <v>247.41720000000001</v>
      </c>
      <c r="V747" s="390">
        <v>1.2</v>
      </c>
      <c r="W747" s="412">
        <f>SUMIFS(Таблица14[часы],Таблица14[коэф],"1,2",Таблица14[р/р],"4/24",Таблица14[Ф. И. О.],B748)</f>
        <v>0</v>
      </c>
      <c r="X747" s="545">
        <f>SUMIFS(Таблица14[Столбец2],Таблица14[коэф],"1,2",Таблица14[р/р],"4/24",Таблица14[Ф. И. О.],B748)</f>
        <v>0</v>
      </c>
      <c r="Y747" s="801"/>
      <c r="Z747" s="797"/>
      <c r="AA747" s="786"/>
    </row>
    <row r="748" spans="1:29" ht="18.75" customHeight="1">
      <c r="A748" s="786"/>
      <c r="B748" s="216" t="str">
        <f>база!B69</f>
        <v>Сайпулаева Феодосия Андреевна</v>
      </c>
      <c r="C748" s="789"/>
      <c r="D748" s="792"/>
      <c r="E748" s="389"/>
      <c r="F748" s="390"/>
      <c r="G748" s="400"/>
      <c r="H748" s="392"/>
      <c r="I748" s="432"/>
      <c r="J748" s="433"/>
      <c r="K748" s="434"/>
      <c r="L748" s="434"/>
      <c r="M748" s="434"/>
      <c r="N748" s="434"/>
      <c r="O748" s="434"/>
      <c r="P748" s="406"/>
      <c r="Q748" s="389">
        <f>база!$L$6</f>
        <v>261.04640000000001</v>
      </c>
      <c r="R748" s="390">
        <v>1.2</v>
      </c>
      <c r="S748" s="400">
        <f>SUMIFS(Таблица14[часы],Таблица14[коэф],"1,2",Таблица14[р/р],"5/16",Таблица14[Ф. И. О.],B748)</f>
        <v>0</v>
      </c>
      <c r="T748" s="392">
        <f>SUMIFS(Таблица14[Столбец2],Таблица14[коэф],"1,2",Таблица14[р/р],"5/16",Таблица14[Ф. И. О.],B748)</f>
        <v>0</v>
      </c>
      <c r="U748" s="478">
        <f>база!$M$6</f>
        <v>279.0496</v>
      </c>
      <c r="V748" s="390">
        <v>1.2</v>
      </c>
      <c r="W748" s="412">
        <f>SUMIFS(Таблица14[часы],Таблица14[коэф],"1,2",Таблица14[р/р],"5/24",Таблица14[Ф. И. О.],B748)</f>
        <v>0</v>
      </c>
      <c r="X748" s="545">
        <f>SUMIFS(Таблица14[Столбец2],Таблица14[коэф],"1,2",Таблица14[р/р],"5/24",Таблица14[Ф. И. О.],B748)</f>
        <v>0</v>
      </c>
      <c r="Y748" s="801"/>
      <c r="Z748" s="797"/>
      <c r="AA748" s="786"/>
      <c r="AC748" s="754" t="str">
        <f>IF(SUMIFS(Таблица14[Столбец2],Таблица14[Ф. И. О.],B748)-Z743=0,"",SUMIFS(Таблица14[Столбец2],Таблица14[Ф. И. О.],B748)-Z743)</f>
        <v/>
      </c>
    </row>
    <row r="749" spans="1:29" ht="18.75" customHeight="1">
      <c r="A749" s="786"/>
      <c r="B749" s="216"/>
      <c r="C749" s="789"/>
      <c r="D749" s="792"/>
      <c r="E749" s="389"/>
      <c r="F749" s="390"/>
      <c r="G749" s="400"/>
      <c r="H749" s="392"/>
      <c r="I749" s="432"/>
      <c r="J749" s="433"/>
      <c r="K749" s="434"/>
      <c r="L749" s="434"/>
      <c r="M749" s="434"/>
      <c r="N749" s="434"/>
      <c r="O749" s="434"/>
      <c r="P749" s="406"/>
      <c r="Q749" s="389">
        <f>IF($D$6&lt;=3,база!$L$4,
IF($D$6=4,база!$L$5,
IF($D$6=5,база!$L$6)))</f>
        <v>231.45480000000001</v>
      </c>
      <c r="R749" s="390">
        <v>1.3</v>
      </c>
      <c r="S749" s="400">
        <f>SUMIFS(Таблица14[часы],Таблица14[коэф],"1,3",Таблица14[р/р],"3/16",Таблица14[Ф. И. О.],B748)</f>
        <v>0</v>
      </c>
      <c r="T749" s="392">
        <f>SUMIFS(Таблица14[Столбец2],Таблица14[коэф],"1,3",Таблица14[р/р],"3/16",Таблица14[Ф. И. О.],B748)</f>
        <v>0</v>
      </c>
      <c r="U749" s="478">
        <f>IF(D743&lt;=3,база!$M$4,
IF(D743=4,база!$M$5,
IF(D743=5,база!$M$6)))</f>
        <v>225.09719999999999</v>
      </c>
      <c r="V749" s="390">
        <v>1.3</v>
      </c>
      <c r="W749" s="412">
        <f>SUMIFS(Таблица14[часы],Таблица14[коэф],"1,3",Таблица14[р/р],"3/24",Таблица14[Ф. И. О.],B748)</f>
        <v>0</v>
      </c>
      <c r="X749" s="545">
        <f>SUMIFS(Таблица14[Столбец2],Таблица14[коэф],"1,3",Таблица14[р/р],"3/24",Таблица14[Ф. И. О.],B748)</f>
        <v>0</v>
      </c>
      <c r="Y749" s="801"/>
      <c r="Z749" s="797"/>
      <c r="AA749" s="786"/>
      <c r="AC749" s="754" t="str">
        <f>IF(SUMIFS(Таблица14[часы],Таблица14[Ф. И. О.],B748)-Y743=0,"",SUMIFS(Таблица14[часы],Таблица14[Ф. И. О.],B748)-Y743)</f>
        <v/>
      </c>
    </row>
    <row r="750" spans="1:29" ht="18.75" customHeight="1">
      <c r="A750" s="786"/>
      <c r="B750" s="216"/>
      <c r="C750" s="789"/>
      <c r="D750" s="792"/>
      <c r="E750" s="389"/>
      <c r="F750" s="390"/>
      <c r="G750" s="400"/>
      <c r="H750" s="392"/>
      <c r="I750" s="432"/>
      <c r="J750" s="433"/>
      <c r="K750" s="434"/>
      <c r="L750" s="434"/>
      <c r="M750" s="434"/>
      <c r="N750" s="434"/>
      <c r="O750" s="434"/>
      <c r="P750" s="406"/>
      <c r="Q750" s="389">
        <f>база!$L$5</f>
        <v>231.45480000000001</v>
      </c>
      <c r="R750" s="390">
        <v>1.3</v>
      </c>
      <c r="S750" s="400">
        <f>SUMIFS(Таблица14[часы],Таблица14[коэф],"1,3",Таблица14[р/р],"4/16",Таблица14[Ф. И. О.],B748)</f>
        <v>0</v>
      </c>
      <c r="T750" s="392">
        <f>SUMIFS(Таблица14[Столбец2],Таблица14[коэф],"1,3",Таблица14[р/р],"4/16",Таблица14[Ф. И. О.],B748)</f>
        <v>0</v>
      </c>
      <c r="U750" s="478">
        <f>база!$M$5</f>
        <v>247.41720000000001</v>
      </c>
      <c r="V750" s="390">
        <v>1.3</v>
      </c>
      <c r="W750" s="412">
        <f>SUMIFS(Таблица14[часы],Таблица14[коэф],"1,3",Таблица14[р/р],"4/24",Таблица14[Ф. И. О.],B748)</f>
        <v>0</v>
      </c>
      <c r="X750" s="545">
        <f>SUMIFS(Таблица14[Столбец2],Таблица14[коэф],"1,3",Таблица14[р/р],"4/24",Таблица14[Ф. И. О.],B748)</f>
        <v>0</v>
      </c>
      <c r="Y750" s="801"/>
      <c r="Z750" s="797"/>
      <c r="AA750" s="786"/>
    </row>
    <row r="751" spans="1:29" ht="18.75" customHeight="1">
      <c r="A751" s="786"/>
      <c r="B751" s="216"/>
      <c r="C751" s="789"/>
      <c r="D751" s="792"/>
      <c r="E751" s="389"/>
      <c r="F751" s="390"/>
      <c r="G751" s="400"/>
      <c r="H751" s="392"/>
      <c r="I751" s="432"/>
      <c r="J751" s="433"/>
      <c r="K751" s="434"/>
      <c r="L751" s="434"/>
      <c r="M751" s="434"/>
      <c r="N751" s="434"/>
      <c r="O751" s="434"/>
      <c r="P751" s="406"/>
      <c r="Q751" s="389">
        <f>IF(D743&lt;=3,база!$L$4,
IF(D743=4,база!$L$5,
IF(D743=5,база!$L$6)))</f>
        <v>210.57480000000001</v>
      </c>
      <c r="R751" s="390">
        <v>1.4</v>
      </c>
      <c r="S751" s="400">
        <f>SUMIFS(Таблица14[часы],Таблица14[коэф],"1,4",Таблица14[р/р],"3/16",Таблица14[Ф. И. О.],B748)</f>
        <v>0</v>
      </c>
      <c r="T751" s="392">
        <f>SUMIFS(Таблица14[Столбец2],Таблица14[коэф],"1,4",Таблица14[р/р],"3/16",Таблица14[Ф. И. О.],B748)</f>
        <v>0</v>
      </c>
      <c r="U751" s="478">
        <f>IF(D743&lt;=3,база!$M$4,
IF(D743=4,база!$M$5,
IF(D743=5,база!$M$6)))</f>
        <v>225.09719999999999</v>
      </c>
      <c r="V751" s="390">
        <v>1.4</v>
      </c>
      <c r="W751" s="412">
        <f>SUMIFS(Таблица14[часы],Таблица14[коэф],"1,4",Таблица14[р/р],"3/24",Таблица14[Ф. И. О.],B748)</f>
        <v>0</v>
      </c>
      <c r="X751" s="545">
        <f>SUMIFS(Таблица14[Столбец2],Таблица14[коэф],"1,4",Таблица14[р/р],"3/24",Таблица14[Ф. И. О.],B748)</f>
        <v>0</v>
      </c>
      <c r="Y751" s="801"/>
      <c r="Z751" s="797"/>
      <c r="AA751" s="786"/>
    </row>
    <row r="752" spans="1:29" ht="18.75" customHeight="1">
      <c r="A752" s="786"/>
      <c r="B752" s="216"/>
      <c r="C752" s="789"/>
      <c r="D752" s="792"/>
      <c r="E752" s="389"/>
      <c r="F752" s="390"/>
      <c r="G752" s="400"/>
      <c r="H752" s="392"/>
      <c r="I752" s="432"/>
      <c r="J752" s="433"/>
      <c r="K752" s="434"/>
      <c r="L752" s="434"/>
      <c r="M752" s="434"/>
      <c r="N752" s="434"/>
      <c r="O752" s="434"/>
      <c r="P752" s="406"/>
      <c r="Q752" s="389">
        <f>база!$L$5</f>
        <v>231.45480000000001</v>
      </c>
      <c r="R752" s="390">
        <v>1.4</v>
      </c>
      <c r="S752" s="400">
        <f>SUMIFS(Таблица14[часы],Таблица14[коэф],"1,4",Таблица14[р/р],"4/16",Таблица14[Ф. И. О.],B748)</f>
        <v>0</v>
      </c>
      <c r="T752" s="392">
        <f>SUMIFS(Таблица14[Столбец2],Таблица14[коэф],"1,4",Таблица14[р/р],"4/16",Таблица14[Ф. И. О.],B748)</f>
        <v>0</v>
      </c>
      <c r="U752" s="478">
        <f>база!$M$5</f>
        <v>247.41720000000001</v>
      </c>
      <c r="V752" s="390">
        <v>1.4</v>
      </c>
      <c r="W752" s="412">
        <f>SUMIFS(Таблица14[часы],Таблица14[коэф],"1,4",Таблица14[р/р],"4/24",Таблица14[Ф. И. О.],B748)</f>
        <v>0</v>
      </c>
      <c r="X752" s="545">
        <f>SUMIFS(Таблица14[Столбец2],Таблица14[коэф],"1,4",Таблица14[р/р],"4/24",Таблица14[Ф. И. О.],B748)</f>
        <v>0</v>
      </c>
      <c r="Y752" s="801"/>
      <c r="Z752" s="797"/>
      <c r="AA752" s="786"/>
    </row>
    <row r="753" spans="1:29" ht="19.5" customHeight="1" thickBot="1">
      <c r="A753" s="787"/>
      <c r="B753" s="352"/>
      <c r="C753" s="790"/>
      <c r="D753" s="793"/>
      <c r="E753" s="437"/>
      <c r="F753" s="438"/>
      <c r="G753" s="697"/>
      <c r="H753" s="440"/>
      <c r="I753" s="413"/>
      <c r="J753" s="604"/>
      <c r="K753" s="414"/>
      <c r="L753" s="460"/>
      <c r="M753" s="413"/>
      <c r="N753" s="414"/>
      <c r="O753" s="414"/>
      <c r="P753" s="415"/>
      <c r="Q753" s="692">
        <f>база!$L$6</f>
        <v>261.04640000000001</v>
      </c>
      <c r="R753" s="438">
        <v>1.4</v>
      </c>
      <c r="S753" s="439">
        <f>SUMIFS(Таблица14[часы],Таблица14[коэф],"1,4",Таблица14[р/р],"5/16",Таблица14[Ф. И. О.],B748)</f>
        <v>0</v>
      </c>
      <c r="T753" s="440">
        <f>SUMIFS(Таблица14[Столбец2],Таблица14[коэф],"1,4",Таблица14[р/р],"5/16",Таблица14[Ф. И. О.],B748)</f>
        <v>0</v>
      </c>
      <c r="U753" s="515">
        <f>база!$M$6</f>
        <v>279.0496</v>
      </c>
      <c r="V753" s="403">
        <v>1.4</v>
      </c>
      <c r="W753" s="439">
        <f>SUMIFS(Таблица14[часы],Таблица14[коэф],"1,4",Таблица14[р/р],"5/24",Таблица14[Ф. И. О.],B748)</f>
        <v>0</v>
      </c>
      <c r="X753" s="440">
        <f>SUMIFS(Таблица14[Столбец2],Таблица14[коэф],"1,4",Таблица14[р/р],"5/24",Таблица14[Ф. И. О.],B748)</f>
        <v>0</v>
      </c>
      <c r="Y753" s="801"/>
      <c r="Z753" s="798"/>
      <c r="AA753" s="787"/>
    </row>
    <row r="754" spans="1:29" ht="18.75" customHeight="1">
      <c r="A754" s="786">
        <v>69</v>
      </c>
      <c r="B754" s="216"/>
      <c r="C754" s="788">
        <f>INDEX(база!$E$2:$E$150, MATCH(B759,база!$B$2:$B$150,0))</f>
        <v>17329</v>
      </c>
      <c r="D754" s="791">
        <f>INDEX(база!$D$2:$D$150, MATCH(B759,база!$B$2:$B$150,0))</f>
        <v>3</v>
      </c>
      <c r="E754" s="377">
        <f>IF(D754&lt;=3,база!$I$4,
IF(D754=4,база!$I$5,
IF(D754=5,база!$I$6)))</f>
        <v>188.7912</v>
      </c>
      <c r="F754" s="378">
        <v>1</v>
      </c>
      <c r="G754" s="387">
        <f>SUMIFS(Таблица14[часы],Таблица14[коэф],"1",Таблица14[р/р],"2/4",Таблица14[Ф. И. О.],B759)</f>
        <v>0</v>
      </c>
      <c r="H754" s="380">
        <f>SUMIFS(Таблица14[Столбец2],Таблица14[коэф],"1",Таблица14[р/р],"2/4",Таблица14[Ф. И. О.],B759)</f>
        <v>0</v>
      </c>
      <c r="I754" s="426">
        <f>IF(D754&lt;=3,база!$J$4,
IF(D754=4,база!$J$5,
IF(D754=5,база!$J$6)))</f>
        <v>196.05240000000001</v>
      </c>
      <c r="J754" s="427">
        <v>1</v>
      </c>
      <c r="K754" s="428">
        <f>SUMIFS(Таблица14[часы],Таблица14[коэф],"1",Таблица14[р/р],"2/8",Таблица14[Ф. И. О.],B759)</f>
        <v>0</v>
      </c>
      <c r="L754" s="428">
        <f>SUMIFS(Таблица14[Столбец2],Таблица14[коэф],"1",Таблица14[р/р],"2/8",Таблица14[Ф. И. О.],B759)</f>
        <v>0</v>
      </c>
      <c r="M754" s="428"/>
      <c r="N754" s="428">
        <v>1</v>
      </c>
      <c r="O754" s="428">
        <f>SUMIFS(Data_Tech!$AM$3:$AM$67,Data_Tech!$E$3:$E$67,"1",Data_Tech!$G$3:$G$67,"3/12",Data_Tech!$F$3:$F$67,B759)</f>
        <v>0</v>
      </c>
      <c r="P754" s="385">
        <f>ROUND(M754*N754*O754,2)</f>
        <v>0</v>
      </c>
      <c r="Q754" s="377">
        <f>IF(D754&lt;=3,база!$L$4,
IF(D754=4,база!$L$5,
IF(D754=5,база!$L$6)))</f>
        <v>210.57480000000001</v>
      </c>
      <c r="R754" s="378">
        <v>1</v>
      </c>
      <c r="S754" s="387">
        <f>SUMIFS(Таблица14[часы],Таблица14[коэф],"1",Таблица14[р/р],"3/16",Таблица14[Ф. И. О.],B759)</f>
        <v>0</v>
      </c>
      <c r="T754" s="380">
        <f>SUMIFS(Таблица14[Столбец2],Таблица14[коэф],"1",Таблица14[р/р],"3/16",Таблица14[Ф. И. О.],B759)</f>
        <v>0</v>
      </c>
      <c r="U754" s="477">
        <f>IF(D754&lt;=3,база!$M$4,
IF(D754=4,база!$M$5,
IF(D754=5,база!$M$6)))</f>
        <v>225.09719999999999</v>
      </c>
      <c r="V754" s="378">
        <v>1</v>
      </c>
      <c r="W754" s="430">
        <f>SUMIFS(Таблица14[часы],Таблица14[коэф],"1",Таблица14[р/р],"3/24",Таблица14[Ф. И. О.],B759)</f>
        <v>0</v>
      </c>
      <c r="X754" s="543">
        <f>SUMIFS(Таблица14[Столбец2],Таблица14[коэф],"1",Таблица14[р/р],"3/24",Таблица14[Ф. И. О.],B759)</f>
        <v>0</v>
      </c>
      <c r="Y754" s="800">
        <f t="shared" ref="Y754" si="274">SUM(G754:G764,K754:K764,O754:O764,S754:S764,W754:W764)</f>
        <v>0</v>
      </c>
      <c r="Z754" s="797">
        <f t="shared" ref="Z754" si="275">IFERROR(SUM(H754:H764,L754:L764,T754:T764,X754:X764),"")</f>
        <v>0</v>
      </c>
      <c r="AA754" s="786"/>
    </row>
    <row r="755" spans="1:29" ht="18.75" customHeight="1">
      <c r="A755" s="786"/>
      <c r="B755" s="216"/>
      <c r="C755" s="789"/>
      <c r="D755" s="792"/>
      <c r="E755" s="389">
        <f>IF(D754&lt;=3,база!$I$4,
IF(D754=4,база!$I$5,
IF(D754=5,база!$I$6)))</f>
        <v>188.7912</v>
      </c>
      <c r="F755" s="390">
        <v>1</v>
      </c>
      <c r="G755" s="400">
        <f>SUMIFS(Таблица14[часы],Таблица14[коэф],"1",Таблица14[р/р],"3/4",Таблица14[Ф. И. О.],B759)</f>
        <v>0</v>
      </c>
      <c r="H755" s="392">
        <f>SUMIFS(Таблица14[Столбец2],Таблица14[коэф],"1",Таблица14[р/р],"3/4",Таблица14[Ф. И. О.],B759)</f>
        <v>0</v>
      </c>
      <c r="I755" s="432">
        <f>IF(D754&lt;=3,база!$J$4,
IF(D754=4,база!$J$5,
IF(D754=5,база!$J$6)))</f>
        <v>196.05240000000001</v>
      </c>
      <c r="J755" s="433">
        <v>1</v>
      </c>
      <c r="K755" s="434">
        <f>SUMIFS(Таблица14[часы],Таблица14[коэф],"1",Таблица14[р/р],"3/8",Таблица14[Ф. И. О.],B759)</f>
        <v>0</v>
      </c>
      <c r="L755" s="434">
        <f>SUMIFS(Таблица14[Столбец2],Таблица14[коэф],"1",Таблица14[р/р],"3/8",Таблица14[Ф. И. О.],B759)</f>
        <v>0</v>
      </c>
      <c r="M755" s="434"/>
      <c r="N755" s="434">
        <v>1</v>
      </c>
      <c r="O755" s="434">
        <f>SUMIFS(Data_Tech!$AM$3:$AM$67,Data_Tech!$E$3:$E$67,"1",Data_Tech!$G$3:$G$67,"4/12",Data_Tech!$F$3:$F$67,B759)</f>
        <v>0</v>
      </c>
      <c r="P755" s="406">
        <f>ROUND(M755*O755,2)</f>
        <v>0</v>
      </c>
      <c r="Q755" s="389">
        <f>база!$L$5</f>
        <v>231.45480000000001</v>
      </c>
      <c r="R755" s="390">
        <v>1</v>
      </c>
      <c r="S755" s="400">
        <f>SUMIFS(Таблица14[часы],Таблица14[коэф],"1",Таблица14[р/р],"4/16",Таблица14[Ф. И. О.],B759)</f>
        <v>0</v>
      </c>
      <c r="T755" s="392">
        <f>SUMIFS(Таблица14[Столбец2],Таблица14[коэф],"1",Таблица14[р/р],"4/16",Таблица14[Ф. И. О.],B759)</f>
        <v>0</v>
      </c>
      <c r="U755" s="478">
        <f>база!$M$5</f>
        <v>247.41720000000001</v>
      </c>
      <c r="V755" s="390">
        <v>1</v>
      </c>
      <c r="W755" s="412">
        <f>SUMIFS(Таблица14[часы],Таблица14[коэф],"1",Таблица14[р/р],"4/24",Таблица14[Ф. И. О.],B759)</f>
        <v>0</v>
      </c>
      <c r="X755" s="545">
        <f>SUMIFS(Таблица14[Столбец2],Таблица14[коэф],"1",Таблица14[р/р],"4/24",Таблица14[Ф. И. О.],B759)</f>
        <v>0</v>
      </c>
      <c r="Y755" s="801"/>
      <c r="Z755" s="797"/>
      <c r="AA755" s="786"/>
    </row>
    <row r="756" spans="1:29" ht="18.75" customHeight="1">
      <c r="A756" s="786"/>
      <c r="B756" s="216"/>
      <c r="C756" s="789"/>
      <c r="D756" s="792"/>
      <c r="E756" s="389"/>
      <c r="F756" s="390"/>
      <c r="G756" s="400"/>
      <c r="H756" s="392"/>
      <c r="I756" s="432"/>
      <c r="J756" s="433"/>
      <c r="K756" s="434"/>
      <c r="L756" s="434"/>
      <c r="M756" s="434"/>
      <c r="N756" s="434"/>
      <c r="O756" s="434"/>
      <c r="P756" s="406"/>
      <c r="Q756" s="389">
        <f>база!$L$6</f>
        <v>261.04640000000001</v>
      </c>
      <c r="R756" s="390">
        <v>1</v>
      </c>
      <c r="S756" s="400">
        <f>SUMIFS(Таблица14[часы],Таблица14[коэф],"1",Таблица14[р/р],"5/16",Таблица14[Ф. И. О.],B759)</f>
        <v>0</v>
      </c>
      <c r="T756" s="392">
        <f>SUMIFS(Таблица14[Столбец2],Таблица14[коэф],"1",Таблица14[р/р],"5/16",Таблица14[Ф. И. О.],B759)</f>
        <v>0</v>
      </c>
      <c r="U756" s="478">
        <f>база!$M$6</f>
        <v>279.0496</v>
      </c>
      <c r="V756" s="390">
        <v>1</v>
      </c>
      <c r="W756" s="412">
        <f>SUMIFS(Таблица14[часы],Таблица14[коэф],"1",Таблица14[р/р],"5/24",Таблица14[Ф. И. О.],B759)</f>
        <v>0</v>
      </c>
      <c r="X756" s="545">
        <f>SUMIFS(Таблица14[Столбец2],Таблица14[коэф],"1",Таблица14[р/р],"5/24",Таблица14[Ф. И. О.],B759)</f>
        <v>0</v>
      </c>
      <c r="Y756" s="801"/>
      <c r="Z756" s="797"/>
      <c r="AA756" s="786"/>
    </row>
    <row r="757" spans="1:29" ht="18.75" customHeight="1">
      <c r="A757" s="786"/>
      <c r="B757" s="216"/>
      <c r="C757" s="789"/>
      <c r="D757" s="792"/>
      <c r="E757" s="389"/>
      <c r="F757" s="390"/>
      <c r="G757" s="400"/>
      <c r="H757" s="392"/>
      <c r="I757" s="432">
        <f>база!$J$5</f>
        <v>215.4924</v>
      </c>
      <c r="J757" s="433">
        <v>1.5</v>
      </c>
      <c r="K757" s="434">
        <f>SUMIFS(Таблица14[часы],Таблица14[коэф],"1,5",Таблица14[р/р],"4/8",Таблица14[Ф. И. О.],B759)</f>
        <v>0</v>
      </c>
      <c r="L757" s="434">
        <f>SUMIFS(Таблица14[Столбец2],Таблица14[коэф],"1,5",Таблица14[р/р],"4/8",Таблица14[Ф. И. О.],B759)</f>
        <v>0</v>
      </c>
      <c r="M757" s="434"/>
      <c r="N757" s="434"/>
      <c r="O757" s="434"/>
      <c r="P757" s="406"/>
      <c r="Q757" s="389">
        <f>IF(D754&lt;=3,база!$L$4,
IF(D754=4,база!$L$5,
IF(D754=5,база!$L$6)))</f>
        <v>210.57480000000001</v>
      </c>
      <c r="R757" s="390">
        <v>1.2</v>
      </c>
      <c r="S757" s="400">
        <f>SUMIFS(Таблица14[часы],Таблица14[коэф],"1,2",Таблица14[р/р],"3/16",Таблица14[Ф. И. О.],B759)</f>
        <v>0</v>
      </c>
      <c r="T757" s="392">
        <f>SUMIFS(Таблица14[Столбец2],Таблица14[коэф],"1,2",Таблица14[р/р],"3/16",Таблица14[Ф. И. О.],B759)</f>
        <v>0</v>
      </c>
      <c r="U757" s="478">
        <f>IF(D754&lt;=3,база!$M$4,
IF(D754=4,база!$M$5,
IF(D754=5,база!$M$6)))</f>
        <v>225.09719999999999</v>
      </c>
      <c r="V757" s="390">
        <v>1.2</v>
      </c>
      <c r="W757" s="412">
        <f>SUMIFS(Таблица14[часы],Таблица14[коэф],"1,2",Таблица14[р/р],"3/24",Таблица14[Ф. И. О.],B759)</f>
        <v>0</v>
      </c>
      <c r="X757" s="545">
        <f>SUMIFS(Таблица14[Столбец2],Таблица14[коэф],"1,2",Таблица14[р/р],"3/24",Таблица14[Ф. И. О.],B759)</f>
        <v>0</v>
      </c>
      <c r="Y757" s="801"/>
      <c r="Z757" s="797"/>
      <c r="AA757" s="786"/>
    </row>
    <row r="758" spans="1:29" ht="18.75" customHeight="1">
      <c r="A758" s="786"/>
      <c r="B758" s="216"/>
      <c r="C758" s="789"/>
      <c r="D758" s="792"/>
      <c r="E758" s="389"/>
      <c r="F758" s="390"/>
      <c r="G758" s="400"/>
      <c r="H758" s="392"/>
      <c r="I758" s="432">
        <f>база!$J$6</f>
        <v>243.04319999999998</v>
      </c>
      <c r="J758" s="433">
        <v>1.5</v>
      </c>
      <c r="K758" s="434">
        <f>SUMIFS(Таблица14[часы],Таблица14[коэф],"1,5",Таблица14[р/р],"5/8",Таблица14[Ф. И. О.],B759)</f>
        <v>0</v>
      </c>
      <c r="L758" s="434">
        <f>SUMIFS(Таблица14[Столбец2],Таблица14[коэф],"1,5",Таблица14[р/р],"5/8",Таблица14[Ф. И. О.],B759)</f>
        <v>0</v>
      </c>
      <c r="M758" s="434"/>
      <c r="N758" s="434"/>
      <c r="O758" s="434"/>
      <c r="P758" s="406"/>
      <c r="Q758" s="389">
        <f>база!$L$5</f>
        <v>231.45480000000001</v>
      </c>
      <c r="R758" s="390">
        <v>1.2</v>
      </c>
      <c r="S758" s="400">
        <f>SUMIFS(Таблица14[часы],Таблица14[коэф],"1,2",Таблица14[р/р],"4/16",Таблица14[Ф. И. О.],B759)</f>
        <v>0</v>
      </c>
      <c r="T758" s="392">
        <f>SUMIFS(Таблица14[Столбец2],Таблица14[коэф],"1,2",Таблица14[р/р],"4/16",Таблица14[Ф. И. О.],B759)</f>
        <v>0</v>
      </c>
      <c r="U758" s="478">
        <f>база!$M$5</f>
        <v>247.41720000000001</v>
      </c>
      <c r="V758" s="390">
        <v>1.2</v>
      </c>
      <c r="W758" s="412">
        <f>SUMIFS(Таблица14[часы],Таблица14[коэф],"1,2",Таблица14[р/р],"4/24",Таблица14[Ф. И. О.],B759)</f>
        <v>0</v>
      </c>
      <c r="X758" s="545">
        <f>SUMIFS(Таблица14[Столбец2],Таблица14[коэф],"1,2",Таблица14[р/р],"4/24",Таблица14[Ф. И. О.],B759)</f>
        <v>0</v>
      </c>
      <c r="Y758" s="801"/>
      <c r="Z758" s="797"/>
      <c r="AA758" s="786"/>
    </row>
    <row r="759" spans="1:29" ht="18.75" customHeight="1">
      <c r="A759" s="786"/>
      <c r="B759" s="216" t="str">
        <f>база!B70</f>
        <v>Силаева Ольга Владимировна</v>
      </c>
      <c r="C759" s="789"/>
      <c r="D759" s="792"/>
      <c r="E759" s="389"/>
      <c r="F759" s="390"/>
      <c r="G759" s="400"/>
      <c r="H759" s="392"/>
      <c r="I759" s="432"/>
      <c r="J759" s="433"/>
      <c r="K759" s="434"/>
      <c r="L759" s="434"/>
      <c r="M759" s="434"/>
      <c r="N759" s="434"/>
      <c r="O759" s="434"/>
      <c r="P759" s="406"/>
      <c r="Q759" s="389">
        <f>база!$L$6</f>
        <v>261.04640000000001</v>
      </c>
      <c r="R759" s="390">
        <v>1.2</v>
      </c>
      <c r="S759" s="400">
        <f>SUMIFS(Таблица14[часы],Таблица14[коэф],"1,2",Таблица14[р/р],"5/16",Таблица14[Ф. И. О.],B759)</f>
        <v>0</v>
      </c>
      <c r="T759" s="392">
        <f>SUMIFS(Таблица14[Столбец2],Таблица14[коэф],"1,2",Таблица14[р/р],"5/16",Таблица14[Ф. И. О.],B759)</f>
        <v>0</v>
      </c>
      <c r="U759" s="478">
        <f>база!$M$6</f>
        <v>279.0496</v>
      </c>
      <c r="V759" s="390">
        <v>1.2</v>
      </c>
      <c r="W759" s="412">
        <f>SUMIFS(Таблица14[часы],Таблица14[коэф],"1,2",Таблица14[р/р],"5/24",Таблица14[Ф. И. О.],B759)</f>
        <v>0</v>
      </c>
      <c r="X759" s="545">
        <f>SUMIFS(Таблица14[Столбец2],Таблица14[коэф],"1,2",Таблица14[р/р],"5/24",Таблица14[Ф. И. О.],B759)</f>
        <v>0</v>
      </c>
      <c r="Y759" s="801"/>
      <c r="Z759" s="797"/>
      <c r="AA759" s="786"/>
      <c r="AC759" s="754" t="str">
        <f>IF(SUMIFS(Таблица14[Столбец2],Таблица14[Ф. И. О.],B759)-Z754=0,"",SUMIFS(Таблица14[Столбец2],Таблица14[Ф. И. О.],B759)-Z754)</f>
        <v/>
      </c>
    </row>
    <row r="760" spans="1:29" ht="18.75" customHeight="1">
      <c r="A760" s="786"/>
      <c r="B760" s="216"/>
      <c r="C760" s="789"/>
      <c r="D760" s="792"/>
      <c r="E760" s="389"/>
      <c r="F760" s="390"/>
      <c r="G760" s="400"/>
      <c r="H760" s="392"/>
      <c r="I760" s="432"/>
      <c r="J760" s="433"/>
      <c r="K760" s="434"/>
      <c r="L760" s="434"/>
      <c r="M760" s="434"/>
      <c r="N760" s="434"/>
      <c r="O760" s="434"/>
      <c r="P760" s="406"/>
      <c r="Q760" s="389">
        <f>IF($D$6&lt;=3,база!$L$4,
IF($D$6=4,база!$L$5,
IF($D$6=5,база!$L$6)))</f>
        <v>231.45480000000001</v>
      </c>
      <c r="R760" s="390">
        <v>1.3</v>
      </c>
      <c r="S760" s="400">
        <f>SUMIFS(Таблица14[часы],Таблица14[коэф],"1,3",Таблица14[р/р],"3/16",Таблица14[Ф. И. О.],B759)</f>
        <v>0</v>
      </c>
      <c r="T760" s="392">
        <f>SUMIFS(Таблица14[Столбец2],Таблица14[коэф],"1,3",Таблица14[р/р],"3/16",Таблица14[Ф. И. О.],B759)</f>
        <v>0</v>
      </c>
      <c r="U760" s="478">
        <f>IF(D754&lt;=3,база!$M$4,
IF(D754=4,база!$M$5,
IF(D754=5,база!$M$6)))</f>
        <v>225.09719999999999</v>
      </c>
      <c r="V760" s="390">
        <v>1.3</v>
      </c>
      <c r="W760" s="412">
        <f>SUMIFS(Таблица14[часы],Таблица14[коэф],"1,3",Таблица14[р/р],"3/24",Таблица14[Ф. И. О.],B759)</f>
        <v>0</v>
      </c>
      <c r="X760" s="545">
        <f>SUMIFS(Таблица14[Столбец2],Таблица14[коэф],"1,3",Таблица14[р/р],"3/24",Таблица14[Ф. И. О.],B759)</f>
        <v>0</v>
      </c>
      <c r="Y760" s="801"/>
      <c r="Z760" s="797"/>
      <c r="AA760" s="786"/>
      <c r="AC760" s="754" t="str">
        <f>IF(SUMIFS(Таблица14[часы],Таблица14[Ф. И. О.],B759)-Y754=0,"",SUMIFS(Таблица14[часы],Таблица14[Ф. И. О.],B759)-Y754)</f>
        <v/>
      </c>
    </row>
    <row r="761" spans="1:29" ht="18.75" customHeight="1">
      <c r="A761" s="786"/>
      <c r="B761" s="216"/>
      <c r="C761" s="789"/>
      <c r="D761" s="792"/>
      <c r="E761" s="389"/>
      <c r="F761" s="390"/>
      <c r="G761" s="400"/>
      <c r="H761" s="392"/>
      <c r="I761" s="432"/>
      <c r="J761" s="433"/>
      <c r="K761" s="434"/>
      <c r="L761" s="434"/>
      <c r="M761" s="434"/>
      <c r="N761" s="434"/>
      <c r="O761" s="434"/>
      <c r="P761" s="406"/>
      <c r="Q761" s="389">
        <f>база!$L$5</f>
        <v>231.45480000000001</v>
      </c>
      <c r="R761" s="390">
        <v>1.3</v>
      </c>
      <c r="S761" s="400">
        <f>SUMIFS(Таблица14[часы],Таблица14[коэф],"1,3",Таблица14[р/р],"4/16",Таблица14[Ф. И. О.],B759)</f>
        <v>0</v>
      </c>
      <c r="T761" s="392">
        <f>SUMIFS(Таблица14[Столбец2],Таблица14[коэф],"1,3",Таблица14[р/р],"4/16",Таблица14[Ф. И. О.],B759)</f>
        <v>0</v>
      </c>
      <c r="U761" s="478">
        <f>база!$M$5</f>
        <v>247.41720000000001</v>
      </c>
      <c r="V761" s="390">
        <v>1.3</v>
      </c>
      <c r="W761" s="412">
        <f>SUMIFS(Таблица14[часы],Таблица14[коэф],"1,3",Таблица14[р/р],"4/24",Таблица14[Ф. И. О.],B759)</f>
        <v>0</v>
      </c>
      <c r="X761" s="545">
        <f>SUMIFS(Таблица14[Столбец2],Таблица14[коэф],"1,3",Таблица14[р/р],"4/24",Таблица14[Ф. И. О.],B759)</f>
        <v>0</v>
      </c>
      <c r="Y761" s="801"/>
      <c r="Z761" s="797"/>
      <c r="AA761" s="786"/>
    </row>
    <row r="762" spans="1:29" ht="18.75" customHeight="1">
      <c r="A762" s="786"/>
      <c r="B762" s="216"/>
      <c r="C762" s="789"/>
      <c r="D762" s="792"/>
      <c r="E762" s="389"/>
      <c r="F762" s="390"/>
      <c r="G762" s="400"/>
      <c r="H762" s="392"/>
      <c r="I762" s="432"/>
      <c r="J762" s="433"/>
      <c r="K762" s="434"/>
      <c r="L762" s="434"/>
      <c r="M762" s="434"/>
      <c r="N762" s="434"/>
      <c r="O762" s="434"/>
      <c r="P762" s="406"/>
      <c r="Q762" s="389">
        <f>IF(D754&lt;=3,база!$L$4,
IF(D754=4,база!$L$5,
IF(D754=5,база!$L$6)))</f>
        <v>210.57480000000001</v>
      </c>
      <c r="R762" s="390">
        <v>1.4</v>
      </c>
      <c r="S762" s="400">
        <f>SUMIFS(Таблица14[часы],Таблица14[коэф],"1,4",Таблица14[р/р],"3/16",Таблица14[Ф. И. О.],B759)</f>
        <v>0</v>
      </c>
      <c r="T762" s="392">
        <f>SUMIFS(Таблица14[Столбец2],Таблица14[коэф],"1,4",Таблица14[р/р],"3/16",Таблица14[Ф. И. О.],B759)</f>
        <v>0</v>
      </c>
      <c r="U762" s="478">
        <f>IF(D754&lt;=3,база!$M$4,
IF(D754=4,база!$M$5,
IF(D754=5,база!$M$6)))</f>
        <v>225.09719999999999</v>
      </c>
      <c r="V762" s="390">
        <v>1.4</v>
      </c>
      <c r="W762" s="412">
        <f>SUMIFS(Таблица14[часы],Таблица14[коэф],"1,4",Таблица14[р/р],"3/24",Таблица14[Ф. И. О.],B759)</f>
        <v>0</v>
      </c>
      <c r="X762" s="545">
        <f>SUMIFS(Таблица14[Столбец2],Таблица14[коэф],"1,4",Таблица14[р/р],"3/24",Таблица14[Ф. И. О.],B759)</f>
        <v>0</v>
      </c>
      <c r="Y762" s="801"/>
      <c r="Z762" s="797"/>
      <c r="AA762" s="786"/>
    </row>
    <row r="763" spans="1:29" ht="18.75" customHeight="1">
      <c r="A763" s="786"/>
      <c r="B763" s="216"/>
      <c r="C763" s="789"/>
      <c r="D763" s="792"/>
      <c r="E763" s="389"/>
      <c r="F763" s="390"/>
      <c r="G763" s="400"/>
      <c r="H763" s="392"/>
      <c r="I763" s="432"/>
      <c r="J763" s="433"/>
      <c r="K763" s="434"/>
      <c r="L763" s="434"/>
      <c r="M763" s="434"/>
      <c r="N763" s="434"/>
      <c r="O763" s="434"/>
      <c r="P763" s="406"/>
      <c r="Q763" s="389">
        <f>база!$L$5</f>
        <v>231.45480000000001</v>
      </c>
      <c r="R763" s="390">
        <v>1.4</v>
      </c>
      <c r="S763" s="400">
        <f>SUMIFS(Таблица14[часы],Таблица14[коэф],"1,4",Таблица14[р/р],"4/16",Таблица14[Ф. И. О.],B759)</f>
        <v>0</v>
      </c>
      <c r="T763" s="392">
        <f>SUMIFS(Таблица14[Столбец2],Таблица14[коэф],"1,4",Таблица14[р/р],"4/16",Таблица14[Ф. И. О.],B759)</f>
        <v>0</v>
      </c>
      <c r="U763" s="478">
        <f>база!$M$5</f>
        <v>247.41720000000001</v>
      </c>
      <c r="V763" s="390">
        <v>1.4</v>
      </c>
      <c r="W763" s="412">
        <f>SUMIFS(Таблица14[часы],Таблица14[коэф],"1,4",Таблица14[р/р],"4/24",Таблица14[Ф. И. О.],B759)</f>
        <v>0</v>
      </c>
      <c r="X763" s="545">
        <f>SUMIFS(Таблица14[Столбец2],Таблица14[коэф],"1,4",Таблица14[р/р],"4/24",Таблица14[Ф. И. О.],B759)</f>
        <v>0</v>
      </c>
      <c r="Y763" s="801"/>
      <c r="Z763" s="797"/>
      <c r="AA763" s="786"/>
    </row>
    <row r="764" spans="1:29" ht="19.5" customHeight="1" thickBot="1">
      <c r="A764" s="787"/>
      <c r="B764" s="352"/>
      <c r="C764" s="790"/>
      <c r="D764" s="793"/>
      <c r="E764" s="445"/>
      <c r="F764" s="446"/>
      <c r="G764" s="653"/>
      <c r="H764" s="535"/>
      <c r="I764" s="654"/>
      <c r="J764" s="617"/>
      <c r="K764" s="655"/>
      <c r="L764" s="457"/>
      <c r="M764" s="654"/>
      <c r="N764" s="655"/>
      <c r="O764" s="655"/>
      <c r="P764" s="538"/>
      <c r="Q764" s="656">
        <f>база!$L$6</f>
        <v>261.04640000000001</v>
      </c>
      <c r="R764" s="446">
        <v>1.4</v>
      </c>
      <c r="S764" s="447">
        <f>SUMIFS(Таблица14[часы],Таблица14[коэф],"1,4",Таблица14[р/р],"5/16",Таблица14[Ф. И. О.],B759)</f>
        <v>0</v>
      </c>
      <c r="T764" s="535">
        <f>SUMIFS(Таблица14[Столбец2],Таблица14[коэф],"1,4",Таблица14[р/р],"5/16",Таблица14[Ф. И. О.],B759)</f>
        <v>0</v>
      </c>
      <c r="U764" s="536">
        <f>база!$M$6</f>
        <v>279.0496</v>
      </c>
      <c r="V764" s="464">
        <v>1.4</v>
      </c>
      <c r="W764" s="447">
        <f>SUMIFS(Таблица14[часы],Таблица14[коэф],"1,4",Таблица14[р/р],"5/24",Таблица14[Ф. И. О.],B759)</f>
        <v>0</v>
      </c>
      <c r="X764" s="535">
        <f>SUMIFS(Таблица14[Столбец2],Таблица14[коэф],"1,4",Таблица14[р/р],"5/24",Таблица14[Ф. И. О.],B759)</f>
        <v>0</v>
      </c>
      <c r="Y764" s="802"/>
      <c r="Z764" s="798"/>
      <c r="AA764" s="787"/>
    </row>
    <row r="765" spans="1:29" ht="18.75" customHeight="1">
      <c r="A765" s="786">
        <v>70</v>
      </c>
      <c r="B765" s="216"/>
      <c r="C765" s="788">
        <f>INDEX(база!$E$2:$E$150, MATCH(B770,база!$B$2:$B$150,0))</f>
        <v>17289</v>
      </c>
      <c r="D765" s="791">
        <f>INDEX(база!$D$2:$D$150, MATCH(B770,база!$B$2:$B$150,0))</f>
        <v>3</v>
      </c>
      <c r="E765" s="481">
        <f>IF(D765&lt;=3,база!$I$4,
IF(D765=4,база!$I$5,
IF(D765=5,база!$I$6)))</f>
        <v>188.7912</v>
      </c>
      <c r="F765" s="417">
        <v>1</v>
      </c>
      <c r="G765" s="418">
        <f>SUMIFS(Таблица14[часы],Таблица14[коэф],"1",Таблица14[р/р],"2/4",Таблица14[Ф. И. О.],B770)</f>
        <v>0</v>
      </c>
      <c r="H765" s="402">
        <f>SUMIFS(Таблица14[Столбец2],Таблица14[коэф],"1",Таблица14[р/р],"2/4",Таблица14[Ф. И. О.],B770)</f>
        <v>0</v>
      </c>
      <c r="I765" s="452">
        <f>IF(D765&lt;=3,база!$J$4,
IF(D765=4,база!$J$5,
IF(D765=5,база!$J$6)))</f>
        <v>196.05240000000001</v>
      </c>
      <c r="J765" s="475">
        <v>1</v>
      </c>
      <c r="K765" s="453">
        <f>SUMIFS(Таблица14[часы],Таблица14[коэф],"1",Таблица14[р/р],"2/8",Таблица14[Ф. И. О.],B770)</f>
        <v>0</v>
      </c>
      <c r="L765" s="453">
        <f>SUMIFS(Таблица14[Столбец2],Таблица14[коэф],"1",Таблица14[р/р],"2/8",Таблица14[Ф. И. О.],B770)</f>
        <v>0</v>
      </c>
      <c r="M765" s="453"/>
      <c r="N765" s="453">
        <v>1</v>
      </c>
      <c r="O765" s="453">
        <f>SUMIFS(Data_Tech!$AM$3:$AM$67,Data_Tech!$E$3:$E$67,"1",Data_Tech!$G$3:$G$67,"3/12",Data_Tech!$F$3:$F$67,B770)</f>
        <v>0</v>
      </c>
      <c r="P765" s="398">
        <f>ROUND(M765*N765*O765,2)</f>
        <v>0</v>
      </c>
      <c r="Q765" s="481">
        <f>IF(D765&lt;=3,база!$L$4,
IF(D765=4,база!$L$5,
IF(D765=5,база!$L$6)))</f>
        <v>210.57480000000001</v>
      </c>
      <c r="R765" s="417">
        <v>1</v>
      </c>
      <c r="S765" s="418">
        <f>SUMIFS(Таблица14[часы],Таблица14[коэф],"1",Таблица14[р/р],"3/16",Таблица14[Ф. И. О.],B770)</f>
        <v>0</v>
      </c>
      <c r="T765" s="402">
        <f>SUMIFS(Таблица14[Столбец2],Таблица14[коэф],"1",Таблица14[р/р],"3/16",Таблица14[Ф. И. О.],B770)</f>
        <v>0</v>
      </c>
      <c r="U765" s="483">
        <f>IF(D765&lt;=3,база!$M$4,
IF(D765=4,база!$M$5,
IF(D765=5,база!$M$6)))</f>
        <v>225.09719999999999</v>
      </c>
      <c r="V765" s="417">
        <v>1</v>
      </c>
      <c r="W765" s="455">
        <f>SUMIFS(Таблица14[часы],Таблица14[коэф],"1",Таблица14[р/р],"3/24",Таблица14[Ф. И. О.],B770)</f>
        <v>0</v>
      </c>
      <c r="X765" s="552">
        <f>SUMIFS(Таблица14[Столбец2],Таблица14[коэф],"1",Таблица14[р/р],"3/24",Таблица14[Ф. И. О.],B770)</f>
        <v>0</v>
      </c>
      <c r="Y765" s="801">
        <f t="shared" ref="Y765" si="276">SUM(G765:G775,K765:K775,O765:O775,S765:S775,W765:W775)</f>
        <v>0</v>
      </c>
      <c r="Z765" s="797">
        <f t="shared" ref="Z765" si="277">IFERROR(SUM(H765:H775,L765:L775,T765:T775,X765:X775),"")</f>
        <v>0</v>
      </c>
      <c r="AA765" s="786"/>
    </row>
    <row r="766" spans="1:29" ht="18.75" customHeight="1">
      <c r="A766" s="786"/>
      <c r="B766" s="216"/>
      <c r="C766" s="789"/>
      <c r="D766" s="792"/>
      <c r="E766" s="389">
        <f>IF(D765&lt;=3,база!$I$4,
IF(D765=4,база!$I$5,
IF(D765=5,база!$I$6)))</f>
        <v>188.7912</v>
      </c>
      <c r="F766" s="390">
        <v>1</v>
      </c>
      <c r="G766" s="400">
        <f>SUMIFS(Таблица14[часы],Таблица14[коэф],"1",Таблица14[р/р],"3/4",Таблица14[Ф. И. О.],B770)</f>
        <v>0</v>
      </c>
      <c r="H766" s="392">
        <f>SUMIFS(Таблица14[Столбец2],Таблица14[коэф],"1",Таблица14[р/р],"3/4",Таблица14[Ф. И. О.],B770)</f>
        <v>0</v>
      </c>
      <c r="I766" s="432">
        <f>IF(D765&lt;=3,база!$J$4,
IF(D765=4,база!$J$5,
IF(D765=5,база!$J$6)))</f>
        <v>196.05240000000001</v>
      </c>
      <c r="J766" s="433">
        <v>1</v>
      </c>
      <c r="K766" s="434">
        <f>SUMIFS(Таблица14[часы],Таблица14[коэф],"1",Таблица14[р/р],"3/8",Таблица14[Ф. И. О.],B770)</f>
        <v>0</v>
      </c>
      <c r="L766" s="434">
        <f>SUMIFS(Таблица14[Столбец2],Таблица14[коэф],"1",Таблица14[р/р],"3/8",Таблица14[Ф. И. О.],B770)</f>
        <v>0</v>
      </c>
      <c r="M766" s="434"/>
      <c r="N766" s="434">
        <v>1</v>
      </c>
      <c r="O766" s="434">
        <f>SUMIFS(Data_Tech!$AM$3:$AM$67,Data_Tech!$E$3:$E$67,"1",Data_Tech!$G$3:$G$67,"4/12",Data_Tech!$F$3:$F$67,B770)</f>
        <v>0</v>
      </c>
      <c r="P766" s="406">
        <f>ROUND(M766*O766,2)</f>
        <v>0</v>
      </c>
      <c r="Q766" s="389">
        <f>база!$L$5</f>
        <v>231.45480000000001</v>
      </c>
      <c r="R766" s="390">
        <v>1</v>
      </c>
      <c r="S766" s="400">
        <f>SUMIFS(Таблица14[часы],Таблица14[коэф],"1",Таблица14[р/р],"4/16",Таблица14[Ф. И. О.],B770)</f>
        <v>0</v>
      </c>
      <c r="T766" s="392">
        <f>SUMIFS(Таблица14[Столбец2],Таблица14[коэф],"1",Таблица14[р/р],"4/16",Таблица14[Ф. И. О.],B770)</f>
        <v>0</v>
      </c>
      <c r="U766" s="478">
        <f>база!$M$5</f>
        <v>247.41720000000001</v>
      </c>
      <c r="V766" s="390">
        <v>1</v>
      </c>
      <c r="W766" s="412">
        <f>SUMIFS(Таблица14[часы],Таблица14[коэф],"1",Таблица14[р/р],"4/24",Таблица14[Ф. И. О.],B770)</f>
        <v>0</v>
      </c>
      <c r="X766" s="545">
        <f>SUMIFS(Таблица14[Столбец2],Таблица14[коэф],"1",Таблица14[р/р],"4/24",Таблица14[Ф. И. О.],B770)</f>
        <v>0</v>
      </c>
      <c r="Y766" s="801"/>
      <c r="Z766" s="797"/>
      <c r="AA766" s="786"/>
    </row>
    <row r="767" spans="1:29" ht="18.75" customHeight="1">
      <c r="A767" s="786"/>
      <c r="B767" s="216"/>
      <c r="C767" s="789"/>
      <c r="D767" s="792"/>
      <c r="E767" s="389"/>
      <c r="F767" s="390"/>
      <c r="G767" s="400"/>
      <c r="H767" s="392"/>
      <c r="I767" s="432"/>
      <c r="J767" s="433"/>
      <c r="K767" s="434"/>
      <c r="L767" s="434"/>
      <c r="M767" s="434"/>
      <c r="N767" s="434"/>
      <c r="O767" s="434"/>
      <c r="P767" s="406"/>
      <c r="Q767" s="389">
        <f>база!$L$6</f>
        <v>261.04640000000001</v>
      </c>
      <c r="R767" s="390">
        <v>1</v>
      </c>
      <c r="S767" s="400">
        <f>SUMIFS(Таблица14[часы],Таблица14[коэф],"1",Таблица14[р/р],"5/16",Таблица14[Ф. И. О.],B770)</f>
        <v>0</v>
      </c>
      <c r="T767" s="392">
        <f>SUMIFS(Таблица14[Столбец2],Таблица14[коэф],"1",Таблица14[р/р],"5/16",Таблица14[Ф. И. О.],B770)</f>
        <v>0</v>
      </c>
      <c r="U767" s="478">
        <f>база!$M$6</f>
        <v>279.0496</v>
      </c>
      <c r="V767" s="390">
        <v>1</v>
      </c>
      <c r="W767" s="412">
        <f>SUMIFS(Таблица14[часы],Таблица14[коэф],"1",Таблица14[р/р],"5/24",Таблица14[Ф. И. О.],B770)</f>
        <v>0</v>
      </c>
      <c r="X767" s="545">
        <f>SUMIFS(Таблица14[Столбец2],Таблица14[коэф],"1",Таблица14[р/р],"5/24",Таблица14[Ф. И. О.],B770)</f>
        <v>0</v>
      </c>
      <c r="Y767" s="801"/>
      <c r="Z767" s="797"/>
      <c r="AA767" s="786"/>
    </row>
    <row r="768" spans="1:29" ht="18.75" customHeight="1">
      <c r="A768" s="786"/>
      <c r="B768" s="216"/>
      <c r="C768" s="789"/>
      <c r="D768" s="792"/>
      <c r="E768" s="389"/>
      <c r="F768" s="390"/>
      <c r="G768" s="400"/>
      <c r="H768" s="392"/>
      <c r="I768" s="432">
        <f>база!$J$5</f>
        <v>215.4924</v>
      </c>
      <c r="J768" s="433">
        <v>1.5</v>
      </c>
      <c r="K768" s="434">
        <f>SUMIFS(Таблица14[часы],Таблица14[коэф],"1,5",Таблица14[р/р],"4/8",Таблица14[Ф. И. О.],B770)</f>
        <v>0</v>
      </c>
      <c r="L768" s="434">
        <f>SUMIFS(Таблица14[Столбец2],Таблица14[коэф],"1,5",Таблица14[р/р],"4/8",Таблица14[Ф. И. О.],B770)</f>
        <v>0</v>
      </c>
      <c r="M768" s="434"/>
      <c r="N768" s="434"/>
      <c r="O768" s="434"/>
      <c r="P768" s="406"/>
      <c r="Q768" s="389">
        <f>IF(D765&lt;=3,база!$L$4,
IF(D765=4,база!$L$5,
IF(D765=5,база!$L$6)))</f>
        <v>210.57480000000001</v>
      </c>
      <c r="R768" s="390">
        <v>1.2</v>
      </c>
      <c r="S768" s="400">
        <f>SUMIFS(Таблица14[часы],Таблица14[коэф],"1,2",Таблица14[р/р],"3/16",Таблица14[Ф. И. О.],B770)</f>
        <v>0</v>
      </c>
      <c r="T768" s="392">
        <f>SUMIFS(Таблица14[Столбец2],Таблица14[коэф],"1,2",Таблица14[р/р],"3/16",Таблица14[Ф. И. О.],B770)</f>
        <v>0</v>
      </c>
      <c r="U768" s="478">
        <f>IF(D765&lt;=3,база!$M$4,
IF(D765=4,база!$M$5,
IF(D765=5,база!$M$6)))</f>
        <v>225.09719999999999</v>
      </c>
      <c r="V768" s="390">
        <v>1.2</v>
      </c>
      <c r="W768" s="412">
        <f>SUMIFS(Таблица14[часы],Таблица14[коэф],"1,2",Таблица14[р/р],"3/24",Таблица14[Ф. И. О.],B770)</f>
        <v>0</v>
      </c>
      <c r="X768" s="545">
        <f>SUMIFS(Таблица14[Столбец2],Таблица14[коэф],"1,2",Таблица14[р/р],"3/24",Таблица14[Ф. И. О.],B770)</f>
        <v>0</v>
      </c>
      <c r="Y768" s="801"/>
      <c r="Z768" s="797"/>
      <c r="AA768" s="786"/>
    </row>
    <row r="769" spans="1:29" ht="18.75" customHeight="1">
      <c r="A769" s="786"/>
      <c r="B769" s="216"/>
      <c r="C769" s="789"/>
      <c r="D769" s="792"/>
      <c r="E769" s="389"/>
      <c r="F769" s="390"/>
      <c r="G769" s="400"/>
      <c r="H769" s="392"/>
      <c r="I769" s="432">
        <f>база!$J$6</f>
        <v>243.04319999999998</v>
      </c>
      <c r="J769" s="433">
        <v>1.5</v>
      </c>
      <c r="K769" s="434">
        <f>SUMIFS(Таблица14[часы],Таблица14[коэф],"1,5",Таблица14[р/р],"5/8",Таблица14[Ф. И. О.],B770)</f>
        <v>0</v>
      </c>
      <c r="L769" s="434">
        <f>SUMIFS(Таблица14[Столбец2],Таблица14[коэф],"1,5",Таблица14[р/р],"5/8",Таблица14[Ф. И. О.],B770)</f>
        <v>0</v>
      </c>
      <c r="M769" s="434"/>
      <c r="N769" s="434"/>
      <c r="O769" s="434"/>
      <c r="P769" s="406"/>
      <c r="Q769" s="389">
        <f>база!$L$5</f>
        <v>231.45480000000001</v>
      </c>
      <c r="R769" s="390">
        <v>1.2</v>
      </c>
      <c r="S769" s="400">
        <f>SUMIFS(Таблица14[часы],Таблица14[коэф],"1,2",Таблица14[р/р],"4/16",Таблица14[Ф. И. О.],B770)</f>
        <v>0</v>
      </c>
      <c r="T769" s="392">
        <f>SUMIFS(Таблица14[Столбец2],Таблица14[коэф],"1,2",Таблица14[р/р],"4/16",Таблица14[Ф. И. О.],B770)</f>
        <v>0</v>
      </c>
      <c r="U769" s="478">
        <f>база!$M$5</f>
        <v>247.41720000000001</v>
      </c>
      <c r="V769" s="390">
        <v>1.2</v>
      </c>
      <c r="W769" s="412">
        <f>SUMIFS(Таблица14[часы],Таблица14[коэф],"1,2",Таблица14[р/р],"4/24",Таблица14[Ф. И. О.],B770)</f>
        <v>0</v>
      </c>
      <c r="X769" s="545">
        <f>SUMIFS(Таблица14[Столбец2],Таблица14[коэф],"1,2",Таблица14[р/р],"4/24",Таблица14[Ф. И. О.],B770)</f>
        <v>0</v>
      </c>
      <c r="Y769" s="801"/>
      <c r="Z769" s="797"/>
      <c r="AA769" s="786"/>
    </row>
    <row r="770" spans="1:29" ht="18.75" customHeight="1">
      <c r="A770" s="786"/>
      <c r="B770" s="216" t="str">
        <f>база!B71</f>
        <v>Скрынникова Виктория Геннадьевна</v>
      </c>
      <c r="C770" s="789"/>
      <c r="D770" s="792"/>
      <c r="E770" s="389"/>
      <c r="F770" s="390"/>
      <c r="G770" s="400"/>
      <c r="H770" s="392"/>
      <c r="I770" s="432"/>
      <c r="J770" s="433"/>
      <c r="K770" s="434"/>
      <c r="L770" s="434"/>
      <c r="M770" s="434"/>
      <c r="N770" s="434"/>
      <c r="O770" s="434"/>
      <c r="P770" s="406"/>
      <c r="Q770" s="389">
        <f>база!$L$6</f>
        <v>261.04640000000001</v>
      </c>
      <c r="R770" s="390">
        <v>1.2</v>
      </c>
      <c r="S770" s="400">
        <f>SUMIFS(Таблица14[часы],Таблица14[коэф],"1,2",Таблица14[р/р],"5/16",Таблица14[Ф. И. О.],B770)</f>
        <v>0</v>
      </c>
      <c r="T770" s="392">
        <f>SUMIFS(Таблица14[Столбец2],Таблица14[коэф],"1,2",Таблица14[р/р],"5/16",Таблица14[Ф. И. О.],B770)</f>
        <v>0</v>
      </c>
      <c r="U770" s="478">
        <f>база!$M$6</f>
        <v>279.0496</v>
      </c>
      <c r="V770" s="390">
        <v>1.2</v>
      </c>
      <c r="W770" s="412">
        <f>SUMIFS(Таблица14[часы],Таблица14[коэф],"1,2",Таблица14[р/р],"5/24",Таблица14[Ф. И. О.],B770)</f>
        <v>0</v>
      </c>
      <c r="X770" s="545">
        <f>SUMIFS(Таблица14[Столбец2],Таблица14[коэф],"1,2",Таблица14[р/р],"5/24",Таблица14[Ф. И. О.],B770)</f>
        <v>0</v>
      </c>
      <c r="Y770" s="801"/>
      <c r="Z770" s="797"/>
      <c r="AA770" s="786"/>
      <c r="AC770" s="754" t="str">
        <f>IF(SUMIFS(Таблица14[Столбец2],Таблица14[Ф. И. О.],B770)-Z765=0,"",SUMIFS(Таблица14[Столбец2],Таблица14[Ф. И. О.],B770)-Z765)</f>
        <v/>
      </c>
    </row>
    <row r="771" spans="1:29" ht="18.75" customHeight="1">
      <c r="A771" s="786"/>
      <c r="B771" s="216"/>
      <c r="C771" s="789"/>
      <c r="D771" s="792"/>
      <c r="E771" s="389"/>
      <c r="F771" s="390"/>
      <c r="G771" s="400"/>
      <c r="H771" s="392"/>
      <c r="I771" s="432"/>
      <c r="J771" s="433"/>
      <c r="K771" s="434"/>
      <c r="L771" s="434"/>
      <c r="M771" s="434"/>
      <c r="N771" s="434"/>
      <c r="O771" s="434"/>
      <c r="P771" s="406"/>
      <c r="Q771" s="389">
        <f>IF($D$6&lt;=3,база!$L$4,
IF($D$6=4,база!$L$5,
IF($D$6=5,база!$L$6)))</f>
        <v>231.45480000000001</v>
      </c>
      <c r="R771" s="390">
        <v>1.3</v>
      </c>
      <c r="S771" s="400">
        <f>SUMIFS(Таблица14[часы],Таблица14[коэф],"1,3",Таблица14[р/р],"3/16",Таблица14[Ф. И. О.],B770)</f>
        <v>0</v>
      </c>
      <c r="T771" s="392">
        <f>SUMIFS(Таблица14[Столбец2],Таблица14[коэф],"1,3",Таблица14[р/р],"3/16",Таблица14[Ф. И. О.],B770)</f>
        <v>0</v>
      </c>
      <c r="U771" s="478">
        <f>IF(D765&lt;=3,база!$M$4,
IF(D765=4,база!$M$5,
IF(D765=5,база!$M$6)))</f>
        <v>225.09719999999999</v>
      </c>
      <c r="V771" s="390">
        <v>1.3</v>
      </c>
      <c r="W771" s="412">
        <f>SUMIFS(Таблица14[часы],Таблица14[коэф],"1,3",Таблица14[р/р],"3/24",Таблица14[Ф. И. О.],B770)</f>
        <v>0</v>
      </c>
      <c r="X771" s="545">
        <f>SUMIFS(Таблица14[Столбец2],Таблица14[коэф],"1,3",Таблица14[р/р],"3/24",Таблица14[Ф. И. О.],B770)</f>
        <v>0</v>
      </c>
      <c r="Y771" s="801"/>
      <c r="Z771" s="797"/>
      <c r="AA771" s="786"/>
      <c r="AC771" s="754" t="str">
        <f>IF(SUMIFS(Таблица14[часы],Таблица14[Ф. И. О.],B770)-Y765=0,"",SUMIFS(Таблица14[часы],Таблица14[Ф. И. О.],B770)-Y765)</f>
        <v/>
      </c>
    </row>
    <row r="772" spans="1:29" ht="18.75" customHeight="1">
      <c r="A772" s="786"/>
      <c r="B772" s="216"/>
      <c r="C772" s="789"/>
      <c r="D772" s="792"/>
      <c r="E772" s="389"/>
      <c r="F772" s="390"/>
      <c r="G772" s="400"/>
      <c r="H772" s="392"/>
      <c r="I772" s="432"/>
      <c r="J772" s="433"/>
      <c r="K772" s="434"/>
      <c r="L772" s="434"/>
      <c r="M772" s="434"/>
      <c r="N772" s="434"/>
      <c r="O772" s="434"/>
      <c r="P772" s="406"/>
      <c r="Q772" s="389">
        <f>база!$L$5</f>
        <v>231.45480000000001</v>
      </c>
      <c r="R772" s="390">
        <v>1.3</v>
      </c>
      <c r="S772" s="400">
        <f>SUMIFS(Таблица14[часы],Таблица14[коэф],"1,3",Таблица14[р/р],"4/16",Таблица14[Ф. И. О.],B770)</f>
        <v>0</v>
      </c>
      <c r="T772" s="392">
        <f>SUMIFS(Таблица14[Столбец2],Таблица14[коэф],"1,3",Таблица14[р/р],"4/16",Таблица14[Ф. И. О.],B770)</f>
        <v>0</v>
      </c>
      <c r="U772" s="478">
        <f>база!$M$5</f>
        <v>247.41720000000001</v>
      </c>
      <c r="V772" s="390">
        <v>1.3</v>
      </c>
      <c r="W772" s="412">
        <f>SUMIFS(Таблица14[часы],Таблица14[коэф],"1,3",Таблица14[р/р],"4/24",Таблица14[Ф. И. О.],B770)</f>
        <v>0</v>
      </c>
      <c r="X772" s="545">
        <f>SUMIFS(Таблица14[Столбец2],Таблица14[коэф],"1,3",Таблица14[р/р],"4/24",Таблица14[Ф. И. О.],B770)</f>
        <v>0</v>
      </c>
      <c r="Y772" s="801"/>
      <c r="Z772" s="797"/>
      <c r="AA772" s="786"/>
    </row>
    <row r="773" spans="1:29" ht="18.75" customHeight="1">
      <c r="A773" s="786"/>
      <c r="B773" s="216"/>
      <c r="C773" s="789"/>
      <c r="D773" s="792"/>
      <c r="E773" s="389"/>
      <c r="F773" s="390"/>
      <c r="G773" s="400"/>
      <c r="H773" s="392"/>
      <c r="I773" s="432"/>
      <c r="J773" s="433"/>
      <c r="K773" s="434"/>
      <c r="L773" s="434"/>
      <c r="M773" s="434"/>
      <c r="N773" s="434"/>
      <c r="O773" s="434"/>
      <c r="P773" s="406"/>
      <c r="Q773" s="389">
        <f>IF(D765&lt;=3,база!$L$4,
IF(D765=4,база!$L$5,
IF(D765=5,база!$L$6)))</f>
        <v>210.57480000000001</v>
      </c>
      <c r="R773" s="390">
        <v>1.4</v>
      </c>
      <c r="S773" s="400">
        <f>SUMIFS(Таблица14[часы],Таблица14[коэф],"1,4",Таблица14[р/р],"3/16",Таблица14[Ф. И. О.],B770)</f>
        <v>0</v>
      </c>
      <c r="T773" s="392">
        <f>SUMIFS(Таблица14[Столбец2],Таблица14[коэф],"1,4",Таблица14[р/р],"3/16",Таблица14[Ф. И. О.],B770)</f>
        <v>0</v>
      </c>
      <c r="U773" s="478">
        <f>IF(D765&lt;=3,база!$M$4,
IF(D765=4,база!$M$5,
IF(D765=5,база!$M$6)))</f>
        <v>225.09719999999999</v>
      </c>
      <c r="V773" s="390">
        <v>1.4</v>
      </c>
      <c r="W773" s="412">
        <f>SUMIFS(Таблица14[часы],Таблица14[коэф],"1,4",Таблица14[р/р],"3/24",Таблица14[Ф. И. О.],B770)</f>
        <v>0</v>
      </c>
      <c r="X773" s="545">
        <f>SUMIFS(Таблица14[Столбец2],Таблица14[коэф],"1,4",Таблица14[р/р],"3/24",Таблица14[Ф. И. О.],B770)</f>
        <v>0</v>
      </c>
      <c r="Y773" s="801"/>
      <c r="Z773" s="797"/>
      <c r="AA773" s="786"/>
    </row>
    <row r="774" spans="1:29" ht="18.75" customHeight="1">
      <c r="A774" s="786"/>
      <c r="B774" s="216"/>
      <c r="C774" s="789"/>
      <c r="D774" s="792"/>
      <c r="E774" s="389"/>
      <c r="F774" s="390"/>
      <c r="G774" s="400"/>
      <c r="H774" s="392"/>
      <c r="I774" s="432"/>
      <c r="J774" s="433"/>
      <c r="K774" s="434"/>
      <c r="L774" s="434"/>
      <c r="M774" s="434"/>
      <c r="N774" s="434"/>
      <c r="O774" s="434"/>
      <c r="P774" s="406"/>
      <c r="Q774" s="389">
        <f>база!$L$5</f>
        <v>231.45480000000001</v>
      </c>
      <c r="R774" s="390">
        <v>1.4</v>
      </c>
      <c r="S774" s="400">
        <f>SUMIFS(Таблица14[часы],Таблица14[коэф],"1,4",Таблица14[р/р],"4/16",Таблица14[Ф. И. О.],B770)</f>
        <v>0</v>
      </c>
      <c r="T774" s="392">
        <f>SUMIFS(Таблица14[Столбец2],Таблица14[коэф],"1,4",Таблица14[р/р],"4/16",Таблица14[Ф. И. О.],B770)</f>
        <v>0</v>
      </c>
      <c r="U774" s="478">
        <f>база!$M$5</f>
        <v>247.41720000000001</v>
      </c>
      <c r="V774" s="390">
        <v>1.4</v>
      </c>
      <c r="W774" s="412">
        <f>SUMIFS(Таблица14[часы],Таблица14[коэф],"1,4",Таблица14[р/р],"4/24",Таблица14[Ф. И. О.],B770)</f>
        <v>0</v>
      </c>
      <c r="X774" s="545">
        <f>SUMIFS(Таблица14[Столбец2],Таблица14[коэф],"1,4",Таблица14[р/р],"4/24",Таблица14[Ф. И. О.],B770)</f>
        <v>0</v>
      </c>
      <c r="Y774" s="801"/>
      <c r="Z774" s="797"/>
      <c r="AA774" s="786"/>
    </row>
    <row r="775" spans="1:29" ht="19.5" customHeight="1" thickBot="1">
      <c r="A775" s="787"/>
      <c r="B775" s="352"/>
      <c r="C775" s="790"/>
      <c r="D775" s="793"/>
      <c r="E775" s="473"/>
      <c r="F775" s="464"/>
      <c r="G775" s="657"/>
      <c r="H775" s="468"/>
      <c r="I775" s="651"/>
      <c r="J775" s="456"/>
      <c r="K775" s="652"/>
      <c r="L775" s="457"/>
      <c r="M775" s="651"/>
      <c r="N775" s="652"/>
      <c r="O775" s="652"/>
      <c r="P775" s="476"/>
      <c r="Q775" s="658">
        <f>база!$L$6</f>
        <v>261.04640000000001</v>
      </c>
      <c r="R775" s="464">
        <v>1.4</v>
      </c>
      <c r="S775" s="465">
        <f>SUMIFS(Таблица14[часы],Таблица14[коэф],"1,4",Таблица14[р/р],"5/16",Таблица14[Ф. И. О.],B770)</f>
        <v>0</v>
      </c>
      <c r="T775" s="468">
        <f>SUMIFS(Таблица14[Столбец2],Таблица14[коэф],"1,4",Таблица14[р/р],"5/16",Таблица14[Ф. И. О.],B770)</f>
        <v>0</v>
      </c>
      <c r="U775" s="463">
        <f>база!$M$6</f>
        <v>279.0496</v>
      </c>
      <c r="V775" s="464">
        <v>1.4</v>
      </c>
      <c r="W775" s="465">
        <f>SUMIFS(Таблица14[часы],Таблица14[коэф],"1,4",Таблица14[р/р],"5/24",Таблица14[Ф. И. О.],B770)</f>
        <v>0</v>
      </c>
      <c r="X775" s="468">
        <f>SUMIFS(Таблица14[Столбец2],Таблица14[коэф],"1,4",Таблица14[р/р],"5/24",Таблица14[Ф. И. О.],B770)</f>
        <v>0</v>
      </c>
      <c r="Y775" s="802"/>
      <c r="Z775" s="798"/>
      <c r="AA775" s="787"/>
    </row>
    <row r="776" spans="1:29" ht="18.75" customHeight="1">
      <c r="A776" s="786">
        <v>71</v>
      </c>
      <c r="B776" s="216"/>
      <c r="C776" s="788">
        <f>INDEX(база!$E$2:$E$150, MATCH(B781,база!$B$2:$B$150,0))</f>
        <v>14639</v>
      </c>
      <c r="D776" s="791">
        <f>INDEX(база!$D$2:$D$150, MATCH(B781,база!$B$2:$B$150,0))</f>
        <v>4</v>
      </c>
      <c r="E776" s="481">
        <f>IF(D776&lt;=3,база!$I$4,
IF(D776=4,база!$I$5,
IF(D776=5,база!$I$6)))</f>
        <v>207.5112</v>
      </c>
      <c r="F776" s="417">
        <v>1</v>
      </c>
      <c r="G776" s="418">
        <f>SUMIFS(Таблица14[часы],Таблица14[коэф],"1",Таблица14[р/р],"2/4",Таблица14[Ф. И. О.],B781)</f>
        <v>0</v>
      </c>
      <c r="H776" s="402">
        <f>SUMIFS(Таблица14[Столбец2],Таблица14[коэф],"1",Таблица14[р/р],"2/4",Таблица14[Ф. И. О.],B781)</f>
        <v>0</v>
      </c>
      <c r="I776" s="452">
        <f>IF(D776&lt;=3,база!$J$4,
IF(D776=4,база!$J$5,
IF(D776=5,база!$J$6)))</f>
        <v>215.4924</v>
      </c>
      <c r="J776" s="475">
        <v>1</v>
      </c>
      <c r="K776" s="453">
        <f>SUMIFS(Таблица14[часы],Таблица14[коэф],"1",Таблица14[р/р],"2/8",Таблица14[Ф. И. О.],B781)</f>
        <v>0</v>
      </c>
      <c r="L776" s="453">
        <f>SUMIFS(Таблица14[Столбец2],Таблица14[коэф],"1",Таблица14[р/р],"2/8",Таблица14[Ф. И. О.],B781)</f>
        <v>0</v>
      </c>
      <c r="M776" s="453"/>
      <c r="N776" s="453">
        <v>1</v>
      </c>
      <c r="O776" s="453">
        <f>SUMIFS(Data_Tech!$AM$3:$AM$67,Data_Tech!$E$3:$E$67,"1",Data_Tech!$G$3:$G$67,"3/12",Data_Tech!$F$3:$F$67,B781)</f>
        <v>0</v>
      </c>
      <c r="P776" s="398">
        <f>ROUND(M776*N776*O776,2)</f>
        <v>0</v>
      </c>
      <c r="Q776" s="481">
        <f>IF(D776&lt;=3,база!$L$4,
IF(D776=4,база!$L$5,
IF(D776=5,база!$L$6)))</f>
        <v>231.45480000000001</v>
      </c>
      <c r="R776" s="417">
        <v>1</v>
      </c>
      <c r="S776" s="418">
        <f>SUMIFS(Таблица14[часы],Таблица14[коэф],"1",Таблица14[р/р],"3/16",Таблица14[Ф. И. О.],B781)</f>
        <v>0</v>
      </c>
      <c r="T776" s="402">
        <f>SUMIFS(Таблица14[Столбец2],Таблица14[коэф],"1",Таблица14[р/р],"3/16",Таблица14[Ф. И. О.],B781)</f>
        <v>0</v>
      </c>
      <c r="U776" s="483">
        <f>IF(D776&lt;=3,база!$M$4,
IF(D776=4,база!$M$5,
IF(D776=5,база!$M$6)))</f>
        <v>247.41720000000001</v>
      </c>
      <c r="V776" s="417">
        <v>1</v>
      </c>
      <c r="W776" s="455">
        <f>SUMIFS(Таблица14[часы],Таблица14[коэф],"1",Таблица14[р/р],"3/24",Таблица14[Ф. И. О.],B781)</f>
        <v>0</v>
      </c>
      <c r="X776" s="552">
        <f>SUMIFS(Таблица14[Столбец2],Таблица14[коэф],"1",Таблица14[р/р],"3/24",Таблица14[Ф. И. О.],B781)</f>
        <v>0</v>
      </c>
      <c r="Y776" s="801">
        <f t="shared" ref="Y776" si="278">SUM(G776:G786,K776:K786,O776:O786,S776:S786,W776:W786)</f>
        <v>0</v>
      </c>
      <c r="Z776" s="797">
        <f t="shared" ref="Z776" si="279">IFERROR(SUM(H776:H786,L776:L786,T776:T786,X776:X786),"")</f>
        <v>0</v>
      </c>
      <c r="AA776" s="786"/>
    </row>
    <row r="777" spans="1:29" ht="18.75" customHeight="1">
      <c r="A777" s="786"/>
      <c r="B777" s="216"/>
      <c r="C777" s="789"/>
      <c r="D777" s="792"/>
      <c r="E777" s="389">
        <f>IF(D776&lt;=3,база!$I$4,
IF(D776=4,база!$I$5,
IF(D776=5,база!$I$6)))</f>
        <v>207.5112</v>
      </c>
      <c r="F777" s="390">
        <v>1</v>
      </c>
      <c r="G777" s="400">
        <f>SUMIFS(Таблица14[часы],Таблица14[коэф],"1",Таблица14[р/р],"3/4",Таблица14[Ф. И. О.],B781)</f>
        <v>0</v>
      </c>
      <c r="H777" s="392">
        <f>SUMIFS(Таблица14[Столбец2],Таблица14[коэф],"1",Таблица14[р/р],"3/4",Таблица14[Ф. И. О.],B781)</f>
        <v>0</v>
      </c>
      <c r="I777" s="432">
        <f>IF(D776&lt;=3,база!$J$4,
IF(D776=4,база!$J$5,
IF(D776=5,база!$J$6)))</f>
        <v>215.4924</v>
      </c>
      <c r="J777" s="433">
        <v>1</v>
      </c>
      <c r="K777" s="434">
        <f>SUMIFS(Таблица14[часы],Таблица14[коэф],"1",Таблица14[р/р],"3/8",Таблица14[Ф. И. О.],B781)</f>
        <v>0</v>
      </c>
      <c r="L777" s="434">
        <f>SUMIFS(Таблица14[Столбец2],Таблица14[коэф],"1",Таблица14[р/р],"3/8",Таблица14[Ф. И. О.],B781)</f>
        <v>0</v>
      </c>
      <c r="M777" s="434"/>
      <c r="N777" s="434">
        <v>1</v>
      </c>
      <c r="O777" s="434">
        <f>SUMIFS(Data_Tech!$AM$3:$AM$67,Data_Tech!$E$3:$E$67,"1",Data_Tech!$G$3:$G$67,"4/12",Data_Tech!$F$3:$F$67,B781)</f>
        <v>0</v>
      </c>
      <c r="P777" s="406">
        <f>ROUND(M777*O777,2)</f>
        <v>0</v>
      </c>
      <c r="Q777" s="389">
        <f>база!$L$5</f>
        <v>231.45480000000001</v>
      </c>
      <c r="R777" s="390">
        <v>1</v>
      </c>
      <c r="S777" s="400">
        <f>SUMIFS(Таблица14[часы],Таблица14[коэф],"1",Таблица14[р/р],"4/16",Таблица14[Ф. И. О.],B781)</f>
        <v>0</v>
      </c>
      <c r="T777" s="392">
        <f>SUMIFS(Таблица14[Столбец2],Таблица14[коэф],"1",Таблица14[р/р],"4/16",Таблица14[Ф. И. О.],B781)</f>
        <v>0</v>
      </c>
      <c r="U777" s="478">
        <f>база!$M$5</f>
        <v>247.41720000000001</v>
      </c>
      <c r="V777" s="390">
        <v>1</v>
      </c>
      <c r="W777" s="412">
        <f>SUMIFS(Таблица14[часы],Таблица14[коэф],"1",Таблица14[р/р],"4/24",Таблица14[Ф. И. О.],B781)</f>
        <v>0</v>
      </c>
      <c r="X777" s="545">
        <f>SUMIFS(Таблица14[Столбец2],Таблица14[коэф],"1",Таблица14[р/р],"4/24",Таблица14[Ф. И. О.],B781)</f>
        <v>0</v>
      </c>
      <c r="Y777" s="801"/>
      <c r="Z777" s="797"/>
      <c r="AA777" s="786"/>
    </row>
    <row r="778" spans="1:29" ht="18.75" customHeight="1">
      <c r="A778" s="786"/>
      <c r="B778" s="216"/>
      <c r="C778" s="789"/>
      <c r="D778" s="792"/>
      <c r="E778" s="389"/>
      <c r="F778" s="390"/>
      <c r="G778" s="400"/>
      <c r="H778" s="392"/>
      <c r="I778" s="432"/>
      <c r="J778" s="433"/>
      <c r="K778" s="434"/>
      <c r="L778" s="434"/>
      <c r="M778" s="434"/>
      <c r="N778" s="434"/>
      <c r="O778" s="434"/>
      <c r="P778" s="406"/>
      <c r="Q778" s="389">
        <f>база!$L$6</f>
        <v>261.04640000000001</v>
      </c>
      <c r="R778" s="390">
        <v>1</v>
      </c>
      <c r="S778" s="400">
        <f>SUMIFS(Таблица14[часы],Таблица14[коэф],"1",Таблица14[р/р],"5/16",Таблица14[Ф. И. О.],B781)</f>
        <v>0</v>
      </c>
      <c r="T778" s="392">
        <f>SUMIFS(Таблица14[Столбец2],Таблица14[коэф],"1",Таблица14[р/р],"5/16",Таблица14[Ф. И. О.],B781)</f>
        <v>0</v>
      </c>
      <c r="U778" s="478">
        <f>база!$M$6</f>
        <v>279.0496</v>
      </c>
      <c r="V778" s="390">
        <v>1</v>
      </c>
      <c r="W778" s="412">
        <f>SUMIFS(Таблица14[часы],Таблица14[коэф],"1",Таблица14[р/р],"5/24",Таблица14[Ф. И. О.],B781)</f>
        <v>0</v>
      </c>
      <c r="X778" s="545">
        <f>SUMIFS(Таблица14[Столбец2],Таблица14[коэф],"1",Таблица14[р/р],"5/24",Таблица14[Ф. И. О.],B781)</f>
        <v>0</v>
      </c>
      <c r="Y778" s="801"/>
      <c r="Z778" s="797"/>
      <c r="AA778" s="786"/>
    </row>
    <row r="779" spans="1:29" ht="18.75" customHeight="1">
      <c r="A779" s="786"/>
      <c r="B779" s="216"/>
      <c r="C779" s="789"/>
      <c r="D779" s="792"/>
      <c r="E779" s="389"/>
      <c r="F779" s="390"/>
      <c r="G779" s="400"/>
      <c r="H779" s="392"/>
      <c r="I779" s="432">
        <f>база!$J$5</f>
        <v>215.4924</v>
      </c>
      <c r="J779" s="433">
        <v>1.5</v>
      </c>
      <c r="K779" s="434">
        <f>SUMIFS(Таблица14[часы],Таблица14[коэф],"1,5",Таблица14[р/р],"4/8",Таблица14[Ф. И. О.],B781)</f>
        <v>0</v>
      </c>
      <c r="L779" s="434">
        <f>SUMIFS(Таблица14[Столбец2],Таблица14[коэф],"1,5",Таблица14[р/р],"4/8",Таблица14[Ф. И. О.],B781)</f>
        <v>0</v>
      </c>
      <c r="M779" s="434"/>
      <c r="N779" s="434"/>
      <c r="O779" s="434"/>
      <c r="P779" s="406"/>
      <c r="Q779" s="389">
        <f>IF(D776&lt;=3,база!$L$4,
IF(D776=4,база!$L$5,
IF(D776=5,база!$L$6)))</f>
        <v>231.45480000000001</v>
      </c>
      <c r="R779" s="390">
        <v>1.2</v>
      </c>
      <c r="S779" s="400">
        <f>SUMIFS(Таблица14[часы],Таблица14[коэф],"1,2",Таблица14[р/р],"3/16",Таблица14[Ф. И. О.],B781)</f>
        <v>0</v>
      </c>
      <c r="T779" s="392">
        <f>SUMIFS(Таблица14[Столбец2],Таблица14[коэф],"1,2",Таблица14[р/р],"3/16",Таблица14[Ф. И. О.],B781)</f>
        <v>0</v>
      </c>
      <c r="U779" s="478">
        <f>IF(D776&lt;=3,база!$M$4,
IF(D776=4,база!$M$5,
IF(D776=5,база!$M$6)))</f>
        <v>247.41720000000001</v>
      </c>
      <c r="V779" s="390">
        <v>1.2</v>
      </c>
      <c r="W779" s="412">
        <f>SUMIFS(Таблица14[часы],Таблица14[коэф],"1,2",Таблица14[р/р],"3/24",Таблица14[Ф. И. О.],B781)</f>
        <v>0</v>
      </c>
      <c r="X779" s="545">
        <f>SUMIFS(Таблица14[Столбец2],Таблица14[коэф],"1,2",Таблица14[р/р],"3/24",Таблица14[Ф. И. О.],B781)</f>
        <v>0</v>
      </c>
      <c r="Y779" s="801"/>
      <c r="Z779" s="797"/>
      <c r="AA779" s="786"/>
    </row>
    <row r="780" spans="1:29" ht="18.75" customHeight="1">
      <c r="A780" s="786"/>
      <c r="B780" s="216"/>
      <c r="C780" s="789"/>
      <c r="D780" s="792"/>
      <c r="E780" s="389"/>
      <c r="F780" s="390"/>
      <c r="G780" s="400"/>
      <c r="H780" s="392"/>
      <c r="I780" s="432">
        <f>база!$J$6</f>
        <v>243.04319999999998</v>
      </c>
      <c r="J780" s="433">
        <v>1.5</v>
      </c>
      <c r="K780" s="434">
        <f>SUMIFS(Таблица14[часы],Таблица14[коэф],"1,5",Таблица14[р/р],"5/8",Таблица14[Ф. И. О.],B781)</f>
        <v>0</v>
      </c>
      <c r="L780" s="434">
        <f>SUMIFS(Таблица14[Столбец2],Таблица14[коэф],"1,5",Таблица14[р/р],"5/8",Таблица14[Ф. И. О.],B781)</f>
        <v>0</v>
      </c>
      <c r="M780" s="434"/>
      <c r="N780" s="434"/>
      <c r="O780" s="434"/>
      <c r="P780" s="406"/>
      <c r="Q780" s="389">
        <f>база!$L$5</f>
        <v>231.45480000000001</v>
      </c>
      <c r="R780" s="390">
        <v>1.2</v>
      </c>
      <c r="S780" s="400">
        <f>SUMIFS(Таблица14[часы],Таблица14[коэф],"1,2",Таблица14[р/р],"4/16",Таблица14[Ф. И. О.],B781)</f>
        <v>0</v>
      </c>
      <c r="T780" s="392">
        <f>SUMIFS(Таблица14[Столбец2],Таблица14[коэф],"1,2",Таблица14[р/р],"4/16",Таблица14[Ф. И. О.],B781)</f>
        <v>0</v>
      </c>
      <c r="U780" s="478">
        <f>база!$M$5</f>
        <v>247.41720000000001</v>
      </c>
      <c r="V780" s="390">
        <v>1.2</v>
      </c>
      <c r="W780" s="412">
        <f>SUMIFS(Таблица14[часы],Таблица14[коэф],"1,2",Таблица14[р/р],"4/24",Таблица14[Ф. И. О.],B781)</f>
        <v>0</v>
      </c>
      <c r="X780" s="545">
        <f>SUMIFS(Таблица14[Столбец2],Таблица14[коэф],"1,2",Таблица14[р/р],"4/24",Таблица14[Ф. И. О.],B781)</f>
        <v>0</v>
      </c>
      <c r="Y780" s="801"/>
      <c r="Z780" s="797"/>
      <c r="AA780" s="786"/>
    </row>
    <row r="781" spans="1:29" ht="18.75" customHeight="1">
      <c r="A781" s="786"/>
      <c r="B781" s="216" t="str">
        <f>база!B72</f>
        <v>Смирнова Елена Евгеньевна</v>
      </c>
      <c r="C781" s="789"/>
      <c r="D781" s="792"/>
      <c r="E781" s="389"/>
      <c r="F781" s="390"/>
      <c r="G781" s="400"/>
      <c r="H781" s="392"/>
      <c r="I781" s="432"/>
      <c r="J781" s="433"/>
      <c r="K781" s="434"/>
      <c r="L781" s="434"/>
      <c r="M781" s="434"/>
      <c r="N781" s="434"/>
      <c r="O781" s="434"/>
      <c r="P781" s="406"/>
      <c r="Q781" s="389">
        <f>база!$L$6</f>
        <v>261.04640000000001</v>
      </c>
      <c r="R781" s="390">
        <v>1.2</v>
      </c>
      <c r="S781" s="400">
        <f>SUMIFS(Таблица14[часы],Таблица14[коэф],"1,2",Таблица14[р/р],"5/16",Таблица14[Ф. И. О.],B781)</f>
        <v>0</v>
      </c>
      <c r="T781" s="392">
        <f>SUMIFS(Таблица14[Столбец2],Таблица14[коэф],"1,2",Таблица14[р/р],"5/16",Таблица14[Ф. И. О.],B781)</f>
        <v>0</v>
      </c>
      <c r="U781" s="478">
        <f>база!$M$6</f>
        <v>279.0496</v>
      </c>
      <c r="V781" s="390">
        <v>1.2</v>
      </c>
      <c r="W781" s="412">
        <f>SUMIFS(Таблица14[часы],Таблица14[коэф],"1,2",Таблица14[р/р],"5/24",Таблица14[Ф. И. О.],B781)</f>
        <v>0</v>
      </c>
      <c r="X781" s="545">
        <f>SUMIFS(Таблица14[Столбец2],Таблица14[коэф],"1,2",Таблица14[р/р],"5/24",Таблица14[Ф. И. О.],B781)</f>
        <v>0</v>
      </c>
      <c r="Y781" s="801"/>
      <c r="Z781" s="797"/>
      <c r="AA781" s="786"/>
      <c r="AC781" s="754" t="str">
        <f>IF(SUMIFS(Таблица14[Столбец2],Таблица14[Ф. И. О.],B781)-Z776=0,"",SUMIFS(Таблица14[Столбец2],Таблица14[Ф. И. О.],B781)-Z776)</f>
        <v/>
      </c>
    </row>
    <row r="782" spans="1:29" ht="18.75" customHeight="1">
      <c r="A782" s="786"/>
      <c r="B782" s="216"/>
      <c r="C782" s="789"/>
      <c r="D782" s="792"/>
      <c r="E782" s="389"/>
      <c r="F782" s="390"/>
      <c r="G782" s="400"/>
      <c r="H782" s="392"/>
      <c r="I782" s="432"/>
      <c r="J782" s="433"/>
      <c r="K782" s="434"/>
      <c r="L782" s="434"/>
      <c r="M782" s="434"/>
      <c r="N782" s="434"/>
      <c r="O782" s="434"/>
      <c r="P782" s="406"/>
      <c r="Q782" s="389">
        <f>IF($D$6&lt;=3,база!$L$4,
IF($D$6=4,база!$L$5,
IF($D$6=5,база!$L$6)))</f>
        <v>231.45480000000001</v>
      </c>
      <c r="R782" s="390">
        <v>1.3</v>
      </c>
      <c r="S782" s="400">
        <f>SUMIFS(Таблица14[часы],Таблица14[коэф],"1,3",Таблица14[р/р],"3/16",Таблица14[Ф. И. О.],B781)</f>
        <v>0</v>
      </c>
      <c r="T782" s="392">
        <f>SUMIFS(Таблица14[Столбец2],Таблица14[коэф],"1,3",Таблица14[р/р],"3/16",Таблица14[Ф. И. О.],B781)</f>
        <v>0</v>
      </c>
      <c r="U782" s="478">
        <f>IF(D776&lt;=3,база!$M$4,
IF(D776=4,база!$M$5,
IF(D776=5,база!$M$6)))</f>
        <v>247.41720000000001</v>
      </c>
      <c r="V782" s="390">
        <v>1.3</v>
      </c>
      <c r="W782" s="412">
        <f>SUMIFS(Таблица14[часы],Таблица14[коэф],"1,3",Таблица14[р/р],"3/24",Таблица14[Ф. И. О.],B781)</f>
        <v>0</v>
      </c>
      <c r="X782" s="545">
        <f>SUMIFS(Таблица14[Столбец2],Таблица14[коэф],"1,3",Таблица14[р/р],"3/24",Таблица14[Ф. И. О.],B781)</f>
        <v>0</v>
      </c>
      <c r="Y782" s="801"/>
      <c r="Z782" s="797"/>
      <c r="AA782" s="786"/>
      <c r="AC782" s="754" t="str">
        <f>IF(SUMIFS(Таблица14[часы],Таблица14[Ф. И. О.],B781)-Y776=0,"",SUMIFS(Таблица14[часы],Таблица14[Ф. И. О.],B781)-Y776)</f>
        <v/>
      </c>
    </row>
    <row r="783" spans="1:29" ht="18.75" customHeight="1">
      <c r="A783" s="786"/>
      <c r="B783" s="216"/>
      <c r="C783" s="789"/>
      <c r="D783" s="792"/>
      <c r="E783" s="389"/>
      <c r="F783" s="390"/>
      <c r="G783" s="400"/>
      <c r="H783" s="392"/>
      <c r="I783" s="432"/>
      <c r="J783" s="433"/>
      <c r="K783" s="434"/>
      <c r="L783" s="434"/>
      <c r="M783" s="434"/>
      <c r="N783" s="434"/>
      <c r="O783" s="434"/>
      <c r="P783" s="406"/>
      <c r="Q783" s="389">
        <f>база!$L$5</f>
        <v>231.45480000000001</v>
      </c>
      <c r="R783" s="390">
        <v>1.3</v>
      </c>
      <c r="S783" s="400">
        <f>SUMIFS(Таблица14[часы],Таблица14[коэф],"1,3",Таблица14[р/р],"4/16",Таблица14[Ф. И. О.],B781)</f>
        <v>0</v>
      </c>
      <c r="T783" s="392">
        <f>SUMIFS(Таблица14[Столбец2],Таблица14[коэф],"1,3",Таблица14[р/р],"4/16",Таблица14[Ф. И. О.],B781)</f>
        <v>0</v>
      </c>
      <c r="U783" s="478">
        <f>база!$M$5</f>
        <v>247.41720000000001</v>
      </c>
      <c r="V783" s="390">
        <v>1.3</v>
      </c>
      <c r="W783" s="412">
        <f>SUMIFS(Таблица14[часы],Таблица14[коэф],"1,3",Таблица14[р/р],"4/24",Таблица14[Ф. И. О.],B781)</f>
        <v>0</v>
      </c>
      <c r="X783" s="545">
        <f>SUMIFS(Таблица14[Столбец2],Таблица14[коэф],"1,3",Таблица14[р/р],"4/24",Таблица14[Ф. И. О.],B781)</f>
        <v>0</v>
      </c>
      <c r="Y783" s="801"/>
      <c r="Z783" s="797"/>
      <c r="AA783" s="786"/>
    </row>
    <row r="784" spans="1:29" ht="18.75" customHeight="1">
      <c r="A784" s="786"/>
      <c r="B784" s="216"/>
      <c r="C784" s="789"/>
      <c r="D784" s="792"/>
      <c r="E784" s="389"/>
      <c r="F784" s="390"/>
      <c r="G784" s="400"/>
      <c r="H784" s="392"/>
      <c r="I784" s="432"/>
      <c r="J784" s="433"/>
      <c r="K784" s="434"/>
      <c r="L784" s="434"/>
      <c r="M784" s="434"/>
      <c r="N784" s="434"/>
      <c r="O784" s="434"/>
      <c r="P784" s="406"/>
      <c r="Q784" s="389">
        <f>IF(D776&lt;=3,база!$L$4,
IF(D776=4,база!$L$5,
IF(D776=5,база!$L$6)))</f>
        <v>231.45480000000001</v>
      </c>
      <c r="R784" s="390">
        <v>1.4</v>
      </c>
      <c r="S784" s="400">
        <f>SUMIFS(Таблица14[часы],Таблица14[коэф],"1,4",Таблица14[р/р],"3/16",Таблица14[Ф. И. О.],B781)</f>
        <v>0</v>
      </c>
      <c r="T784" s="392">
        <f>SUMIFS(Таблица14[Столбец2],Таблица14[коэф],"1,4",Таблица14[р/р],"3/16",Таблица14[Ф. И. О.],B781)</f>
        <v>0</v>
      </c>
      <c r="U784" s="478">
        <f>IF(D776&lt;=3,база!$M$4,
IF(D776=4,база!$M$5,
IF(D776=5,база!$M$6)))</f>
        <v>247.41720000000001</v>
      </c>
      <c r="V784" s="390">
        <v>1.4</v>
      </c>
      <c r="W784" s="412">
        <f>SUMIFS(Таблица14[часы],Таблица14[коэф],"1,4",Таблица14[р/р],"3/24",Таблица14[Ф. И. О.],B781)</f>
        <v>0</v>
      </c>
      <c r="X784" s="545">
        <f>SUMIFS(Таблица14[Столбец2],Таблица14[коэф],"1,4",Таблица14[р/р],"3/24",Таблица14[Ф. И. О.],B781)</f>
        <v>0</v>
      </c>
      <c r="Y784" s="801"/>
      <c r="Z784" s="797"/>
      <c r="AA784" s="786"/>
    </row>
    <row r="785" spans="1:29" ht="18.75" customHeight="1">
      <c r="A785" s="786"/>
      <c r="B785" s="216"/>
      <c r="C785" s="789"/>
      <c r="D785" s="792"/>
      <c r="E785" s="389"/>
      <c r="F785" s="390"/>
      <c r="G785" s="400"/>
      <c r="H785" s="392"/>
      <c r="I785" s="432"/>
      <c r="J785" s="433"/>
      <c r="K785" s="434"/>
      <c r="L785" s="434"/>
      <c r="M785" s="434"/>
      <c r="N785" s="434"/>
      <c r="O785" s="434"/>
      <c r="P785" s="406"/>
      <c r="Q785" s="389">
        <f>база!$L$5</f>
        <v>231.45480000000001</v>
      </c>
      <c r="R785" s="390">
        <v>1.4</v>
      </c>
      <c r="S785" s="400">
        <f>SUMIFS(Таблица14[часы],Таблица14[коэф],"1,4",Таблица14[р/р],"4/16",Таблица14[Ф. И. О.],B781)</f>
        <v>0</v>
      </c>
      <c r="T785" s="392">
        <f>SUMIFS(Таблица14[Столбец2],Таблица14[коэф],"1,4",Таблица14[р/р],"4/16",Таблица14[Ф. И. О.],B781)</f>
        <v>0</v>
      </c>
      <c r="U785" s="478">
        <f>база!$M$5</f>
        <v>247.41720000000001</v>
      </c>
      <c r="V785" s="390">
        <v>1.4</v>
      </c>
      <c r="W785" s="412">
        <f>SUMIFS(Таблица14[часы],Таблица14[коэф],"1,4",Таблица14[р/р],"4/24",Таблица14[Ф. И. О.],B781)</f>
        <v>0</v>
      </c>
      <c r="X785" s="545">
        <f>SUMIFS(Таблица14[Столбец2],Таблица14[коэф],"1,4",Таблица14[р/р],"4/24",Таблица14[Ф. И. О.],B781)</f>
        <v>0</v>
      </c>
      <c r="Y785" s="801"/>
      <c r="Z785" s="797"/>
      <c r="AA785" s="786"/>
    </row>
    <row r="786" spans="1:29" ht="19.5" customHeight="1" thickBot="1">
      <c r="A786" s="787"/>
      <c r="B786" s="352"/>
      <c r="C786" s="790"/>
      <c r="D786" s="793"/>
      <c r="E786" s="473"/>
      <c r="F786" s="464"/>
      <c r="G786" s="657"/>
      <c r="H786" s="468"/>
      <c r="I786" s="651"/>
      <c r="J786" s="456"/>
      <c r="K786" s="652"/>
      <c r="L786" s="457"/>
      <c r="M786" s="651"/>
      <c r="N786" s="652"/>
      <c r="O786" s="652"/>
      <c r="P786" s="476"/>
      <c r="Q786" s="658">
        <f>база!$L$6</f>
        <v>261.04640000000001</v>
      </c>
      <c r="R786" s="464">
        <v>1.4</v>
      </c>
      <c r="S786" s="465">
        <f>SUMIFS(Таблица14[часы],Таблица14[коэф],"1,4",Таблица14[р/р],"5/16",Таблица14[Ф. И. О.],B781)</f>
        <v>0</v>
      </c>
      <c r="T786" s="468">
        <f>SUMIFS(Таблица14[Столбец2],Таблица14[коэф],"1,4",Таблица14[р/р],"5/16",Таблица14[Ф. И. О.],B781)</f>
        <v>0</v>
      </c>
      <c r="U786" s="463">
        <f>база!$M$6</f>
        <v>279.0496</v>
      </c>
      <c r="V786" s="464">
        <v>1.4</v>
      </c>
      <c r="W786" s="465">
        <f>SUMIFS(Таблица14[часы],Таблица14[коэф],"1,4",Таблица14[р/р],"5/24",Таблица14[Ф. И. О.],B781)</f>
        <v>0</v>
      </c>
      <c r="X786" s="468">
        <f>SUMIFS(Таблица14[Столбец2],Таблица14[коэф],"1,4",Таблица14[р/р],"5/24",Таблица14[Ф. И. О.],B781)</f>
        <v>0</v>
      </c>
      <c r="Y786" s="802"/>
      <c r="Z786" s="798"/>
      <c r="AA786" s="787"/>
    </row>
    <row r="787" spans="1:29" ht="18.75" customHeight="1">
      <c r="A787" s="786">
        <v>772</v>
      </c>
      <c r="B787" s="216"/>
      <c r="C787" s="788">
        <f>INDEX(база!$E$2:$E$150, MATCH(B792,база!$B$2:$B$150,0))</f>
        <v>17076</v>
      </c>
      <c r="D787" s="791">
        <f>INDEX(база!$D$2:$D$150, MATCH(B792,база!$B$2:$B$150,0))</f>
        <v>3</v>
      </c>
      <c r="E787" s="481">
        <f>IF(D787&lt;=3,база!$I$4,
IF(D787=4,база!$I$5,
IF(D787=5,база!$I$6)))</f>
        <v>188.7912</v>
      </c>
      <c r="F787" s="417">
        <v>1</v>
      </c>
      <c r="G787" s="418">
        <f>SUMIFS(Таблица14[часы],Таблица14[коэф],"1",Таблица14[р/р],"2/4",Таблица14[Ф. И. О.],B792)</f>
        <v>0</v>
      </c>
      <c r="H787" s="402">
        <f>SUMIFS(Таблица14[Столбец2],Таблица14[коэф],"1",Таблица14[р/р],"2/4",Таблица14[Ф. И. О.],B792)</f>
        <v>0</v>
      </c>
      <c r="I787" s="452">
        <f>IF(D787&lt;=3,база!$J$4,
IF(D787=4,база!$J$5,
IF(D787=5,база!$J$6)))</f>
        <v>196.05240000000001</v>
      </c>
      <c r="J787" s="475">
        <v>1</v>
      </c>
      <c r="K787" s="453">
        <f>SUMIFS(Таблица14[часы],Таблица14[коэф],"1",Таблица14[р/р],"2/8",Таблица14[Ф. И. О.],B792)</f>
        <v>0</v>
      </c>
      <c r="L787" s="453">
        <f>SUMIFS(Таблица14[Столбец2],Таблица14[коэф],"1",Таблица14[р/р],"2/8",Таблица14[Ф. И. О.],B792)</f>
        <v>0</v>
      </c>
      <c r="M787" s="453"/>
      <c r="N787" s="453">
        <v>1</v>
      </c>
      <c r="O787" s="453">
        <f>SUMIFS(Data_Tech!$AM$3:$AM$67,Data_Tech!$E$3:$E$67,"1",Data_Tech!$G$3:$G$67,"3/12",Data_Tech!$F$3:$F$67,B792)</f>
        <v>0</v>
      </c>
      <c r="P787" s="398">
        <f>ROUND(M787*N787*O787,2)</f>
        <v>0</v>
      </c>
      <c r="Q787" s="481">
        <f>IF(D787&lt;=3,база!$L$4,
IF(D787=4,база!$L$5,
IF(D787=5,база!$L$6)))</f>
        <v>210.57480000000001</v>
      </c>
      <c r="R787" s="417">
        <v>1</v>
      </c>
      <c r="S787" s="418">
        <f>SUMIFS(Таблица14[часы],Таблица14[коэф],"1",Таблица14[р/р],"3/16",Таблица14[Ф. И. О.],B792)</f>
        <v>0</v>
      </c>
      <c r="T787" s="402">
        <f>SUMIFS(Таблица14[Столбец2],Таблица14[коэф],"1",Таблица14[р/р],"3/16",Таблица14[Ф. И. О.],B792)</f>
        <v>0</v>
      </c>
      <c r="U787" s="483">
        <f>IF(D787&lt;=3,база!$M$4,
IF(D787=4,база!$M$5,
IF(D787=5,база!$M$6)))</f>
        <v>225.09719999999999</v>
      </c>
      <c r="V787" s="417">
        <v>1</v>
      </c>
      <c r="W787" s="455">
        <f>SUMIFS(Таблица14[часы],Таблица14[коэф],"1",Таблица14[р/р],"3/24",Таблица14[Ф. И. О.],B792)</f>
        <v>0</v>
      </c>
      <c r="X787" s="552">
        <f>SUMIFS(Таблица14[Столбец2],Таблица14[коэф],"1",Таблица14[р/р],"3/24",Таблица14[Ф. И. О.],B792)</f>
        <v>0</v>
      </c>
      <c r="Y787" s="801">
        <f t="shared" ref="Y787" si="280">SUM(G787:G797,K787:K797,O787:O797,S787:S797,W787:W797)</f>
        <v>0</v>
      </c>
      <c r="Z787" s="797">
        <f t="shared" ref="Z787" si="281">IFERROR(SUM(H787:H797,L787:L797,T787:T797,X787:X797),"")</f>
        <v>0</v>
      </c>
      <c r="AA787" s="785"/>
    </row>
    <row r="788" spans="1:29" ht="18.75" customHeight="1">
      <c r="A788" s="786"/>
      <c r="B788" s="216"/>
      <c r="C788" s="789"/>
      <c r="D788" s="792"/>
      <c r="E788" s="389">
        <f>IF(D787&lt;=3,база!$I$4,
IF(D787=4,база!$I$5,
IF(D787=5,база!$I$6)))</f>
        <v>188.7912</v>
      </c>
      <c r="F788" s="390">
        <v>1</v>
      </c>
      <c r="G788" s="400">
        <f>SUMIFS(Таблица14[часы],Таблица14[коэф],"1",Таблица14[р/р],"3/4",Таблица14[Ф. И. О.],B792)</f>
        <v>0</v>
      </c>
      <c r="H788" s="392">
        <f>SUMIFS(Таблица14[Столбец2],Таблица14[коэф],"1",Таблица14[р/р],"3/4",Таблица14[Ф. И. О.],B792)</f>
        <v>0</v>
      </c>
      <c r="I788" s="432">
        <f>IF(D787&lt;=3,база!$J$4,
IF(D787=4,база!$J$5,
IF(D787=5,база!$J$6)))</f>
        <v>196.05240000000001</v>
      </c>
      <c r="J788" s="433">
        <v>1</v>
      </c>
      <c r="K788" s="434">
        <f>SUMIFS(Таблица14[часы],Таблица14[коэф],"1",Таблица14[р/р],"3/8",Таблица14[Ф. И. О.],B792)</f>
        <v>0</v>
      </c>
      <c r="L788" s="434">
        <f>SUMIFS(Таблица14[Столбец2],Таблица14[коэф],"1",Таблица14[р/р],"3/8",Таблица14[Ф. И. О.],B792)</f>
        <v>0</v>
      </c>
      <c r="M788" s="434"/>
      <c r="N788" s="434">
        <v>1</v>
      </c>
      <c r="O788" s="434">
        <f>SUMIFS(Data_Tech!$AM$3:$AM$67,Data_Tech!$E$3:$E$67,"1",Data_Tech!$G$3:$G$67,"4/12",Data_Tech!$F$3:$F$67,B792)</f>
        <v>0</v>
      </c>
      <c r="P788" s="406">
        <f>ROUND(M788*O788,2)</f>
        <v>0</v>
      </c>
      <c r="Q788" s="389">
        <f>база!$L$5</f>
        <v>231.45480000000001</v>
      </c>
      <c r="R788" s="390">
        <v>1</v>
      </c>
      <c r="S788" s="400">
        <f>SUMIFS(Таблица14[часы],Таблица14[коэф],"1",Таблица14[р/р],"4/16",Таблица14[Ф. И. О.],B792)</f>
        <v>0</v>
      </c>
      <c r="T788" s="392">
        <f>SUMIFS(Таблица14[Столбец2],Таблица14[коэф],"1",Таблица14[р/р],"4/16",Таблица14[Ф. И. О.],B792)</f>
        <v>0</v>
      </c>
      <c r="U788" s="478">
        <f>база!$M$5</f>
        <v>247.41720000000001</v>
      </c>
      <c r="V788" s="390">
        <v>1</v>
      </c>
      <c r="W788" s="412">
        <f>SUMIFS(Таблица14[часы],Таблица14[коэф],"1",Таблица14[р/р],"4/24",Таблица14[Ф. И. О.],B792)</f>
        <v>0</v>
      </c>
      <c r="X788" s="545">
        <f>SUMIFS(Таблица14[Столбец2],Таблица14[коэф],"1",Таблица14[р/р],"4/24",Таблица14[Ф. И. О.],B792)</f>
        <v>0</v>
      </c>
      <c r="Y788" s="801"/>
      <c r="Z788" s="797"/>
      <c r="AA788" s="786"/>
    </row>
    <row r="789" spans="1:29" ht="18.75" customHeight="1">
      <c r="A789" s="786"/>
      <c r="B789" s="216"/>
      <c r="C789" s="789"/>
      <c r="D789" s="792"/>
      <c r="E789" s="389"/>
      <c r="F789" s="390"/>
      <c r="G789" s="400"/>
      <c r="H789" s="392"/>
      <c r="I789" s="432"/>
      <c r="J789" s="433"/>
      <c r="K789" s="434"/>
      <c r="L789" s="434"/>
      <c r="M789" s="434"/>
      <c r="N789" s="434"/>
      <c r="O789" s="434"/>
      <c r="P789" s="406"/>
      <c r="Q789" s="389">
        <f>база!$L$6</f>
        <v>261.04640000000001</v>
      </c>
      <c r="R789" s="390">
        <v>1</v>
      </c>
      <c r="S789" s="400">
        <f>SUMIFS(Таблица14[часы],Таблица14[коэф],"1",Таблица14[р/р],"5/16",Таблица14[Ф. И. О.],B792)</f>
        <v>0</v>
      </c>
      <c r="T789" s="392">
        <f>SUMIFS(Таблица14[Столбец2],Таблица14[коэф],"1",Таблица14[р/р],"5/16",Таблица14[Ф. И. О.],B792)</f>
        <v>0</v>
      </c>
      <c r="U789" s="478">
        <f>база!$M$6</f>
        <v>279.0496</v>
      </c>
      <c r="V789" s="390">
        <v>1</v>
      </c>
      <c r="W789" s="412">
        <f>SUMIFS(Таблица14[часы],Таблица14[коэф],"1",Таблица14[р/р],"5/24",Таблица14[Ф. И. О.],B792)</f>
        <v>0</v>
      </c>
      <c r="X789" s="545">
        <f>SUMIFS(Таблица14[Столбец2],Таблица14[коэф],"1",Таблица14[р/р],"5/24",Таблица14[Ф. И. О.],B792)</f>
        <v>0</v>
      </c>
      <c r="Y789" s="801"/>
      <c r="Z789" s="797"/>
      <c r="AA789" s="786"/>
    </row>
    <row r="790" spans="1:29" ht="18.75" customHeight="1">
      <c r="A790" s="786"/>
      <c r="B790" s="216"/>
      <c r="C790" s="789"/>
      <c r="D790" s="792"/>
      <c r="E790" s="389"/>
      <c r="F790" s="390"/>
      <c r="G790" s="400"/>
      <c r="H790" s="392"/>
      <c r="I790" s="432">
        <f>база!$J$5</f>
        <v>215.4924</v>
      </c>
      <c r="J790" s="433">
        <v>1.5</v>
      </c>
      <c r="K790" s="434">
        <f>SUMIFS(Таблица14[часы],Таблица14[коэф],"1,5",Таблица14[р/р],"4/8",Таблица14[Ф. И. О.],B792)</f>
        <v>0</v>
      </c>
      <c r="L790" s="434">
        <f>SUMIFS(Таблица14[Столбец2],Таблица14[коэф],"1,5",Таблица14[р/р],"4/8",Таблица14[Ф. И. О.],B792)</f>
        <v>0</v>
      </c>
      <c r="M790" s="434"/>
      <c r="N790" s="434"/>
      <c r="O790" s="434"/>
      <c r="P790" s="406"/>
      <c r="Q790" s="389">
        <f>IF(D787&lt;=3,база!$L$4,
IF(D787=4,база!$L$5,
IF(D787=5,база!$L$6)))</f>
        <v>210.57480000000001</v>
      </c>
      <c r="R790" s="390">
        <v>1.2</v>
      </c>
      <c r="S790" s="400">
        <f>SUMIFS(Таблица14[часы],Таблица14[коэф],"1,2",Таблица14[р/р],"3/16",Таблица14[Ф. И. О.],B792)</f>
        <v>0</v>
      </c>
      <c r="T790" s="392">
        <f>SUMIFS(Таблица14[Столбец2],Таблица14[коэф],"1,2",Таблица14[р/р],"3/16",Таблица14[Ф. И. О.],B792)</f>
        <v>0</v>
      </c>
      <c r="U790" s="478">
        <f>IF(D787&lt;=3,база!$M$4,
IF(D787=4,база!$M$5,
IF(D787=5,база!$M$6)))</f>
        <v>225.09719999999999</v>
      </c>
      <c r="V790" s="390">
        <v>1.2</v>
      </c>
      <c r="W790" s="412">
        <f>SUMIFS(Таблица14[часы],Таблица14[коэф],"1,2",Таблица14[р/р],"3/24",Таблица14[Ф. И. О.],B792)</f>
        <v>0</v>
      </c>
      <c r="X790" s="545">
        <f>SUMIFS(Таблица14[Столбец2],Таблица14[коэф],"1,2",Таблица14[р/р],"3/24",Таблица14[Ф. И. О.],B792)</f>
        <v>0</v>
      </c>
      <c r="Y790" s="801"/>
      <c r="Z790" s="797"/>
      <c r="AA790" s="786"/>
    </row>
    <row r="791" spans="1:29" ht="18.75" customHeight="1">
      <c r="A791" s="786"/>
      <c r="B791" s="216"/>
      <c r="C791" s="789"/>
      <c r="D791" s="792"/>
      <c r="E791" s="389"/>
      <c r="F791" s="390"/>
      <c r="G791" s="400"/>
      <c r="H791" s="392"/>
      <c r="I791" s="432">
        <f>база!$J$6</f>
        <v>243.04319999999998</v>
      </c>
      <c r="J791" s="433">
        <v>1.5</v>
      </c>
      <c r="K791" s="434">
        <f>SUMIFS(Таблица14[часы],Таблица14[коэф],"1,5",Таблица14[р/р],"5/8",Таблица14[Ф. И. О.],B792)</f>
        <v>0</v>
      </c>
      <c r="L791" s="434">
        <f>SUMIFS(Таблица14[Столбец2],Таблица14[коэф],"1,5",Таблица14[р/р],"5/8",Таблица14[Ф. И. О.],B792)</f>
        <v>0</v>
      </c>
      <c r="M791" s="434"/>
      <c r="N791" s="434"/>
      <c r="O791" s="434"/>
      <c r="P791" s="406"/>
      <c r="Q791" s="389">
        <f>база!$L$5</f>
        <v>231.45480000000001</v>
      </c>
      <c r="R791" s="390">
        <v>1.2</v>
      </c>
      <c r="S791" s="400">
        <f>SUMIFS(Таблица14[часы],Таблица14[коэф],"1,2",Таблица14[р/р],"4/16",Таблица14[Ф. И. О.],B792)</f>
        <v>0</v>
      </c>
      <c r="T791" s="392">
        <f>SUMIFS(Таблица14[Столбец2],Таблица14[коэф],"1,2",Таблица14[р/р],"4/16",Таблица14[Ф. И. О.],B792)</f>
        <v>0</v>
      </c>
      <c r="U791" s="478">
        <f>база!$M$5</f>
        <v>247.41720000000001</v>
      </c>
      <c r="V791" s="390">
        <v>1.2</v>
      </c>
      <c r="W791" s="412">
        <f>SUMIFS(Таблица14[часы],Таблица14[коэф],"1,2",Таблица14[р/р],"4/24",Таблица14[Ф. И. О.],B792)</f>
        <v>0</v>
      </c>
      <c r="X791" s="545">
        <f>SUMIFS(Таблица14[Столбец2],Таблица14[коэф],"1,2",Таблица14[р/р],"4/24",Таблица14[Ф. И. О.],B792)</f>
        <v>0</v>
      </c>
      <c r="Y791" s="801"/>
      <c r="Z791" s="797"/>
      <c r="AA791" s="786"/>
    </row>
    <row r="792" spans="1:29" ht="18.75" customHeight="1">
      <c r="A792" s="786"/>
      <c r="B792" s="216" t="str">
        <f>база!B73</f>
        <v>Соболева Наталья Александровна</v>
      </c>
      <c r="C792" s="789"/>
      <c r="D792" s="792"/>
      <c r="E792" s="389"/>
      <c r="F792" s="390"/>
      <c r="G792" s="400"/>
      <c r="H792" s="392"/>
      <c r="I792" s="432"/>
      <c r="J792" s="433"/>
      <c r="K792" s="434"/>
      <c r="L792" s="434"/>
      <c r="M792" s="434"/>
      <c r="N792" s="434"/>
      <c r="O792" s="434"/>
      <c r="P792" s="406"/>
      <c r="Q792" s="389">
        <f>база!$L$6</f>
        <v>261.04640000000001</v>
      </c>
      <c r="R792" s="390">
        <v>1.2</v>
      </c>
      <c r="S792" s="400">
        <f>SUMIFS(Таблица14[часы],Таблица14[коэф],"1,2",Таблица14[р/р],"5/16",Таблица14[Ф. И. О.],B792)</f>
        <v>0</v>
      </c>
      <c r="T792" s="392">
        <f>SUMIFS(Таблица14[Столбец2],Таблица14[коэф],"1,2",Таблица14[р/р],"5/16",Таблица14[Ф. И. О.],B792)</f>
        <v>0</v>
      </c>
      <c r="U792" s="478">
        <f>база!$M$6</f>
        <v>279.0496</v>
      </c>
      <c r="V792" s="390">
        <v>1.2</v>
      </c>
      <c r="W792" s="412">
        <f>SUMIFS(Таблица14[часы],Таблица14[коэф],"1,2",Таблица14[р/р],"5/24",Таблица14[Ф. И. О.],B792)</f>
        <v>0</v>
      </c>
      <c r="X792" s="545">
        <f>SUMIFS(Таблица14[Столбец2],Таблица14[коэф],"1,2",Таблица14[р/р],"5/24",Таблица14[Ф. И. О.],B792)</f>
        <v>0</v>
      </c>
      <c r="Y792" s="801"/>
      <c r="Z792" s="797"/>
      <c r="AA792" s="786"/>
      <c r="AC792" s="754" t="str">
        <f>IF(SUMIFS(Таблица14[Столбец2],Таблица14[Ф. И. О.],B792)-Z787=0,"",SUMIFS(Таблица14[Столбец2],Таблица14[Ф. И. О.],B792)-Z787)</f>
        <v/>
      </c>
    </row>
    <row r="793" spans="1:29" ht="18.75" customHeight="1">
      <c r="A793" s="786"/>
      <c r="B793" s="216"/>
      <c r="C793" s="789"/>
      <c r="D793" s="792"/>
      <c r="E793" s="389"/>
      <c r="F793" s="390"/>
      <c r="G793" s="400"/>
      <c r="H793" s="392"/>
      <c r="I793" s="432"/>
      <c r="J793" s="433"/>
      <c r="K793" s="434"/>
      <c r="L793" s="434"/>
      <c r="M793" s="434"/>
      <c r="N793" s="434"/>
      <c r="O793" s="434"/>
      <c r="P793" s="406"/>
      <c r="Q793" s="389">
        <f>IF($D$6&lt;=3,база!$L$4,
IF($D$6=4,база!$L$5,
IF($D$6=5,база!$L$6)))</f>
        <v>231.45480000000001</v>
      </c>
      <c r="R793" s="390">
        <v>1.3</v>
      </c>
      <c r="S793" s="400">
        <f>SUMIFS(Таблица14[часы],Таблица14[коэф],"1,3",Таблица14[р/р],"3/16",Таблица14[Ф. И. О.],B792)</f>
        <v>0</v>
      </c>
      <c r="T793" s="392">
        <f>SUMIFS(Таблица14[Столбец2],Таблица14[коэф],"1,3",Таблица14[р/р],"3/16",Таблица14[Ф. И. О.],B792)</f>
        <v>0</v>
      </c>
      <c r="U793" s="478">
        <f>IF(D787&lt;=3,база!$M$4,
IF(D787=4,база!$M$5,
IF(D787=5,база!$M$6)))</f>
        <v>225.09719999999999</v>
      </c>
      <c r="V793" s="390">
        <v>1.3</v>
      </c>
      <c r="W793" s="412">
        <f>SUMIFS(Таблица14[часы],Таблица14[коэф],"1,3",Таблица14[р/р],"3/24",Таблица14[Ф. И. О.],B792)</f>
        <v>0</v>
      </c>
      <c r="X793" s="545">
        <f>SUMIFS(Таблица14[Столбец2],Таблица14[коэф],"1,3",Таблица14[р/р],"3/24",Таблица14[Ф. И. О.],B792)</f>
        <v>0</v>
      </c>
      <c r="Y793" s="801"/>
      <c r="Z793" s="797"/>
      <c r="AA793" s="786"/>
      <c r="AC793" s="754" t="str">
        <f>IF(SUMIFS(Таблица14[часы],Таблица14[Ф. И. О.],B792)-Y787=0,"",SUMIFS(Таблица14[часы],Таблица14[Ф. И. О.],B792)-Y787)</f>
        <v/>
      </c>
    </row>
    <row r="794" spans="1:29" ht="18.75" customHeight="1">
      <c r="A794" s="786"/>
      <c r="B794" s="216"/>
      <c r="C794" s="789"/>
      <c r="D794" s="792"/>
      <c r="E794" s="389"/>
      <c r="F794" s="390"/>
      <c r="G794" s="400"/>
      <c r="H794" s="392"/>
      <c r="I794" s="432"/>
      <c r="J794" s="433"/>
      <c r="K794" s="434"/>
      <c r="L794" s="434"/>
      <c r="M794" s="434"/>
      <c r="N794" s="434"/>
      <c r="O794" s="434"/>
      <c r="P794" s="406"/>
      <c r="Q794" s="389">
        <f>база!$L$5</f>
        <v>231.45480000000001</v>
      </c>
      <c r="R794" s="390">
        <v>1.3</v>
      </c>
      <c r="S794" s="400">
        <f>SUMIFS(Таблица14[часы],Таблица14[коэф],"1,3",Таблица14[р/р],"4/16",Таблица14[Ф. И. О.],B792)</f>
        <v>0</v>
      </c>
      <c r="T794" s="392">
        <f>SUMIFS(Таблица14[Столбец2],Таблица14[коэф],"1,3",Таблица14[р/р],"4/16",Таблица14[Ф. И. О.],B792)</f>
        <v>0</v>
      </c>
      <c r="U794" s="478">
        <f>база!$M$5</f>
        <v>247.41720000000001</v>
      </c>
      <c r="V794" s="390">
        <v>1.3</v>
      </c>
      <c r="W794" s="412">
        <f>SUMIFS(Таблица14[часы],Таблица14[коэф],"1,3",Таблица14[р/р],"4/24",Таблица14[Ф. И. О.],B792)</f>
        <v>0</v>
      </c>
      <c r="X794" s="545">
        <f>SUMIFS(Таблица14[Столбец2],Таблица14[коэф],"1,3",Таблица14[р/р],"4/24",Таблица14[Ф. И. О.],B792)</f>
        <v>0</v>
      </c>
      <c r="Y794" s="801"/>
      <c r="Z794" s="797"/>
      <c r="AA794" s="786"/>
    </row>
    <row r="795" spans="1:29" ht="18.75" customHeight="1">
      <c r="A795" s="786"/>
      <c r="B795" s="216"/>
      <c r="C795" s="789"/>
      <c r="D795" s="792"/>
      <c r="E795" s="389"/>
      <c r="F795" s="390"/>
      <c r="G795" s="400"/>
      <c r="H795" s="392"/>
      <c r="I795" s="432"/>
      <c r="J795" s="433"/>
      <c r="K795" s="434"/>
      <c r="L795" s="434"/>
      <c r="M795" s="434"/>
      <c r="N795" s="434"/>
      <c r="O795" s="434"/>
      <c r="P795" s="406"/>
      <c r="Q795" s="389">
        <f>IF(D787&lt;=3,база!$L$4,
IF(D787=4,база!$L$5,
IF(D787=5,база!$L$6)))</f>
        <v>210.57480000000001</v>
      </c>
      <c r="R795" s="390">
        <v>1.4</v>
      </c>
      <c r="S795" s="400">
        <f>SUMIFS(Таблица14[часы],Таблица14[коэф],"1,4",Таблица14[р/р],"3/16",Таблица14[Ф. И. О.],B792)</f>
        <v>0</v>
      </c>
      <c r="T795" s="392">
        <f>SUMIFS(Таблица14[Столбец2],Таблица14[коэф],"1,4",Таблица14[р/р],"3/16",Таблица14[Ф. И. О.],B792)</f>
        <v>0</v>
      </c>
      <c r="U795" s="478">
        <f>IF(D787&lt;=3,база!$M$4,
IF(D787=4,база!$M$5,
IF(D787=5,база!$M$6)))</f>
        <v>225.09719999999999</v>
      </c>
      <c r="V795" s="390">
        <v>1.4</v>
      </c>
      <c r="W795" s="412">
        <f>SUMIFS(Таблица14[часы],Таблица14[коэф],"1,4",Таблица14[р/р],"3/24",Таблица14[Ф. И. О.],B792)</f>
        <v>0</v>
      </c>
      <c r="X795" s="545">
        <f>SUMIFS(Таблица14[Столбец2],Таблица14[коэф],"1,4",Таблица14[р/р],"3/24",Таблица14[Ф. И. О.],B792)</f>
        <v>0</v>
      </c>
      <c r="Y795" s="801"/>
      <c r="Z795" s="797"/>
      <c r="AA795" s="786"/>
    </row>
    <row r="796" spans="1:29" ht="18.75" customHeight="1">
      <c r="A796" s="786"/>
      <c r="B796" s="216"/>
      <c r="C796" s="789"/>
      <c r="D796" s="792"/>
      <c r="E796" s="389"/>
      <c r="F796" s="390"/>
      <c r="G796" s="400"/>
      <c r="H796" s="392"/>
      <c r="I796" s="432"/>
      <c r="J796" s="433"/>
      <c r="K796" s="434"/>
      <c r="L796" s="434"/>
      <c r="M796" s="434"/>
      <c r="N796" s="434"/>
      <c r="O796" s="434"/>
      <c r="P796" s="406"/>
      <c r="Q796" s="389">
        <f>база!$L$5</f>
        <v>231.45480000000001</v>
      </c>
      <c r="R796" s="390">
        <v>1.4</v>
      </c>
      <c r="S796" s="400">
        <f>SUMIFS(Таблица14[часы],Таблица14[коэф],"1,4",Таблица14[р/р],"4/16",Таблица14[Ф. И. О.],B792)</f>
        <v>0</v>
      </c>
      <c r="T796" s="392">
        <f>SUMIFS(Таблица14[Столбец2],Таблица14[коэф],"1,4",Таблица14[р/р],"4/16",Таблица14[Ф. И. О.],B792)</f>
        <v>0</v>
      </c>
      <c r="U796" s="478">
        <f>база!$M$5</f>
        <v>247.41720000000001</v>
      </c>
      <c r="V796" s="390">
        <v>1.4</v>
      </c>
      <c r="W796" s="412">
        <f>SUMIFS(Таблица14[часы],Таблица14[коэф],"1,4",Таблица14[р/р],"4/24",Таблица14[Ф. И. О.],B792)</f>
        <v>0</v>
      </c>
      <c r="X796" s="545">
        <f>SUMIFS(Таблица14[Столбец2],Таблица14[коэф],"1,4",Таблица14[р/р],"4/24",Таблица14[Ф. И. О.],B792)</f>
        <v>0</v>
      </c>
      <c r="Y796" s="801"/>
      <c r="Z796" s="797"/>
      <c r="AA796" s="786"/>
    </row>
    <row r="797" spans="1:29" ht="19.5" customHeight="1" thickBot="1">
      <c r="A797" s="787"/>
      <c r="B797" s="352"/>
      <c r="C797" s="790"/>
      <c r="D797" s="793"/>
      <c r="E797" s="473"/>
      <c r="F797" s="464"/>
      <c r="G797" s="657"/>
      <c r="H797" s="468"/>
      <c r="I797" s="651"/>
      <c r="J797" s="456"/>
      <c r="K797" s="652"/>
      <c r="L797" s="457"/>
      <c r="M797" s="651"/>
      <c r="N797" s="652"/>
      <c r="O797" s="652"/>
      <c r="P797" s="476"/>
      <c r="Q797" s="658">
        <f>база!$L$6</f>
        <v>261.04640000000001</v>
      </c>
      <c r="R797" s="464">
        <v>1.4</v>
      </c>
      <c r="S797" s="465">
        <f>SUMIFS(Таблица14[часы],Таблица14[коэф],"1,4",Таблица14[р/р],"5/16",Таблица14[Ф. И. О.],B792)</f>
        <v>0</v>
      </c>
      <c r="T797" s="468">
        <f>SUMIFS(Таблица14[Столбец2],Таблица14[коэф],"1,4",Таблица14[р/р],"5/16",Таблица14[Ф. И. О.],B792)</f>
        <v>0</v>
      </c>
      <c r="U797" s="463">
        <f>база!$M$6</f>
        <v>279.0496</v>
      </c>
      <c r="V797" s="464">
        <v>1.4</v>
      </c>
      <c r="W797" s="465">
        <f>SUMIFS(Таблица14[часы],Таблица14[коэф],"1,4",Таблица14[р/р],"5/24",Таблица14[Ф. И. О.],B792)</f>
        <v>0</v>
      </c>
      <c r="X797" s="468">
        <f>SUMIFS(Таблица14[Столбец2],Таблица14[коэф],"1,4",Таблица14[р/р],"5/24",Таблица14[Ф. И. О.],B792)</f>
        <v>0</v>
      </c>
      <c r="Y797" s="802"/>
      <c r="Z797" s="798"/>
      <c r="AA797" s="787"/>
    </row>
    <row r="798" spans="1:29" ht="18.75" customHeight="1">
      <c r="A798" s="786">
        <v>73</v>
      </c>
      <c r="B798" s="216"/>
      <c r="C798" s="788">
        <f>INDEX(база!$E$2:$E$150, MATCH(B803,база!$B$2:$B$150,0))</f>
        <v>17196</v>
      </c>
      <c r="D798" s="791">
        <f>INDEX(база!$D$2:$D$150, MATCH(B803,база!$B$2:$B$150,0))</f>
        <v>3</v>
      </c>
      <c r="E798" s="481">
        <f>IF(D798&lt;=3,база!$I$4,
IF(D798=4,база!$I$5,
IF(D798=5,база!$I$6)))</f>
        <v>188.7912</v>
      </c>
      <c r="F798" s="417">
        <v>1</v>
      </c>
      <c r="G798" s="418">
        <f>SUMIFS(Таблица14[часы],Таблица14[коэф],"1",Таблица14[р/р],"2/4",Таблица14[Ф. И. О.],B803)</f>
        <v>0</v>
      </c>
      <c r="H798" s="402">
        <f>SUMIFS(Таблица14[Столбец2],Таблица14[коэф],"1",Таблица14[р/р],"2/4",Таблица14[Ф. И. О.],B803)</f>
        <v>0</v>
      </c>
      <c r="I798" s="452">
        <f>IF(D798&lt;=3,база!$J$4,
IF(D798=4,база!$J$5,
IF(D798=5,база!$J$6)))</f>
        <v>196.05240000000001</v>
      </c>
      <c r="J798" s="475">
        <v>1</v>
      </c>
      <c r="K798" s="453">
        <f>SUMIFS(Таблица14[часы],Таблица14[коэф],"1",Таблица14[р/р],"2/8",Таблица14[Ф. И. О.],B803)</f>
        <v>0</v>
      </c>
      <c r="L798" s="453">
        <f>SUMIFS(Таблица14[Столбец2],Таблица14[коэф],"1",Таблица14[р/р],"2/8",Таблица14[Ф. И. О.],B803)</f>
        <v>0</v>
      </c>
      <c r="M798" s="453"/>
      <c r="N798" s="453">
        <v>1</v>
      </c>
      <c r="O798" s="453">
        <f>SUMIFS(Data_Tech!$AM$3:$AM$67,Data_Tech!$E$3:$E$67,"1",Data_Tech!$G$3:$G$67,"3/12",Data_Tech!$F$3:$F$67,B803)</f>
        <v>0</v>
      </c>
      <c r="P798" s="398">
        <f>ROUND(M798*N798*O798,2)</f>
        <v>0</v>
      </c>
      <c r="Q798" s="481">
        <f>IF(D798&lt;=3,база!$L$4,
IF(D798=4,база!$L$5,
IF(D798=5,база!$L$6)))</f>
        <v>210.57480000000001</v>
      </c>
      <c r="R798" s="417">
        <v>1</v>
      </c>
      <c r="S798" s="418">
        <f>SUMIFS(Таблица14[часы],Таблица14[коэф],"1",Таблица14[р/р],"3/16",Таблица14[Ф. И. О.],B803)</f>
        <v>0</v>
      </c>
      <c r="T798" s="402">
        <f>SUMIFS(Таблица14[Столбец2],Таблица14[коэф],"1",Таблица14[р/р],"3/16",Таблица14[Ф. И. О.],B803)</f>
        <v>0</v>
      </c>
      <c r="U798" s="483">
        <f>IF(D798&lt;=3,база!$M$4,
IF(D798=4,база!$M$5,
IF(D798=5,база!$M$6)))</f>
        <v>225.09719999999999</v>
      </c>
      <c r="V798" s="417">
        <v>1</v>
      </c>
      <c r="W798" s="455">
        <f>SUMIFS(Таблица14[часы],Таблица14[коэф],"1",Таблица14[р/р],"3/24",Таблица14[Ф. И. О.],B803)</f>
        <v>0</v>
      </c>
      <c r="X798" s="552">
        <f>SUMIFS(Таблица14[Столбец2],Таблица14[коэф],"1",Таблица14[р/р],"3/24",Таблица14[Ф. И. О.],B803)</f>
        <v>0</v>
      </c>
      <c r="Y798" s="801">
        <f t="shared" ref="Y798" si="282">SUM(G798:G808,K798:K808,O798:O808,S798:S808,W798:W808)</f>
        <v>0</v>
      </c>
      <c r="Z798" s="797">
        <f t="shared" ref="Z798" si="283">IFERROR(SUM(H798:H808,L798:L808,T798:T808,X798:X808),"")</f>
        <v>0</v>
      </c>
      <c r="AA798" s="786"/>
    </row>
    <row r="799" spans="1:29" ht="18.75" customHeight="1">
      <c r="A799" s="786"/>
      <c r="B799" s="216"/>
      <c r="C799" s="789"/>
      <c r="D799" s="792"/>
      <c r="E799" s="389">
        <f>IF(D798&lt;=3,база!$I$4,
IF(D798=4,база!$I$5,
IF(D798=5,база!$I$6)))</f>
        <v>188.7912</v>
      </c>
      <c r="F799" s="390">
        <v>1</v>
      </c>
      <c r="G799" s="400">
        <f>SUMIFS(Таблица14[часы],Таблица14[коэф],"1",Таблица14[р/р],"3/4",Таблица14[Ф. И. О.],B803)</f>
        <v>0</v>
      </c>
      <c r="H799" s="392">
        <f>SUMIFS(Таблица14[Столбец2],Таблица14[коэф],"1",Таблица14[р/р],"3/4",Таблица14[Ф. И. О.],B803)</f>
        <v>0</v>
      </c>
      <c r="I799" s="432">
        <f>IF(D798&lt;=3,база!$J$4,
IF(D798=4,база!$J$5,
IF(D798=5,база!$J$6)))</f>
        <v>196.05240000000001</v>
      </c>
      <c r="J799" s="433">
        <v>1</v>
      </c>
      <c r="K799" s="434">
        <f>SUMIFS(Таблица14[часы],Таблица14[коэф],"1",Таблица14[р/р],"3/8",Таблица14[Ф. И. О.],B803)</f>
        <v>0</v>
      </c>
      <c r="L799" s="434">
        <f>SUMIFS(Таблица14[Столбец2],Таблица14[коэф],"1",Таблица14[р/р],"3/8",Таблица14[Ф. И. О.],B803)</f>
        <v>0</v>
      </c>
      <c r="M799" s="434"/>
      <c r="N799" s="434">
        <v>1</v>
      </c>
      <c r="O799" s="434">
        <f>SUMIFS(Data_Tech!$AM$3:$AM$67,Data_Tech!$E$3:$E$67,"1",Data_Tech!$G$3:$G$67,"4/12",Data_Tech!$F$3:$F$67,B803)</f>
        <v>0</v>
      </c>
      <c r="P799" s="406">
        <f>ROUND(M799*O799,2)</f>
        <v>0</v>
      </c>
      <c r="Q799" s="389">
        <f>база!$L$5</f>
        <v>231.45480000000001</v>
      </c>
      <c r="R799" s="390">
        <v>1</v>
      </c>
      <c r="S799" s="400">
        <f>SUMIFS(Таблица14[часы],Таблица14[коэф],"1",Таблица14[р/р],"4/16",Таблица14[Ф. И. О.],B803)</f>
        <v>0</v>
      </c>
      <c r="T799" s="392">
        <f>SUMIFS(Таблица14[Столбец2],Таблица14[коэф],"1",Таблица14[р/р],"4/16",Таблица14[Ф. И. О.],B803)</f>
        <v>0</v>
      </c>
      <c r="U799" s="478">
        <f>база!$M$5</f>
        <v>247.41720000000001</v>
      </c>
      <c r="V799" s="390">
        <v>1</v>
      </c>
      <c r="W799" s="412">
        <f>SUMIFS(Таблица14[часы],Таблица14[коэф],"1",Таблица14[р/р],"4/24",Таблица14[Ф. И. О.],B803)</f>
        <v>0</v>
      </c>
      <c r="X799" s="545">
        <f>SUMIFS(Таблица14[Столбец2],Таблица14[коэф],"1",Таблица14[р/р],"4/24",Таблица14[Ф. И. О.],B803)</f>
        <v>0</v>
      </c>
      <c r="Y799" s="801"/>
      <c r="Z799" s="797"/>
      <c r="AA799" s="786"/>
    </row>
    <row r="800" spans="1:29" ht="18.75" customHeight="1">
      <c r="A800" s="786"/>
      <c r="B800" s="216"/>
      <c r="C800" s="789"/>
      <c r="D800" s="792"/>
      <c r="E800" s="389"/>
      <c r="F800" s="390"/>
      <c r="G800" s="400"/>
      <c r="H800" s="392"/>
      <c r="I800" s="432"/>
      <c r="J800" s="433"/>
      <c r="K800" s="434"/>
      <c r="L800" s="434"/>
      <c r="M800" s="434"/>
      <c r="N800" s="434"/>
      <c r="O800" s="434"/>
      <c r="P800" s="406"/>
      <c r="Q800" s="389">
        <f>база!$L$6</f>
        <v>261.04640000000001</v>
      </c>
      <c r="R800" s="390">
        <v>1</v>
      </c>
      <c r="S800" s="400">
        <f>SUMIFS(Таблица14[часы],Таблица14[коэф],"1",Таблица14[р/р],"5/16",Таблица14[Ф. И. О.],B803)</f>
        <v>0</v>
      </c>
      <c r="T800" s="392">
        <f>SUMIFS(Таблица14[Столбец2],Таблица14[коэф],"1",Таблица14[р/р],"5/16",Таблица14[Ф. И. О.],B803)</f>
        <v>0</v>
      </c>
      <c r="U800" s="478">
        <f>база!$M$6</f>
        <v>279.0496</v>
      </c>
      <c r="V800" s="390">
        <v>1</v>
      </c>
      <c r="W800" s="412">
        <f>SUMIFS(Таблица14[часы],Таблица14[коэф],"1",Таблица14[р/р],"5/24",Таблица14[Ф. И. О.],B803)</f>
        <v>0</v>
      </c>
      <c r="X800" s="545">
        <f>SUMIFS(Таблица14[Столбец2],Таблица14[коэф],"1",Таблица14[р/р],"5/24",Таблица14[Ф. И. О.],B803)</f>
        <v>0</v>
      </c>
      <c r="Y800" s="801"/>
      <c r="Z800" s="797"/>
      <c r="AA800" s="786"/>
    </row>
    <row r="801" spans="1:29" ht="18.75" customHeight="1">
      <c r="A801" s="786"/>
      <c r="B801" s="216"/>
      <c r="C801" s="789"/>
      <c r="D801" s="792"/>
      <c r="E801" s="389"/>
      <c r="F801" s="390"/>
      <c r="G801" s="400"/>
      <c r="H801" s="392"/>
      <c r="I801" s="432">
        <f>база!$J$5</f>
        <v>215.4924</v>
      </c>
      <c r="J801" s="433">
        <v>1.5</v>
      </c>
      <c r="K801" s="434">
        <f>SUMIFS(Таблица14[часы],Таблица14[коэф],"1,5",Таблица14[р/р],"4/8",Таблица14[Ф. И. О.],B803)</f>
        <v>0</v>
      </c>
      <c r="L801" s="434">
        <f>SUMIFS(Таблица14[Столбец2],Таблица14[коэф],"1,5",Таблица14[р/р],"4/8",Таблица14[Ф. И. О.],B803)</f>
        <v>0</v>
      </c>
      <c r="M801" s="434"/>
      <c r="N801" s="434"/>
      <c r="O801" s="434"/>
      <c r="P801" s="406"/>
      <c r="Q801" s="389">
        <f>IF(D798&lt;=3,база!$L$4,
IF(D798=4,база!$L$5,
IF(D798=5,база!$L$6)))</f>
        <v>210.57480000000001</v>
      </c>
      <c r="R801" s="390">
        <v>1.2</v>
      </c>
      <c r="S801" s="400">
        <f>SUMIFS(Таблица14[часы],Таблица14[коэф],"1,2",Таблица14[р/р],"3/16",Таблица14[Ф. И. О.],B803)</f>
        <v>0</v>
      </c>
      <c r="T801" s="392">
        <f>SUMIFS(Таблица14[Столбец2],Таблица14[коэф],"1,2",Таблица14[р/р],"3/16",Таблица14[Ф. И. О.],B803)</f>
        <v>0</v>
      </c>
      <c r="U801" s="478">
        <f>IF(D798&lt;=3,база!$M$4,
IF(D798=4,база!$M$5,
IF(D798=5,база!$M$6)))</f>
        <v>225.09719999999999</v>
      </c>
      <c r="V801" s="390">
        <v>1.2</v>
      </c>
      <c r="W801" s="412">
        <f>SUMIFS(Таблица14[часы],Таблица14[коэф],"1,2",Таблица14[р/р],"3/24",Таблица14[Ф. И. О.],B803)</f>
        <v>0</v>
      </c>
      <c r="X801" s="545">
        <f>SUMIFS(Таблица14[Столбец2],Таблица14[коэф],"1,2",Таблица14[р/р],"3/24",Таблица14[Ф. И. О.],B803)</f>
        <v>0</v>
      </c>
      <c r="Y801" s="801"/>
      <c r="Z801" s="797"/>
      <c r="AA801" s="786"/>
    </row>
    <row r="802" spans="1:29" ht="18.75" customHeight="1">
      <c r="A802" s="786"/>
      <c r="B802" s="216"/>
      <c r="C802" s="789"/>
      <c r="D802" s="792"/>
      <c r="E802" s="389"/>
      <c r="F802" s="390"/>
      <c r="G802" s="400"/>
      <c r="H802" s="392"/>
      <c r="I802" s="432">
        <f>база!$J$6</f>
        <v>243.04319999999998</v>
      </c>
      <c r="J802" s="433">
        <v>1.5</v>
      </c>
      <c r="K802" s="434">
        <f>SUMIFS(Таблица14[часы],Таблица14[коэф],"1,5",Таблица14[р/р],"5/8",Таблица14[Ф. И. О.],B803)</f>
        <v>0</v>
      </c>
      <c r="L802" s="434">
        <f>SUMIFS(Таблица14[Столбец2],Таблица14[коэф],"1,5",Таблица14[р/р],"5/8",Таблица14[Ф. И. О.],B803)</f>
        <v>0</v>
      </c>
      <c r="M802" s="434"/>
      <c r="N802" s="434"/>
      <c r="O802" s="434"/>
      <c r="P802" s="406"/>
      <c r="Q802" s="389">
        <f>база!$L$5</f>
        <v>231.45480000000001</v>
      </c>
      <c r="R802" s="390">
        <v>1.2</v>
      </c>
      <c r="S802" s="400">
        <f>SUMIFS(Таблица14[часы],Таблица14[коэф],"1,2",Таблица14[р/р],"4/16",Таблица14[Ф. И. О.],B803)</f>
        <v>0</v>
      </c>
      <c r="T802" s="392">
        <f>SUMIFS(Таблица14[Столбец2],Таблица14[коэф],"1,2",Таблица14[р/р],"4/16",Таблица14[Ф. И. О.],B803)</f>
        <v>0</v>
      </c>
      <c r="U802" s="478">
        <f>база!$M$5</f>
        <v>247.41720000000001</v>
      </c>
      <c r="V802" s="390">
        <v>1.2</v>
      </c>
      <c r="W802" s="412">
        <f>SUMIFS(Таблица14[часы],Таблица14[коэф],"1,2",Таблица14[р/р],"4/24",Таблица14[Ф. И. О.],B803)</f>
        <v>0</v>
      </c>
      <c r="X802" s="545">
        <f>SUMIFS(Таблица14[Столбец2],Таблица14[коэф],"1,2",Таблица14[р/р],"4/24",Таблица14[Ф. И. О.],B803)</f>
        <v>0</v>
      </c>
      <c r="Y802" s="801"/>
      <c r="Z802" s="797"/>
      <c r="AA802" s="786"/>
    </row>
    <row r="803" spans="1:29" ht="18.75" customHeight="1">
      <c r="A803" s="786"/>
      <c r="B803" s="216" t="str">
        <f>база!B74</f>
        <v>Старичкова Полина Анатольевна</v>
      </c>
      <c r="C803" s="789"/>
      <c r="D803" s="792"/>
      <c r="E803" s="389"/>
      <c r="F803" s="390"/>
      <c r="G803" s="400"/>
      <c r="H803" s="392"/>
      <c r="I803" s="432"/>
      <c r="J803" s="433"/>
      <c r="K803" s="434"/>
      <c r="L803" s="434"/>
      <c r="M803" s="434"/>
      <c r="N803" s="434"/>
      <c r="O803" s="434"/>
      <c r="P803" s="406"/>
      <c r="Q803" s="389">
        <f>база!$L$6</f>
        <v>261.04640000000001</v>
      </c>
      <c r="R803" s="390">
        <v>1.2</v>
      </c>
      <c r="S803" s="400">
        <f>SUMIFS(Таблица14[часы],Таблица14[коэф],"1,2",Таблица14[р/р],"5/16",Таблица14[Ф. И. О.],B803)</f>
        <v>0</v>
      </c>
      <c r="T803" s="392">
        <f>SUMIFS(Таблица14[Столбец2],Таблица14[коэф],"1,2",Таблица14[р/р],"5/16",Таблица14[Ф. И. О.],B803)</f>
        <v>0</v>
      </c>
      <c r="U803" s="478">
        <f>база!$M$6</f>
        <v>279.0496</v>
      </c>
      <c r="V803" s="390">
        <v>1.2</v>
      </c>
      <c r="W803" s="412">
        <f>SUMIFS(Таблица14[часы],Таблица14[коэф],"1,2",Таблица14[р/р],"5/24",Таблица14[Ф. И. О.],B803)</f>
        <v>0</v>
      </c>
      <c r="X803" s="545">
        <f>SUMIFS(Таблица14[Столбец2],Таблица14[коэф],"1,2",Таблица14[р/р],"5/24",Таблица14[Ф. И. О.],B803)</f>
        <v>0</v>
      </c>
      <c r="Y803" s="801"/>
      <c r="Z803" s="797"/>
      <c r="AA803" s="786"/>
      <c r="AC803" s="754" t="str">
        <f>IF(SUMIFS(Таблица14[Столбец2],Таблица14[Ф. И. О.],B803)-Z798=0,"",SUMIFS(Таблица14[Столбец2],Таблица14[Ф. И. О.],B803)-Z798)</f>
        <v/>
      </c>
    </row>
    <row r="804" spans="1:29" ht="18.75" customHeight="1">
      <c r="A804" s="786"/>
      <c r="B804" s="216"/>
      <c r="C804" s="789"/>
      <c r="D804" s="792"/>
      <c r="E804" s="389"/>
      <c r="F804" s="390"/>
      <c r="G804" s="400"/>
      <c r="H804" s="392"/>
      <c r="I804" s="432"/>
      <c r="J804" s="433"/>
      <c r="K804" s="434"/>
      <c r="L804" s="434"/>
      <c r="M804" s="434"/>
      <c r="N804" s="434"/>
      <c r="O804" s="434"/>
      <c r="P804" s="406"/>
      <c r="Q804" s="389">
        <f>IF($D$6&lt;=3,база!$L$4,
IF($D$6=4,база!$L$5,
IF($D$6=5,база!$L$6)))</f>
        <v>231.45480000000001</v>
      </c>
      <c r="R804" s="390">
        <v>1.3</v>
      </c>
      <c r="S804" s="400">
        <f>SUMIFS(Таблица14[часы],Таблица14[коэф],"1,3",Таблица14[р/р],"3/16",Таблица14[Ф. И. О.],B803)</f>
        <v>0</v>
      </c>
      <c r="T804" s="392">
        <f>SUMIFS(Таблица14[Столбец2],Таблица14[коэф],"1,3",Таблица14[р/р],"3/16",Таблица14[Ф. И. О.],B803)</f>
        <v>0</v>
      </c>
      <c r="U804" s="478">
        <f>IF(D798&lt;=3,база!$M$4,
IF(D798=4,база!$M$5,
IF(D798=5,база!$M$6)))</f>
        <v>225.09719999999999</v>
      </c>
      <c r="V804" s="390">
        <v>1.3</v>
      </c>
      <c r="W804" s="412">
        <f>SUMIFS(Таблица14[часы],Таблица14[коэф],"1,3",Таблица14[р/р],"3/24",Таблица14[Ф. И. О.],B803)</f>
        <v>0</v>
      </c>
      <c r="X804" s="545">
        <f>SUMIFS(Таблица14[Столбец2],Таблица14[коэф],"1,3",Таблица14[р/р],"3/24",Таблица14[Ф. И. О.],B803)</f>
        <v>0</v>
      </c>
      <c r="Y804" s="801"/>
      <c r="Z804" s="797"/>
      <c r="AA804" s="786"/>
      <c r="AC804" s="754" t="str">
        <f>IF(SUMIFS(Таблица14[часы],Таблица14[Ф. И. О.],B803)-Y798=0,"",SUMIFS(Таблица14[часы],Таблица14[Ф. И. О.],B803)-Y798)</f>
        <v/>
      </c>
    </row>
    <row r="805" spans="1:29" ht="18.75" customHeight="1">
      <c r="A805" s="786"/>
      <c r="B805" s="216"/>
      <c r="C805" s="789"/>
      <c r="D805" s="792"/>
      <c r="E805" s="389"/>
      <c r="F805" s="390"/>
      <c r="G805" s="400"/>
      <c r="H805" s="392"/>
      <c r="I805" s="432"/>
      <c r="J805" s="433"/>
      <c r="K805" s="434"/>
      <c r="L805" s="434"/>
      <c r="M805" s="434"/>
      <c r="N805" s="434"/>
      <c r="O805" s="434"/>
      <c r="P805" s="406"/>
      <c r="Q805" s="389">
        <f>база!$L$5</f>
        <v>231.45480000000001</v>
      </c>
      <c r="R805" s="390">
        <v>1.3</v>
      </c>
      <c r="S805" s="400">
        <f>SUMIFS(Таблица14[часы],Таблица14[коэф],"1,3",Таблица14[р/р],"4/16",Таблица14[Ф. И. О.],B803)</f>
        <v>0</v>
      </c>
      <c r="T805" s="392">
        <f>SUMIFS(Таблица14[Столбец2],Таблица14[коэф],"1,3",Таблица14[р/р],"4/16",Таблица14[Ф. И. О.],B803)</f>
        <v>0</v>
      </c>
      <c r="U805" s="478">
        <f>база!$M$5</f>
        <v>247.41720000000001</v>
      </c>
      <c r="V805" s="390">
        <v>1.3</v>
      </c>
      <c r="W805" s="412">
        <f>SUMIFS(Таблица14[часы],Таблица14[коэф],"1,3",Таблица14[р/р],"4/24",Таблица14[Ф. И. О.],B803)</f>
        <v>0</v>
      </c>
      <c r="X805" s="545">
        <f>SUMIFS(Таблица14[Столбец2],Таблица14[коэф],"1,3",Таблица14[р/р],"4/24",Таблица14[Ф. И. О.],B803)</f>
        <v>0</v>
      </c>
      <c r="Y805" s="801"/>
      <c r="Z805" s="797"/>
      <c r="AA805" s="786"/>
    </row>
    <row r="806" spans="1:29" ht="18.75" customHeight="1">
      <c r="A806" s="786"/>
      <c r="B806" s="216"/>
      <c r="C806" s="789"/>
      <c r="D806" s="792"/>
      <c r="E806" s="389"/>
      <c r="F806" s="390"/>
      <c r="G806" s="400"/>
      <c r="H806" s="392"/>
      <c r="I806" s="432"/>
      <c r="J806" s="433"/>
      <c r="K806" s="434"/>
      <c r="L806" s="434"/>
      <c r="M806" s="434"/>
      <c r="N806" s="434"/>
      <c r="O806" s="434"/>
      <c r="P806" s="406"/>
      <c r="Q806" s="389">
        <f>IF(D798&lt;=3,база!$L$4,
IF(D798=4,база!$L$5,
IF(D798=5,база!$L$6)))</f>
        <v>210.57480000000001</v>
      </c>
      <c r="R806" s="390">
        <v>1.4</v>
      </c>
      <c r="S806" s="400">
        <f>SUMIFS(Таблица14[часы],Таблица14[коэф],"1,4",Таблица14[р/р],"3/16",Таблица14[Ф. И. О.],B803)</f>
        <v>0</v>
      </c>
      <c r="T806" s="392">
        <f>SUMIFS(Таблица14[Столбец2],Таблица14[коэф],"1,4",Таблица14[р/р],"3/16",Таблица14[Ф. И. О.],B803)</f>
        <v>0</v>
      </c>
      <c r="U806" s="478">
        <f>IF(D798&lt;=3,база!$M$4,
IF(D798=4,база!$M$5,
IF(D798=5,база!$M$6)))</f>
        <v>225.09719999999999</v>
      </c>
      <c r="V806" s="390">
        <v>1.4</v>
      </c>
      <c r="W806" s="412">
        <f>SUMIFS(Таблица14[часы],Таблица14[коэф],"1,4",Таблица14[р/р],"3/24",Таблица14[Ф. И. О.],B803)</f>
        <v>0</v>
      </c>
      <c r="X806" s="545">
        <f>SUMIFS(Таблица14[Столбец2],Таблица14[коэф],"1,4",Таблица14[р/р],"3/24",Таблица14[Ф. И. О.],B803)</f>
        <v>0</v>
      </c>
      <c r="Y806" s="801"/>
      <c r="Z806" s="797"/>
      <c r="AA806" s="786"/>
    </row>
    <row r="807" spans="1:29" ht="18.75" customHeight="1">
      <c r="A807" s="786"/>
      <c r="B807" s="216"/>
      <c r="C807" s="789"/>
      <c r="D807" s="792"/>
      <c r="E807" s="389"/>
      <c r="F807" s="390"/>
      <c r="G807" s="400"/>
      <c r="H807" s="392"/>
      <c r="I807" s="432"/>
      <c r="J807" s="433"/>
      <c r="K807" s="434"/>
      <c r="L807" s="434"/>
      <c r="M807" s="434"/>
      <c r="N807" s="434"/>
      <c r="O807" s="434"/>
      <c r="P807" s="406"/>
      <c r="Q807" s="389">
        <f>база!$L$5</f>
        <v>231.45480000000001</v>
      </c>
      <c r="R807" s="390">
        <v>1.4</v>
      </c>
      <c r="S807" s="400">
        <f>SUMIFS(Таблица14[часы],Таблица14[коэф],"1,4",Таблица14[р/р],"4/16",Таблица14[Ф. И. О.],B803)</f>
        <v>0</v>
      </c>
      <c r="T807" s="392">
        <f>SUMIFS(Таблица14[Столбец2],Таблица14[коэф],"1,4",Таблица14[р/р],"4/16",Таблица14[Ф. И. О.],B803)</f>
        <v>0</v>
      </c>
      <c r="U807" s="478">
        <f>база!$M$5</f>
        <v>247.41720000000001</v>
      </c>
      <c r="V807" s="390">
        <v>1.4</v>
      </c>
      <c r="W807" s="412">
        <f>SUMIFS(Таблица14[часы],Таблица14[коэф],"1,4",Таблица14[р/р],"4/24",Таблица14[Ф. И. О.],B803)</f>
        <v>0</v>
      </c>
      <c r="X807" s="545">
        <f>SUMIFS(Таблица14[Столбец2],Таблица14[коэф],"1,4",Таблица14[р/р],"4/24",Таблица14[Ф. И. О.],B803)</f>
        <v>0</v>
      </c>
      <c r="Y807" s="801"/>
      <c r="Z807" s="797"/>
      <c r="AA807" s="786"/>
    </row>
    <row r="808" spans="1:29" ht="19.5" customHeight="1" thickBot="1">
      <c r="A808" s="787"/>
      <c r="B808" s="352"/>
      <c r="C808" s="790"/>
      <c r="D808" s="793"/>
      <c r="E808" s="473"/>
      <c r="F808" s="464"/>
      <c r="G808" s="657"/>
      <c r="H808" s="468"/>
      <c r="I808" s="651"/>
      <c r="J808" s="456"/>
      <c r="K808" s="652"/>
      <c r="L808" s="457"/>
      <c r="M808" s="651"/>
      <c r="N808" s="652"/>
      <c r="O808" s="652"/>
      <c r="P808" s="476"/>
      <c r="Q808" s="658">
        <f>база!$L$6</f>
        <v>261.04640000000001</v>
      </c>
      <c r="R808" s="464">
        <v>1.4</v>
      </c>
      <c r="S808" s="465">
        <f>SUMIFS(Таблица14[часы],Таблица14[коэф],"1,4",Таблица14[р/р],"5/16",Таблица14[Ф. И. О.],B803)</f>
        <v>0</v>
      </c>
      <c r="T808" s="468">
        <f>SUMIFS(Таблица14[Столбец2],Таблица14[коэф],"1,4",Таблица14[р/р],"5/16",Таблица14[Ф. И. О.],B803)</f>
        <v>0</v>
      </c>
      <c r="U808" s="463">
        <f>база!$M$6</f>
        <v>279.0496</v>
      </c>
      <c r="V808" s="464">
        <v>1.4</v>
      </c>
      <c r="W808" s="465">
        <f>SUMIFS(Таблица14[часы],Таблица14[коэф],"1,4",Таблица14[р/р],"5/24",Таблица14[Ф. И. О.],B803)</f>
        <v>0</v>
      </c>
      <c r="X808" s="468">
        <f>SUMIFS(Таблица14[Столбец2],Таблица14[коэф],"1,4",Таблица14[р/р],"5/24",Таблица14[Ф. И. О.],B803)</f>
        <v>0</v>
      </c>
      <c r="Y808" s="802"/>
      <c r="Z808" s="798"/>
      <c r="AA808" s="787"/>
    </row>
    <row r="809" spans="1:29" ht="18.75" customHeight="1">
      <c r="A809" s="786">
        <v>74</v>
      </c>
      <c r="B809" s="216"/>
      <c r="C809" s="788">
        <f>INDEX(база!$E$2:$E$150, MATCH(B814,база!$B$2:$B$150,0))</f>
        <v>17266</v>
      </c>
      <c r="D809" s="791">
        <f>INDEX(база!$D$2:$D$150, MATCH(B814,база!$B$2:$B$150,0))</f>
        <v>3</v>
      </c>
      <c r="E809" s="481">
        <f>IF(D809&lt;=3,база!$I$4,
IF(D809=4,база!$I$5,
IF(D809=5,база!$I$6)))</f>
        <v>188.7912</v>
      </c>
      <c r="F809" s="417">
        <v>1</v>
      </c>
      <c r="G809" s="418">
        <f>SUMIFS(Таблица14[часы],Таблица14[коэф],"1",Таблица14[р/р],"2/4",Таблица14[Ф. И. О.],B814)</f>
        <v>0</v>
      </c>
      <c r="H809" s="402">
        <f>SUMIFS(Таблица14[Столбец2],Таблица14[коэф],"1",Таблица14[р/р],"2/4",Таблица14[Ф. И. О.],B814)</f>
        <v>0</v>
      </c>
      <c r="I809" s="452">
        <f>IF(D809&lt;=3,база!$J$4,
IF(D809=4,база!$J$5,
IF(D809=5,база!$J$6)))</f>
        <v>196.05240000000001</v>
      </c>
      <c r="J809" s="475">
        <v>1</v>
      </c>
      <c r="K809" s="453">
        <f>SUMIFS(Таблица14[часы],Таблица14[коэф],"1",Таблица14[р/р],"2/8",Таблица14[Ф. И. О.],B814)</f>
        <v>0</v>
      </c>
      <c r="L809" s="453">
        <f>SUMIFS(Таблица14[Столбец2],Таблица14[коэф],"1",Таблица14[р/р],"2/8",Таблица14[Ф. И. О.],B814)</f>
        <v>0</v>
      </c>
      <c r="M809" s="453"/>
      <c r="N809" s="453">
        <v>1</v>
      </c>
      <c r="O809" s="453">
        <f>SUMIFS(Data_Tech!$AM$3:$AM$67,Data_Tech!$E$3:$E$67,"1",Data_Tech!$G$3:$G$67,"3/12",Data_Tech!$F$3:$F$67,B814)</f>
        <v>0</v>
      </c>
      <c r="P809" s="398">
        <f>ROUND(M809*N809*O809,2)</f>
        <v>0</v>
      </c>
      <c r="Q809" s="481">
        <f>IF(D809&lt;=3,база!$L$4,
IF(D809=4,база!$L$5,
IF(D809=5,база!$L$6)))</f>
        <v>210.57480000000001</v>
      </c>
      <c r="R809" s="417">
        <v>1</v>
      </c>
      <c r="S809" s="418">
        <f>SUMIFS(Таблица14[часы],Таблица14[коэф],"1",Таблица14[р/р],"3/16",Таблица14[Ф. И. О.],B814)</f>
        <v>0</v>
      </c>
      <c r="T809" s="402">
        <f>SUMIFS(Таблица14[Столбец2],Таблица14[коэф],"1",Таблица14[р/р],"3/16",Таблица14[Ф. И. О.],B814)</f>
        <v>0</v>
      </c>
      <c r="U809" s="483">
        <f>IF(D809&lt;=3,база!$M$4,
IF(D809=4,база!$M$5,
IF(D809=5,база!$M$6)))</f>
        <v>225.09719999999999</v>
      </c>
      <c r="V809" s="417">
        <v>1</v>
      </c>
      <c r="W809" s="455">
        <f>SUMIFS(Таблица14[часы],Таблица14[коэф],"1",Таблица14[р/р],"3/24",Таблица14[Ф. И. О.],B814)</f>
        <v>0</v>
      </c>
      <c r="X809" s="552">
        <f>SUMIFS(Таблица14[Столбец2],Таблица14[коэф],"1",Таблица14[р/р],"3/24",Таблица14[Ф. И. О.],B814)</f>
        <v>0</v>
      </c>
      <c r="Y809" s="801">
        <f t="shared" ref="Y809" si="284">SUM(G809:G819,K809:K819,O809:O819,S809:S819,W809:W819)</f>
        <v>0</v>
      </c>
      <c r="Z809" s="797">
        <f t="shared" ref="Z809" si="285">IFERROR(SUM(H809:H819,L809:L819,T809:T819,X809:X819),"")</f>
        <v>0</v>
      </c>
      <c r="AA809" s="786"/>
    </row>
    <row r="810" spans="1:29" ht="18.75" customHeight="1">
      <c r="A810" s="786"/>
      <c r="B810" s="216"/>
      <c r="C810" s="789"/>
      <c r="D810" s="792"/>
      <c r="E810" s="389">
        <f>IF(D809&lt;=3,база!$I$4,
IF(D809=4,база!$I$5,
IF(D809=5,база!$I$6)))</f>
        <v>188.7912</v>
      </c>
      <c r="F810" s="390">
        <v>1</v>
      </c>
      <c r="G810" s="400">
        <f>SUMIFS(Таблица14[часы],Таблица14[коэф],"1",Таблица14[р/р],"3/4",Таблица14[Ф. И. О.],B814)</f>
        <v>0</v>
      </c>
      <c r="H810" s="392">
        <f>SUMIFS(Таблица14[Столбец2],Таблица14[коэф],"1",Таблица14[р/р],"3/4",Таблица14[Ф. И. О.],B814)</f>
        <v>0</v>
      </c>
      <c r="I810" s="432">
        <f>IF(D809&lt;=3,база!$J$4,
IF(D809=4,база!$J$5,
IF(D809=5,база!$J$6)))</f>
        <v>196.05240000000001</v>
      </c>
      <c r="J810" s="433">
        <v>1</v>
      </c>
      <c r="K810" s="434">
        <f>SUMIFS(Таблица14[часы],Таблица14[коэф],"1",Таблица14[р/р],"3/8",Таблица14[Ф. И. О.],B814)</f>
        <v>0</v>
      </c>
      <c r="L810" s="434">
        <f>SUMIFS(Таблица14[Столбец2],Таблица14[коэф],"1",Таблица14[р/р],"3/8",Таблица14[Ф. И. О.],B814)</f>
        <v>0</v>
      </c>
      <c r="M810" s="434"/>
      <c r="N810" s="434">
        <v>1</v>
      </c>
      <c r="O810" s="434">
        <f>SUMIFS(Data_Tech!$AM$3:$AM$67,Data_Tech!$E$3:$E$67,"1",Data_Tech!$G$3:$G$67,"4/12",Data_Tech!$F$3:$F$67,B814)</f>
        <v>0</v>
      </c>
      <c r="P810" s="406">
        <f>ROUND(M810*O810,2)</f>
        <v>0</v>
      </c>
      <c r="Q810" s="389">
        <f>база!$L$5</f>
        <v>231.45480000000001</v>
      </c>
      <c r="R810" s="390">
        <v>1</v>
      </c>
      <c r="S810" s="400">
        <f>SUMIFS(Таблица14[часы],Таблица14[коэф],"1",Таблица14[р/р],"4/16",Таблица14[Ф. И. О.],B814)</f>
        <v>0</v>
      </c>
      <c r="T810" s="392">
        <f>SUMIFS(Таблица14[Столбец2],Таблица14[коэф],"1",Таблица14[р/р],"4/16",Таблица14[Ф. И. О.],B814)</f>
        <v>0</v>
      </c>
      <c r="U810" s="478">
        <f>база!$M$5</f>
        <v>247.41720000000001</v>
      </c>
      <c r="V810" s="390">
        <v>1</v>
      </c>
      <c r="W810" s="412">
        <f>SUMIFS(Таблица14[часы],Таблица14[коэф],"1",Таблица14[р/р],"4/24",Таблица14[Ф. И. О.],B814)</f>
        <v>0</v>
      </c>
      <c r="X810" s="545">
        <f>SUMIFS(Таблица14[Столбец2],Таблица14[коэф],"1",Таблица14[р/р],"4/24",Таблица14[Ф. И. О.],B814)</f>
        <v>0</v>
      </c>
      <c r="Y810" s="801"/>
      <c r="Z810" s="797"/>
      <c r="AA810" s="786"/>
    </row>
    <row r="811" spans="1:29" ht="18.75" customHeight="1">
      <c r="A811" s="786"/>
      <c r="B811" s="216"/>
      <c r="C811" s="789"/>
      <c r="D811" s="792"/>
      <c r="E811" s="389"/>
      <c r="F811" s="390"/>
      <c r="G811" s="400"/>
      <c r="H811" s="392"/>
      <c r="I811" s="432"/>
      <c r="J811" s="433"/>
      <c r="K811" s="434"/>
      <c r="L811" s="434"/>
      <c r="M811" s="434"/>
      <c r="N811" s="434"/>
      <c r="O811" s="434"/>
      <c r="P811" s="406"/>
      <c r="Q811" s="389">
        <f>база!$L$6</f>
        <v>261.04640000000001</v>
      </c>
      <c r="R811" s="390">
        <v>1</v>
      </c>
      <c r="S811" s="400">
        <f>SUMIFS(Таблица14[часы],Таблица14[коэф],"1",Таблица14[р/р],"5/16",Таблица14[Ф. И. О.],B814)</f>
        <v>0</v>
      </c>
      <c r="T811" s="392">
        <f>SUMIFS(Таблица14[Столбец2],Таблица14[коэф],"1",Таблица14[р/р],"5/16",Таблица14[Ф. И. О.],B814)</f>
        <v>0</v>
      </c>
      <c r="U811" s="478">
        <f>база!$M$6</f>
        <v>279.0496</v>
      </c>
      <c r="V811" s="390">
        <v>1</v>
      </c>
      <c r="W811" s="412">
        <f>SUMIFS(Таблица14[часы],Таблица14[коэф],"1",Таблица14[р/р],"5/24",Таблица14[Ф. И. О.],B814)</f>
        <v>0</v>
      </c>
      <c r="X811" s="545">
        <f>SUMIFS(Таблица14[Столбец2],Таблица14[коэф],"1",Таблица14[р/р],"5/24",Таблица14[Ф. И. О.],B814)</f>
        <v>0</v>
      </c>
      <c r="Y811" s="801"/>
      <c r="Z811" s="797"/>
      <c r="AA811" s="786"/>
    </row>
    <row r="812" spans="1:29" ht="18.75" customHeight="1">
      <c r="A812" s="786"/>
      <c r="B812" s="216"/>
      <c r="C812" s="789"/>
      <c r="D812" s="792"/>
      <c r="E812" s="389"/>
      <c r="F812" s="390"/>
      <c r="G812" s="400"/>
      <c r="H812" s="392"/>
      <c r="I812" s="432">
        <f>база!$J$5</f>
        <v>215.4924</v>
      </c>
      <c r="J812" s="433">
        <v>1.5</v>
      </c>
      <c r="K812" s="434">
        <f>SUMIFS(Таблица14[часы],Таблица14[коэф],"1,5",Таблица14[р/р],"4/8",Таблица14[Ф. И. О.],B814)</f>
        <v>0</v>
      </c>
      <c r="L812" s="434">
        <f>SUMIFS(Таблица14[Столбец2],Таблица14[коэф],"1,5",Таблица14[р/р],"4/8",Таблица14[Ф. И. О.],B814)</f>
        <v>0</v>
      </c>
      <c r="M812" s="434"/>
      <c r="N812" s="434"/>
      <c r="O812" s="434"/>
      <c r="P812" s="406"/>
      <c r="Q812" s="389">
        <f>IF(D809&lt;=3,база!$L$4,
IF(D809=4,база!$L$5,
IF(D809=5,база!$L$6)))</f>
        <v>210.57480000000001</v>
      </c>
      <c r="R812" s="390">
        <v>1.2</v>
      </c>
      <c r="S812" s="400">
        <f>SUMIFS(Таблица14[часы],Таблица14[коэф],"1,2",Таблица14[р/р],"3/16",Таблица14[Ф. И. О.],B814)</f>
        <v>0</v>
      </c>
      <c r="T812" s="392">
        <f>SUMIFS(Таблица14[Столбец2],Таблица14[коэф],"1,2",Таблица14[р/р],"3/16",Таблица14[Ф. И. О.],B814)</f>
        <v>0</v>
      </c>
      <c r="U812" s="478">
        <f>IF(D809&lt;=3,база!$M$4,
IF(D809=4,база!$M$5,
IF(D809=5,база!$M$6)))</f>
        <v>225.09719999999999</v>
      </c>
      <c r="V812" s="390">
        <v>1.2</v>
      </c>
      <c r="W812" s="412">
        <f>SUMIFS(Таблица14[часы],Таблица14[коэф],"1,2",Таблица14[р/р],"3/24",Таблица14[Ф. И. О.],B814)</f>
        <v>0</v>
      </c>
      <c r="X812" s="545">
        <f>SUMIFS(Таблица14[Столбец2],Таблица14[коэф],"1,2",Таблица14[р/р],"3/24",Таблица14[Ф. И. О.],B814)</f>
        <v>0</v>
      </c>
      <c r="Y812" s="801"/>
      <c r="Z812" s="797"/>
      <c r="AA812" s="786"/>
    </row>
    <row r="813" spans="1:29" ht="18.75" customHeight="1">
      <c r="A813" s="786"/>
      <c r="B813" s="216"/>
      <c r="C813" s="789"/>
      <c r="D813" s="792"/>
      <c r="E813" s="389"/>
      <c r="F813" s="390"/>
      <c r="G813" s="400"/>
      <c r="H813" s="392"/>
      <c r="I813" s="432">
        <f>база!$J$6</f>
        <v>243.04319999999998</v>
      </c>
      <c r="J813" s="433">
        <v>1.5</v>
      </c>
      <c r="K813" s="434">
        <f>SUMIFS(Таблица14[часы],Таблица14[коэф],"1,5",Таблица14[р/р],"5/8",Таблица14[Ф. И. О.],B814)</f>
        <v>0</v>
      </c>
      <c r="L813" s="434">
        <f>SUMIFS(Таблица14[Столбец2],Таблица14[коэф],"1,5",Таблица14[р/р],"5/8",Таблица14[Ф. И. О.],B814)</f>
        <v>0</v>
      </c>
      <c r="M813" s="434"/>
      <c r="N813" s="434"/>
      <c r="O813" s="434"/>
      <c r="P813" s="406"/>
      <c r="Q813" s="389">
        <f>база!$L$5</f>
        <v>231.45480000000001</v>
      </c>
      <c r="R813" s="390">
        <v>1.2</v>
      </c>
      <c r="S813" s="400">
        <f>SUMIFS(Таблица14[часы],Таблица14[коэф],"1,2",Таблица14[р/р],"4/16",Таблица14[Ф. И. О.],B814)</f>
        <v>0</v>
      </c>
      <c r="T813" s="392">
        <f>SUMIFS(Таблица14[Столбец2],Таблица14[коэф],"1,2",Таблица14[р/р],"4/16",Таблица14[Ф. И. О.],B814)</f>
        <v>0</v>
      </c>
      <c r="U813" s="478">
        <f>база!$M$5</f>
        <v>247.41720000000001</v>
      </c>
      <c r="V813" s="390">
        <v>1.2</v>
      </c>
      <c r="W813" s="412">
        <f>SUMIFS(Таблица14[часы],Таблица14[коэф],"1,2",Таблица14[р/р],"4/24",Таблица14[Ф. И. О.],B814)</f>
        <v>0</v>
      </c>
      <c r="X813" s="545">
        <f>SUMIFS(Таблица14[Столбец2],Таблица14[коэф],"1,2",Таблица14[р/р],"4/24",Таблица14[Ф. И. О.],B814)</f>
        <v>0</v>
      </c>
      <c r="Y813" s="801"/>
      <c r="Z813" s="797"/>
      <c r="AA813" s="786"/>
    </row>
    <row r="814" spans="1:29" ht="18.75" customHeight="1">
      <c r="A814" s="786"/>
      <c r="B814" s="216" t="str">
        <f>база!B75</f>
        <v>Степанова Ольга Юрьевна</v>
      </c>
      <c r="C814" s="789"/>
      <c r="D814" s="792"/>
      <c r="E814" s="389"/>
      <c r="F814" s="390"/>
      <c r="G814" s="400"/>
      <c r="H814" s="392"/>
      <c r="I814" s="432"/>
      <c r="J814" s="433"/>
      <c r="K814" s="434"/>
      <c r="L814" s="434"/>
      <c r="M814" s="434"/>
      <c r="N814" s="434"/>
      <c r="O814" s="434"/>
      <c r="P814" s="406"/>
      <c r="Q814" s="389">
        <f>база!$L$6</f>
        <v>261.04640000000001</v>
      </c>
      <c r="R814" s="390">
        <v>1.2</v>
      </c>
      <c r="S814" s="400">
        <f>SUMIFS(Таблица14[часы],Таблица14[коэф],"1,2",Таблица14[р/р],"5/16",Таблица14[Ф. И. О.],B814)</f>
        <v>0</v>
      </c>
      <c r="T814" s="392">
        <f>SUMIFS(Таблица14[Столбец2],Таблица14[коэф],"1,2",Таблица14[р/р],"5/16",Таблица14[Ф. И. О.],B814)</f>
        <v>0</v>
      </c>
      <c r="U814" s="478">
        <f>база!$M$6</f>
        <v>279.0496</v>
      </c>
      <c r="V814" s="390">
        <v>1.2</v>
      </c>
      <c r="W814" s="412">
        <f>SUMIFS(Таблица14[часы],Таблица14[коэф],"1,2",Таблица14[р/р],"5/24",Таблица14[Ф. И. О.],B814)</f>
        <v>0</v>
      </c>
      <c r="X814" s="545">
        <f>SUMIFS(Таблица14[Столбец2],Таблица14[коэф],"1,2",Таблица14[р/р],"5/24",Таблица14[Ф. И. О.],B814)</f>
        <v>0</v>
      </c>
      <c r="Y814" s="801"/>
      <c r="Z814" s="797"/>
      <c r="AA814" s="786"/>
      <c r="AC814" s="754" t="str">
        <f>IF(SUMIFS(Таблица14[Столбец2],Таблица14[Ф. И. О.],B814)-Z809=0,"",SUMIFS(Таблица14[Столбец2],Таблица14[Ф. И. О.],B814)-Z809)</f>
        <v/>
      </c>
    </row>
    <row r="815" spans="1:29" ht="18.75" customHeight="1">
      <c r="A815" s="786"/>
      <c r="B815" s="216"/>
      <c r="C815" s="789"/>
      <c r="D815" s="792"/>
      <c r="E815" s="389"/>
      <c r="F815" s="390"/>
      <c r="G815" s="400"/>
      <c r="H815" s="392"/>
      <c r="I815" s="432"/>
      <c r="J815" s="433"/>
      <c r="K815" s="434"/>
      <c r="L815" s="434"/>
      <c r="M815" s="434"/>
      <c r="N815" s="434"/>
      <c r="O815" s="434"/>
      <c r="P815" s="406"/>
      <c r="Q815" s="389">
        <f>IF($D$6&lt;=3,база!$L$4,
IF($D$6=4,база!$L$5,
IF($D$6=5,база!$L$6)))</f>
        <v>231.45480000000001</v>
      </c>
      <c r="R815" s="390">
        <v>1.3</v>
      </c>
      <c r="S815" s="400">
        <f>SUMIFS(Таблица14[часы],Таблица14[коэф],"1,3",Таблица14[р/р],"3/16",Таблица14[Ф. И. О.],B814)</f>
        <v>0</v>
      </c>
      <c r="T815" s="392">
        <f>SUMIFS(Таблица14[Столбец2],Таблица14[коэф],"1,3",Таблица14[р/р],"3/16",Таблица14[Ф. И. О.],B814)</f>
        <v>0</v>
      </c>
      <c r="U815" s="478">
        <f>IF(D809&lt;=3,база!$M$4,
IF(D809=4,база!$M$5,
IF(D809=5,база!$M$6)))</f>
        <v>225.09719999999999</v>
      </c>
      <c r="V815" s="390">
        <v>1.3</v>
      </c>
      <c r="W815" s="412">
        <f>SUMIFS(Таблица14[часы],Таблица14[коэф],"1,3",Таблица14[р/р],"3/24",Таблица14[Ф. И. О.],B814)</f>
        <v>0</v>
      </c>
      <c r="X815" s="545">
        <f>SUMIFS(Таблица14[Столбец2],Таблица14[коэф],"1,3",Таблица14[р/р],"3/24",Таблица14[Ф. И. О.],B814)</f>
        <v>0</v>
      </c>
      <c r="Y815" s="801"/>
      <c r="Z815" s="797"/>
      <c r="AA815" s="786"/>
      <c r="AC815" s="754" t="str">
        <f>IF(SUMIFS(Таблица14[часы],Таблица14[Ф. И. О.],B814)-Y809=0,"",SUMIFS(Таблица14[часы],Таблица14[Ф. И. О.],B814)-Y809)</f>
        <v/>
      </c>
    </row>
    <row r="816" spans="1:29" ht="18.75" customHeight="1">
      <c r="A816" s="786"/>
      <c r="B816" s="216"/>
      <c r="C816" s="789"/>
      <c r="D816" s="792"/>
      <c r="E816" s="389"/>
      <c r="F816" s="390"/>
      <c r="G816" s="400"/>
      <c r="H816" s="392"/>
      <c r="I816" s="432"/>
      <c r="J816" s="433"/>
      <c r="K816" s="434"/>
      <c r="L816" s="434"/>
      <c r="M816" s="434"/>
      <c r="N816" s="434"/>
      <c r="O816" s="434"/>
      <c r="P816" s="406"/>
      <c r="Q816" s="389">
        <f>база!$L$5</f>
        <v>231.45480000000001</v>
      </c>
      <c r="R816" s="390">
        <v>1.3</v>
      </c>
      <c r="S816" s="400">
        <f>SUMIFS(Таблица14[часы],Таблица14[коэф],"1,3",Таблица14[р/р],"4/16",Таблица14[Ф. И. О.],B814)</f>
        <v>0</v>
      </c>
      <c r="T816" s="392">
        <f>SUMIFS(Таблица14[Столбец2],Таблица14[коэф],"1,3",Таблица14[р/р],"4/16",Таблица14[Ф. И. О.],B814)</f>
        <v>0</v>
      </c>
      <c r="U816" s="478">
        <f>база!$M$5</f>
        <v>247.41720000000001</v>
      </c>
      <c r="V816" s="390">
        <v>1.3</v>
      </c>
      <c r="W816" s="412">
        <f>SUMIFS(Таблица14[часы],Таблица14[коэф],"1,3",Таблица14[р/р],"4/24",Таблица14[Ф. И. О.],B814)</f>
        <v>0</v>
      </c>
      <c r="X816" s="545">
        <f>SUMIFS(Таблица14[Столбец2],Таблица14[коэф],"1,3",Таблица14[р/р],"4/24",Таблица14[Ф. И. О.],B814)</f>
        <v>0</v>
      </c>
      <c r="Y816" s="801"/>
      <c r="Z816" s="797"/>
      <c r="AA816" s="786"/>
    </row>
    <row r="817" spans="1:29" ht="18.75" customHeight="1">
      <c r="A817" s="786"/>
      <c r="B817" s="216"/>
      <c r="C817" s="789"/>
      <c r="D817" s="792"/>
      <c r="E817" s="389"/>
      <c r="F817" s="390"/>
      <c r="G817" s="400"/>
      <c r="H817" s="392"/>
      <c r="I817" s="432"/>
      <c r="J817" s="433"/>
      <c r="K817" s="434"/>
      <c r="L817" s="434"/>
      <c r="M817" s="434"/>
      <c r="N817" s="434"/>
      <c r="O817" s="434"/>
      <c r="P817" s="406"/>
      <c r="Q817" s="389">
        <f>IF(D809&lt;=3,база!$L$4,
IF(D809=4,база!$L$5,
IF(D809=5,база!$L$6)))</f>
        <v>210.57480000000001</v>
      </c>
      <c r="R817" s="390">
        <v>1.4</v>
      </c>
      <c r="S817" s="400">
        <f>SUMIFS(Таблица14[часы],Таблица14[коэф],"1,4",Таблица14[р/р],"3/16",Таблица14[Ф. И. О.],B814)</f>
        <v>0</v>
      </c>
      <c r="T817" s="392">
        <f>SUMIFS(Таблица14[Столбец2],Таблица14[коэф],"1,4",Таблица14[р/р],"3/16",Таблица14[Ф. И. О.],B814)</f>
        <v>0</v>
      </c>
      <c r="U817" s="478">
        <f>IF(D809&lt;=3,база!$M$4,
IF(D809=4,база!$M$5,
IF(D809=5,база!$M$6)))</f>
        <v>225.09719999999999</v>
      </c>
      <c r="V817" s="390">
        <v>1.4</v>
      </c>
      <c r="W817" s="412">
        <f>SUMIFS(Таблица14[часы],Таблица14[коэф],"1,4",Таблица14[р/р],"3/24",Таблица14[Ф. И. О.],B814)</f>
        <v>0</v>
      </c>
      <c r="X817" s="545">
        <f>SUMIFS(Таблица14[Столбец2],Таблица14[коэф],"1,4",Таблица14[р/р],"3/24",Таблица14[Ф. И. О.],B814)</f>
        <v>0</v>
      </c>
      <c r="Y817" s="801"/>
      <c r="Z817" s="797"/>
      <c r="AA817" s="786"/>
    </row>
    <row r="818" spans="1:29" ht="18.75" customHeight="1">
      <c r="A818" s="786"/>
      <c r="B818" s="216"/>
      <c r="C818" s="789"/>
      <c r="D818" s="792"/>
      <c r="E818" s="389"/>
      <c r="F818" s="390"/>
      <c r="G818" s="400"/>
      <c r="H818" s="392"/>
      <c r="I818" s="432"/>
      <c r="J818" s="433"/>
      <c r="K818" s="434"/>
      <c r="L818" s="434"/>
      <c r="M818" s="434"/>
      <c r="N818" s="434"/>
      <c r="O818" s="434"/>
      <c r="P818" s="406"/>
      <c r="Q818" s="389">
        <f>база!$L$5</f>
        <v>231.45480000000001</v>
      </c>
      <c r="R818" s="390">
        <v>1.4</v>
      </c>
      <c r="S818" s="400">
        <f>SUMIFS(Таблица14[часы],Таблица14[коэф],"1,4",Таблица14[р/р],"4/16",Таблица14[Ф. И. О.],B814)</f>
        <v>0</v>
      </c>
      <c r="T818" s="392">
        <f>SUMIFS(Таблица14[Столбец2],Таблица14[коэф],"1,4",Таблица14[р/р],"4/16",Таблица14[Ф. И. О.],B814)</f>
        <v>0</v>
      </c>
      <c r="U818" s="478">
        <f>база!$M$5</f>
        <v>247.41720000000001</v>
      </c>
      <c r="V818" s="390">
        <v>1.4</v>
      </c>
      <c r="W818" s="412">
        <f>SUMIFS(Таблица14[часы],Таблица14[коэф],"1,4",Таблица14[р/р],"4/24",Таблица14[Ф. И. О.],B814)</f>
        <v>0</v>
      </c>
      <c r="X818" s="545">
        <f>SUMIFS(Таблица14[Столбец2],Таблица14[коэф],"1,4",Таблица14[р/р],"4/24",Таблица14[Ф. И. О.],B814)</f>
        <v>0</v>
      </c>
      <c r="Y818" s="801"/>
      <c r="Z818" s="797"/>
      <c r="AA818" s="786"/>
    </row>
    <row r="819" spans="1:29" ht="19.5" customHeight="1" thickBot="1">
      <c r="A819" s="787"/>
      <c r="B819" s="352"/>
      <c r="C819" s="790"/>
      <c r="D819" s="793"/>
      <c r="E819" s="481"/>
      <c r="F819" s="417"/>
      <c r="G819" s="486"/>
      <c r="H819" s="402"/>
      <c r="I819" s="396"/>
      <c r="J819" s="475"/>
      <c r="K819" s="397"/>
      <c r="L819" s="434"/>
      <c r="M819" s="396"/>
      <c r="N819" s="397"/>
      <c r="O819" s="397"/>
      <c r="P819" s="398"/>
      <c r="Q819" s="487">
        <f>база!$L$6</f>
        <v>261.04640000000001</v>
      </c>
      <c r="R819" s="417">
        <v>1.4</v>
      </c>
      <c r="S819" s="418">
        <f>SUMIFS(Таблица14[часы],Таблица14[коэф],"1,4",Таблица14[р/р],"5/16",Таблица14[Ф. И. О.],B814)</f>
        <v>0</v>
      </c>
      <c r="T819" s="402">
        <f>SUMIFS(Таблица14[Столбец2],Таблица14[коэф],"1,4",Таблица14[р/р],"5/16",Таблица14[Ф. И. О.],B814)</f>
        <v>0</v>
      </c>
      <c r="U819" s="451">
        <f>база!$M$6</f>
        <v>279.0496</v>
      </c>
      <c r="V819" s="390">
        <v>1.4</v>
      </c>
      <c r="W819" s="418">
        <f>SUMIFS(Таблица14[часы],Таблица14[коэф],"1,4",Таблица14[р/р],"5/24",Таблица14[Ф. И. О.],B814)</f>
        <v>0</v>
      </c>
      <c r="X819" s="402">
        <f>SUMIFS(Таблица14[Столбец2],Таблица14[коэф],"1,4",Таблица14[р/р],"5/24",Таблица14[Ф. И. О.],B814)</f>
        <v>0</v>
      </c>
      <c r="Y819" s="802"/>
      <c r="Z819" s="798"/>
      <c r="AA819" s="787"/>
    </row>
    <row r="820" spans="1:29" ht="18.75" customHeight="1">
      <c r="A820" s="786">
        <v>75</v>
      </c>
      <c r="B820" s="216"/>
      <c r="C820" s="788">
        <f>INDEX(база!$E$2:$E$150, MATCH(B825,база!$B$2:$B$150,0))</f>
        <v>14988</v>
      </c>
      <c r="D820" s="791">
        <f>INDEX(база!$D$2:$D$150, MATCH(B825,база!$B$2:$B$150,0))</f>
        <v>4</v>
      </c>
      <c r="E820" s="481">
        <f>IF(D820&lt;=3,база!$I$4,
IF(D820=4,база!$I$5,
IF(D820=5,база!$I$6)))</f>
        <v>207.5112</v>
      </c>
      <c r="F820" s="417">
        <v>1</v>
      </c>
      <c r="G820" s="418">
        <f>SUMIFS(Таблица14[часы],Таблица14[коэф],"1",Таблица14[р/р],"2/4",Таблица14[Ф. И. О.],B825)</f>
        <v>0</v>
      </c>
      <c r="H820" s="402">
        <f>SUMIFS(Таблица14[Столбец2],Таблица14[коэф],"1",Таблица14[р/р],"2/4",Таблица14[Ф. И. О.],B825)</f>
        <v>0</v>
      </c>
      <c r="I820" s="452">
        <f>IF(D820&lt;=3,база!$J$4,
IF(D820=4,база!$J$5,
IF(D820=5,база!$J$6)))</f>
        <v>215.4924</v>
      </c>
      <c r="J820" s="475">
        <v>1</v>
      </c>
      <c r="K820" s="453">
        <f>SUMIFS(Таблица14[часы],Таблица14[коэф],"1",Таблица14[р/р],"2/8",Таблица14[Ф. И. О.],B825)</f>
        <v>0</v>
      </c>
      <c r="L820" s="453">
        <f>SUMIFS(Таблица14[Столбец2],Таблица14[коэф],"1",Таблица14[р/р],"2/8",Таблица14[Ф. И. О.],B825)</f>
        <v>0</v>
      </c>
      <c r="M820" s="453"/>
      <c r="N820" s="453">
        <v>1</v>
      </c>
      <c r="O820" s="453">
        <f>SUMIFS(Data_Tech!$AM$3:$AM$67,Data_Tech!$E$3:$E$67,"1",Data_Tech!$G$3:$G$67,"3/12",Data_Tech!$F$3:$F$67,B825)</f>
        <v>0</v>
      </c>
      <c r="P820" s="398">
        <f>ROUND(M820*N820*O820,2)</f>
        <v>0</v>
      </c>
      <c r="Q820" s="481">
        <f>IF(D820&lt;=3,база!$L$4,
IF(D820=4,база!$L$5,
IF(D820=5,база!$L$6)))</f>
        <v>231.45480000000001</v>
      </c>
      <c r="R820" s="417">
        <v>1</v>
      </c>
      <c r="S820" s="418">
        <f>SUMIFS(Таблица14[часы],Таблица14[коэф],"1",Таблица14[р/р],"3/16",Таблица14[Ф. И. О.],B825)</f>
        <v>0</v>
      </c>
      <c r="T820" s="402">
        <f>SUMIFS(Таблица14[Столбец2],Таблица14[коэф],"1",Таблица14[р/р],"3/16",Таблица14[Ф. И. О.],B825)</f>
        <v>0</v>
      </c>
      <c r="U820" s="483">
        <f>IF(D820&lt;=3,база!$M$4,
IF(D820=4,база!$M$5,
IF(D820=5,база!$M$6)))</f>
        <v>247.41720000000001</v>
      </c>
      <c r="V820" s="417">
        <v>1</v>
      </c>
      <c r="W820" s="455">
        <f>SUMIFS(Таблица14[часы],Таблица14[коэф],"1",Таблица14[р/р],"3/24",Таблица14[Ф. И. О.],B825)</f>
        <v>0</v>
      </c>
      <c r="X820" s="552">
        <f>SUMIFS(Таблица14[Столбец2],Таблица14[коэф],"1",Таблица14[р/р],"3/24",Таблица14[Ф. И. О.],B825)</f>
        <v>0</v>
      </c>
      <c r="Y820" s="801">
        <f t="shared" ref="Y820" si="286">SUM(G820:G830,K820:K830,O820:O830,S820:S830,W820:W830)</f>
        <v>0</v>
      </c>
      <c r="Z820" s="797">
        <f t="shared" ref="Z820" si="287">IFERROR(SUM(H820:H830,L820:L830,T820:T830,X820:X830),"")</f>
        <v>0</v>
      </c>
      <c r="AA820" s="785"/>
    </row>
    <row r="821" spans="1:29" ht="18.75" customHeight="1">
      <c r="A821" s="786"/>
      <c r="B821" s="216"/>
      <c r="C821" s="789"/>
      <c r="D821" s="792"/>
      <c r="E821" s="389">
        <f>IF(D820&lt;=3,база!$I$4,
IF(D820=4,база!$I$5,
IF(D820=5,база!$I$6)))</f>
        <v>207.5112</v>
      </c>
      <c r="F821" s="390">
        <v>1</v>
      </c>
      <c r="G821" s="400">
        <f>SUMIFS(Таблица14[часы],Таблица14[коэф],"1",Таблица14[р/р],"3/4",Таблица14[Ф. И. О.],B825)</f>
        <v>0</v>
      </c>
      <c r="H821" s="392">
        <f>SUMIFS(Таблица14[Столбец2],Таблица14[коэф],"1",Таблица14[р/р],"3/4",Таблица14[Ф. И. О.],B825)</f>
        <v>0</v>
      </c>
      <c r="I821" s="432">
        <f>IF(D820&lt;=3,база!$J$4,
IF(D820=4,база!$J$5,
IF(D820=5,база!$J$6)))</f>
        <v>215.4924</v>
      </c>
      <c r="J821" s="433">
        <v>1</v>
      </c>
      <c r="K821" s="434">
        <f>SUMIFS(Таблица14[часы],Таблица14[коэф],"1",Таблица14[р/р],"3/8",Таблица14[Ф. И. О.],B825)</f>
        <v>0</v>
      </c>
      <c r="L821" s="434">
        <f>SUMIFS(Таблица14[Столбец2],Таблица14[коэф],"1",Таблица14[р/р],"3/8",Таблица14[Ф. И. О.],B825)</f>
        <v>0</v>
      </c>
      <c r="M821" s="434"/>
      <c r="N821" s="434">
        <v>1</v>
      </c>
      <c r="O821" s="434">
        <f>SUMIFS(Data_Tech!$AM$3:$AM$67,Data_Tech!$E$3:$E$67,"1",Data_Tech!$G$3:$G$67,"4/12",Data_Tech!$F$3:$F$67,B825)</f>
        <v>0</v>
      </c>
      <c r="P821" s="406">
        <f>ROUND(M821*O821,2)</f>
        <v>0</v>
      </c>
      <c r="Q821" s="389">
        <f>база!$L$5</f>
        <v>231.45480000000001</v>
      </c>
      <c r="R821" s="390">
        <v>1</v>
      </c>
      <c r="S821" s="400">
        <f>SUMIFS(Таблица14[часы],Таблица14[коэф],"1",Таблица14[р/р],"4/16",Таблица14[Ф. И. О.],B825)</f>
        <v>0</v>
      </c>
      <c r="T821" s="392">
        <f>SUMIFS(Таблица14[Столбец2],Таблица14[коэф],"1",Таблица14[р/р],"4/16",Таблица14[Ф. И. О.],B825)</f>
        <v>0</v>
      </c>
      <c r="U821" s="478">
        <f>база!$M$5</f>
        <v>247.41720000000001</v>
      </c>
      <c r="V821" s="390">
        <v>1</v>
      </c>
      <c r="W821" s="412">
        <f>SUMIFS(Таблица14[часы],Таблица14[коэф],"1",Таблица14[р/р],"4/24",Таблица14[Ф. И. О.],B825)</f>
        <v>0</v>
      </c>
      <c r="X821" s="545">
        <f>SUMIFS(Таблица14[Столбец2],Таблица14[коэф],"1",Таблица14[р/р],"4/24",Таблица14[Ф. И. О.],B825)</f>
        <v>0</v>
      </c>
      <c r="Y821" s="801"/>
      <c r="Z821" s="797"/>
      <c r="AA821" s="786"/>
    </row>
    <row r="822" spans="1:29" ht="18.75" customHeight="1">
      <c r="A822" s="786"/>
      <c r="B822" s="216"/>
      <c r="C822" s="789"/>
      <c r="D822" s="792"/>
      <c r="E822" s="389"/>
      <c r="F822" s="390"/>
      <c r="G822" s="400"/>
      <c r="H822" s="392"/>
      <c r="I822" s="432"/>
      <c r="J822" s="433"/>
      <c r="K822" s="434"/>
      <c r="L822" s="434"/>
      <c r="M822" s="434"/>
      <c r="N822" s="434"/>
      <c r="O822" s="434"/>
      <c r="P822" s="406"/>
      <c r="Q822" s="389">
        <f>база!$L$6</f>
        <v>261.04640000000001</v>
      </c>
      <c r="R822" s="390">
        <v>1</v>
      </c>
      <c r="S822" s="400">
        <f>SUMIFS(Таблица14[часы],Таблица14[коэф],"1",Таблица14[р/р],"5/16",Таблица14[Ф. И. О.],B825)</f>
        <v>0</v>
      </c>
      <c r="T822" s="392">
        <f>SUMIFS(Таблица14[Столбец2],Таблица14[коэф],"1",Таблица14[р/р],"5/16",Таблица14[Ф. И. О.],B825)</f>
        <v>0</v>
      </c>
      <c r="U822" s="478">
        <f>база!$M$6</f>
        <v>279.0496</v>
      </c>
      <c r="V822" s="390">
        <v>1</v>
      </c>
      <c r="W822" s="412">
        <f>SUMIFS(Таблица14[часы],Таблица14[коэф],"1",Таблица14[р/р],"5/24",Таблица14[Ф. И. О.],B825)</f>
        <v>0</v>
      </c>
      <c r="X822" s="545">
        <f>SUMIFS(Таблица14[Столбец2],Таблица14[коэф],"1",Таблица14[р/р],"5/24",Таблица14[Ф. И. О.],B825)</f>
        <v>0</v>
      </c>
      <c r="Y822" s="801"/>
      <c r="Z822" s="797"/>
      <c r="AA822" s="786"/>
    </row>
    <row r="823" spans="1:29" ht="18.75" customHeight="1">
      <c r="A823" s="786"/>
      <c r="B823" s="216"/>
      <c r="C823" s="789"/>
      <c r="D823" s="792"/>
      <c r="E823" s="389"/>
      <c r="F823" s="390"/>
      <c r="G823" s="400"/>
      <c r="H823" s="392"/>
      <c r="I823" s="432">
        <f>база!$J$5</f>
        <v>215.4924</v>
      </c>
      <c r="J823" s="433">
        <v>1.5</v>
      </c>
      <c r="K823" s="434">
        <f>SUMIFS(Таблица14[часы],Таблица14[коэф],"1,5",Таблица14[р/р],"4/8",Таблица14[Ф. И. О.],B825)</f>
        <v>0</v>
      </c>
      <c r="L823" s="434">
        <f>SUMIFS(Таблица14[Столбец2],Таблица14[коэф],"1,5",Таблица14[р/р],"4/8",Таблица14[Ф. И. О.],B825)</f>
        <v>0</v>
      </c>
      <c r="M823" s="434"/>
      <c r="N823" s="434"/>
      <c r="O823" s="434"/>
      <c r="P823" s="406"/>
      <c r="Q823" s="389">
        <f>IF(D820&lt;=3,база!$L$4,
IF(D820=4,база!$L$5,
IF(D820=5,база!$L$6)))</f>
        <v>231.45480000000001</v>
      </c>
      <c r="R823" s="390">
        <v>1.2</v>
      </c>
      <c r="S823" s="400">
        <f>SUMIFS(Таблица14[часы],Таблица14[коэф],"1,2",Таблица14[р/р],"3/16",Таблица14[Ф. И. О.],B825)</f>
        <v>0</v>
      </c>
      <c r="T823" s="392">
        <f>SUMIFS(Таблица14[Столбец2],Таблица14[коэф],"1,2",Таблица14[р/р],"3/16",Таблица14[Ф. И. О.],B825)</f>
        <v>0</v>
      </c>
      <c r="U823" s="478">
        <f>IF(D820&lt;=3,база!$M$4,
IF(D820=4,база!$M$5,
IF(D820=5,база!$M$6)))</f>
        <v>247.41720000000001</v>
      </c>
      <c r="V823" s="390">
        <v>1.2</v>
      </c>
      <c r="W823" s="412">
        <f>SUMIFS(Таблица14[часы],Таблица14[коэф],"1,2",Таблица14[р/р],"3/24",Таблица14[Ф. И. О.],B825)</f>
        <v>0</v>
      </c>
      <c r="X823" s="545">
        <f>SUMIFS(Таблица14[Столбец2],Таблица14[коэф],"1,2",Таблица14[р/р],"3/24",Таблица14[Ф. И. О.],B825)</f>
        <v>0</v>
      </c>
      <c r="Y823" s="801"/>
      <c r="Z823" s="797"/>
      <c r="AA823" s="786"/>
    </row>
    <row r="824" spans="1:29" ht="18.75" customHeight="1">
      <c r="A824" s="786"/>
      <c r="B824" s="216"/>
      <c r="C824" s="789"/>
      <c r="D824" s="792"/>
      <c r="E824" s="389"/>
      <c r="F824" s="390"/>
      <c r="G824" s="400"/>
      <c r="H824" s="392"/>
      <c r="I824" s="432">
        <f>база!$J$6</f>
        <v>243.04319999999998</v>
      </c>
      <c r="J824" s="433">
        <v>1.5</v>
      </c>
      <c r="K824" s="434">
        <f>SUMIFS(Таблица14[часы],Таблица14[коэф],"1,5",Таблица14[р/р],"5/8",Таблица14[Ф. И. О.],B825)</f>
        <v>0</v>
      </c>
      <c r="L824" s="434">
        <f>SUMIFS(Таблица14[Столбец2],Таблица14[коэф],"1,5",Таблица14[р/р],"5/8",Таблица14[Ф. И. О.],B825)</f>
        <v>0</v>
      </c>
      <c r="M824" s="434"/>
      <c r="N824" s="434"/>
      <c r="O824" s="434"/>
      <c r="P824" s="406"/>
      <c r="Q824" s="389">
        <f>база!$L$5</f>
        <v>231.45480000000001</v>
      </c>
      <c r="R824" s="390">
        <v>1.2</v>
      </c>
      <c r="S824" s="400">
        <f>SUMIFS(Таблица14[часы],Таблица14[коэф],"1,2",Таблица14[р/р],"4/16",Таблица14[Ф. И. О.],B825)</f>
        <v>0</v>
      </c>
      <c r="T824" s="392">
        <f>SUMIFS(Таблица14[Столбец2],Таблица14[коэф],"1,2",Таблица14[р/р],"4/16",Таблица14[Ф. И. О.],B825)</f>
        <v>0</v>
      </c>
      <c r="U824" s="478">
        <f>база!$M$5</f>
        <v>247.41720000000001</v>
      </c>
      <c r="V824" s="390">
        <v>1.2</v>
      </c>
      <c r="W824" s="412">
        <f>SUMIFS(Таблица14[часы],Таблица14[коэф],"1,2",Таблица14[р/р],"4/24",Таблица14[Ф. И. О.],B825)</f>
        <v>0</v>
      </c>
      <c r="X824" s="545">
        <f>SUMIFS(Таблица14[Столбец2],Таблица14[коэф],"1,2",Таблица14[р/р],"4/24",Таблица14[Ф. И. О.],B825)</f>
        <v>0</v>
      </c>
      <c r="Y824" s="801"/>
      <c r="Z824" s="797"/>
      <c r="AA824" s="786"/>
    </row>
    <row r="825" spans="1:29" ht="18.75" customHeight="1">
      <c r="A825" s="786"/>
      <c r="B825" s="216" t="str">
        <f>база!B76</f>
        <v>Томилова Антонина Викторовна</v>
      </c>
      <c r="C825" s="789"/>
      <c r="D825" s="792"/>
      <c r="E825" s="389"/>
      <c r="F825" s="390"/>
      <c r="G825" s="400"/>
      <c r="H825" s="392"/>
      <c r="I825" s="432"/>
      <c r="J825" s="433"/>
      <c r="K825" s="434"/>
      <c r="L825" s="434"/>
      <c r="M825" s="434"/>
      <c r="N825" s="434"/>
      <c r="O825" s="434"/>
      <c r="P825" s="406"/>
      <c r="Q825" s="389">
        <f>база!$L$6</f>
        <v>261.04640000000001</v>
      </c>
      <c r="R825" s="390">
        <v>1.2</v>
      </c>
      <c r="S825" s="400">
        <f>SUMIFS(Таблица14[часы],Таблица14[коэф],"1,2",Таблица14[р/р],"5/16",Таблица14[Ф. И. О.],B825)</f>
        <v>0</v>
      </c>
      <c r="T825" s="392">
        <f>SUMIFS(Таблица14[Столбец2],Таблица14[коэф],"1,2",Таблица14[р/р],"5/16",Таблица14[Ф. И. О.],B825)</f>
        <v>0</v>
      </c>
      <c r="U825" s="478">
        <f>база!$M$6</f>
        <v>279.0496</v>
      </c>
      <c r="V825" s="390">
        <v>1.2</v>
      </c>
      <c r="W825" s="412">
        <f>SUMIFS(Таблица14[часы],Таблица14[коэф],"1,2",Таблица14[р/р],"5/24",Таблица14[Ф. И. О.],B825)</f>
        <v>0</v>
      </c>
      <c r="X825" s="545">
        <f>SUMIFS(Таблица14[Столбец2],Таблица14[коэф],"1,2",Таблица14[р/р],"5/24",Таблица14[Ф. И. О.],B825)</f>
        <v>0</v>
      </c>
      <c r="Y825" s="801"/>
      <c r="Z825" s="797"/>
      <c r="AA825" s="786"/>
      <c r="AC825" s="754" t="str">
        <f>IF(SUMIFS(Таблица14[Столбец2],Таблица14[Ф. И. О.],B825)-Z820=0,"",SUMIFS(Таблица14[Столбец2],Таблица14[Ф. И. О.],B825)-Z820)</f>
        <v/>
      </c>
    </row>
    <row r="826" spans="1:29" ht="18.75" customHeight="1">
      <c r="A826" s="786"/>
      <c r="B826" s="216"/>
      <c r="C826" s="789"/>
      <c r="D826" s="792"/>
      <c r="E826" s="389"/>
      <c r="F826" s="390"/>
      <c r="G826" s="400"/>
      <c r="H826" s="392"/>
      <c r="I826" s="432"/>
      <c r="J826" s="433"/>
      <c r="K826" s="434"/>
      <c r="L826" s="434"/>
      <c r="M826" s="434"/>
      <c r="N826" s="434"/>
      <c r="O826" s="434"/>
      <c r="P826" s="406"/>
      <c r="Q826" s="389">
        <f>IF($D$6&lt;=3,база!$L$4,
IF($D$6=4,база!$L$5,
IF($D$6=5,база!$L$6)))</f>
        <v>231.45480000000001</v>
      </c>
      <c r="R826" s="390">
        <v>1.3</v>
      </c>
      <c r="S826" s="400">
        <f>SUMIFS(Таблица14[часы],Таблица14[коэф],"1,3",Таблица14[р/р],"3/16",Таблица14[Ф. И. О.],B825)</f>
        <v>0</v>
      </c>
      <c r="T826" s="392">
        <f>SUMIFS(Таблица14[Столбец2],Таблица14[коэф],"1,3",Таблица14[р/р],"3/16",Таблица14[Ф. И. О.],B825)</f>
        <v>0</v>
      </c>
      <c r="U826" s="478">
        <f>IF(D820&lt;=3,база!$M$4,
IF(D820=4,база!$M$5,
IF(D820=5,база!$M$6)))</f>
        <v>247.41720000000001</v>
      </c>
      <c r="V826" s="390">
        <v>1.3</v>
      </c>
      <c r="W826" s="412">
        <f>SUMIFS(Таблица14[часы],Таблица14[коэф],"1,3",Таблица14[р/р],"3/24",Таблица14[Ф. И. О.],B825)</f>
        <v>0</v>
      </c>
      <c r="X826" s="545">
        <f>SUMIFS(Таблица14[Столбец2],Таблица14[коэф],"1,3",Таблица14[р/р],"3/24",Таблица14[Ф. И. О.],B825)</f>
        <v>0</v>
      </c>
      <c r="Y826" s="801"/>
      <c r="Z826" s="797"/>
      <c r="AA826" s="786"/>
      <c r="AC826" s="754" t="str">
        <f>IF(SUMIFS(Таблица14[часы],Таблица14[Ф. И. О.],B825)-Y820=0,"",SUMIFS(Таблица14[часы],Таблица14[Ф. И. О.],B825)-Y820)</f>
        <v/>
      </c>
    </row>
    <row r="827" spans="1:29" ht="18.75" customHeight="1">
      <c r="A827" s="786"/>
      <c r="B827" s="216"/>
      <c r="C827" s="789"/>
      <c r="D827" s="792"/>
      <c r="E827" s="389"/>
      <c r="F827" s="390"/>
      <c r="G827" s="400"/>
      <c r="H827" s="392"/>
      <c r="I827" s="432"/>
      <c r="J827" s="433"/>
      <c r="K827" s="434"/>
      <c r="L827" s="434"/>
      <c r="M827" s="434"/>
      <c r="N827" s="434"/>
      <c r="O827" s="434"/>
      <c r="P827" s="406"/>
      <c r="Q827" s="389">
        <f>база!$L$5</f>
        <v>231.45480000000001</v>
      </c>
      <c r="R827" s="390">
        <v>1.3</v>
      </c>
      <c r="S827" s="400">
        <f>SUMIFS(Таблица14[часы],Таблица14[коэф],"1,3",Таблица14[р/р],"4/16",Таблица14[Ф. И. О.],B825)</f>
        <v>0</v>
      </c>
      <c r="T827" s="392">
        <f>SUMIFS(Таблица14[Столбец2],Таблица14[коэф],"1,3",Таблица14[р/р],"4/16",Таблица14[Ф. И. О.],B825)</f>
        <v>0</v>
      </c>
      <c r="U827" s="478">
        <f>база!$M$5</f>
        <v>247.41720000000001</v>
      </c>
      <c r="V827" s="390">
        <v>1.3</v>
      </c>
      <c r="W827" s="412">
        <f>SUMIFS(Таблица14[часы],Таблица14[коэф],"1,3",Таблица14[р/р],"4/24",Таблица14[Ф. И. О.],B825)</f>
        <v>0</v>
      </c>
      <c r="X827" s="545">
        <f>SUMIFS(Таблица14[Столбец2],Таблица14[коэф],"1,3",Таблица14[р/р],"4/24",Таблица14[Ф. И. О.],B825)</f>
        <v>0</v>
      </c>
      <c r="Y827" s="801"/>
      <c r="Z827" s="797"/>
      <c r="AA827" s="786"/>
    </row>
    <row r="828" spans="1:29" ht="18.75" customHeight="1">
      <c r="A828" s="786"/>
      <c r="B828" s="216"/>
      <c r="C828" s="789"/>
      <c r="D828" s="792"/>
      <c r="E828" s="389"/>
      <c r="F828" s="390"/>
      <c r="G828" s="400"/>
      <c r="H828" s="392"/>
      <c r="I828" s="432"/>
      <c r="J828" s="433"/>
      <c r="K828" s="434"/>
      <c r="L828" s="434"/>
      <c r="M828" s="434"/>
      <c r="N828" s="434"/>
      <c r="O828" s="434"/>
      <c r="P828" s="406"/>
      <c r="Q828" s="389">
        <f>IF(D820&lt;=3,база!$L$4,
IF(D820=4,база!$L$5,
IF(D820=5,база!$L$6)))</f>
        <v>231.45480000000001</v>
      </c>
      <c r="R828" s="390">
        <v>1.4</v>
      </c>
      <c r="S828" s="400">
        <f>SUMIFS(Таблица14[часы],Таблица14[коэф],"1,4",Таблица14[р/р],"3/16",Таблица14[Ф. И. О.],B825)</f>
        <v>0</v>
      </c>
      <c r="T828" s="392">
        <f>SUMIFS(Таблица14[Столбец2],Таблица14[коэф],"1,4",Таблица14[р/р],"3/16",Таблица14[Ф. И. О.],B825)</f>
        <v>0</v>
      </c>
      <c r="U828" s="478">
        <f>IF(D820&lt;=3,база!$M$4,
IF(D820=4,база!$M$5,
IF(D820=5,база!$M$6)))</f>
        <v>247.41720000000001</v>
      </c>
      <c r="V828" s="390">
        <v>1.4</v>
      </c>
      <c r="W828" s="412">
        <f>SUMIFS(Таблица14[часы],Таблица14[коэф],"1,4",Таблица14[р/р],"3/24",Таблица14[Ф. И. О.],B825)</f>
        <v>0</v>
      </c>
      <c r="X828" s="545">
        <f>SUMIFS(Таблица14[Столбец2],Таблица14[коэф],"1,4",Таблица14[р/р],"3/24",Таблица14[Ф. И. О.],B825)</f>
        <v>0</v>
      </c>
      <c r="Y828" s="801"/>
      <c r="Z828" s="797"/>
      <c r="AA828" s="786"/>
    </row>
    <row r="829" spans="1:29" ht="18.75" customHeight="1">
      <c r="A829" s="786"/>
      <c r="B829" s="216"/>
      <c r="C829" s="789"/>
      <c r="D829" s="792"/>
      <c r="E829" s="389"/>
      <c r="F829" s="390"/>
      <c r="G829" s="400"/>
      <c r="H829" s="392"/>
      <c r="I829" s="432"/>
      <c r="J829" s="433"/>
      <c r="K829" s="434"/>
      <c r="L829" s="434"/>
      <c r="M829" s="434"/>
      <c r="N829" s="434"/>
      <c r="O829" s="434"/>
      <c r="P829" s="406"/>
      <c r="Q829" s="389">
        <f>база!$L$5</f>
        <v>231.45480000000001</v>
      </c>
      <c r="R829" s="390">
        <v>1.4</v>
      </c>
      <c r="S829" s="400">
        <f>SUMIFS(Таблица14[часы],Таблица14[коэф],"1,4",Таблица14[р/р],"4/16",Таблица14[Ф. И. О.],B825)</f>
        <v>0</v>
      </c>
      <c r="T829" s="392">
        <f>SUMIFS(Таблица14[Столбец2],Таблица14[коэф],"1,4",Таблица14[р/р],"4/16",Таблица14[Ф. И. О.],B825)</f>
        <v>0</v>
      </c>
      <c r="U829" s="478">
        <f>база!$M$5</f>
        <v>247.41720000000001</v>
      </c>
      <c r="V829" s="390">
        <v>1.4</v>
      </c>
      <c r="W829" s="412">
        <f>SUMIFS(Таблица14[часы],Таблица14[коэф],"1,4",Таблица14[р/р],"4/24",Таблица14[Ф. И. О.],B825)</f>
        <v>0</v>
      </c>
      <c r="X829" s="545">
        <f>SUMIFS(Таблица14[Столбец2],Таблица14[коэф],"1,4",Таблица14[р/р],"4/24",Таблица14[Ф. И. О.],B825)</f>
        <v>0</v>
      </c>
      <c r="Y829" s="801"/>
      <c r="Z829" s="797"/>
      <c r="AA829" s="786"/>
    </row>
    <row r="830" spans="1:29" ht="19.5" customHeight="1" thickBot="1">
      <c r="A830" s="787"/>
      <c r="B830" s="352"/>
      <c r="C830" s="790"/>
      <c r="D830" s="793"/>
      <c r="E830" s="473"/>
      <c r="F830" s="464"/>
      <c r="G830" s="657"/>
      <c r="H830" s="468"/>
      <c r="I830" s="651"/>
      <c r="J830" s="456"/>
      <c r="K830" s="652"/>
      <c r="L830" s="457"/>
      <c r="M830" s="651"/>
      <c r="N830" s="652"/>
      <c r="O830" s="652"/>
      <c r="P830" s="476"/>
      <c r="Q830" s="658">
        <f>база!$L$6</f>
        <v>261.04640000000001</v>
      </c>
      <c r="R830" s="464">
        <v>1.4</v>
      </c>
      <c r="S830" s="465">
        <f>SUMIFS(Таблица14[часы],Таблица14[коэф],"1,4",Таблица14[р/р],"5/16",Таблица14[Ф. И. О.],B825)</f>
        <v>0</v>
      </c>
      <c r="T830" s="468">
        <f>SUMIFS(Таблица14[Столбец2],Таблица14[коэф],"1,4",Таблица14[р/р],"5/16",Таблица14[Ф. И. О.],B825)</f>
        <v>0</v>
      </c>
      <c r="U830" s="463">
        <f>база!$M$6</f>
        <v>279.0496</v>
      </c>
      <c r="V830" s="464">
        <v>1.4</v>
      </c>
      <c r="W830" s="465">
        <f>SUMIFS(Таблица14[часы],Таблица14[коэф],"1,4",Таблица14[р/р],"5/24",Таблица14[Ф. И. О.],B825)</f>
        <v>0</v>
      </c>
      <c r="X830" s="468">
        <f>SUMIFS(Таблица14[Столбец2],Таблица14[коэф],"1,4",Таблица14[р/р],"5/24",Таблица14[Ф. И. О.],B825)</f>
        <v>0</v>
      </c>
      <c r="Y830" s="802"/>
      <c r="Z830" s="798"/>
      <c r="AA830" s="787"/>
    </row>
    <row r="831" spans="1:29" ht="18.75" customHeight="1">
      <c r="A831" s="786">
        <v>76</v>
      </c>
      <c r="B831" s="216"/>
      <c r="C831" s="788">
        <f>INDEX(база!$E$2:$E$150, MATCH(B836,база!$B$2:$B$150,0))</f>
        <v>15889</v>
      </c>
      <c r="D831" s="791">
        <f>INDEX(база!$D$2:$D$150, MATCH(B836,база!$B$2:$B$150,0))</f>
        <v>3</v>
      </c>
      <c r="E831" s="481">
        <f>IF(D831&lt;=3,база!$I$4,
IF(D831=4,база!$I$5,
IF(D831=5,база!$I$6)))</f>
        <v>188.7912</v>
      </c>
      <c r="F831" s="417">
        <v>1</v>
      </c>
      <c r="G831" s="418">
        <f>SUMIFS(Таблица14[часы],Таблица14[коэф],"1",Таблица14[р/р],"2/4",Таблица14[Ф. И. О.],B836)</f>
        <v>0</v>
      </c>
      <c r="H831" s="402">
        <f>SUMIFS(Таблица14[Столбец2],Таблица14[коэф],"1",Таблица14[р/р],"2/4",Таблица14[Ф. И. О.],B836)</f>
        <v>0</v>
      </c>
      <c r="I831" s="452">
        <f>IF(D831&lt;=3,база!$J$4,
IF(D831=4,база!$J$5,
IF(D831=5,база!$J$6)))</f>
        <v>196.05240000000001</v>
      </c>
      <c r="J831" s="475">
        <v>1</v>
      </c>
      <c r="K831" s="453">
        <f>SUMIFS(Таблица14[часы],Таблица14[коэф],"1",Таблица14[р/р],"2/8",Таблица14[Ф. И. О.],B836)</f>
        <v>0</v>
      </c>
      <c r="L831" s="453">
        <f>SUMIFS(Таблица14[Столбец2],Таблица14[коэф],"1",Таблица14[р/р],"2/8",Таблица14[Ф. И. О.],B836)</f>
        <v>0</v>
      </c>
      <c r="M831" s="453"/>
      <c r="N831" s="453">
        <v>1</v>
      </c>
      <c r="O831" s="453">
        <f>SUMIFS(Data_Tech!$AM$3:$AM$67,Data_Tech!$E$3:$E$67,"1",Data_Tech!$G$3:$G$67,"3/12",Data_Tech!$F$3:$F$67,B836)</f>
        <v>0</v>
      </c>
      <c r="P831" s="398">
        <f>ROUND(M831*N831*O831,2)</f>
        <v>0</v>
      </c>
      <c r="Q831" s="481">
        <f>IF(D831&lt;=3,база!$L$4,
IF(D831=4,база!$L$5,
IF(D831=5,база!$L$6)))</f>
        <v>210.57480000000001</v>
      </c>
      <c r="R831" s="417">
        <v>1</v>
      </c>
      <c r="S831" s="418">
        <f>SUMIFS(Таблица14[часы],Таблица14[коэф],"1",Таблица14[р/р],"3/16",Таблица14[Ф. И. О.],B836)</f>
        <v>0</v>
      </c>
      <c r="T831" s="402">
        <f>SUMIFS(Таблица14[Столбец2],Таблица14[коэф],"1",Таблица14[р/р],"3/16",Таблица14[Ф. И. О.],B836)</f>
        <v>0</v>
      </c>
      <c r="U831" s="483">
        <f>IF(D831&lt;=3,база!$M$4,
IF(D831=4,база!$M$5,
IF(D831=5,база!$M$6)))</f>
        <v>225.09719999999999</v>
      </c>
      <c r="V831" s="417">
        <v>1</v>
      </c>
      <c r="W831" s="455">
        <f>SUMIFS(Таблица14[часы],Таблица14[коэф],"1",Таблица14[р/р],"3/24",Таблица14[Ф. И. О.],B836)</f>
        <v>0</v>
      </c>
      <c r="X831" s="552">
        <f>SUMIFS(Таблица14[Столбец2],Таблица14[коэф],"1",Таблица14[р/р],"3/24",Таблица14[Ф. И. О.],B836)</f>
        <v>0</v>
      </c>
      <c r="Y831" s="801">
        <f t="shared" ref="Y831" si="288">SUM(G831:G841,K831:K841,O831:O841,S831:S841,W831:W841)</f>
        <v>0</v>
      </c>
      <c r="Z831" s="797">
        <f t="shared" ref="Z831" si="289">IFERROR(SUM(H831:H841,L831:L841,T831:T841,X831:X841),"")</f>
        <v>0</v>
      </c>
      <c r="AA831" s="786"/>
    </row>
    <row r="832" spans="1:29" ht="18.75" customHeight="1">
      <c r="A832" s="786"/>
      <c r="B832" s="216"/>
      <c r="C832" s="789"/>
      <c r="D832" s="792"/>
      <c r="E832" s="389">
        <f>IF(D831&lt;=3,база!$I$4,
IF(D831=4,база!$I$5,
IF(D831=5,база!$I$6)))</f>
        <v>188.7912</v>
      </c>
      <c r="F832" s="390">
        <v>1</v>
      </c>
      <c r="G832" s="400">
        <f>SUMIFS(Таблица14[часы],Таблица14[коэф],"1",Таблица14[р/р],"3/4",Таблица14[Ф. И. О.],B836)</f>
        <v>0</v>
      </c>
      <c r="H832" s="392">
        <f>SUMIFS(Таблица14[Столбец2],Таблица14[коэф],"1",Таблица14[р/р],"3/4",Таблица14[Ф. И. О.],B836)</f>
        <v>0</v>
      </c>
      <c r="I832" s="432">
        <f>IF(D831&lt;=3,база!$J$4,
IF(D831=4,база!$J$5,
IF(D831=5,база!$J$6)))</f>
        <v>196.05240000000001</v>
      </c>
      <c r="J832" s="433">
        <v>1</v>
      </c>
      <c r="K832" s="434">
        <f>SUMIFS(Таблица14[часы],Таблица14[коэф],"1",Таблица14[р/р],"3/8",Таблица14[Ф. И. О.],B836)</f>
        <v>0</v>
      </c>
      <c r="L832" s="434">
        <f>SUMIFS(Таблица14[Столбец2],Таблица14[коэф],"1",Таблица14[р/р],"3/8",Таблица14[Ф. И. О.],B836)</f>
        <v>0</v>
      </c>
      <c r="M832" s="434"/>
      <c r="N832" s="434">
        <v>1</v>
      </c>
      <c r="O832" s="434">
        <f>SUMIFS(Data_Tech!$AM$3:$AM$67,Data_Tech!$E$3:$E$67,"1",Data_Tech!$G$3:$G$67,"4/12",Data_Tech!$F$3:$F$67,B836)</f>
        <v>0</v>
      </c>
      <c r="P832" s="406">
        <f>ROUND(M832*O832,2)</f>
        <v>0</v>
      </c>
      <c r="Q832" s="389">
        <f>база!$L$5</f>
        <v>231.45480000000001</v>
      </c>
      <c r="R832" s="390">
        <v>1</v>
      </c>
      <c r="S832" s="400">
        <f>SUMIFS(Таблица14[часы],Таблица14[коэф],"1",Таблица14[р/р],"4/16",Таблица14[Ф. И. О.],B836)</f>
        <v>0</v>
      </c>
      <c r="T832" s="392">
        <f>SUMIFS(Таблица14[Столбец2],Таблица14[коэф],"1",Таблица14[р/р],"4/16",Таблица14[Ф. И. О.],B836)</f>
        <v>0</v>
      </c>
      <c r="U832" s="478">
        <f>база!$M$5</f>
        <v>247.41720000000001</v>
      </c>
      <c r="V832" s="390">
        <v>1</v>
      </c>
      <c r="W832" s="412">
        <f>SUMIFS(Таблица14[часы],Таблица14[коэф],"1",Таблица14[р/р],"4/24",Таблица14[Ф. И. О.],B836)</f>
        <v>0</v>
      </c>
      <c r="X832" s="545">
        <f>SUMIFS(Таблица14[Столбец2],Таблица14[коэф],"1",Таблица14[р/р],"4/24",Таблица14[Ф. И. О.],B836)</f>
        <v>0</v>
      </c>
      <c r="Y832" s="801"/>
      <c r="Z832" s="797"/>
      <c r="AA832" s="786"/>
    </row>
    <row r="833" spans="1:29" ht="18.75" customHeight="1">
      <c r="A833" s="786"/>
      <c r="B833" s="216"/>
      <c r="C833" s="789"/>
      <c r="D833" s="792"/>
      <c r="E833" s="389"/>
      <c r="F833" s="390"/>
      <c r="G833" s="400"/>
      <c r="H833" s="392"/>
      <c r="I833" s="432"/>
      <c r="J833" s="433"/>
      <c r="K833" s="434"/>
      <c r="L833" s="434"/>
      <c r="M833" s="434"/>
      <c r="N833" s="434"/>
      <c r="O833" s="434"/>
      <c r="P833" s="406"/>
      <c r="Q833" s="389">
        <f>база!$L$6</f>
        <v>261.04640000000001</v>
      </c>
      <c r="R833" s="390">
        <v>1</v>
      </c>
      <c r="S833" s="400">
        <f>SUMIFS(Таблица14[часы],Таблица14[коэф],"1",Таблица14[р/р],"5/16",Таблица14[Ф. И. О.],B836)</f>
        <v>0</v>
      </c>
      <c r="T833" s="392">
        <f>SUMIFS(Таблица14[Столбец2],Таблица14[коэф],"1",Таблица14[р/р],"5/16",Таблица14[Ф. И. О.],B836)</f>
        <v>0</v>
      </c>
      <c r="U833" s="478">
        <f>база!$M$6</f>
        <v>279.0496</v>
      </c>
      <c r="V833" s="390">
        <v>1</v>
      </c>
      <c r="W833" s="412">
        <f>SUMIFS(Таблица14[часы],Таблица14[коэф],"1",Таблица14[р/р],"5/24",Таблица14[Ф. И. О.],B836)</f>
        <v>0</v>
      </c>
      <c r="X833" s="545">
        <f>SUMIFS(Таблица14[Столбец2],Таблица14[коэф],"1",Таблица14[р/р],"5/24",Таблица14[Ф. И. О.],B836)</f>
        <v>0</v>
      </c>
      <c r="Y833" s="801"/>
      <c r="Z833" s="797"/>
      <c r="AA833" s="786"/>
    </row>
    <row r="834" spans="1:29" ht="18.75" customHeight="1">
      <c r="A834" s="786"/>
      <c r="B834" s="216"/>
      <c r="C834" s="789"/>
      <c r="D834" s="792"/>
      <c r="E834" s="389"/>
      <c r="F834" s="390"/>
      <c r="G834" s="400"/>
      <c r="H834" s="392"/>
      <c r="I834" s="432">
        <f>база!$J$5</f>
        <v>215.4924</v>
      </c>
      <c r="J834" s="433">
        <v>1.5</v>
      </c>
      <c r="K834" s="434">
        <f>SUMIFS(Таблица14[часы],Таблица14[коэф],"1,5",Таблица14[р/р],"4/8",Таблица14[Ф. И. О.],B836)</f>
        <v>0</v>
      </c>
      <c r="L834" s="434">
        <f>SUMIFS(Таблица14[Столбец2],Таблица14[коэф],"1,5",Таблица14[р/р],"4/8",Таблица14[Ф. И. О.],B836)</f>
        <v>0</v>
      </c>
      <c r="M834" s="434"/>
      <c r="N834" s="434"/>
      <c r="O834" s="434"/>
      <c r="P834" s="406"/>
      <c r="Q834" s="389">
        <f>IF(D831&lt;=3,база!$L$4,
IF(D831=4,база!$L$5,
IF(D831=5,база!$L$6)))</f>
        <v>210.57480000000001</v>
      </c>
      <c r="R834" s="390">
        <v>1.2</v>
      </c>
      <c r="S834" s="400">
        <f>SUMIFS(Таблица14[часы],Таблица14[коэф],"1,2",Таблица14[р/р],"3/16",Таблица14[Ф. И. О.],B836)</f>
        <v>0</v>
      </c>
      <c r="T834" s="392">
        <f>SUMIFS(Таблица14[Столбец2],Таблица14[коэф],"1,2",Таблица14[р/р],"3/16",Таблица14[Ф. И. О.],B836)</f>
        <v>0</v>
      </c>
      <c r="U834" s="478">
        <f>IF(D831&lt;=3,база!$M$4,
IF(D831=4,база!$M$5,
IF(D831=5,база!$M$6)))</f>
        <v>225.09719999999999</v>
      </c>
      <c r="V834" s="390">
        <v>1.2</v>
      </c>
      <c r="W834" s="412">
        <f>SUMIFS(Таблица14[часы],Таблица14[коэф],"1,2",Таблица14[р/р],"3/24",Таблица14[Ф. И. О.],B836)</f>
        <v>0</v>
      </c>
      <c r="X834" s="545">
        <f>SUMIFS(Таблица14[Столбец2],Таблица14[коэф],"1,2",Таблица14[р/р],"3/24",Таблица14[Ф. И. О.],B836)</f>
        <v>0</v>
      </c>
      <c r="Y834" s="801"/>
      <c r="Z834" s="797"/>
      <c r="AA834" s="786"/>
    </row>
    <row r="835" spans="1:29" ht="18.75" customHeight="1">
      <c r="A835" s="786"/>
      <c r="B835" s="216"/>
      <c r="C835" s="789"/>
      <c r="D835" s="792"/>
      <c r="E835" s="389"/>
      <c r="F835" s="390"/>
      <c r="G835" s="400"/>
      <c r="H835" s="392"/>
      <c r="I835" s="432">
        <f>база!$J$6</f>
        <v>243.04319999999998</v>
      </c>
      <c r="J835" s="433">
        <v>1.5</v>
      </c>
      <c r="K835" s="434">
        <f>SUMIFS(Таблица14[часы],Таблица14[коэф],"1,5",Таблица14[р/р],"5/8",Таблица14[Ф. И. О.],B836)</f>
        <v>0</v>
      </c>
      <c r="L835" s="434">
        <f>SUMIFS(Таблица14[Столбец2],Таблица14[коэф],"1,5",Таблица14[р/р],"5/8",Таблица14[Ф. И. О.],B836)</f>
        <v>0</v>
      </c>
      <c r="M835" s="434"/>
      <c r="N835" s="434"/>
      <c r="O835" s="434"/>
      <c r="P835" s="406"/>
      <c r="Q835" s="389">
        <f>база!$L$5</f>
        <v>231.45480000000001</v>
      </c>
      <c r="R835" s="390">
        <v>1.2</v>
      </c>
      <c r="S835" s="400">
        <f>SUMIFS(Таблица14[часы],Таблица14[коэф],"1,2",Таблица14[р/р],"4/16",Таблица14[Ф. И. О.],B836)</f>
        <v>0</v>
      </c>
      <c r="T835" s="392">
        <f>SUMIFS(Таблица14[Столбец2],Таблица14[коэф],"1,2",Таблица14[р/р],"4/16",Таблица14[Ф. И. О.],B836)</f>
        <v>0</v>
      </c>
      <c r="U835" s="478">
        <f>база!$M$5</f>
        <v>247.41720000000001</v>
      </c>
      <c r="V835" s="390">
        <v>1.2</v>
      </c>
      <c r="W835" s="412">
        <f>SUMIFS(Таблица14[часы],Таблица14[коэф],"1,2",Таблица14[р/р],"4/24",Таблица14[Ф. И. О.],B836)</f>
        <v>0</v>
      </c>
      <c r="X835" s="545">
        <f>SUMIFS(Таблица14[Столбец2],Таблица14[коэф],"1,2",Таблица14[р/р],"4/24",Таблица14[Ф. И. О.],B836)</f>
        <v>0</v>
      </c>
      <c r="Y835" s="801"/>
      <c r="Z835" s="797"/>
      <c r="AA835" s="786"/>
    </row>
    <row r="836" spans="1:29" ht="18.75" customHeight="1">
      <c r="A836" s="786"/>
      <c r="B836" s="216" t="str">
        <f>база!B77</f>
        <v>Худякова Ольга Николаевна</v>
      </c>
      <c r="C836" s="789"/>
      <c r="D836" s="792"/>
      <c r="E836" s="389"/>
      <c r="F836" s="390"/>
      <c r="G836" s="400"/>
      <c r="H836" s="392"/>
      <c r="I836" s="432"/>
      <c r="J836" s="433"/>
      <c r="K836" s="434"/>
      <c r="L836" s="434"/>
      <c r="M836" s="434"/>
      <c r="N836" s="434"/>
      <c r="O836" s="434"/>
      <c r="P836" s="406"/>
      <c r="Q836" s="389">
        <f>база!$L$6</f>
        <v>261.04640000000001</v>
      </c>
      <c r="R836" s="390">
        <v>1.2</v>
      </c>
      <c r="S836" s="400">
        <f>SUMIFS(Таблица14[часы],Таблица14[коэф],"1,2",Таблица14[р/р],"5/16",Таблица14[Ф. И. О.],B836)</f>
        <v>0</v>
      </c>
      <c r="T836" s="392">
        <f>SUMIFS(Таблица14[Столбец2],Таблица14[коэф],"1,2",Таблица14[р/р],"5/16",Таблица14[Ф. И. О.],B836)</f>
        <v>0</v>
      </c>
      <c r="U836" s="478">
        <f>база!$M$6</f>
        <v>279.0496</v>
      </c>
      <c r="V836" s="390">
        <v>1.2</v>
      </c>
      <c r="W836" s="412">
        <f>SUMIFS(Таблица14[часы],Таблица14[коэф],"1,2",Таблица14[р/р],"5/24",Таблица14[Ф. И. О.],B836)</f>
        <v>0</v>
      </c>
      <c r="X836" s="545">
        <f>SUMIFS(Таблица14[Столбец2],Таблица14[коэф],"1,2",Таблица14[р/р],"5/24",Таблица14[Ф. И. О.],B836)</f>
        <v>0</v>
      </c>
      <c r="Y836" s="801"/>
      <c r="Z836" s="797"/>
      <c r="AA836" s="786"/>
      <c r="AC836" s="754" t="str">
        <f>IF(SUMIFS(Таблица14[Столбец2],Таблица14[Ф. И. О.],B836)-Z831=0,"",SUMIFS(Таблица14[Столбец2],Таблица14[Ф. И. О.],B836)-Z831)</f>
        <v/>
      </c>
    </row>
    <row r="837" spans="1:29" ht="18.75" customHeight="1">
      <c r="A837" s="786"/>
      <c r="B837" s="216"/>
      <c r="C837" s="789"/>
      <c r="D837" s="792"/>
      <c r="E837" s="389"/>
      <c r="F837" s="390"/>
      <c r="G837" s="400"/>
      <c r="H837" s="392"/>
      <c r="I837" s="432"/>
      <c r="J837" s="433"/>
      <c r="K837" s="434"/>
      <c r="L837" s="434"/>
      <c r="M837" s="434"/>
      <c r="N837" s="434"/>
      <c r="O837" s="434"/>
      <c r="P837" s="406"/>
      <c r="Q837" s="389">
        <f>IF($D$6&lt;=3,база!$L$4,
IF($D$6=4,база!$L$5,
IF($D$6=5,база!$L$6)))</f>
        <v>231.45480000000001</v>
      </c>
      <c r="R837" s="390">
        <v>1.3</v>
      </c>
      <c r="S837" s="400">
        <f>SUMIFS(Таблица14[часы],Таблица14[коэф],"1,3",Таблица14[р/р],"3/16",Таблица14[Ф. И. О.],B836)</f>
        <v>0</v>
      </c>
      <c r="T837" s="392">
        <f>SUMIFS(Таблица14[Столбец2],Таблица14[коэф],"1,3",Таблица14[р/р],"3/16",Таблица14[Ф. И. О.],B836)</f>
        <v>0</v>
      </c>
      <c r="U837" s="478">
        <f>IF(D831&lt;=3,база!$M$4,
IF(D831=4,база!$M$5,
IF(D831=5,база!$M$6)))</f>
        <v>225.09719999999999</v>
      </c>
      <c r="V837" s="390">
        <v>1.3</v>
      </c>
      <c r="W837" s="412">
        <f>SUMIFS(Таблица14[часы],Таблица14[коэф],"1,3",Таблица14[р/р],"3/24",Таблица14[Ф. И. О.],B836)</f>
        <v>0</v>
      </c>
      <c r="X837" s="545">
        <f>SUMIFS(Таблица14[Столбец2],Таблица14[коэф],"1,3",Таблица14[р/р],"3/24",Таблица14[Ф. И. О.],B836)</f>
        <v>0</v>
      </c>
      <c r="Y837" s="801"/>
      <c r="Z837" s="797"/>
      <c r="AA837" s="786"/>
      <c r="AC837" s="754" t="str">
        <f>IF(SUMIFS(Таблица14[часы],Таблица14[Ф. И. О.],B836)-Y831=0,"",SUMIFS(Таблица14[часы],Таблица14[Ф. И. О.],B836)-Y831)</f>
        <v/>
      </c>
    </row>
    <row r="838" spans="1:29" ht="18.75" customHeight="1">
      <c r="A838" s="786"/>
      <c r="B838" s="216"/>
      <c r="C838" s="789"/>
      <c r="D838" s="792"/>
      <c r="E838" s="389"/>
      <c r="F838" s="390"/>
      <c r="G838" s="400"/>
      <c r="H838" s="392"/>
      <c r="I838" s="432"/>
      <c r="J838" s="433"/>
      <c r="K838" s="434"/>
      <c r="L838" s="434"/>
      <c r="M838" s="434"/>
      <c r="N838" s="434"/>
      <c r="O838" s="434"/>
      <c r="P838" s="406"/>
      <c r="Q838" s="389">
        <f>база!$L$5</f>
        <v>231.45480000000001</v>
      </c>
      <c r="R838" s="390">
        <v>1.3</v>
      </c>
      <c r="S838" s="400">
        <f>SUMIFS(Таблица14[часы],Таблица14[коэф],"1,3",Таблица14[р/р],"4/16",Таблица14[Ф. И. О.],B836)</f>
        <v>0</v>
      </c>
      <c r="T838" s="392">
        <f>SUMIFS(Таблица14[Столбец2],Таблица14[коэф],"1,3",Таблица14[р/р],"4/16",Таблица14[Ф. И. О.],B836)</f>
        <v>0</v>
      </c>
      <c r="U838" s="478">
        <f>база!$M$5</f>
        <v>247.41720000000001</v>
      </c>
      <c r="V838" s="390">
        <v>1.3</v>
      </c>
      <c r="W838" s="412">
        <f>SUMIFS(Таблица14[часы],Таблица14[коэф],"1,3",Таблица14[р/р],"4/24",Таблица14[Ф. И. О.],B836)</f>
        <v>0</v>
      </c>
      <c r="X838" s="545">
        <f>SUMIFS(Таблица14[Столбец2],Таблица14[коэф],"1,3",Таблица14[р/р],"4/24",Таблица14[Ф. И. О.],B836)</f>
        <v>0</v>
      </c>
      <c r="Y838" s="801"/>
      <c r="Z838" s="797"/>
      <c r="AA838" s="786"/>
    </row>
    <row r="839" spans="1:29" ht="18.75" customHeight="1">
      <c r="A839" s="786"/>
      <c r="B839" s="216"/>
      <c r="C839" s="789"/>
      <c r="D839" s="792"/>
      <c r="E839" s="389"/>
      <c r="F839" s="390"/>
      <c r="G839" s="400"/>
      <c r="H839" s="392"/>
      <c r="I839" s="432"/>
      <c r="J839" s="433"/>
      <c r="K839" s="434"/>
      <c r="L839" s="434"/>
      <c r="M839" s="434"/>
      <c r="N839" s="434"/>
      <c r="O839" s="434"/>
      <c r="P839" s="406"/>
      <c r="Q839" s="389">
        <f>IF(D831&lt;=3,база!$L$4,
IF(D831=4,база!$L$5,
IF(D831=5,база!$L$6)))</f>
        <v>210.57480000000001</v>
      </c>
      <c r="R839" s="390">
        <v>1.4</v>
      </c>
      <c r="S839" s="400">
        <f>SUMIFS(Таблица14[часы],Таблица14[коэф],"1,4",Таблица14[р/р],"3/16",Таблица14[Ф. И. О.],B836)</f>
        <v>0</v>
      </c>
      <c r="T839" s="392">
        <f>SUMIFS(Таблица14[Столбец2],Таблица14[коэф],"1,4",Таблица14[р/р],"3/16",Таблица14[Ф. И. О.],B836)</f>
        <v>0</v>
      </c>
      <c r="U839" s="478">
        <f>IF(D831&lt;=3,база!$M$4,
IF(D831=4,база!$M$5,
IF(D831=5,база!$M$6)))</f>
        <v>225.09719999999999</v>
      </c>
      <c r="V839" s="390">
        <v>1.4</v>
      </c>
      <c r="W839" s="412">
        <f>SUMIFS(Таблица14[часы],Таблица14[коэф],"1,4",Таблица14[р/р],"3/24",Таблица14[Ф. И. О.],B836)</f>
        <v>0</v>
      </c>
      <c r="X839" s="545">
        <f>SUMIFS(Таблица14[Столбец2],Таблица14[коэф],"1,4",Таблица14[р/р],"3/24",Таблица14[Ф. И. О.],B836)</f>
        <v>0</v>
      </c>
      <c r="Y839" s="801"/>
      <c r="Z839" s="797"/>
      <c r="AA839" s="786"/>
    </row>
    <row r="840" spans="1:29" ht="18.75" customHeight="1">
      <c r="A840" s="786"/>
      <c r="B840" s="216"/>
      <c r="C840" s="789"/>
      <c r="D840" s="792"/>
      <c r="E840" s="389"/>
      <c r="F840" s="390"/>
      <c r="G840" s="400"/>
      <c r="H840" s="392"/>
      <c r="I840" s="432"/>
      <c r="J840" s="433"/>
      <c r="K840" s="434"/>
      <c r="L840" s="434"/>
      <c r="M840" s="434"/>
      <c r="N840" s="434"/>
      <c r="O840" s="434"/>
      <c r="P840" s="406"/>
      <c r="Q840" s="389">
        <f>база!$L$5</f>
        <v>231.45480000000001</v>
      </c>
      <c r="R840" s="390">
        <v>1.4</v>
      </c>
      <c r="S840" s="400">
        <f>SUMIFS(Таблица14[часы],Таблица14[коэф],"1,4",Таблица14[р/р],"4/16",Таблица14[Ф. И. О.],B836)</f>
        <v>0</v>
      </c>
      <c r="T840" s="392">
        <f>SUMIFS(Таблица14[Столбец2],Таблица14[коэф],"1,4",Таблица14[р/р],"4/16",Таблица14[Ф. И. О.],B836)</f>
        <v>0</v>
      </c>
      <c r="U840" s="478">
        <f>база!$M$5</f>
        <v>247.41720000000001</v>
      </c>
      <c r="V840" s="390">
        <v>1.4</v>
      </c>
      <c r="W840" s="412">
        <f>SUMIFS(Таблица14[часы],Таблица14[коэф],"1,4",Таблица14[р/р],"4/24",Таблица14[Ф. И. О.],B836)</f>
        <v>0</v>
      </c>
      <c r="X840" s="545">
        <f>SUMIFS(Таблица14[Столбец2],Таблица14[коэф],"1,4",Таблица14[р/р],"4/24",Таблица14[Ф. И. О.],B836)</f>
        <v>0</v>
      </c>
      <c r="Y840" s="801"/>
      <c r="Z840" s="797"/>
      <c r="AA840" s="786"/>
    </row>
    <row r="841" spans="1:29" ht="19.5" customHeight="1" thickBot="1">
      <c r="A841" s="787"/>
      <c r="B841" s="352"/>
      <c r="C841" s="790"/>
      <c r="D841" s="793"/>
      <c r="E841" s="473"/>
      <c r="F841" s="464"/>
      <c r="G841" s="657"/>
      <c r="H841" s="468"/>
      <c r="I841" s="651"/>
      <c r="J841" s="456"/>
      <c r="K841" s="652"/>
      <c r="L841" s="457"/>
      <c r="M841" s="651"/>
      <c r="N841" s="652"/>
      <c r="O841" s="652"/>
      <c r="P841" s="476"/>
      <c r="Q841" s="658">
        <f>база!$L$6</f>
        <v>261.04640000000001</v>
      </c>
      <c r="R841" s="464">
        <v>1.4</v>
      </c>
      <c r="S841" s="465">
        <f>SUMIFS(Таблица14[часы],Таблица14[коэф],"1,4",Таблица14[р/р],"5/16",Таблица14[Ф. И. О.],B836)</f>
        <v>0</v>
      </c>
      <c r="T841" s="468">
        <f>SUMIFS(Таблица14[Столбец2],Таблица14[коэф],"1,4",Таблица14[р/р],"5/16",Таблица14[Ф. И. О.],B836)</f>
        <v>0</v>
      </c>
      <c r="U841" s="463">
        <f>база!$M$6</f>
        <v>279.0496</v>
      </c>
      <c r="V841" s="464">
        <v>1.4</v>
      </c>
      <c r="W841" s="465">
        <f>SUMIFS(Таблица14[часы],Таблица14[коэф],"1,4",Таблица14[р/р],"5/24",Таблица14[Ф. И. О.],B836)</f>
        <v>0</v>
      </c>
      <c r="X841" s="468">
        <f>SUMIFS(Таблица14[Столбец2],Таблица14[коэф],"1,4",Таблица14[р/р],"5/24",Таблица14[Ф. И. О.],B836)</f>
        <v>0</v>
      </c>
      <c r="Y841" s="802"/>
      <c r="Z841" s="798"/>
      <c r="AA841" s="787"/>
    </row>
    <row r="842" spans="1:29" ht="18.75" customHeight="1">
      <c r="A842" s="786">
        <v>77</v>
      </c>
      <c r="B842" s="216"/>
      <c r="C842" s="788">
        <f>INDEX(база!$E$2:$E$150, MATCH(B847,база!$B$2:$B$150,0))</f>
        <v>17302</v>
      </c>
      <c r="D842" s="791">
        <f>INDEX(база!$D$2:$D$150, MATCH(B847,база!$B$2:$B$150,0))</f>
        <v>3</v>
      </c>
      <c r="E842" s="481">
        <f>IF(D842&lt;=3,база!$I$4,
IF(D842=4,база!$I$5,
IF(D842=5,база!$I$6)))</f>
        <v>188.7912</v>
      </c>
      <c r="F842" s="417">
        <v>1</v>
      </c>
      <c r="G842" s="418">
        <f>SUMIFS(Таблица14[часы],Таблица14[коэф],"1",Таблица14[р/р],"2/4",Таблица14[Ф. И. О.],B847)</f>
        <v>0</v>
      </c>
      <c r="H842" s="402">
        <f>SUMIFS(Таблица14[Столбец2],Таблица14[коэф],"1",Таблица14[р/р],"2/4",Таблица14[Ф. И. О.],B847)</f>
        <v>0</v>
      </c>
      <c r="I842" s="452">
        <f>IF(D842&lt;=3,база!$J$4,
IF(D842=4,база!$J$5,
IF(D842=5,база!$J$6)))</f>
        <v>196.05240000000001</v>
      </c>
      <c r="J842" s="475">
        <v>1</v>
      </c>
      <c r="K842" s="453">
        <f>SUMIFS(Таблица14[часы],Таблица14[коэф],"1",Таблица14[р/р],"2/8",Таблица14[Ф. И. О.],B847)</f>
        <v>0</v>
      </c>
      <c r="L842" s="453">
        <f>SUMIFS(Таблица14[Столбец2],Таблица14[коэф],"1",Таблица14[р/р],"2/8",Таблица14[Ф. И. О.],B847)</f>
        <v>0</v>
      </c>
      <c r="M842" s="453"/>
      <c r="N842" s="453">
        <v>1</v>
      </c>
      <c r="O842" s="453">
        <f>SUMIFS(Data_Tech!$AM$3:$AM$67,Data_Tech!$E$3:$E$67,"1",Data_Tech!$G$3:$G$67,"3/12",Data_Tech!$F$3:$F$67,B847)</f>
        <v>0</v>
      </c>
      <c r="P842" s="398">
        <f>ROUND(M842*N842*O842,2)</f>
        <v>0</v>
      </c>
      <c r="Q842" s="481">
        <f>IF(D842&lt;=3,база!$L$4,
IF(D842=4,база!$L$5,
IF(D842=5,база!$L$6)))</f>
        <v>210.57480000000001</v>
      </c>
      <c r="R842" s="417">
        <v>1</v>
      </c>
      <c r="S842" s="418">
        <f>SUMIFS(Таблица14[часы],Таблица14[коэф],"1",Таблица14[р/р],"3/16",Таблица14[Ф. И. О.],B847)</f>
        <v>0</v>
      </c>
      <c r="T842" s="402">
        <f>SUMIFS(Таблица14[Столбец2],Таблица14[коэф],"1",Таблица14[р/р],"3/16",Таблица14[Ф. И. О.],B847)</f>
        <v>0</v>
      </c>
      <c r="U842" s="483">
        <f>IF(D842&lt;=3,база!$M$4,
IF(D842=4,база!$M$5,
IF(D842=5,база!$M$6)))</f>
        <v>225.09719999999999</v>
      </c>
      <c r="V842" s="417">
        <v>1</v>
      </c>
      <c r="W842" s="455">
        <f>SUMIFS(Таблица14[часы],Таблица14[коэф],"1",Таблица14[р/р],"3/24",Таблица14[Ф. И. О.],B847)</f>
        <v>0</v>
      </c>
      <c r="X842" s="552">
        <f>SUMIFS(Таблица14[Столбец2],Таблица14[коэф],"1",Таблица14[р/р],"3/24",Таблица14[Ф. И. О.],B847)</f>
        <v>0</v>
      </c>
      <c r="Y842" s="801">
        <f t="shared" ref="Y842" si="290">SUM(G842:G852,K842:K852,O842:O852,S842:S852,W842:W852)</f>
        <v>0</v>
      </c>
      <c r="Z842" s="797">
        <f t="shared" ref="Z842" si="291">IFERROR(SUM(H842:H852,L842:L852,T842:T852,X842:X852),"")</f>
        <v>0</v>
      </c>
      <c r="AA842" s="786"/>
    </row>
    <row r="843" spans="1:29" ht="18.75" customHeight="1">
      <c r="A843" s="786"/>
      <c r="B843" s="216"/>
      <c r="C843" s="789"/>
      <c r="D843" s="792"/>
      <c r="E843" s="389">
        <f>IF(D842&lt;=3,база!$I$4,
IF(D842=4,база!$I$5,
IF(D842=5,база!$I$6)))</f>
        <v>188.7912</v>
      </c>
      <c r="F843" s="390">
        <v>1</v>
      </c>
      <c r="G843" s="400">
        <f>SUMIFS(Таблица14[часы],Таблица14[коэф],"1",Таблица14[р/р],"3/4",Таблица14[Ф. И. О.],B847)</f>
        <v>0</v>
      </c>
      <c r="H843" s="392">
        <f>SUMIFS(Таблица14[Столбец2],Таблица14[коэф],"1",Таблица14[р/р],"3/4",Таблица14[Ф. И. О.],B847)</f>
        <v>0</v>
      </c>
      <c r="I843" s="432">
        <f>IF(D842&lt;=3,база!$J$4,
IF(D842=4,база!$J$5,
IF(D842=5,база!$J$6)))</f>
        <v>196.05240000000001</v>
      </c>
      <c r="J843" s="433">
        <v>1</v>
      </c>
      <c r="K843" s="434">
        <f>SUMIFS(Таблица14[часы],Таблица14[коэф],"1",Таблица14[р/р],"3/8",Таблица14[Ф. И. О.],B847)</f>
        <v>0</v>
      </c>
      <c r="L843" s="434">
        <f>SUMIFS(Таблица14[Столбец2],Таблица14[коэф],"1",Таблица14[р/р],"3/8",Таблица14[Ф. И. О.],B847)</f>
        <v>0</v>
      </c>
      <c r="M843" s="434"/>
      <c r="N843" s="434">
        <v>1</v>
      </c>
      <c r="O843" s="434">
        <f>SUMIFS(Data_Tech!$AM$3:$AM$67,Data_Tech!$E$3:$E$67,"1",Data_Tech!$G$3:$G$67,"4/12",Data_Tech!$F$3:$F$67,B847)</f>
        <v>0</v>
      </c>
      <c r="P843" s="406">
        <f>ROUND(M843*O843,2)</f>
        <v>0</v>
      </c>
      <c r="Q843" s="389">
        <f>база!$L$5</f>
        <v>231.45480000000001</v>
      </c>
      <c r="R843" s="390">
        <v>1</v>
      </c>
      <c r="S843" s="400">
        <f>SUMIFS(Таблица14[часы],Таблица14[коэф],"1",Таблица14[р/р],"4/16",Таблица14[Ф. И. О.],B847)</f>
        <v>0</v>
      </c>
      <c r="T843" s="392">
        <f>SUMIFS(Таблица14[Столбец2],Таблица14[коэф],"1",Таблица14[р/р],"4/16",Таблица14[Ф. И. О.],B847)</f>
        <v>0</v>
      </c>
      <c r="U843" s="478">
        <f>база!$M$5</f>
        <v>247.41720000000001</v>
      </c>
      <c r="V843" s="390">
        <v>1</v>
      </c>
      <c r="W843" s="412">
        <f>SUMIFS(Таблица14[часы],Таблица14[коэф],"1",Таблица14[р/р],"4/24",Таблица14[Ф. И. О.],B847)</f>
        <v>0</v>
      </c>
      <c r="X843" s="545">
        <f>SUMIFS(Таблица14[Столбец2],Таблица14[коэф],"1",Таблица14[р/р],"4/24",Таблица14[Ф. И. О.],B847)</f>
        <v>0</v>
      </c>
      <c r="Y843" s="801"/>
      <c r="Z843" s="797"/>
      <c r="AA843" s="786"/>
    </row>
    <row r="844" spans="1:29" ht="18.75" customHeight="1">
      <c r="A844" s="786"/>
      <c r="B844" s="216"/>
      <c r="C844" s="789"/>
      <c r="D844" s="792"/>
      <c r="E844" s="389"/>
      <c r="F844" s="390"/>
      <c r="G844" s="400"/>
      <c r="H844" s="392"/>
      <c r="I844" s="432"/>
      <c r="J844" s="433"/>
      <c r="K844" s="434"/>
      <c r="L844" s="434"/>
      <c r="M844" s="434"/>
      <c r="N844" s="434"/>
      <c r="O844" s="434"/>
      <c r="P844" s="406"/>
      <c r="Q844" s="389">
        <f>база!$L$6</f>
        <v>261.04640000000001</v>
      </c>
      <c r="R844" s="390">
        <v>1</v>
      </c>
      <c r="S844" s="400">
        <f>SUMIFS(Таблица14[часы],Таблица14[коэф],"1",Таблица14[р/р],"5/16",Таблица14[Ф. И. О.],B847)</f>
        <v>0</v>
      </c>
      <c r="T844" s="392">
        <f>SUMIFS(Таблица14[Столбец2],Таблица14[коэф],"1",Таблица14[р/р],"5/16",Таблица14[Ф. И. О.],B847)</f>
        <v>0</v>
      </c>
      <c r="U844" s="478">
        <f>база!$M$6</f>
        <v>279.0496</v>
      </c>
      <c r="V844" s="390">
        <v>1</v>
      </c>
      <c r="W844" s="412">
        <f>SUMIFS(Таблица14[часы],Таблица14[коэф],"1",Таблица14[р/р],"5/24",Таблица14[Ф. И. О.],B847)</f>
        <v>0</v>
      </c>
      <c r="X844" s="545">
        <f>SUMIFS(Таблица14[Столбец2],Таблица14[коэф],"1",Таблица14[р/р],"5/24",Таблица14[Ф. И. О.],B847)</f>
        <v>0</v>
      </c>
      <c r="Y844" s="801"/>
      <c r="Z844" s="797"/>
      <c r="AA844" s="786"/>
    </row>
    <row r="845" spans="1:29" ht="18.75" customHeight="1">
      <c r="A845" s="786"/>
      <c r="B845" s="216"/>
      <c r="C845" s="789"/>
      <c r="D845" s="792"/>
      <c r="E845" s="389"/>
      <c r="F845" s="390"/>
      <c r="G845" s="400"/>
      <c r="H845" s="392"/>
      <c r="I845" s="432">
        <f>база!$J$5</f>
        <v>215.4924</v>
      </c>
      <c r="J845" s="433">
        <v>1.5</v>
      </c>
      <c r="K845" s="434">
        <f>SUMIFS(Таблица14[часы],Таблица14[коэф],"1,5",Таблица14[р/р],"4/8",Таблица14[Ф. И. О.],B847)</f>
        <v>0</v>
      </c>
      <c r="L845" s="434">
        <f>SUMIFS(Таблица14[Столбец2],Таблица14[коэф],"1,5",Таблица14[р/р],"4/8",Таблица14[Ф. И. О.],B847)</f>
        <v>0</v>
      </c>
      <c r="M845" s="434"/>
      <c r="N845" s="434"/>
      <c r="O845" s="434"/>
      <c r="P845" s="406"/>
      <c r="Q845" s="389">
        <f>IF(D842&lt;=3,база!$L$4,
IF(D842=4,база!$L$5,
IF(D842=5,база!$L$6)))</f>
        <v>210.57480000000001</v>
      </c>
      <c r="R845" s="390">
        <v>1.2</v>
      </c>
      <c r="S845" s="400">
        <f>SUMIFS(Таблица14[часы],Таблица14[коэф],"1,2",Таблица14[р/р],"3/16",Таблица14[Ф. И. О.],B847)</f>
        <v>0</v>
      </c>
      <c r="T845" s="392">
        <f>SUMIFS(Таблица14[Столбец2],Таблица14[коэф],"1,2",Таблица14[р/р],"3/16",Таблица14[Ф. И. О.],B847)</f>
        <v>0</v>
      </c>
      <c r="U845" s="478">
        <f>IF(D842&lt;=3,база!$M$4,
IF(D842=4,база!$M$5,
IF(D842=5,база!$M$6)))</f>
        <v>225.09719999999999</v>
      </c>
      <c r="V845" s="390">
        <v>1.2</v>
      </c>
      <c r="W845" s="412">
        <f>SUMIFS(Таблица14[часы],Таблица14[коэф],"1,2",Таблица14[р/р],"3/24",Таблица14[Ф. И. О.],B847)</f>
        <v>0</v>
      </c>
      <c r="X845" s="545">
        <f>SUMIFS(Таблица14[Столбец2],Таблица14[коэф],"1,2",Таблица14[р/р],"3/24",Таблица14[Ф. И. О.],B847)</f>
        <v>0</v>
      </c>
      <c r="Y845" s="801"/>
      <c r="Z845" s="797"/>
      <c r="AA845" s="786"/>
    </row>
    <row r="846" spans="1:29" ht="18.75" customHeight="1">
      <c r="A846" s="786"/>
      <c r="B846" s="216"/>
      <c r="C846" s="789"/>
      <c r="D846" s="792"/>
      <c r="E846" s="389"/>
      <c r="F846" s="390"/>
      <c r="G846" s="400"/>
      <c r="H846" s="392"/>
      <c r="I846" s="432">
        <f>база!$J$6</f>
        <v>243.04319999999998</v>
      </c>
      <c r="J846" s="433">
        <v>1.5</v>
      </c>
      <c r="K846" s="434">
        <f>SUMIFS(Таблица14[часы],Таблица14[коэф],"1,5",Таблица14[р/р],"5/8",Таблица14[Ф. И. О.],B847)</f>
        <v>0</v>
      </c>
      <c r="L846" s="434">
        <f>SUMIFS(Таблица14[Столбец2],Таблица14[коэф],"1,5",Таблица14[р/р],"5/8",Таблица14[Ф. И. О.],B847)</f>
        <v>0</v>
      </c>
      <c r="M846" s="434"/>
      <c r="N846" s="434"/>
      <c r="O846" s="434"/>
      <c r="P846" s="406"/>
      <c r="Q846" s="389">
        <f>база!$L$5</f>
        <v>231.45480000000001</v>
      </c>
      <c r="R846" s="390">
        <v>1.2</v>
      </c>
      <c r="S846" s="400">
        <f>SUMIFS(Таблица14[часы],Таблица14[коэф],"1,2",Таблица14[р/р],"4/16",Таблица14[Ф. И. О.],B847)</f>
        <v>0</v>
      </c>
      <c r="T846" s="392">
        <f>SUMIFS(Таблица14[Столбец2],Таблица14[коэф],"1,2",Таблица14[р/р],"4/16",Таблица14[Ф. И. О.],B847)</f>
        <v>0</v>
      </c>
      <c r="U846" s="478">
        <f>база!$M$5</f>
        <v>247.41720000000001</v>
      </c>
      <c r="V846" s="390">
        <v>1.2</v>
      </c>
      <c r="W846" s="412">
        <f>SUMIFS(Таблица14[часы],Таблица14[коэф],"1,2",Таблица14[р/р],"4/24",Таблица14[Ф. И. О.],B847)</f>
        <v>0</v>
      </c>
      <c r="X846" s="545">
        <f>SUMIFS(Таблица14[Столбец2],Таблица14[коэф],"1,2",Таблица14[р/р],"4/24",Таблица14[Ф. И. О.],B847)</f>
        <v>0</v>
      </c>
      <c r="Y846" s="801"/>
      <c r="Z846" s="797"/>
      <c r="AA846" s="786"/>
    </row>
    <row r="847" spans="1:29" ht="18.75" customHeight="1">
      <c r="A847" s="786"/>
      <c r="B847" s="216" t="str">
        <f>база!B78</f>
        <v>Черкасова Дарья Викторовна</v>
      </c>
      <c r="C847" s="789"/>
      <c r="D847" s="792"/>
      <c r="E847" s="389"/>
      <c r="F847" s="390"/>
      <c r="G847" s="400"/>
      <c r="H847" s="392"/>
      <c r="I847" s="432"/>
      <c r="J847" s="433"/>
      <c r="K847" s="434"/>
      <c r="L847" s="434"/>
      <c r="M847" s="434"/>
      <c r="N847" s="434"/>
      <c r="O847" s="434"/>
      <c r="P847" s="406"/>
      <c r="Q847" s="389">
        <f>база!$L$6</f>
        <v>261.04640000000001</v>
      </c>
      <c r="R847" s="390">
        <v>1.2</v>
      </c>
      <c r="S847" s="400">
        <f>SUMIFS(Таблица14[часы],Таблица14[коэф],"1,2",Таблица14[р/р],"5/16",Таблица14[Ф. И. О.],B847)</f>
        <v>0</v>
      </c>
      <c r="T847" s="392">
        <f>SUMIFS(Таблица14[Столбец2],Таблица14[коэф],"1,2",Таблица14[р/р],"5/16",Таблица14[Ф. И. О.],B847)</f>
        <v>0</v>
      </c>
      <c r="U847" s="478">
        <f>база!$M$6</f>
        <v>279.0496</v>
      </c>
      <c r="V847" s="390">
        <v>1.2</v>
      </c>
      <c r="W847" s="412">
        <f>SUMIFS(Таблица14[часы],Таблица14[коэф],"1,2",Таблица14[р/р],"5/24",Таблица14[Ф. И. О.],B847)</f>
        <v>0</v>
      </c>
      <c r="X847" s="545">
        <f>SUMIFS(Таблица14[Столбец2],Таблица14[коэф],"1,2",Таблица14[р/р],"5/24",Таблица14[Ф. И. О.],B847)</f>
        <v>0</v>
      </c>
      <c r="Y847" s="801"/>
      <c r="Z847" s="797"/>
      <c r="AA847" s="786"/>
      <c r="AC847" s="754" t="str">
        <f>IF(SUMIFS(Таблица14[Столбец2],Таблица14[Ф. И. О.],B847)-Z842=0,"",SUMIFS(Таблица14[Столбец2],Таблица14[Ф. И. О.],B847)-Z842)</f>
        <v/>
      </c>
    </row>
    <row r="848" spans="1:29" ht="18.75" customHeight="1">
      <c r="A848" s="786"/>
      <c r="B848" s="216"/>
      <c r="C848" s="789"/>
      <c r="D848" s="792"/>
      <c r="E848" s="389"/>
      <c r="F848" s="390"/>
      <c r="G848" s="400"/>
      <c r="H848" s="392"/>
      <c r="I848" s="432"/>
      <c r="J848" s="433"/>
      <c r="K848" s="434"/>
      <c r="L848" s="434"/>
      <c r="M848" s="434"/>
      <c r="N848" s="434"/>
      <c r="O848" s="434"/>
      <c r="P848" s="406"/>
      <c r="Q848" s="389">
        <f>IF($D$6&lt;=3,база!$L$4,
IF($D$6=4,база!$L$5,
IF($D$6=5,база!$L$6)))</f>
        <v>231.45480000000001</v>
      </c>
      <c r="R848" s="390">
        <v>1.3</v>
      </c>
      <c r="S848" s="400">
        <f>SUMIFS(Таблица14[часы],Таблица14[коэф],"1,3",Таблица14[р/р],"3/16",Таблица14[Ф. И. О.],B847)</f>
        <v>0</v>
      </c>
      <c r="T848" s="392">
        <f>SUMIFS(Таблица14[Столбец2],Таблица14[коэф],"1,3",Таблица14[р/р],"3/16",Таблица14[Ф. И. О.],B847)</f>
        <v>0</v>
      </c>
      <c r="U848" s="478">
        <f>IF(D842&lt;=3,база!$M$4,
IF(D842=4,база!$M$5,
IF(D842=5,база!$M$6)))</f>
        <v>225.09719999999999</v>
      </c>
      <c r="V848" s="390">
        <v>1.3</v>
      </c>
      <c r="W848" s="412">
        <f>SUMIFS(Таблица14[часы],Таблица14[коэф],"1,3",Таблица14[р/р],"3/24",Таблица14[Ф. И. О.],B847)</f>
        <v>0</v>
      </c>
      <c r="X848" s="545">
        <f>SUMIFS(Таблица14[Столбец2],Таблица14[коэф],"1,3",Таблица14[р/р],"3/24",Таблица14[Ф. И. О.],B847)</f>
        <v>0</v>
      </c>
      <c r="Y848" s="801"/>
      <c r="Z848" s="797"/>
      <c r="AA848" s="786"/>
      <c r="AC848" s="754" t="str">
        <f>IF(SUMIFS(Таблица14[часы],Таблица14[Ф. И. О.],B847)-Y842=0,"",SUMIFS(Таблица14[часы],Таблица14[Ф. И. О.],B847)-Y842)</f>
        <v/>
      </c>
    </row>
    <row r="849" spans="1:29" ht="18.75" customHeight="1">
      <c r="A849" s="786"/>
      <c r="B849" s="216"/>
      <c r="C849" s="789"/>
      <c r="D849" s="792"/>
      <c r="E849" s="389"/>
      <c r="F849" s="390"/>
      <c r="G849" s="400"/>
      <c r="H849" s="392"/>
      <c r="I849" s="432"/>
      <c r="J849" s="433"/>
      <c r="K849" s="434"/>
      <c r="L849" s="434"/>
      <c r="M849" s="434"/>
      <c r="N849" s="434"/>
      <c r="O849" s="434"/>
      <c r="P849" s="406"/>
      <c r="Q849" s="389">
        <f>база!$L$5</f>
        <v>231.45480000000001</v>
      </c>
      <c r="R849" s="390">
        <v>1.3</v>
      </c>
      <c r="S849" s="400">
        <f>SUMIFS(Таблица14[часы],Таблица14[коэф],"1,3",Таблица14[р/р],"4/16",Таблица14[Ф. И. О.],B847)</f>
        <v>0</v>
      </c>
      <c r="T849" s="392">
        <f>SUMIFS(Таблица14[Столбец2],Таблица14[коэф],"1,3",Таблица14[р/р],"4/16",Таблица14[Ф. И. О.],B847)</f>
        <v>0</v>
      </c>
      <c r="U849" s="478">
        <f>база!$M$5</f>
        <v>247.41720000000001</v>
      </c>
      <c r="V849" s="390">
        <v>1.3</v>
      </c>
      <c r="W849" s="412">
        <f>SUMIFS(Таблица14[часы],Таблица14[коэф],"1,3",Таблица14[р/р],"4/24",Таблица14[Ф. И. О.],B847)</f>
        <v>0</v>
      </c>
      <c r="X849" s="545">
        <f>SUMIFS(Таблица14[Столбец2],Таблица14[коэф],"1,3",Таблица14[р/р],"4/24",Таблица14[Ф. И. О.],B847)</f>
        <v>0</v>
      </c>
      <c r="Y849" s="801"/>
      <c r="Z849" s="797"/>
      <c r="AA849" s="786"/>
    </row>
    <row r="850" spans="1:29" ht="18.75" customHeight="1">
      <c r="A850" s="786"/>
      <c r="B850" s="216"/>
      <c r="C850" s="789"/>
      <c r="D850" s="792"/>
      <c r="E850" s="389"/>
      <c r="F850" s="390"/>
      <c r="G850" s="400"/>
      <c r="H850" s="392"/>
      <c r="I850" s="432"/>
      <c r="J850" s="433"/>
      <c r="K850" s="434"/>
      <c r="L850" s="434"/>
      <c r="M850" s="434"/>
      <c r="N850" s="434"/>
      <c r="O850" s="434"/>
      <c r="P850" s="406"/>
      <c r="Q850" s="389">
        <f>IF(D842&lt;=3,база!$L$4,
IF(D842=4,база!$L$5,
IF(D842=5,база!$L$6)))</f>
        <v>210.57480000000001</v>
      </c>
      <c r="R850" s="390">
        <v>1.4</v>
      </c>
      <c r="S850" s="400">
        <f>SUMIFS(Таблица14[часы],Таблица14[коэф],"1,4",Таблица14[р/р],"3/16",Таблица14[Ф. И. О.],B847)</f>
        <v>0</v>
      </c>
      <c r="T850" s="392">
        <f>SUMIFS(Таблица14[Столбец2],Таблица14[коэф],"1,4",Таблица14[р/р],"3/16",Таблица14[Ф. И. О.],B847)</f>
        <v>0</v>
      </c>
      <c r="U850" s="478">
        <f>IF(D842&lt;=3,база!$M$4,
IF(D842=4,база!$M$5,
IF(D842=5,база!$M$6)))</f>
        <v>225.09719999999999</v>
      </c>
      <c r="V850" s="390">
        <v>1.4</v>
      </c>
      <c r="W850" s="412">
        <f>SUMIFS(Таблица14[часы],Таблица14[коэф],"1,4",Таблица14[р/р],"3/24",Таблица14[Ф. И. О.],B847)</f>
        <v>0</v>
      </c>
      <c r="X850" s="545">
        <f>SUMIFS(Таблица14[Столбец2],Таблица14[коэф],"1,4",Таблица14[р/р],"3/24",Таблица14[Ф. И. О.],B847)</f>
        <v>0</v>
      </c>
      <c r="Y850" s="801"/>
      <c r="Z850" s="797"/>
      <c r="AA850" s="786"/>
    </row>
    <row r="851" spans="1:29" ht="18.75" customHeight="1">
      <c r="A851" s="786"/>
      <c r="B851" s="216"/>
      <c r="C851" s="789"/>
      <c r="D851" s="792"/>
      <c r="E851" s="389"/>
      <c r="F851" s="390"/>
      <c r="G851" s="400"/>
      <c r="H851" s="392"/>
      <c r="I851" s="432"/>
      <c r="J851" s="433"/>
      <c r="K851" s="434"/>
      <c r="L851" s="434"/>
      <c r="M851" s="434"/>
      <c r="N851" s="434"/>
      <c r="O851" s="434"/>
      <c r="P851" s="406"/>
      <c r="Q851" s="389">
        <f>база!$L$5</f>
        <v>231.45480000000001</v>
      </c>
      <c r="R851" s="390">
        <v>1.4</v>
      </c>
      <c r="S851" s="400">
        <f>SUMIFS(Таблица14[часы],Таблица14[коэф],"1,4",Таблица14[р/р],"4/16",Таблица14[Ф. И. О.],B847)</f>
        <v>0</v>
      </c>
      <c r="T851" s="392">
        <f>SUMIFS(Таблица14[Столбец2],Таблица14[коэф],"1,4",Таблица14[р/р],"4/16",Таблица14[Ф. И. О.],B847)</f>
        <v>0</v>
      </c>
      <c r="U851" s="478">
        <f>база!$M$5</f>
        <v>247.41720000000001</v>
      </c>
      <c r="V851" s="390">
        <v>1.4</v>
      </c>
      <c r="W851" s="412">
        <f>SUMIFS(Таблица14[часы],Таблица14[коэф],"1,4",Таблица14[р/р],"4/24",Таблица14[Ф. И. О.],B847)</f>
        <v>0</v>
      </c>
      <c r="X851" s="545">
        <f>SUMIFS(Таблица14[Столбец2],Таблица14[коэф],"1,4",Таблица14[р/р],"4/24",Таблица14[Ф. И. О.],B847)</f>
        <v>0</v>
      </c>
      <c r="Y851" s="801"/>
      <c r="Z851" s="797"/>
      <c r="AA851" s="786"/>
    </row>
    <row r="852" spans="1:29" ht="19.5" customHeight="1" thickBot="1">
      <c r="A852" s="787"/>
      <c r="B852" s="352"/>
      <c r="C852" s="790"/>
      <c r="D852" s="793"/>
      <c r="E852" s="481"/>
      <c r="F852" s="417"/>
      <c r="G852" s="486"/>
      <c r="H852" s="402"/>
      <c r="I852" s="396"/>
      <c r="J852" s="475"/>
      <c r="K852" s="397"/>
      <c r="L852" s="434"/>
      <c r="M852" s="396"/>
      <c r="N852" s="397"/>
      <c r="O852" s="397"/>
      <c r="P852" s="398"/>
      <c r="Q852" s="487">
        <f>база!$L$6</f>
        <v>261.04640000000001</v>
      </c>
      <c r="R852" s="417">
        <v>1.4</v>
      </c>
      <c r="S852" s="418">
        <f>SUMIFS(Таблица14[часы],Таблица14[коэф],"1,4",Таблица14[р/р],"5/16",Таблица14[Ф. И. О.],B847)</f>
        <v>0</v>
      </c>
      <c r="T852" s="402">
        <f>SUMIFS(Таблица14[Столбец2],Таблица14[коэф],"1,4",Таблица14[р/р],"5/16",Таблица14[Ф. И. О.],B847)</f>
        <v>0</v>
      </c>
      <c r="U852" s="451">
        <f>база!$M$6</f>
        <v>279.0496</v>
      </c>
      <c r="V852" s="390">
        <v>1.4</v>
      </c>
      <c r="W852" s="418">
        <f>SUMIFS(Таблица14[часы],Таблица14[коэф],"1,4",Таблица14[р/р],"5/24",Таблица14[Ф. И. О.],B847)</f>
        <v>0</v>
      </c>
      <c r="X852" s="402">
        <f>SUMIFS(Таблица14[Столбец2],Таблица14[коэф],"1,4",Таблица14[р/р],"5/24",Таблица14[Ф. И. О.],B847)</f>
        <v>0</v>
      </c>
      <c r="Y852" s="802"/>
      <c r="Z852" s="798"/>
      <c r="AA852" s="787"/>
    </row>
    <row r="853" spans="1:29" ht="18.75" customHeight="1">
      <c r="A853" s="786">
        <v>78</v>
      </c>
      <c r="B853" s="216"/>
      <c r="C853" s="788">
        <f>INDEX(база!$E$2:$E$150, MATCH(B858,база!$B$2:$B$150,0))</f>
        <v>15260</v>
      </c>
      <c r="D853" s="791">
        <f>INDEX(база!$D$2:$D$150, MATCH(B858,база!$B$2:$B$150,0))</f>
        <v>4</v>
      </c>
      <c r="E853" s="377">
        <f>IF(D853&lt;=3,база!$I$4,
IF(D853=4,база!$I$5,
IF(D853=5,база!$I$6)))</f>
        <v>207.5112</v>
      </c>
      <c r="F853" s="378">
        <v>1</v>
      </c>
      <c r="G853" s="387">
        <f>SUMIFS(Таблица14[часы],Таблица14[коэф],"1",Таблица14[р/р],"2/4",Таблица14[Ф. И. О.],B858)</f>
        <v>0</v>
      </c>
      <c r="H853" s="380">
        <f>SUMIFS(Таблица14[Столбец2],Таблица14[коэф],"1",Таблица14[р/р],"2/4",Таблица14[Ф. И. О.],B858)</f>
        <v>0</v>
      </c>
      <c r="I853" s="426">
        <f>IF(D853&lt;=3,база!$J$4,
IF(D853=4,база!$J$5,
IF(D853=5,база!$J$6)))</f>
        <v>215.4924</v>
      </c>
      <c r="J853" s="427">
        <v>1</v>
      </c>
      <c r="K853" s="428">
        <f>SUMIFS(Таблица14[часы],Таблица14[коэф],"1",Таблица14[р/р],"2/8",Таблица14[Ф. И. О.],B858)</f>
        <v>0</v>
      </c>
      <c r="L853" s="428">
        <f>SUMIFS(Таблица14[Столбец2],Таблица14[коэф],"1",Таблица14[р/р],"2/8",Таблица14[Ф. И. О.],B858)</f>
        <v>0</v>
      </c>
      <c r="M853" s="428"/>
      <c r="N853" s="428">
        <v>1</v>
      </c>
      <c r="O853" s="428">
        <f>SUMIFS(Data_Tech!$AM$3:$AM$67,Data_Tech!$E$3:$E$67,"1",Data_Tech!$G$3:$G$67,"3/12",Data_Tech!$F$3:$F$67,B858)</f>
        <v>0</v>
      </c>
      <c r="P853" s="385">
        <f>ROUND(M853*N853*O853,2)</f>
        <v>0</v>
      </c>
      <c r="Q853" s="377">
        <f>IF(D853&lt;=3,база!$L$4,
IF(D853=4,база!$L$5,
IF(D853=5,база!$L$6)))</f>
        <v>231.45480000000001</v>
      </c>
      <c r="R853" s="378">
        <v>1</v>
      </c>
      <c r="S853" s="387">
        <f>SUMIFS(Таблица14[часы],Таблица14[коэф],"1",Таблица14[р/р],"3/16",Таблица14[Ф. И. О.],B858)</f>
        <v>0</v>
      </c>
      <c r="T853" s="380">
        <f>SUMIFS(Таблица14[Столбец2],Таблица14[коэф],"1",Таблица14[р/р],"3/16",Таблица14[Ф. И. О.],B858)</f>
        <v>0</v>
      </c>
      <c r="U853" s="477">
        <f>IF(D853&lt;=3,база!$M$4,
IF(D853=4,база!$M$5,
IF(D853=5,база!$M$6)))</f>
        <v>247.41720000000001</v>
      </c>
      <c r="V853" s="378">
        <v>1</v>
      </c>
      <c r="W853" s="430">
        <f>SUMIFS(Таблица14[часы],Таблица14[коэф],"1",Таблица14[р/р],"3/24",Таблица14[Ф. И. О.],B858)</f>
        <v>0</v>
      </c>
      <c r="X853" s="543">
        <f>SUMIFS(Таблица14[Столбец2],Таблица14[коэф],"1",Таблица14[р/р],"3/24",Таблица14[Ф. И. О.],B858)</f>
        <v>0</v>
      </c>
      <c r="Y853" s="800">
        <f t="shared" ref="Y853" si="292">SUM(G853:G863,K853:K863,O853:O863,S853:S863,W853:W863)</f>
        <v>0</v>
      </c>
      <c r="Z853" s="797">
        <f t="shared" ref="Z853" si="293">IFERROR(SUM(H853:H863,L853:L863,T853:T863,X853:X863),"")</f>
        <v>0</v>
      </c>
      <c r="AA853" s="786"/>
    </row>
    <row r="854" spans="1:29" ht="18.75" customHeight="1">
      <c r="A854" s="786"/>
      <c r="B854" s="216"/>
      <c r="C854" s="789"/>
      <c r="D854" s="792"/>
      <c r="E854" s="389">
        <f>IF(D853&lt;=3,база!$I$4,
IF(D853=4,база!$I$5,
IF(D853=5,база!$I$6)))</f>
        <v>207.5112</v>
      </c>
      <c r="F854" s="390">
        <v>1</v>
      </c>
      <c r="G854" s="400">
        <f>SUMIFS(Таблица14[часы],Таблица14[коэф],"1",Таблица14[р/р],"3/4",Таблица14[Ф. И. О.],B858)</f>
        <v>0</v>
      </c>
      <c r="H854" s="392">
        <f>SUMIFS(Таблица14[Столбец2],Таблица14[коэф],"1",Таблица14[р/р],"3/4",Таблица14[Ф. И. О.],B858)</f>
        <v>0</v>
      </c>
      <c r="I854" s="432">
        <f>IF(D853&lt;=3,база!$J$4,
IF(D853=4,база!$J$5,
IF(D853=5,база!$J$6)))</f>
        <v>215.4924</v>
      </c>
      <c r="J854" s="433">
        <v>1</v>
      </c>
      <c r="K854" s="434">
        <f>SUMIFS(Таблица14[часы],Таблица14[коэф],"1",Таблица14[р/р],"3/8",Таблица14[Ф. И. О.],B858)</f>
        <v>0</v>
      </c>
      <c r="L854" s="434">
        <f>SUMIFS(Таблица14[Столбец2],Таблица14[коэф],"1",Таблица14[р/р],"3/8",Таблица14[Ф. И. О.],B858)</f>
        <v>0</v>
      </c>
      <c r="M854" s="434"/>
      <c r="N854" s="434">
        <v>1</v>
      </c>
      <c r="O854" s="434">
        <f>SUMIFS(Data_Tech!$AM$3:$AM$67,Data_Tech!$E$3:$E$67,"1",Data_Tech!$G$3:$G$67,"4/12",Data_Tech!$F$3:$F$67,B858)</f>
        <v>0</v>
      </c>
      <c r="P854" s="406">
        <f>ROUND(M854*O854,2)</f>
        <v>0</v>
      </c>
      <c r="Q854" s="389">
        <f>база!$L$5</f>
        <v>231.45480000000001</v>
      </c>
      <c r="R854" s="390">
        <v>1</v>
      </c>
      <c r="S854" s="400">
        <f>SUMIFS(Таблица14[часы],Таблица14[коэф],"1",Таблица14[р/р],"4/16",Таблица14[Ф. И. О.],B858)</f>
        <v>0</v>
      </c>
      <c r="T854" s="392">
        <f>SUMIFS(Таблица14[Столбец2],Таблица14[коэф],"1",Таблица14[р/р],"4/16",Таблица14[Ф. И. О.],B858)</f>
        <v>0</v>
      </c>
      <c r="U854" s="478">
        <f>база!$M$5</f>
        <v>247.41720000000001</v>
      </c>
      <c r="V854" s="390">
        <v>1</v>
      </c>
      <c r="W854" s="412">
        <f>SUMIFS(Таблица14[часы],Таблица14[коэф],"1",Таблица14[р/р],"4/24",Таблица14[Ф. И. О.],B858)</f>
        <v>0</v>
      </c>
      <c r="X854" s="545">
        <f>SUMIFS(Таблица14[Столбец2],Таблица14[коэф],"1",Таблица14[р/р],"4/24",Таблица14[Ф. И. О.],B858)</f>
        <v>0</v>
      </c>
      <c r="Y854" s="801"/>
      <c r="Z854" s="797"/>
      <c r="AA854" s="786"/>
    </row>
    <row r="855" spans="1:29" ht="18.75" customHeight="1">
      <c r="A855" s="786"/>
      <c r="B855" s="216"/>
      <c r="C855" s="789"/>
      <c r="D855" s="792"/>
      <c r="E855" s="389"/>
      <c r="F855" s="390"/>
      <c r="G855" s="400"/>
      <c r="H855" s="392"/>
      <c r="I855" s="432"/>
      <c r="J855" s="433"/>
      <c r="K855" s="434"/>
      <c r="L855" s="434"/>
      <c r="M855" s="434"/>
      <c r="N855" s="434"/>
      <c r="O855" s="434"/>
      <c r="P855" s="406"/>
      <c r="Q855" s="389">
        <f>база!$L$6</f>
        <v>261.04640000000001</v>
      </c>
      <c r="R855" s="390">
        <v>1</v>
      </c>
      <c r="S855" s="400">
        <f>SUMIFS(Таблица14[часы],Таблица14[коэф],"1",Таблица14[р/р],"5/16",Таблица14[Ф. И. О.],B858)</f>
        <v>0</v>
      </c>
      <c r="T855" s="392">
        <f>SUMIFS(Таблица14[Столбец2],Таблица14[коэф],"1",Таблица14[р/р],"5/16",Таблица14[Ф. И. О.],B858)</f>
        <v>0</v>
      </c>
      <c r="U855" s="478">
        <f>база!$M$6</f>
        <v>279.0496</v>
      </c>
      <c r="V855" s="390">
        <v>1</v>
      </c>
      <c r="W855" s="412">
        <f>SUMIFS(Таблица14[часы],Таблица14[коэф],"1",Таблица14[р/р],"5/24",Таблица14[Ф. И. О.],B858)</f>
        <v>0</v>
      </c>
      <c r="X855" s="545">
        <f>SUMIFS(Таблица14[Столбец2],Таблица14[коэф],"1",Таблица14[р/р],"5/24",Таблица14[Ф. И. О.],B858)</f>
        <v>0</v>
      </c>
      <c r="Y855" s="801"/>
      <c r="Z855" s="797"/>
      <c r="AA855" s="786"/>
    </row>
    <row r="856" spans="1:29" ht="18.75" customHeight="1">
      <c r="A856" s="786"/>
      <c r="B856" s="216"/>
      <c r="C856" s="789"/>
      <c r="D856" s="792"/>
      <c r="E856" s="389"/>
      <c r="F856" s="390"/>
      <c r="G856" s="400"/>
      <c r="H856" s="392"/>
      <c r="I856" s="432">
        <f>база!$J$5</f>
        <v>215.4924</v>
      </c>
      <c r="J856" s="433">
        <v>1.5</v>
      </c>
      <c r="K856" s="434">
        <f>SUMIFS(Таблица14[часы],Таблица14[коэф],"1,5",Таблица14[р/р],"4/8",Таблица14[Ф. И. О.],B858)</f>
        <v>0</v>
      </c>
      <c r="L856" s="434">
        <f>SUMIFS(Таблица14[Столбец2],Таблица14[коэф],"1,5",Таблица14[р/р],"4/8",Таблица14[Ф. И. О.],B858)</f>
        <v>0</v>
      </c>
      <c r="M856" s="434"/>
      <c r="N856" s="434"/>
      <c r="O856" s="434"/>
      <c r="P856" s="406"/>
      <c r="Q856" s="389">
        <f>IF(D853&lt;=3,база!$L$4,
IF(D853=4,база!$L$5,
IF(D853=5,база!$L$6)))</f>
        <v>231.45480000000001</v>
      </c>
      <c r="R856" s="390">
        <v>1.2</v>
      </c>
      <c r="S856" s="400">
        <f>SUMIFS(Таблица14[часы],Таблица14[коэф],"1,2",Таблица14[р/р],"3/16",Таблица14[Ф. И. О.],B858)</f>
        <v>0</v>
      </c>
      <c r="T856" s="392">
        <f>SUMIFS(Таблица14[Столбец2],Таблица14[коэф],"1,2",Таблица14[р/р],"3/16",Таблица14[Ф. И. О.],B858)</f>
        <v>0</v>
      </c>
      <c r="U856" s="478">
        <f>IF(D853&lt;=3,база!$M$4,
IF(D853=4,база!$M$5,
IF(D853=5,база!$M$6)))</f>
        <v>247.41720000000001</v>
      </c>
      <c r="V856" s="390">
        <v>1.2</v>
      </c>
      <c r="W856" s="412">
        <f>SUMIFS(Таблица14[часы],Таблица14[коэф],"1,2",Таблица14[р/р],"3/24",Таблица14[Ф. И. О.],B858)</f>
        <v>0</v>
      </c>
      <c r="X856" s="545">
        <f>SUMIFS(Таблица14[Столбец2],Таблица14[коэф],"1,2",Таблица14[р/р],"3/24",Таблица14[Ф. И. О.],B858)</f>
        <v>0</v>
      </c>
      <c r="Y856" s="801"/>
      <c r="Z856" s="797"/>
      <c r="AA856" s="786"/>
    </row>
    <row r="857" spans="1:29" ht="18.75" customHeight="1">
      <c r="A857" s="786"/>
      <c r="B857" s="216"/>
      <c r="C857" s="789"/>
      <c r="D857" s="792"/>
      <c r="E857" s="389"/>
      <c r="F857" s="390"/>
      <c r="G857" s="400"/>
      <c r="H857" s="392"/>
      <c r="I857" s="432">
        <f>база!$J$6</f>
        <v>243.04319999999998</v>
      </c>
      <c r="J857" s="433">
        <v>1.5</v>
      </c>
      <c r="K857" s="434">
        <f>SUMIFS(Таблица14[часы],Таблица14[коэф],"1,5",Таблица14[р/р],"5/8",Таблица14[Ф. И. О.],B858)</f>
        <v>0</v>
      </c>
      <c r="L857" s="434">
        <f>SUMIFS(Таблица14[Столбец2],Таблица14[коэф],"1,5",Таблица14[р/р],"5/8",Таблица14[Ф. И. О.],B858)</f>
        <v>0</v>
      </c>
      <c r="M857" s="434"/>
      <c r="N857" s="434"/>
      <c r="O857" s="434"/>
      <c r="P857" s="406"/>
      <c r="Q857" s="389">
        <f>база!$L$5</f>
        <v>231.45480000000001</v>
      </c>
      <c r="R857" s="390">
        <v>1.2</v>
      </c>
      <c r="S857" s="400">
        <f>SUMIFS(Таблица14[часы],Таблица14[коэф],"1,2",Таблица14[р/р],"4/16",Таблица14[Ф. И. О.],B858)</f>
        <v>0</v>
      </c>
      <c r="T857" s="392">
        <f>SUMIFS(Таблица14[Столбец2],Таблица14[коэф],"1,2",Таблица14[р/р],"4/16",Таблица14[Ф. И. О.],B858)</f>
        <v>0</v>
      </c>
      <c r="U857" s="478">
        <f>база!$M$5</f>
        <v>247.41720000000001</v>
      </c>
      <c r="V857" s="390">
        <v>1.2</v>
      </c>
      <c r="W857" s="412">
        <f>SUMIFS(Таблица14[часы],Таблица14[коэф],"1,2",Таблица14[р/р],"4/24",Таблица14[Ф. И. О.],B858)</f>
        <v>0</v>
      </c>
      <c r="X857" s="545">
        <f>SUMIFS(Таблица14[Столбец2],Таблица14[коэф],"1,2",Таблица14[р/р],"4/24",Таблица14[Ф. И. О.],B858)</f>
        <v>0</v>
      </c>
      <c r="Y857" s="801"/>
      <c r="Z857" s="797"/>
      <c r="AA857" s="786"/>
    </row>
    <row r="858" spans="1:29" ht="18.75" customHeight="1">
      <c r="A858" s="786"/>
      <c r="B858" s="216" t="str">
        <f>база!B79</f>
        <v>Шамарина Светлана Владимировна</v>
      </c>
      <c r="C858" s="789"/>
      <c r="D858" s="792"/>
      <c r="E858" s="389"/>
      <c r="F858" s="390"/>
      <c r="G858" s="400"/>
      <c r="H858" s="392"/>
      <c r="I858" s="432"/>
      <c r="J858" s="433"/>
      <c r="K858" s="434"/>
      <c r="L858" s="434"/>
      <c r="M858" s="434"/>
      <c r="N858" s="434"/>
      <c r="O858" s="434"/>
      <c r="P858" s="406"/>
      <c r="Q858" s="389">
        <f>база!$L$6</f>
        <v>261.04640000000001</v>
      </c>
      <c r="R858" s="390">
        <v>1.2</v>
      </c>
      <c r="S858" s="400">
        <f>SUMIFS(Таблица14[часы],Таблица14[коэф],"1,2",Таблица14[р/р],"5/16",Таблица14[Ф. И. О.],B858)</f>
        <v>0</v>
      </c>
      <c r="T858" s="392">
        <f>SUMIFS(Таблица14[Столбец2],Таблица14[коэф],"1,2",Таблица14[р/р],"5/16",Таблица14[Ф. И. О.],B858)</f>
        <v>0</v>
      </c>
      <c r="U858" s="478">
        <f>база!$M$6</f>
        <v>279.0496</v>
      </c>
      <c r="V858" s="390">
        <v>1.2</v>
      </c>
      <c r="W858" s="412">
        <f>SUMIFS(Таблица14[часы],Таблица14[коэф],"1,2",Таблица14[р/р],"5/24",Таблица14[Ф. И. О.],B858)</f>
        <v>0</v>
      </c>
      <c r="X858" s="545">
        <f>SUMIFS(Таблица14[Столбец2],Таблица14[коэф],"1,2",Таблица14[р/р],"5/24",Таблица14[Ф. И. О.],B858)</f>
        <v>0</v>
      </c>
      <c r="Y858" s="801"/>
      <c r="Z858" s="797"/>
      <c r="AA858" s="786"/>
      <c r="AC858" s="754" t="str">
        <f>IF(SUMIFS(Таблица14[Столбец2],Таблица14[Ф. И. О.],B858)-Z853=0,"",SUMIFS(Таблица14[Столбец2],Таблица14[Ф. И. О.],B858)-Z853)</f>
        <v/>
      </c>
    </row>
    <row r="859" spans="1:29" ht="18.75" customHeight="1">
      <c r="A859" s="786"/>
      <c r="B859" s="216"/>
      <c r="C859" s="789"/>
      <c r="D859" s="792"/>
      <c r="E859" s="389"/>
      <c r="F859" s="390"/>
      <c r="G859" s="400"/>
      <c r="H859" s="392"/>
      <c r="I859" s="432"/>
      <c r="J859" s="433"/>
      <c r="K859" s="434"/>
      <c r="L859" s="434"/>
      <c r="M859" s="434"/>
      <c r="N859" s="434"/>
      <c r="O859" s="434"/>
      <c r="P859" s="406"/>
      <c r="Q859" s="389">
        <f>IF($D$6&lt;=3,база!$L$4,
IF($D$6=4,база!$L$5,
IF($D$6=5,база!$L$6)))</f>
        <v>231.45480000000001</v>
      </c>
      <c r="R859" s="390">
        <v>1.3</v>
      </c>
      <c r="S859" s="400">
        <f>SUMIFS(Таблица14[часы],Таблица14[коэф],"1,3",Таблица14[р/р],"3/16",Таблица14[Ф. И. О.],B858)</f>
        <v>0</v>
      </c>
      <c r="T859" s="392">
        <f>SUMIFS(Таблица14[Столбец2],Таблица14[коэф],"1,3",Таблица14[р/р],"3/16",Таблица14[Ф. И. О.],B858)</f>
        <v>0</v>
      </c>
      <c r="U859" s="478">
        <f>IF(D853&lt;=3,база!$M$4,
IF(D853=4,база!$M$5,
IF(D853=5,база!$M$6)))</f>
        <v>247.41720000000001</v>
      </c>
      <c r="V859" s="390">
        <v>1.3</v>
      </c>
      <c r="W859" s="412">
        <f>SUMIFS(Таблица14[часы],Таблица14[коэф],"1,3",Таблица14[р/р],"3/24",Таблица14[Ф. И. О.],B858)</f>
        <v>0</v>
      </c>
      <c r="X859" s="545">
        <f>SUMIFS(Таблица14[Столбец2],Таблица14[коэф],"1,3",Таблица14[р/р],"3/24",Таблица14[Ф. И. О.],B858)</f>
        <v>0</v>
      </c>
      <c r="Y859" s="801"/>
      <c r="Z859" s="797"/>
      <c r="AA859" s="786"/>
      <c r="AC859" s="754" t="str">
        <f>IF(SUMIFS(Таблица14[часы],Таблица14[Ф. И. О.],B858)-Y853=0,"",SUMIFS(Таблица14[часы],Таблица14[Ф. И. О.],B858)-Y853)</f>
        <v/>
      </c>
    </row>
    <row r="860" spans="1:29" ht="18.75" customHeight="1">
      <c r="A860" s="786"/>
      <c r="B860" s="216"/>
      <c r="C860" s="789"/>
      <c r="D860" s="792"/>
      <c r="E860" s="389"/>
      <c r="F860" s="390"/>
      <c r="G860" s="400"/>
      <c r="H860" s="392"/>
      <c r="I860" s="432"/>
      <c r="J860" s="433"/>
      <c r="K860" s="434"/>
      <c r="L860" s="434"/>
      <c r="M860" s="434"/>
      <c r="N860" s="434"/>
      <c r="O860" s="434"/>
      <c r="P860" s="406"/>
      <c r="Q860" s="389">
        <f>база!$L$5</f>
        <v>231.45480000000001</v>
      </c>
      <c r="R860" s="390">
        <v>1.3</v>
      </c>
      <c r="S860" s="400">
        <f>SUMIFS(Таблица14[часы],Таблица14[коэф],"1,3",Таблица14[р/р],"4/16",Таблица14[Ф. И. О.],B858)</f>
        <v>0</v>
      </c>
      <c r="T860" s="392">
        <f>SUMIFS(Таблица14[Столбец2],Таблица14[коэф],"1,3",Таблица14[р/р],"4/16",Таблица14[Ф. И. О.],B858)</f>
        <v>0</v>
      </c>
      <c r="U860" s="478">
        <f>база!$M$5</f>
        <v>247.41720000000001</v>
      </c>
      <c r="V860" s="390">
        <v>1.3</v>
      </c>
      <c r="W860" s="412">
        <f>SUMIFS(Таблица14[часы],Таблица14[коэф],"1,3",Таблица14[р/р],"4/24",Таблица14[Ф. И. О.],B858)</f>
        <v>0</v>
      </c>
      <c r="X860" s="545">
        <f>SUMIFS(Таблица14[Столбец2],Таблица14[коэф],"1,3",Таблица14[р/р],"4/24",Таблица14[Ф. И. О.],B858)</f>
        <v>0</v>
      </c>
      <c r="Y860" s="801"/>
      <c r="Z860" s="797"/>
      <c r="AA860" s="786"/>
    </row>
    <row r="861" spans="1:29" ht="18.75" customHeight="1">
      <c r="A861" s="786"/>
      <c r="B861" s="216"/>
      <c r="C861" s="789"/>
      <c r="D861" s="792"/>
      <c r="E861" s="389"/>
      <c r="F861" s="390"/>
      <c r="G861" s="400"/>
      <c r="H861" s="392"/>
      <c r="I861" s="432"/>
      <c r="J861" s="433"/>
      <c r="K861" s="434"/>
      <c r="L861" s="434"/>
      <c r="M861" s="434"/>
      <c r="N861" s="434"/>
      <c r="O861" s="434"/>
      <c r="P861" s="406"/>
      <c r="Q861" s="389">
        <f>IF(D853&lt;=3,база!$L$4,
IF(D853=4,база!$L$5,
IF(D853=5,база!$L$6)))</f>
        <v>231.45480000000001</v>
      </c>
      <c r="R861" s="390">
        <v>1.4</v>
      </c>
      <c r="S861" s="400">
        <f>SUMIFS(Таблица14[часы],Таблица14[коэф],"1,4",Таблица14[р/р],"3/16",Таблица14[Ф. И. О.],B858)</f>
        <v>0</v>
      </c>
      <c r="T861" s="392">
        <f>SUMIFS(Таблица14[Столбец2],Таблица14[коэф],"1,4",Таблица14[р/р],"3/16",Таблица14[Ф. И. О.],B858)</f>
        <v>0</v>
      </c>
      <c r="U861" s="478">
        <f>IF(D853&lt;=3,база!$M$4,
IF(D853=4,база!$M$5,
IF(D853=5,база!$M$6)))</f>
        <v>247.41720000000001</v>
      </c>
      <c r="V861" s="390">
        <v>1.4</v>
      </c>
      <c r="W861" s="412">
        <f>SUMIFS(Таблица14[часы],Таблица14[коэф],"1,4",Таблица14[р/р],"3/24",Таблица14[Ф. И. О.],B858)</f>
        <v>0</v>
      </c>
      <c r="X861" s="545">
        <f>SUMIFS(Таблица14[Столбец2],Таблица14[коэф],"1,4",Таблица14[р/р],"3/24",Таблица14[Ф. И. О.],B858)</f>
        <v>0</v>
      </c>
      <c r="Y861" s="801"/>
      <c r="Z861" s="797"/>
      <c r="AA861" s="786"/>
    </row>
    <row r="862" spans="1:29" ht="18.75" customHeight="1">
      <c r="A862" s="786"/>
      <c r="B862" s="216"/>
      <c r="C862" s="789"/>
      <c r="D862" s="792"/>
      <c r="E862" s="389"/>
      <c r="F862" s="390"/>
      <c r="G862" s="400"/>
      <c r="H862" s="392"/>
      <c r="I862" s="432"/>
      <c r="J862" s="433"/>
      <c r="K862" s="434"/>
      <c r="L862" s="434"/>
      <c r="M862" s="434"/>
      <c r="N862" s="434"/>
      <c r="O862" s="434"/>
      <c r="P862" s="406"/>
      <c r="Q862" s="389">
        <f>база!$L$5</f>
        <v>231.45480000000001</v>
      </c>
      <c r="R862" s="390">
        <v>1.4</v>
      </c>
      <c r="S862" s="400">
        <f>SUMIFS(Таблица14[часы],Таблица14[коэф],"1,4",Таблица14[р/р],"4/16",Таблица14[Ф. И. О.],B858)</f>
        <v>0</v>
      </c>
      <c r="T862" s="392">
        <f>SUMIFS(Таблица14[Столбец2],Таблица14[коэф],"1,4",Таблица14[р/р],"4/16",Таблица14[Ф. И. О.],B858)</f>
        <v>0</v>
      </c>
      <c r="U862" s="478">
        <f>база!$M$5</f>
        <v>247.41720000000001</v>
      </c>
      <c r="V862" s="390">
        <v>1.4</v>
      </c>
      <c r="W862" s="412">
        <f>SUMIFS(Таблица14[часы],Таблица14[коэф],"1,4",Таблица14[р/р],"4/24",Таблица14[Ф. И. О.],B858)</f>
        <v>0</v>
      </c>
      <c r="X862" s="545">
        <f>SUMIFS(Таблица14[Столбец2],Таблица14[коэф],"1,4",Таблица14[р/р],"4/24",Таблица14[Ф. И. О.],B858)</f>
        <v>0</v>
      </c>
      <c r="Y862" s="801"/>
      <c r="Z862" s="797"/>
      <c r="AA862" s="786"/>
    </row>
    <row r="863" spans="1:29" ht="19.5" customHeight="1" thickBot="1">
      <c r="A863" s="787"/>
      <c r="B863" s="352"/>
      <c r="C863" s="790"/>
      <c r="D863" s="793"/>
      <c r="E863" s="445"/>
      <c r="F863" s="446"/>
      <c r="G863" s="653"/>
      <c r="H863" s="535"/>
      <c r="I863" s="654"/>
      <c r="J863" s="617"/>
      <c r="K863" s="655"/>
      <c r="L863" s="457"/>
      <c r="M863" s="654"/>
      <c r="N863" s="655"/>
      <c r="O863" s="655"/>
      <c r="P863" s="538"/>
      <c r="Q863" s="656">
        <f>база!$L$6</f>
        <v>261.04640000000001</v>
      </c>
      <c r="R863" s="446">
        <v>1.4</v>
      </c>
      <c r="S863" s="447">
        <f>SUMIFS(Таблица14[часы],Таблица14[коэф],"1,4",Таблица14[р/р],"5/16",Таблица14[Ф. И. О.],B858)</f>
        <v>0</v>
      </c>
      <c r="T863" s="535">
        <f>SUMIFS(Таблица14[Столбец2],Таблица14[коэф],"1,4",Таблица14[р/р],"5/16",Таблица14[Ф. И. О.],B858)</f>
        <v>0</v>
      </c>
      <c r="U863" s="536">
        <f>база!$M$6</f>
        <v>279.0496</v>
      </c>
      <c r="V863" s="464">
        <v>1.4</v>
      </c>
      <c r="W863" s="447">
        <f>SUMIFS(Таблица14[часы],Таблица14[коэф],"1,4",Таблица14[р/р],"5/24",Таблица14[Ф. И. О.],B858)</f>
        <v>0</v>
      </c>
      <c r="X863" s="535">
        <f>SUMIFS(Таблица14[Столбец2],Таблица14[коэф],"1,4",Таблица14[р/р],"5/24",Таблица14[Ф. И. О.],B858)</f>
        <v>0</v>
      </c>
      <c r="Y863" s="802"/>
      <c r="Z863" s="798"/>
      <c r="AA863" s="787"/>
    </row>
    <row r="864" spans="1:29" ht="18.75" customHeight="1">
      <c r="A864" s="786">
        <v>79</v>
      </c>
      <c r="B864" s="216"/>
      <c r="C864" s="788">
        <f>INDEX(база!$E$2:$E$150, MATCH(B869,база!$B$2:$B$150,0))</f>
        <v>17079</v>
      </c>
      <c r="D864" s="791">
        <f>INDEX(база!$D$2:$D$150, MATCH(B869,база!$B$2:$B$150,0))</f>
        <v>3</v>
      </c>
      <c r="E864" s="481">
        <f>IF(D864&lt;=3,база!$I$4,
IF(D864=4,база!$I$5,
IF(D864=5,база!$I$6)))</f>
        <v>188.7912</v>
      </c>
      <c r="F864" s="417">
        <v>1</v>
      </c>
      <c r="G864" s="418">
        <f>SUMIFS(Таблица14[часы],Таблица14[коэф],"1",Таблица14[р/р],"2/4",Таблица14[Ф. И. О.],B869)</f>
        <v>0</v>
      </c>
      <c r="H864" s="402">
        <f>SUMIFS(Таблица14[Столбец2],Таблица14[коэф],"1",Таблица14[р/р],"2/4",Таблица14[Ф. И. О.],B869)</f>
        <v>0</v>
      </c>
      <c r="I864" s="452">
        <f>IF(D864&lt;=3,база!$J$4,
IF(D864=4,база!$J$5,
IF(D864=5,база!$J$6)))</f>
        <v>196.05240000000001</v>
      </c>
      <c r="J864" s="475">
        <v>1</v>
      </c>
      <c r="K864" s="453">
        <f>SUMIFS(Таблица14[часы],Таблица14[коэф],"1",Таблица14[р/р],"2/8",Таблица14[Ф. И. О.],B869)</f>
        <v>0</v>
      </c>
      <c r="L864" s="453">
        <f>SUMIFS(Таблица14[Столбец2],Таблица14[коэф],"1",Таблица14[р/р],"2/8",Таблица14[Ф. И. О.],B869)</f>
        <v>0</v>
      </c>
      <c r="M864" s="453"/>
      <c r="N864" s="453">
        <v>1</v>
      </c>
      <c r="O864" s="453">
        <f>SUMIFS(Data_Tech!$AM$3:$AM$67,Data_Tech!$E$3:$E$67,"1",Data_Tech!$G$3:$G$67,"3/12",Data_Tech!$F$3:$F$67,B869)</f>
        <v>0</v>
      </c>
      <c r="P864" s="398">
        <f>ROUND(M864*N864*O864,2)</f>
        <v>0</v>
      </c>
      <c r="Q864" s="481">
        <f>IF(D864&lt;=3,база!$L$4,
IF(D864=4,база!$L$5,
IF(D864=5,база!$L$6)))</f>
        <v>210.57480000000001</v>
      </c>
      <c r="R864" s="417">
        <v>1</v>
      </c>
      <c r="S864" s="418">
        <f>SUMIFS(Таблица14[часы],Таблица14[коэф],"1",Таблица14[р/р],"3/16",Таблица14[Ф. И. О.],B869)</f>
        <v>0</v>
      </c>
      <c r="T864" s="402">
        <f>SUMIFS(Таблица14[Столбец2],Таблица14[коэф],"1",Таблица14[р/р],"3/16",Таблица14[Ф. И. О.],B869)</f>
        <v>0</v>
      </c>
      <c r="U864" s="483">
        <f>IF(D864&lt;=3,база!$M$4,
IF(D864=4,база!$M$5,
IF(D864=5,база!$M$6)))</f>
        <v>225.09719999999999</v>
      </c>
      <c r="V864" s="417">
        <v>1</v>
      </c>
      <c r="W864" s="455">
        <f>SUMIFS(Таблица14[часы],Таблица14[коэф],"1",Таблица14[р/р],"3/24",Таблица14[Ф. И. О.],B869)</f>
        <v>0</v>
      </c>
      <c r="X864" s="552">
        <f>SUMIFS(Таблица14[Столбец2],Таблица14[коэф],"1",Таблица14[р/р],"3/24",Таблица14[Ф. И. О.],B869)</f>
        <v>0</v>
      </c>
      <c r="Y864" s="801">
        <f t="shared" ref="Y864" si="294">SUM(G864:G874,K864:K874,O864:O874,S864:S874,W864:W874)</f>
        <v>0</v>
      </c>
      <c r="Z864" s="797">
        <f t="shared" ref="Z864" si="295">IFERROR(SUM(H864:H874,L864:L874,T864:T874,X864:X874),"")</f>
        <v>0</v>
      </c>
      <c r="AA864" s="786"/>
    </row>
    <row r="865" spans="1:29" ht="18.75" customHeight="1">
      <c r="A865" s="786"/>
      <c r="B865" s="216"/>
      <c r="C865" s="789"/>
      <c r="D865" s="792"/>
      <c r="E865" s="389">
        <f>IF(D864&lt;=3,база!$I$4,
IF(D864=4,база!$I$5,
IF(D864=5,база!$I$6)))</f>
        <v>188.7912</v>
      </c>
      <c r="F865" s="390">
        <v>1</v>
      </c>
      <c r="G865" s="400">
        <f>SUMIFS(Таблица14[часы],Таблица14[коэф],"1",Таблица14[р/р],"3/4",Таблица14[Ф. И. О.],B869)</f>
        <v>0</v>
      </c>
      <c r="H865" s="392">
        <f>SUMIFS(Таблица14[Столбец2],Таблица14[коэф],"1",Таблица14[р/р],"3/4",Таблица14[Ф. И. О.],B869)</f>
        <v>0</v>
      </c>
      <c r="I865" s="432">
        <f>IF(D864&lt;=3,база!$J$4,
IF(D864=4,база!$J$5,
IF(D864=5,база!$J$6)))</f>
        <v>196.05240000000001</v>
      </c>
      <c r="J865" s="433">
        <v>1</v>
      </c>
      <c r="K865" s="434">
        <f>SUMIFS(Таблица14[часы],Таблица14[коэф],"1",Таблица14[р/р],"3/8",Таблица14[Ф. И. О.],B869)</f>
        <v>0</v>
      </c>
      <c r="L865" s="434">
        <f>SUMIFS(Таблица14[Столбец2],Таблица14[коэф],"1",Таблица14[р/р],"3/8",Таблица14[Ф. И. О.],B869)</f>
        <v>0</v>
      </c>
      <c r="M865" s="434"/>
      <c r="N865" s="434">
        <v>1</v>
      </c>
      <c r="O865" s="434">
        <f>SUMIFS(Data_Tech!$AM$3:$AM$67,Data_Tech!$E$3:$E$67,"1",Data_Tech!$G$3:$G$67,"4/12",Data_Tech!$F$3:$F$67,B869)</f>
        <v>0</v>
      </c>
      <c r="P865" s="406">
        <f>ROUND(M865*O865,2)</f>
        <v>0</v>
      </c>
      <c r="Q865" s="389">
        <f>база!$L$5</f>
        <v>231.45480000000001</v>
      </c>
      <c r="R865" s="390">
        <v>1</v>
      </c>
      <c r="S865" s="400">
        <f>SUMIFS(Таблица14[часы],Таблица14[коэф],"1",Таблица14[р/р],"4/16",Таблица14[Ф. И. О.],B869)</f>
        <v>0</v>
      </c>
      <c r="T865" s="392">
        <f>SUMIFS(Таблица14[Столбец2],Таблица14[коэф],"1",Таблица14[р/р],"4/16",Таблица14[Ф. И. О.],B869)</f>
        <v>0</v>
      </c>
      <c r="U865" s="478">
        <f>база!$M$5</f>
        <v>247.41720000000001</v>
      </c>
      <c r="V865" s="390">
        <v>1</v>
      </c>
      <c r="W865" s="412">
        <f>SUMIFS(Таблица14[часы],Таблица14[коэф],"1",Таблица14[р/р],"4/24",Таблица14[Ф. И. О.],B869)</f>
        <v>0</v>
      </c>
      <c r="X865" s="545">
        <f>SUMIFS(Таблица14[Столбец2],Таблица14[коэф],"1",Таблица14[р/р],"4/24",Таблица14[Ф. И. О.],B869)</f>
        <v>0</v>
      </c>
      <c r="Y865" s="801"/>
      <c r="Z865" s="797"/>
      <c r="AA865" s="786"/>
    </row>
    <row r="866" spans="1:29" ht="18.75" customHeight="1">
      <c r="A866" s="786"/>
      <c r="B866" s="216"/>
      <c r="C866" s="789"/>
      <c r="D866" s="792"/>
      <c r="E866" s="389"/>
      <c r="F866" s="390"/>
      <c r="G866" s="400"/>
      <c r="H866" s="392"/>
      <c r="I866" s="432"/>
      <c r="J866" s="433"/>
      <c r="K866" s="434"/>
      <c r="L866" s="434"/>
      <c r="M866" s="434"/>
      <c r="N866" s="434"/>
      <c r="O866" s="434"/>
      <c r="P866" s="406"/>
      <c r="Q866" s="389">
        <f>база!$L$6</f>
        <v>261.04640000000001</v>
      </c>
      <c r="R866" s="390">
        <v>1</v>
      </c>
      <c r="S866" s="400">
        <f>SUMIFS(Таблица14[часы],Таблица14[коэф],"1",Таблица14[р/р],"5/16",Таблица14[Ф. И. О.],B869)</f>
        <v>0</v>
      </c>
      <c r="T866" s="392">
        <f>SUMIFS(Таблица14[Столбец2],Таблица14[коэф],"1",Таблица14[р/р],"5/16",Таблица14[Ф. И. О.],B869)</f>
        <v>0</v>
      </c>
      <c r="U866" s="478">
        <f>база!$M$6</f>
        <v>279.0496</v>
      </c>
      <c r="V866" s="390">
        <v>1</v>
      </c>
      <c r="W866" s="412">
        <f>SUMIFS(Таблица14[часы],Таблица14[коэф],"1",Таблица14[р/р],"5/24",Таблица14[Ф. И. О.],B869)</f>
        <v>0</v>
      </c>
      <c r="X866" s="545">
        <f>SUMIFS(Таблица14[Столбец2],Таблица14[коэф],"1",Таблица14[р/р],"5/24",Таблица14[Ф. И. О.],B869)</f>
        <v>0</v>
      </c>
      <c r="Y866" s="801"/>
      <c r="Z866" s="797"/>
      <c r="AA866" s="786"/>
    </row>
    <row r="867" spans="1:29" ht="18.75" customHeight="1">
      <c r="A867" s="786"/>
      <c r="B867" s="216"/>
      <c r="C867" s="789"/>
      <c r="D867" s="792"/>
      <c r="E867" s="389"/>
      <c r="F867" s="390"/>
      <c r="G867" s="400"/>
      <c r="H867" s="392"/>
      <c r="I867" s="432">
        <f>база!$J$5</f>
        <v>215.4924</v>
      </c>
      <c r="J867" s="433">
        <v>1.5</v>
      </c>
      <c r="K867" s="434">
        <f>SUMIFS(Таблица14[часы],Таблица14[коэф],"1,5",Таблица14[р/р],"4/8",Таблица14[Ф. И. О.],B869)</f>
        <v>0</v>
      </c>
      <c r="L867" s="434">
        <f>SUMIFS(Таблица14[Столбец2],Таблица14[коэф],"1,5",Таблица14[р/р],"4/8",Таблица14[Ф. И. О.],B869)</f>
        <v>0</v>
      </c>
      <c r="M867" s="434"/>
      <c r="N867" s="434"/>
      <c r="O867" s="434"/>
      <c r="P867" s="406"/>
      <c r="Q867" s="389">
        <f>IF(D864&lt;=3,база!$L$4,
IF(D864=4,база!$L$5,
IF(D864=5,база!$L$6)))</f>
        <v>210.57480000000001</v>
      </c>
      <c r="R867" s="390">
        <v>1.2</v>
      </c>
      <c r="S867" s="400">
        <f>SUMIFS(Таблица14[часы],Таблица14[коэф],"1,2",Таблица14[р/р],"3/16",Таблица14[Ф. И. О.],B869)</f>
        <v>0</v>
      </c>
      <c r="T867" s="392">
        <f>SUMIFS(Таблица14[Столбец2],Таблица14[коэф],"1,2",Таблица14[р/р],"3/16",Таблица14[Ф. И. О.],B869)</f>
        <v>0</v>
      </c>
      <c r="U867" s="478">
        <f>IF(D864&lt;=3,база!$M$4,
IF(D864=4,база!$M$5,
IF(D864=5,база!$M$6)))</f>
        <v>225.09719999999999</v>
      </c>
      <c r="V867" s="390">
        <v>1.2</v>
      </c>
      <c r="W867" s="412">
        <f>SUMIFS(Таблица14[часы],Таблица14[коэф],"1,2",Таблица14[р/р],"3/24",Таблица14[Ф. И. О.],B869)</f>
        <v>0</v>
      </c>
      <c r="X867" s="545">
        <f>SUMIFS(Таблица14[Столбец2],Таблица14[коэф],"1,2",Таблица14[р/р],"3/24",Таблица14[Ф. И. О.],B869)</f>
        <v>0</v>
      </c>
      <c r="Y867" s="801"/>
      <c r="Z867" s="797"/>
      <c r="AA867" s="786"/>
    </row>
    <row r="868" spans="1:29" ht="18.75" customHeight="1">
      <c r="A868" s="786"/>
      <c r="B868" s="216"/>
      <c r="C868" s="789"/>
      <c r="D868" s="792"/>
      <c r="E868" s="389"/>
      <c r="F868" s="390"/>
      <c r="G868" s="400"/>
      <c r="H868" s="392"/>
      <c r="I868" s="432">
        <f>база!$J$6</f>
        <v>243.04319999999998</v>
      </c>
      <c r="J868" s="433">
        <v>1.5</v>
      </c>
      <c r="K868" s="434">
        <f>SUMIFS(Таблица14[часы],Таблица14[коэф],"1,5",Таблица14[р/р],"5/8",Таблица14[Ф. И. О.],B869)</f>
        <v>0</v>
      </c>
      <c r="L868" s="434">
        <f>SUMIFS(Таблица14[Столбец2],Таблица14[коэф],"1,5",Таблица14[р/р],"5/8",Таблица14[Ф. И. О.],B869)</f>
        <v>0</v>
      </c>
      <c r="M868" s="434"/>
      <c r="N868" s="434"/>
      <c r="O868" s="434"/>
      <c r="P868" s="406"/>
      <c r="Q868" s="389">
        <f>база!$L$5</f>
        <v>231.45480000000001</v>
      </c>
      <c r="R868" s="390">
        <v>1.2</v>
      </c>
      <c r="S868" s="400">
        <f>SUMIFS(Таблица14[часы],Таблица14[коэф],"1,2",Таблица14[р/р],"4/16",Таблица14[Ф. И. О.],B869)</f>
        <v>0</v>
      </c>
      <c r="T868" s="392">
        <f>SUMIFS(Таблица14[Столбец2],Таблица14[коэф],"1,2",Таблица14[р/р],"4/16",Таблица14[Ф. И. О.],B869)</f>
        <v>0</v>
      </c>
      <c r="U868" s="478">
        <f>база!$M$5</f>
        <v>247.41720000000001</v>
      </c>
      <c r="V868" s="390">
        <v>1.2</v>
      </c>
      <c r="W868" s="412">
        <f>SUMIFS(Таблица14[часы],Таблица14[коэф],"1,2",Таблица14[р/р],"4/24",Таблица14[Ф. И. О.],B869)</f>
        <v>0</v>
      </c>
      <c r="X868" s="545">
        <f>SUMIFS(Таблица14[Столбец2],Таблица14[коэф],"1,2",Таблица14[р/р],"4/24",Таблица14[Ф. И. О.],B869)</f>
        <v>0</v>
      </c>
      <c r="Y868" s="801"/>
      <c r="Z868" s="797"/>
      <c r="AA868" s="786"/>
    </row>
    <row r="869" spans="1:29" ht="18.75" customHeight="1">
      <c r="A869" s="786"/>
      <c r="B869" s="216" t="str">
        <f>база!B80</f>
        <v>Шишина Наталья Александровна</v>
      </c>
      <c r="C869" s="789"/>
      <c r="D869" s="792"/>
      <c r="E869" s="389"/>
      <c r="F869" s="390"/>
      <c r="G869" s="400"/>
      <c r="H869" s="392"/>
      <c r="I869" s="432"/>
      <c r="J869" s="433"/>
      <c r="K869" s="434"/>
      <c r="L869" s="434"/>
      <c r="M869" s="434"/>
      <c r="N869" s="434"/>
      <c r="O869" s="434"/>
      <c r="P869" s="406"/>
      <c r="Q869" s="389">
        <f>база!$L$6</f>
        <v>261.04640000000001</v>
      </c>
      <c r="R869" s="390">
        <v>1.2</v>
      </c>
      <c r="S869" s="400">
        <f>SUMIFS(Таблица14[часы],Таблица14[коэф],"1,2",Таблица14[р/р],"5/16",Таблица14[Ф. И. О.],B869)</f>
        <v>0</v>
      </c>
      <c r="T869" s="392">
        <f>SUMIFS(Таблица14[Столбец2],Таблица14[коэф],"1,2",Таблица14[р/р],"5/16",Таблица14[Ф. И. О.],B869)</f>
        <v>0</v>
      </c>
      <c r="U869" s="478">
        <f>база!$M$6</f>
        <v>279.0496</v>
      </c>
      <c r="V869" s="390">
        <v>1.2</v>
      </c>
      <c r="W869" s="412">
        <f>SUMIFS(Таблица14[часы],Таблица14[коэф],"1,2",Таблица14[р/р],"5/24",Таблица14[Ф. И. О.],B869)</f>
        <v>0</v>
      </c>
      <c r="X869" s="545">
        <f>SUMIFS(Таблица14[Столбец2],Таблица14[коэф],"1,2",Таблица14[р/р],"5/24",Таблица14[Ф. И. О.],B869)</f>
        <v>0</v>
      </c>
      <c r="Y869" s="801"/>
      <c r="Z869" s="797"/>
      <c r="AA869" s="786"/>
      <c r="AC869" s="754" t="str">
        <f>IF(SUMIFS(Таблица14[Столбец2],Таблица14[Ф. И. О.],B869)-Z864=0,"",SUMIFS(Таблица14[Столбец2],Таблица14[Ф. И. О.],B869)-Z864)</f>
        <v/>
      </c>
    </row>
    <row r="870" spans="1:29" ht="18.75" customHeight="1">
      <c r="A870" s="786"/>
      <c r="B870" s="216"/>
      <c r="C870" s="789"/>
      <c r="D870" s="792"/>
      <c r="E870" s="389"/>
      <c r="F870" s="390"/>
      <c r="G870" s="400"/>
      <c r="H870" s="392"/>
      <c r="I870" s="432"/>
      <c r="J870" s="433"/>
      <c r="K870" s="434"/>
      <c r="L870" s="434"/>
      <c r="M870" s="434"/>
      <c r="N870" s="434"/>
      <c r="O870" s="434"/>
      <c r="P870" s="406"/>
      <c r="Q870" s="389">
        <f>IF($D$6&lt;=3,база!$L$4,
IF($D$6=4,база!$L$5,
IF($D$6=5,база!$L$6)))</f>
        <v>231.45480000000001</v>
      </c>
      <c r="R870" s="390">
        <v>1.3</v>
      </c>
      <c r="S870" s="400">
        <f>SUMIFS(Таблица14[часы],Таблица14[коэф],"1,3",Таблица14[р/р],"3/16",Таблица14[Ф. И. О.],B869)</f>
        <v>0</v>
      </c>
      <c r="T870" s="392">
        <f>SUMIFS(Таблица14[Столбец2],Таблица14[коэф],"1,3",Таблица14[р/р],"3/16",Таблица14[Ф. И. О.],B869)</f>
        <v>0</v>
      </c>
      <c r="U870" s="478">
        <f>IF(D864&lt;=3,база!$M$4,
IF(D864=4,база!$M$5,
IF(D864=5,база!$M$6)))</f>
        <v>225.09719999999999</v>
      </c>
      <c r="V870" s="390">
        <v>1.3</v>
      </c>
      <c r="W870" s="412">
        <f>SUMIFS(Таблица14[часы],Таблица14[коэф],"1,3",Таблица14[р/р],"3/24",Таблица14[Ф. И. О.],B869)</f>
        <v>0</v>
      </c>
      <c r="X870" s="545">
        <f>SUMIFS(Таблица14[Столбец2],Таблица14[коэф],"1,3",Таблица14[р/р],"3/24",Таблица14[Ф. И. О.],B869)</f>
        <v>0</v>
      </c>
      <c r="Y870" s="801"/>
      <c r="Z870" s="797"/>
      <c r="AA870" s="786"/>
      <c r="AC870" s="754" t="str">
        <f>IF(SUMIFS(Таблица14[часы],Таблица14[Ф. И. О.],B869)-Y864=0,"",SUMIFS(Таблица14[часы],Таблица14[Ф. И. О.],B869)-Y864)</f>
        <v/>
      </c>
    </row>
    <row r="871" spans="1:29" ht="18.75" customHeight="1">
      <c r="A871" s="786"/>
      <c r="B871" s="216"/>
      <c r="C871" s="789"/>
      <c r="D871" s="792"/>
      <c r="E871" s="389"/>
      <c r="F871" s="390"/>
      <c r="G871" s="400"/>
      <c r="H871" s="392"/>
      <c r="I871" s="432"/>
      <c r="J871" s="433"/>
      <c r="K871" s="434"/>
      <c r="L871" s="434"/>
      <c r="M871" s="434"/>
      <c r="N871" s="434"/>
      <c r="O871" s="434"/>
      <c r="P871" s="406"/>
      <c r="Q871" s="389">
        <f>база!$L$5</f>
        <v>231.45480000000001</v>
      </c>
      <c r="R871" s="390">
        <v>1.3</v>
      </c>
      <c r="S871" s="400">
        <f>SUMIFS(Таблица14[часы],Таблица14[коэф],"1,3",Таблица14[р/р],"4/16",Таблица14[Ф. И. О.],B869)</f>
        <v>0</v>
      </c>
      <c r="T871" s="392">
        <f>SUMIFS(Таблица14[Столбец2],Таблица14[коэф],"1,3",Таблица14[р/р],"4/16",Таблица14[Ф. И. О.],B869)</f>
        <v>0</v>
      </c>
      <c r="U871" s="478">
        <f>база!$M$5</f>
        <v>247.41720000000001</v>
      </c>
      <c r="V871" s="390">
        <v>1.3</v>
      </c>
      <c r="W871" s="412">
        <f>SUMIFS(Таблица14[часы],Таблица14[коэф],"1,3",Таблица14[р/р],"4/24",Таблица14[Ф. И. О.],B869)</f>
        <v>0</v>
      </c>
      <c r="X871" s="545">
        <f>SUMIFS(Таблица14[Столбец2],Таблица14[коэф],"1,3",Таблица14[р/р],"4/24",Таблица14[Ф. И. О.],B869)</f>
        <v>0</v>
      </c>
      <c r="Y871" s="801"/>
      <c r="Z871" s="797"/>
      <c r="AA871" s="786"/>
    </row>
    <row r="872" spans="1:29" ht="18.75" customHeight="1">
      <c r="A872" s="786"/>
      <c r="B872" s="216"/>
      <c r="C872" s="789"/>
      <c r="D872" s="792"/>
      <c r="E872" s="389"/>
      <c r="F872" s="390"/>
      <c r="G872" s="400"/>
      <c r="H872" s="392"/>
      <c r="I872" s="432"/>
      <c r="J872" s="433"/>
      <c r="K872" s="434"/>
      <c r="L872" s="434"/>
      <c r="M872" s="434"/>
      <c r="N872" s="434"/>
      <c r="O872" s="434"/>
      <c r="P872" s="406"/>
      <c r="Q872" s="389">
        <f>IF(D864&lt;=3,база!$L$4,
IF(D864=4,база!$L$5,
IF(D864=5,база!$L$6)))</f>
        <v>210.57480000000001</v>
      </c>
      <c r="R872" s="390">
        <v>1.4</v>
      </c>
      <c r="S872" s="400">
        <f>SUMIFS(Таблица14[часы],Таблица14[коэф],"1,4",Таблица14[р/р],"3/16",Таблица14[Ф. И. О.],B869)</f>
        <v>0</v>
      </c>
      <c r="T872" s="392">
        <f>SUMIFS(Таблица14[Столбец2],Таблица14[коэф],"1,4",Таблица14[р/р],"3/16",Таблица14[Ф. И. О.],B869)</f>
        <v>0</v>
      </c>
      <c r="U872" s="478">
        <f>IF(D864&lt;=3,база!$M$4,
IF(D864=4,база!$M$5,
IF(D864=5,база!$M$6)))</f>
        <v>225.09719999999999</v>
      </c>
      <c r="V872" s="390">
        <v>1.4</v>
      </c>
      <c r="W872" s="412">
        <f>SUMIFS(Таблица14[часы],Таблица14[коэф],"1,4",Таблица14[р/р],"3/24",Таблица14[Ф. И. О.],B869)</f>
        <v>0</v>
      </c>
      <c r="X872" s="545">
        <f>SUMIFS(Таблица14[Столбец2],Таблица14[коэф],"1,4",Таблица14[р/р],"3/24",Таблица14[Ф. И. О.],B869)</f>
        <v>0</v>
      </c>
      <c r="Y872" s="801"/>
      <c r="Z872" s="797"/>
      <c r="AA872" s="786"/>
    </row>
    <row r="873" spans="1:29" ht="18.75" customHeight="1">
      <c r="A873" s="786"/>
      <c r="B873" s="216"/>
      <c r="C873" s="789"/>
      <c r="D873" s="792"/>
      <c r="E873" s="389"/>
      <c r="F873" s="390"/>
      <c r="G873" s="400"/>
      <c r="H873" s="392"/>
      <c r="I873" s="432"/>
      <c r="J873" s="433"/>
      <c r="K873" s="434"/>
      <c r="L873" s="434"/>
      <c r="M873" s="434"/>
      <c r="N873" s="434"/>
      <c r="O873" s="434"/>
      <c r="P873" s="406"/>
      <c r="Q873" s="389">
        <f>база!$L$5</f>
        <v>231.45480000000001</v>
      </c>
      <c r="R873" s="390">
        <v>1.4</v>
      </c>
      <c r="S873" s="400">
        <f>SUMIFS(Таблица14[часы],Таблица14[коэф],"1,4",Таблица14[р/р],"4/16",Таблица14[Ф. И. О.],B869)</f>
        <v>0</v>
      </c>
      <c r="T873" s="392">
        <f>SUMIFS(Таблица14[Столбец2],Таблица14[коэф],"1,4",Таблица14[р/р],"4/16",Таблица14[Ф. И. О.],B869)</f>
        <v>0</v>
      </c>
      <c r="U873" s="478">
        <f>база!$M$5</f>
        <v>247.41720000000001</v>
      </c>
      <c r="V873" s="390">
        <v>1.4</v>
      </c>
      <c r="W873" s="412">
        <f>SUMIFS(Таблица14[часы],Таблица14[коэф],"1,4",Таблица14[р/р],"4/24",Таблица14[Ф. И. О.],B869)</f>
        <v>0</v>
      </c>
      <c r="X873" s="545">
        <f>SUMIFS(Таблица14[Столбец2],Таблица14[коэф],"1,4",Таблица14[р/р],"4/24",Таблица14[Ф. И. О.],B869)</f>
        <v>0</v>
      </c>
      <c r="Y873" s="801"/>
      <c r="Z873" s="797"/>
      <c r="AA873" s="786"/>
    </row>
    <row r="874" spans="1:29" ht="19.5" customHeight="1" thickBot="1">
      <c r="A874" s="787"/>
      <c r="B874" s="352"/>
      <c r="C874" s="790"/>
      <c r="D874" s="793"/>
      <c r="E874" s="473"/>
      <c r="F874" s="464"/>
      <c r="G874" s="657"/>
      <c r="H874" s="468"/>
      <c r="I874" s="651"/>
      <c r="J874" s="456"/>
      <c r="K874" s="652"/>
      <c r="L874" s="457"/>
      <c r="M874" s="651"/>
      <c r="N874" s="652"/>
      <c r="O874" s="652"/>
      <c r="P874" s="476"/>
      <c r="Q874" s="658">
        <f>база!$L$6</f>
        <v>261.04640000000001</v>
      </c>
      <c r="R874" s="464">
        <v>1.4</v>
      </c>
      <c r="S874" s="465">
        <f>SUMIFS(Таблица14[часы],Таблица14[коэф],"1,4",Таблица14[р/р],"5/16",Таблица14[Ф. И. О.],B869)</f>
        <v>0</v>
      </c>
      <c r="T874" s="468">
        <f>SUMIFS(Таблица14[Столбец2],Таблица14[коэф],"1,4",Таблица14[р/р],"5/16",Таблица14[Ф. И. О.],B869)</f>
        <v>0</v>
      </c>
      <c r="U874" s="463">
        <f>база!$M$6</f>
        <v>279.0496</v>
      </c>
      <c r="V874" s="464">
        <v>1.4</v>
      </c>
      <c r="W874" s="465">
        <f>SUMIFS(Таблица14[часы],Таблица14[коэф],"1,4",Таблица14[р/р],"5/24",Таблица14[Ф. И. О.],B869)</f>
        <v>0</v>
      </c>
      <c r="X874" s="468">
        <f>SUMIFS(Таблица14[Столбец2],Таблица14[коэф],"1,4",Таблица14[р/р],"5/24",Таблица14[Ф. И. О.],B869)</f>
        <v>0</v>
      </c>
      <c r="Y874" s="802"/>
      <c r="Z874" s="798"/>
      <c r="AA874" s="787"/>
    </row>
    <row r="875" spans="1:29" ht="18.75" customHeight="1">
      <c r="A875" s="786">
        <v>80</v>
      </c>
      <c r="B875" s="216"/>
      <c r="C875" s="788">
        <f>INDEX(база!$E$2:$E$150, MATCH(B880,база!$B$2:$B$150,0))</f>
        <v>17344</v>
      </c>
      <c r="D875" s="791">
        <f>INDEX(база!$D$2:$D$150, MATCH(B880,база!$B$2:$B$150,0))</f>
        <v>3</v>
      </c>
      <c r="E875" s="481">
        <f>IF(D875&lt;=3,база!$I$4,
IF(D875=4,база!$I$5,
IF(D875=5,база!$I$6)))</f>
        <v>188.7912</v>
      </c>
      <c r="F875" s="417">
        <v>1</v>
      </c>
      <c r="G875" s="418">
        <f>SUMIFS(Таблица14[часы],Таблица14[коэф],"1",Таблица14[р/р],"2/4",Таблица14[Ф. И. О.],B880)</f>
        <v>0</v>
      </c>
      <c r="H875" s="402">
        <f>SUMIFS(Таблица14[Столбец2],Таблица14[коэф],"1",Таблица14[р/р],"2/4",Таблица14[Ф. И. О.],B880)</f>
        <v>0</v>
      </c>
      <c r="I875" s="452">
        <f>IF(D875&lt;=3,база!$J$4,
IF(D875=4,база!$J$5,
IF(D875=5,база!$J$6)))</f>
        <v>196.05240000000001</v>
      </c>
      <c r="J875" s="475">
        <v>1</v>
      </c>
      <c r="K875" s="453">
        <f>SUMIFS(Таблица14[часы],Таблица14[коэф],"1",Таблица14[р/р],"2/8",Таблица14[Ф. И. О.],B880)</f>
        <v>0</v>
      </c>
      <c r="L875" s="453">
        <f>SUMIFS(Таблица14[Столбец2],Таблица14[коэф],"1",Таблица14[р/р],"2/8",Таблица14[Ф. И. О.],B880)</f>
        <v>0</v>
      </c>
      <c r="M875" s="453"/>
      <c r="N875" s="453">
        <v>1</v>
      </c>
      <c r="O875" s="453">
        <f>SUMIFS(Data_Tech!$AM$3:$AM$67,Data_Tech!$E$3:$E$67,"1",Data_Tech!$G$3:$G$67,"3/12",Data_Tech!$F$3:$F$67,B880)</f>
        <v>0</v>
      </c>
      <c r="P875" s="398">
        <f>ROUND(M875*N875*O875,2)</f>
        <v>0</v>
      </c>
      <c r="Q875" s="481">
        <f>IF(D875&lt;=3,база!$L$4,
IF(D875=4,база!$L$5,
IF(D875=5,база!$L$6)))</f>
        <v>210.57480000000001</v>
      </c>
      <c r="R875" s="417">
        <v>1</v>
      </c>
      <c r="S875" s="418">
        <f>SUMIFS(Таблица14[часы],Таблица14[коэф],"1",Таблица14[р/р],"3/16",Таблица14[Ф. И. О.],B880)</f>
        <v>0</v>
      </c>
      <c r="T875" s="402">
        <f>SUMIFS(Таблица14[Столбец2],Таблица14[коэф],"1",Таблица14[р/р],"3/16",Таблица14[Ф. И. О.],B880)</f>
        <v>0</v>
      </c>
      <c r="U875" s="483">
        <f>IF(D875&lt;=3,база!$M$4,
IF(D875=4,база!$M$5,
IF(D875=5,база!$M$6)))</f>
        <v>225.09719999999999</v>
      </c>
      <c r="V875" s="417">
        <v>1</v>
      </c>
      <c r="W875" s="455">
        <f>SUMIFS(Таблица14[часы],Таблица14[коэф],"1",Таблица14[р/р],"3/24",Таблица14[Ф. И. О.],B880)</f>
        <v>0</v>
      </c>
      <c r="X875" s="552">
        <f>SUMIFS(Таблица14[Столбец2],Таблица14[коэф],"1",Таблица14[р/р],"3/24",Таблица14[Ф. И. О.],B880)</f>
        <v>0</v>
      </c>
      <c r="Y875" s="801">
        <f t="shared" ref="Y875" si="296">SUM(G875:G885,K875:K885,O875:O885,S875:S885,W875:W885)</f>
        <v>0</v>
      </c>
      <c r="Z875" s="797">
        <f t="shared" ref="Z875" si="297">IFERROR(SUM(H875:H885,L875:L885,T875:T885,X875:X885),"")</f>
        <v>0</v>
      </c>
      <c r="AA875" s="786"/>
    </row>
    <row r="876" spans="1:29" ht="18.75" customHeight="1">
      <c r="A876" s="786"/>
      <c r="B876" s="216"/>
      <c r="C876" s="789"/>
      <c r="D876" s="792"/>
      <c r="E876" s="389">
        <f>IF(D875&lt;=3,база!$I$4,
IF(D875=4,база!$I$5,
IF(D875=5,база!$I$6)))</f>
        <v>188.7912</v>
      </c>
      <c r="F876" s="390">
        <v>1</v>
      </c>
      <c r="G876" s="400">
        <f>SUMIFS(Таблица14[часы],Таблица14[коэф],"1",Таблица14[р/р],"3/4",Таблица14[Ф. И. О.],B880)</f>
        <v>0</v>
      </c>
      <c r="H876" s="392">
        <f>SUMIFS(Таблица14[Столбец2],Таблица14[коэф],"1",Таблица14[р/р],"3/4",Таблица14[Ф. И. О.],B880)</f>
        <v>0</v>
      </c>
      <c r="I876" s="432">
        <f>IF(D875&lt;=3,база!$J$4,
IF(D875=4,база!$J$5,
IF(D875=5,база!$J$6)))</f>
        <v>196.05240000000001</v>
      </c>
      <c r="J876" s="433">
        <v>1</v>
      </c>
      <c r="K876" s="434">
        <f>SUMIFS(Таблица14[часы],Таблица14[коэф],"1",Таблица14[р/р],"3/8",Таблица14[Ф. И. О.],B880)</f>
        <v>0</v>
      </c>
      <c r="L876" s="434">
        <f>SUMIFS(Таблица14[Столбец2],Таблица14[коэф],"1",Таблица14[р/р],"3/8",Таблица14[Ф. И. О.],B880)</f>
        <v>0</v>
      </c>
      <c r="M876" s="434"/>
      <c r="N876" s="434">
        <v>1</v>
      </c>
      <c r="O876" s="434">
        <f>SUMIFS(Data_Tech!$AM$3:$AM$67,Data_Tech!$E$3:$E$67,"1",Data_Tech!$G$3:$G$67,"4/12",Data_Tech!$F$3:$F$67,B880)</f>
        <v>0</v>
      </c>
      <c r="P876" s="406">
        <f>ROUND(M876*O876,2)</f>
        <v>0</v>
      </c>
      <c r="Q876" s="389">
        <f>база!$L$5</f>
        <v>231.45480000000001</v>
      </c>
      <c r="R876" s="390">
        <v>1</v>
      </c>
      <c r="S876" s="400">
        <f>SUMIFS(Таблица14[часы],Таблица14[коэф],"1",Таблица14[р/р],"4/16",Таблица14[Ф. И. О.],B880)</f>
        <v>0</v>
      </c>
      <c r="T876" s="392">
        <f>SUMIFS(Таблица14[Столбец2],Таблица14[коэф],"1",Таблица14[р/р],"4/16",Таблица14[Ф. И. О.],B880)</f>
        <v>0</v>
      </c>
      <c r="U876" s="478">
        <f>база!$M$5</f>
        <v>247.41720000000001</v>
      </c>
      <c r="V876" s="390">
        <v>1</v>
      </c>
      <c r="W876" s="412">
        <f>SUMIFS(Таблица14[часы],Таблица14[коэф],"1",Таблица14[р/р],"4/24",Таблица14[Ф. И. О.],B880)</f>
        <v>0</v>
      </c>
      <c r="X876" s="545">
        <f>SUMIFS(Таблица14[Столбец2],Таблица14[коэф],"1",Таблица14[р/р],"4/24",Таблица14[Ф. И. О.],B880)</f>
        <v>0</v>
      </c>
      <c r="Y876" s="801"/>
      <c r="Z876" s="797"/>
      <c r="AA876" s="786"/>
    </row>
    <row r="877" spans="1:29" ht="18.75" customHeight="1">
      <c r="A877" s="786"/>
      <c r="B877" s="216"/>
      <c r="C877" s="789"/>
      <c r="D877" s="792"/>
      <c r="E877" s="389"/>
      <c r="F877" s="390"/>
      <c r="G877" s="400"/>
      <c r="H877" s="392"/>
      <c r="I877" s="432"/>
      <c r="J877" s="433"/>
      <c r="K877" s="434"/>
      <c r="L877" s="434"/>
      <c r="M877" s="434"/>
      <c r="N877" s="434"/>
      <c r="O877" s="434"/>
      <c r="P877" s="406"/>
      <c r="Q877" s="389">
        <f>база!$L$6</f>
        <v>261.04640000000001</v>
      </c>
      <c r="R877" s="390">
        <v>1</v>
      </c>
      <c r="S877" s="400">
        <f>SUMIFS(Таблица14[часы],Таблица14[коэф],"1",Таблица14[р/р],"5/16",Таблица14[Ф. И. О.],B880)</f>
        <v>0</v>
      </c>
      <c r="T877" s="392">
        <f>SUMIFS(Таблица14[Столбец2],Таблица14[коэф],"1",Таблица14[р/р],"5/16",Таблица14[Ф. И. О.],B880)</f>
        <v>0</v>
      </c>
      <c r="U877" s="478">
        <f>база!$M$6</f>
        <v>279.0496</v>
      </c>
      <c r="V877" s="390">
        <v>1</v>
      </c>
      <c r="W877" s="412">
        <f>SUMIFS(Таблица14[часы],Таблица14[коэф],"1",Таблица14[р/р],"5/24",Таблица14[Ф. И. О.],B880)</f>
        <v>0</v>
      </c>
      <c r="X877" s="545">
        <f>SUMIFS(Таблица14[Столбец2],Таблица14[коэф],"1",Таблица14[р/р],"5/24",Таблица14[Ф. И. О.],B880)</f>
        <v>0</v>
      </c>
      <c r="Y877" s="801"/>
      <c r="Z877" s="797"/>
      <c r="AA877" s="786"/>
    </row>
    <row r="878" spans="1:29" ht="18.75" customHeight="1">
      <c r="A878" s="786"/>
      <c r="B878" s="216"/>
      <c r="C878" s="789"/>
      <c r="D878" s="792"/>
      <c r="E878" s="389"/>
      <c r="F878" s="390"/>
      <c r="G878" s="400"/>
      <c r="H878" s="392"/>
      <c r="I878" s="432">
        <f>база!$J$5</f>
        <v>215.4924</v>
      </c>
      <c r="J878" s="433">
        <v>1.5</v>
      </c>
      <c r="K878" s="434">
        <f>SUMIFS(Таблица14[часы],Таблица14[коэф],"1,5",Таблица14[р/р],"4/8",Таблица14[Ф. И. О.],B880)</f>
        <v>0</v>
      </c>
      <c r="L878" s="434">
        <f>SUMIFS(Таблица14[Столбец2],Таблица14[коэф],"1,5",Таблица14[р/р],"4/8",Таблица14[Ф. И. О.],B880)</f>
        <v>0</v>
      </c>
      <c r="M878" s="434"/>
      <c r="N878" s="434"/>
      <c r="O878" s="434"/>
      <c r="P878" s="406"/>
      <c r="Q878" s="389">
        <f>IF(D875&lt;=3,база!$L$4,
IF(D875=4,база!$L$5,
IF(D875=5,база!$L$6)))</f>
        <v>210.57480000000001</v>
      </c>
      <c r="R878" s="390">
        <v>1.2</v>
      </c>
      <c r="S878" s="400">
        <f>SUMIFS(Таблица14[часы],Таблица14[коэф],"1,2",Таблица14[р/р],"3/16",Таблица14[Ф. И. О.],B880)</f>
        <v>0</v>
      </c>
      <c r="T878" s="392">
        <f>SUMIFS(Таблица14[Столбец2],Таблица14[коэф],"1,2",Таблица14[р/р],"3/16",Таблица14[Ф. И. О.],B880)</f>
        <v>0</v>
      </c>
      <c r="U878" s="478">
        <f>IF(D875&lt;=3,база!$M$4,
IF(D875=4,база!$M$5,
IF(D875=5,база!$M$6)))</f>
        <v>225.09719999999999</v>
      </c>
      <c r="V878" s="390">
        <v>1.2</v>
      </c>
      <c r="W878" s="412">
        <f>SUMIFS(Таблица14[часы],Таблица14[коэф],"1,2",Таблица14[р/р],"3/24",Таблица14[Ф. И. О.],B880)</f>
        <v>0</v>
      </c>
      <c r="X878" s="545">
        <f>SUMIFS(Таблица14[Столбец2],Таблица14[коэф],"1,2",Таблица14[р/р],"3/24",Таблица14[Ф. И. О.],B880)</f>
        <v>0</v>
      </c>
      <c r="Y878" s="801"/>
      <c r="Z878" s="797"/>
      <c r="AA878" s="786"/>
    </row>
    <row r="879" spans="1:29" ht="18.75" customHeight="1">
      <c r="A879" s="786"/>
      <c r="B879" s="216"/>
      <c r="C879" s="789"/>
      <c r="D879" s="792"/>
      <c r="E879" s="389"/>
      <c r="F879" s="390"/>
      <c r="G879" s="400"/>
      <c r="H879" s="392"/>
      <c r="I879" s="432">
        <f>база!$J$6</f>
        <v>243.04319999999998</v>
      </c>
      <c r="J879" s="433">
        <v>1.5</v>
      </c>
      <c r="K879" s="434">
        <f>SUMIFS(Таблица14[часы],Таблица14[коэф],"1,5",Таблица14[р/р],"5/8",Таблица14[Ф. И. О.],B880)</f>
        <v>0</v>
      </c>
      <c r="L879" s="434">
        <f>SUMIFS(Таблица14[Столбец2],Таблица14[коэф],"1,5",Таблица14[р/р],"5/8",Таблица14[Ф. И. О.],B880)</f>
        <v>0</v>
      </c>
      <c r="M879" s="434"/>
      <c r="N879" s="434"/>
      <c r="O879" s="434"/>
      <c r="P879" s="406"/>
      <c r="Q879" s="389">
        <f>база!$L$5</f>
        <v>231.45480000000001</v>
      </c>
      <c r="R879" s="390">
        <v>1.2</v>
      </c>
      <c r="S879" s="400">
        <f>SUMIFS(Таблица14[часы],Таблица14[коэф],"1,2",Таблица14[р/р],"4/16",Таблица14[Ф. И. О.],B880)</f>
        <v>0</v>
      </c>
      <c r="T879" s="392">
        <f>SUMIFS(Таблица14[Столбец2],Таблица14[коэф],"1,2",Таблица14[р/р],"4/16",Таблица14[Ф. И. О.],B880)</f>
        <v>0</v>
      </c>
      <c r="U879" s="478">
        <f>база!$M$5</f>
        <v>247.41720000000001</v>
      </c>
      <c r="V879" s="390">
        <v>1.2</v>
      </c>
      <c r="W879" s="412">
        <f>SUMIFS(Таблица14[часы],Таблица14[коэф],"1,2",Таблица14[р/р],"4/24",Таблица14[Ф. И. О.],B880)</f>
        <v>0</v>
      </c>
      <c r="X879" s="545">
        <f>SUMIFS(Таблица14[Столбец2],Таблица14[коэф],"1,2",Таблица14[р/р],"4/24",Таблица14[Ф. И. О.],B880)</f>
        <v>0</v>
      </c>
      <c r="Y879" s="801"/>
      <c r="Z879" s="797"/>
      <c r="AA879" s="786"/>
    </row>
    <row r="880" spans="1:29" ht="18.75" customHeight="1">
      <c r="A880" s="786"/>
      <c r="B880" s="216" t="str">
        <f>база!B81</f>
        <v>Яблокова Дарья Александровна</v>
      </c>
      <c r="C880" s="789"/>
      <c r="D880" s="792"/>
      <c r="E880" s="389"/>
      <c r="F880" s="390"/>
      <c r="G880" s="400"/>
      <c r="H880" s="392"/>
      <c r="I880" s="432"/>
      <c r="J880" s="433"/>
      <c r="K880" s="434"/>
      <c r="L880" s="434"/>
      <c r="M880" s="434"/>
      <c r="N880" s="434"/>
      <c r="O880" s="434"/>
      <c r="P880" s="406"/>
      <c r="Q880" s="389">
        <f>база!$L$6</f>
        <v>261.04640000000001</v>
      </c>
      <c r="R880" s="390">
        <v>1.2</v>
      </c>
      <c r="S880" s="400">
        <f>SUMIFS(Таблица14[часы],Таблица14[коэф],"1,2",Таблица14[р/р],"5/16",Таблица14[Ф. И. О.],B880)</f>
        <v>0</v>
      </c>
      <c r="T880" s="392">
        <f>SUMIFS(Таблица14[Столбец2],Таблица14[коэф],"1,2",Таблица14[р/р],"5/16",Таблица14[Ф. И. О.],B880)</f>
        <v>0</v>
      </c>
      <c r="U880" s="478">
        <f>база!$M$6</f>
        <v>279.0496</v>
      </c>
      <c r="V880" s="390">
        <v>1.2</v>
      </c>
      <c r="W880" s="412">
        <f>SUMIFS(Таблица14[часы],Таблица14[коэф],"1,2",Таблица14[р/р],"5/24",Таблица14[Ф. И. О.],B880)</f>
        <v>0</v>
      </c>
      <c r="X880" s="545">
        <f>SUMIFS(Таблица14[Столбец2],Таблица14[коэф],"1,2",Таблица14[р/р],"5/24",Таблица14[Ф. И. О.],B880)</f>
        <v>0</v>
      </c>
      <c r="Y880" s="801"/>
      <c r="Z880" s="797"/>
      <c r="AA880" s="786"/>
      <c r="AC880" s="754" t="str">
        <f>IF(SUMIFS(Таблица14[Столбец2],Таблица14[Ф. И. О.],B880)-Z875=0,"",SUMIFS(Таблица14[Столбец2],Таблица14[Ф. И. О.],B880)-Z875)</f>
        <v/>
      </c>
    </row>
    <row r="881" spans="1:29" ht="18.75" customHeight="1">
      <c r="A881" s="786"/>
      <c r="B881" s="216"/>
      <c r="C881" s="789"/>
      <c r="D881" s="792"/>
      <c r="E881" s="389"/>
      <c r="F881" s="390"/>
      <c r="G881" s="400"/>
      <c r="H881" s="392"/>
      <c r="I881" s="432"/>
      <c r="J881" s="433"/>
      <c r="K881" s="434"/>
      <c r="L881" s="434"/>
      <c r="M881" s="434"/>
      <c r="N881" s="434"/>
      <c r="O881" s="434"/>
      <c r="P881" s="406"/>
      <c r="Q881" s="389">
        <f>IF($D$6&lt;=3,база!$L$4,
IF($D$6=4,база!$L$5,
IF($D$6=5,база!$L$6)))</f>
        <v>231.45480000000001</v>
      </c>
      <c r="R881" s="390">
        <v>1.3</v>
      </c>
      <c r="S881" s="400">
        <f>SUMIFS(Таблица14[часы],Таблица14[коэф],"1,3",Таблица14[р/р],"3/16",Таблица14[Ф. И. О.],B880)</f>
        <v>0</v>
      </c>
      <c r="T881" s="392">
        <f>SUMIFS(Таблица14[Столбец2],Таблица14[коэф],"1,3",Таблица14[р/р],"3/16",Таблица14[Ф. И. О.],B880)</f>
        <v>0</v>
      </c>
      <c r="U881" s="478">
        <f>IF(D875&lt;=3,база!$M$4,
IF(D875=4,база!$M$5,
IF(D875=5,база!$M$6)))</f>
        <v>225.09719999999999</v>
      </c>
      <c r="V881" s="390">
        <v>1.3</v>
      </c>
      <c r="W881" s="412">
        <f>SUMIFS(Таблица14[часы],Таблица14[коэф],"1,3",Таблица14[р/р],"3/24",Таблица14[Ф. И. О.],B880)</f>
        <v>0</v>
      </c>
      <c r="X881" s="545">
        <f>SUMIFS(Таблица14[Столбец2],Таблица14[коэф],"1,3",Таблица14[р/р],"3/24",Таблица14[Ф. И. О.],B880)</f>
        <v>0</v>
      </c>
      <c r="Y881" s="801"/>
      <c r="Z881" s="797"/>
      <c r="AA881" s="786"/>
      <c r="AC881" s="754" t="str">
        <f>IF(SUMIFS(Таблица14[часы],Таблица14[Ф. И. О.],B880)-Y875=0,"",SUMIFS(Таблица14[часы],Таблица14[Ф. И. О.],B880)-Y875)</f>
        <v/>
      </c>
    </row>
    <row r="882" spans="1:29" ht="18.75" customHeight="1">
      <c r="A882" s="786"/>
      <c r="B882" s="216"/>
      <c r="C882" s="789"/>
      <c r="D882" s="792"/>
      <c r="E882" s="389"/>
      <c r="F882" s="390"/>
      <c r="G882" s="400"/>
      <c r="H882" s="392"/>
      <c r="I882" s="432"/>
      <c r="J882" s="433"/>
      <c r="K882" s="434"/>
      <c r="L882" s="434"/>
      <c r="M882" s="434"/>
      <c r="N882" s="434"/>
      <c r="O882" s="434"/>
      <c r="P882" s="406"/>
      <c r="Q882" s="389">
        <f>база!$L$5</f>
        <v>231.45480000000001</v>
      </c>
      <c r="R882" s="390">
        <v>1.3</v>
      </c>
      <c r="S882" s="400">
        <f>SUMIFS(Таблица14[часы],Таблица14[коэф],"1,3",Таблица14[р/р],"4/16",Таблица14[Ф. И. О.],B880)</f>
        <v>0</v>
      </c>
      <c r="T882" s="392">
        <f>SUMIFS(Таблица14[Столбец2],Таблица14[коэф],"1,3",Таблица14[р/р],"4/16",Таблица14[Ф. И. О.],B880)</f>
        <v>0</v>
      </c>
      <c r="U882" s="478">
        <f>база!$M$5</f>
        <v>247.41720000000001</v>
      </c>
      <c r="V882" s="390">
        <v>1.3</v>
      </c>
      <c r="W882" s="412">
        <f>SUMIFS(Таблица14[часы],Таблица14[коэф],"1,3",Таблица14[р/р],"4/24",Таблица14[Ф. И. О.],B880)</f>
        <v>0</v>
      </c>
      <c r="X882" s="545">
        <f>SUMIFS(Таблица14[Столбец2],Таблица14[коэф],"1,3",Таблица14[р/р],"4/24",Таблица14[Ф. И. О.],B880)</f>
        <v>0</v>
      </c>
      <c r="Y882" s="801"/>
      <c r="Z882" s="797"/>
      <c r="AA882" s="786"/>
    </row>
    <row r="883" spans="1:29" ht="18.75" customHeight="1">
      <c r="A883" s="786"/>
      <c r="B883" s="216"/>
      <c r="C883" s="789"/>
      <c r="D883" s="792"/>
      <c r="E883" s="389"/>
      <c r="F883" s="390"/>
      <c r="G883" s="400"/>
      <c r="H883" s="392"/>
      <c r="I883" s="432"/>
      <c r="J883" s="433"/>
      <c r="K883" s="434"/>
      <c r="L883" s="434"/>
      <c r="M883" s="434"/>
      <c r="N883" s="434"/>
      <c r="O883" s="434"/>
      <c r="P883" s="406"/>
      <c r="Q883" s="389">
        <f>IF(D875&lt;=3,база!$L$4,
IF(D875=4,база!$L$5,
IF(D875=5,база!$L$6)))</f>
        <v>210.57480000000001</v>
      </c>
      <c r="R883" s="390">
        <v>1.4</v>
      </c>
      <c r="S883" s="400">
        <f>SUMIFS(Таблица14[часы],Таблица14[коэф],"1,4",Таблица14[р/р],"3/16",Таблица14[Ф. И. О.],B880)</f>
        <v>0</v>
      </c>
      <c r="T883" s="392">
        <f>SUMIFS(Таблица14[Столбец2],Таблица14[коэф],"1,4",Таблица14[р/р],"3/16",Таблица14[Ф. И. О.],B880)</f>
        <v>0</v>
      </c>
      <c r="U883" s="478">
        <f>IF(D875&lt;=3,база!$M$4,
IF(D875=4,база!$M$5,
IF(D875=5,база!$M$6)))</f>
        <v>225.09719999999999</v>
      </c>
      <c r="V883" s="390">
        <v>1.4</v>
      </c>
      <c r="W883" s="412">
        <f>SUMIFS(Таблица14[часы],Таблица14[коэф],"1,4",Таблица14[р/р],"3/24",Таблица14[Ф. И. О.],B880)</f>
        <v>0</v>
      </c>
      <c r="X883" s="545">
        <f>SUMIFS(Таблица14[Столбец2],Таблица14[коэф],"1,4",Таблица14[р/р],"3/24",Таблица14[Ф. И. О.],B880)</f>
        <v>0</v>
      </c>
      <c r="Y883" s="801"/>
      <c r="Z883" s="797"/>
      <c r="AA883" s="786"/>
    </row>
    <row r="884" spans="1:29" ht="18.75" customHeight="1">
      <c r="A884" s="786"/>
      <c r="B884" s="216"/>
      <c r="C884" s="789"/>
      <c r="D884" s="792"/>
      <c r="E884" s="389"/>
      <c r="F884" s="390"/>
      <c r="G884" s="400"/>
      <c r="H884" s="392"/>
      <c r="I884" s="432"/>
      <c r="J884" s="433"/>
      <c r="K884" s="434"/>
      <c r="L884" s="434"/>
      <c r="M884" s="434"/>
      <c r="N884" s="434"/>
      <c r="O884" s="434"/>
      <c r="P884" s="406"/>
      <c r="Q884" s="389">
        <f>база!$L$5</f>
        <v>231.45480000000001</v>
      </c>
      <c r="R884" s="390">
        <v>1.4</v>
      </c>
      <c r="S884" s="400">
        <f>SUMIFS(Таблица14[часы],Таблица14[коэф],"1,4",Таблица14[р/р],"4/16",Таблица14[Ф. И. О.],B880)</f>
        <v>0</v>
      </c>
      <c r="T884" s="392">
        <f>SUMIFS(Таблица14[Столбец2],Таблица14[коэф],"1,4",Таблица14[р/р],"4/16",Таблица14[Ф. И. О.],B880)</f>
        <v>0</v>
      </c>
      <c r="U884" s="478">
        <f>база!$M$5</f>
        <v>247.41720000000001</v>
      </c>
      <c r="V884" s="390">
        <v>1.4</v>
      </c>
      <c r="W884" s="412">
        <f>SUMIFS(Таблица14[часы],Таблица14[коэф],"1,4",Таблица14[р/р],"4/24",Таблица14[Ф. И. О.],B880)</f>
        <v>0</v>
      </c>
      <c r="X884" s="545">
        <f>SUMIFS(Таблица14[Столбец2],Таблица14[коэф],"1,4",Таблица14[р/р],"4/24",Таблица14[Ф. И. О.],B880)</f>
        <v>0</v>
      </c>
      <c r="Y884" s="801"/>
      <c r="Z884" s="797"/>
      <c r="AA884" s="786"/>
    </row>
    <row r="885" spans="1:29" ht="19.5" customHeight="1" thickBot="1">
      <c r="A885" s="787"/>
      <c r="B885" s="352"/>
      <c r="C885" s="790"/>
      <c r="D885" s="793"/>
      <c r="E885" s="473"/>
      <c r="F885" s="464"/>
      <c r="G885" s="657"/>
      <c r="H885" s="468"/>
      <c r="I885" s="651"/>
      <c r="J885" s="456"/>
      <c r="K885" s="652"/>
      <c r="L885" s="457"/>
      <c r="M885" s="651"/>
      <c r="N885" s="652"/>
      <c r="O885" s="652"/>
      <c r="P885" s="476"/>
      <c r="Q885" s="658">
        <f>база!$L$6</f>
        <v>261.04640000000001</v>
      </c>
      <c r="R885" s="464">
        <v>1.4</v>
      </c>
      <c r="S885" s="465">
        <f>SUMIFS(Таблица14[часы],Таблица14[коэф],"1,4",Таблица14[р/р],"5/16",Таблица14[Ф. И. О.],B880)</f>
        <v>0</v>
      </c>
      <c r="T885" s="468">
        <f>SUMIFS(Таблица14[Столбец2],Таблица14[коэф],"1,4",Таблица14[р/р],"5/16",Таблица14[Ф. И. О.],B880)</f>
        <v>0</v>
      </c>
      <c r="U885" s="463">
        <f>база!$M$6</f>
        <v>279.0496</v>
      </c>
      <c r="V885" s="464">
        <v>1.4</v>
      </c>
      <c r="W885" s="465">
        <f>SUMIFS(Таблица14[часы],Таблица14[коэф],"1,4",Таблица14[р/р],"5/24",Таблица14[Ф. И. О.],B880)</f>
        <v>0</v>
      </c>
      <c r="X885" s="468">
        <f>SUMIFS(Таблица14[Столбец2],Таблица14[коэф],"1,4",Таблица14[р/р],"5/24",Таблица14[Ф. И. О.],B880)</f>
        <v>0</v>
      </c>
      <c r="Y885" s="802"/>
      <c r="Z885" s="798"/>
      <c r="AA885" s="787"/>
    </row>
    <row r="886" spans="1:29" ht="18.75" customHeight="1">
      <c r="A886" s="786">
        <v>81</v>
      </c>
      <c r="B886" s="216"/>
      <c r="C886" s="788" t="e">
        <f>INDEX(база!$E$2:$E$150, MATCH(B891,база!$B$2:$B$150,0))</f>
        <v>#N/A</v>
      </c>
      <c r="D886" s="791" t="e">
        <f>INDEX(база!$D$2:$D$150, MATCH(B891,база!$B$2:$B$150,0))</f>
        <v>#N/A</v>
      </c>
      <c r="E886" s="481" t="e">
        <f>IF(D886&lt;=3,база!$I$4,
IF(D886=4,база!$I$5,
IF(D886=5,база!$I$6)))</f>
        <v>#N/A</v>
      </c>
      <c r="F886" s="417">
        <v>1</v>
      </c>
      <c r="G886" s="418">
        <f>SUMIFS(Таблица14[часы],Таблица14[коэф],"1",Таблица14[р/р],"2/4",Таблица14[Ф. И. О.],B891)</f>
        <v>0</v>
      </c>
      <c r="H886" s="402">
        <f>SUMIFS(Таблица14[Столбец2],Таблица14[коэф],"1",Таблица14[р/р],"2/4",Таблица14[Ф. И. О.],B891)</f>
        <v>0</v>
      </c>
      <c r="I886" s="452" t="e">
        <f>IF(D886&lt;=3,база!$J$4,
IF(D886=4,база!$J$5,
IF(D886=5,база!$J$6)))</f>
        <v>#N/A</v>
      </c>
      <c r="J886" s="475">
        <v>1</v>
      </c>
      <c r="K886" s="453">
        <f>SUMIFS(Таблица14[часы],Таблица14[коэф],"1",Таблица14[р/р],"2/8",Таблица14[Ф. И. О.],B891)</f>
        <v>0</v>
      </c>
      <c r="L886" s="453">
        <f>SUMIFS(Таблица14[Столбец2],Таблица14[коэф],"1",Таблица14[р/р],"2/8",Таблица14[Ф. И. О.],B891)</f>
        <v>0</v>
      </c>
      <c r="M886" s="453"/>
      <c r="N886" s="453">
        <v>1</v>
      </c>
      <c r="O886" s="453">
        <f>SUMIFS(Data_Tech!$AM$3:$AM$67,Data_Tech!$E$3:$E$67,"1",Data_Tech!$G$3:$G$67,"3/12",Data_Tech!$F$3:$F$67,B891)</f>
        <v>0</v>
      </c>
      <c r="P886" s="398">
        <f>ROUND(M886*N886*O886,2)</f>
        <v>0</v>
      </c>
      <c r="Q886" s="481" t="e">
        <f>IF(D886&lt;=3,база!$L$4,
IF(D886=4,база!$L$5,
IF(D886=5,база!$L$6)))</f>
        <v>#N/A</v>
      </c>
      <c r="R886" s="417">
        <v>1</v>
      </c>
      <c r="S886" s="418">
        <f>SUMIFS(Таблица14[часы],Таблица14[коэф],"1",Таблица14[р/р],"3/16",Таблица14[Ф. И. О.],B891)</f>
        <v>0</v>
      </c>
      <c r="T886" s="402">
        <f>SUMIFS(Таблица14[Столбец2],Таблица14[коэф],"1",Таблица14[р/р],"3/16",Таблица14[Ф. И. О.],B891)</f>
        <v>0</v>
      </c>
      <c r="U886" s="483" t="e">
        <f>IF(D886&lt;=3,база!$M$4,
IF(D886=4,база!$M$5,
IF(D886=5,база!$M$6)))</f>
        <v>#N/A</v>
      </c>
      <c r="V886" s="417">
        <v>1</v>
      </c>
      <c r="W886" s="455">
        <f>SUMIFS(Таблица14[часы],Таблица14[коэф],"1",Таблица14[р/р],"3/24",Таблица14[Ф. И. О.],B891)</f>
        <v>0</v>
      </c>
      <c r="X886" s="552">
        <f>SUMIFS(Таблица14[Столбец2],Таблица14[коэф],"1",Таблица14[р/р],"3/24",Таблица14[Ф. И. О.],B891)</f>
        <v>0</v>
      </c>
      <c r="Y886" s="801">
        <f t="shared" ref="Y886" si="298">SUM(G886:G896,K886:K896,O886:O896,S886:S896,W886:W896)</f>
        <v>0</v>
      </c>
      <c r="Z886" s="797">
        <f t="shared" ref="Z886" si="299">IFERROR(SUM(H886:H896,L886:L896,T886:T896,X886:X896),"")</f>
        <v>0</v>
      </c>
      <c r="AA886" s="785"/>
    </row>
    <row r="887" spans="1:29" ht="18.75" customHeight="1">
      <c r="A887" s="786"/>
      <c r="B887" s="216"/>
      <c r="C887" s="789"/>
      <c r="D887" s="792"/>
      <c r="E887" s="389" t="e">
        <f>IF(D886&lt;=3,база!$I$4,
IF(D886=4,база!$I$5,
IF(D886=5,база!$I$6)))</f>
        <v>#N/A</v>
      </c>
      <c r="F887" s="390">
        <v>1</v>
      </c>
      <c r="G887" s="400">
        <f>SUMIFS(Таблица14[часы],Таблица14[коэф],"1",Таблица14[р/р],"3/4",Таблица14[Ф. И. О.],B891)</f>
        <v>0</v>
      </c>
      <c r="H887" s="392">
        <f>SUMIFS(Таблица14[Столбец2],Таблица14[коэф],"1",Таблица14[р/р],"3/4",Таблица14[Ф. И. О.],B891)</f>
        <v>0</v>
      </c>
      <c r="I887" s="432" t="e">
        <f>IF(D886&lt;=3,база!$J$4,
IF(D886=4,база!$J$5,
IF(D886=5,база!$J$6)))</f>
        <v>#N/A</v>
      </c>
      <c r="J887" s="433">
        <v>1</v>
      </c>
      <c r="K887" s="434">
        <f>SUMIFS(Таблица14[часы],Таблица14[коэф],"1",Таблица14[р/р],"3/8",Таблица14[Ф. И. О.],B891)</f>
        <v>0</v>
      </c>
      <c r="L887" s="434">
        <f>SUMIFS(Таблица14[Столбец2],Таблица14[коэф],"1",Таблица14[р/р],"3/8",Таблица14[Ф. И. О.],B891)</f>
        <v>0</v>
      </c>
      <c r="M887" s="434"/>
      <c r="N887" s="434">
        <v>1</v>
      </c>
      <c r="O887" s="434">
        <f>SUMIFS(Data_Tech!$AM$3:$AM$67,Data_Tech!$E$3:$E$67,"1",Data_Tech!$G$3:$G$67,"4/12",Data_Tech!$F$3:$F$67,B891)</f>
        <v>0</v>
      </c>
      <c r="P887" s="406">
        <f>ROUND(M887*O887,2)</f>
        <v>0</v>
      </c>
      <c r="Q887" s="389">
        <f>база!$L$5</f>
        <v>231.45480000000001</v>
      </c>
      <c r="R887" s="390">
        <v>1</v>
      </c>
      <c r="S887" s="400">
        <f>SUMIFS(Таблица14[часы],Таблица14[коэф],"1",Таблица14[р/р],"4/16",Таблица14[Ф. И. О.],B891)</f>
        <v>0</v>
      </c>
      <c r="T887" s="392">
        <f>SUMIFS(Таблица14[Столбец2],Таблица14[коэф],"1",Таблица14[р/р],"4/16",Таблица14[Ф. И. О.],B891)</f>
        <v>0</v>
      </c>
      <c r="U887" s="478">
        <f>база!$M$5</f>
        <v>247.41720000000001</v>
      </c>
      <c r="V887" s="390">
        <v>1</v>
      </c>
      <c r="W887" s="412">
        <f>SUMIFS(Таблица14[часы],Таблица14[коэф],"1",Таблица14[р/р],"4/24",Таблица14[Ф. И. О.],B891)</f>
        <v>0</v>
      </c>
      <c r="X887" s="545">
        <f>SUMIFS(Таблица14[Столбец2],Таблица14[коэф],"1",Таблица14[р/р],"4/24",Таблица14[Ф. И. О.],B891)</f>
        <v>0</v>
      </c>
      <c r="Y887" s="801"/>
      <c r="Z887" s="797"/>
      <c r="AA887" s="786"/>
    </row>
    <row r="888" spans="1:29" ht="18.75" customHeight="1">
      <c r="A888" s="786"/>
      <c r="B888" s="216"/>
      <c r="C888" s="789"/>
      <c r="D888" s="792"/>
      <c r="E888" s="389"/>
      <c r="F888" s="390"/>
      <c r="G888" s="400"/>
      <c r="H888" s="392"/>
      <c r="I888" s="432"/>
      <c r="J888" s="433"/>
      <c r="K888" s="434"/>
      <c r="L888" s="434"/>
      <c r="M888" s="434"/>
      <c r="N888" s="434"/>
      <c r="O888" s="434"/>
      <c r="P888" s="406"/>
      <c r="Q888" s="389">
        <f>база!$L$6</f>
        <v>261.04640000000001</v>
      </c>
      <c r="R888" s="390">
        <v>1</v>
      </c>
      <c r="S888" s="400">
        <f>SUMIFS(Таблица14[часы],Таблица14[коэф],"1",Таблица14[р/р],"5/16",Таблица14[Ф. И. О.],B891)</f>
        <v>0</v>
      </c>
      <c r="T888" s="392">
        <f>SUMIFS(Таблица14[Столбец2],Таблица14[коэф],"1",Таблица14[р/р],"5/16",Таблица14[Ф. И. О.],B891)</f>
        <v>0</v>
      </c>
      <c r="U888" s="478">
        <f>база!$M$6</f>
        <v>279.0496</v>
      </c>
      <c r="V888" s="390">
        <v>1</v>
      </c>
      <c r="W888" s="412">
        <f>SUMIFS(Таблица14[часы],Таблица14[коэф],"1",Таблица14[р/р],"5/24",Таблица14[Ф. И. О.],B891)</f>
        <v>0</v>
      </c>
      <c r="X888" s="545">
        <f>SUMIFS(Таблица14[Столбец2],Таблица14[коэф],"1",Таблица14[р/р],"5/24",Таблица14[Ф. И. О.],B891)</f>
        <v>0</v>
      </c>
      <c r="Y888" s="801"/>
      <c r="Z888" s="797"/>
      <c r="AA888" s="786"/>
    </row>
    <row r="889" spans="1:29" ht="18.75" customHeight="1">
      <c r="A889" s="786"/>
      <c r="B889" s="216"/>
      <c r="C889" s="789"/>
      <c r="D889" s="792"/>
      <c r="E889" s="389"/>
      <c r="F889" s="390"/>
      <c r="G889" s="400"/>
      <c r="H889" s="392"/>
      <c r="I889" s="432">
        <f>база!$J$5</f>
        <v>215.4924</v>
      </c>
      <c r="J889" s="433">
        <v>1.5</v>
      </c>
      <c r="K889" s="434">
        <f>SUMIFS(Таблица14[часы],Таблица14[коэф],"1,5",Таблица14[р/р],"4/8",Таблица14[Ф. И. О.],B891)</f>
        <v>0</v>
      </c>
      <c r="L889" s="434">
        <f>SUMIFS(Таблица14[Столбец2],Таблица14[коэф],"1,5",Таблица14[р/р],"4/8",Таблица14[Ф. И. О.],B891)</f>
        <v>0</v>
      </c>
      <c r="M889" s="434"/>
      <c r="N889" s="434"/>
      <c r="O889" s="434"/>
      <c r="P889" s="406"/>
      <c r="Q889" s="389" t="e">
        <f>IF(D886&lt;=3,база!$L$4,
IF(D886=4,база!$L$5,
IF(D886=5,база!$L$6)))</f>
        <v>#N/A</v>
      </c>
      <c r="R889" s="390">
        <v>1.2</v>
      </c>
      <c r="S889" s="400">
        <f>SUMIFS(Таблица14[часы],Таблица14[коэф],"1,2",Таблица14[р/р],"3/16",Таблица14[Ф. И. О.],B891)</f>
        <v>0</v>
      </c>
      <c r="T889" s="392">
        <f>SUMIFS(Таблица14[Столбец2],Таблица14[коэф],"1,2",Таблица14[р/р],"3/16",Таблица14[Ф. И. О.],B891)</f>
        <v>0</v>
      </c>
      <c r="U889" s="478" t="e">
        <f>IF(D886&lt;=3,база!$M$4,
IF(D886=4,база!$M$5,
IF(D886=5,база!$M$6)))</f>
        <v>#N/A</v>
      </c>
      <c r="V889" s="390">
        <v>1.2</v>
      </c>
      <c r="W889" s="412">
        <f>SUMIFS(Таблица14[часы],Таблица14[коэф],"1,2",Таблица14[р/р],"3/24",Таблица14[Ф. И. О.],B891)</f>
        <v>0</v>
      </c>
      <c r="X889" s="545">
        <f>SUMIFS(Таблица14[Столбец2],Таблица14[коэф],"1,2",Таблица14[р/р],"3/24",Таблица14[Ф. И. О.],B891)</f>
        <v>0</v>
      </c>
      <c r="Y889" s="801"/>
      <c r="Z889" s="797"/>
      <c r="AA889" s="786"/>
    </row>
    <row r="890" spans="1:29" ht="18.75" customHeight="1">
      <c r="A890" s="786"/>
      <c r="B890" s="216"/>
      <c r="C890" s="789"/>
      <c r="D890" s="792"/>
      <c r="E890" s="389"/>
      <c r="F890" s="390"/>
      <c r="G890" s="400"/>
      <c r="H890" s="392"/>
      <c r="I890" s="432">
        <f>база!$J$6</f>
        <v>243.04319999999998</v>
      </c>
      <c r="J890" s="433">
        <v>1.5</v>
      </c>
      <c r="K890" s="434">
        <f>SUMIFS(Таблица14[часы],Таблица14[коэф],"1,5",Таблица14[р/р],"5/8",Таблица14[Ф. И. О.],B891)</f>
        <v>0</v>
      </c>
      <c r="L890" s="434">
        <f>SUMIFS(Таблица14[Столбец2],Таблица14[коэф],"1,5",Таблица14[р/р],"5/8",Таблица14[Ф. И. О.],B891)</f>
        <v>0</v>
      </c>
      <c r="M890" s="434"/>
      <c r="N890" s="434"/>
      <c r="O890" s="434"/>
      <c r="P890" s="406"/>
      <c r="Q890" s="389">
        <f>база!$L$5</f>
        <v>231.45480000000001</v>
      </c>
      <c r="R890" s="390">
        <v>1.2</v>
      </c>
      <c r="S890" s="400">
        <f>SUMIFS(Таблица14[часы],Таблица14[коэф],"1,2",Таблица14[р/р],"4/16",Таблица14[Ф. И. О.],B891)</f>
        <v>0</v>
      </c>
      <c r="T890" s="392">
        <f>SUMIFS(Таблица14[Столбец2],Таблица14[коэф],"1,2",Таблица14[р/р],"4/16",Таблица14[Ф. И. О.],B891)</f>
        <v>0</v>
      </c>
      <c r="U890" s="478">
        <f>база!$M$5</f>
        <v>247.41720000000001</v>
      </c>
      <c r="V890" s="390">
        <v>1.2</v>
      </c>
      <c r="W890" s="412">
        <f>SUMIFS(Таблица14[часы],Таблица14[коэф],"1,2",Таблица14[р/р],"4/24",Таблица14[Ф. И. О.],B891)</f>
        <v>0</v>
      </c>
      <c r="X890" s="545">
        <f>SUMIFS(Таблица14[Столбец2],Таблица14[коэф],"1,2",Таблица14[р/р],"4/24",Таблица14[Ф. И. О.],B891)</f>
        <v>0</v>
      </c>
      <c r="Y890" s="801"/>
      <c r="Z890" s="797"/>
      <c r="AA890" s="786"/>
    </row>
    <row r="891" spans="1:29" ht="18.75" customHeight="1">
      <c r="A891" s="786"/>
      <c r="B891" s="216">
        <f>база!B82</f>
        <v>0</v>
      </c>
      <c r="C891" s="789"/>
      <c r="D891" s="792"/>
      <c r="E891" s="389"/>
      <c r="F891" s="390"/>
      <c r="G891" s="400"/>
      <c r="H891" s="392"/>
      <c r="I891" s="432"/>
      <c r="J891" s="433"/>
      <c r="K891" s="434"/>
      <c r="L891" s="434"/>
      <c r="M891" s="434"/>
      <c r="N891" s="434"/>
      <c r="O891" s="434"/>
      <c r="P891" s="406"/>
      <c r="Q891" s="389">
        <f>база!$L$6</f>
        <v>261.04640000000001</v>
      </c>
      <c r="R891" s="390">
        <v>1.2</v>
      </c>
      <c r="S891" s="400">
        <f>SUMIFS(Таблица14[часы],Таблица14[коэф],"1,2",Таблица14[р/р],"5/16",Таблица14[Ф. И. О.],B891)</f>
        <v>0</v>
      </c>
      <c r="T891" s="392">
        <f>SUMIFS(Таблица14[Столбец2],Таблица14[коэф],"1,2",Таблица14[р/р],"5/16",Таблица14[Ф. И. О.],B891)</f>
        <v>0</v>
      </c>
      <c r="U891" s="478">
        <f>база!$M$6</f>
        <v>279.0496</v>
      </c>
      <c r="V891" s="390">
        <v>1.2</v>
      </c>
      <c r="W891" s="412">
        <f>SUMIFS(Таблица14[часы],Таблица14[коэф],"1,2",Таблица14[р/р],"5/24",Таблица14[Ф. И. О.],B891)</f>
        <v>0</v>
      </c>
      <c r="X891" s="545">
        <f>SUMIFS(Таблица14[Столбец2],Таблица14[коэф],"1,2",Таблица14[р/р],"5/24",Таблица14[Ф. И. О.],B891)</f>
        <v>0</v>
      </c>
      <c r="Y891" s="801"/>
      <c r="Z891" s="797"/>
      <c r="AA891" s="786"/>
      <c r="AC891" s="754" t="str">
        <f>IF(SUMIFS(Таблица14[Столбец2],Таблица14[Ф. И. О.],B891)-Z886=0,"",SUMIFS(Таблица14[Столбец2],Таблица14[Ф. И. О.],B891)-Z886)</f>
        <v/>
      </c>
    </row>
    <row r="892" spans="1:29" ht="18.75" customHeight="1">
      <c r="A892" s="786"/>
      <c r="B892" s="216"/>
      <c r="C892" s="789"/>
      <c r="D892" s="792"/>
      <c r="E892" s="389"/>
      <c r="F892" s="390"/>
      <c r="G892" s="400"/>
      <c r="H892" s="392"/>
      <c r="I892" s="432"/>
      <c r="J892" s="433"/>
      <c r="K892" s="434"/>
      <c r="L892" s="434"/>
      <c r="M892" s="434"/>
      <c r="N892" s="434"/>
      <c r="O892" s="434"/>
      <c r="P892" s="406"/>
      <c r="Q892" s="389">
        <f>IF($D$6&lt;=3,база!$L$4,
IF($D$6=4,база!$L$5,
IF($D$6=5,база!$L$6)))</f>
        <v>231.45480000000001</v>
      </c>
      <c r="R892" s="390">
        <v>1.3</v>
      </c>
      <c r="S892" s="400">
        <f>SUMIFS(Таблица14[часы],Таблица14[коэф],"1,3",Таблица14[р/р],"3/16",Таблица14[Ф. И. О.],B891)</f>
        <v>0</v>
      </c>
      <c r="T892" s="392">
        <f>SUMIFS(Таблица14[Столбец2],Таблица14[коэф],"1,3",Таблица14[р/р],"3/16",Таблица14[Ф. И. О.],B891)</f>
        <v>0</v>
      </c>
      <c r="U892" s="478" t="e">
        <f>IF(D886&lt;=3,база!$M$4,
IF(D886=4,база!$M$5,
IF(D886=5,база!$M$6)))</f>
        <v>#N/A</v>
      </c>
      <c r="V892" s="390">
        <v>1.3</v>
      </c>
      <c r="W892" s="412">
        <f>SUMIFS(Таблица14[часы],Таблица14[коэф],"1,3",Таблица14[р/р],"3/24",Таблица14[Ф. И. О.],B891)</f>
        <v>0</v>
      </c>
      <c r="X892" s="545">
        <f>SUMIFS(Таблица14[Столбец2],Таблица14[коэф],"1,3",Таблица14[р/р],"3/24",Таблица14[Ф. И. О.],B891)</f>
        <v>0</v>
      </c>
      <c r="Y892" s="801"/>
      <c r="Z892" s="797"/>
      <c r="AA892" s="786"/>
      <c r="AC892" s="754" t="str">
        <f>IF(SUMIFS(Таблица14[часы],Таблица14[Ф. И. О.],B891)-Y886=0,"",SUMIFS(Таблица14[часы],Таблица14[Ф. И. О.],B891)-Y886)</f>
        <v/>
      </c>
    </row>
    <row r="893" spans="1:29" ht="18.75" customHeight="1">
      <c r="A893" s="786"/>
      <c r="B893" s="216"/>
      <c r="C893" s="789"/>
      <c r="D893" s="792"/>
      <c r="E893" s="389"/>
      <c r="F893" s="390"/>
      <c r="G893" s="400"/>
      <c r="H893" s="392"/>
      <c r="I893" s="432"/>
      <c r="J893" s="433"/>
      <c r="K893" s="434"/>
      <c r="L893" s="434"/>
      <c r="M893" s="434"/>
      <c r="N893" s="434"/>
      <c r="O893" s="434"/>
      <c r="P893" s="406"/>
      <c r="Q893" s="389">
        <f>база!$L$5</f>
        <v>231.45480000000001</v>
      </c>
      <c r="R893" s="390">
        <v>1.3</v>
      </c>
      <c r="S893" s="400">
        <f>SUMIFS(Таблица14[часы],Таблица14[коэф],"1,3",Таблица14[р/р],"4/16",Таблица14[Ф. И. О.],B891)</f>
        <v>0</v>
      </c>
      <c r="T893" s="392">
        <f>SUMIFS(Таблица14[Столбец2],Таблица14[коэф],"1,3",Таблица14[р/р],"4/16",Таблица14[Ф. И. О.],B891)</f>
        <v>0</v>
      </c>
      <c r="U893" s="478">
        <f>база!$M$5</f>
        <v>247.41720000000001</v>
      </c>
      <c r="V893" s="390">
        <v>1.3</v>
      </c>
      <c r="W893" s="412">
        <f>SUMIFS(Таблица14[часы],Таблица14[коэф],"1,3",Таблица14[р/р],"4/24",Таблица14[Ф. И. О.],B891)</f>
        <v>0</v>
      </c>
      <c r="X893" s="545">
        <f>SUMIFS(Таблица14[Столбец2],Таблица14[коэф],"1,3",Таблица14[р/р],"4/24",Таблица14[Ф. И. О.],B891)</f>
        <v>0</v>
      </c>
      <c r="Y893" s="801"/>
      <c r="Z893" s="797"/>
      <c r="AA893" s="786"/>
    </row>
    <row r="894" spans="1:29" ht="18.75" customHeight="1">
      <c r="A894" s="786"/>
      <c r="B894" s="216"/>
      <c r="C894" s="789"/>
      <c r="D894" s="792"/>
      <c r="E894" s="389"/>
      <c r="F894" s="390"/>
      <c r="G894" s="400"/>
      <c r="H894" s="392"/>
      <c r="I894" s="432"/>
      <c r="J894" s="433"/>
      <c r="K894" s="434"/>
      <c r="L894" s="434"/>
      <c r="M894" s="434"/>
      <c r="N894" s="434"/>
      <c r="O894" s="434"/>
      <c r="P894" s="406"/>
      <c r="Q894" s="389" t="e">
        <f>IF(D886&lt;=3,база!$L$4,
IF(D886=4,база!$L$5,
IF(D886=5,база!$L$6)))</f>
        <v>#N/A</v>
      </c>
      <c r="R894" s="390">
        <v>1.4</v>
      </c>
      <c r="S894" s="400">
        <f>SUMIFS(Таблица14[часы],Таблица14[коэф],"1,4",Таблица14[р/р],"3/16",Таблица14[Ф. И. О.],B891)</f>
        <v>0</v>
      </c>
      <c r="T894" s="392">
        <f>SUMIFS(Таблица14[Столбец2],Таблица14[коэф],"1,4",Таблица14[р/р],"3/16",Таблица14[Ф. И. О.],B891)</f>
        <v>0</v>
      </c>
      <c r="U894" s="478" t="e">
        <f>IF(D886&lt;=3,база!$M$4,
IF(D886=4,база!$M$5,
IF(D886=5,база!$M$6)))</f>
        <v>#N/A</v>
      </c>
      <c r="V894" s="390">
        <v>1.4</v>
      </c>
      <c r="W894" s="412">
        <f>SUMIFS(Таблица14[часы],Таблица14[коэф],"1,4",Таблица14[р/р],"3/24",Таблица14[Ф. И. О.],B891)</f>
        <v>0</v>
      </c>
      <c r="X894" s="545">
        <f>SUMIFS(Таблица14[Столбец2],Таблица14[коэф],"1,4",Таблица14[р/р],"3/24",Таблица14[Ф. И. О.],B891)</f>
        <v>0</v>
      </c>
      <c r="Y894" s="801"/>
      <c r="Z894" s="797"/>
      <c r="AA894" s="786"/>
    </row>
    <row r="895" spans="1:29" ht="18.75" customHeight="1">
      <c r="A895" s="786"/>
      <c r="B895" s="216"/>
      <c r="C895" s="789"/>
      <c r="D895" s="792"/>
      <c r="E895" s="389"/>
      <c r="F895" s="390"/>
      <c r="G895" s="400"/>
      <c r="H895" s="392"/>
      <c r="I895" s="432"/>
      <c r="J895" s="433"/>
      <c r="K895" s="434"/>
      <c r="L895" s="434"/>
      <c r="M895" s="434"/>
      <c r="N895" s="434"/>
      <c r="O895" s="434"/>
      <c r="P895" s="406"/>
      <c r="Q895" s="389">
        <f>база!$L$5</f>
        <v>231.45480000000001</v>
      </c>
      <c r="R895" s="390">
        <v>1.4</v>
      </c>
      <c r="S895" s="400">
        <f>SUMIFS(Таблица14[часы],Таблица14[коэф],"1,4",Таблица14[р/р],"4/16",Таблица14[Ф. И. О.],B891)</f>
        <v>0</v>
      </c>
      <c r="T895" s="392">
        <f>SUMIFS(Таблица14[Столбец2],Таблица14[коэф],"1,4",Таблица14[р/р],"4/16",Таблица14[Ф. И. О.],B891)</f>
        <v>0</v>
      </c>
      <c r="U895" s="478">
        <f>база!$M$5</f>
        <v>247.41720000000001</v>
      </c>
      <c r="V895" s="390">
        <v>1.4</v>
      </c>
      <c r="W895" s="412">
        <f>SUMIFS(Таблица14[часы],Таблица14[коэф],"1,4",Таблица14[р/р],"4/24",Таблица14[Ф. И. О.],B891)</f>
        <v>0</v>
      </c>
      <c r="X895" s="545">
        <f>SUMIFS(Таблица14[Столбец2],Таблица14[коэф],"1,4",Таблица14[р/р],"4/24",Таблица14[Ф. И. О.],B891)</f>
        <v>0</v>
      </c>
      <c r="Y895" s="801"/>
      <c r="Z895" s="797"/>
      <c r="AA895" s="786"/>
    </row>
    <row r="896" spans="1:29" ht="19.5" customHeight="1" thickBot="1">
      <c r="A896" s="787"/>
      <c r="B896" s="352"/>
      <c r="C896" s="790"/>
      <c r="D896" s="793"/>
      <c r="E896" s="473"/>
      <c r="F896" s="464"/>
      <c r="G896" s="657"/>
      <c r="H896" s="468"/>
      <c r="I896" s="651"/>
      <c r="J896" s="456"/>
      <c r="K896" s="652"/>
      <c r="L896" s="457"/>
      <c r="M896" s="651"/>
      <c r="N896" s="652"/>
      <c r="O896" s="652"/>
      <c r="P896" s="476"/>
      <c r="Q896" s="658">
        <f>база!$L$6</f>
        <v>261.04640000000001</v>
      </c>
      <c r="R896" s="464">
        <v>1.4</v>
      </c>
      <c r="S896" s="465">
        <f>SUMIFS(Таблица14[часы],Таблица14[коэф],"1,4",Таблица14[р/р],"5/16",Таблица14[Ф. И. О.],B891)</f>
        <v>0</v>
      </c>
      <c r="T896" s="468">
        <f>SUMIFS(Таблица14[Столбец2],Таблица14[коэф],"1,4",Таблица14[р/р],"5/16",Таблица14[Ф. И. О.],B891)</f>
        <v>0</v>
      </c>
      <c r="U896" s="463">
        <f>база!$M$6</f>
        <v>279.0496</v>
      </c>
      <c r="V896" s="464">
        <v>1.4</v>
      </c>
      <c r="W896" s="465">
        <f>SUMIFS(Таблица14[часы],Таблица14[коэф],"1,4",Таблица14[р/р],"5/24",Таблица14[Ф. И. О.],B891)</f>
        <v>0</v>
      </c>
      <c r="X896" s="468">
        <f>SUMIFS(Таблица14[Столбец2],Таблица14[коэф],"1,4",Таблица14[р/р],"5/24",Таблица14[Ф. И. О.],B891)</f>
        <v>0</v>
      </c>
      <c r="Y896" s="802"/>
      <c r="Z896" s="798"/>
      <c r="AA896" s="787"/>
    </row>
    <row r="897" spans="1:29" ht="18.75" customHeight="1">
      <c r="A897" s="786">
        <v>82</v>
      </c>
      <c r="B897" s="216"/>
      <c r="C897" s="788" t="e">
        <f>INDEX(база!$E$2:$E$150, MATCH(B902,база!$B$2:$B$150,0))</f>
        <v>#N/A</v>
      </c>
      <c r="D897" s="791" t="e">
        <f>INDEX(база!$D$2:$D$150, MATCH(B902,база!$B$2:$B$150,0))</f>
        <v>#N/A</v>
      </c>
      <c r="E897" s="481" t="e">
        <f>IF(D897&lt;=3,база!$I$4,
IF(D897=4,база!$I$5,
IF(D897=5,база!$I$6)))</f>
        <v>#N/A</v>
      </c>
      <c r="F897" s="417">
        <v>1</v>
      </c>
      <c r="G897" s="418">
        <f>SUMIFS(Таблица14[часы],Таблица14[коэф],"1",Таблица14[р/р],"2/4",Таблица14[Ф. И. О.],B902)</f>
        <v>0</v>
      </c>
      <c r="H897" s="402">
        <f>SUMIFS(Таблица14[Столбец2],Таблица14[коэф],"1",Таблица14[р/р],"2/4",Таблица14[Ф. И. О.],B902)</f>
        <v>0</v>
      </c>
      <c r="I897" s="452" t="e">
        <f>IF(D897&lt;=3,база!$J$4,
IF(D897=4,база!$J$5,
IF(D897=5,база!$J$6)))</f>
        <v>#N/A</v>
      </c>
      <c r="J897" s="475">
        <v>1</v>
      </c>
      <c r="K897" s="453">
        <f>SUMIFS(Таблица14[часы],Таблица14[коэф],"1",Таблица14[р/р],"2/8",Таблица14[Ф. И. О.],B902)</f>
        <v>0</v>
      </c>
      <c r="L897" s="453">
        <f>SUMIFS(Таблица14[Столбец2],Таблица14[коэф],"1",Таблица14[р/р],"2/8",Таблица14[Ф. И. О.],B902)</f>
        <v>0</v>
      </c>
      <c r="M897" s="453"/>
      <c r="N897" s="453">
        <v>1</v>
      </c>
      <c r="O897" s="453">
        <f>SUMIFS(Data_Tech!$AM$3:$AM$67,Data_Tech!$E$3:$E$67,"1",Data_Tech!$G$3:$G$67,"3/12",Data_Tech!$F$3:$F$67,B902)</f>
        <v>0</v>
      </c>
      <c r="P897" s="398">
        <f>ROUND(M897*N897*O897,2)</f>
        <v>0</v>
      </c>
      <c r="Q897" s="481" t="e">
        <f>IF(D897&lt;=3,база!$L$4,
IF(D897=4,база!$L$5,
IF(D897=5,база!$L$6)))</f>
        <v>#N/A</v>
      </c>
      <c r="R897" s="417">
        <v>1</v>
      </c>
      <c r="S897" s="418">
        <f>SUMIFS(Таблица14[часы],Таблица14[коэф],"1",Таблица14[р/р],"3/16",Таблица14[Ф. И. О.],B902)</f>
        <v>0</v>
      </c>
      <c r="T897" s="402">
        <f>SUMIFS(Таблица14[Столбец2],Таблица14[коэф],"1",Таблица14[р/р],"3/16",Таблица14[Ф. И. О.],B902)</f>
        <v>0</v>
      </c>
      <c r="U897" s="483" t="e">
        <f>IF(D897&lt;=3,база!$M$4,
IF(D897=4,база!$M$5,
IF(D897=5,база!$M$6)))</f>
        <v>#N/A</v>
      </c>
      <c r="V897" s="417">
        <v>1</v>
      </c>
      <c r="W897" s="455">
        <f>SUMIFS(Таблица14[часы],Таблица14[коэф],"1",Таблица14[р/р],"3/24",Таблица14[Ф. И. О.],B902)</f>
        <v>0</v>
      </c>
      <c r="X897" s="552">
        <f>SUMIFS(Таблица14[Столбец2],Таблица14[коэф],"1",Таблица14[р/р],"3/24",Таблица14[Ф. И. О.],B902)</f>
        <v>0</v>
      </c>
      <c r="Y897" s="801">
        <f t="shared" ref="Y897" si="300">SUM(G897:G907,K897:K907,O897:O907,S897:S907,W897:W907)</f>
        <v>0</v>
      </c>
      <c r="Z897" s="797">
        <f t="shared" ref="Z897" si="301">IFERROR(SUM(H897:H907,L897:L907,T897:T907,X897:X907),"")</f>
        <v>0</v>
      </c>
      <c r="AA897" s="786"/>
    </row>
    <row r="898" spans="1:29" ht="18.75" customHeight="1">
      <c r="A898" s="786"/>
      <c r="B898" s="216"/>
      <c r="C898" s="789"/>
      <c r="D898" s="792"/>
      <c r="E898" s="389" t="e">
        <f>IF(D897&lt;=3,база!$I$4,
IF(D897=4,база!$I$5,
IF(D897=5,база!$I$6)))</f>
        <v>#N/A</v>
      </c>
      <c r="F898" s="390">
        <v>1</v>
      </c>
      <c r="G898" s="400">
        <f>SUMIFS(Таблица14[часы],Таблица14[коэф],"1",Таблица14[р/р],"3/4",Таблица14[Ф. И. О.],B902)</f>
        <v>0</v>
      </c>
      <c r="H898" s="392">
        <f>SUMIFS(Таблица14[Столбец2],Таблица14[коэф],"1",Таблица14[р/р],"3/4",Таблица14[Ф. И. О.],B902)</f>
        <v>0</v>
      </c>
      <c r="I898" s="432" t="e">
        <f>IF(D897&lt;=3,база!$J$4,
IF(D897=4,база!$J$5,
IF(D897=5,база!$J$6)))</f>
        <v>#N/A</v>
      </c>
      <c r="J898" s="433">
        <v>1</v>
      </c>
      <c r="K898" s="434">
        <f>SUMIFS(Таблица14[часы],Таблица14[коэф],"1",Таблица14[р/р],"3/8",Таблица14[Ф. И. О.],B902)</f>
        <v>0</v>
      </c>
      <c r="L898" s="434">
        <f>SUMIFS(Таблица14[Столбец2],Таблица14[коэф],"1",Таблица14[р/р],"3/8",Таблица14[Ф. И. О.],B902)</f>
        <v>0</v>
      </c>
      <c r="M898" s="434"/>
      <c r="N898" s="434">
        <v>1</v>
      </c>
      <c r="O898" s="434">
        <f>SUMIFS(Data_Tech!$AM$3:$AM$67,Data_Tech!$E$3:$E$67,"1",Data_Tech!$G$3:$G$67,"4/12",Data_Tech!$F$3:$F$67,B902)</f>
        <v>0</v>
      </c>
      <c r="P898" s="406">
        <f>ROUND(M898*O898,2)</f>
        <v>0</v>
      </c>
      <c r="Q898" s="389">
        <f>база!$L$5</f>
        <v>231.45480000000001</v>
      </c>
      <c r="R898" s="390">
        <v>1</v>
      </c>
      <c r="S898" s="400">
        <f>SUMIFS(Таблица14[часы],Таблица14[коэф],"1",Таблица14[р/р],"4/16",Таблица14[Ф. И. О.],B902)</f>
        <v>0</v>
      </c>
      <c r="T898" s="392">
        <f>SUMIFS(Таблица14[Столбец2],Таблица14[коэф],"1",Таблица14[р/р],"4/16",Таблица14[Ф. И. О.],B902)</f>
        <v>0</v>
      </c>
      <c r="U898" s="478">
        <f>база!$M$5</f>
        <v>247.41720000000001</v>
      </c>
      <c r="V898" s="390">
        <v>1</v>
      </c>
      <c r="W898" s="412">
        <f>SUMIFS(Таблица14[часы],Таблица14[коэф],"1",Таблица14[р/р],"4/24",Таблица14[Ф. И. О.],B902)</f>
        <v>0</v>
      </c>
      <c r="X898" s="545">
        <f>SUMIFS(Таблица14[Столбец2],Таблица14[коэф],"1",Таблица14[р/р],"4/24",Таблица14[Ф. И. О.],B902)</f>
        <v>0</v>
      </c>
      <c r="Y898" s="801"/>
      <c r="Z898" s="797"/>
      <c r="AA898" s="786"/>
    </row>
    <row r="899" spans="1:29" ht="18.75" customHeight="1">
      <c r="A899" s="786"/>
      <c r="B899" s="216"/>
      <c r="C899" s="789"/>
      <c r="D899" s="792"/>
      <c r="E899" s="389"/>
      <c r="F899" s="390"/>
      <c r="G899" s="400"/>
      <c r="H899" s="392"/>
      <c r="I899" s="432"/>
      <c r="J899" s="433"/>
      <c r="K899" s="434"/>
      <c r="L899" s="434"/>
      <c r="M899" s="434"/>
      <c r="N899" s="434"/>
      <c r="O899" s="434"/>
      <c r="P899" s="406"/>
      <c r="Q899" s="389">
        <f>база!$L$6</f>
        <v>261.04640000000001</v>
      </c>
      <c r="R899" s="390">
        <v>1</v>
      </c>
      <c r="S899" s="400">
        <f>SUMIFS(Таблица14[часы],Таблица14[коэф],"1",Таблица14[р/р],"5/16",Таблица14[Ф. И. О.],B902)</f>
        <v>0</v>
      </c>
      <c r="T899" s="392">
        <f>SUMIFS(Таблица14[Столбец2],Таблица14[коэф],"1",Таблица14[р/р],"5/16",Таблица14[Ф. И. О.],B902)</f>
        <v>0</v>
      </c>
      <c r="U899" s="478">
        <f>база!$M$6</f>
        <v>279.0496</v>
      </c>
      <c r="V899" s="390">
        <v>1</v>
      </c>
      <c r="W899" s="412">
        <f>SUMIFS(Таблица14[часы],Таблица14[коэф],"1",Таблица14[р/р],"5/24",Таблица14[Ф. И. О.],B902)</f>
        <v>0</v>
      </c>
      <c r="X899" s="545">
        <f>SUMIFS(Таблица14[Столбец2],Таблица14[коэф],"1",Таблица14[р/р],"5/24",Таблица14[Ф. И. О.],B902)</f>
        <v>0</v>
      </c>
      <c r="Y899" s="801"/>
      <c r="Z899" s="797"/>
      <c r="AA899" s="786"/>
    </row>
    <row r="900" spans="1:29" ht="18.75" customHeight="1">
      <c r="A900" s="786"/>
      <c r="B900" s="216"/>
      <c r="C900" s="789"/>
      <c r="D900" s="792"/>
      <c r="E900" s="389"/>
      <c r="F900" s="390"/>
      <c r="G900" s="400"/>
      <c r="H900" s="392"/>
      <c r="I900" s="432">
        <f>база!$J$5</f>
        <v>215.4924</v>
      </c>
      <c r="J900" s="433">
        <v>1.5</v>
      </c>
      <c r="K900" s="434">
        <f>SUMIFS(Таблица14[часы],Таблица14[коэф],"1,5",Таблица14[р/р],"4/8",Таблица14[Ф. И. О.],B902)</f>
        <v>0</v>
      </c>
      <c r="L900" s="434">
        <f>SUMIFS(Таблица14[Столбец2],Таблица14[коэф],"1,5",Таблица14[р/р],"4/8",Таблица14[Ф. И. О.],B902)</f>
        <v>0</v>
      </c>
      <c r="M900" s="434"/>
      <c r="N900" s="434"/>
      <c r="O900" s="434"/>
      <c r="P900" s="406"/>
      <c r="Q900" s="389" t="e">
        <f>IF(D897&lt;=3,база!$L$4,
IF(D897=4,база!$L$5,
IF(D897=5,база!$L$6)))</f>
        <v>#N/A</v>
      </c>
      <c r="R900" s="390">
        <v>1.2</v>
      </c>
      <c r="S900" s="400">
        <f>SUMIFS(Таблица14[часы],Таблица14[коэф],"1,2",Таблица14[р/р],"3/16",Таблица14[Ф. И. О.],B902)</f>
        <v>0</v>
      </c>
      <c r="T900" s="392">
        <f>SUMIFS(Таблица14[Столбец2],Таблица14[коэф],"1,2",Таблица14[р/р],"3/16",Таблица14[Ф. И. О.],B902)</f>
        <v>0</v>
      </c>
      <c r="U900" s="478" t="e">
        <f>IF(D897&lt;=3,база!$M$4,
IF(D897=4,база!$M$5,
IF(D897=5,база!$M$6)))</f>
        <v>#N/A</v>
      </c>
      <c r="V900" s="390">
        <v>1.2</v>
      </c>
      <c r="W900" s="412">
        <f>SUMIFS(Таблица14[часы],Таблица14[коэф],"1,2",Таблица14[р/р],"3/24",Таблица14[Ф. И. О.],B902)</f>
        <v>0</v>
      </c>
      <c r="X900" s="545">
        <f>SUMIFS(Таблица14[Столбец2],Таблица14[коэф],"1,2",Таблица14[р/р],"3/24",Таблица14[Ф. И. О.],B902)</f>
        <v>0</v>
      </c>
      <c r="Y900" s="801"/>
      <c r="Z900" s="797"/>
      <c r="AA900" s="786"/>
    </row>
    <row r="901" spans="1:29" ht="18.75" customHeight="1">
      <c r="A901" s="786"/>
      <c r="B901" s="216"/>
      <c r="C901" s="789"/>
      <c r="D901" s="792"/>
      <c r="E901" s="389"/>
      <c r="F901" s="390"/>
      <c r="G901" s="400"/>
      <c r="H901" s="392"/>
      <c r="I901" s="432">
        <f>база!$J$6</f>
        <v>243.04319999999998</v>
      </c>
      <c r="J901" s="433">
        <v>1.5</v>
      </c>
      <c r="K901" s="434">
        <f>SUMIFS(Таблица14[часы],Таблица14[коэф],"1,5",Таблица14[р/р],"5/8",Таблица14[Ф. И. О.],B902)</f>
        <v>0</v>
      </c>
      <c r="L901" s="434">
        <f>SUMIFS(Таблица14[Столбец2],Таблица14[коэф],"1,5",Таблица14[р/р],"5/8",Таблица14[Ф. И. О.],B902)</f>
        <v>0</v>
      </c>
      <c r="M901" s="434"/>
      <c r="N901" s="434"/>
      <c r="O901" s="434"/>
      <c r="P901" s="406"/>
      <c r="Q901" s="389">
        <f>база!$L$5</f>
        <v>231.45480000000001</v>
      </c>
      <c r="R901" s="390">
        <v>1.2</v>
      </c>
      <c r="S901" s="400">
        <f>SUMIFS(Таблица14[часы],Таблица14[коэф],"1,2",Таблица14[р/р],"4/16",Таблица14[Ф. И. О.],B902)</f>
        <v>0</v>
      </c>
      <c r="T901" s="392">
        <f>SUMIFS(Таблица14[Столбец2],Таблица14[коэф],"1,2",Таблица14[р/р],"4/16",Таблица14[Ф. И. О.],B902)</f>
        <v>0</v>
      </c>
      <c r="U901" s="478">
        <f>база!$M$5</f>
        <v>247.41720000000001</v>
      </c>
      <c r="V901" s="390">
        <v>1.2</v>
      </c>
      <c r="W901" s="412">
        <f>SUMIFS(Таблица14[часы],Таблица14[коэф],"1,2",Таблица14[р/р],"4/24",Таблица14[Ф. И. О.],B902)</f>
        <v>0</v>
      </c>
      <c r="X901" s="545">
        <f>SUMIFS(Таблица14[Столбец2],Таблица14[коэф],"1,2",Таблица14[р/р],"4/24",Таблица14[Ф. И. О.],B902)</f>
        <v>0</v>
      </c>
      <c r="Y901" s="801"/>
      <c r="Z901" s="797"/>
      <c r="AA901" s="786"/>
    </row>
    <row r="902" spans="1:29" ht="18.75" customHeight="1">
      <c r="A902" s="786"/>
      <c r="B902" s="216">
        <f>база!B83</f>
        <v>0</v>
      </c>
      <c r="C902" s="789"/>
      <c r="D902" s="792"/>
      <c r="E902" s="389"/>
      <c r="F902" s="390"/>
      <c r="G902" s="400"/>
      <c r="H902" s="392"/>
      <c r="I902" s="432"/>
      <c r="J902" s="433"/>
      <c r="K902" s="434"/>
      <c r="L902" s="434"/>
      <c r="M902" s="434"/>
      <c r="N902" s="434"/>
      <c r="O902" s="434"/>
      <c r="P902" s="406"/>
      <c r="Q902" s="389">
        <f>база!$L$6</f>
        <v>261.04640000000001</v>
      </c>
      <c r="R902" s="390">
        <v>1.2</v>
      </c>
      <c r="S902" s="400">
        <f>SUMIFS(Таблица14[часы],Таблица14[коэф],"1,2",Таблица14[р/р],"5/16",Таблица14[Ф. И. О.],B902)</f>
        <v>0</v>
      </c>
      <c r="T902" s="392">
        <f>SUMIFS(Таблица14[Столбец2],Таблица14[коэф],"1,2",Таблица14[р/р],"5/16",Таблица14[Ф. И. О.],B902)</f>
        <v>0</v>
      </c>
      <c r="U902" s="478">
        <f>база!$M$6</f>
        <v>279.0496</v>
      </c>
      <c r="V902" s="390">
        <v>1.2</v>
      </c>
      <c r="W902" s="412">
        <f>SUMIFS(Таблица14[часы],Таблица14[коэф],"1,2",Таблица14[р/р],"5/24",Таблица14[Ф. И. О.],B902)</f>
        <v>0</v>
      </c>
      <c r="X902" s="545">
        <f>SUMIFS(Таблица14[Столбец2],Таблица14[коэф],"1,2",Таблица14[р/р],"5/24",Таблица14[Ф. И. О.],B902)</f>
        <v>0</v>
      </c>
      <c r="Y902" s="801"/>
      <c r="Z902" s="797"/>
      <c r="AA902" s="786"/>
      <c r="AC902" s="754" t="str">
        <f>IF(SUMIFS(Таблица14[Столбец2],Таблица14[Ф. И. О.],B902)-Z897=0,"",SUMIFS(Таблица14[Столбец2],Таблица14[Ф. И. О.],B902)-Z897)</f>
        <v/>
      </c>
    </row>
    <row r="903" spans="1:29" ht="18.75" customHeight="1">
      <c r="A903" s="786"/>
      <c r="B903" s="216"/>
      <c r="C903" s="789"/>
      <c r="D903" s="792"/>
      <c r="E903" s="389"/>
      <c r="F903" s="390"/>
      <c r="G903" s="400"/>
      <c r="H903" s="392"/>
      <c r="I903" s="432"/>
      <c r="J903" s="433"/>
      <c r="K903" s="434"/>
      <c r="L903" s="434"/>
      <c r="M903" s="434"/>
      <c r="N903" s="434"/>
      <c r="O903" s="434"/>
      <c r="P903" s="406"/>
      <c r="Q903" s="389">
        <f>IF($D$6&lt;=3,база!$L$4,
IF($D$6=4,база!$L$5,
IF($D$6=5,база!$L$6)))</f>
        <v>231.45480000000001</v>
      </c>
      <c r="R903" s="390">
        <v>1.3</v>
      </c>
      <c r="S903" s="400">
        <f>SUMIFS(Таблица14[часы],Таблица14[коэф],"1,3",Таблица14[р/р],"3/16",Таблица14[Ф. И. О.],B902)</f>
        <v>0</v>
      </c>
      <c r="T903" s="392">
        <f>SUMIFS(Таблица14[Столбец2],Таблица14[коэф],"1,3",Таблица14[р/р],"3/16",Таблица14[Ф. И. О.],B902)</f>
        <v>0</v>
      </c>
      <c r="U903" s="478" t="e">
        <f>IF(D897&lt;=3,база!$M$4,
IF(D897=4,база!$M$5,
IF(D897=5,база!$M$6)))</f>
        <v>#N/A</v>
      </c>
      <c r="V903" s="390">
        <v>1.3</v>
      </c>
      <c r="W903" s="412">
        <f>SUMIFS(Таблица14[часы],Таблица14[коэф],"1,3",Таблица14[р/р],"3/24",Таблица14[Ф. И. О.],B902)</f>
        <v>0</v>
      </c>
      <c r="X903" s="545">
        <f>SUMIFS(Таблица14[Столбец2],Таблица14[коэф],"1,3",Таблица14[р/р],"3/24",Таблица14[Ф. И. О.],B902)</f>
        <v>0</v>
      </c>
      <c r="Y903" s="801"/>
      <c r="Z903" s="797"/>
      <c r="AA903" s="786"/>
      <c r="AC903" s="754" t="str">
        <f>IF(SUMIFS(Таблица14[часы],Таблица14[Ф. И. О.],B902)-Y897=0,"",SUMIFS(Таблица14[часы],Таблица14[Ф. И. О.],B902)-Y897)</f>
        <v/>
      </c>
    </row>
    <row r="904" spans="1:29" ht="18.75" customHeight="1">
      <c r="A904" s="786"/>
      <c r="B904" s="216"/>
      <c r="C904" s="789"/>
      <c r="D904" s="792"/>
      <c r="E904" s="389"/>
      <c r="F904" s="390"/>
      <c r="G904" s="400"/>
      <c r="H904" s="392"/>
      <c r="I904" s="432"/>
      <c r="J904" s="433"/>
      <c r="K904" s="434"/>
      <c r="L904" s="434"/>
      <c r="M904" s="434"/>
      <c r="N904" s="434"/>
      <c r="O904" s="434"/>
      <c r="P904" s="406"/>
      <c r="Q904" s="389">
        <f>база!$L$5</f>
        <v>231.45480000000001</v>
      </c>
      <c r="R904" s="390">
        <v>1.3</v>
      </c>
      <c r="S904" s="400">
        <f>SUMIFS(Таблица14[часы],Таблица14[коэф],"1,3",Таблица14[р/р],"4/16",Таблица14[Ф. И. О.],B902)</f>
        <v>0</v>
      </c>
      <c r="T904" s="392">
        <f>SUMIFS(Таблица14[Столбец2],Таблица14[коэф],"1,3",Таблица14[р/р],"4/16",Таблица14[Ф. И. О.],B902)</f>
        <v>0</v>
      </c>
      <c r="U904" s="478">
        <f>база!$M$5</f>
        <v>247.41720000000001</v>
      </c>
      <c r="V904" s="390">
        <v>1.3</v>
      </c>
      <c r="W904" s="412">
        <f>SUMIFS(Таблица14[часы],Таблица14[коэф],"1,3",Таблица14[р/р],"4/24",Таблица14[Ф. И. О.],B902)</f>
        <v>0</v>
      </c>
      <c r="X904" s="545">
        <f>SUMIFS(Таблица14[Столбец2],Таблица14[коэф],"1,3",Таблица14[р/р],"4/24",Таблица14[Ф. И. О.],B902)</f>
        <v>0</v>
      </c>
      <c r="Y904" s="801"/>
      <c r="Z904" s="797"/>
      <c r="AA904" s="786"/>
    </row>
    <row r="905" spans="1:29" ht="18.75" customHeight="1">
      <c r="A905" s="786"/>
      <c r="B905" s="216"/>
      <c r="C905" s="789"/>
      <c r="D905" s="792"/>
      <c r="E905" s="389"/>
      <c r="F905" s="390"/>
      <c r="G905" s="400"/>
      <c r="H905" s="392"/>
      <c r="I905" s="432"/>
      <c r="J905" s="433"/>
      <c r="K905" s="434"/>
      <c r="L905" s="434"/>
      <c r="M905" s="434"/>
      <c r="N905" s="434"/>
      <c r="O905" s="434"/>
      <c r="P905" s="406"/>
      <c r="Q905" s="389" t="e">
        <f>IF(D897&lt;=3,база!$L$4,
IF(D897=4,база!$L$5,
IF(D897=5,база!$L$6)))</f>
        <v>#N/A</v>
      </c>
      <c r="R905" s="390">
        <v>1.4</v>
      </c>
      <c r="S905" s="400">
        <f>SUMIFS(Таблица14[часы],Таблица14[коэф],"1,4",Таблица14[р/р],"3/16",Таблица14[Ф. И. О.],B902)</f>
        <v>0</v>
      </c>
      <c r="T905" s="392">
        <f>SUMIFS(Таблица14[Столбец2],Таблица14[коэф],"1,4",Таблица14[р/р],"3/16",Таблица14[Ф. И. О.],B902)</f>
        <v>0</v>
      </c>
      <c r="U905" s="478" t="e">
        <f>IF(D897&lt;=3,база!$M$4,
IF(D897=4,база!$M$5,
IF(D897=5,база!$M$6)))</f>
        <v>#N/A</v>
      </c>
      <c r="V905" s="390">
        <v>1.4</v>
      </c>
      <c r="W905" s="412">
        <f>SUMIFS(Таблица14[часы],Таблица14[коэф],"1,4",Таблица14[р/р],"3/24",Таблица14[Ф. И. О.],B902)</f>
        <v>0</v>
      </c>
      <c r="X905" s="545">
        <f>SUMIFS(Таблица14[Столбец2],Таблица14[коэф],"1,4",Таблица14[р/р],"3/24",Таблица14[Ф. И. О.],B902)</f>
        <v>0</v>
      </c>
      <c r="Y905" s="801"/>
      <c r="Z905" s="797"/>
      <c r="AA905" s="786"/>
    </row>
    <row r="906" spans="1:29" ht="18.75" customHeight="1">
      <c r="A906" s="786"/>
      <c r="B906" s="216"/>
      <c r="C906" s="789"/>
      <c r="D906" s="792"/>
      <c r="E906" s="389"/>
      <c r="F906" s="390"/>
      <c r="G906" s="400"/>
      <c r="H906" s="392"/>
      <c r="I906" s="432"/>
      <c r="J906" s="433"/>
      <c r="K906" s="434"/>
      <c r="L906" s="434"/>
      <c r="M906" s="434"/>
      <c r="N906" s="434"/>
      <c r="O906" s="434"/>
      <c r="P906" s="406"/>
      <c r="Q906" s="389">
        <f>база!$L$5</f>
        <v>231.45480000000001</v>
      </c>
      <c r="R906" s="390">
        <v>1.4</v>
      </c>
      <c r="S906" s="400">
        <f>SUMIFS(Таблица14[часы],Таблица14[коэф],"1,4",Таблица14[р/р],"4/16",Таблица14[Ф. И. О.],B902)</f>
        <v>0</v>
      </c>
      <c r="T906" s="392">
        <f>SUMIFS(Таблица14[Столбец2],Таблица14[коэф],"1,4",Таблица14[р/р],"4/16",Таблица14[Ф. И. О.],B902)</f>
        <v>0</v>
      </c>
      <c r="U906" s="478">
        <f>база!$M$5</f>
        <v>247.41720000000001</v>
      </c>
      <c r="V906" s="390">
        <v>1.4</v>
      </c>
      <c r="W906" s="412">
        <f>SUMIFS(Таблица14[часы],Таблица14[коэф],"1,4",Таблица14[р/р],"4/24",Таблица14[Ф. И. О.],B902)</f>
        <v>0</v>
      </c>
      <c r="X906" s="545">
        <f>SUMIFS(Таблица14[Столбец2],Таблица14[коэф],"1,4",Таблица14[р/р],"4/24",Таблица14[Ф. И. О.],B902)</f>
        <v>0</v>
      </c>
      <c r="Y906" s="801"/>
      <c r="Z906" s="797"/>
      <c r="AA906" s="786"/>
    </row>
    <row r="907" spans="1:29" ht="19.5" customHeight="1" thickBot="1">
      <c r="A907" s="787"/>
      <c r="B907" s="352"/>
      <c r="C907" s="790"/>
      <c r="D907" s="793"/>
      <c r="E907" s="473"/>
      <c r="F907" s="464"/>
      <c r="G907" s="657"/>
      <c r="H907" s="468"/>
      <c r="I907" s="651"/>
      <c r="J907" s="456"/>
      <c r="K907" s="652"/>
      <c r="L907" s="457"/>
      <c r="M907" s="651"/>
      <c r="N907" s="652"/>
      <c r="O907" s="652"/>
      <c r="P907" s="476"/>
      <c r="Q907" s="658">
        <f>база!$L$6</f>
        <v>261.04640000000001</v>
      </c>
      <c r="R907" s="464">
        <v>1.4</v>
      </c>
      <c r="S907" s="465">
        <f>SUMIFS(Таблица14[часы],Таблица14[коэф],"1,4",Таблица14[р/р],"5/16",Таблица14[Ф. И. О.],B902)</f>
        <v>0</v>
      </c>
      <c r="T907" s="468">
        <f>SUMIFS(Таблица14[Столбец2],Таблица14[коэф],"1,4",Таблица14[р/р],"5/16",Таблица14[Ф. И. О.],B902)</f>
        <v>0</v>
      </c>
      <c r="U907" s="463">
        <f>база!$M$6</f>
        <v>279.0496</v>
      </c>
      <c r="V907" s="464">
        <v>1.4</v>
      </c>
      <c r="W907" s="465">
        <f>SUMIFS(Таблица14[часы],Таблица14[коэф],"1,4",Таблица14[р/р],"5/24",Таблица14[Ф. И. О.],B902)</f>
        <v>0</v>
      </c>
      <c r="X907" s="468">
        <f>SUMIFS(Таблица14[Столбец2],Таблица14[коэф],"1,4",Таблица14[р/р],"5/24",Таблица14[Ф. И. О.],B902)</f>
        <v>0</v>
      </c>
      <c r="Y907" s="802"/>
      <c r="Z907" s="798"/>
      <c r="AA907" s="787"/>
    </row>
    <row r="908" spans="1:29" ht="18.75" customHeight="1">
      <c r="A908" s="786">
        <v>83</v>
      </c>
      <c r="B908" s="216"/>
      <c r="C908" s="788" t="e">
        <f>INDEX(база!$E$2:$E$150, MATCH(B913,база!$B$2:$B$150,0))</f>
        <v>#N/A</v>
      </c>
      <c r="D908" s="791" t="e">
        <f>INDEX(база!$D$2:$D$150, MATCH(B913,база!$B$2:$B$150,0))</f>
        <v>#N/A</v>
      </c>
      <c r="E908" s="481" t="e">
        <f>IF(D908&lt;=3,база!$I$4,
IF(D908=4,база!$I$5,
IF(D908=5,база!$I$6)))</f>
        <v>#N/A</v>
      </c>
      <c r="F908" s="417">
        <v>1</v>
      </c>
      <c r="G908" s="418">
        <f>SUMIFS(Таблица14[часы],Таблица14[коэф],"1",Таблица14[р/р],"2/4",Таблица14[Ф. И. О.],B913)</f>
        <v>0</v>
      </c>
      <c r="H908" s="402">
        <f>SUMIFS(Таблица14[Столбец2],Таблица14[коэф],"1",Таблица14[р/р],"2/4",Таблица14[Ф. И. О.],B913)</f>
        <v>0</v>
      </c>
      <c r="I908" s="452" t="e">
        <f>IF(D908&lt;=3,база!$J$4,
IF(D908=4,база!$J$5,
IF(D908=5,база!$J$6)))</f>
        <v>#N/A</v>
      </c>
      <c r="J908" s="475">
        <v>1</v>
      </c>
      <c r="K908" s="453">
        <f>SUMIFS(Таблица14[часы],Таблица14[коэф],"1",Таблица14[р/р],"2/8",Таблица14[Ф. И. О.],B913)</f>
        <v>0</v>
      </c>
      <c r="L908" s="453">
        <f>SUMIFS(Таблица14[Столбец2],Таблица14[коэф],"1",Таблица14[р/р],"2/8",Таблица14[Ф. И. О.],B913)</f>
        <v>0</v>
      </c>
      <c r="M908" s="453"/>
      <c r="N908" s="453">
        <v>1</v>
      </c>
      <c r="O908" s="453">
        <f>SUMIFS(Data_Tech!$AM$3:$AM$67,Data_Tech!$E$3:$E$67,"1",Data_Tech!$G$3:$G$67,"3/12",Data_Tech!$F$3:$F$67,B913)</f>
        <v>0</v>
      </c>
      <c r="P908" s="398">
        <f>ROUND(M908*N908*O908,2)</f>
        <v>0</v>
      </c>
      <c r="Q908" s="481" t="e">
        <f>IF(D908&lt;=3,база!$L$4,
IF(D908=4,база!$L$5,
IF(D908=5,база!$L$6)))</f>
        <v>#N/A</v>
      </c>
      <c r="R908" s="417">
        <v>1</v>
      </c>
      <c r="S908" s="418">
        <f>SUMIFS(Таблица14[часы],Таблица14[коэф],"1",Таблица14[р/р],"3/16",Таблица14[Ф. И. О.],B913)</f>
        <v>0</v>
      </c>
      <c r="T908" s="402">
        <f>SUMIFS(Таблица14[Столбец2],Таблица14[коэф],"1",Таблица14[р/р],"3/16",Таблица14[Ф. И. О.],B913)</f>
        <v>0</v>
      </c>
      <c r="U908" s="483" t="e">
        <f>IF(D908&lt;=3,база!$M$4,
IF(D908=4,база!$M$5,
IF(D908=5,база!$M$6)))</f>
        <v>#N/A</v>
      </c>
      <c r="V908" s="417">
        <v>1</v>
      </c>
      <c r="W908" s="455">
        <f>SUMIFS(Таблица14[часы],Таблица14[коэф],"1",Таблица14[р/р],"3/24",Таблица14[Ф. И. О.],B913)</f>
        <v>0</v>
      </c>
      <c r="X908" s="552">
        <f>SUMIFS(Таблица14[Столбец2],Таблица14[коэф],"1",Таблица14[р/р],"3/24",Таблица14[Ф. И. О.],B913)</f>
        <v>0</v>
      </c>
      <c r="Y908" s="801">
        <f t="shared" ref="Y908" si="302">SUM(G908:G918,K908:K918,O908:O918,S908:S918,W908:W918)</f>
        <v>0</v>
      </c>
      <c r="Z908" s="797">
        <f t="shared" ref="Z908" si="303">IFERROR(SUM(H908:H918,L908:L918,T908:T918,X908:X918),"")</f>
        <v>0</v>
      </c>
      <c r="AA908" s="786"/>
    </row>
    <row r="909" spans="1:29" ht="18.75" customHeight="1">
      <c r="A909" s="786"/>
      <c r="B909" s="216"/>
      <c r="C909" s="789"/>
      <c r="D909" s="792"/>
      <c r="E909" s="389" t="e">
        <f>IF(D908&lt;=3,база!$I$4,
IF(D908=4,база!$I$5,
IF(D908=5,база!$I$6)))</f>
        <v>#N/A</v>
      </c>
      <c r="F909" s="390">
        <v>1</v>
      </c>
      <c r="G909" s="400">
        <f>SUMIFS(Таблица14[часы],Таблица14[коэф],"1",Таблица14[р/р],"3/4",Таблица14[Ф. И. О.],B913)</f>
        <v>0</v>
      </c>
      <c r="H909" s="392">
        <f>SUMIFS(Таблица14[Столбец2],Таблица14[коэф],"1",Таблица14[р/р],"3/4",Таблица14[Ф. И. О.],B913)</f>
        <v>0</v>
      </c>
      <c r="I909" s="432" t="e">
        <f>IF(D908&lt;=3,база!$J$4,
IF(D908=4,база!$J$5,
IF(D908=5,база!$J$6)))</f>
        <v>#N/A</v>
      </c>
      <c r="J909" s="433">
        <v>1</v>
      </c>
      <c r="K909" s="434">
        <f>SUMIFS(Таблица14[часы],Таблица14[коэф],"1",Таблица14[р/р],"3/8",Таблица14[Ф. И. О.],B913)</f>
        <v>0</v>
      </c>
      <c r="L909" s="434">
        <f>SUMIFS(Таблица14[Столбец2],Таблица14[коэф],"1",Таблица14[р/р],"3/8",Таблица14[Ф. И. О.],B913)</f>
        <v>0</v>
      </c>
      <c r="M909" s="434"/>
      <c r="N909" s="434">
        <v>1</v>
      </c>
      <c r="O909" s="434">
        <f>SUMIFS(Data_Tech!$AM$3:$AM$67,Data_Tech!$E$3:$E$67,"1",Data_Tech!$G$3:$G$67,"4/12",Data_Tech!$F$3:$F$67,B913)</f>
        <v>0</v>
      </c>
      <c r="P909" s="406">
        <f>ROUND(M909*O909,2)</f>
        <v>0</v>
      </c>
      <c r="Q909" s="389">
        <f>база!$L$5</f>
        <v>231.45480000000001</v>
      </c>
      <c r="R909" s="390">
        <v>1</v>
      </c>
      <c r="S909" s="400">
        <f>SUMIFS(Таблица14[часы],Таблица14[коэф],"1",Таблица14[р/р],"4/16",Таблица14[Ф. И. О.],B913)</f>
        <v>0</v>
      </c>
      <c r="T909" s="392">
        <f>SUMIFS(Таблица14[Столбец2],Таблица14[коэф],"1",Таблица14[р/р],"4/16",Таблица14[Ф. И. О.],B913)</f>
        <v>0</v>
      </c>
      <c r="U909" s="478">
        <f>база!$M$5</f>
        <v>247.41720000000001</v>
      </c>
      <c r="V909" s="390">
        <v>1</v>
      </c>
      <c r="W909" s="412">
        <f>SUMIFS(Таблица14[часы],Таблица14[коэф],"1",Таблица14[р/р],"4/24",Таблица14[Ф. И. О.],B913)</f>
        <v>0</v>
      </c>
      <c r="X909" s="545">
        <f>SUMIFS(Таблица14[Столбец2],Таблица14[коэф],"1",Таблица14[р/р],"4/24",Таблица14[Ф. И. О.],B913)</f>
        <v>0</v>
      </c>
      <c r="Y909" s="801"/>
      <c r="Z909" s="797"/>
      <c r="AA909" s="786"/>
    </row>
    <row r="910" spans="1:29" ht="18.75" customHeight="1">
      <c r="A910" s="786"/>
      <c r="B910" s="216"/>
      <c r="C910" s="789"/>
      <c r="D910" s="792"/>
      <c r="E910" s="389"/>
      <c r="F910" s="390"/>
      <c r="G910" s="400"/>
      <c r="H910" s="392"/>
      <c r="I910" s="432"/>
      <c r="J910" s="433"/>
      <c r="K910" s="434"/>
      <c r="L910" s="434"/>
      <c r="M910" s="434"/>
      <c r="N910" s="434"/>
      <c r="O910" s="434"/>
      <c r="P910" s="406"/>
      <c r="Q910" s="389">
        <f>база!$L$6</f>
        <v>261.04640000000001</v>
      </c>
      <c r="R910" s="390">
        <v>1</v>
      </c>
      <c r="S910" s="400">
        <f>SUMIFS(Таблица14[часы],Таблица14[коэф],"1",Таблица14[р/р],"5/16",Таблица14[Ф. И. О.],B913)</f>
        <v>0</v>
      </c>
      <c r="T910" s="392">
        <f>SUMIFS(Таблица14[Столбец2],Таблица14[коэф],"1",Таблица14[р/р],"5/16",Таблица14[Ф. И. О.],B913)</f>
        <v>0</v>
      </c>
      <c r="U910" s="478">
        <f>база!$M$6</f>
        <v>279.0496</v>
      </c>
      <c r="V910" s="390">
        <v>1</v>
      </c>
      <c r="W910" s="412">
        <f>SUMIFS(Таблица14[часы],Таблица14[коэф],"1",Таблица14[р/р],"5/24",Таблица14[Ф. И. О.],B913)</f>
        <v>0</v>
      </c>
      <c r="X910" s="545">
        <f>SUMIFS(Таблица14[Столбец2],Таблица14[коэф],"1",Таблица14[р/р],"5/24",Таблица14[Ф. И. О.],B913)</f>
        <v>0</v>
      </c>
      <c r="Y910" s="801"/>
      <c r="Z910" s="797"/>
      <c r="AA910" s="786"/>
    </row>
    <row r="911" spans="1:29" ht="18.75" customHeight="1">
      <c r="A911" s="786"/>
      <c r="B911" s="216"/>
      <c r="C911" s="789"/>
      <c r="D911" s="792"/>
      <c r="E911" s="389"/>
      <c r="F911" s="390"/>
      <c r="G911" s="400"/>
      <c r="H911" s="392"/>
      <c r="I911" s="432">
        <f>база!$J$5</f>
        <v>215.4924</v>
      </c>
      <c r="J911" s="433">
        <v>1.5</v>
      </c>
      <c r="K911" s="434">
        <f>SUMIFS(Таблица14[часы],Таблица14[коэф],"1,5",Таблица14[р/р],"4/8",Таблица14[Ф. И. О.],B913)</f>
        <v>0</v>
      </c>
      <c r="L911" s="434">
        <f>SUMIFS(Таблица14[Столбец2],Таблица14[коэф],"1,5",Таблица14[р/р],"4/8",Таблица14[Ф. И. О.],B913)</f>
        <v>0</v>
      </c>
      <c r="M911" s="434"/>
      <c r="N911" s="434"/>
      <c r="O911" s="434"/>
      <c r="P911" s="406"/>
      <c r="Q911" s="389" t="e">
        <f>IF(D908&lt;=3,база!$L$4,
IF(D908=4,база!$L$5,
IF(D908=5,база!$L$6)))</f>
        <v>#N/A</v>
      </c>
      <c r="R911" s="390">
        <v>1.2</v>
      </c>
      <c r="S911" s="400">
        <f>SUMIFS(Таблица14[часы],Таблица14[коэф],"1,2",Таблица14[р/р],"3/16",Таблица14[Ф. И. О.],B913)</f>
        <v>0</v>
      </c>
      <c r="T911" s="392">
        <f>SUMIFS(Таблица14[Столбец2],Таблица14[коэф],"1,2",Таблица14[р/р],"3/16",Таблица14[Ф. И. О.],B913)</f>
        <v>0</v>
      </c>
      <c r="U911" s="478" t="e">
        <f>IF(D908&lt;=3,база!$M$4,
IF(D908=4,база!$M$5,
IF(D908=5,база!$M$6)))</f>
        <v>#N/A</v>
      </c>
      <c r="V911" s="390">
        <v>1.2</v>
      </c>
      <c r="W911" s="412">
        <f>SUMIFS(Таблица14[часы],Таблица14[коэф],"1,2",Таблица14[р/р],"3/24",Таблица14[Ф. И. О.],B913)</f>
        <v>0</v>
      </c>
      <c r="X911" s="545">
        <f>SUMIFS(Таблица14[Столбец2],Таблица14[коэф],"1,2",Таблица14[р/р],"3/24",Таблица14[Ф. И. О.],B913)</f>
        <v>0</v>
      </c>
      <c r="Y911" s="801"/>
      <c r="Z911" s="797"/>
      <c r="AA911" s="786"/>
    </row>
    <row r="912" spans="1:29" ht="18.75" customHeight="1">
      <c r="A912" s="786"/>
      <c r="B912" s="216"/>
      <c r="C912" s="789"/>
      <c r="D912" s="792"/>
      <c r="E912" s="389"/>
      <c r="F912" s="390"/>
      <c r="G912" s="400"/>
      <c r="H912" s="392"/>
      <c r="I912" s="432">
        <f>база!$J$6</f>
        <v>243.04319999999998</v>
      </c>
      <c r="J912" s="433">
        <v>1.5</v>
      </c>
      <c r="K912" s="434">
        <f>SUMIFS(Таблица14[часы],Таблица14[коэф],"1,5",Таблица14[р/р],"5/8",Таблица14[Ф. И. О.],B913)</f>
        <v>0</v>
      </c>
      <c r="L912" s="434">
        <f>SUMIFS(Таблица14[Столбец2],Таблица14[коэф],"1,5",Таблица14[р/р],"5/8",Таблица14[Ф. И. О.],B913)</f>
        <v>0</v>
      </c>
      <c r="M912" s="434"/>
      <c r="N912" s="434"/>
      <c r="O912" s="434"/>
      <c r="P912" s="406"/>
      <c r="Q912" s="389">
        <f>база!$L$5</f>
        <v>231.45480000000001</v>
      </c>
      <c r="R912" s="390">
        <v>1.2</v>
      </c>
      <c r="S912" s="400">
        <f>SUMIFS(Таблица14[часы],Таблица14[коэф],"1,2",Таблица14[р/р],"4/16",Таблица14[Ф. И. О.],B913)</f>
        <v>0</v>
      </c>
      <c r="T912" s="392">
        <f>SUMIFS(Таблица14[Столбец2],Таблица14[коэф],"1,2",Таблица14[р/р],"4/16",Таблица14[Ф. И. О.],B913)</f>
        <v>0</v>
      </c>
      <c r="U912" s="478">
        <f>база!$M$5</f>
        <v>247.41720000000001</v>
      </c>
      <c r="V912" s="390">
        <v>1.2</v>
      </c>
      <c r="W912" s="412">
        <f>SUMIFS(Таблица14[часы],Таблица14[коэф],"1,2",Таблица14[р/р],"4/24",Таблица14[Ф. И. О.],B913)</f>
        <v>0</v>
      </c>
      <c r="X912" s="545">
        <f>SUMIFS(Таблица14[Столбец2],Таблица14[коэф],"1,2",Таблица14[р/р],"4/24",Таблица14[Ф. И. О.],B913)</f>
        <v>0</v>
      </c>
      <c r="Y912" s="801"/>
      <c r="Z912" s="797"/>
      <c r="AA912" s="786"/>
    </row>
    <row r="913" spans="1:29" ht="18.75" customHeight="1">
      <c r="A913" s="786"/>
      <c r="B913" s="216">
        <f>база!B84</f>
        <v>0</v>
      </c>
      <c r="C913" s="789"/>
      <c r="D913" s="792"/>
      <c r="E913" s="389"/>
      <c r="F913" s="390"/>
      <c r="G913" s="400"/>
      <c r="H913" s="392"/>
      <c r="I913" s="432"/>
      <c r="J913" s="433"/>
      <c r="K913" s="434"/>
      <c r="L913" s="434"/>
      <c r="M913" s="434"/>
      <c r="N913" s="434"/>
      <c r="O913" s="434"/>
      <c r="P913" s="406"/>
      <c r="Q913" s="389">
        <f>база!$L$6</f>
        <v>261.04640000000001</v>
      </c>
      <c r="R913" s="390">
        <v>1.2</v>
      </c>
      <c r="S913" s="400">
        <f>SUMIFS(Таблица14[часы],Таблица14[коэф],"1,2",Таблица14[р/р],"5/16",Таблица14[Ф. И. О.],B913)</f>
        <v>0</v>
      </c>
      <c r="T913" s="392">
        <f>SUMIFS(Таблица14[Столбец2],Таблица14[коэф],"1,2",Таблица14[р/р],"5/16",Таблица14[Ф. И. О.],B913)</f>
        <v>0</v>
      </c>
      <c r="U913" s="478">
        <f>база!$M$6</f>
        <v>279.0496</v>
      </c>
      <c r="V913" s="390">
        <v>1.2</v>
      </c>
      <c r="W913" s="412">
        <f>SUMIFS(Таблица14[часы],Таблица14[коэф],"1,2",Таблица14[р/р],"5/24",Таблица14[Ф. И. О.],B913)</f>
        <v>0</v>
      </c>
      <c r="X913" s="545">
        <f>SUMIFS(Таблица14[Столбец2],Таблица14[коэф],"1,2",Таблица14[р/р],"5/24",Таблица14[Ф. И. О.],B913)</f>
        <v>0</v>
      </c>
      <c r="Y913" s="801"/>
      <c r="Z913" s="797"/>
      <c r="AA913" s="786"/>
      <c r="AC913" s="754" t="str">
        <f>IF(SUMIFS(Таблица14[Столбец2],Таблица14[Ф. И. О.],B913)-Z908=0,"",SUMIFS(Таблица14[Столбец2],Таблица14[Ф. И. О.],B913)-Z908)</f>
        <v/>
      </c>
    </row>
    <row r="914" spans="1:29" ht="18.75" customHeight="1">
      <c r="A914" s="786"/>
      <c r="B914" s="216"/>
      <c r="C914" s="789"/>
      <c r="D914" s="792"/>
      <c r="E914" s="389"/>
      <c r="F914" s="390"/>
      <c r="G914" s="400"/>
      <c r="H914" s="392"/>
      <c r="I914" s="432"/>
      <c r="J914" s="433"/>
      <c r="K914" s="434"/>
      <c r="L914" s="434"/>
      <c r="M914" s="434"/>
      <c r="N914" s="434"/>
      <c r="O914" s="434"/>
      <c r="P914" s="406"/>
      <c r="Q914" s="389">
        <f>IF($D$6&lt;=3,база!$L$4,
IF($D$6=4,база!$L$5,
IF($D$6=5,база!$L$6)))</f>
        <v>231.45480000000001</v>
      </c>
      <c r="R914" s="390">
        <v>1.3</v>
      </c>
      <c r="S914" s="400">
        <f>SUMIFS(Таблица14[часы],Таблица14[коэф],"1,3",Таблица14[р/р],"3/16",Таблица14[Ф. И. О.],B913)</f>
        <v>0</v>
      </c>
      <c r="T914" s="392">
        <f>SUMIFS(Таблица14[Столбец2],Таблица14[коэф],"1,3",Таблица14[р/р],"3/16",Таблица14[Ф. И. О.],B913)</f>
        <v>0</v>
      </c>
      <c r="U914" s="478" t="e">
        <f>IF(D908&lt;=3,база!$M$4,
IF(D908=4,база!$M$5,
IF(D908=5,база!$M$6)))</f>
        <v>#N/A</v>
      </c>
      <c r="V914" s="390">
        <v>1.3</v>
      </c>
      <c r="W914" s="412">
        <f>SUMIFS(Таблица14[часы],Таблица14[коэф],"1,3",Таблица14[р/р],"3/24",Таблица14[Ф. И. О.],B913)</f>
        <v>0</v>
      </c>
      <c r="X914" s="545">
        <f>SUMIFS(Таблица14[Столбец2],Таблица14[коэф],"1,3",Таблица14[р/р],"3/24",Таблица14[Ф. И. О.],B913)</f>
        <v>0</v>
      </c>
      <c r="Y914" s="801"/>
      <c r="Z914" s="797"/>
      <c r="AA914" s="786"/>
      <c r="AC914" s="754" t="str">
        <f>IF(SUMIFS(Таблица14[часы],Таблица14[Ф. И. О.],B913)-Y908=0,"",SUMIFS(Таблица14[часы],Таблица14[Ф. И. О.],B913)-Y908)</f>
        <v/>
      </c>
    </row>
    <row r="915" spans="1:29" ht="18.75" customHeight="1">
      <c r="A915" s="786"/>
      <c r="B915" s="216"/>
      <c r="C915" s="789"/>
      <c r="D915" s="792"/>
      <c r="E915" s="389"/>
      <c r="F915" s="390"/>
      <c r="G915" s="400"/>
      <c r="H915" s="392"/>
      <c r="I915" s="432"/>
      <c r="J915" s="433"/>
      <c r="K915" s="434"/>
      <c r="L915" s="434"/>
      <c r="M915" s="434"/>
      <c r="N915" s="434"/>
      <c r="O915" s="434"/>
      <c r="P915" s="406"/>
      <c r="Q915" s="389">
        <f>база!$L$5</f>
        <v>231.45480000000001</v>
      </c>
      <c r="R915" s="390">
        <v>1.3</v>
      </c>
      <c r="S915" s="400">
        <f>SUMIFS(Таблица14[часы],Таблица14[коэф],"1,3",Таблица14[р/р],"4/16",Таблица14[Ф. И. О.],B913)</f>
        <v>0</v>
      </c>
      <c r="T915" s="392">
        <f>SUMIFS(Таблица14[Столбец2],Таблица14[коэф],"1,3",Таблица14[р/р],"4/16",Таблица14[Ф. И. О.],B913)</f>
        <v>0</v>
      </c>
      <c r="U915" s="478">
        <f>база!$M$5</f>
        <v>247.41720000000001</v>
      </c>
      <c r="V915" s="390">
        <v>1.3</v>
      </c>
      <c r="W915" s="412">
        <f>SUMIFS(Таблица14[часы],Таблица14[коэф],"1,3",Таблица14[р/р],"4/24",Таблица14[Ф. И. О.],B913)</f>
        <v>0</v>
      </c>
      <c r="X915" s="545">
        <f>SUMIFS(Таблица14[Столбец2],Таблица14[коэф],"1,3",Таблица14[р/р],"4/24",Таблица14[Ф. И. О.],B913)</f>
        <v>0</v>
      </c>
      <c r="Y915" s="801"/>
      <c r="Z915" s="797"/>
      <c r="AA915" s="786"/>
    </row>
    <row r="916" spans="1:29" ht="18.75" customHeight="1">
      <c r="A916" s="786"/>
      <c r="B916" s="216"/>
      <c r="C916" s="789"/>
      <c r="D916" s="792"/>
      <c r="E916" s="389"/>
      <c r="F916" s="390"/>
      <c r="G916" s="400"/>
      <c r="H916" s="392"/>
      <c r="I916" s="432"/>
      <c r="J916" s="433"/>
      <c r="K916" s="434"/>
      <c r="L916" s="434"/>
      <c r="M916" s="434"/>
      <c r="N916" s="434"/>
      <c r="O916" s="434"/>
      <c r="P916" s="406"/>
      <c r="Q916" s="389" t="e">
        <f>IF(D908&lt;=3,база!$L$4,
IF(D908=4,база!$L$5,
IF(D908=5,база!$L$6)))</f>
        <v>#N/A</v>
      </c>
      <c r="R916" s="390">
        <v>1.4</v>
      </c>
      <c r="S916" s="400">
        <f>SUMIFS(Таблица14[часы],Таблица14[коэф],"1,4",Таблица14[р/р],"3/16",Таблица14[Ф. И. О.],B913)</f>
        <v>0</v>
      </c>
      <c r="T916" s="392">
        <f>SUMIFS(Таблица14[Столбец2],Таблица14[коэф],"1,4",Таблица14[р/р],"3/16",Таблица14[Ф. И. О.],B913)</f>
        <v>0</v>
      </c>
      <c r="U916" s="478" t="e">
        <f>IF(D908&lt;=3,база!$M$4,
IF(D908=4,база!$M$5,
IF(D908=5,база!$M$6)))</f>
        <v>#N/A</v>
      </c>
      <c r="V916" s="390">
        <v>1.4</v>
      </c>
      <c r="W916" s="412">
        <f>SUMIFS(Таблица14[часы],Таблица14[коэф],"1,4",Таблица14[р/р],"3/24",Таблица14[Ф. И. О.],B913)</f>
        <v>0</v>
      </c>
      <c r="X916" s="545">
        <f>SUMIFS(Таблица14[Столбец2],Таблица14[коэф],"1,4",Таблица14[р/р],"3/24",Таблица14[Ф. И. О.],B913)</f>
        <v>0</v>
      </c>
      <c r="Y916" s="801"/>
      <c r="Z916" s="797"/>
      <c r="AA916" s="786"/>
    </row>
    <row r="917" spans="1:29" ht="18.75" customHeight="1">
      <c r="A917" s="786"/>
      <c r="B917" s="216"/>
      <c r="C917" s="789"/>
      <c r="D917" s="792"/>
      <c r="E917" s="389"/>
      <c r="F917" s="390"/>
      <c r="G917" s="400"/>
      <c r="H917" s="392"/>
      <c r="I917" s="432"/>
      <c r="J917" s="433"/>
      <c r="K917" s="434"/>
      <c r="L917" s="434"/>
      <c r="M917" s="434"/>
      <c r="N917" s="434"/>
      <c r="O917" s="434"/>
      <c r="P917" s="406"/>
      <c r="Q917" s="389">
        <f>база!$L$5</f>
        <v>231.45480000000001</v>
      </c>
      <c r="R917" s="390">
        <v>1.4</v>
      </c>
      <c r="S917" s="400">
        <f>SUMIFS(Таблица14[часы],Таблица14[коэф],"1,4",Таблица14[р/р],"4/16",Таблица14[Ф. И. О.],B913)</f>
        <v>0</v>
      </c>
      <c r="T917" s="392">
        <f>SUMIFS(Таблица14[Столбец2],Таблица14[коэф],"1,4",Таблица14[р/р],"4/16",Таблица14[Ф. И. О.],B913)</f>
        <v>0</v>
      </c>
      <c r="U917" s="478">
        <f>база!$M$5</f>
        <v>247.41720000000001</v>
      </c>
      <c r="V917" s="390">
        <v>1.4</v>
      </c>
      <c r="W917" s="412">
        <f>SUMIFS(Таблица14[часы],Таблица14[коэф],"1,4",Таблица14[р/р],"4/24",Таблица14[Ф. И. О.],B913)</f>
        <v>0</v>
      </c>
      <c r="X917" s="545">
        <f>SUMIFS(Таблица14[Столбец2],Таблица14[коэф],"1,4",Таблица14[р/р],"4/24",Таблица14[Ф. И. О.],B913)</f>
        <v>0</v>
      </c>
      <c r="Y917" s="801"/>
      <c r="Z917" s="797"/>
      <c r="AA917" s="786"/>
    </row>
    <row r="918" spans="1:29" ht="19.5" customHeight="1" thickBot="1">
      <c r="A918" s="787"/>
      <c r="B918" s="352"/>
      <c r="C918" s="790"/>
      <c r="D918" s="793"/>
      <c r="E918" s="481"/>
      <c r="F918" s="417"/>
      <c r="G918" s="486"/>
      <c r="H918" s="402"/>
      <c r="I918" s="396"/>
      <c r="J918" s="475"/>
      <c r="K918" s="397"/>
      <c r="L918" s="434"/>
      <c r="M918" s="396"/>
      <c r="N918" s="397"/>
      <c r="O918" s="397"/>
      <c r="P918" s="398"/>
      <c r="Q918" s="487">
        <f>база!$L$6</f>
        <v>261.04640000000001</v>
      </c>
      <c r="R918" s="417">
        <v>1.4</v>
      </c>
      <c r="S918" s="418">
        <f>SUMIFS(Таблица14[часы],Таблица14[коэф],"1,4",Таблица14[р/р],"5/16",Таблица14[Ф. И. О.],B913)</f>
        <v>0</v>
      </c>
      <c r="T918" s="402">
        <f>SUMIFS(Таблица14[Столбец2],Таблица14[коэф],"1,4",Таблица14[р/р],"5/16",Таблица14[Ф. И. О.],B913)</f>
        <v>0</v>
      </c>
      <c r="U918" s="451">
        <f>база!$M$6</f>
        <v>279.0496</v>
      </c>
      <c r="V918" s="390">
        <v>1.4</v>
      </c>
      <c r="W918" s="418">
        <f>SUMIFS(Таблица14[часы],Таблица14[коэф],"1,4",Таблица14[р/р],"5/24",Таблица14[Ф. И. О.],B913)</f>
        <v>0</v>
      </c>
      <c r="X918" s="402">
        <f>SUMIFS(Таблица14[Столбец2],Таблица14[коэф],"1,4",Таблица14[р/р],"5/24",Таблица14[Ф. И. О.],B913)</f>
        <v>0</v>
      </c>
      <c r="Y918" s="802"/>
      <c r="Z918" s="798"/>
      <c r="AA918" s="787"/>
    </row>
    <row r="919" spans="1:29" ht="18.75" customHeight="1">
      <c r="A919" s="786">
        <v>84</v>
      </c>
      <c r="B919" s="216"/>
      <c r="C919" s="788" t="e">
        <f>INDEX(база!$E$2:$E$150, MATCH(B924,база!$B$2:$B$150,0))</f>
        <v>#N/A</v>
      </c>
      <c r="D919" s="791" t="e">
        <f>INDEX(база!$D$2:$D$150, MATCH(B924,база!$B$2:$B$150,0))</f>
        <v>#N/A</v>
      </c>
      <c r="E919" s="481" t="e">
        <f>IF(D919&lt;=3,база!$I$4,
IF(D919=4,база!$I$5,
IF(D919=5,база!$I$6)))</f>
        <v>#N/A</v>
      </c>
      <c r="F919" s="417">
        <v>1</v>
      </c>
      <c r="G919" s="418">
        <f>SUMIFS(Таблица14[часы],Таблица14[коэф],"1",Таблица14[р/р],"2/4",Таблица14[Ф. И. О.],B924)</f>
        <v>0</v>
      </c>
      <c r="H919" s="402">
        <f>SUMIFS(Таблица14[Столбец2],Таблица14[коэф],"1",Таблица14[р/р],"2/4",Таблица14[Ф. И. О.],B924)</f>
        <v>0</v>
      </c>
      <c r="I919" s="452" t="e">
        <f>IF(D919&lt;=3,база!$J$4,
IF(D919=4,база!$J$5,
IF(D919=5,база!$J$6)))</f>
        <v>#N/A</v>
      </c>
      <c r="J919" s="475">
        <v>1</v>
      </c>
      <c r="K919" s="453">
        <f>SUMIFS(Таблица14[часы],Таблица14[коэф],"1",Таблица14[р/р],"2/8",Таблица14[Ф. И. О.],B924)</f>
        <v>0</v>
      </c>
      <c r="L919" s="453">
        <f>SUMIFS(Таблица14[Столбец2],Таблица14[коэф],"1",Таблица14[р/р],"2/8",Таблица14[Ф. И. О.],B924)</f>
        <v>0</v>
      </c>
      <c r="M919" s="453"/>
      <c r="N919" s="453">
        <v>1</v>
      </c>
      <c r="O919" s="453">
        <f>SUMIFS(Data_Tech!$AM$3:$AM$67,Data_Tech!$E$3:$E$67,"1",Data_Tech!$G$3:$G$67,"3/12",Data_Tech!$F$3:$F$67,B924)</f>
        <v>0</v>
      </c>
      <c r="P919" s="398">
        <f>ROUND(M919*N919*O919,2)</f>
        <v>0</v>
      </c>
      <c r="Q919" s="481" t="e">
        <f>IF(D919&lt;=3,база!$L$4,
IF(D919=4,база!$L$5,
IF(D919=5,база!$L$6)))</f>
        <v>#N/A</v>
      </c>
      <c r="R919" s="417">
        <v>1</v>
      </c>
      <c r="S919" s="418">
        <f>SUMIFS(Таблица14[часы],Таблица14[коэф],"1",Таблица14[р/р],"3/16",Таблица14[Ф. И. О.],B924)</f>
        <v>0</v>
      </c>
      <c r="T919" s="402">
        <f>SUMIFS(Таблица14[Столбец2],Таблица14[коэф],"1",Таблица14[р/р],"3/16",Таблица14[Ф. И. О.],B924)</f>
        <v>0</v>
      </c>
      <c r="U919" s="483" t="e">
        <f>IF(D919&lt;=3,база!$M$4,
IF(D919=4,база!$M$5,
IF(D919=5,база!$M$6)))</f>
        <v>#N/A</v>
      </c>
      <c r="V919" s="417">
        <v>1</v>
      </c>
      <c r="W919" s="455">
        <f>SUMIFS(Таблица14[часы],Таблица14[коэф],"1",Таблица14[р/р],"3/24",Таблица14[Ф. И. О.],B924)</f>
        <v>0</v>
      </c>
      <c r="X919" s="552">
        <f>SUMIFS(Таблица14[Столбец2],Таблица14[коэф],"1",Таблица14[р/р],"3/24",Таблица14[Ф. И. О.],B924)</f>
        <v>0</v>
      </c>
      <c r="Y919" s="801">
        <f t="shared" ref="Y919" si="304">SUM(G919:G929,K919:K929,O919:O929,S919:S929,W919:W929)</f>
        <v>0</v>
      </c>
      <c r="Z919" s="797">
        <f t="shared" ref="Z919" si="305">IFERROR(SUM(H919:H929,L919:L929,T919:T929,X919:X929),"")</f>
        <v>0</v>
      </c>
      <c r="AA919" s="785"/>
    </row>
    <row r="920" spans="1:29" ht="18.75" customHeight="1">
      <c r="A920" s="786"/>
      <c r="B920" s="216"/>
      <c r="C920" s="789"/>
      <c r="D920" s="792"/>
      <c r="E920" s="389" t="e">
        <f>IF(D919&lt;=3,база!$I$4,
IF(D919=4,база!$I$5,
IF(D919=5,база!$I$6)))</f>
        <v>#N/A</v>
      </c>
      <c r="F920" s="390">
        <v>1</v>
      </c>
      <c r="G920" s="400">
        <f>SUMIFS(Таблица14[часы],Таблица14[коэф],"1",Таблица14[р/р],"3/4",Таблица14[Ф. И. О.],B924)</f>
        <v>0</v>
      </c>
      <c r="H920" s="392">
        <f>SUMIFS(Таблица14[Столбец2],Таблица14[коэф],"1",Таблица14[р/р],"3/4",Таблица14[Ф. И. О.],B924)</f>
        <v>0</v>
      </c>
      <c r="I920" s="432" t="e">
        <f>IF(D919&lt;=3,база!$J$4,
IF(D919=4,база!$J$5,
IF(D919=5,база!$J$6)))</f>
        <v>#N/A</v>
      </c>
      <c r="J920" s="433">
        <v>1</v>
      </c>
      <c r="K920" s="434">
        <f>SUMIFS(Таблица14[часы],Таблица14[коэф],"1",Таблица14[р/р],"3/8",Таблица14[Ф. И. О.],B924)</f>
        <v>0</v>
      </c>
      <c r="L920" s="434">
        <f>SUMIFS(Таблица14[Столбец2],Таблица14[коэф],"1",Таблица14[р/р],"3/8",Таблица14[Ф. И. О.],B924)</f>
        <v>0</v>
      </c>
      <c r="M920" s="434"/>
      <c r="N920" s="434">
        <v>1</v>
      </c>
      <c r="O920" s="434">
        <f>SUMIFS(Data_Tech!$AM$3:$AM$67,Data_Tech!$E$3:$E$67,"1",Data_Tech!$G$3:$G$67,"4/12",Data_Tech!$F$3:$F$67,B924)</f>
        <v>0</v>
      </c>
      <c r="P920" s="406">
        <f>ROUND(M920*O920,2)</f>
        <v>0</v>
      </c>
      <c r="Q920" s="389">
        <f>база!$L$5</f>
        <v>231.45480000000001</v>
      </c>
      <c r="R920" s="390">
        <v>1</v>
      </c>
      <c r="S920" s="400">
        <f>SUMIFS(Таблица14[часы],Таблица14[коэф],"1",Таблица14[р/р],"4/16",Таблица14[Ф. И. О.],B924)</f>
        <v>0</v>
      </c>
      <c r="T920" s="392">
        <f>SUMIFS(Таблица14[Столбец2],Таблица14[коэф],"1",Таблица14[р/р],"4/16",Таблица14[Ф. И. О.],B924)</f>
        <v>0</v>
      </c>
      <c r="U920" s="478">
        <f>база!$M$5</f>
        <v>247.41720000000001</v>
      </c>
      <c r="V920" s="390">
        <v>1</v>
      </c>
      <c r="W920" s="412">
        <f>SUMIFS(Таблица14[часы],Таблица14[коэф],"1",Таблица14[р/р],"4/24",Таблица14[Ф. И. О.],B924)</f>
        <v>0</v>
      </c>
      <c r="X920" s="545">
        <f>SUMIFS(Таблица14[Столбец2],Таблица14[коэф],"1",Таблица14[р/р],"4/24",Таблица14[Ф. И. О.],B924)</f>
        <v>0</v>
      </c>
      <c r="Y920" s="801"/>
      <c r="Z920" s="797"/>
      <c r="AA920" s="786"/>
    </row>
    <row r="921" spans="1:29" ht="18.75" customHeight="1">
      <c r="A921" s="786"/>
      <c r="B921" s="216"/>
      <c r="C921" s="789"/>
      <c r="D921" s="792"/>
      <c r="E921" s="389"/>
      <c r="F921" s="390"/>
      <c r="G921" s="400"/>
      <c r="H921" s="392"/>
      <c r="I921" s="432"/>
      <c r="J921" s="433"/>
      <c r="K921" s="434"/>
      <c r="L921" s="434"/>
      <c r="M921" s="434"/>
      <c r="N921" s="434"/>
      <c r="O921" s="434"/>
      <c r="P921" s="406"/>
      <c r="Q921" s="389">
        <f>база!$L$6</f>
        <v>261.04640000000001</v>
      </c>
      <c r="R921" s="390">
        <v>1</v>
      </c>
      <c r="S921" s="400">
        <f>SUMIFS(Таблица14[часы],Таблица14[коэф],"1",Таблица14[р/р],"5/16",Таблица14[Ф. И. О.],B924)</f>
        <v>0</v>
      </c>
      <c r="T921" s="392">
        <f>SUMIFS(Таблица14[Столбец2],Таблица14[коэф],"1",Таблица14[р/р],"5/16",Таблица14[Ф. И. О.],B924)</f>
        <v>0</v>
      </c>
      <c r="U921" s="478">
        <f>база!$M$6</f>
        <v>279.0496</v>
      </c>
      <c r="V921" s="390">
        <v>1</v>
      </c>
      <c r="W921" s="412">
        <f>SUMIFS(Таблица14[часы],Таблица14[коэф],"1",Таблица14[р/р],"5/24",Таблица14[Ф. И. О.],B924)</f>
        <v>0</v>
      </c>
      <c r="X921" s="545">
        <f>SUMIFS(Таблица14[Столбец2],Таблица14[коэф],"1",Таблица14[р/р],"5/24",Таблица14[Ф. И. О.],B924)</f>
        <v>0</v>
      </c>
      <c r="Y921" s="801"/>
      <c r="Z921" s="797"/>
      <c r="AA921" s="786"/>
    </row>
    <row r="922" spans="1:29" ht="18.75" customHeight="1">
      <c r="A922" s="786"/>
      <c r="B922" s="216"/>
      <c r="C922" s="789"/>
      <c r="D922" s="792"/>
      <c r="E922" s="389"/>
      <c r="F922" s="390"/>
      <c r="G922" s="400"/>
      <c r="H922" s="392"/>
      <c r="I922" s="432">
        <f>база!$J$5</f>
        <v>215.4924</v>
      </c>
      <c r="J922" s="433">
        <v>1.5</v>
      </c>
      <c r="K922" s="434">
        <f>SUMIFS(Таблица14[часы],Таблица14[коэф],"1,5",Таблица14[р/р],"4/8",Таблица14[Ф. И. О.],B924)</f>
        <v>0</v>
      </c>
      <c r="L922" s="434">
        <f>SUMIFS(Таблица14[Столбец2],Таблица14[коэф],"1,5",Таблица14[р/р],"4/8",Таблица14[Ф. И. О.],B924)</f>
        <v>0</v>
      </c>
      <c r="M922" s="434"/>
      <c r="N922" s="434"/>
      <c r="O922" s="434"/>
      <c r="P922" s="406"/>
      <c r="Q922" s="389" t="e">
        <f>IF(D919&lt;=3,база!$L$4,
IF(D919=4,база!$L$5,
IF(D919=5,база!$L$6)))</f>
        <v>#N/A</v>
      </c>
      <c r="R922" s="390">
        <v>1.2</v>
      </c>
      <c r="S922" s="400">
        <f>SUMIFS(Таблица14[часы],Таблица14[коэф],"1,2",Таблица14[р/р],"3/16",Таблица14[Ф. И. О.],B924)</f>
        <v>0</v>
      </c>
      <c r="T922" s="392">
        <f>SUMIFS(Таблица14[Столбец2],Таблица14[коэф],"1,2",Таблица14[р/р],"3/16",Таблица14[Ф. И. О.],B924)</f>
        <v>0</v>
      </c>
      <c r="U922" s="478" t="e">
        <f>IF(D919&lt;=3,база!$M$4,
IF(D919=4,база!$M$5,
IF(D919=5,база!$M$6)))</f>
        <v>#N/A</v>
      </c>
      <c r="V922" s="390">
        <v>1.2</v>
      </c>
      <c r="W922" s="412">
        <f>SUMIFS(Таблица14[часы],Таблица14[коэф],"1,2",Таблица14[р/р],"3/24",Таблица14[Ф. И. О.],B924)</f>
        <v>0</v>
      </c>
      <c r="X922" s="545">
        <f>SUMIFS(Таблица14[Столбец2],Таблица14[коэф],"1,2",Таблица14[р/р],"3/24",Таблица14[Ф. И. О.],B924)</f>
        <v>0</v>
      </c>
      <c r="Y922" s="801"/>
      <c r="Z922" s="797"/>
      <c r="AA922" s="786"/>
    </row>
    <row r="923" spans="1:29" ht="18.75" customHeight="1">
      <c r="A923" s="786"/>
      <c r="B923" s="216"/>
      <c r="C923" s="789"/>
      <c r="D923" s="792"/>
      <c r="E923" s="389"/>
      <c r="F923" s="390"/>
      <c r="G923" s="400"/>
      <c r="H923" s="392"/>
      <c r="I923" s="432">
        <f>база!$J$6</f>
        <v>243.04319999999998</v>
      </c>
      <c r="J923" s="433">
        <v>1.5</v>
      </c>
      <c r="K923" s="434">
        <f>SUMIFS(Таблица14[часы],Таблица14[коэф],"1,5",Таблица14[р/р],"5/8",Таблица14[Ф. И. О.],B924)</f>
        <v>0</v>
      </c>
      <c r="L923" s="434">
        <f>SUMIFS(Таблица14[Столбец2],Таблица14[коэф],"1,5",Таблица14[р/р],"5/8",Таблица14[Ф. И. О.],B924)</f>
        <v>0</v>
      </c>
      <c r="M923" s="434"/>
      <c r="N923" s="434"/>
      <c r="O923" s="434"/>
      <c r="P923" s="406"/>
      <c r="Q923" s="389">
        <f>база!$L$5</f>
        <v>231.45480000000001</v>
      </c>
      <c r="R923" s="390">
        <v>1.2</v>
      </c>
      <c r="S923" s="400">
        <f>SUMIFS(Таблица14[часы],Таблица14[коэф],"1,2",Таблица14[р/р],"4/16",Таблица14[Ф. И. О.],B924)</f>
        <v>0</v>
      </c>
      <c r="T923" s="392">
        <f>SUMIFS(Таблица14[Столбец2],Таблица14[коэф],"1,2",Таблица14[р/р],"4/16",Таблица14[Ф. И. О.],B924)</f>
        <v>0</v>
      </c>
      <c r="U923" s="478">
        <f>база!$M$5</f>
        <v>247.41720000000001</v>
      </c>
      <c r="V923" s="390">
        <v>1.2</v>
      </c>
      <c r="W923" s="412">
        <f>SUMIFS(Таблица14[часы],Таблица14[коэф],"1,2",Таблица14[р/р],"4/24",Таблица14[Ф. И. О.],B924)</f>
        <v>0</v>
      </c>
      <c r="X923" s="545">
        <f>SUMIFS(Таблица14[Столбец2],Таблица14[коэф],"1,2",Таблица14[р/р],"4/24",Таблица14[Ф. И. О.],B924)</f>
        <v>0</v>
      </c>
      <c r="Y923" s="801"/>
      <c r="Z923" s="797"/>
      <c r="AA923" s="786"/>
    </row>
    <row r="924" spans="1:29" ht="18.75" customHeight="1">
      <c r="A924" s="786"/>
      <c r="B924" s="216">
        <f>база!B85</f>
        <v>0</v>
      </c>
      <c r="C924" s="789"/>
      <c r="D924" s="792"/>
      <c r="E924" s="389"/>
      <c r="F924" s="390"/>
      <c r="G924" s="400"/>
      <c r="H924" s="392"/>
      <c r="I924" s="432"/>
      <c r="J924" s="433"/>
      <c r="K924" s="434"/>
      <c r="L924" s="434"/>
      <c r="M924" s="434"/>
      <c r="N924" s="434"/>
      <c r="O924" s="434"/>
      <c r="P924" s="406"/>
      <c r="Q924" s="389">
        <f>база!$L$6</f>
        <v>261.04640000000001</v>
      </c>
      <c r="R924" s="390">
        <v>1.2</v>
      </c>
      <c r="S924" s="400">
        <f>SUMIFS(Таблица14[часы],Таблица14[коэф],"1,2",Таблица14[р/р],"5/16",Таблица14[Ф. И. О.],B924)</f>
        <v>0</v>
      </c>
      <c r="T924" s="392">
        <f>SUMIFS(Таблица14[Столбец2],Таблица14[коэф],"1,2",Таблица14[р/р],"5/16",Таблица14[Ф. И. О.],B924)</f>
        <v>0</v>
      </c>
      <c r="U924" s="478">
        <f>база!$M$6</f>
        <v>279.0496</v>
      </c>
      <c r="V924" s="390">
        <v>1.2</v>
      </c>
      <c r="W924" s="412">
        <f>SUMIFS(Таблица14[часы],Таблица14[коэф],"1,2",Таблица14[р/р],"5/24",Таблица14[Ф. И. О.],B924)</f>
        <v>0</v>
      </c>
      <c r="X924" s="545">
        <f>SUMIFS(Таблица14[Столбец2],Таблица14[коэф],"1,2",Таблица14[р/р],"5/24",Таблица14[Ф. И. О.],B924)</f>
        <v>0</v>
      </c>
      <c r="Y924" s="801"/>
      <c r="Z924" s="797"/>
      <c r="AA924" s="786"/>
      <c r="AC924" s="754" t="str">
        <f>IF(SUMIFS(Таблица14[Столбец2],Таблица14[Ф. И. О.],B924)-Z919=0,"",SUMIFS(Таблица14[Столбец2],Таблица14[Ф. И. О.],B924)-Z919)</f>
        <v/>
      </c>
    </row>
    <row r="925" spans="1:29" ht="18.75" customHeight="1">
      <c r="A925" s="786"/>
      <c r="B925" s="216"/>
      <c r="C925" s="789"/>
      <c r="D925" s="792"/>
      <c r="E925" s="389"/>
      <c r="F925" s="390"/>
      <c r="G925" s="400"/>
      <c r="H925" s="392"/>
      <c r="I925" s="432"/>
      <c r="J925" s="433"/>
      <c r="K925" s="434"/>
      <c r="L925" s="434"/>
      <c r="M925" s="434"/>
      <c r="N925" s="434"/>
      <c r="O925" s="434"/>
      <c r="P925" s="406"/>
      <c r="Q925" s="389">
        <f>IF($D$6&lt;=3,база!$L$4,
IF($D$6=4,база!$L$5,
IF($D$6=5,база!$L$6)))</f>
        <v>231.45480000000001</v>
      </c>
      <c r="R925" s="390">
        <v>1.3</v>
      </c>
      <c r="S925" s="400">
        <f>SUMIFS(Таблица14[часы],Таблица14[коэф],"1,3",Таблица14[р/р],"3/16",Таблица14[Ф. И. О.],B924)</f>
        <v>0</v>
      </c>
      <c r="T925" s="392">
        <f>SUMIFS(Таблица14[Столбец2],Таблица14[коэф],"1,3",Таблица14[р/р],"3/16",Таблица14[Ф. И. О.],B924)</f>
        <v>0</v>
      </c>
      <c r="U925" s="478" t="e">
        <f>IF(D919&lt;=3,база!$M$4,
IF(D919=4,база!$M$5,
IF(D919=5,база!$M$6)))</f>
        <v>#N/A</v>
      </c>
      <c r="V925" s="390">
        <v>1.3</v>
      </c>
      <c r="W925" s="412">
        <f>SUMIFS(Таблица14[часы],Таблица14[коэф],"1,3",Таблица14[р/р],"3/24",Таблица14[Ф. И. О.],B924)</f>
        <v>0</v>
      </c>
      <c r="X925" s="545">
        <f>SUMIFS(Таблица14[Столбец2],Таблица14[коэф],"1,3",Таблица14[р/р],"3/24",Таблица14[Ф. И. О.],B924)</f>
        <v>0</v>
      </c>
      <c r="Y925" s="801"/>
      <c r="Z925" s="797"/>
      <c r="AA925" s="786"/>
      <c r="AC925" s="754" t="str">
        <f>IF(SUMIFS(Таблица14[часы],Таблица14[Ф. И. О.],B924)-Y919=0,"",SUMIFS(Таблица14[часы],Таблица14[Ф. И. О.],B924)-Y919)</f>
        <v/>
      </c>
    </row>
    <row r="926" spans="1:29" ht="18.75" customHeight="1">
      <c r="A926" s="786"/>
      <c r="B926" s="216"/>
      <c r="C926" s="789"/>
      <c r="D926" s="792"/>
      <c r="E926" s="389"/>
      <c r="F926" s="390"/>
      <c r="G926" s="400"/>
      <c r="H926" s="392"/>
      <c r="I926" s="432"/>
      <c r="J926" s="433"/>
      <c r="K926" s="434"/>
      <c r="L926" s="434"/>
      <c r="M926" s="434"/>
      <c r="N926" s="434"/>
      <c r="O926" s="434"/>
      <c r="P926" s="406"/>
      <c r="Q926" s="389">
        <f>база!$L$5</f>
        <v>231.45480000000001</v>
      </c>
      <c r="R926" s="390">
        <v>1.3</v>
      </c>
      <c r="S926" s="400">
        <f>SUMIFS(Таблица14[часы],Таблица14[коэф],"1,3",Таблица14[р/р],"4/16",Таблица14[Ф. И. О.],B924)</f>
        <v>0</v>
      </c>
      <c r="T926" s="392">
        <f>SUMIFS(Таблица14[Столбец2],Таблица14[коэф],"1,3",Таблица14[р/р],"4/16",Таблица14[Ф. И. О.],B924)</f>
        <v>0</v>
      </c>
      <c r="U926" s="478">
        <f>база!$M$5</f>
        <v>247.41720000000001</v>
      </c>
      <c r="V926" s="390">
        <v>1.3</v>
      </c>
      <c r="W926" s="412">
        <f>SUMIFS(Таблица14[часы],Таблица14[коэф],"1,3",Таблица14[р/р],"4/24",Таблица14[Ф. И. О.],B924)</f>
        <v>0</v>
      </c>
      <c r="X926" s="545">
        <f>SUMIFS(Таблица14[Столбец2],Таблица14[коэф],"1,3",Таблица14[р/р],"4/24",Таблица14[Ф. И. О.],B924)</f>
        <v>0</v>
      </c>
      <c r="Y926" s="801"/>
      <c r="Z926" s="797"/>
      <c r="AA926" s="786"/>
    </row>
    <row r="927" spans="1:29" ht="18.75" customHeight="1">
      <c r="A927" s="786"/>
      <c r="B927" s="216"/>
      <c r="C927" s="789"/>
      <c r="D927" s="792"/>
      <c r="E927" s="389"/>
      <c r="F927" s="390"/>
      <c r="G927" s="400"/>
      <c r="H927" s="392"/>
      <c r="I927" s="432"/>
      <c r="J927" s="433"/>
      <c r="K927" s="434"/>
      <c r="L927" s="434"/>
      <c r="M927" s="434"/>
      <c r="N927" s="434"/>
      <c r="O927" s="434"/>
      <c r="P927" s="406"/>
      <c r="Q927" s="389" t="e">
        <f>IF(D919&lt;=3,база!$L$4,
IF(D919=4,база!$L$5,
IF(D919=5,база!$L$6)))</f>
        <v>#N/A</v>
      </c>
      <c r="R927" s="390">
        <v>1.4</v>
      </c>
      <c r="S927" s="400">
        <f>SUMIFS(Таблица14[часы],Таблица14[коэф],"1,4",Таблица14[р/р],"3/16",Таблица14[Ф. И. О.],B924)</f>
        <v>0</v>
      </c>
      <c r="T927" s="392">
        <f>SUMIFS(Таблица14[Столбец2],Таблица14[коэф],"1,4",Таблица14[р/р],"3/16",Таблица14[Ф. И. О.],B924)</f>
        <v>0</v>
      </c>
      <c r="U927" s="478" t="e">
        <f>IF(D919&lt;=3,база!$M$4,
IF(D919=4,база!$M$5,
IF(D919=5,база!$M$6)))</f>
        <v>#N/A</v>
      </c>
      <c r="V927" s="390">
        <v>1.4</v>
      </c>
      <c r="W927" s="412">
        <f>SUMIFS(Таблица14[часы],Таблица14[коэф],"1,4",Таблица14[р/р],"3/24",Таблица14[Ф. И. О.],B924)</f>
        <v>0</v>
      </c>
      <c r="X927" s="545">
        <f>SUMIFS(Таблица14[Столбец2],Таблица14[коэф],"1,4",Таблица14[р/р],"3/24",Таблица14[Ф. И. О.],B924)</f>
        <v>0</v>
      </c>
      <c r="Y927" s="801"/>
      <c r="Z927" s="797"/>
      <c r="AA927" s="786"/>
    </row>
    <row r="928" spans="1:29" ht="18.75" customHeight="1">
      <c r="A928" s="786"/>
      <c r="B928" s="216"/>
      <c r="C928" s="789"/>
      <c r="D928" s="792"/>
      <c r="E928" s="389"/>
      <c r="F928" s="390"/>
      <c r="G928" s="400"/>
      <c r="H928" s="392"/>
      <c r="I928" s="432"/>
      <c r="J928" s="433"/>
      <c r="K928" s="434"/>
      <c r="L928" s="434"/>
      <c r="M928" s="434"/>
      <c r="N928" s="434"/>
      <c r="O928" s="434"/>
      <c r="P928" s="406"/>
      <c r="Q928" s="389">
        <f>база!$L$5</f>
        <v>231.45480000000001</v>
      </c>
      <c r="R928" s="390">
        <v>1.4</v>
      </c>
      <c r="S928" s="400">
        <f>SUMIFS(Таблица14[часы],Таблица14[коэф],"1,4",Таблица14[р/р],"4/16",Таблица14[Ф. И. О.],B924)</f>
        <v>0</v>
      </c>
      <c r="T928" s="392">
        <f>SUMIFS(Таблица14[Столбец2],Таблица14[коэф],"1,4",Таблица14[р/р],"4/16",Таблица14[Ф. И. О.],B924)</f>
        <v>0</v>
      </c>
      <c r="U928" s="478">
        <f>база!$M$5</f>
        <v>247.41720000000001</v>
      </c>
      <c r="V928" s="390">
        <v>1.4</v>
      </c>
      <c r="W928" s="412">
        <f>SUMIFS(Таблица14[часы],Таблица14[коэф],"1,4",Таблица14[р/р],"4/24",Таблица14[Ф. И. О.],B924)</f>
        <v>0</v>
      </c>
      <c r="X928" s="545">
        <f>SUMIFS(Таблица14[Столбец2],Таблица14[коэф],"1,4",Таблица14[р/р],"4/24",Таблица14[Ф. И. О.],B924)</f>
        <v>0</v>
      </c>
      <c r="Y928" s="801"/>
      <c r="Z928" s="797"/>
      <c r="AA928" s="786"/>
    </row>
    <row r="929" spans="1:29" ht="19.5" customHeight="1" thickBot="1">
      <c r="A929" s="787"/>
      <c r="B929" s="352"/>
      <c r="C929" s="790"/>
      <c r="D929" s="793"/>
      <c r="E929" s="473"/>
      <c r="F929" s="464"/>
      <c r="G929" s="657"/>
      <c r="H929" s="468"/>
      <c r="I929" s="651"/>
      <c r="J929" s="456"/>
      <c r="K929" s="652"/>
      <c r="L929" s="457"/>
      <c r="M929" s="651"/>
      <c r="N929" s="652"/>
      <c r="O929" s="652"/>
      <c r="P929" s="476"/>
      <c r="Q929" s="658">
        <f>база!$L$6</f>
        <v>261.04640000000001</v>
      </c>
      <c r="R929" s="464">
        <v>1.4</v>
      </c>
      <c r="S929" s="465">
        <f>SUMIFS(Таблица14[часы],Таблица14[коэф],"1,4",Таблица14[р/р],"5/16",Таблица14[Ф. И. О.],B924)</f>
        <v>0</v>
      </c>
      <c r="T929" s="468">
        <f>SUMIFS(Таблица14[Столбец2],Таблица14[коэф],"1,4",Таблица14[р/р],"5/16",Таблица14[Ф. И. О.],B924)</f>
        <v>0</v>
      </c>
      <c r="U929" s="463">
        <f>база!$M$6</f>
        <v>279.0496</v>
      </c>
      <c r="V929" s="464">
        <v>1.4</v>
      </c>
      <c r="W929" s="465">
        <f>SUMIFS(Таблица14[часы],Таблица14[коэф],"1,4",Таблица14[р/р],"5/24",Таблица14[Ф. И. О.],B924)</f>
        <v>0</v>
      </c>
      <c r="X929" s="468">
        <f>SUMIFS(Таблица14[Столбец2],Таблица14[коэф],"1,4",Таблица14[р/р],"5/24",Таблица14[Ф. И. О.],B924)</f>
        <v>0</v>
      </c>
      <c r="Y929" s="802"/>
      <c r="Z929" s="798"/>
      <c r="AA929" s="787"/>
    </row>
    <row r="930" spans="1:29" ht="18.75" customHeight="1">
      <c r="A930" s="786">
        <v>85</v>
      </c>
      <c r="B930" s="216"/>
      <c r="C930" s="788" t="e">
        <f>INDEX(база!$E$2:$E$150, MATCH(B935,база!$B$2:$B$150,0))</f>
        <v>#N/A</v>
      </c>
      <c r="D930" s="791" t="e">
        <f>INDEX(база!$D$2:$D$150, MATCH(B935,база!$B$2:$B$150,0))</f>
        <v>#N/A</v>
      </c>
      <c r="E930" s="481" t="e">
        <f>IF(D930&lt;=3,база!$I$4,
IF(D930=4,база!$I$5,
IF(D930=5,база!$I$6)))</f>
        <v>#N/A</v>
      </c>
      <c r="F930" s="417">
        <v>1</v>
      </c>
      <c r="G930" s="418">
        <f>SUMIFS(Таблица14[часы],Таблица14[коэф],"1",Таблица14[р/р],"2/4",Таблица14[Ф. И. О.],B935)</f>
        <v>0</v>
      </c>
      <c r="H930" s="402">
        <f>SUMIFS(Таблица14[Столбец2],Таблица14[коэф],"1",Таблица14[р/р],"2/4",Таблица14[Ф. И. О.],B935)</f>
        <v>0</v>
      </c>
      <c r="I930" s="452" t="e">
        <f>IF(D930&lt;=3,база!$J$4,
IF(D930=4,база!$J$5,
IF(D930=5,база!$J$6)))</f>
        <v>#N/A</v>
      </c>
      <c r="J930" s="475">
        <v>1</v>
      </c>
      <c r="K930" s="453">
        <f>SUMIFS(Таблица14[часы],Таблица14[коэф],"1",Таблица14[р/р],"2/8",Таблица14[Ф. И. О.],B935)</f>
        <v>0</v>
      </c>
      <c r="L930" s="453">
        <f>SUMIFS(Таблица14[Столбец2],Таблица14[коэф],"1",Таблица14[р/р],"2/8",Таблица14[Ф. И. О.],B935)</f>
        <v>0</v>
      </c>
      <c r="M930" s="453"/>
      <c r="N930" s="453">
        <v>1</v>
      </c>
      <c r="O930" s="453">
        <f>SUMIFS(Data_Tech!$AM$3:$AM$67,Data_Tech!$E$3:$E$67,"1",Data_Tech!$G$3:$G$67,"3/12",Data_Tech!$F$3:$F$67,B935)</f>
        <v>0</v>
      </c>
      <c r="P930" s="398">
        <f>ROUND(M930*N930*O930,2)</f>
        <v>0</v>
      </c>
      <c r="Q930" s="481" t="e">
        <f>IF(D930&lt;=3,база!$L$4,
IF(D930=4,база!$L$5,
IF(D930=5,база!$L$6)))</f>
        <v>#N/A</v>
      </c>
      <c r="R930" s="417">
        <v>1</v>
      </c>
      <c r="S930" s="418">
        <f>SUMIFS(Таблица14[часы],Таблица14[коэф],"1",Таблица14[р/р],"3/16",Таблица14[Ф. И. О.],B935)</f>
        <v>0</v>
      </c>
      <c r="T930" s="402">
        <f>SUMIFS(Таблица14[Столбец2],Таблица14[коэф],"1",Таблица14[р/р],"3/16",Таблица14[Ф. И. О.],B935)</f>
        <v>0</v>
      </c>
      <c r="U930" s="483" t="e">
        <f>IF(D930&lt;=3,база!$M$4,
IF(D930=4,база!$M$5,
IF(D930=5,база!$M$6)))</f>
        <v>#N/A</v>
      </c>
      <c r="V930" s="417">
        <v>1</v>
      </c>
      <c r="W930" s="455">
        <f>SUMIFS(Таблица14[часы],Таблица14[коэф],"1",Таблица14[р/р],"3/24",Таблица14[Ф. И. О.],B935)</f>
        <v>0</v>
      </c>
      <c r="X930" s="552">
        <f>SUMIFS(Таблица14[Столбец2],Таблица14[коэф],"1",Таблица14[р/р],"3/24",Таблица14[Ф. И. О.],B935)</f>
        <v>0</v>
      </c>
      <c r="Y930" s="801">
        <f t="shared" ref="Y930" si="306">SUM(G930:G940,K930:K940,O930:O940,S930:S940,W930:W940)</f>
        <v>0</v>
      </c>
      <c r="Z930" s="797">
        <f t="shared" ref="Z930" si="307">IFERROR(SUM(H930:H940,L930:L940,T930:T940,X930:X940),"")</f>
        <v>0</v>
      </c>
      <c r="AA930" s="786"/>
    </row>
    <row r="931" spans="1:29" ht="18.75" customHeight="1">
      <c r="A931" s="786"/>
      <c r="B931" s="216"/>
      <c r="C931" s="789"/>
      <c r="D931" s="792"/>
      <c r="E931" s="389" t="e">
        <f>IF(D930&lt;=3,база!$I$4,
IF(D930=4,база!$I$5,
IF(D930=5,база!$I$6)))</f>
        <v>#N/A</v>
      </c>
      <c r="F931" s="390">
        <v>1</v>
      </c>
      <c r="G931" s="400">
        <f>SUMIFS(Таблица14[часы],Таблица14[коэф],"1",Таблица14[р/р],"3/4",Таблица14[Ф. И. О.],B935)</f>
        <v>0</v>
      </c>
      <c r="H931" s="392">
        <f>SUMIFS(Таблица14[Столбец2],Таблица14[коэф],"1",Таблица14[р/р],"3/4",Таблица14[Ф. И. О.],B935)</f>
        <v>0</v>
      </c>
      <c r="I931" s="432" t="e">
        <f>IF(D930&lt;=3,база!$J$4,
IF(D930=4,база!$J$5,
IF(D930=5,база!$J$6)))</f>
        <v>#N/A</v>
      </c>
      <c r="J931" s="433">
        <v>1</v>
      </c>
      <c r="K931" s="434">
        <f>SUMIFS(Таблица14[часы],Таблица14[коэф],"1",Таблица14[р/р],"3/8",Таблица14[Ф. И. О.],B935)</f>
        <v>0</v>
      </c>
      <c r="L931" s="434">
        <f>SUMIFS(Таблица14[Столбец2],Таблица14[коэф],"1",Таблица14[р/р],"3/8",Таблица14[Ф. И. О.],B935)</f>
        <v>0</v>
      </c>
      <c r="M931" s="434"/>
      <c r="N931" s="434">
        <v>1</v>
      </c>
      <c r="O931" s="434">
        <f>SUMIFS(Data_Tech!$AM$3:$AM$67,Data_Tech!$E$3:$E$67,"1",Data_Tech!$G$3:$G$67,"4/12",Data_Tech!$F$3:$F$67,B935)</f>
        <v>0</v>
      </c>
      <c r="P931" s="406">
        <f>ROUND(M931*O931,2)</f>
        <v>0</v>
      </c>
      <c r="Q931" s="389">
        <f>база!$L$5</f>
        <v>231.45480000000001</v>
      </c>
      <c r="R931" s="390">
        <v>1</v>
      </c>
      <c r="S931" s="400">
        <f>SUMIFS(Таблица14[часы],Таблица14[коэф],"1",Таблица14[р/р],"4/16",Таблица14[Ф. И. О.],B935)</f>
        <v>0</v>
      </c>
      <c r="T931" s="392">
        <f>SUMIFS(Таблица14[Столбец2],Таблица14[коэф],"1",Таблица14[р/р],"4/16",Таблица14[Ф. И. О.],B935)</f>
        <v>0</v>
      </c>
      <c r="U931" s="478">
        <f>база!$M$5</f>
        <v>247.41720000000001</v>
      </c>
      <c r="V931" s="390">
        <v>1</v>
      </c>
      <c r="W931" s="412">
        <f>SUMIFS(Таблица14[часы],Таблица14[коэф],"1",Таблица14[р/р],"4/24",Таблица14[Ф. И. О.],B935)</f>
        <v>0</v>
      </c>
      <c r="X931" s="545">
        <f>SUMIFS(Таблица14[Столбец2],Таблица14[коэф],"1",Таблица14[р/р],"4/24",Таблица14[Ф. И. О.],B935)</f>
        <v>0</v>
      </c>
      <c r="Y931" s="801"/>
      <c r="Z931" s="797"/>
      <c r="AA931" s="786"/>
    </row>
    <row r="932" spans="1:29" ht="18.75" customHeight="1">
      <c r="A932" s="786"/>
      <c r="B932" s="216"/>
      <c r="C932" s="789"/>
      <c r="D932" s="792"/>
      <c r="E932" s="389"/>
      <c r="F932" s="390"/>
      <c r="G932" s="400"/>
      <c r="H932" s="392"/>
      <c r="I932" s="432"/>
      <c r="J932" s="433"/>
      <c r="K932" s="434"/>
      <c r="L932" s="434"/>
      <c r="M932" s="434"/>
      <c r="N932" s="434"/>
      <c r="O932" s="434"/>
      <c r="P932" s="406"/>
      <c r="Q932" s="389">
        <f>база!$L$6</f>
        <v>261.04640000000001</v>
      </c>
      <c r="R932" s="390">
        <v>1</v>
      </c>
      <c r="S932" s="400">
        <f>SUMIFS(Таблица14[часы],Таблица14[коэф],"1",Таблица14[р/р],"5/16",Таблица14[Ф. И. О.],B935)</f>
        <v>0</v>
      </c>
      <c r="T932" s="392">
        <f>SUMIFS(Таблица14[Столбец2],Таблица14[коэф],"1",Таблица14[р/р],"5/16",Таблица14[Ф. И. О.],B935)</f>
        <v>0</v>
      </c>
      <c r="U932" s="478">
        <f>база!$M$6</f>
        <v>279.0496</v>
      </c>
      <c r="V932" s="390">
        <v>1</v>
      </c>
      <c r="W932" s="412">
        <f>SUMIFS(Таблица14[часы],Таблица14[коэф],"1",Таблица14[р/р],"5/24",Таблица14[Ф. И. О.],B935)</f>
        <v>0</v>
      </c>
      <c r="X932" s="545">
        <f>SUMIFS(Таблица14[Столбец2],Таблица14[коэф],"1",Таблица14[р/р],"5/24",Таблица14[Ф. И. О.],B935)</f>
        <v>0</v>
      </c>
      <c r="Y932" s="801"/>
      <c r="Z932" s="797"/>
      <c r="AA932" s="786"/>
    </row>
    <row r="933" spans="1:29" ht="18.75" customHeight="1">
      <c r="A933" s="786"/>
      <c r="B933" s="216"/>
      <c r="C933" s="789"/>
      <c r="D933" s="792"/>
      <c r="E933" s="389"/>
      <c r="F933" s="390"/>
      <c r="G933" s="400"/>
      <c r="H933" s="392"/>
      <c r="I933" s="432">
        <f>база!$J$5</f>
        <v>215.4924</v>
      </c>
      <c r="J933" s="433">
        <v>1.5</v>
      </c>
      <c r="K933" s="434">
        <f>SUMIFS(Таблица14[часы],Таблица14[коэф],"1,5",Таблица14[р/р],"4/8",Таблица14[Ф. И. О.],B935)</f>
        <v>0</v>
      </c>
      <c r="L933" s="434">
        <f>SUMIFS(Таблица14[Столбец2],Таблица14[коэф],"1,5",Таблица14[р/р],"4/8",Таблица14[Ф. И. О.],B935)</f>
        <v>0</v>
      </c>
      <c r="M933" s="434"/>
      <c r="N933" s="434"/>
      <c r="O933" s="434"/>
      <c r="P933" s="406"/>
      <c r="Q933" s="389" t="e">
        <f>IF(D930&lt;=3,база!$L$4,
IF(D930=4,база!$L$5,
IF(D930=5,база!$L$6)))</f>
        <v>#N/A</v>
      </c>
      <c r="R933" s="390">
        <v>1.2</v>
      </c>
      <c r="S933" s="400">
        <f>SUMIFS(Таблица14[часы],Таблица14[коэф],"1,2",Таблица14[р/р],"3/16",Таблица14[Ф. И. О.],B935)</f>
        <v>0</v>
      </c>
      <c r="T933" s="392">
        <f>SUMIFS(Таблица14[Столбец2],Таблица14[коэф],"1,2",Таблица14[р/р],"3/16",Таблица14[Ф. И. О.],B935)</f>
        <v>0</v>
      </c>
      <c r="U933" s="478" t="e">
        <f>IF(D930&lt;=3,база!$M$4,
IF(D930=4,база!$M$5,
IF(D930=5,база!$M$6)))</f>
        <v>#N/A</v>
      </c>
      <c r="V933" s="390">
        <v>1.2</v>
      </c>
      <c r="W933" s="412">
        <f>SUMIFS(Таблица14[часы],Таблица14[коэф],"1,2",Таблица14[р/р],"3/24",Таблица14[Ф. И. О.],B935)</f>
        <v>0</v>
      </c>
      <c r="X933" s="545">
        <f>SUMIFS(Таблица14[Столбец2],Таблица14[коэф],"1,2",Таблица14[р/р],"3/24",Таблица14[Ф. И. О.],B935)</f>
        <v>0</v>
      </c>
      <c r="Y933" s="801"/>
      <c r="Z933" s="797"/>
      <c r="AA933" s="786"/>
    </row>
    <row r="934" spans="1:29" ht="18.75" customHeight="1">
      <c r="A934" s="786"/>
      <c r="B934" s="216"/>
      <c r="C934" s="789"/>
      <c r="D934" s="792"/>
      <c r="E934" s="389"/>
      <c r="F934" s="390"/>
      <c r="G934" s="400"/>
      <c r="H934" s="392"/>
      <c r="I934" s="432">
        <f>база!$J$6</f>
        <v>243.04319999999998</v>
      </c>
      <c r="J934" s="433">
        <v>1.5</v>
      </c>
      <c r="K934" s="434">
        <f>SUMIFS(Таблица14[часы],Таблица14[коэф],"1,5",Таблица14[р/р],"5/8",Таблица14[Ф. И. О.],B935)</f>
        <v>0</v>
      </c>
      <c r="L934" s="434">
        <f>SUMIFS(Таблица14[Столбец2],Таблица14[коэф],"1,5",Таблица14[р/р],"5/8",Таблица14[Ф. И. О.],B935)</f>
        <v>0</v>
      </c>
      <c r="M934" s="434"/>
      <c r="N934" s="434"/>
      <c r="O934" s="434"/>
      <c r="P934" s="406"/>
      <c r="Q934" s="389">
        <f>база!$L$5</f>
        <v>231.45480000000001</v>
      </c>
      <c r="R934" s="390">
        <v>1.2</v>
      </c>
      <c r="S934" s="400">
        <f>SUMIFS(Таблица14[часы],Таблица14[коэф],"1,2",Таблица14[р/р],"4/16",Таблица14[Ф. И. О.],B935)</f>
        <v>0</v>
      </c>
      <c r="T934" s="392">
        <f>SUMIFS(Таблица14[Столбец2],Таблица14[коэф],"1,2",Таблица14[р/р],"4/16",Таблица14[Ф. И. О.],B935)</f>
        <v>0</v>
      </c>
      <c r="U934" s="478">
        <f>база!$M$5</f>
        <v>247.41720000000001</v>
      </c>
      <c r="V934" s="390">
        <v>1.2</v>
      </c>
      <c r="W934" s="412">
        <f>SUMIFS(Таблица14[часы],Таблица14[коэф],"1,2",Таблица14[р/р],"4/24",Таблица14[Ф. И. О.],B935)</f>
        <v>0</v>
      </c>
      <c r="X934" s="545">
        <f>SUMIFS(Таблица14[Столбец2],Таблица14[коэф],"1,2",Таблица14[р/р],"4/24",Таблица14[Ф. И. О.],B935)</f>
        <v>0</v>
      </c>
      <c r="Y934" s="801"/>
      <c r="Z934" s="797"/>
      <c r="AA934" s="786"/>
    </row>
    <row r="935" spans="1:29" ht="18.75" customHeight="1">
      <c r="A935" s="786"/>
      <c r="B935" s="216">
        <f>база!B86</f>
        <v>0</v>
      </c>
      <c r="C935" s="789"/>
      <c r="D935" s="792"/>
      <c r="E935" s="389"/>
      <c r="F935" s="390"/>
      <c r="G935" s="400"/>
      <c r="H935" s="392"/>
      <c r="I935" s="432"/>
      <c r="J935" s="433"/>
      <c r="K935" s="434"/>
      <c r="L935" s="434"/>
      <c r="M935" s="434"/>
      <c r="N935" s="434"/>
      <c r="O935" s="434"/>
      <c r="P935" s="406"/>
      <c r="Q935" s="389">
        <f>база!$L$6</f>
        <v>261.04640000000001</v>
      </c>
      <c r="R935" s="390">
        <v>1.2</v>
      </c>
      <c r="S935" s="400">
        <f>SUMIFS(Таблица14[часы],Таблица14[коэф],"1,2",Таблица14[р/р],"5/16",Таблица14[Ф. И. О.],B935)</f>
        <v>0</v>
      </c>
      <c r="T935" s="392">
        <f>SUMIFS(Таблица14[Столбец2],Таблица14[коэф],"1,2",Таблица14[р/р],"5/16",Таблица14[Ф. И. О.],B935)</f>
        <v>0</v>
      </c>
      <c r="U935" s="478">
        <f>база!$M$6</f>
        <v>279.0496</v>
      </c>
      <c r="V935" s="390">
        <v>1.2</v>
      </c>
      <c r="W935" s="412">
        <f>SUMIFS(Таблица14[часы],Таблица14[коэф],"1,2",Таблица14[р/р],"5/24",Таблица14[Ф. И. О.],B935)</f>
        <v>0</v>
      </c>
      <c r="X935" s="545">
        <f>SUMIFS(Таблица14[Столбец2],Таблица14[коэф],"1,2",Таблица14[р/р],"5/24",Таблица14[Ф. И. О.],B935)</f>
        <v>0</v>
      </c>
      <c r="Y935" s="801"/>
      <c r="Z935" s="797"/>
      <c r="AA935" s="786"/>
      <c r="AC935" s="754" t="str">
        <f>IF(SUMIFS(Таблица14[Столбец2],Таблица14[Ф. И. О.],B935)-Z930=0,"",SUMIFS(Таблица14[Столбец2],Таблица14[Ф. И. О.],B935)-Z930)</f>
        <v/>
      </c>
    </row>
    <row r="936" spans="1:29" ht="18.75" customHeight="1">
      <c r="A936" s="786"/>
      <c r="B936" s="216"/>
      <c r="C936" s="789"/>
      <c r="D936" s="792"/>
      <c r="E936" s="389"/>
      <c r="F936" s="390"/>
      <c r="G936" s="400"/>
      <c r="H936" s="392"/>
      <c r="I936" s="432"/>
      <c r="J936" s="433"/>
      <c r="K936" s="434"/>
      <c r="L936" s="434"/>
      <c r="M936" s="434"/>
      <c r="N936" s="434"/>
      <c r="O936" s="434"/>
      <c r="P936" s="406"/>
      <c r="Q936" s="389">
        <f>IF($D$6&lt;=3,база!$L$4,
IF($D$6=4,база!$L$5,
IF($D$6=5,база!$L$6)))</f>
        <v>231.45480000000001</v>
      </c>
      <c r="R936" s="390">
        <v>1.3</v>
      </c>
      <c r="S936" s="400">
        <f>SUMIFS(Таблица14[часы],Таблица14[коэф],"1,3",Таблица14[р/р],"3/16",Таблица14[Ф. И. О.],B935)</f>
        <v>0</v>
      </c>
      <c r="T936" s="392">
        <f>SUMIFS(Таблица14[Столбец2],Таблица14[коэф],"1,3",Таблица14[р/р],"3/16",Таблица14[Ф. И. О.],B935)</f>
        <v>0</v>
      </c>
      <c r="U936" s="478" t="e">
        <f>IF(D930&lt;=3,база!$M$4,
IF(D930=4,база!$M$5,
IF(D930=5,база!$M$6)))</f>
        <v>#N/A</v>
      </c>
      <c r="V936" s="390">
        <v>1.3</v>
      </c>
      <c r="W936" s="412">
        <f>SUMIFS(Таблица14[часы],Таблица14[коэф],"1,3",Таблица14[р/р],"3/24",Таблица14[Ф. И. О.],B935)</f>
        <v>0</v>
      </c>
      <c r="X936" s="545">
        <f>SUMIFS(Таблица14[Столбец2],Таблица14[коэф],"1,3",Таблица14[р/р],"3/24",Таблица14[Ф. И. О.],B935)</f>
        <v>0</v>
      </c>
      <c r="Y936" s="801"/>
      <c r="Z936" s="797"/>
      <c r="AA936" s="786"/>
      <c r="AC936" s="754" t="str">
        <f>IF(SUMIFS(Таблица14[часы],Таблица14[Ф. И. О.],B935)-Y930=0,"",SUMIFS(Таблица14[часы],Таблица14[Ф. И. О.],B935)-Y930)</f>
        <v/>
      </c>
    </row>
    <row r="937" spans="1:29" ht="18.75" customHeight="1">
      <c r="A937" s="786"/>
      <c r="B937" s="216"/>
      <c r="C937" s="789"/>
      <c r="D937" s="792"/>
      <c r="E937" s="389"/>
      <c r="F937" s="390"/>
      <c r="G937" s="400"/>
      <c r="H937" s="392"/>
      <c r="I937" s="432"/>
      <c r="J937" s="433"/>
      <c r="K937" s="434"/>
      <c r="L937" s="434"/>
      <c r="M937" s="434"/>
      <c r="N937" s="434"/>
      <c r="O937" s="434"/>
      <c r="P937" s="406"/>
      <c r="Q937" s="389">
        <f>база!$L$5</f>
        <v>231.45480000000001</v>
      </c>
      <c r="R937" s="390">
        <v>1.3</v>
      </c>
      <c r="S937" s="400">
        <f>SUMIFS(Таблица14[часы],Таблица14[коэф],"1,3",Таблица14[р/р],"4/16",Таблица14[Ф. И. О.],B935)</f>
        <v>0</v>
      </c>
      <c r="T937" s="392">
        <f>SUMIFS(Таблица14[Столбец2],Таблица14[коэф],"1,3",Таблица14[р/р],"4/16",Таблица14[Ф. И. О.],B935)</f>
        <v>0</v>
      </c>
      <c r="U937" s="478">
        <f>база!$M$5</f>
        <v>247.41720000000001</v>
      </c>
      <c r="V937" s="390">
        <v>1.3</v>
      </c>
      <c r="W937" s="412">
        <f>SUMIFS(Таблица14[часы],Таблица14[коэф],"1,3",Таблица14[р/р],"4/24",Таблица14[Ф. И. О.],B935)</f>
        <v>0</v>
      </c>
      <c r="X937" s="545">
        <f>SUMIFS(Таблица14[Столбец2],Таблица14[коэф],"1,3",Таблица14[р/р],"4/24",Таблица14[Ф. И. О.],B935)</f>
        <v>0</v>
      </c>
      <c r="Y937" s="801"/>
      <c r="Z937" s="797"/>
      <c r="AA937" s="786"/>
    </row>
    <row r="938" spans="1:29" ht="18.75" customHeight="1">
      <c r="A938" s="786"/>
      <c r="B938" s="216"/>
      <c r="C938" s="789"/>
      <c r="D938" s="792"/>
      <c r="E938" s="389"/>
      <c r="F938" s="390"/>
      <c r="G938" s="400"/>
      <c r="H938" s="392"/>
      <c r="I938" s="432"/>
      <c r="J938" s="433"/>
      <c r="K938" s="434"/>
      <c r="L938" s="434"/>
      <c r="M938" s="434"/>
      <c r="N938" s="434"/>
      <c r="O938" s="434"/>
      <c r="P938" s="406"/>
      <c r="Q938" s="389" t="e">
        <f>IF(D930&lt;=3,база!$L$4,
IF(D930=4,база!$L$5,
IF(D930=5,база!$L$6)))</f>
        <v>#N/A</v>
      </c>
      <c r="R938" s="390">
        <v>1.4</v>
      </c>
      <c r="S938" s="400">
        <f>SUMIFS(Таблица14[часы],Таблица14[коэф],"1,4",Таблица14[р/р],"3/16",Таблица14[Ф. И. О.],B935)</f>
        <v>0</v>
      </c>
      <c r="T938" s="392">
        <f>SUMIFS(Таблица14[Столбец2],Таблица14[коэф],"1,4",Таблица14[р/р],"3/16",Таблица14[Ф. И. О.],B935)</f>
        <v>0</v>
      </c>
      <c r="U938" s="478" t="e">
        <f>IF(D930&lt;=3,база!$M$4,
IF(D930=4,база!$M$5,
IF(D930=5,база!$M$6)))</f>
        <v>#N/A</v>
      </c>
      <c r="V938" s="390">
        <v>1.4</v>
      </c>
      <c r="W938" s="412">
        <f>SUMIFS(Таблица14[часы],Таблица14[коэф],"1,4",Таблица14[р/р],"3/24",Таблица14[Ф. И. О.],B935)</f>
        <v>0</v>
      </c>
      <c r="X938" s="545">
        <f>SUMIFS(Таблица14[Столбец2],Таблица14[коэф],"1,4",Таблица14[р/р],"3/24",Таблица14[Ф. И. О.],B935)</f>
        <v>0</v>
      </c>
      <c r="Y938" s="801"/>
      <c r="Z938" s="797"/>
      <c r="AA938" s="786"/>
    </row>
    <row r="939" spans="1:29" ht="18.75" customHeight="1">
      <c r="A939" s="786"/>
      <c r="B939" s="216"/>
      <c r="C939" s="789"/>
      <c r="D939" s="792"/>
      <c r="E939" s="389"/>
      <c r="F939" s="390"/>
      <c r="G939" s="400"/>
      <c r="H939" s="392"/>
      <c r="I939" s="432"/>
      <c r="J939" s="433"/>
      <c r="K939" s="434"/>
      <c r="L939" s="434"/>
      <c r="M939" s="434"/>
      <c r="N939" s="434"/>
      <c r="O939" s="434"/>
      <c r="P939" s="406"/>
      <c r="Q939" s="389">
        <f>база!$L$5</f>
        <v>231.45480000000001</v>
      </c>
      <c r="R939" s="390">
        <v>1.4</v>
      </c>
      <c r="S939" s="400">
        <f>SUMIFS(Таблица14[часы],Таблица14[коэф],"1,4",Таблица14[р/р],"4/16",Таблица14[Ф. И. О.],B935)</f>
        <v>0</v>
      </c>
      <c r="T939" s="392">
        <f>SUMIFS(Таблица14[Столбец2],Таблица14[коэф],"1,4",Таблица14[р/р],"4/16",Таблица14[Ф. И. О.],B935)</f>
        <v>0</v>
      </c>
      <c r="U939" s="478">
        <f>база!$M$5</f>
        <v>247.41720000000001</v>
      </c>
      <c r="V939" s="390">
        <v>1.4</v>
      </c>
      <c r="W939" s="412">
        <f>SUMIFS(Таблица14[часы],Таблица14[коэф],"1,4",Таблица14[р/р],"4/24",Таблица14[Ф. И. О.],B935)</f>
        <v>0</v>
      </c>
      <c r="X939" s="545">
        <f>SUMIFS(Таблица14[Столбец2],Таблица14[коэф],"1,4",Таблица14[р/р],"4/24",Таблица14[Ф. И. О.],B935)</f>
        <v>0</v>
      </c>
      <c r="Y939" s="801"/>
      <c r="Z939" s="797"/>
      <c r="AA939" s="786"/>
    </row>
    <row r="940" spans="1:29" ht="19.5" customHeight="1" thickBot="1">
      <c r="A940" s="787"/>
      <c r="B940" s="352"/>
      <c r="C940" s="790"/>
      <c r="D940" s="793"/>
      <c r="E940" s="473"/>
      <c r="F940" s="464"/>
      <c r="G940" s="657"/>
      <c r="H940" s="468"/>
      <c r="I940" s="651"/>
      <c r="J940" s="456"/>
      <c r="K940" s="652"/>
      <c r="L940" s="457"/>
      <c r="M940" s="651"/>
      <c r="N940" s="652"/>
      <c r="O940" s="652"/>
      <c r="P940" s="476"/>
      <c r="Q940" s="658">
        <f>база!$L$6</f>
        <v>261.04640000000001</v>
      </c>
      <c r="R940" s="464">
        <v>1.4</v>
      </c>
      <c r="S940" s="465">
        <f>SUMIFS(Таблица14[часы],Таблица14[коэф],"1,4",Таблица14[р/р],"5/16",Таблица14[Ф. И. О.],B935)</f>
        <v>0</v>
      </c>
      <c r="T940" s="468">
        <f>SUMIFS(Таблица14[Столбец2],Таблица14[коэф],"1,4",Таблица14[р/р],"5/16",Таблица14[Ф. И. О.],B935)</f>
        <v>0</v>
      </c>
      <c r="U940" s="463">
        <f>база!$M$6</f>
        <v>279.0496</v>
      </c>
      <c r="V940" s="464">
        <v>1.4</v>
      </c>
      <c r="W940" s="465">
        <f>SUMIFS(Таблица14[часы],Таблица14[коэф],"1,4",Таблица14[р/р],"5/24",Таблица14[Ф. И. О.],B935)</f>
        <v>0</v>
      </c>
      <c r="X940" s="468">
        <f>SUMIFS(Таблица14[Столбец2],Таблица14[коэф],"1,4",Таблица14[р/р],"5/24",Таблица14[Ф. И. О.],B935)</f>
        <v>0</v>
      </c>
      <c r="Y940" s="802"/>
      <c r="Z940" s="798"/>
      <c r="AA940" s="787"/>
    </row>
    <row r="941" spans="1:29" ht="18.75" customHeight="1">
      <c r="A941" s="786">
        <v>86</v>
      </c>
      <c r="B941" s="216"/>
      <c r="C941" s="788" t="e">
        <f>INDEX(база!$E$2:$E$150, MATCH(B946,база!$B$2:$B$150,0))</f>
        <v>#N/A</v>
      </c>
      <c r="D941" s="791" t="e">
        <f>INDEX(база!$D$2:$D$150, MATCH(B946,база!$B$2:$B$150,0))</f>
        <v>#N/A</v>
      </c>
      <c r="E941" s="481" t="e">
        <f>IF(D941&lt;=3,база!$I$4,
IF(D941=4,база!$I$5,
IF(D941=5,база!$I$6)))</f>
        <v>#N/A</v>
      </c>
      <c r="F941" s="417">
        <v>1</v>
      </c>
      <c r="G941" s="418">
        <f>SUMIFS(Таблица14[часы],Таблица14[коэф],"1",Таблица14[р/р],"2/4",Таблица14[Ф. И. О.],B946)</f>
        <v>0</v>
      </c>
      <c r="H941" s="402">
        <f>SUMIFS(Таблица14[Столбец2],Таблица14[коэф],"1",Таблица14[р/р],"2/4",Таблица14[Ф. И. О.],B946)</f>
        <v>0</v>
      </c>
      <c r="I941" s="452" t="e">
        <f>IF(D941&lt;=3,база!$J$4,
IF(D941=4,база!$J$5,
IF(D941=5,база!$J$6)))</f>
        <v>#N/A</v>
      </c>
      <c r="J941" s="475">
        <v>1</v>
      </c>
      <c r="K941" s="453">
        <f>SUMIFS(Таблица14[часы],Таблица14[коэф],"1",Таблица14[р/р],"2/8",Таблица14[Ф. И. О.],B946)</f>
        <v>0</v>
      </c>
      <c r="L941" s="453">
        <f>SUMIFS(Таблица14[Столбец2],Таблица14[коэф],"1",Таблица14[р/р],"2/8",Таблица14[Ф. И. О.],B946)</f>
        <v>0</v>
      </c>
      <c r="M941" s="453"/>
      <c r="N941" s="453">
        <v>1</v>
      </c>
      <c r="O941" s="453">
        <f>SUMIFS(Data_Tech!$AM$3:$AM$67,Data_Tech!$E$3:$E$67,"1",Data_Tech!$G$3:$G$67,"3/12",Data_Tech!$F$3:$F$67,B946)</f>
        <v>0</v>
      </c>
      <c r="P941" s="398">
        <f>ROUND(M941*N941*O941,2)</f>
        <v>0</v>
      </c>
      <c r="Q941" s="481" t="e">
        <f>IF(D941&lt;=3,база!$L$4,
IF(D941=4,база!$L$5,
IF(D941=5,база!$L$6)))</f>
        <v>#N/A</v>
      </c>
      <c r="R941" s="417">
        <v>1</v>
      </c>
      <c r="S941" s="418">
        <f>SUMIFS(Таблица14[часы],Таблица14[коэф],"1",Таблица14[р/р],"3/16",Таблица14[Ф. И. О.],B946)</f>
        <v>0</v>
      </c>
      <c r="T941" s="402">
        <f>SUMIFS(Таблица14[Столбец2],Таблица14[коэф],"1",Таблица14[р/р],"3/16",Таблица14[Ф. И. О.],B946)</f>
        <v>0</v>
      </c>
      <c r="U941" s="483" t="e">
        <f>IF(D941&lt;=3,база!$M$4,
IF(D941=4,база!$M$5,
IF(D941=5,база!$M$6)))</f>
        <v>#N/A</v>
      </c>
      <c r="V941" s="417">
        <v>1</v>
      </c>
      <c r="W941" s="455">
        <f>SUMIFS(Таблица14[часы],Таблица14[коэф],"1",Таблица14[р/р],"3/24",Таблица14[Ф. И. О.],B946)</f>
        <v>0</v>
      </c>
      <c r="X941" s="552">
        <f>SUMIFS(Таблица14[Столбец2],Таблица14[коэф],"1",Таблица14[р/р],"3/24",Таблица14[Ф. И. О.],B946)</f>
        <v>0</v>
      </c>
      <c r="Y941" s="801">
        <f t="shared" ref="Y941" si="308">SUM(G941:G951,K941:K951,O941:O951,S941:S951,W941:W951)</f>
        <v>0</v>
      </c>
      <c r="Z941" s="797">
        <f t="shared" ref="Z941" si="309">IFERROR(SUM(H941:H951,L941:L951,T941:T951,X941:X951),"")</f>
        <v>0</v>
      </c>
      <c r="AA941" s="786"/>
    </row>
    <row r="942" spans="1:29" ht="18.75" customHeight="1">
      <c r="A942" s="786"/>
      <c r="B942" s="216"/>
      <c r="C942" s="789"/>
      <c r="D942" s="792"/>
      <c r="E942" s="389" t="e">
        <f>IF(D941&lt;=3,база!$I$4,
IF(D941=4,база!$I$5,
IF(D941=5,база!$I$6)))</f>
        <v>#N/A</v>
      </c>
      <c r="F942" s="390">
        <v>1</v>
      </c>
      <c r="G942" s="400">
        <f>SUMIFS(Таблица14[часы],Таблица14[коэф],"1",Таблица14[р/р],"3/4",Таблица14[Ф. И. О.],B946)</f>
        <v>0</v>
      </c>
      <c r="H942" s="392">
        <f>SUMIFS(Таблица14[Столбец2],Таблица14[коэф],"1",Таблица14[р/р],"3/4",Таблица14[Ф. И. О.],B946)</f>
        <v>0</v>
      </c>
      <c r="I942" s="432" t="e">
        <f>IF(D941&lt;=3,база!$J$4,
IF(D941=4,база!$J$5,
IF(D941=5,база!$J$6)))</f>
        <v>#N/A</v>
      </c>
      <c r="J942" s="433">
        <v>1</v>
      </c>
      <c r="K942" s="434">
        <f>SUMIFS(Таблица14[часы],Таблица14[коэф],"1",Таблица14[р/р],"3/8",Таблица14[Ф. И. О.],B946)</f>
        <v>0</v>
      </c>
      <c r="L942" s="434">
        <f>SUMIFS(Таблица14[Столбец2],Таблица14[коэф],"1",Таблица14[р/р],"3/8",Таблица14[Ф. И. О.],B946)</f>
        <v>0</v>
      </c>
      <c r="M942" s="434"/>
      <c r="N942" s="434">
        <v>1</v>
      </c>
      <c r="O942" s="434">
        <f>SUMIFS(Data_Tech!$AM$3:$AM$67,Data_Tech!$E$3:$E$67,"1",Data_Tech!$G$3:$G$67,"4/12",Data_Tech!$F$3:$F$67,B946)</f>
        <v>0</v>
      </c>
      <c r="P942" s="406">
        <f>ROUND(M942*O942,2)</f>
        <v>0</v>
      </c>
      <c r="Q942" s="389">
        <f>база!$L$5</f>
        <v>231.45480000000001</v>
      </c>
      <c r="R942" s="390">
        <v>1</v>
      </c>
      <c r="S942" s="400">
        <f>SUMIFS(Таблица14[часы],Таблица14[коэф],"1",Таблица14[р/р],"4/16",Таблица14[Ф. И. О.],B946)</f>
        <v>0</v>
      </c>
      <c r="T942" s="392">
        <f>SUMIFS(Таблица14[Столбец2],Таблица14[коэф],"1",Таблица14[р/р],"4/16",Таблица14[Ф. И. О.],B946)</f>
        <v>0</v>
      </c>
      <c r="U942" s="478">
        <f>база!$M$5</f>
        <v>247.41720000000001</v>
      </c>
      <c r="V942" s="390">
        <v>1</v>
      </c>
      <c r="W942" s="412">
        <f>SUMIFS(Таблица14[часы],Таблица14[коэф],"1",Таблица14[р/р],"4/24",Таблица14[Ф. И. О.],B946)</f>
        <v>0</v>
      </c>
      <c r="X942" s="545">
        <f>SUMIFS(Таблица14[Столбец2],Таблица14[коэф],"1",Таблица14[р/р],"4/24",Таблица14[Ф. И. О.],B946)</f>
        <v>0</v>
      </c>
      <c r="Y942" s="801"/>
      <c r="Z942" s="797"/>
      <c r="AA942" s="786"/>
    </row>
    <row r="943" spans="1:29" ht="18.75" customHeight="1">
      <c r="A943" s="786"/>
      <c r="B943" s="216"/>
      <c r="C943" s="789"/>
      <c r="D943" s="792"/>
      <c r="E943" s="389"/>
      <c r="F943" s="390"/>
      <c r="G943" s="400"/>
      <c r="H943" s="392"/>
      <c r="I943" s="432"/>
      <c r="J943" s="433"/>
      <c r="K943" s="434"/>
      <c r="L943" s="434"/>
      <c r="M943" s="434"/>
      <c r="N943" s="434"/>
      <c r="O943" s="434"/>
      <c r="P943" s="406"/>
      <c r="Q943" s="389">
        <f>база!$L$6</f>
        <v>261.04640000000001</v>
      </c>
      <c r="R943" s="390">
        <v>1</v>
      </c>
      <c r="S943" s="400">
        <f>SUMIFS(Таблица14[часы],Таблица14[коэф],"1",Таблица14[р/р],"5/16",Таблица14[Ф. И. О.],B946)</f>
        <v>0</v>
      </c>
      <c r="T943" s="392">
        <f>SUMIFS(Таблица14[Столбец2],Таблица14[коэф],"1",Таблица14[р/р],"5/16",Таблица14[Ф. И. О.],B946)</f>
        <v>0</v>
      </c>
      <c r="U943" s="478">
        <f>база!$M$6</f>
        <v>279.0496</v>
      </c>
      <c r="V943" s="390">
        <v>1</v>
      </c>
      <c r="W943" s="412">
        <f>SUMIFS(Таблица14[часы],Таблица14[коэф],"1",Таблица14[р/р],"5/24",Таблица14[Ф. И. О.],B946)</f>
        <v>0</v>
      </c>
      <c r="X943" s="545">
        <f>SUMIFS(Таблица14[Столбец2],Таблица14[коэф],"1",Таблица14[р/р],"5/24",Таблица14[Ф. И. О.],B946)</f>
        <v>0</v>
      </c>
      <c r="Y943" s="801"/>
      <c r="Z943" s="797"/>
      <c r="AA943" s="786"/>
    </row>
    <row r="944" spans="1:29" ht="18.75" customHeight="1">
      <c r="A944" s="786"/>
      <c r="B944" s="216"/>
      <c r="C944" s="789"/>
      <c r="D944" s="792"/>
      <c r="E944" s="389"/>
      <c r="F944" s="390"/>
      <c r="G944" s="400"/>
      <c r="H944" s="392"/>
      <c r="I944" s="432">
        <f>база!$J$5</f>
        <v>215.4924</v>
      </c>
      <c r="J944" s="433">
        <v>1.5</v>
      </c>
      <c r="K944" s="434">
        <f>SUMIFS(Таблица14[часы],Таблица14[коэф],"1,5",Таблица14[р/р],"4/8",Таблица14[Ф. И. О.],B946)</f>
        <v>0</v>
      </c>
      <c r="L944" s="434">
        <f>SUMIFS(Таблица14[Столбец2],Таблица14[коэф],"1,5",Таблица14[р/р],"4/8",Таблица14[Ф. И. О.],B946)</f>
        <v>0</v>
      </c>
      <c r="M944" s="434"/>
      <c r="N944" s="434"/>
      <c r="O944" s="434"/>
      <c r="P944" s="406"/>
      <c r="Q944" s="389" t="e">
        <f>IF(D941&lt;=3,база!$L$4,
IF(D941=4,база!$L$5,
IF(D941=5,база!$L$6)))</f>
        <v>#N/A</v>
      </c>
      <c r="R944" s="390">
        <v>1.2</v>
      </c>
      <c r="S944" s="400">
        <f>SUMIFS(Таблица14[часы],Таблица14[коэф],"1,2",Таблица14[р/р],"3/16",Таблица14[Ф. И. О.],B946)</f>
        <v>0</v>
      </c>
      <c r="T944" s="392">
        <f>SUMIFS(Таблица14[Столбец2],Таблица14[коэф],"1,2",Таблица14[р/р],"3/16",Таблица14[Ф. И. О.],B946)</f>
        <v>0</v>
      </c>
      <c r="U944" s="478" t="e">
        <f>IF(D941&lt;=3,база!$M$4,
IF(D941=4,база!$M$5,
IF(D941=5,база!$M$6)))</f>
        <v>#N/A</v>
      </c>
      <c r="V944" s="390">
        <v>1.2</v>
      </c>
      <c r="W944" s="412">
        <f>SUMIFS(Таблица14[часы],Таблица14[коэф],"1,2",Таблица14[р/р],"3/24",Таблица14[Ф. И. О.],B946)</f>
        <v>0</v>
      </c>
      <c r="X944" s="545">
        <f>SUMIFS(Таблица14[Столбец2],Таблица14[коэф],"1,2",Таблица14[р/р],"3/24",Таблица14[Ф. И. О.],B946)</f>
        <v>0</v>
      </c>
      <c r="Y944" s="801"/>
      <c r="Z944" s="797"/>
      <c r="AA944" s="786"/>
    </row>
    <row r="945" spans="1:29" ht="18.75" customHeight="1">
      <c r="A945" s="786"/>
      <c r="B945" s="216"/>
      <c r="C945" s="789"/>
      <c r="D945" s="792"/>
      <c r="E945" s="389"/>
      <c r="F945" s="390"/>
      <c r="G945" s="400"/>
      <c r="H945" s="392"/>
      <c r="I945" s="432">
        <f>база!$J$6</f>
        <v>243.04319999999998</v>
      </c>
      <c r="J945" s="433">
        <v>1.5</v>
      </c>
      <c r="K945" s="434">
        <f>SUMIFS(Таблица14[часы],Таблица14[коэф],"1,5",Таблица14[р/р],"5/8",Таблица14[Ф. И. О.],B946)</f>
        <v>0</v>
      </c>
      <c r="L945" s="434">
        <f>SUMIFS(Таблица14[Столбец2],Таблица14[коэф],"1,5",Таблица14[р/р],"5/8",Таблица14[Ф. И. О.],B946)</f>
        <v>0</v>
      </c>
      <c r="M945" s="434"/>
      <c r="N945" s="434"/>
      <c r="O945" s="434"/>
      <c r="P945" s="406"/>
      <c r="Q945" s="389">
        <f>база!$L$5</f>
        <v>231.45480000000001</v>
      </c>
      <c r="R945" s="390">
        <v>1.2</v>
      </c>
      <c r="S945" s="400">
        <f>SUMIFS(Таблица14[часы],Таблица14[коэф],"1,2",Таблица14[р/р],"4/16",Таблица14[Ф. И. О.],B946)</f>
        <v>0</v>
      </c>
      <c r="T945" s="392">
        <f>SUMIFS(Таблица14[Столбец2],Таблица14[коэф],"1,2",Таблица14[р/р],"4/16",Таблица14[Ф. И. О.],B946)</f>
        <v>0</v>
      </c>
      <c r="U945" s="478">
        <f>база!$M$5</f>
        <v>247.41720000000001</v>
      </c>
      <c r="V945" s="390">
        <v>1.2</v>
      </c>
      <c r="W945" s="412">
        <f>SUMIFS(Таблица14[часы],Таблица14[коэф],"1,2",Таблица14[р/р],"4/24",Таблица14[Ф. И. О.],B946)</f>
        <v>0</v>
      </c>
      <c r="X945" s="545">
        <f>SUMIFS(Таблица14[Столбец2],Таблица14[коэф],"1,2",Таблица14[р/р],"4/24",Таблица14[Ф. И. О.],B946)</f>
        <v>0</v>
      </c>
      <c r="Y945" s="801"/>
      <c r="Z945" s="797"/>
      <c r="AA945" s="786"/>
    </row>
    <row r="946" spans="1:29" ht="18.75" customHeight="1">
      <c r="A946" s="786"/>
      <c r="B946" s="216">
        <f>база!B87</f>
        <v>0</v>
      </c>
      <c r="C946" s="789"/>
      <c r="D946" s="792"/>
      <c r="E946" s="389"/>
      <c r="F946" s="390"/>
      <c r="G946" s="400"/>
      <c r="H946" s="392"/>
      <c r="I946" s="432"/>
      <c r="J946" s="433"/>
      <c r="K946" s="434"/>
      <c r="L946" s="434"/>
      <c r="M946" s="434"/>
      <c r="N946" s="434"/>
      <c r="O946" s="434"/>
      <c r="P946" s="406"/>
      <c r="Q946" s="389">
        <f>база!$L$6</f>
        <v>261.04640000000001</v>
      </c>
      <c r="R946" s="390">
        <v>1.2</v>
      </c>
      <c r="S946" s="400">
        <f>SUMIFS(Таблица14[часы],Таблица14[коэф],"1,2",Таблица14[р/р],"5/16",Таблица14[Ф. И. О.],B946)</f>
        <v>0</v>
      </c>
      <c r="T946" s="392">
        <f>SUMIFS(Таблица14[Столбец2],Таблица14[коэф],"1,2",Таблица14[р/р],"5/16",Таблица14[Ф. И. О.],B946)</f>
        <v>0</v>
      </c>
      <c r="U946" s="478">
        <f>база!$M$6</f>
        <v>279.0496</v>
      </c>
      <c r="V946" s="390">
        <v>1.2</v>
      </c>
      <c r="W946" s="412">
        <f>SUMIFS(Таблица14[часы],Таблица14[коэф],"1,2",Таблица14[р/р],"5/24",Таблица14[Ф. И. О.],B946)</f>
        <v>0</v>
      </c>
      <c r="X946" s="545">
        <f>SUMIFS(Таблица14[Столбец2],Таблица14[коэф],"1,2",Таблица14[р/р],"5/24",Таблица14[Ф. И. О.],B946)</f>
        <v>0</v>
      </c>
      <c r="Y946" s="801"/>
      <c r="Z946" s="797"/>
      <c r="AA946" s="786"/>
      <c r="AC946" s="754" t="str">
        <f>IF(SUMIFS(Таблица14[Столбец2],Таблица14[Ф. И. О.],B946)-Z941=0,"",SUMIFS(Таблица14[Столбец2],Таблица14[Ф. И. О.],B946)-Z941)</f>
        <v/>
      </c>
    </row>
    <row r="947" spans="1:29" ht="18.75" customHeight="1">
      <c r="A947" s="786"/>
      <c r="B947" s="216"/>
      <c r="C947" s="789"/>
      <c r="D947" s="792"/>
      <c r="E947" s="389"/>
      <c r="F947" s="390"/>
      <c r="G947" s="400"/>
      <c r="H947" s="392"/>
      <c r="I947" s="432"/>
      <c r="J947" s="433"/>
      <c r="K947" s="434"/>
      <c r="L947" s="434"/>
      <c r="M947" s="434"/>
      <c r="N947" s="434"/>
      <c r="O947" s="434"/>
      <c r="P947" s="406"/>
      <c r="Q947" s="389">
        <f>IF($D$6&lt;=3,база!$L$4,
IF($D$6=4,база!$L$5,
IF($D$6=5,база!$L$6)))</f>
        <v>231.45480000000001</v>
      </c>
      <c r="R947" s="390">
        <v>1.3</v>
      </c>
      <c r="S947" s="400">
        <f>SUMIFS(Таблица14[часы],Таблица14[коэф],"1,3",Таблица14[р/р],"3/16",Таблица14[Ф. И. О.],B946)</f>
        <v>0</v>
      </c>
      <c r="T947" s="392">
        <f>SUMIFS(Таблица14[Столбец2],Таблица14[коэф],"1,3",Таблица14[р/р],"3/16",Таблица14[Ф. И. О.],B946)</f>
        <v>0</v>
      </c>
      <c r="U947" s="478" t="e">
        <f>IF(D941&lt;=3,база!$M$4,
IF(D941=4,база!$M$5,
IF(D941=5,база!$M$6)))</f>
        <v>#N/A</v>
      </c>
      <c r="V947" s="390">
        <v>1.3</v>
      </c>
      <c r="W947" s="412">
        <f>SUMIFS(Таблица14[часы],Таблица14[коэф],"1,3",Таблица14[р/р],"3/24",Таблица14[Ф. И. О.],B946)</f>
        <v>0</v>
      </c>
      <c r="X947" s="545">
        <f>SUMIFS(Таблица14[Столбец2],Таблица14[коэф],"1,3",Таблица14[р/р],"3/24",Таблица14[Ф. И. О.],B946)</f>
        <v>0</v>
      </c>
      <c r="Y947" s="801"/>
      <c r="Z947" s="797"/>
      <c r="AA947" s="786"/>
      <c r="AC947" s="754" t="str">
        <f>IF(SUMIFS(Таблица14[часы],Таблица14[Ф. И. О.],B946)-Y941=0,"",SUMIFS(Таблица14[часы],Таблица14[Ф. И. О.],B946)-Y941)</f>
        <v/>
      </c>
    </row>
    <row r="948" spans="1:29" ht="18.75" customHeight="1">
      <c r="A948" s="786"/>
      <c r="B948" s="216"/>
      <c r="C948" s="789"/>
      <c r="D948" s="792"/>
      <c r="E948" s="389"/>
      <c r="F948" s="390"/>
      <c r="G948" s="400"/>
      <c r="H948" s="392"/>
      <c r="I948" s="432"/>
      <c r="J948" s="433"/>
      <c r="K948" s="434"/>
      <c r="L948" s="434"/>
      <c r="M948" s="434"/>
      <c r="N948" s="434"/>
      <c r="O948" s="434"/>
      <c r="P948" s="406"/>
      <c r="Q948" s="389">
        <f>база!$L$5</f>
        <v>231.45480000000001</v>
      </c>
      <c r="R948" s="390">
        <v>1.3</v>
      </c>
      <c r="S948" s="400">
        <f>SUMIFS(Таблица14[часы],Таблица14[коэф],"1,3",Таблица14[р/р],"4/16",Таблица14[Ф. И. О.],B946)</f>
        <v>0</v>
      </c>
      <c r="T948" s="392">
        <f>SUMIFS(Таблица14[Столбец2],Таблица14[коэф],"1,3",Таблица14[р/р],"4/16",Таблица14[Ф. И. О.],B946)</f>
        <v>0</v>
      </c>
      <c r="U948" s="478">
        <f>база!$M$5</f>
        <v>247.41720000000001</v>
      </c>
      <c r="V948" s="390">
        <v>1.3</v>
      </c>
      <c r="W948" s="412">
        <f>SUMIFS(Таблица14[часы],Таблица14[коэф],"1,3",Таблица14[р/р],"4/24",Таблица14[Ф. И. О.],B946)</f>
        <v>0</v>
      </c>
      <c r="X948" s="545">
        <f>SUMIFS(Таблица14[Столбец2],Таблица14[коэф],"1,3",Таблица14[р/р],"4/24",Таблица14[Ф. И. О.],B946)</f>
        <v>0</v>
      </c>
      <c r="Y948" s="801"/>
      <c r="Z948" s="797"/>
      <c r="AA948" s="786"/>
    </row>
    <row r="949" spans="1:29" ht="18.75" customHeight="1">
      <c r="A949" s="786"/>
      <c r="B949" s="216"/>
      <c r="C949" s="789"/>
      <c r="D949" s="792"/>
      <c r="E949" s="389"/>
      <c r="F949" s="390"/>
      <c r="G949" s="400"/>
      <c r="H949" s="392"/>
      <c r="I949" s="432"/>
      <c r="J949" s="433"/>
      <c r="K949" s="434"/>
      <c r="L949" s="434"/>
      <c r="M949" s="434"/>
      <c r="N949" s="434"/>
      <c r="O949" s="434"/>
      <c r="P949" s="406"/>
      <c r="Q949" s="389" t="e">
        <f>IF(D941&lt;=3,база!$L$4,
IF(D941=4,база!$L$5,
IF(D941=5,база!$L$6)))</f>
        <v>#N/A</v>
      </c>
      <c r="R949" s="390">
        <v>1.4</v>
      </c>
      <c r="S949" s="400">
        <f>SUMIFS(Таблица14[часы],Таблица14[коэф],"1,4",Таблица14[р/р],"3/16",Таблица14[Ф. И. О.],B946)</f>
        <v>0</v>
      </c>
      <c r="T949" s="392">
        <f>SUMIFS(Таблица14[Столбец2],Таблица14[коэф],"1,4",Таблица14[р/р],"3/16",Таблица14[Ф. И. О.],B946)</f>
        <v>0</v>
      </c>
      <c r="U949" s="478" t="e">
        <f>IF(D941&lt;=3,база!$M$4,
IF(D941=4,база!$M$5,
IF(D941=5,база!$M$6)))</f>
        <v>#N/A</v>
      </c>
      <c r="V949" s="390">
        <v>1.4</v>
      </c>
      <c r="W949" s="412">
        <f>SUMIFS(Таблица14[часы],Таблица14[коэф],"1,4",Таблица14[р/р],"3/24",Таблица14[Ф. И. О.],B946)</f>
        <v>0</v>
      </c>
      <c r="X949" s="545">
        <f>SUMIFS(Таблица14[Столбец2],Таблица14[коэф],"1,4",Таблица14[р/р],"3/24",Таблица14[Ф. И. О.],B946)</f>
        <v>0</v>
      </c>
      <c r="Y949" s="801"/>
      <c r="Z949" s="797"/>
      <c r="AA949" s="786"/>
    </row>
    <row r="950" spans="1:29" ht="18.75" customHeight="1">
      <c r="A950" s="786"/>
      <c r="B950" s="216"/>
      <c r="C950" s="789"/>
      <c r="D950" s="792"/>
      <c r="E950" s="389"/>
      <c r="F950" s="390"/>
      <c r="G950" s="400"/>
      <c r="H950" s="392"/>
      <c r="I950" s="432"/>
      <c r="J950" s="433"/>
      <c r="K950" s="434"/>
      <c r="L950" s="434"/>
      <c r="M950" s="434"/>
      <c r="N950" s="434"/>
      <c r="O950" s="434"/>
      <c r="P950" s="406"/>
      <c r="Q950" s="389">
        <f>база!$L$5</f>
        <v>231.45480000000001</v>
      </c>
      <c r="R950" s="390">
        <v>1.4</v>
      </c>
      <c r="S950" s="400">
        <f>SUMIFS(Таблица14[часы],Таблица14[коэф],"1,4",Таблица14[р/р],"4/16",Таблица14[Ф. И. О.],B946)</f>
        <v>0</v>
      </c>
      <c r="T950" s="392">
        <f>SUMIFS(Таблица14[Столбец2],Таблица14[коэф],"1,4",Таблица14[р/р],"4/16",Таблица14[Ф. И. О.],B946)</f>
        <v>0</v>
      </c>
      <c r="U950" s="478">
        <f>база!$M$5</f>
        <v>247.41720000000001</v>
      </c>
      <c r="V950" s="390">
        <v>1.4</v>
      </c>
      <c r="W950" s="412">
        <f>SUMIFS(Таблица14[часы],Таблица14[коэф],"1,4",Таблица14[р/р],"4/24",Таблица14[Ф. И. О.],B946)</f>
        <v>0</v>
      </c>
      <c r="X950" s="545">
        <f>SUMIFS(Таблица14[Столбец2],Таблица14[коэф],"1,4",Таблица14[р/р],"4/24",Таблица14[Ф. И. О.],B946)</f>
        <v>0</v>
      </c>
      <c r="Y950" s="801"/>
      <c r="Z950" s="797"/>
      <c r="AA950" s="786"/>
    </row>
    <row r="951" spans="1:29" ht="19.5" customHeight="1" thickBot="1">
      <c r="A951" s="787"/>
      <c r="B951" s="352"/>
      <c r="C951" s="790"/>
      <c r="D951" s="793"/>
      <c r="E951" s="481"/>
      <c r="F951" s="417"/>
      <c r="G951" s="486"/>
      <c r="H951" s="402"/>
      <c r="I951" s="396"/>
      <c r="J951" s="475"/>
      <c r="K951" s="397"/>
      <c r="L951" s="434"/>
      <c r="M951" s="396"/>
      <c r="N951" s="397"/>
      <c r="O951" s="397"/>
      <c r="P951" s="398"/>
      <c r="Q951" s="487">
        <f>база!$L$6</f>
        <v>261.04640000000001</v>
      </c>
      <c r="R951" s="417">
        <v>1.4</v>
      </c>
      <c r="S951" s="418">
        <f>SUMIFS(Таблица14[часы],Таблица14[коэф],"1,4",Таблица14[р/р],"5/16",Таблица14[Ф. И. О.],B946)</f>
        <v>0</v>
      </c>
      <c r="T951" s="402">
        <f>SUMIFS(Таблица14[Столбец2],Таблица14[коэф],"1,4",Таблица14[р/р],"5/16",Таблица14[Ф. И. О.],B946)</f>
        <v>0</v>
      </c>
      <c r="U951" s="451">
        <f>база!$M$6</f>
        <v>279.0496</v>
      </c>
      <c r="V951" s="390">
        <v>1.4</v>
      </c>
      <c r="W951" s="418">
        <f>SUMIFS(Таблица14[часы],Таблица14[коэф],"1,4",Таблица14[р/р],"5/24",Таблица14[Ф. И. О.],B946)</f>
        <v>0</v>
      </c>
      <c r="X951" s="402">
        <f>SUMIFS(Таблица14[Столбец2],Таблица14[коэф],"1,4",Таблица14[р/р],"5/24",Таблица14[Ф. И. О.],B946)</f>
        <v>0</v>
      </c>
      <c r="Y951" s="802"/>
      <c r="Z951" s="798"/>
      <c r="AA951" s="787"/>
    </row>
    <row r="952" spans="1:29" s="488" customFormat="1" ht="15.75" customHeight="1">
      <c r="A952" s="827" t="s">
        <v>69</v>
      </c>
      <c r="B952" s="828"/>
      <c r="C952" s="828"/>
      <c r="D952" s="828"/>
      <c r="E952" s="828"/>
      <c r="F952" s="828"/>
      <c r="G952" s="828"/>
      <c r="H952" s="828"/>
      <c r="I952" s="828"/>
      <c r="J952" s="828"/>
      <c r="K952" s="828"/>
      <c r="L952" s="828"/>
      <c r="M952" s="828"/>
      <c r="N952" s="828"/>
      <c r="O952" s="828"/>
      <c r="P952" s="828"/>
      <c r="Q952" s="828"/>
      <c r="R952" s="828"/>
      <c r="S952" s="828"/>
      <c r="T952" s="828"/>
      <c r="U952" s="828"/>
      <c r="V952" s="828"/>
      <c r="W952" s="828"/>
      <c r="X952" s="829"/>
      <c r="Y952" s="899">
        <f>SUM(Y6:Y951)</f>
        <v>0</v>
      </c>
      <c r="Z952" s="899">
        <f>SUM(Z6:Z951)</f>
        <v>0</v>
      </c>
      <c r="AA952" s="785"/>
      <c r="AC952" s="755"/>
    </row>
    <row r="953" spans="1:29" s="488" customFormat="1" ht="15.75" customHeight="1">
      <c r="A953" s="830"/>
      <c r="B953" s="831"/>
      <c r="C953" s="831"/>
      <c r="D953" s="831"/>
      <c r="E953" s="831"/>
      <c r="F953" s="831"/>
      <c r="G953" s="831"/>
      <c r="H953" s="831"/>
      <c r="I953" s="831"/>
      <c r="J953" s="831"/>
      <c r="K953" s="831"/>
      <c r="L953" s="831"/>
      <c r="M953" s="831"/>
      <c r="N953" s="831"/>
      <c r="O953" s="831"/>
      <c r="P953" s="831"/>
      <c r="Q953" s="831"/>
      <c r="R953" s="831"/>
      <c r="S953" s="831"/>
      <c r="T953" s="831"/>
      <c r="U953" s="831"/>
      <c r="V953" s="831"/>
      <c r="W953" s="831"/>
      <c r="X953" s="832"/>
      <c r="Y953" s="900"/>
      <c r="Z953" s="900"/>
      <c r="AA953" s="786"/>
      <c r="AC953" s="755"/>
    </row>
    <row r="954" spans="1:29" s="488" customFormat="1" ht="16.5" customHeight="1" thickBot="1">
      <c r="A954" s="833"/>
      <c r="B954" s="834"/>
      <c r="C954" s="834"/>
      <c r="D954" s="834"/>
      <c r="E954" s="834"/>
      <c r="F954" s="834"/>
      <c r="G954" s="834"/>
      <c r="H954" s="834"/>
      <c r="I954" s="834"/>
      <c r="J954" s="834"/>
      <c r="K954" s="834"/>
      <c r="L954" s="834"/>
      <c r="M954" s="834"/>
      <c r="N954" s="834"/>
      <c r="O954" s="834"/>
      <c r="P954" s="834"/>
      <c r="Q954" s="834"/>
      <c r="R954" s="834"/>
      <c r="S954" s="834"/>
      <c r="T954" s="834"/>
      <c r="U954" s="834"/>
      <c r="V954" s="834"/>
      <c r="W954" s="834"/>
      <c r="X954" s="835"/>
      <c r="Y954" s="901"/>
      <c r="Z954" s="901"/>
      <c r="AA954" s="787"/>
      <c r="AC954" s="755"/>
    </row>
    <row r="955" spans="1:29">
      <c r="Y955" s="185"/>
    </row>
    <row r="956" spans="1:29">
      <c r="E956" s="187" t="s">
        <v>250</v>
      </c>
      <c r="F956" s="187"/>
      <c r="G956" s="188"/>
      <c r="H956" s="189"/>
      <c r="I956" s="190"/>
      <c r="J956" s="190"/>
      <c r="K956" s="189"/>
      <c r="L956" s="189"/>
      <c r="M956" s="190"/>
      <c r="N956" s="190"/>
      <c r="O956" s="189"/>
      <c r="P956" s="189"/>
      <c r="Q956" s="190"/>
      <c r="R956" s="190"/>
    </row>
    <row r="957" spans="1:29">
      <c r="E957" s="191"/>
      <c r="F957" s="192"/>
      <c r="G957" s="189"/>
      <c r="H957" s="190"/>
      <c r="I957" s="188"/>
      <c r="J957" s="188"/>
      <c r="K957" s="187"/>
      <c r="L957" s="193"/>
      <c r="M957" s="194"/>
      <c r="N957" s="195"/>
      <c r="O957" s="195"/>
      <c r="P957" s="196"/>
      <c r="Q957" s="196"/>
      <c r="R957" s="190"/>
    </row>
    <row r="958" spans="1:29">
      <c r="E958" s="187" t="s">
        <v>72</v>
      </c>
      <c r="F958" s="187"/>
      <c r="G958" s="189"/>
      <c r="H958" s="190"/>
      <c r="I958" s="188"/>
      <c r="J958" s="188"/>
      <c r="K958" s="197"/>
      <c r="L958" s="198"/>
      <c r="M958" s="198"/>
      <c r="N958" s="199"/>
      <c r="O958" s="199"/>
      <c r="P958" s="198"/>
      <c r="Q958" s="198"/>
      <c r="R958" s="190"/>
    </row>
    <row r="959" spans="1:29">
      <c r="E959" s="187"/>
      <c r="F959" s="187"/>
      <c r="G959" s="189"/>
      <c r="H959" s="190"/>
      <c r="I959" s="188"/>
      <c r="J959" s="188"/>
      <c r="K959" s="187"/>
      <c r="L959" s="193"/>
      <c r="M959" s="200"/>
      <c r="N959" s="201"/>
      <c r="O959" s="201"/>
      <c r="P959" s="202"/>
      <c r="Q959" s="202"/>
      <c r="R959" s="190"/>
    </row>
    <row r="960" spans="1:29">
      <c r="E960" s="187" t="s">
        <v>73</v>
      </c>
      <c r="F960" s="187"/>
      <c r="G960" s="189"/>
      <c r="H960" s="190"/>
      <c r="I960" s="188"/>
      <c r="J960" s="188"/>
      <c r="K960" s="187"/>
      <c r="L960" s="193"/>
      <c r="M960" s="194"/>
      <c r="N960" s="195"/>
      <c r="O960" s="195"/>
      <c r="P960" s="196"/>
      <c r="Q960" s="196"/>
      <c r="R960" s="190"/>
    </row>
  </sheetData>
  <sheetProtection selectLockedCells="1" selectUnlockedCells="1"/>
  <mergeCells count="533">
    <mergeCell ref="A831:A841"/>
    <mergeCell ref="C831:C841"/>
    <mergeCell ref="D831:D841"/>
    <mergeCell ref="Y831:Y841"/>
    <mergeCell ref="Z831:Z841"/>
    <mergeCell ref="AA831:AA841"/>
    <mergeCell ref="A842:A852"/>
    <mergeCell ref="C842:C852"/>
    <mergeCell ref="D842:D852"/>
    <mergeCell ref="Y842:Y852"/>
    <mergeCell ref="Z842:Z852"/>
    <mergeCell ref="AA842:AA852"/>
    <mergeCell ref="A809:A819"/>
    <mergeCell ref="C809:C819"/>
    <mergeCell ref="D809:D819"/>
    <mergeCell ref="Y809:Y819"/>
    <mergeCell ref="Z809:Z819"/>
    <mergeCell ref="AA809:AA819"/>
    <mergeCell ref="A820:A830"/>
    <mergeCell ref="C820:C830"/>
    <mergeCell ref="D820:D830"/>
    <mergeCell ref="Y820:Y830"/>
    <mergeCell ref="Z820:Z830"/>
    <mergeCell ref="AA820:AA830"/>
    <mergeCell ref="A787:A797"/>
    <mergeCell ref="C787:C797"/>
    <mergeCell ref="D787:D797"/>
    <mergeCell ref="Y787:Y797"/>
    <mergeCell ref="Z787:Z797"/>
    <mergeCell ref="AA787:AA797"/>
    <mergeCell ref="A798:A808"/>
    <mergeCell ref="C798:C808"/>
    <mergeCell ref="D798:D808"/>
    <mergeCell ref="Y798:Y808"/>
    <mergeCell ref="Z798:Z808"/>
    <mergeCell ref="AA798:AA808"/>
    <mergeCell ref="A765:A775"/>
    <mergeCell ref="C765:C775"/>
    <mergeCell ref="D765:D775"/>
    <mergeCell ref="Y765:Y775"/>
    <mergeCell ref="Z765:Z775"/>
    <mergeCell ref="AA765:AA775"/>
    <mergeCell ref="A776:A786"/>
    <mergeCell ref="C776:C786"/>
    <mergeCell ref="D776:D786"/>
    <mergeCell ref="Y776:Y786"/>
    <mergeCell ref="Z776:Z786"/>
    <mergeCell ref="AA776:AA786"/>
    <mergeCell ref="A930:A940"/>
    <mergeCell ref="C930:C940"/>
    <mergeCell ref="D930:D940"/>
    <mergeCell ref="Y930:Y940"/>
    <mergeCell ref="Z930:Z940"/>
    <mergeCell ref="AA930:AA940"/>
    <mergeCell ref="A875:A885"/>
    <mergeCell ref="C875:C885"/>
    <mergeCell ref="D875:D885"/>
    <mergeCell ref="Y875:Y885"/>
    <mergeCell ref="Z875:Z885"/>
    <mergeCell ref="AA875:AA885"/>
    <mergeCell ref="A919:A929"/>
    <mergeCell ref="C919:C929"/>
    <mergeCell ref="D919:D929"/>
    <mergeCell ref="Y919:Y929"/>
    <mergeCell ref="Z919:Z929"/>
    <mergeCell ref="AA919:AA929"/>
    <mergeCell ref="A886:A896"/>
    <mergeCell ref="C886:C896"/>
    <mergeCell ref="D886:D896"/>
    <mergeCell ref="Y886:Y896"/>
    <mergeCell ref="Z886:Z896"/>
    <mergeCell ref="AA886:AA896"/>
    <mergeCell ref="A501:A511"/>
    <mergeCell ref="C501:C511"/>
    <mergeCell ref="D501:D511"/>
    <mergeCell ref="Y501:Y511"/>
    <mergeCell ref="Z501:Z511"/>
    <mergeCell ref="AA501:AA511"/>
    <mergeCell ref="AA479:AA489"/>
    <mergeCell ref="A490:A500"/>
    <mergeCell ref="Y490:Y500"/>
    <mergeCell ref="Z490:Z500"/>
    <mergeCell ref="AA490:AA500"/>
    <mergeCell ref="D479:D489"/>
    <mergeCell ref="C490:C500"/>
    <mergeCell ref="D490:D500"/>
    <mergeCell ref="Y4:Y5"/>
    <mergeCell ref="Z4:Z5"/>
    <mergeCell ref="AA4:AA5"/>
    <mergeCell ref="A6:A16"/>
    <mergeCell ref="C6:C16"/>
    <mergeCell ref="D6:D16"/>
    <mergeCell ref="Y6:Y16"/>
    <mergeCell ref="Z6:Z16"/>
    <mergeCell ref="AA6:AA16"/>
    <mergeCell ref="A17:A27"/>
    <mergeCell ref="C17:C27"/>
    <mergeCell ref="D17:D27"/>
    <mergeCell ref="Y17:Y27"/>
    <mergeCell ref="Z17:Z27"/>
    <mergeCell ref="AA17:AA27"/>
    <mergeCell ref="A468:A478"/>
    <mergeCell ref="C468:C478"/>
    <mergeCell ref="Y468:Y478"/>
    <mergeCell ref="Z468:Z478"/>
    <mergeCell ref="AA468:AA478"/>
    <mergeCell ref="A446:A456"/>
    <mergeCell ref="A457:A467"/>
    <mergeCell ref="Y446:Y456"/>
    <mergeCell ref="Z446:Z456"/>
    <mergeCell ref="AA446:AA456"/>
    <mergeCell ref="Y457:Y467"/>
    <mergeCell ref="Z457:Z467"/>
    <mergeCell ref="AA457:AA467"/>
    <mergeCell ref="C457:C467"/>
    <mergeCell ref="C446:C456"/>
    <mergeCell ref="D446:D456"/>
    <mergeCell ref="D457:D467"/>
    <mergeCell ref="D468:D478"/>
    <mergeCell ref="H1:U1"/>
    <mergeCell ref="A4:A5"/>
    <mergeCell ref="B4:B5"/>
    <mergeCell ref="C4:C5"/>
    <mergeCell ref="D4:D5"/>
    <mergeCell ref="E4:H4"/>
    <mergeCell ref="I4:L4"/>
    <mergeCell ref="M4:P4"/>
    <mergeCell ref="Q4:T4"/>
    <mergeCell ref="U4:X4"/>
    <mergeCell ref="A39:A49"/>
    <mergeCell ref="C39:C49"/>
    <mergeCell ref="D39:D49"/>
    <mergeCell ref="Y39:Y49"/>
    <mergeCell ref="Z39:Z49"/>
    <mergeCell ref="AA39:AA49"/>
    <mergeCell ref="A28:A38"/>
    <mergeCell ref="C28:C38"/>
    <mergeCell ref="D28:D38"/>
    <mergeCell ref="Y28:Y38"/>
    <mergeCell ref="Z28:Z38"/>
    <mergeCell ref="AA28:AA38"/>
    <mergeCell ref="A61:A71"/>
    <mergeCell ref="C61:C71"/>
    <mergeCell ref="D61:D71"/>
    <mergeCell ref="Y61:Y71"/>
    <mergeCell ref="Z61:Z71"/>
    <mergeCell ref="AA61:AA71"/>
    <mergeCell ref="A50:A60"/>
    <mergeCell ref="C50:C60"/>
    <mergeCell ref="D50:D60"/>
    <mergeCell ref="Y50:Y60"/>
    <mergeCell ref="Z50:Z60"/>
    <mergeCell ref="AA50:AA60"/>
    <mergeCell ref="A83:A93"/>
    <mergeCell ref="C83:C93"/>
    <mergeCell ref="D83:D93"/>
    <mergeCell ref="Y83:Y93"/>
    <mergeCell ref="Z83:Z93"/>
    <mergeCell ref="AA83:AA93"/>
    <mergeCell ref="A72:A82"/>
    <mergeCell ref="C72:C82"/>
    <mergeCell ref="D72:D82"/>
    <mergeCell ref="Y72:Y82"/>
    <mergeCell ref="Z72:Z82"/>
    <mergeCell ref="AA72:AA82"/>
    <mergeCell ref="A105:A115"/>
    <mergeCell ref="C105:C115"/>
    <mergeCell ref="D105:D115"/>
    <mergeCell ref="Y105:Y115"/>
    <mergeCell ref="Z105:Z115"/>
    <mergeCell ref="AA105:AA115"/>
    <mergeCell ref="A94:A104"/>
    <mergeCell ref="C94:C104"/>
    <mergeCell ref="D94:D104"/>
    <mergeCell ref="Y94:Y104"/>
    <mergeCell ref="Z94:Z104"/>
    <mergeCell ref="AA94:AA104"/>
    <mergeCell ref="A127:A137"/>
    <mergeCell ref="C127:C137"/>
    <mergeCell ref="D127:D137"/>
    <mergeCell ref="Y127:Y137"/>
    <mergeCell ref="Z127:Z137"/>
    <mergeCell ref="AA127:AA137"/>
    <mergeCell ref="A116:A126"/>
    <mergeCell ref="C116:C126"/>
    <mergeCell ref="D116:D126"/>
    <mergeCell ref="Y116:Y126"/>
    <mergeCell ref="Z116:Z126"/>
    <mergeCell ref="AA116:AA126"/>
    <mergeCell ref="A149:A159"/>
    <mergeCell ref="C149:C159"/>
    <mergeCell ref="D149:D159"/>
    <mergeCell ref="Y149:Y159"/>
    <mergeCell ref="Z149:Z159"/>
    <mergeCell ref="AA149:AA159"/>
    <mergeCell ref="A138:A148"/>
    <mergeCell ref="C138:C148"/>
    <mergeCell ref="D138:D148"/>
    <mergeCell ref="Y138:Y148"/>
    <mergeCell ref="Z138:Z148"/>
    <mergeCell ref="AA138:AA148"/>
    <mergeCell ref="A171:A181"/>
    <mergeCell ref="C171:C181"/>
    <mergeCell ref="D171:D181"/>
    <mergeCell ref="Y171:Y181"/>
    <mergeCell ref="Z171:Z181"/>
    <mergeCell ref="AA171:AA181"/>
    <mergeCell ref="A160:A170"/>
    <mergeCell ref="C160:C170"/>
    <mergeCell ref="D160:D170"/>
    <mergeCell ref="Y160:Y170"/>
    <mergeCell ref="Z160:Z170"/>
    <mergeCell ref="AA160:AA170"/>
    <mergeCell ref="A193:A203"/>
    <mergeCell ref="C193:C203"/>
    <mergeCell ref="D193:D203"/>
    <mergeCell ref="Y193:Y203"/>
    <mergeCell ref="Z193:Z203"/>
    <mergeCell ref="AA193:AA203"/>
    <mergeCell ref="A182:A192"/>
    <mergeCell ref="C182:C192"/>
    <mergeCell ref="D182:D192"/>
    <mergeCell ref="Y182:Y192"/>
    <mergeCell ref="Z182:Z192"/>
    <mergeCell ref="AA182:AA192"/>
    <mergeCell ref="A215:A225"/>
    <mergeCell ref="C215:C225"/>
    <mergeCell ref="D215:D225"/>
    <mergeCell ref="Y215:Y225"/>
    <mergeCell ref="Z215:Z225"/>
    <mergeCell ref="AA215:AA225"/>
    <mergeCell ref="A204:A214"/>
    <mergeCell ref="C204:C214"/>
    <mergeCell ref="D204:D214"/>
    <mergeCell ref="Y204:Y214"/>
    <mergeCell ref="Z204:Z214"/>
    <mergeCell ref="AA204:AA214"/>
    <mergeCell ref="AA435:AA445"/>
    <mergeCell ref="A424:A434"/>
    <mergeCell ref="C424:C434"/>
    <mergeCell ref="D424:D434"/>
    <mergeCell ref="Y424:Y434"/>
    <mergeCell ref="Z424:Z434"/>
    <mergeCell ref="AA424:AA434"/>
    <mergeCell ref="A226:A236"/>
    <mergeCell ref="C226:C236"/>
    <mergeCell ref="D226:D236"/>
    <mergeCell ref="Y226:Y236"/>
    <mergeCell ref="Z226:Z236"/>
    <mergeCell ref="AA226:AA236"/>
    <mergeCell ref="A237:A247"/>
    <mergeCell ref="C237:C247"/>
    <mergeCell ref="D237:D247"/>
    <mergeCell ref="Y237:Y247"/>
    <mergeCell ref="Z237:Z247"/>
    <mergeCell ref="AA237:AA247"/>
    <mergeCell ref="A248:A258"/>
    <mergeCell ref="C248:C258"/>
    <mergeCell ref="D248:D258"/>
    <mergeCell ref="Y248:Y258"/>
    <mergeCell ref="Z248:Z258"/>
    <mergeCell ref="A952:X954"/>
    <mergeCell ref="Y952:Y954"/>
    <mergeCell ref="Z952:Z954"/>
    <mergeCell ref="AA952:AA954"/>
    <mergeCell ref="A941:A951"/>
    <mergeCell ref="C941:C951"/>
    <mergeCell ref="D941:D951"/>
    <mergeCell ref="Y941:Y951"/>
    <mergeCell ref="Z941:Z951"/>
    <mergeCell ref="AA941:AA951"/>
    <mergeCell ref="AA248:AA258"/>
    <mergeCell ref="A259:A269"/>
    <mergeCell ref="C259:C269"/>
    <mergeCell ref="D259:D269"/>
    <mergeCell ref="Y259:Y269"/>
    <mergeCell ref="Z259:Z269"/>
    <mergeCell ref="AA259:AA269"/>
    <mergeCell ref="A270:A280"/>
    <mergeCell ref="C270:C280"/>
    <mergeCell ref="D270:D280"/>
    <mergeCell ref="Y270:Y280"/>
    <mergeCell ref="Z270:Z280"/>
    <mergeCell ref="AA270:AA280"/>
    <mergeCell ref="A281:A291"/>
    <mergeCell ref="C281:C291"/>
    <mergeCell ref="D281:D291"/>
    <mergeCell ref="Y281:Y291"/>
    <mergeCell ref="Z281:Z291"/>
    <mergeCell ref="AA281:AA291"/>
    <mergeCell ref="A292:A302"/>
    <mergeCell ref="C292:C302"/>
    <mergeCell ref="D292:D302"/>
    <mergeCell ref="Y292:Y302"/>
    <mergeCell ref="Z292:Z302"/>
    <mergeCell ref="AA292:AA302"/>
    <mergeCell ref="A303:A313"/>
    <mergeCell ref="C303:C313"/>
    <mergeCell ref="D303:D313"/>
    <mergeCell ref="Y303:Y313"/>
    <mergeCell ref="Z303:Z313"/>
    <mergeCell ref="AA303:AA313"/>
    <mergeCell ref="A314:A324"/>
    <mergeCell ref="C314:C324"/>
    <mergeCell ref="D314:D324"/>
    <mergeCell ref="Y314:Y324"/>
    <mergeCell ref="Z314:Z324"/>
    <mergeCell ref="AA314:AA324"/>
    <mergeCell ref="A325:A335"/>
    <mergeCell ref="C325:C335"/>
    <mergeCell ref="D325:D335"/>
    <mergeCell ref="Y325:Y335"/>
    <mergeCell ref="Z325:Z335"/>
    <mergeCell ref="AA325:AA335"/>
    <mergeCell ref="A336:A346"/>
    <mergeCell ref="C336:C346"/>
    <mergeCell ref="D336:D346"/>
    <mergeCell ref="Y336:Y346"/>
    <mergeCell ref="Z336:Z346"/>
    <mergeCell ref="AA336:AA346"/>
    <mergeCell ref="A347:A357"/>
    <mergeCell ref="C347:C357"/>
    <mergeCell ref="D347:D357"/>
    <mergeCell ref="Y347:Y357"/>
    <mergeCell ref="Z347:Z357"/>
    <mergeCell ref="AA347:AA357"/>
    <mergeCell ref="A358:A368"/>
    <mergeCell ref="C358:C368"/>
    <mergeCell ref="D358:D368"/>
    <mergeCell ref="Y358:Y368"/>
    <mergeCell ref="Z358:Z368"/>
    <mergeCell ref="AA358:AA368"/>
    <mergeCell ref="A369:A379"/>
    <mergeCell ref="C369:C379"/>
    <mergeCell ref="D369:D379"/>
    <mergeCell ref="Y369:Y379"/>
    <mergeCell ref="Z369:Z379"/>
    <mergeCell ref="AA369:AA379"/>
    <mergeCell ref="A380:A390"/>
    <mergeCell ref="C380:C390"/>
    <mergeCell ref="D380:D390"/>
    <mergeCell ref="Y380:Y390"/>
    <mergeCell ref="Z380:Z390"/>
    <mergeCell ref="AA380:AA390"/>
    <mergeCell ref="AA413:AA423"/>
    <mergeCell ref="A391:A401"/>
    <mergeCell ref="C391:C401"/>
    <mergeCell ref="D391:D401"/>
    <mergeCell ref="Y391:Y401"/>
    <mergeCell ref="Z391:Z401"/>
    <mergeCell ref="AA391:AA401"/>
    <mergeCell ref="A402:A412"/>
    <mergeCell ref="C402:C412"/>
    <mergeCell ref="D402:D412"/>
    <mergeCell ref="Y402:Y412"/>
    <mergeCell ref="Z402:Z412"/>
    <mergeCell ref="AA402:AA412"/>
    <mergeCell ref="A413:A423"/>
    <mergeCell ref="C413:C423"/>
    <mergeCell ref="D413:D423"/>
    <mergeCell ref="Y413:Y423"/>
    <mergeCell ref="Z413:Z423"/>
    <mergeCell ref="A435:A445"/>
    <mergeCell ref="C435:C445"/>
    <mergeCell ref="D435:D445"/>
    <mergeCell ref="Y435:Y445"/>
    <mergeCell ref="Z435:Z445"/>
    <mergeCell ref="A479:A489"/>
    <mergeCell ref="C479:C489"/>
    <mergeCell ref="Y479:Y489"/>
    <mergeCell ref="Z479:Z489"/>
    <mergeCell ref="A512:A522"/>
    <mergeCell ref="C512:C522"/>
    <mergeCell ref="D512:D522"/>
    <mergeCell ref="Y512:Y522"/>
    <mergeCell ref="Z512:Z522"/>
    <mergeCell ref="AA512:AA522"/>
    <mergeCell ref="A523:A533"/>
    <mergeCell ref="C523:C533"/>
    <mergeCell ref="D523:D533"/>
    <mergeCell ref="Y523:Y533"/>
    <mergeCell ref="Z523:Z533"/>
    <mergeCell ref="AA523:AA533"/>
    <mergeCell ref="A534:A544"/>
    <mergeCell ref="C534:C544"/>
    <mergeCell ref="D534:D544"/>
    <mergeCell ref="Y534:Y544"/>
    <mergeCell ref="Z534:Z544"/>
    <mergeCell ref="AA534:AA544"/>
    <mergeCell ref="A545:A555"/>
    <mergeCell ref="C545:C555"/>
    <mergeCell ref="D545:D555"/>
    <mergeCell ref="Y545:Y555"/>
    <mergeCell ref="Z545:Z555"/>
    <mergeCell ref="AA545:AA555"/>
    <mergeCell ref="A556:A566"/>
    <mergeCell ref="C556:C566"/>
    <mergeCell ref="D556:D566"/>
    <mergeCell ref="Y556:Y566"/>
    <mergeCell ref="Z556:Z566"/>
    <mergeCell ref="AA556:AA566"/>
    <mergeCell ref="A567:A577"/>
    <mergeCell ref="C567:C577"/>
    <mergeCell ref="D567:D577"/>
    <mergeCell ref="Y567:Y577"/>
    <mergeCell ref="Z567:Z577"/>
    <mergeCell ref="AA567:AA577"/>
    <mergeCell ref="A578:A588"/>
    <mergeCell ref="C578:C588"/>
    <mergeCell ref="D578:D588"/>
    <mergeCell ref="Y578:Y588"/>
    <mergeCell ref="Z578:Z588"/>
    <mergeCell ref="AA578:AA588"/>
    <mergeCell ref="A589:A599"/>
    <mergeCell ref="C589:C599"/>
    <mergeCell ref="D589:D599"/>
    <mergeCell ref="Y589:Y599"/>
    <mergeCell ref="Z589:Z599"/>
    <mergeCell ref="AA589:AA599"/>
    <mergeCell ref="A600:A610"/>
    <mergeCell ref="C600:C610"/>
    <mergeCell ref="D600:D610"/>
    <mergeCell ref="Y600:Y610"/>
    <mergeCell ref="Z600:Z610"/>
    <mergeCell ref="AA600:AA610"/>
    <mergeCell ref="A611:A621"/>
    <mergeCell ref="C611:C621"/>
    <mergeCell ref="D611:D621"/>
    <mergeCell ref="Y611:Y621"/>
    <mergeCell ref="Z611:Z621"/>
    <mergeCell ref="AA611:AA621"/>
    <mergeCell ref="A644:A654"/>
    <mergeCell ref="C644:C654"/>
    <mergeCell ref="D644:D654"/>
    <mergeCell ref="Y644:Y654"/>
    <mergeCell ref="Z644:Z654"/>
    <mergeCell ref="AA644:AA654"/>
    <mergeCell ref="A622:A632"/>
    <mergeCell ref="C622:C632"/>
    <mergeCell ref="D622:D632"/>
    <mergeCell ref="Y622:Y632"/>
    <mergeCell ref="Z622:Z632"/>
    <mergeCell ref="AA622:AA632"/>
    <mergeCell ref="A633:A643"/>
    <mergeCell ref="C633:C643"/>
    <mergeCell ref="D633:D643"/>
    <mergeCell ref="Y633:Y643"/>
    <mergeCell ref="Z633:Z643"/>
    <mergeCell ref="AA633:AA643"/>
    <mergeCell ref="A655:A665"/>
    <mergeCell ref="C655:C665"/>
    <mergeCell ref="D655:D665"/>
    <mergeCell ref="Y655:Y665"/>
    <mergeCell ref="Z655:Z665"/>
    <mergeCell ref="AA655:AA665"/>
    <mergeCell ref="A666:A676"/>
    <mergeCell ref="C666:C676"/>
    <mergeCell ref="D666:D676"/>
    <mergeCell ref="Y666:Y676"/>
    <mergeCell ref="Z666:Z676"/>
    <mergeCell ref="AA666:AA676"/>
    <mergeCell ref="A677:A687"/>
    <mergeCell ref="C677:C687"/>
    <mergeCell ref="D677:D687"/>
    <mergeCell ref="Y677:Y687"/>
    <mergeCell ref="Z677:Z687"/>
    <mergeCell ref="AA677:AA687"/>
    <mergeCell ref="A688:A698"/>
    <mergeCell ref="C688:C698"/>
    <mergeCell ref="D688:D698"/>
    <mergeCell ref="Y688:Y698"/>
    <mergeCell ref="Z688:Z698"/>
    <mergeCell ref="AA688:AA698"/>
    <mergeCell ref="A699:A709"/>
    <mergeCell ref="C699:C709"/>
    <mergeCell ref="D699:D709"/>
    <mergeCell ref="Y699:Y709"/>
    <mergeCell ref="Z699:Z709"/>
    <mergeCell ref="AA699:AA709"/>
    <mergeCell ref="A710:A720"/>
    <mergeCell ref="C710:C720"/>
    <mergeCell ref="D710:D720"/>
    <mergeCell ref="Y710:Y720"/>
    <mergeCell ref="Z710:Z720"/>
    <mergeCell ref="AA710:AA720"/>
    <mergeCell ref="A721:A731"/>
    <mergeCell ref="C721:C731"/>
    <mergeCell ref="D721:D731"/>
    <mergeCell ref="Y721:Y731"/>
    <mergeCell ref="Z721:Z731"/>
    <mergeCell ref="AA721:AA731"/>
    <mergeCell ref="A732:A742"/>
    <mergeCell ref="C732:C742"/>
    <mergeCell ref="D732:D742"/>
    <mergeCell ref="Y732:Y742"/>
    <mergeCell ref="Z732:Z742"/>
    <mergeCell ref="AA732:AA742"/>
    <mergeCell ref="A864:A874"/>
    <mergeCell ref="C864:C874"/>
    <mergeCell ref="D864:D874"/>
    <mergeCell ref="Y864:Y874"/>
    <mergeCell ref="Z864:Z874"/>
    <mergeCell ref="AA864:AA874"/>
    <mergeCell ref="A743:A753"/>
    <mergeCell ref="C743:C753"/>
    <mergeCell ref="D743:D753"/>
    <mergeCell ref="Y743:Y753"/>
    <mergeCell ref="Z743:Z753"/>
    <mergeCell ref="AA743:AA753"/>
    <mergeCell ref="A853:A863"/>
    <mergeCell ref="C853:C863"/>
    <mergeCell ref="D853:D863"/>
    <mergeCell ref="Y853:Y863"/>
    <mergeCell ref="Z853:Z863"/>
    <mergeCell ref="AA853:AA863"/>
    <mergeCell ref="A754:A764"/>
    <mergeCell ref="C754:C764"/>
    <mergeCell ref="D754:D764"/>
    <mergeCell ref="Y754:Y764"/>
    <mergeCell ref="Z754:Z764"/>
    <mergeCell ref="AA754:AA764"/>
    <mergeCell ref="A897:A907"/>
    <mergeCell ref="C897:C907"/>
    <mergeCell ref="D897:D907"/>
    <mergeCell ref="Y897:Y907"/>
    <mergeCell ref="Z897:Z907"/>
    <mergeCell ref="AA897:AA907"/>
    <mergeCell ref="A908:A918"/>
    <mergeCell ref="C908:C918"/>
    <mergeCell ref="D908:D918"/>
    <mergeCell ref="Y908:Y918"/>
    <mergeCell ref="Z908:Z918"/>
    <mergeCell ref="AA908:AA918"/>
  </mergeCells>
  <conditionalFormatting sqref="W14:W15 U14:U15 V14:V236 E17:P18 E941:T950 V941:V951 U6:W11 L951 E19:T236 E6:K16 M6:S16">
    <cfRule type="cellIs" dxfId="103" priority="109" operator="equal">
      <formula>0</formula>
    </cfRule>
  </conditionalFormatting>
  <conditionalFormatting sqref="E951:K951 W951:X951 M951:U951">
    <cfRule type="cellIs" dxfId="102" priority="108" operator="equal">
      <formula>0</formula>
    </cfRule>
  </conditionalFormatting>
  <conditionalFormatting sqref="V424:V434 E424:T424 E426:T434 E425:G425 I425:T425">
    <cfRule type="cellIs" dxfId="101" priority="107" operator="equal">
      <formula>0</formula>
    </cfRule>
  </conditionalFormatting>
  <conditionalFormatting sqref="V435:V500 E435:T500">
    <cfRule type="cellIs" dxfId="100" priority="106" operator="equal">
      <formula>0</formula>
    </cfRule>
  </conditionalFormatting>
  <conditionalFormatting sqref="H425">
    <cfRule type="cellIs" dxfId="99" priority="100" operator="equal">
      <formula>0</formula>
    </cfRule>
  </conditionalFormatting>
  <conditionalFormatting sqref="V413:V423 E413:T423">
    <cfRule type="cellIs" dxfId="98" priority="85" operator="equal">
      <formula>0</formula>
    </cfRule>
  </conditionalFormatting>
  <conditionalFormatting sqref="V237:V247 E237:T247">
    <cfRule type="cellIs" dxfId="97" priority="99" operator="equal">
      <formula>0</formula>
    </cfRule>
  </conditionalFormatting>
  <conditionalFormatting sqref="V248:V258 E248:T258">
    <cfRule type="cellIs" dxfId="96" priority="98" operator="equal">
      <formula>0</formula>
    </cfRule>
  </conditionalFormatting>
  <conditionalFormatting sqref="V259:V269 E259:T269">
    <cfRule type="cellIs" dxfId="95" priority="97" operator="equal">
      <formula>0</formula>
    </cfRule>
  </conditionalFormatting>
  <conditionalFormatting sqref="V270:V280 E270:T280">
    <cfRule type="cellIs" dxfId="94" priority="96" operator="equal">
      <formula>0</formula>
    </cfRule>
  </conditionalFormatting>
  <conditionalFormatting sqref="V281:V291 E281:T291">
    <cfRule type="cellIs" dxfId="93" priority="95" operator="equal">
      <formula>0</formula>
    </cfRule>
  </conditionalFormatting>
  <conditionalFormatting sqref="V292:V302 E292:T302">
    <cfRule type="cellIs" dxfId="92" priority="94" operator="equal">
      <formula>0</formula>
    </cfRule>
  </conditionalFormatting>
  <conditionalFormatting sqref="V303:V313 E303:T313">
    <cfRule type="cellIs" dxfId="91" priority="93" operator="equal">
      <formula>0</formula>
    </cfRule>
  </conditionalFormatting>
  <conditionalFormatting sqref="V314:V324 E314:T324">
    <cfRule type="cellIs" dxfId="90" priority="92" operator="equal">
      <formula>0</formula>
    </cfRule>
  </conditionalFormatting>
  <conditionalFormatting sqref="V325:V335 E325:T335">
    <cfRule type="cellIs" dxfId="89" priority="91" operator="equal">
      <formula>0</formula>
    </cfRule>
  </conditionalFormatting>
  <conditionalFormatting sqref="V336:V346 E336:T346">
    <cfRule type="cellIs" dxfId="88" priority="90" operator="equal">
      <formula>0</formula>
    </cfRule>
  </conditionalFormatting>
  <conditionalFormatting sqref="V347:V357 E347:T357">
    <cfRule type="cellIs" dxfId="87" priority="89" operator="equal">
      <formula>0</formula>
    </cfRule>
  </conditionalFormatting>
  <conditionalFormatting sqref="V358:V368 E358:T368">
    <cfRule type="cellIs" dxfId="86" priority="88" operator="equal">
      <formula>0</formula>
    </cfRule>
  </conditionalFormatting>
  <conditionalFormatting sqref="V369:V379 E369:T379">
    <cfRule type="cellIs" dxfId="85" priority="87" operator="equal">
      <formula>0</formula>
    </cfRule>
  </conditionalFormatting>
  <conditionalFormatting sqref="V380:V390 E380:T390">
    <cfRule type="cellIs" dxfId="84" priority="86" operator="equal">
      <formula>0</formula>
    </cfRule>
  </conditionalFormatting>
  <conditionalFormatting sqref="V391:V401 E391:T401">
    <cfRule type="cellIs" dxfId="83" priority="84" operator="equal">
      <formula>0</formula>
    </cfRule>
  </conditionalFormatting>
  <conditionalFormatting sqref="V402:V412 E402:T412">
    <cfRule type="cellIs" dxfId="82" priority="83" operator="equal">
      <formula>0</formula>
    </cfRule>
  </conditionalFormatting>
  <conditionalFormatting sqref="X6:X16">
    <cfRule type="cellIs" dxfId="81" priority="80" operator="equal">
      <formula>0</formula>
    </cfRule>
  </conditionalFormatting>
  <conditionalFormatting sqref="L6:L16">
    <cfRule type="cellIs" dxfId="80" priority="82" operator="equal">
      <formula>0</formula>
    </cfRule>
  </conditionalFormatting>
  <conditionalFormatting sqref="T6:T16">
    <cfRule type="cellIs" dxfId="79" priority="81" operator="equal">
      <formula>0</formula>
    </cfRule>
  </conditionalFormatting>
  <conditionalFormatting sqref="V501:V511 E501:T511">
    <cfRule type="cellIs" dxfId="78" priority="79" operator="equal">
      <formula>0</formula>
    </cfRule>
  </conditionalFormatting>
  <conditionalFormatting sqref="E512:T521 V512:V522 L522">
    <cfRule type="cellIs" dxfId="77" priority="78" operator="equal">
      <formula>0</formula>
    </cfRule>
  </conditionalFormatting>
  <conditionalFormatting sqref="E522:K522 W522:X522 M522:U522">
    <cfRule type="cellIs" dxfId="76" priority="77" operator="equal">
      <formula>0</formula>
    </cfRule>
  </conditionalFormatting>
  <conditionalFormatting sqref="E523:T532 V523:V533 L533">
    <cfRule type="cellIs" dxfId="75" priority="76" operator="equal">
      <formula>0</formula>
    </cfRule>
  </conditionalFormatting>
  <conditionalFormatting sqref="E533:K533 W533:X533 M533:U533">
    <cfRule type="cellIs" dxfId="74" priority="75" operator="equal">
      <formula>0</formula>
    </cfRule>
  </conditionalFormatting>
  <conditionalFormatting sqref="E534:T543 V534:V544 L544">
    <cfRule type="cellIs" dxfId="73" priority="74" operator="equal">
      <formula>0</formula>
    </cfRule>
  </conditionalFormatting>
  <conditionalFormatting sqref="E544:K544 W544:X544 M544:U544">
    <cfRule type="cellIs" dxfId="72" priority="73" operator="equal">
      <formula>0</formula>
    </cfRule>
  </conditionalFormatting>
  <conditionalFormatting sqref="E545:T554 V545:V555 L555">
    <cfRule type="cellIs" dxfId="71" priority="72" operator="equal">
      <formula>0</formula>
    </cfRule>
  </conditionalFormatting>
  <conditionalFormatting sqref="E555:K555 W555:X555 M555:U555">
    <cfRule type="cellIs" dxfId="70" priority="71" operator="equal">
      <formula>0</formula>
    </cfRule>
  </conditionalFormatting>
  <conditionalFormatting sqref="E556:T565 V556:V566 L566">
    <cfRule type="cellIs" dxfId="69" priority="70" operator="equal">
      <formula>0</formula>
    </cfRule>
  </conditionalFormatting>
  <conditionalFormatting sqref="E566:K566 W566:X566 M566:U566">
    <cfRule type="cellIs" dxfId="68" priority="69" operator="equal">
      <formula>0</formula>
    </cfRule>
  </conditionalFormatting>
  <conditionalFormatting sqref="E567:T576 V567:V577 L577">
    <cfRule type="cellIs" dxfId="67" priority="68" operator="equal">
      <formula>0</formula>
    </cfRule>
  </conditionalFormatting>
  <conditionalFormatting sqref="E577:K577 W577:X577 M577:U577">
    <cfRule type="cellIs" dxfId="66" priority="67" operator="equal">
      <formula>0</formula>
    </cfRule>
  </conditionalFormatting>
  <conditionalFormatting sqref="E578:T587 V578:V588 L588">
    <cfRule type="cellIs" dxfId="65" priority="66" operator="equal">
      <formula>0</formula>
    </cfRule>
  </conditionalFormatting>
  <conditionalFormatting sqref="E588:K588 W588:X588 M588:U588">
    <cfRule type="cellIs" dxfId="64" priority="65" operator="equal">
      <formula>0</formula>
    </cfRule>
  </conditionalFormatting>
  <conditionalFormatting sqref="E589:T598 V589:V599 L599">
    <cfRule type="cellIs" dxfId="63" priority="64" operator="equal">
      <formula>0</formula>
    </cfRule>
  </conditionalFormatting>
  <conditionalFormatting sqref="E599:K599 W599:X599 M599:U599">
    <cfRule type="cellIs" dxfId="62" priority="63" operator="equal">
      <formula>0</formula>
    </cfRule>
  </conditionalFormatting>
  <conditionalFormatting sqref="E600:T609 V600:V610 L610">
    <cfRule type="cellIs" dxfId="61" priority="62" operator="equal">
      <formula>0</formula>
    </cfRule>
  </conditionalFormatting>
  <conditionalFormatting sqref="E610:K610 W610:X610 M610:U610">
    <cfRule type="cellIs" dxfId="60" priority="61" operator="equal">
      <formula>0</formula>
    </cfRule>
  </conditionalFormatting>
  <conditionalFormatting sqref="E611:T620 V611:V621 L621">
    <cfRule type="cellIs" dxfId="59" priority="60" operator="equal">
      <formula>0</formula>
    </cfRule>
  </conditionalFormatting>
  <conditionalFormatting sqref="E621:K621 W621:X621 M621:U621">
    <cfRule type="cellIs" dxfId="58" priority="59" operator="equal">
      <formula>0</formula>
    </cfRule>
  </conditionalFormatting>
  <conditionalFormatting sqref="E622:T631 V622:V632 L632">
    <cfRule type="cellIs" dxfId="57" priority="58" operator="equal">
      <formula>0</formula>
    </cfRule>
  </conditionalFormatting>
  <conditionalFormatting sqref="E632:K632 W632:X632 M632:U632">
    <cfRule type="cellIs" dxfId="56" priority="57" operator="equal">
      <formula>0</formula>
    </cfRule>
  </conditionalFormatting>
  <conditionalFormatting sqref="E633:T642 V633:V643 L643">
    <cfRule type="cellIs" dxfId="55" priority="56" operator="equal">
      <formula>0</formula>
    </cfRule>
  </conditionalFormatting>
  <conditionalFormatting sqref="E643:K643 W643:X643 M643:U643">
    <cfRule type="cellIs" dxfId="54" priority="55" operator="equal">
      <formula>0</formula>
    </cfRule>
  </conditionalFormatting>
  <conditionalFormatting sqref="E644:T653 V644:V654 L654">
    <cfRule type="cellIs" dxfId="53" priority="54" operator="equal">
      <formula>0</formula>
    </cfRule>
  </conditionalFormatting>
  <conditionalFormatting sqref="E654:K654 W654:X654 M654:U654">
    <cfRule type="cellIs" dxfId="52" priority="53" operator="equal">
      <formula>0</formula>
    </cfRule>
  </conditionalFormatting>
  <conditionalFormatting sqref="E655:T664 V655:V665 L665">
    <cfRule type="cellIs" dxfId="51" priority="52" operator="equal">
      <formula>0</formula>
    </cfRule>
  </conditionalFormatting>
  <conditionalFormatting sqref="E665:K665 W665:X665 M665:U665">
    <cfRule type="cellIs" dxfId="50" priority="51" operator="equal">
      <formula>0</formula>
    </cfRule>
  </conditionalFormatting>
  <conditionalFormatting sqref="E666:T675 V666:V676 L676">
    <cfRule type="cellIs" dxfId="49" priority="50" operator="equal">
      <formula>0</formula>
    </cfRule>
  </conditionalFormatting>
  <conditionalFormatting sqref="E676:K676 W676:X676 M676:U676">
    <cfRule type="cellIs" dxfId="48" priority="49" operator="equal">
      <formula>0</formula>
    </cfRule>
  </conditionalFormatting>
  <conditionalFormatting sqref="E677:T686 V677:V687 L687">
    <cfRule type="cellIs" dxfId="47" priority="48" operator="equal">
      <formula>0</formula>
    </cfRule>
  </conditionalFormatting>
  <conditionalFormatting sqref="E687:K687 W687:X687 M687:U687">
    <cfRule type="cellIs" dxfId="46" priority="47" operator="equal">
      <formula>0</formula>
    </cfRule>
  </conditionalFormatting>
  <conditionalFormatting sqref="E688:T697 V688:V698 L698">
    <cfRule type="cellIs" dxfId="45" priority="46" operator="equal">
      <formula>0</formula>
    </cfRule>
  </conditionalFormatting>
  <conditionalFormatting sqref="E698:K698 W698:X698 M698:U698">
    <cfRule type="cellIs" dxfId="44" priority="45" operator="equal">
      <formula>0</formula>
    </cfRule>
  </conditionalFormatting>
  <conditionalFormatting sqref="E699:T708 V699:V709 L709">
    <cfRule type="cellIs" dxfId="43" priority="44" operator="equal">
      <formula>0</formula>
    </cfRule>
  </conditionalFormatting>
  <conditionalFormatting sqref="E709:K709 W709:X709 M709:U709">
    <cfRule type="cellIs" dxfId="42" priority="43" operator="equal">
      <formula>0</formula>
    </cfRule>
  </conditionalFormatting>
  <conditionalFormatting sqref="E710:T719 V710:V720 L720">
    <cfRule type="cellIs" dxfId="41" priority="42" operator="equal">
      <formula>0</formula>
    </cfRule>
  </conditionalFormatting>
  <conditionalFormatting sqref="E720:K720 W720:X720 M720:U720">
    <cfRule type="cellIs" dxfId="40" priority="41" operator="equal">
      <formula>0</formula>
    </cfRule>
  </conditionalFormatting>
  <conditionalFormatting sqref="E721:T730 V721:V731 L731">
    <cfRule type="cellIs" dxfId="39" priority="40" operator="equal">
      <formula>0</formula>
    </cfRule>
  </conditionalFormatting>
  <conditionalFormatting sqref="E731:K731 W731:X731 M731:U731">
    <cfRule type="cellIs" dxfId="38" priority="39" operator="equal">
      <formula>0</formula>
    </cfRule>
  </conditionalFormatting>
  <conditionalFormatting sqref="E732:T741 V732:V742 L742">
    <cfRule type="cellIs" dxfId="37" priority="38" operator="equal">
      <formula>0</formula>
    </cfRule>
  </conditionalFormatting>
  <conditionalFormatting sqref="E742:K742 W742:X742 M742:U742">
    <cfRule type="cellIs" dxfId="36" priority="37" operator="equal">
      <formula>0</formula>
    </cfRule>
  </conditionalFormatting>
  <conditionalFormatting sqref="E743:T752 V743:V753 L753">
    <cfRule type="cellIs" dxfId="35" priority="36" operator="equal">
      <formula>0</formula>
    </cfRule>
  </conditionalFormatting>
  <conditionalFormatting sqref="E753:K753 W753:X753 M753:U753">
    <cfRule type="cellIs" dxfId="34" priority="35" operator="equal">
      <formula>0</formula>
    </cfRule>
  </conditionalFormatting>
  <conditionalFormatting sqref="E853:T862 V853:V863 L863">
    <cfRule type="cellIs" dxfId="33" priority="34" operator="equal">
      <formula>0</formula>
    </cfRule>
  </conditionalFormatting>
  <conditionalFormatting sqref="E863:K863 W863:X863 M863:U863">
    <cfRule type="cellIs" dxfId="32" priority="33" operator="equal">
      <formula>0</formula>
    </cfRule>
  </conditionalFormatting>
  <conditionalFormatting sqref="E864:T873 V864:V874 L874">
    <cfRule type="cellIs" dxfId="31" priority="32" operator="equal">
      <formula>0</formula>
    </cfRule>
  </conditionalFormatting>
  <conditionalFormatting sqref="E874:K874 W874:X874 M874:U874">
    <cfRule type="cellIs" dxfId="30" priority="31" operator="equal">
      <formula>0</formula>
    </cfRule>
  </conditionalFormatting>
  <conditionalFormatting sqref="E930:T939 V930:V940 L940">
    <cfRule type="cellIs" dxfId="29" priority="30" operator="equal">
      <formula>0</formula>
    </cfRule>
  </conditionalFormatting>
  <conditionalFormatting sqref="E940:K940 W940:X940 M940:U940">
    <cfRule type="cellIs" dxfId="28" priority="29" operator="equal">
      <formula>0</formula>
    </cfRule>
  </conditionalFormatting>
  <conditionalFormatting sqref="E919:T928 V919:V929 L929">
    <cfRule type="cellIs" dxfId="27" priority="28" operator="equal">
      <formula>0</formula>
    </cfRule>
  </conditionalFormatting>
  <conditionalFormatting sqref="E929:K929 W929:X929 M929:U929">
    <cfRule type="cellIs" dxfId="26" priority="27" operator="equal">
      <formula>0</formula>
    </cfRule>
  </conditionalFormatting>
  <conditionalFormatting sqref="E875:T884 V875:V885 L885">
    <cfRule type="cellIs" dxfId="25" priority="26" operator="equal">
      <formula>0</formula>
    </cfRule>
  </conditionalFormatting>
  <conditionalFormatting sqref="E885:K885 W885:X885 M885:U885">
    <cfRule type="cellIs" dxfId="24" priority="25" operator="equal">
      <formula>0</formula>
    </cfRule>
  </conditionalFormatting>
  <conditionalFormatting sqref="E908:T917 V908:V918 L918">
    <cfRule type="cellIs" dxfId="23" priority="24" operator="equal">
      <formula>0</formula>
    </cfRule>
  </conditionalFormatting>
  <conditionalFormatting sqref="E918:K918 W918:X918 M918:U918">
    <cfRule type="cellIs" dxfId="22" priority="23" operator="equal">
      <formula>0</formula>
    </cfRule>
  </conditionalFormatting>
  <conditionalFormatting sqref="E897:T906 V897:V907 L907">
    <cfRule type="cellIs" dxfId="21" priority="22" operator="equal">
      <formula>0</formula>
    </cfRule>
  </conditionalFormatting>
  <conditionalFormatting sqref="E907:K907 W907:X907 M907:U907">
    <cfRule type="cellIs" dxfId="20" priority="21" operator="equal">
      <formula>0</formula>
    </cfRule>
  </conditionalFormatting>
  <conditionalFormatting sqref="E886:T895 V886:V896 L896">
    <cfRule type="cellIs" dxfId="19" priority="20" operator="equal">
      <formula>0</formula>
    </cfRule>
  </conditionalFormatting>
  <conditionalFormatting sqref="E896:K896 W896:X896 M896:U896">
    <cfRule type="cellIs" dxfId="18" priority="19" operator="equal">
      <formula>0</formula>
    </cfRule>
  </conditionalFormatting>
  <conditionalFormatting sqref="E842:T851 V842:V852 L852">
    <cfRule type="cellIs" dxfId="17" priority="18" operator="equal">
      <formula>0</formula>
    </cfRule>
  </conditionalFormatting>
  <conditionalFormatting sqref="E852:K852 W852:X852 M852:U852">
    <cfRule type="cellIs" dxfId="16" priority="17" operator="equal">
      <formula>0</formula>
    </cfRule>
  </conditionalFormatting>
  <conditionalFormatting sqref="E754:T763 V754:V764 L764">
    <cfRule type="cellIs" dxfId="15" priority="16" operator="equal">
      <formula>0</formula>
    </cfRule>
  </conditionalFormatting>
  <conditionalFormatting sqref="E764:K764 W764:X764 M764:U764">
    <cfRule type="cellIs" dxfId="14" priority="15" operator="equal">
      <formula>0</formula>
    </cfRule>
  </conditionalFormatting>
  <conditionalFormatting sqref="E765:T774 V765:V775 L775">
    <cfRule type="cellIs" dxfId="13" priority="14" operator="equal">
      <formula>0</formula>
    </cfRule>
  </conditionalFormatting>
  <conditionalFormatting sqref="E775:K775 W775:X775 M775:U775">
    <cfRule type="cellIs" dxfId="12" priority="13" operator="equal">
      <formula>0</formula>
    </cfRule>
  </conditionalFormatting>
  <conditionalFormatting sqref="E831:T840 V831:V841 L841">
    <cfRule type="cellIs" dxfId="11" priority="12" operator="equal">
      <formula>0</formula>
    </cfRule>
  </conditionalFormatting>
  <conditionalFormatting sqref="E841:K841 W841:X841 M841:U841">
    <cfRule type="cellIs" dxfId="10" priority="11" operator="equal">
      <formula>0</formula>
    </cfRule>
  </conditionalFormatting>
  <conditionalFormatting sqref="E820:T829 V820:V830 L830">
    <cfRule type="cellIs" dxfId="9" priority="10" operator="equal">
      <formula>0</formula>
    </cfRule>
  </conditionalFormatting>
  <conditionalFormatting sqref="E830:K830 W830:X830 M830:U830">
    <cfRule type="cellIs" dxfId="8" priority="9" operator="equal">
      <formula>0</formula>
    </cfRule>
  </conditionalFormatting>
  <conditionalFormatting sqref="E776:T785 V776:V786 L786">
    <cfRule type="cellIs" dxfId="7" priority="8" operator="equal">
      <formula>0</formula>
    </cfRule>
  </conditionalFormatting>
  <conditionalFormatting sqref="E786:K786 W786:X786 M786:U786">
    <cfRule type="cellIs" dxfId="6" priority="7" operator="equal">
      <formula>0</formula>
    </cfRule>
  </conditionalFormatting>
  <conditionalFormatting sqref="E809:T818 V809:V819 L819">
    <cfRule type="cellIs" dxfId="5" priority="6" operator="equal">
      <formula>0</formula>
    </cfRule>
  </conditionalFormatting>
  <conditionalFormatting sqref="E819:K819 W819:X819 M819:U819">
    <cfRule type="cellIs" dxfId="4" priority="5" operator="equal">
      <formula>0</formula>
    </cfRule>
  </conditionalFormatting>
  <conditionalFormatting sqref="E798:T807 V798:V808 L808">
    <cfRule type="cellIs" dxfId="3" priority="4" operator="equal">
      <formula>0</formula>
    </cfRule>
  </conditionalFormatting>
  <conditionalFormatting sqref="E808:K808 W808:X808 M808:U808">
    <cfRule type="cellIs" dxfId="2" priority="3" operator="equal">
      <formula>0</formula>
    </cfRule>
  </conditionalFormatting>
  <conditionalFormatting sqref="E787:T796 V787:V797 L797">
    <cfRule type="cellIs" dxfId="1" priority="2" operator="equal">
      <formula>0</formula>
    </cfRule>
  </conditionalFormatting>
  <conditionalFormatting sqref="E797:K797 W797:X797 M797:U797">
    <cfRule type="cellIs" dxfId="0" priority="1" operator="equal">
      <formula>0</formula>
    </cfRule>
  </conditionalFormatting>
  <pageMargins left="0.25" right="0.25" top="0.75" bottom="0.75" header="0.3" footer="0.3"/>
  <pageSetup paperSize="9" scale="53" fitToHeight="0" orientation="landscape" r:id="rId1"/>
  <rowBreaks count="9" manualBreakCount="9">
    <brk id="38" max="16383" man="1"/>
    <brk id="82" max="16383" man="1"/>
    <brk id="126" max="16383" man="1"/>
    <brk id="170" max="16383" man="1"/>
    <brk id="214" max="16383" man="1"/>
    <brk id="258" max="16383" man="1"/>
    <brk id="302" max="16383" man="1"/>
    <brk id="351" max="26" man="1"/>
    <brk id="400" max="26" man="1"/>
  </rowBreaks>
  <ignoredErrors>
    <ignoredError sqref="S6:S11 W12:W16 W941:X949 S950:X951 U6:W11 W435:X445" twoDigitTextYear="1"/>
    <ignoredError sqref="V14 U12:V13 U15:V16 S941:V949 S12:S16 S435:V445" twoDigitTextYear="1" formula="1"/>
    <ignoredError sqref="U14 Q13:R16 R12 Q941:R949 Q435:R445" formula="1"/>
  </ignoredError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база!$B:$B</xm:f>
          </x14:formula1>
          <xm:sqref>B9:B11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Q34"/>
  <sheetViews>
    <sheetView view="pageBreakPreview" zoomScale="60" zoomScaleNormal="60" workbookViewId="0">
      <selection activeCell="U23" sqref="U23"/>
    </sheetView>
  </sheetViews>
  <sheetFormatPr defaultRowHeight="15"/>
  <cols>
    <col min="1" max="1" customWidth="true" style="45" width="5.28515625"/>
    <col min="2" max="2" customWidth="true" style="45" width="7.5703125"/>
    <col min="3" max="3" customWidth="true" style="50" width="31.28515625"/>
    <col min="4" max="4" style="45" width="9.140625"/>
    <col min="5" max="14" customWidth="true" style="45" width="6.0"/>
    <col min="15" max="15" customWidth="true" style="45" width="6.140625"/>
    <col min="16" max="35" customWidth="true" style="45" width="6.0"/>
    <col min="36" max="16384" style="45" width="9.140625"/>
  </cols>
  <sheetData>
    <row r="1" spans="1:36" s="32" customFormat="1" ht="29.25" customHeight="1">
      <c r="B1" s="905" t="s">
        <v>75</v>
      </c>
      <c r="C1" s="905"/>
      <c r="D1" s="905"/>
      <c r="E1" s="905"/>
      <c r="F1" s="905"/>
      <c r="G1" s="905"/>
      <c r="H1" s="905"/>
      <c r="I1" s="905"/>
      <c r="J1" s="148" t="s">
        <v>68</v>
      </c>
      <c r="K1" s="148"/>
      <c r="L1" s="148"/>
      <c r="M1" s="148"/>
      <c r="N1" s="911">
        <v>6000</v>
      </c>
      <c r="O1" s="911"/>
      <c r="P1" s="911"/>
      <c r="Q1" s="911"/>
      <c r="R1" s="911"/>
      <c r="S1" s="911"/>
      <c r="T1" s="911"/>
      <c r="U1" s="906" t="s">
        <v>10</v>
      </c>
      <c r="V1" s="906"/>
      <c r="W1" s="907" t="s">
        <v>105</v>
      </c>
      <c r="X1" s="907"/>
      <c r="Y1" s="907"/>
      <c r="Z1" s="46"/>
      <c r="AA1" s="43"/>
      <c r="AB1" s="65"/>
      <c r="AC1" s="65"/>
      <c r="AD1" s="65"/>
      <c r="AH1" s="46"/>
      <c r="AI1" s="46"/>
      <c r="AJ1" s="43"/>
    </row>
    <row r="2" spans="1:36" s="32" customFormat="1" ht="16.5" customHeight="1">
      <c r="B2" s="905"/>
      <c r="C2" s="905"/>
      <c r="D2" s="905"/>
      <c r="E2" s="905"/>
      <c r="F2" s="905"/>
      <c r="G2" s="905"/>
      <c r="H2" s="905"/>
      <c r="I2" s="905"/>
      <c r="J2" s="42"/>
      <c r="K2" s="143"/>
      <c r="L2" s="143"/>
      <c r="M2" s="143"/>
      <c r="N2" s="143"/>
      <c r="O2" s="144"/>
      <c r="P2" s="144"/>
      <c r="Q2" s="144"/>
      <c r="R2" s="4"/>
      <c r="S2" s="46"/>
      <c r="T2" s="44"/>
      <c r="U2" s="108"/>
      <c r="V2" s="108"/>
      <c r="W2" s="123"/>
      <c r="X2" s="123"/>
      <c r="Y2" s="123"/>
      <c r="Z2" s="46"/>
      <c r="AA2" s="46"/>
      <c r="AB2" s="139" t="s">
        <v>10</v>
      </c>
      <c r="AC2" s="139"/>
      <c r="AD2" s="908"/>
      <c r="AE2" s="908"/>
      <c r="AF2" s="139"/>
      <c r="AG2" s="139" t="s">
        <v>76</v>
      </c>
      <c r="AH2" s="139"/>
      <c r="AI2" s="139"/>
      <c r="AJ2" s="43"/>
    </row>
    <row r="3" spans="1:36" s="32" customFormat="1" ht="16.5" customHeight="1">
      <c r="B3" s="905"/>
      <c r="C3" s="905"/>
      <c r="D3" s="905"/>
      <c r="E3" s="905"/>
      <c r="F3" s="905"/>
      <c r="G3" s="905"/>
      <c r="H3" s="905"/>
      <c r="I3" s="905"/>
      <c r="J3" s="42"/>
      <c r="K3" s="124" t="s">
        <v>77</v>
      </c>
      <c r="L3" s="143"/>
      <c r="M3" s="143"/>
      <c r="N3" s="125"/>
      <c r="O3" s="126"/>
      <c r="P3" s="127" t="e">
        <f>INDEX(база!$AL:$AL, MATCH(N1,база!$AK:$AK,0))</f>
        <v>#N/A</v>
      </c>
      <c r="Q3" s="126"/>
      <c r="R3" s="128"/>
      <c r="S3" s="128"/>
      <c r="T3" s="129"/>
      <c r="U3" s="108"/>
      <c r="V3" s="108"/>
      <c r="W3" s="109"/>
      <c r="X3" s="109"/>
      <c r="Y3" s="109"/>
      <c r="Z3" s="46"/>
      <c r="AA3" s="46"/>
      <c r="AB3" s="139" t="s">
        <v>78</v>
      </c>
      <c r="AC3" s="139"/>
      <c r="AD3" s="908"/>
      <c r="AE3" s="908"/>
      <c r="AF3" s="139"/>
      <c r="AG3" s="162" t="s">
        <v>85</v>
      </c>
      <c r="AH3" s="139"/>
      <c r="AI3" s="139"/>
      <c r="AJ3" s="43"/>
    </row>
    <row r="4" spans="1:36" s="32" customFormat="1" ht="16.5" customHeight="1">
      <c r="B4" s="905"/>
      <c r="C4" s="905"/>
      <c r="D4" s="905"/>
      <c r="E4" s="905"/>
      <c r="F4" s="905"/>
      <c r="G4" s="905"/>
      <c r="H4" s="905"/>
      <c r="I4" s="905"/>
      <c r="J4" s="42"/>
      <c r="K4" s="143"/>
      <c r="L4" s="143"/>
      <c r="M4" s="143"/>
      <c r="N4" s="143"/>
      <c r="O4" s="130"/>
      <c r="P4" s="130"/>
      <c r="Q4" s="130"/>
      <c r="R4" s="46"/>
      <c r="S4" s="46"/>
      <c r="T4" s="44"/>
      <c r="U4" s="108"/>
      <c r="V4" s="108"/>
      <c r="W4" s="109"/>
      <c r="X4" s="109"/>
      <c r="Y4" s="109"/>
      <c r="Z4" s="46"/>
      <c r="AA4" s="46"/>
      <c r="AB4" s="139" t="s">
        <v>79</v>
      </c>
      <c r="AC4" s="139"/>
      <c r="AD4" s="908"/>
      <c r="AE4" s="908"/>
      <c r="AF4" s="139"/>
      <c r="AG4" s="139" t="s">
        <v>80</v>
      </c>
      <c r="AH4" s="139"/>
      <c r="AI4" s="139"/>
      <c r="AJ4" s="43"/>
    </row>
    <row r="5" spans="1:36" s="32" customFormat="1" ht="21.75" customHeight="1">
      <c r="B5" s="905"/>
      <c r="C5" s="905"/>
      <c r="D5" s="905"/>
      <c r="E5" s="905"/>
      <c r="F5" s="905"/>
      <c r="G5" s="905"/>
      <c r="H5" s="905"/>
      <c r="I5" s="905"/>
      <c r="J5" s="909" t="str">
        <f>Data_Tech!A3</f>
        <v>январь</v>
      </c>
      <c r="K5" s="909"/>
      <c r="L5" s="910">
        <v>2022</v>
      </c>
      <c r="M5" s="910"/>
      <c r="N5" s="2"/>
      <c r="O5" s="2"/>
      <c r="P5" s="2"/>
      <c r="Q5" s="904" t="s">
        <v>83</v>
      </c>
      <c r="R5" s="904"/>
      <c r="S5" s="904"/>
      <c r="T5" s="904"/>
      <c r="U5" s="904"/>
      <c r="V5" s="904"/>
      <c r="W5" s="904"/>
      <c r="X5" s="46"/>
      <c r="Y5" s="46"/>
      <c r="Z5" s="46"/>
      <c r="AA5" s="46"/>
      <c r="AB5" s="139" t="s">
        <v>81</v>
      </c>
      <c r="AC5" s="139"/>
      <c r="AD5" s="139"/>
      <c r="AE5" s="139"/>
      <c r="AF5" s="139"/>
      <c r="AG5" s="139" t="s">
        <v>82</v>
      </c>
      <c r="AH5" s="139"/>
      <c r="AI5" s="139"/>
      <c r="AJ5" s="43"/>
    </row>
    <row r="6" spans="1:36" s="32" customFormat="1" ht="36" customHeight="1">
      <c r="B6" s="134" t="s">
        <v>9</v>
      </c>
      <c r="C6" s="135" t="s">
        <v>0</v>
      </c>
      <c r="D6" s="136" t="s">
        <v>1</v>
      </c>
      <c r="E6" s="137">
        <v>1</v>
      </c>
      <c r="F6" s="137">
        <v>2</v>
      </c>
      <c r="G6" s="137">
        <v>3</v>
      </c>
      <c r="H6" s="137">
        <v>4</v>
      </c>
      <c r="I6" s="137">
        <v>5</v>
      </c>
      <c r="J6" s="137">
        <v>6</v>
      </c>
      <c r="K6" s="137">
        <v>7</v>
      </c>
      <c r="L6" s="137">
        <v>8</v>
      </c>
      <c r="M6" s="137">
        <v>9</v>
      </c>
      <c r="N6" s="137">
        <v>10</v>
      </c>
      <c r="O6" s="137">
        <v>11</v>
      </c>
      <c r="P6" s="137">
        <v>12</v>
      </c>
      <c r="Q6" s="137">
        <v>13</v>
      </c>
      <c r="R6" s="137">
        <v>14</v>
      </c>
      <c r="S6" s="137">
        <v>15</v>
      </c>
      <c r="T6" s="137">
        <v>16</v>
      </c>
      <c r="U6" s="137">
        <v>17</v>
      </c>
      <c r="V6" s="137">
        <v>18</v>
      </c>
      <c r="W6" s="137">
        <v>19</v>
      </c>
      <c r="X6" s="137">
        <v>20</v>
      </c>
      <c r="Y6" s="137">
        <v>21</v>
      </c>
      <c r="Z6" s="137">
        <v>22</v>
      </c>
      <c r="AA6" s="137">
        <v>23</v>
      </c>
      <c r="AB6" s="137">
        <v>24</v>
      </c>
      <c r="AC6" s="137">
        <v>25</v>
      </c>
      <c r="AD6" s="137">
        <v>26</v>
      </c>
      <c r="AE6" s="137">
        <v>27</v>
      </c>
      <c r="AF6" s="137">
        <v>28</v>
      </c>
      <c r="AG6" s="137">
        <v>29</v>
      </c>
      <c r="AH6" s="137">
        <v>30</v>
      </c>
      <c r="AI6" s="137">
        <v>31</v>
      </c>
      <c r="AJ6" s="138"/>
    </row>
    <row r="7" spans="1:36" ht="40.5" customHeight="1">
      <c r="A7" s="45">
        <v>1</v>
      </c>
      <c r="B7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1))),"")</f>
        <v/>
      </c>
      <c r="C7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О.]]))/(Таблица14[[месяц]:[месяц]]=$J$5)/(Таблица14[[год]:[год]]=$L$5)/(Таблица14[[изд]:[изд]]=$N$1)/(Таблица14[[партия]:[партия]]=$W$1),ROW(B1))),"")</f>
        <v/>
      </c>
      <c r="D7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1))),"")</f>
        <v/>
      </c>
      <c r="E7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1))),"")</f>
        <v/>
      </c>
      <c r="F7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1))),"")</f>
        <v/>
      </c>
      <c r="G7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1))),"")</f>
        <v/>
      </c>
      <c r="H7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1))),"")</f>
        <v/>
      </c>
      <c r="I7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1))),"")</f>
        <v/>
      </c>
      <c r="J7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1))),"")</f>
        <v/>
      </c>
      <c r="K7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1))),"")</f>
        <v/>
      </c>
      <c r="L7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1))),"")</f>
        <v/>
      </c>
      <c r="M7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1))),"")</f>
        <v/>
      </c>
      <c r="N7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1))),"")</f>
        <v/>
      </c>
      <c r="O7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#REF!))),"")</f>
        <v/>
      </c>
      <c r="P7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N1))),"")</f>
        <v/>
      </c>
      <c r="Q7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1))),"")</f>
        <v/>
      </c>
      <c r="R7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1))),"")</f>
        <v/>
      </c>
      <c r="S7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1))),"")</f>
        <v/>
      </c>
      <c r="T7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1))),"")</f>
        <v/>
      </c>
      <c r="U7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1))),"")</f>
        <v/>
      </c>
      <c r="V7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1))),"")</f>
        <v/>
      </c>
      <c r="W7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1))),"")</f>
        <v/>
      </c>
      <c r="X7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1))),"")</f>
        <v/>
      </c>
      <c r="Y7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1))),"")</f>
        <v/>
      </c>
      <c r="Z7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1))),"")</f>
        <v/>
      </c>
      <c r="AA7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1))),"")</f>
        <v/>
      </c>
      <c r="AB7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1))),"")</f>
        <v/>
      </c>
      <c r="AC7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1))),"")</f>
        <v/>
      </c>
      <c r="AD7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1))),"")</f>
        <v/>
      </c>
      <c r="AE7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1))),"")</f>
        <v/>
      </c>
      <c r="AF7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1))),"")</f>
        <v/>
      </c>
      <c r="AG7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1))),"")</f>
        <v/>
      </c>
      <c r="AH7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1))),"")</f>
        <v/>
      </c>
      <c r="AI7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1))),"")</f>
        <v/>
      </c>
      <c r="AJ7" s="140">
        <f t="shared" ref="AJ7:AJ25" si="0">SUM(E7:AI7)</f>
        <v>0</v>
      </c>
    </row>
    <row r="8" spans="1:36" ht="40.5" customHeight="1">
      <c r="A8" s="45">
        <v>2</v>
      </c>
      <c r="B8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2))),"")</f>
        <v/>
      </c>
      <c r="C8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О.]]))/(Таблица14[[месяц]:[месяц]]=$J$5)/(Таблица14[[год]:[год]]=$L$5)/(Таблица14[[изд]:[изд]]=$N$1)/(Таблица14[[партия]:[партия]]=$W$1),ROW(B2))),"")</f>
        <v/>
      </c>
      <c r="D8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2))),"")</f>
        <v/>
      </c>
      <c r="E8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2))),"")</f>
        <v/>
      </c>
      <c r="F8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2))),"")</f>
        <v/>
      </c>
      <c r="G8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2))),"")</f>
        <v/>
      </c>
      <c r="H8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2))),"")</f>
        <v/>
      </c>
      <c r="I8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2))),"")</f>
        <v/>
      </c>
      <c r="J8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2))),"")</f>
        <v/>
      </c>
      <c r="K8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2))),"")</f>
        <v/>
      </c>
      <c r="L8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2))),"")</f>
        <v/>
      </c>
      <c r="M8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2))),"")</f>
        <v/>
      </c>
      <c r="N8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2))),"")</f>
        <v/>
      </c>
      <c r="O8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2))),"")</f>
        <v/>
      </c>
      <c r="P8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2))),"")</f>
        <v/>
      </c>
      <c r="Q8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2))),"")</f>
        <v/>
      </c>
      <c r="R8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2))),"")</f>
        <v/>
      </c>
      <c r="S8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2))),"")</f>
        <v/>
      </c>
      <c r="T8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2))),"")</f>
        <v/>
      </c>
      <c r="U8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2))),"")</f>
        <v/>
      </c>
      <c r="V8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2))),"")</f>
        <v/>
      </c>
      <c r="W8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2))),"")</f>
        <v/>
      </c>
      <c r="X8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2))),"")</f>
        <v/>
      </c>
      <c r="Y8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2))),"")</f>
        <v/>
      </c>
      <c r="Z8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2))),"")</f>
        <v/>
      </c>
      <c r="AA8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2))),"")</f>
        <v/>
      </c>
      <c r="AB8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2))),"")</f>
        <v/>
      </c>
      <c r="AC8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2))),"")</f>
        <v/>
      </c>
      <c r="AD8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2))),"")</f>
        <v/>
      </c>
      <c r="AE8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2))),"")</f>
        <v/>
      </c>
      <c r="AF8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2))),"")</f>
        <v/>
      </c>
      <c r="AG8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2))),"")</f>
        <v/>
      </c>
      <c r="AH8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2))),"")</f>
        <v/>
      </c>
      <c r="AI8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2))),"")</f>
        <v/>
      </c>
      <c r="AJ8" s="141">
        <f t="shared" si="0"/>
        <v>0</v>
      </c>
    </row>
    <row r="9" spans="1:36" ht="40.5" customHeight="1">
      <c r="A9" s="45">
        <v>3</v>
      </c>
      <c r="B9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3))),"")</f>
        <v/>
      </c>
      <c r="C9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О.]]))/(Таблица14[[месяц]:[месяц]]=$J$5)/(Таблица14[[год]:[год]]=$L$5)/(Таблица14[[изд]:[изд]]=$N$1)/(Таблица14[[партия]:[партия]]=$W$1),ROW(B3))),"")</f>
        <v/>
      </c>
      <c r="D9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3))),"")</f>
        <v/>
      </c>
      <c r="E9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3))),"")</f>
        <v/>
      </c>
      <c r="F9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3))),"")</f>
        <v/>
      </c>
      <c r="G9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3))),"")</f>
        <v/>
      </c>
      <c r="H9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3))),"")</f>
        <v/>
      </c>
      <c r="I9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3))),"")</f>
        <v/>
      </c>
      <c r="J9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3))),"")</f>
        <v/>
      </c>
      <c r="K9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3))),"")</f>
        <v/>
      </c>
      <c r="L9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3))),"")</f>
        <v/>
      </c>
      <c r="M9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3))),"")</f>
        <v/>
      </c>
      <c r="N9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3))),"")</f>
        <v/>
      </c>
      <c r="O9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3))),"")</f>
        <v/>
      </c>
      <c r="P9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3))),"")</f>
        <v/>
      </c>
      <c r="Q9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3))),"")</f>
        <v/>
      </c>
      <c r="R9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3))),"")</f>
        <v/>
      </c>
      <c r="S9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3))),"")</f>
        <v/>
      </c>
      <c r="T9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3))),"")</f>
        <v/>
      </c>
      <c r="U9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3))),"")</f>
        <v/>
      </c>
      <c r="V9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3))),"")</f>
        <v/>
      </c>
      <c r="W9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3))),"")</f>
        <v/>
      </c>
      <c r="X9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3))),"")</f>
        <v/>
      </c>
      <c r="Y9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3))),"")</f>
        <v/>
      </c>
      <c r="Z9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3))),"")</f>
        <v/>
      </c>
      <c r="AA9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3))),"")</f>
        <v/>
      </c>
      <c r="AB9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3))),"")</f>
        <v/>
      </c>
      <c r="AC9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3))),"")</f>
        <v/>
      </c>
      <c r="AD9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3))),"")</f>
        <v/>
      </c>
      <c r="AE9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3))),"")</f>
        <v/>
      </c>
      <c r="AF9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3))),"")</f>
        <v/>
      </c>
      <c r="AG9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3))),"")</f>
        <v/>
      </c>
      <c r="AH9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3))),"")</f>
        <v/>
      </c>
      <c r="AI9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3))),"")</f>
        <v/>
      </c>
      <c r="AJ9" s="140">
        <f t="shared" si="0"/>
        <v>0</v>
      </c>
    </row>
    <row r="10" spans="1:36" ht="40.5" customHeight="1">
      <c r="A10" s="45">
        <v>4</v>
      </c>
      <c r="B10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4))),"")</f>
        <v/>
      </c>
      <c r="C10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О.]]))/(Таблица14[[месяц]:[месяц]]=$J$5)/(Таблица14[[год]:[год]]=$L$5)/(Таблица14[[изд]:[изд]]=$N$1)/(Таблица14[[партия]:[партия]]=$W$1),ROW(B4))),"")</f>
        <v/>
      </c>
      <c r="D10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4))),"")</f>
        <v/>
      </c>
      <c r="E10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4))),"")</f>
        <v/>
      </c>
      <c r="F10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4))),"")</f>
        <v/>
      </c>
      <c r="G10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4))),"")</f>
        <v/>
      </c>
      <c r="H10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4))),"")</f>
        <v/>
      </c>
      <c r="I10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4))),"")</f>
        <v/>
      </c>
      <c r="J10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4))),"")</f>
        <v/>
      </c>
      <c r="K10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4))),"")</f>
        <v/>
      </c>
      <c r="L10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4))),"")</f>
        <v/>
      </c>
      <c r="M10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4))),"")</f>
        <v/>
      </c>
      <c r="N10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4))),"")</f>
        <v/>
      </c>
      <c r="O10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4))),"")</f>
        <v/>
      </c>
      <c r="P10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4))),"")</f>
        <v/>
      </c>
      <c r="Q10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4))),"")</f>
        <v/>
      </c>
      <c r="R10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4))),"")</f>
        <v/>
      </c>
      <c r="S10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4))),"")</f>
        <v/>
      </c>
      <c r="T10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4))),"")</f>
        <v/>
      </c>
      <c r="U10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4))),"")</f>
        <v/>
      </c>
      <c r="V10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4))),"")</f>
        <v/>
      </c>
      <c r="W10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4))),"")</f>
        <v/>
      </c>
      <c r="X10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4))),"")</f>
        <v/>
      </c>
      <c r="Y10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4))),"")</f>
        <v/>
      </c>
      <c r="Z10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4))),"")</f>
        <v/>
      </c>
      <c r="AA10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4))),"")</f>
        <v/>
      </c>
      <c r="AB10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4))),"")</f>
        <v/>
      </c>
      <c r="AC10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4))),"")</f>
        <v/>
      </c>
      <c r="AD10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4))),"")</f>
        <v/>
      </c>
      <c r="AE10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4))),"")</f>
        <v/>
      </c>
      <c r="AF10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4))),"")</f>
        <v/>
      </c>
      <c r="AG10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4))),"")</f>
        <v/>
      </c>
      <c r="AH10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4))),"")</f>
        <v/>
      </c>
      <c r="AI10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4))),"")</f>
        <v/>
      </c>
      <c r="AJ10" s="141">
        <f t="shared" si="0"/>
        <v>0</v>
      </c>
    </row>
    <row r="11" spans="1:36" ht="40.5" customHeight="1">
      <c r="A11" s="45">
        <v>5</v>
      </c>
      <c r="B11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5))),"")</f>
        <v/>
      </c>
      <c r="C11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О.]]))/(Таблица14[[месяц]:[месяц]]=$J$5)/(Таблица14[[год]:[год]]=$L$5)/(Таблица14[[изд]:[изд]]=$N$1)/(Таблица14[[партия]:[партия]]=$W$1),ROW(B5))),"")</f>
        <v/>
      </c>
      <c r="D11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5))),"")</f>
        <v/>
      </c>
      <c r="E11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5))),"")</f>
        <v/>
      </c>
      <c r="F11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5))),"")</f>
        <v/>
      </c>
      <c r="G11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5))),"")</f>
        <v/>
      </c>
      <c r="H11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5))),"")</f>
        <v/>
      </c>
      <c r="I11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5))),"")</f>
        <v/>
      </c>
      <c r="J11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5))),"")</f>
        <v/>
      </c>
      <c r="K11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5))),"")</f>
        <v/>
      </c>
      <c r="L11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5))),"")</f>
        <v/>
      </c>
      <c r="M11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5))),"")</f>
        <v/>
      </c>
      <c r="N11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5))),"")</f>
        <v/>
      </c>
      <c r="O11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5))),"")</f>
        <v/>
      </c>
      <c r="P11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5))),"")</f>
        <v/>
      </c>
      <c r="Q11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5))),"")</f>
        <v/>
      </c>
      <c r="R11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5))),"")</f>
        <v/>
      </c>
      <c r="S11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5))),"")</f>
        <v/>
      </c>
      <c r="T11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5))),"")</f>
        <v/>
      </c>
      <c r="U11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5))),"")</f>
        <v/>
      </c>
      <c r="V11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5))),"")</f>
        <v/>
      </c>
      <c r="W11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5))),"")</f>
        <v/>
      </c>
      <c r="X11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5))),"")</f>
        <v/>
      </c>
      <c r="Y11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5))),"")</f>
        <v/>
      </c>
      <c r="Z11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5))),"")</f>
        <v/>
      </c>
      <c r="AA11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5))),"")</f>
        <v/>
      </c>
      <c r="AB11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5))),"")</f>
        <v/>
      </c>
      <c r="AC11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5))),"")</f>
        <v/>
      </c>
      <c r="AD11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5))),"")</f>
        <v/>
      </c>
      <c r="AE11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5))),"")</f>
        <v/>
      </c>
      <c r="AF11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5))),"")</f>
        <v/>
      </c>
      <c r="AG11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5))),"")</f>
        <v/>
      </c>
      <c r="AH11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5))),"")</f>
        <v/>
      </c>
      <c r="AI11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5))),"")</f>
        <v/>
      </c>
      <c r="AJ11" s="140">
        <f t="shared" si="0"/>
        <v>0</v>
      </c>
    </row>
    <row r="12" spans="1:36" ht="40.5" customHeight="1">
      <c r="A12" s="45">
        <v>6</v>
      </c>
      <c r="B12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6))),"")</f>
        <v/>
      </c>
      <c r="C12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О.]]))/(Таблица14[[месяц]:[месяц]]=$J$5)/(Таблица14[[год]:[год]]=$L$5)/(Таблица14[[изд]:[изд]]=$N$1)/(Таблица14[[партия]:[партия]]=$W$1),ROW(B6))),"")</f>
        <v/>
      </c>
      <c r="D12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6))),"")</f>
        <v/>
      </c>
      <c r="E12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6))),"")</f>
        <v/>
      </c>
      <c r="F12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6))),"")</f>
        <v/>
      </c>
      <c r="G12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6))),"")</f>
        <v/>
      </c>
      <c r="H12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6))),"")</f>
        <v/>
      </c>
      <c r="I12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6))),"")</f>
        <v/>
      </c>
      <c r="J12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6))),"")</f>
        <v/>
      </c>
      <c r="K12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6))),"")</f>
        <v/>
      </c>
      <c r="L12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6))),"")</f>
        <v/>
      </c>
      <c r="M12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6))),"")</f>
        <v/>
      </c>
      <c r="N12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6))),"")</f>
        <v/>
      </c>
      <c r="O12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6))),"")</f>
        <v/>
      </c>
      <c r="P12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6))),"")</f>
        <v/>
      </c>
      <c r="Q12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6))),"")</f>
        <v/>
      </c>
      <c r="R12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6))),"")</f>
        <v/>
      </c>
      <c r="S12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6))),"")</f>
        <v/>
      </c>
      <c r="T12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6))),"")</f>
        <v/>
      </c>
      <c r="U12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6))),"")</f>
        <v/>
      </c>
      <c r="V12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6))),"")</f>
        <v/>
      </c>
      <c r="W12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6))),"")</f>
        <v/>
      </c>
      <c r="X12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6))),"")</f>
        <v/>
      </c>
      <c r="Y12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6))),"")</f>
        <v/>
      </c>
      <c r="Z12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6))),"")</f>
        <v/>
      </c>
      <c r="AA12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6))),"")</f>
        <v/>
      </c>
      <c r="AB12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6))),"")</f>
        <v/>
      </c>
      <c r="AC12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6))),"")</f>
        <v/>
      </c>
      <c r="AD12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6))),"")</f>
        <v/>
      </c>
      <c r="AE12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6))),"")</f>
        <v/>
      </c>
      <c r="AF12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6))),"")</f>
        <v/>
      </c>
      <c r="AG12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6))),"")</f>
        <v/>
      </c>
      <c r="AH12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6))),"")</f>
        <v/>
      </c>
      <c r="AI12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6))),"")</f>
        <v/>
      </c>
      <c r="AJ12" s="140">
        <f t="shared" si="0"/>
        <v>0</v>
      </c>
    </row>
    <row r="13" spans="1:36" ht="40.5" customHeight="1">
      <c r="A13" s="45">
        <v>7</v>
      </c>
      <c r="B13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7))),"")</f>
        <v/>
      </c>
      <c r="C13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О.]]))/(Таблица14[[месяц]:[месяц]]=$J$5)/(Таблица14[[год]:[год]]=$L$5)/(Таблица14[[изд]:[изд]]=$N$1)/(Таблица14[[партия]:[партия]]=$W$1),ROW(B7))),"")</f>
        <v/>
      </c>
      <c r="D13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7))),"")</f>
        <v/>
      </c>
      <c r="E13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7))),"")</f>
        <v/>
      </c>
      <c r="F13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7))),"")</f>
        <v/>
      </c>
      <c r="G13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7))),"")</f>
        <v/>
      </c>
      <c r="H13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7))),"")</f>
        <v/>
      </c>
      <c r="I13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7))),"")</f>
        <v/>
      </c>
      <c r="J13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7))),"")</f>
        <v/>
      </c>
      <c r="K13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7))),"")</f>
        <v/>
      </c>
      <c r="L13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7))),"")</f>
        <v/>
      </c>
      <c r="M13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7))),"")</f>
        <v/>
      </c>
      <c r="N13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7))),"")</f>
        <v/>
      </c>
      <c r="O13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7))),"")</f>
        <v/>
      </c>
      <c r="P13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7))),"")</f>
        <v/>
      </c>
      <c r="Q13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7))),"")</f>
        <v/>
      </c>
      <c r="R13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7))),"")</f>
        <v/>
      </c>
      <c r="S13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7))),"")</f>
        <v/>
      </c>
      <c r="T13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7))),"")</f>
        <v/>
      </c>
      <c r="U13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7))),"")</f>
        <v/>
      </c>
      <c r="V13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7))),"")</f>
        <v/>
      </c>
      <c r="W13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7))),"")</f>
        <v/>
      </c>
      <c r="X13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7))),"")</f>
        <v/>
      </c>
      <c r="Y13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7))),"")</f>
        <v/>
      </c>
      <c r="Z13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7))),"")</f>
        <v/>
      </c>
      <c r="AA13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7))),"")</f>
        <v/>
      </c>
      <c r="AB13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7))),"")</f>
        <v/>
      </c>
      <c r="AC13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7))),"")</f>
        <v/>
      </c>
      <c r="AD13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7))),"")</f>
        <v/>
      </c>
      <c r="AE13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7))),"")</f>
        <v/>
      </c>
      <c r="AF13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7))),"")</f>
        <v/>
      </c>
      <c r="AG13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7))),"")</f>
        <v/>
      </c>
      <c r="AH13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7))),"")</f>
        <v/>
      </c>
      <c r="AI13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7))),"")</f>
        <v/>
      </c>
      <c r="AJ13" s="140">
        <f t="shared" si="0"/>
        <v>0</v>
      </c>
    </row>
    <row r="14" spans="1:36" ht="40.5" customHeight="1">
      <c r="A14" s="45">
        <v>8</v>
      </c>
      <c r="B14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8))),"")</f>
        <v/>
      </c>
      <c r="C14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О.]]))/(Таблица14[[месяц]:[месяц]]=$J$5)/(Таблица14[[год]:[год]]=$L$5)/(Таблица14[[изд]:[изд]]=$N$1)/(Таблица14[[партия]:[партия]]=$W$1),ROW(B8))),"")</f>
        <v/>
      </c>
      <c r="D14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8))),"")</f>
        <v/>
      </c>
      <c r="E14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8))),"")</f>
        <v/>
      </c>
      <c r="F14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8))),"")</f>
        <v/>
      </c>
      <c r="G14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8))),"")</f>
        <v/>
      </c>
      <c r="H14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8))),"")</f>
        <v/>
      </c>
      <c r="I14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8))),"")</f>
        <v/>
      </c>
      <c r="J14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8))),"")</f>
        <v/>
      </c>
      <c r="K14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8))),"")</f>
        <v/>
      </c>
      <c r="L14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8))),"")</f>
        <v/>
      </c>
      <c r="M14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8))),"")</f>
        <v/>
      </c>
      <c r="N14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8))),"")</f>
        <v/>
      </c>
      <c r="O14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8))),"")</f>
        <v/>
      </c>
      <c r="P14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8))),"")</f>
        <v/>
      </c>
      <c r="Q14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8))),"")</f>
        <v/>
      </c>
      <c r="R14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8))),"")</f>
        <v/>
      </c>
      <c r="S14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8))),"")</f>
        <v/>
      </c>
      <c r="T14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8))),"")</f>
        <v/>
      </c>
      <c r="U14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8))),"")</f>
        <v/>
      </c>
      <c r="V14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8))),"")</f>
        <v/>
      </c>
      <c r="W14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8))),"")</f>
        <v/>
      </c>
      <c r="X14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8))),"")</f>
        <v/>
      </c>
      <c r="Y14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8))),"")</f>
        <v/>
      </c>
      <c r="Z14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8))),"")</f>
        <v/>
      </c>
      <c r="AA14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8))),"")</f>
        <v/>
      </c>
      <c r="AB14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8))),"")</f>
        <v/>
      </c>
      <c r="AC14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8))),"")</f>
        <v/>
      </c>
      <c r="AD14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8))),"")</f>
        <v/>
      </c>
      <c r="AE14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8))),"")</f>
        <v/>
      </c>
      <c r="AF14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8))),"")</f>
        <v/>
      </c>
      <c r="AG14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8))),"")</f>
        <v/>
      </c>
      <c r="AH14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8))),"")</f>
        <v/>
      </c>
      <c r="AI14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8))),"")</f>
        <v/>
      </c>
      <c r="AJ14" s="141">
        <f t="shared" si="0"/>
        <v>0</v>
      </c>
    </row>
    <row r="15" spans="1:36" ht="40.5" customHeight="1">
      <c r="A15" s="45">
        <v>9</v>
      </c>
      <c r="B15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9))),"")</f>
        <v/>
      </c>
      <c r="C15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О.]]))/(Таблица14[[месяц]:[месяц]]=$J$5)/(Таблица14[[год]:[год]]=$L$5)/(Таблица14[[изд]:[изд]]=$N$1)/(Таблица14[[партия]:[партия]]=$W$1),ROW(B9))),"")</f>
        <v/>
      </c>
      <c r="D15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9))),"")</f>
        <v/>
      </c>
      <c r="E15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9))),"")</f>
        <v/>
      </c>
      <c r="F15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9))),"")</f>
        <v/>
      </c>
      <c r="G15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9))),"")</f>
        <v/>
      </c>
      <c r="H15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9))),"")</f>
        <v/>
      </c>
      <c r="I15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9))),"")</f>
        <v/>
      </c>
      <c r="J15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9))),"")</f>
        <v/>
      </c>
      <c r="K15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9))),"")</f>
        <v/>
      </c>
      <c r="L15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9))),"")</f>
        <v/>
      </c>
      <c r="M15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9))),"")</f>
        <v/>
      </c>
      <c r="N15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9))),"")</f>
        <v/>
      </c>
      <c r="O15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9))),"")</f>
        <v/>
      </c>
      <c r="P15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9))),"")</f>
        <v/>
      </c>
      <c r="Q15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9))),"")</f>
        <v/>
      </c>
      <c r="R15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9))),"")</f>
        <v/>
      </c>
      <c r="S15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9))),"")</f>
        <v/>
      </c>
      <c r="T15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9))),"")</f>
        <v/>
      </c>
      <c r="U15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9))),"")</f>
        <v/>
      </c>
      <c r="V15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9))),"")</f>
        <v/>
      </c>
      <c r="W15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9))),"")</f>
        <v/>
      </c>
      <c r="X15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9))),"")</f>
        <v/>
      </c>
      <c r="Y15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9))),"")</f>
        <v/>
      </c>
      <c r="Z15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9))),"")</f>
        <v/>
      </c>
      <c r="AA15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9))),"")</f>
        <v/>
      </c>
      <c r="AB15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9))),"")</f>
        <v/>
      </c>
      <c r="AC15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9))),"")</f>
        <v/>
      </c>
      <c r="AD15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9))),"")</f>
        <v/>
      </c>
      <c r="AE15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9))),"")</f>
        <v/>
      </c>
      <c r="AF15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9))),"")</f>
        <v/>
      </c>
      <c r="AG15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9))),"")</f>
        <v/>
      </c>
      <c r="AH15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9))),"")</f>
        <v/>
      </c>
      <c r="AI15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9))),"")</f>
        <v/>
      </c>
      <c r="AJ15" s="142">
        <f t="shared" si="0"/>
        <v>0</v>
      </c>
    </row>
    <row r="16" spans="1:36" ht="40.5" customHeight="1">
      <c r="A16" s="45">
        <v>10</v>
      </c>
      <c r="B16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10))),"")</f>
        <v/>
      </c>
      <c r="C16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О.]]))/(Таблица14[[месяц]:[месяц]]=$J$5)/(Таблица14[[год]:[год]]=$L$5)/(Таблица14[[изд]:[изд]]=$N$1)/(Таблица14[[партия]:[партия]]=$W$1),ROW(B10))),"")</f>
        <v/>
      </c>
      <c r="D16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10))),"")</f>
        <v/>
      </c>
      <c r="E16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10))),"")</f>
        <v/>
      </c>
      <c r="F16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10))),"")</f>
        <v/>
      </c>
      <c r="G16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10))),"")</f>
        <v/>
      </c>
      <c r="H16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10))),"")</f>
        <v/>
      </c>
      <c r="I16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10))),"")</f>
        <v/>
      </c>
      <c r="J16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10))),"")</f>
        <v/>
      </c>
      <c r="K16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10))),"")</f>
        <v/>
      </c>
      <c r="L16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10))),"")</f>
        <v/>
      </c>
      <c r="M16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10))),"")</f>
        <v/>
      </c>
      <c r="N16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10))),"")</f>
        <v/>
      </c>
      <c r="O16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10))),"")</f>
        <v/>
      </c>
      <c r="P16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10))),"")</f>
        <v/>
      </c>
      <c r="Q16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10))),"")</f>
        <v/>
      </c>
      <c r="R16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10))),"")</f>
        <v/>
      </c>
      <c r="S16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10))),"")</f>
        <v/>
      </c>
      <c r="T16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10))),"")</f>
        <v/>
      </c>
      <c r="U16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10))),"")</f>
        <v/>
      </c>
      <c r="V16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10))),"")</f>
        <v/>
      </c>
      <c r="W16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10))),"")</f>
        <v/>
      </c>
      <c r="X16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10))),"")</f>
        <v/>
      </c>
      <c r="Y16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10))),"")</f>
        <v/>
      </c>
      <c r="Z16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10))),"")</f>
        <v/>
      </c>
      <c r="AA16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10))),"")</f>
        <v/>
      </c>
      <c r="AB16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10))),"")</f>
        <v/>
      </c>
      <c r="AC16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10))),"")</f>
        <v/>
      </c>
      <c r="AD16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10))),"")</f>
        <v/>
      </c>
      <c r="AE16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10))),"")</f>
        <v/>
      </c>
      <c r="AF16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10))),"")</f>
        <v/>
      </c>
      <c r="AG16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10))),"")</f>
        <v/>
      </c>
      <c r="AH16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10))),"")</f>
        <v/>
      </c>
      <c r="AI16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10))),"")</f>
        <v/>
      </c>
      <c r="AJ16" s="142">
        <f t="shared" si="0"/>
        <v>0</v>
      </c>
    </row>
    <row r="17" spans="1:43" ht="40.5" customHeight="1">
      <c r="A17" s="45">
        <v>11</v>
      </c>
      <c r="B17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11))),"")</f>
        <v/>
      </c>
      <c r="C17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О.]]))/(Таблица14[[месяц]:[месяц]]=$J$5)/(Таблица14[[год]:[год]]=$L$5)/(Таблица14[[изд]:[изд]]=$N$1)/(Таблица14[[партия]:[партия]]=$W$1),ROW(B11))),"")</f>
        <v/>
      </c>
      <c r="D17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11))),"")</f>
        <v/>
      </c>
      <c r="E17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11))),"")</f>
        <v/>
      </c>
      <c r="F17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11))),"")</f>
        <v/>
      </c>
      <c r="G17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11))),"")</f>
        <v/>
      </c>
      <c r="H17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11))),"")</f>
        <v/>
      </c>
      <c r="I17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11))),"")</f>
        <v/>
      </c>
      <c r="J17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11))),"")</f>
        <v/>
      </c>
      <c r="K17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11))),"")</f>
        <v/>
      </c>
      <c r="L17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11))),"")</f>
        <v/>
      </c>
      <c r="M17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11))),"")</f>
        <v/>
      </c>
      <c r="N17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11))),"")</f>
        <v/>
      </c>
      <c r="O17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11))),"")</f>
        <v/>
      </c>
      <c r="P17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11))),"")</f>
        <v/>
      </c>
      <c r="Q17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11))),"")</f>
        <v/>
      </c>
      <c r="R17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11))),"")</f>
        <v/>
      </c>
      <c r="S17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11))),"")</f>
        <v/>
      </c>
      <c r="T17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11))),"")</f>
        <v/>
      </c>
      <c r="U17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11))),"")</f>
        <v/>
      </c>
      <c r="V17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11))),"")</f>
        <v/>
      </c>
      <c r="W17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11))),"")</f>
        <v/>
      </c>
      <c r="X17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11))),"")</f>
        <v/>
      </c>
      <c r="Y17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11))),"")</f>
        <v/>
      </c>
      <c r="Z17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11))),"")</f>
        <v/>
      </c>
      <c r="AA17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11))),"")</f>
        <v/>
      </c>
      <c r="AB17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11))),"")</f>
        <v/>
      </c>
      <c r="AC17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11))),"")</f>
        <v/>
      </c>
      <c r="AD17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11))),"")</f>
        <v/>
      </c>
      <c r="AE17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11))),"")</f>
        <v/>
      </c>
      <c r="AF17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11))),"")</f>
        <v/>
      </c>
      <c r="AG17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11))),"")</f>
        <v/>
      </c>
      <c r="AH17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11))),"")</f>
        <v/>
      </c>
      <c r="AI17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11))),"")</f>
        <v/>
      </c>
      <c r="AJ17" s="140">
        <f t="shared" si="0"/>
        <v>0</v>
      </c>
    </row>
    <row r="18" spans="1:43" ht="40.5" customHeight="1">
      <c r="A18" s="45">
        <v>12</v>
      </c>
      <c r="B18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12))),"")</f>
        <v/>
      </c>
      <c r="C18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О.]]))/(Таблица14[[месяц]:[месяц]]=$J$5)/(Таблица14[[год]:[год]]=$L$5)/(Таблица14[[изд]:[изд]]=$N$1)/(Таблица14[[партия]:[партия]]=$W$1),ROW(B12))),"")</f>
        <v/>
      </c>
      <c r="D18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12))),"")</f>
        <v/>
      </c>
      <c r="E18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12))),"")</f>
        <v/>
      </c>
      <c r="F18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12))),"")</f>
        <v/>
      </c>
      <c r="G18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12))),"")</f>
        <v/>
      </c>
      <c r="H18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12))),"")</f>
        <v/>
      </c>
      <c r="I18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12))),"")</f>
        <v/>
      </c>
      <c r="J18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12))),"")</f>
        <v/>
      </c>
      <c r="K18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12))),"")</f>
        <v/>
      </c>
      <c r="L18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12))),"")</f>
        <v/>
      </c>
      <c r="M18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12))),"")</f>
        <v/>
      </c>
      <c r="N18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12))),"")</f>
        <v/>
      </c>
      <c r="O18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12))),"")</f>
        <v/>
      </c>
      <c r="P18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12))),"")</f>
        <v/>
      </c>
      <c r="Q18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12))),"")</f>
        <v/>
      </c>
      <c r="R18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12))),"")</f>
        <v/>
      </c>
      <c r="S18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12))),"")</f>
        <v/>
      </c>
      <c r="T18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12))),"")</f>
        <v/>
      </c>
      <c r="U18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12))),"")</f>
        <v/>
      </c>
      <c r="V18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12))),"")</f>
        <v/>
      </c>
      <c r="W18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12))),"")</f>
        <v/>
      </c>
      <c r="X18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12))),"")</f>
        <v/>
      </c>
      <c r="Y18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12))),"")</f>
        <v/>
      </c>
      <c r="Z18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12))),"")</f>
        <v/>
      </c>
      <c r="AA18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12))),"")</f>
        <v/>
      </c>
      <c r="AB18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12))),"")</f>
        <v/>
      </c>
      <c r="AC18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12))),"")</f>
        <v/>
      </c>
      <c r="AD18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12))),"")</f>
        <v/>
      </c>
      <c r="AE18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12))),"")</f>
        <v/>
      </c>
      <c r="AF18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12))),"")</f>
        <v/>
      </c>
      <c r="AG18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12))),"")</f>
        <v/>
      </c>
      <c r="AH18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12))),"")</f>
        <v/>
      </c>
      <c r="AI18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12))),"")</f>
        <v/>
      </c>
      <c r="AJ18" s="141">
        <f t="shared" si="0"/>
        <v>0</v>
      </c>
    </row>
    <row r="19" spans="1:43" ht="40.5" customHeight="1">
      <c r="A19" s="45">
        <v>13</v>
      </c>
      <c r="B19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13))),"")</f>
        <v/>
      </c>
      <c r="C19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О.]]))/(Таблица14[[месяц]:[месяц]]=$J$5)/(Таблица14[[год]:[год]]=$L$5)/(Таблица14[[изд]:[изд]]=$N$1)/(Таблица14[[партия]:[партия]]=$W$1),ROW(B13))),"")</f>
        <v/>
      </c>
      <c r="D19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13))),"")</f>
        <v/>
      </c>
      <c r="E19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13))),"")</f>
        <v/>
      </c>
      <c r="F19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13))),"")</f>
        <v/>
      </c>
      <c r="G19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13))),"")</f>
        <v/>
      </c>
      <c r="H19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13))),"")</f>
        <v/>
      </c>
      <c r="I19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13))),"")</f>
        <v/>
      </c>
      <c r="J19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13))),"")</f>
        <v/>
      </c>
      <c r="K19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13))),"")</f>
        <v/>
      </c>
      <c r="L19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13))),"")</f>
        <v/>
      </c>
      <c r="M19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13))),"")</f>
        <v/>
      </c>
      <c r="N19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13))),"")</f>
        <v/>
      </c>
      <c r="O19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13))),"")</f>
        <v/>
      </c>
      <c r="P19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13))),"")</f>
        <v/>
      </c>
      <c r="Q19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13))),"")</f>
        <v/>
      </c>
      <c r="R19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13))),"")</f>
        <v/>
      </c>
      <c r="S19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13))),"")</f>
        <v/>
      </c>
      <c r="T19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13))),"")</f>
        <v/>
      </c>
      <c r="U19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13))),"")</f>
        <v/>
      </c>
      <c r="V19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13))),"")</f>
        <v/>
      </c>
      <c r="W19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13))),"")</f>
        <v/>
      </c>
      <c r="X19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13))),"")</f>
        <v/>
      </c>
      <c r="Y19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13))),"")</f>
        <v/>
      </c>
      <c r="Z19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13))),"")</f>
        <v/>
      </c>
      <c r="AA19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13))),"")</f>
        <v/>
      </c>
      <c r="AB19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13))),"")</f>
        <v/>
      </c>
      <c r="AC19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13))),"")</f>
        <v/>
      </c>
      <c r="AD19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13))),"")</f>
        <v/>
      </c>
      <c r="AE19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13))),"")</f>
        <v/>
      </c>
      <c r="AF19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13))),"")</f>
        <v/>
      </c>
      <c r="AG19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13))),"")</f>
        <v/>
      </c>
      <c r="AH19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13))),"")</f>
        <v/>
      </c>
      <c r="AI19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13))),"")</f>
        <v/>
      </c>
      <c r="AJ19" s="140">
        <f t="shared" si="0"/>
        <v>0</v>
      </c>
    </row>
    <row r="20" spans="1:43" ht="40.5" customHeight="1">
      <c r="A20" s="45">
        <v>14</v>
      </c>
      <c r="B20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14))),"")</f>
        <v/>
      </c>
      <c r="C20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О.]]))/(Таблица14[[месяц]:[месяц]]=$J$5)/(Таблица14[[год]:[год]]=$L$5)/(Таблица14[[изд]:[изд]]=$N$1)/(Таблица14[[партия]:[партия]]=$W$1),ROW(B14))),"")</f>
        <v/>
      </c>
      <c r="D20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14))),"")</f>
        <v/>
      </c>
      <c r="E20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14))),"")</f>
        <v/>
      </c>
      <c r="F20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14))),"")</f>
        <v/>
      </c>
      <c r="G20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14))),"")</f>
        <v/>
      </c>
      <c r="H20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14))),"")</f>
        <v/>
      </c>
      <c r="I20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14))),"")</f>
        <v/>
      </c>
      <c r="J20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14))),"")</f>
        <v/>
      </c>
      <c r="K20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14))),"")</f>
        <v/>
      </c>
      <c r="L20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14))),"")</f>
        <v/>
      </c>
      <c r="M20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14))),"")</f>
        <v/>
      </c>
      <c r="N20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14))),"")</f>
        <v/>
      </c>
      <c r="O20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14))),"")</f>
        <v/>
      </c>
      <c r="P20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14))),"")</f>
        <v/>
      </c>
      <c r="Q20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14))),"")</f>
        <v/>
      </c>
      <c r="R20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14))),"")</f>
        <v/>
      </c>
      <c r="S20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14))),"")</f>
        <v/>
      </c>
      <c r="T20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14))),"")</f>
        <v/>
      </c>
      <c r="U20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14))),"")</f>
        <v/>
      </c>
      <c r="V20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14))),"")</f>
        <v/>
      </c>
      <c r="W20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14))),"")</f>
        <v/>
      </c>
      <c r="X20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14))),"")</f>
        <v/>
      </c>
      <c r="Y20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14))),"")</f>
        <v/>
      </c>
      <c r="Z20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14))),"")</f>
        <v/>
      </c>
      <c r="AA20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14))),"")</f>
        <v/>
      </c>
      <c r="AB20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14))),"")</f>
        <v/>
      </c>
      <c r="AC20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14))),"")</f>
        <v/>
      </c>
      <c r="AD20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14))),"")</f>
        <v/>
      </c>
      <c r="AE20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14))),"")</f>
        <v/>
      </c>
      <c r="AF20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14))),"")</f>
        <v/>
      </c>
      <c r="AG20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14))),"")</f>
        <v/>
      </c>
      <c r="AH20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14))),"")</f>
        <v/>
      </c>
      <c r="AI20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14))),"")</f>
        <v/>
      </c>
      <c r="AJ20" s="141">
        <f t="shared" si="0"/>
        <v>0</v>
      </c>
    </row>
    <row r="21" spans="1:43" ht="40.5" customHeight="1">
      <c r="A21" s="45">
        <v>15</v>
      </c>
      <c r="B21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15))),"")</f>
        <v/>
      </c>
      <c r="C21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О.]]))/(Таблица14[[месяц]:[месяц]]=$J$5)/(Таблица14[[год]:[год]]=$L$5)/(Таблица14[[изд]:[изд]]=$N$1)/(Таблица14[[партия]:[партия]]=$W$1),ROW(B15))),"")</f>
        <v/>
      </c>
      <c r="D21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15))),"")</f>
        <v/>
      </c>
      <c r="E21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15))),"")</f>
        <v/>
      </c>
      <c r="F21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15))),"")</f>
        <v/>
      </c>
      <c r="G21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15))),"")</f>
        <v/>
      </c>
      <c r="H21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15))),"")</f>
        <v/>
      </c>
      <c r="I21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15))),"")</f>
        <v/>
      </c>
      <c r="J21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15))),"")</f>
        <v/>
      </c>
      <c r="K21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15))),"")</f>
        <v/>
      </c>
      <c r="L21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15))),"")</f>
        <v/>
      </c>
      <c r="M21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15))),"")</f>
        <v/>
      </c>
      <c r="N21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15))),"")</f>
        <v/>
      </c>
      <c r="O21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15))),"")</f>
        <v/>
      </c>
      <c r="P21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15))),"")</f>
        <v/>
      </c>
      <c r="Q21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15))),"")</f>
        <v/>
      </c>
      <c r="R21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15))),"")</f>
        <v/>
      </c>
      <c r="S21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15))),"")</f>
        <v/>
      </c>
      <c r="T21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15))),"")</f>
        <v/>
      </c>
      <c r="U21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15))),"")</f>
        <v/>
      </c>
      <c r="V21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15))),"")</f>
        <v/>
      </c>
      <c r="W21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15))),"")</f>
        <v/>
      </c>
      <c r="X21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15))),"")</f>
        <v/>
      </c>
      <c r="Y21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15))),"")</f>
        <v/>
      </c>
      <c r="Z21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15))),"")</f>
        <v/>
      </c>
      <c r="AA21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15))),"")</f>
        <v/>
      </c>
      <c r="AB21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15))),"")</f>
        <v/>
      </c>
      <c r="AC21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15))),"")</f>
        <v/>
      </c>
      <c r="AD21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15))),"")</f>
        <v/>
      </c>
      <c r="AE21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15))),"")</f>
        <v/>
      </c>
      <c r="AF21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15))),"")</f>
        <v/>
      </c>
      <c r="AG21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15))),"")</f>
        <v/>
      </c>
      <c r="AH21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15))),"")</f>
        <v/>
      </c>
      <c r="AI21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15))),"")</f>
        <v/>
      </c>
      <c r="AJ21" s="140">
        <f t="shared" si="0"/>
        <v>0</v>
      </c>
    </row>
    <row r="22" spans="1:43" ht="40.5" customHeight="1">
      <c r="A22" s="45">
        <v>16</v>
      </c>
      <c r="B22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16))),"")</f>
        <v/>
      </c>
      <c r="C22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О.]]))/(Таблица14[[месяц]:[месяц]]=$J$5)/(Таблица14[[год]:[год]]=$L$5)/(Таблица14[[изд]:[изд]]=$N$1)/(Таблица14[[партия]:[партия]]=$W$1),ROW(B16))),"")</f>
        <v/>
      </c>
      <c r="D22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16))),"")</f>
        <v/>
      </c>
      <c r="E22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16))),"")</f>
        <v/>
      </c>
      <c r="F22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16))),"")</f>
        <v/>
      </c>
      <c r="G22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16))),"")</f>
        <v/>
      </c>
      <c r="H22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16))),"")</f>
        <v/>
      </c>
      <c r="I22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16))),"")</f>
        <v/>
      </c>
      <c r="J22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16))),"")</f>
        <v/>
      </c>
      <c r="K22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16))),"")</f>
        <v/>
      </c>
      <c r="L22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16))),"")</f>
        <v/>
      </c>
      <c r="M22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16))),"")</f>
        <v/>
      </c>
      <c r="N22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16))),"")</f>
        <v/>
      </c>
      <c r="O22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16))),"")</f>
        <v/>
      </c>
      <c r="P22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16))),"")</f>
        <v/>
      </c>
      <c r="Q22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16))),"")</f>
        <v/>
      </c>
      <c r="R22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16))),"")</f>
        <v/>
      </c>
      <c r="S22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16))),"")</f>
        <v/>
      </c>
      <c r="T22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16))),"")</f>
        <v/>
      </c>
      <c r="U22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16))),"")</f>
        <v/>
      </c>
      <c r="V22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16))),"")</f>
        <v/>
      </c>
      <c r="W22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16))),"")</f>
        <v/>
      </c>
      <c r="X22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16))),"")</f>
        <v/>
      </c>
      <c r="Y22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16))),"")</f>
        <v/>
      </c>
      <c r="Z22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16))),"")</f>
        <v/>
      </c>
      <c r="AA22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16))),"")</f>
        <v/>
      </c>
      <c r="AB22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16))),"")</f>
        <v/>
      </c>
      <c r="AC22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16))),"")</f>
        <v/>
      </c>
      <c r="AD22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16))),"")</f>
        <v/>
      </c>
      <c r="AE22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16))),"")</f>
        <v/>
      </c>
      <c r="AF22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16))),"")</f>
        <v/>
      </c>
      <c r="AG22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16))),"")</f>
        <v/>
      </c>
      <c r="AH22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16))),"")</f>
        <v/>
      </c>
      <c r="AI22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16))),"")</f>
        <v/>
      </c>
      <c r="AJ22" s="140">
        <f t="shared" si="0"/>
        <v>0</v>
      </c>
    </row>
    <row r="23" spans="1:43" ht="40.5" customHeight="1">
      <c r="A23" s="45">
        <v>17</v>
      </c>
      <c r="B23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17))),"")</f>
        <v/>
      </c>
      <c r="C23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О.]]))/(Таблица14[[месяц]:[месяц]]=$J$5)/(Таблица14[[год]:[год]]=$L$5)/(Таблица14[[изд]:[изд]]=$N$1)/(Таблица14[[партия]:[партия]]=$W$1),ROW(B17))),"")</f>
        <v/>
      </c>
      <c r="D23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17))),"")</f>
        <v/>
      </c>
      <c r="E23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17))),"")</f>
        <v/>
      </c>
      <c r="F23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17))),"")</f>
        <v/>
      </c>
      <c r="G23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17))),"")</f>
        <v/>
      </c>
      <c r="H23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17))),"")</f>
        <v/>
      </c>
      <c r="I23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17))),"")</f>
        <v/>
      </c>
      <c r="J23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17))),"")</f>
        <v/>
      </c>
      <c r="K23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17))),"")</f>
        <v/>
      </c>
      <c r="L23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17))),"")</f>
        <v/>
      </c>
      <c r="M23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17))),"")</f>
        <v/>
      </c>
      <c r="N23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17))),"")</f>
        <v/>
      </c>
      <c r="O23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17))),"")</f>
        <v/>
      </c>
      <c r="P23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17))),"")</f>
        <v/>
      </c>
      <c r="Q23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17))),"")</f>
        <v/>
      </c>
      <c r="R23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17))),"")</f>
        <v/>
      </c>
      <c r="S23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17))),"")</f>
        <v/>
      </c>
      <c r="T23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17))),"")</f>
        <v/>
      </c>
      <c r="U23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17))),"")</f>
        <v/>
      </c>
      <c r="V23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17))),"")</f>
        <v/>
      </c>
      <c r="W23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17))),"")</f>
        <v/>
      </c>
      <c r="X23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17))),"")</f>
        <v/>
      </c>
      <c r="Y23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17))),"")</f>
        <v/>
      </c>
      <c r="Z23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17))),"")</f>
        <v/>
      </c>
      <c r="AA23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17))),"")</f>
        <v/>
      </c>
      <c r="AB23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17))),"")</f>
        <v/>
      </c>
      <c r="AC23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17))),"")</f>
        <v/>
      </c>
      <c r="AD23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17))),"")</f>
        <v/>
      </c>
      <c r="AE23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17))),"")</f>
        <v/>
      </c>
      <c r="AF23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17))),"")</f>
        <v/>
      </c>
      <c r="AG23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17))),"")</f>
        <v/>
      </c>
      <c r="AH23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17))),"")</f>
        <v/>
      </c>
      <c r="AI23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17))),"")</f>
        <v/>
      </c>
      <c r="AJ23" s="140">
        <f t="shared" si="0"/>
        <v>0</v>
      </c>
    </row>
    <row r="24" spans="1:43" ht="40.5" customHeight="1">
      <c r="A24" s="45">
        <v>18</v>
      </c>
      <c r="B24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18))),"")</f>
        <v/>
      </c>
      <c r="C24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О.]]))/(Таблица14[[месяц]:[месяц]]=$J$5)/(Таблица14[[год]:[год]]=$L$5)/(Таблица14[[изд]:[изд]]=$N$1)/(Таблица14[[партия]:[партия]]=$W$1),ROW(B18))),"")</f>
        <v/>
      </c>
      <c r="D24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18))),"")</f>
        <v/>
      </c>
      <c r="E24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18))),"")</f>
        <v/>
      </c>
      <c r="F24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18))),"")</f>
        <v/>
      </c>
      <c r="G24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18))),"")</f>
        <v/>
      </c>
      <c r="H24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18))),"")</f>
        <v/>
      </c>
      <c r="I24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18))),"")</f>
        <v/>
      </c>
      <c r="J24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18))),"")</f>
        <v/>
      </c>
      <c r="K24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18))),"")</f>
        <v/>
      </c>
      <c r="L24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18))),"")</f>
        <v/>
      </c>
      <c r="M24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18))),"")</f>
        <v/>
      </c>
      <c r="N24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18))),"")</f>
        <v/>
      </c>
      <c r="O24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18))),"")</f>
        <v/>
      </c>
      <c r="P24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18))),"")</f>
        <v/>
      </c>
      <c r="Q24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18))),"")</f>
        <v/>
      </c>
      <c r="R24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18))),"")</f>
        <v/>
      </c>
      <c r="S24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18))),"")</f>
        <v/>
      </c>
      <c r="T24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18))),"")</f>
        <v/>
      </c>
      <c r="U24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18))),"")</f>
        <v/>
      </c>
      <c r="V24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18))),"")</f>
        <v/>
      </c>
      <c r="W24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18))),"")</f>
        <v/>
      </c>
      <c r="X24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18))),"")</f>
        <v/>
      </c>
      <c r="Y24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18))),"")</f>
        <v/>
      </c>
      <c r="Z24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18))),"")</f>
        <v/>
      </c>
      <c r="AA24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18))),"")</f>
        <v/>
      </c>
      <c r="AB24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18))),"")</f>
        <v/>
      </c>
      <c r="AC24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18))),"")</f>
        <v/>
      </c>
      <c r="AD24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18))),"")</f>
        <v/>
      </c>
      <c r="AE24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18))),"")</f>
        <v/>
      </c>
      <c r="AF24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18))),"")</f>
        <v/>
      </c>
      <c r="AG24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18))),"")</f>
        <v/>
      </c>
      <c r="AH24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18))),"")</f>
        <v/>
      </c>
      <c r="AI24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18))),"")</f>
        <v/>
      </c>
      <c r="AJ24" s="140">
        <f t="shared" si="0"/>
        <v>0</v>
      </c>
    </row>
    <row r="25" spans="1:43" ht="40.5" customHeight="1">
      <c r="A25" s="45">
        <v>19</v>
      </c>
      <c r="B25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19))),"")</f>
        <v/>
      </c>
      <c r="C25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О.]]))/(Таблица14[[месяц]:[месяц]]=$J$5)/(Таблица14[[год]:[год]]=$L$5)/(Таблица14[[изд]:[изд]]=$N$1)/(Таблица14[[партия]:[партия]]=$W$1),ROW(B19))),"")</f>
        <v/>
      </c>
      <c r="D25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19))),"")</f>
        <v/>
      </c>
      <c r="E25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19))),"")</f>
        <v/>
      </c>
      <c r="F25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19))),"")</f>
        <v/>
      </c>
      <c r="G25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19))),"")</f>
        <v/>
      </c>
      <c r="H25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19))),"")</f>
        <v/>
      </c>
      <c r="I25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19))),"")</f>
        <v/>
      </c>
      <c r="J25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19))),"")</f>
        <v/>
      </c>
      <c r="K25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19))),"")</f>
        <v/>
      </c>
      <c r="L25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19))),"")</f>
        <v/>
      </c>
      <c r="M25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19))),"")</f>
        <v/>
      </c>
      <c r="N25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19))),"")</f>
        <v/>
      </c>
      <c r="O25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19))),"")</f>
        <v/>
      </c>
      <c r="P25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19))),"")</f>
        <v/>
      </c>
      <c r="Q25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19))),"")</f>
        <v/>
      </c>
      <c r="R25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19))),"")</f>
        <v/>
      </c>
      <c r="S25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19))),"")</f>
        <v/>
      </c>
      <c r="T25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19))),"")</f>
        <v/>
      </c>
      <c r="U25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19))),"")</f>
        <v/>
      </c>
      <c r="V25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19))),"")</f>
        <v/>
      </c>
      <c r="W25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19))),"")</f>
        <v/>
      </c>
      <c r="X25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19))),"")</f>
        <v/>
      </c>
      <c r="Y25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19))),"")</f>
        <v/>
      </c>
      <c r="Z25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19))),"")</f>
        <v/>
      </c>
      <c r="AA25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19))),"")</f>
        <v/>
      </c>
      <c r="AB25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19))),"")</f>
        <v/>
      </c>
      <c r="AC25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19))),"")</f>
        <v/>
      </c>
      <c r="AD25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19))),"")</f>
        <v/>
      </c>
      <c r="AE25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19))),"")</f>
        <v/>
      </c>
      <c r="AF25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19))),"")</f>
        <v/>
      </c>
      <c r="AG25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19))),"")</f>
        <v/>
      </c>
      <c r="AH25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19))),"")</f>
        <v/>
      </c>
      <c r="AI25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19))),"")</f>
        <v/>
      </c>
      <c r="AJ25" s="140">
        <f t="shared" si="0"/>
        <v>0</v>
      </c>
    </row>
    <row r="26" spans="1:43" ht="40.5" hidden="1" customHeight="1">
      <c r="A26" s="45">
        <v>20</v>
      </c>
      <c r="B26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20))),"")</f>
        <v/>
      </c>
      <c r="C26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О.]]))/(Таблица14[[месяц]:[месяц]]=$J$5)/(Таблица14[[год]:[год]]=$L$5)/(Таблица14[[изд]:[изд]]=$N$1)/(Таблица14[[партия]:[партия]]=$W$1),ROW(B20))),"")</f>
        <v/>
      </c>
      <c r="D26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20))),"")</f>
        <v/>
      </c>
      <c r="E26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20))),"")</f>
        <v/>
      </c>
      <c r="F26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20))),"")</f>
        <v/>
      </c>
      <c r="G26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20))),"")</f>
        <v/>
      </c>
      <c r="H26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20))),"")</f>
        <v/>
      </c>
      <c r="I26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20))),"")</f>
        <v/>
      </c>
      <c r="J26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20))),"")</f>
        <v/>
      </c>
      <c r="K26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20))),"")</f>
        <v/>
      </c>
      <c r="L26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20))),"")</f>
        <v/>
      </c>
      <c r="M26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20))),"")</f>
        <v/>
      </c>
      <c r="N26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20))),"")</f>
        <v/>
      </c>
      <c r="O26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20))),"")</f>
        <v/>
      </c>
      <c r="P26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20))),"")</f>
        <v/>
      </c>
      <c r="Q26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20))),"")</f>
        <v/>
      </c>
      <c r="R26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20))),"")</f>
        <v/>
      </c>
      <c r="S26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20))),"")</f>
        <v/>
      </c>
      <c r="T26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20))),"")</f>
        <v/>
      </c>
      <c r="U26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20))),"")</f>
        <v/>
      </c>
      <c r="V26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20))),"")</f>
        <v/>
      </c>
      <c r="W26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20))),"")</f>
        <v/>
      </c>
      <c r="X26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20))),"")</f>
        <v/>
      </c>
      <c r="Y26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20))),"")</f>
        <v/>
      </c>
      <c r="Z26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20))),"")</f>
        <v/>
      </c>
      <c r="AA26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20))),"")</f>
        <v/>
      </c>
      <c r="AB26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20))),"")</f>
        <v/>
      </c>
      <c r="AC26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20))),"")</f>
        <v/>
      </c>
      <c r="AD26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20))),"")</f>
        <v/>
      </c>
      <c r="AE26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20))),"")</f>
        <v/>
      </c>
      <c r="AF26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20))),"")</f>
        <v/>
      </c>
      <c r="AG26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20))),"")</f>
        <v/>
      </c>
      <c r="AH26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20))),"")</f>
        <v/>
      </c>
      <c r="AI26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20))),"")</f>
        <v/>
      </c>
      <c r="AJ26" s="140">
        <f t="shared" ref="AJ26" si="1">SUM(E26:AI26)</f>
        <v>0</v>
      </c>
    </row>
    <row r="27" spans="1:43" ht="21" customHeight="1">
      <c r="B27" s="36"/>
      <c r="C27" s="33" t="s">
        <v>63</v>
      </c>
      <c r="D27" s="36"/>
      <c r="E27" s="34">
        <f>SUM(E7:E24)</f>
        <v>0</v>
      </c>
      <c r="F27" s="34">
        <f>SUM(F7:F25)</f>
        <v>0</v>
      </c>
      <c r="G27" s="34">
        <f t="shared" ref="G27:AF27" si="2">SUM(G7:G25)</f>
        <v>0</v>
      </c>
      <c r="H27" s="34">
        <f t="shared" si="2"/>
        <v>0</v>
      </c>
      <c r="I27" s="34">
        <f t="shared" si="2"/>
        <v>0</v>
      </c>
      <c r="J27" s="34">
        <f t="shared" si="2"/>
        <v>0</v>
      </c>
      <c r="K27" s="34">
        <f t="shared" si="2"/>
        <v>0</v>
      </c>
      <c r="L27" s="34">
        <f t="shared" si="2"/>
        <v>0</v>
      </c>
      <c r="M27" s="34">
        <f t="shared" si="2"/>
        <v>0</v>
      </c>
      <c r="N27" s="34">
        <f t="shared" si="2"/>
        <v>0</v>
      </c>
      <c r="O27" s="34">
        <f t="shared" si="2"/>
        <v>0</v>
      </c>
      <c r="P27" s="34">
        <f t="shared" si="2"/>
        <v>0</v>
      </c>
      <c r="Q27" s="34">
        <f t="shared" si="2"/>
        <v>0</v>
      </c>
      <c r="R27" s="34">
        <f t="shared" si="2"/>
        <v>0</v>
      </c>
      <c r="S27" s="34">
        <f t="shared" si="2"/>
        <v>0</v>
      </c>
      <c r="T27" s="34">
        <f t="shared" si="2"/>
        <v>0</v>
      </c>
      <c r="U27" s="34">
        <f t="shared" si="2"/>
        <v>0</v>
      </c>
      <c r="V27" s="34">
        <f t="shared" si="2"/>
        <v>0</v>
      </c>
      <c r="W27" s="34">
        <f t="shared" si="2"/>
        <v>0</v>
      </c>
      <c r="X27" s="34">
        <f t="shared" si="2"/>
        <v>0</v>
      </c>
      <c r="Y27" s="34">
        <f t="shared" si="2"/>
        <v>0</v>
      </c>
      <c r="Z27" s="34">
        <f t="shared" si="2"/>
        <v>0</v>
      </c>
      <c r="AA27" s="34">
        <f t="shared" si="2"/>
        <v>0</v>
      </c>
      <c r="AB27" s="34">
        <f t="shared" si="2"/>
        <v>0</v>
      </c>
      <c r="AC27" s="34">
        <f t="shared" si="2"/>
        <v>0</v>
      </c>
      <c r="AD27" s="34">
        <f t="shared" si="2"/>
        <v>0</v>
      </c>
      <c r="AE27" s="34">
        <f t="shared" si="2"/>
        <v>0</v>
      </c>
      <c r="AF27" s="34">
        <f t="shared" si="2"/>
        <v>0</v>
      </c>
      <c r="AG27" s="34">
        <f t="shared" ref="AG27:AI27" si="3">SUM(AG7:AG24)</f>
        <v>0</v>
      </c>
      <c r="AH27" s="34">
        <f t="shared" si="3"/>
        <v>0</v>
      </c>
      <c r="AI27" s="34">
        <f t="shared" si="3"/>
        <v>0</v>
      </c>
      <c r="AJ27" s="146">
        <f>SUM(E27:AI27)</f>
        <v>0</v>
      </c>
      <c r="AL27" s="903" t="s">
        <v>94</v>
      </c>
      <c r="AM27" s="903"/>
      <c r="AN27" s="903"/>
      <c r="AO27" s="903"/>
      <c r="AP27" s="903"/>
      <c r="AQ27" s="903"/>
    </row>
    <row r="28" spans="1:43" ht="9" customHeight="1">
      <c r="AJ28" s="35"/>
      <c r="AM28" s="902">
        <f>SUMIFS(Таблица14[Столбец2],Таблица14[партия],W1,Таблица14[изд],N1)</f>
        <v>0</v>
      </c>
      <c r="AN28" s="902"/>
      <c r="AO28" s="902"/>
      <c r="AP28" s="902"/>
    </row>
    <row r="29" spans="1:43" s="62" customFormat="1" ht="21" customHeight="1">
      <c r="C29" s="259" t="s">
        <v>64</v>
      </c>
      <c r="D29" s="260"/>
      <c r="E29" s="260"/>
      <c r="F29" s="260"/>
      <c r="G29" s="261" t="str">
        <f>Data_Tech!$AU$7</f>
        <v>Кувшинов А.Г.</v>
      </c>
      <c r="H29" s="261"/>
      <c r="R29" s="261" t="s">
        <v>246</v>
      </c>
      <c r="S29" s="261"/>
      <c r="T29" s="261"/>
      <c r="U29" s="261"/>
      <c r="V29" s="260"/>
      <c r="W29" s="260"/>
      <c r="X29" s="260"/>
      <c r="Y29" s="260"/>
      <c r="Z29" s="260"/>
      <c r="AA29" s="261" t="s">
        <v>108</v>
      </c>
      <c r="AB29" s="261"/>
      <c r="AM29" s="902"/>
      <c r="AN29" s="902"/>
      <c r="AO29" s="902"/>
      <c r="AP29" s="902"/>
    </row>
    <row r="30" spans="1:43">
      <c r="AA30" s="235"/>
      <c r="AM30" s="902"/>
      <c r="AN30" s="902"/>
      <c r="AO30" s="902"/>
      <c r="AP30" s="902"/>
    </row>
    <row r="31" spans="1:43" ht="20.25" customHeight="1">
      <c r="B31" s="62"/>
      <c r="C31" s="63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M31" s="902"/>
      <c r="AN31" s="902"/>
      <c r="AO31" s="902"/>
      <c r="AP31" s="902"/>
    </row>
    <row r="32" spans="1:43" ht="18.75">
      <c r="AJ32" s="64"/>
    </row>
    <row r="33" spans="3:42" ht="18">
      <c r="C33" s="52"/>
      <c r="D33" s="53"/>
    </row>
    <row r="34" spans="3:42" ht="23.25">
      <c r="C34" s="52"/>
      <c r="D34" s="53"/>
      <c r="AM34" s="62"/>
      <c r="AN34" s="62"/>
      <c r="AO34" s="62"/>
      <c r="AP34" s="62"/>
    </row>
  </sheetData>
  <mergeCells count="12">
    <mergeCell ref="AM28:AP31"/>
    <mergeCell ref="AL27:AQ27"/>
    <mergeCell ref="Q5:W5"/>
    <mergeCell ref="B1:I5"/>
    <mergeCell ref="U1:V1"/>
    <mergeCell ref="W1:Y1"/>
    <mergeCell ref="AD2:AE2"/>
    <mergeCell ref="AD3:AE3"/>
    <mergeCell ref="AD4:AE4"/>
    <mergeCell ref="J5:K5"/>
    <mergeCell ref="L5:M5"/>
    <mergeCell ref="N1:T1"/>
  </mergeCells>
  <pageMargins left="3.937007874015748E-2" right="3.937007874015748E-2" top="0.55118110236220474" bottom="0.35433070866141736" header="0" footer="0"/>
  <pageSetup paperSize="9" scale="56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Q33"/>
  <sheetViews>
    <sheetView view="pageBreakPreview" topLeftCell="C1" zoomScale="60" zoomScaleNormal="60" workbookViewId="0">
      <selection activeCell="W2" sqref="W2"/>
    </sheetView>
  </sheetViews>
  <sheetFormatPr defaultRowHeight="15"/>
  <cols>
    <col min="1" max="1" customWidth="true" style="45" width="5.28515625"/>
    <col min="2" max="2" customWidth="true" style="45" width="7.5703125"/>
    <col min="3" max="3" customWidth="true" style="50" width="46.28515625"/>
    <col min="4" max="4" style="45" width="9.140625"/>
    <col min="5" max="14" customWidth="true" style="45" width="6.0"/>
    <col min="15" max="15" customWidth="true" style="45" width="6.140625"/>
    <col min="16" max="35" customWidth="true" style="45" width="6.0"/>
    <col min="36" max="16384" style="45" width="9.140625"/>
  </cols>
  <sheetData>
    <row r="1" spans="1:36" s="32" customFormat="1" ht="29.25" customHeight="1">
      <c r="B1" s="905" t="s">
        <v>75</v>
      </c>
      <c r="C1" s="905"/>
      <c r="D1" s="905"/>
      <c r="E1" s="905"/>
      <c r="F1" s="905"/>
      <c r="G1" s="905"/>
      <c r="H1" s="905"/>
      <c r="I1" s="905"/>
      <c r="J1" s="148" t="s">
        <v>68</v>
      </c>
      <c r="K1" s="148"/>
      <c r="L1" s="148"/>
      <c r="M1" s="148"/>
      <c r="N1" s="912">
        <v>6001</v>
      </c>
      <c r="O1" s="912"/>
      <c r="P1" s="912"/>
      <c r="Q1" s="912"/>
      <c r="R1" s="912"/>
      <c r="S1" s="912"/>
      <c r="T1" s="912"/>
      <c r="U1" s="906" t="s">
        <v>10</v>
      </c>
      <c r="V1" s="906"/>
      <c r="W1" s="913" t="s">
        <v>308</v>
      </c>
      <c r="X1" s="913"/>
      <c r="Y1" s="913"/>
      <c r="Z1" s="46"/>
      <c r="AA1" s="43"/>
      <c r="AB1" s="65"/>
      <c r="AC1" s="65"/>
      <c r="AD1" s="65"/>
      <c r="AH1" s="46"/>
      <c r="AI1" s="46"/>
      <c r="AJ1" s="43"/>
    </row>
    <row r="2" spans="1:36" s="32" customFormat="1" ht="16.5" customHeight="1">
      <c r="B2" s="905"/>
      <c r="C2" s="905"/>
      <c r="D2" s="905"/>
      <c r="E2" s="905"/>
      <c r="F2" s="905"/>
      <c r="G2" s="905"/>
      <c r="H2" s="905"/>
      <c r="I2" s="905"/>
      <c r="J2" s="42"/>
      <c r="K2" s="143"/>
      <c r="L2" s="143"/>
      <c r="M2" s="143"/>
      <c r="N2" s="143"/>
      <c r="O2" s="144"/>
      <c r="P2" s="144"/>
      <c r="Q2" s="144"/>
      <c r="R2" s="4"/>
      <c r="S2" s="46"/>
      <c r="T2" s="44"/>
      <c r="U2" s="108"/>
      <c r="V2" s="108"/>
      <c r="W2" s="123"/>
      <c r="X2" s="123"/>
      <c r="Y2" s="123"/>
      <c r="Z2" s="46"/>
      <c r="AA2" s="46"/>
      <c r="AB2" s="139" t="s">
        <v>10</v>
      </c>
      <c r="AC2" s="139"/>
      <c r="AD2" s="908"/>
      <c r="AE2" s="908"/>
      <c r="AF2" s="139"/>
      <c r="AG2" s="139" t="s">
        <v>76</v>
      </c>
      <c r="AH2" s="139"/>
      <c r="AI2" s="139"/>
      <c r="AJ2" s="43"/>
    </row>
    <row r="3" spans="1:36" s="32" customFormat="1" ht="16.5" customHeight="1">
      <c r="B3" s="905"/>
      <c r="C3" s="905"/>
      <c r="D3" s="905"/>
      <c r="E3" s="905"/>
      <c r="F3" s="905"/>
      <c r="G3" s="905"/>
      <c r="H3" s="905"/>
      <c r="I3" s="905"/>
      <c r="J3" s="42"/>
      <c r="K3" s="124" t="s">
        <v>77</v>
      </c>
      <c r="L3" s="143"/>
      <c r="M3" s="143"/>
      <c r="N3" s="125"/>
      <c r="O3" s="126"/>
      <c r="P3" s="127" t="e">
        <f>INDEX(база!$AL:$AL, MATCH(N1,база!$AK:$AK,0))</f>
        <v>#N/A</v>
      </c>
      <c r="Q3" s="126"/>
      <c r="R3" s="128"/>
      <c r="S3" s="128"/>
      <c r="T3" s="129"/>
      <c r="U3" s="108"/>
      <c r="V3" s="108"/>
      <c r="W3" s="109"/>
      <c r="X3" s="109"/>
      <c r="Y3" s="109"/>
      <c r="Z3" s="46"/>
      <c r="AA3" s="46"/>
      <c r="AB3" s="139" t="s">
        <v>78</v>
      </c>
      <c r="AC3" s="139"/>
      <c r="AD3" s="908"/>
      <c r="AE3" s="908"/>
      <c r="AF3" s="139"/>
      <c r="AG3" s="162" t="s">
        <v>85</v>
      </c>
      <c r="AH3" s="139"/>
      <c r="AI3" s="139"/>
      <c r="AJ3" s="43"/>
    </row>
    <row r="4" spans="1:36" s="32" customFormat="1" ht="16.5" customHeight="1">
      <c r="B4" s="905"/>
      <c r="C4" s="905"/>
      <c r="D4" s="905"/>
      <c r="E4" s="905"/>
      <c r="F4" s="905"/>
      <c r="G4" s="905"/>
      <c r="H4" s="905"/>
      <c r="I4" s="905"/>
      <c r="J4" s="42"/>
      <c r="K4" s="143"/>
      <c r="L4" s="143"/>
      <c r="M4" s="143"/>
      <c r="N4" s="143"/>
      <c r="O4" s="130"/>
      <c r="P4" s="130"/>
      <c r="Q4" s="130"/>
      <c r="R4" s="46"/>
      <c r="S4" s="46"/>
      <c r="T4" s="44"/>
      <c r="U4" s="108"/>
      <c r="V4" s="108"/>
      <c r="W4" s="109"/>
      <c r="X4" s="109"/>
      <c r="Y4" s="109"/>
      <c r="Z4" s="46"/>
      <c r="AA4" s="46"/>
      <c r="AB4" s="139" t="s">
        <v>79</v>
      </c>
      <c r="AC4" s="139"/>
      <c r="AD4" s="908"/>
      <c r="AE4" s="908"/>
      <c r="AF4" s="139"/>
      <c r="AG4" s="139" t="s">
        <v>80</v>
      </c>
      <c r="AH4" s="139"/>
      <c r="AI4" s="139"/>
      <c r="AJ4" s="43"/>
    </row>
    <row r="5" spans="1:36" s="32" customFormat="1" ht="21.75" customHeight="1">
      <c r="B5" s="905"/>
      <c r="C5" s="905"/>
      <c r="D5" s="905"/>
      <c r="E5" s="905"/>
      <c r="F5" s="905"/>
      <c r="G5" s="905"/>
      <c r="H5" s="905"/>
      <c r="I5" s="905"/>
      <c r="J5" s="909" t="str">
        <f>Data_Tech!A3</f>
        <v>январь</v>
      </c>
      <c r="K5" s="909"/>
      <c r="L5" s="910">
        <v>2023</v>
      </c>
      <c r="M5" s="910"/>
      <c r="N5" s="2"/>
      <c r="O5" s="2"/>
      <c r="P5" s="2"/>
      <c r="Q5" s="904" t="s">
        <v>83</v>
      </c>
      <c r="R5" s="904"/>
      <c r="S5" s="904"/>
      <c r="T5" s="904"/>
      <c r="U5" s="904"/>
      <c r="V5" s="904"/>
      <c r="W5" s="904"/>
      <c r="X5" s="46"/>
      <c r="Y5" s="46"/>
      <c r="Z5" s="46"/>
      <c r="AA5" s="46"/>
      <c r="AB5" s="139" t="s">
        <v>81</v>
      </c>
      <c r="AC5" s="139"/>
      <c r="AD5" s="139"/>
      <c r="AE5" s="139"/>
      <c r="AF5" s="139"/>
      <c r="AG5" s="139" t="s">
        <v>82</v>
      </c>
      <c r="AH5" s="139"/>
      <c r="AI5" s="139"/>
      <c r="AJ5" s="43"/>
    </row>
    <row r="6" spans="1:36" s="32" customFormat="1" ht="27" customHeight="1">
      <c r="B6" s="134" t="s">
        <v>9</v>
      </c>
      <c r="C6" s="135" t="s">
        <v>0</v>
      </c>
      <c r="D6" s="136" t="s">
        <v>1</v>
      </c>
      <c r="E6" s="137">
        <v>1</v>
      </c>
      <c r="F6" s="137">
        <v>2</v>
      </c>
      <c r="G6" s="137">
        <v>3</v>
      </c>
      <c r="H6" s="137">
        <v>4</v>
      </c>
      <c r="I6" s="137">
        <v>5</v>
      </c>
      <c r="J6" s="137">
        <v>6</v>
      </c>
      <c r="K6" s="137">
        <v>7</v>
      </c>
      <c r="L6" s="137">
        <v>8</v>
      </c>
      <c r="M6" s="137">
        <v>9</v>
      </c>
      <c r="N6" s="137">
        <v>10</v>
      </c>
      <c r="O6" s="137">
        <v>11</v>
      </c>
      <c r="P6" s="137">
        <v>12</v>
      </c>
      <c r="Q6" s="137">
        <v>13</v>
      </c>
      <c r="R6" s="137">
        <v>14</v>
      </c>
      <c r="S6" s="137">
        <v>15</v>
      </c>
      <c r="T6" s="137">
        <v>16</v>
      </c>
      <c r="U6" s="137">
        <v>17</v>
      </c>
      <c r="V6" s="137">
        <v>18</v>
      </c>
      <c r="W6" s="137">
        <v>19</v>
      </c>
      <c r="X6" s="137">
        <v>20</v>
      </c>
      <c r="Y6" s="137">
        <v>21</v>
      </c>
      <c r="Z6" s="137">
        <v>22</v>
      </c>
      <c r="AA6" s="137">
        <v>23</v>
      </c>
      <c r="AB6" s="137">
        <v>24</v>
      </c>
      <c r="AC6" s="137">
        <v>25</v>
      </c>
      <c r="AD6" s="137">
        <v>26</v>
      </c>
      <c r="AE6" s="137">
        <v>27</v>
      </c>
      <c r="AF6" s="137">
        <v>28</v>
      </c>
      <c r="AG6" s="137">
        <v>29</v>
      </c>
      <c r="AH6" s="137">
        <v>30</v>
      </c>
      <c r="AI6" s="137">
        <v>31</v>
      </c>
      <c r="AJ6" s="138"/>
    </row>
    <row r="7" spans="1:36" ht="40.5" customHeight="1">
      <c r="A7" s="45">
        <v>1</v>
      </c>
      <c r="B7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1))),"")</f>
        <v/>
      </c>
      <c r="C7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О.]]))/(Таблица14[[месяц]:[месяц]]=$J$5)/(Таблица14[[год]:[год]]=$L$5)/(Таблица14[[изд]:[изд]]=$N$1)/(Таблица14[[партия]:[партия]]=$W$1),ROW(B1))),"")</f>
        <v/>
      </c>
      <c r="D7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1))),"")</f>
        <v/>
      </c>
      <c r="E7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1))),"")</f>
        <v/>
      </c>
      <c r="F7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1))),"")</f>
        <v/>
      </c>
      <c r="G7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1))),"")</f>
        <v/>
      </c>
      <c r="H7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1))),"")</f>
        <v/>
      </c>
      <c r="I7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1))),"")</f>
        <v/>
      </c>
      <c r="J7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1))),"")</f>
        <v/>
      </c>
      <c r="K7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1))),"")</f>
        <v/>
      </c>
      <c r="L7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1))),"")</f>
        <v/>
      </c>
      <c r="M7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1))),"")</f>
        <v/>
      </c>
      <c r="N7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1))),"")</f>
        <v/>
      </c>
      <c r="O7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#REF!))),"")</f>
        <v/>
      </c>
      <c r="P7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N1))),"")</f>
        <v/>
      </c>
      <c r="Q7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1))),"")</f>
        <v/>
      </c>
      <c r="R7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1))),"")</f>
        <v/>
      </c>
      <c r="S7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1))),"")</f>
        <v/>
      </c>
      <c r="T7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1))),"")</f>
        <v/>
      </c>
      <c r="U7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1))),"")</f>
        <v/>
      </c>
      <c r="V7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1))),"")</f>
        <v/>
      </c>
      <c r="W7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1))),"")</f>
        <v/>
      </c>
      <c r="X7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1))),"")</f>
        <v/>
      </c>
      <c r="Y7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1))),"")</f>
        <v/>
      </c>
      <c r="Z7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1))),"")</f>
        <v/>
      </c>
      <c r="AA7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1))),"")</f>
        <v/>
      </c>
      <c r="AB7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1))),"")</f>
        <v/>
      </c>
      <c r="AC7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1))),"")</f>
        <v/>
      </c>
      <c r="AD7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1))),"")</f>
        <v/>
      </c>
      <c r="AE7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1))),"")</f>
        <v/>
      </c>
      <c r="AF7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1))),"")</f>
        <v/>
      </c>
      <c r="AG7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1))),"")</f>
        <v/>
      </c>
      <c r="AH7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1))),"")</f>
        <v/>
      </c>
      <c r="AI7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1))),"")</f>
        <v/>
      </c>
      <c r="AJ7" s="140">
        <f t="shared" ref="AJ7:AJ25" si="0">SUM(E7:AI7)</f>
        <v>0</v>
      </c>
    </row>
    <row r="8" spans="1:36" ht="40.5" customHeight="1">
      <c r="A8" s="45">
        <v>2</v>
      </c>
      <c r="B8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2))),"")</f>
        <v/>
      </c>
      <c r="C8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О.]]))/(Таблица14[[месяц]:[месяц]]=$J$5)/(Таблица14[[год]:[год]]=$L$5)/(Таблица14[[изд]:[изд]]=$N$1)/(Таблица14[[партия]:[партия]]=$W$1),ROW(B2))),"")</f>
        <v/>
      </c>
      <c r="D8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2))),"")</f>
        <v/>
      </c>
      <c r="E8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2))),"")</f>
        <v/>
      </c>
      <c r="F8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2))),"")</f>
        <v/>
      </c>
      <c r="G8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2))),"")</f>
        <v/>
      </c>
      <c r="H8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2))),"")</f>
        <v/>
      </c>
      <c r="I8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2))),"")</f>
        <v/>
      </c>
      <c r="J8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2))),"")</f>
        <v/>
      </c>
      <c r="K8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2))),"")</f>
        <v/>
      </c>
      <c r="L8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2))),"")</f>
        <v/>
      </c>
      <c r="M8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2))),"")</f>
        <v/>
      </c>
      <c r="N8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2))),"")</f>
        <v/>
      </c>
      <c r="O8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2))),"")</f>
        <v/>
      </c>
      <c r="P8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2))),"")</f>
        <v/>
      </c>
      <c r="Q8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2))),"")</f>
        <v/>
      </c>
      <c r="R8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2))),"")</f>
        <v/>
      </c>
      <c r="S8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2))),"")</f>
        <v/>
      </c>
      <c r="T8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2))),"")</f>
        <v/>
      </c>
      <c r="U8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2))),"")</f>
        <v/>
      </c>
      <c r="V8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2))),"")</f>
        <v/>
      </c>
      <c r="W8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2))),"")</f>
        <v/>
      </c>
      <c r="X8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2))),"")</f>
        <v/>
      </c>
      <c r="Y8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2))),"")</f>
        <v/>
      </c>
      <c r="Z8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2))),"")</f>
        <v/>
      </c>
      <c r="AA8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2))),"")</f>
        <v/>
      </c>
      <c r="AB8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2))),"")</f>
        <v/>
      </c>
      <c r="AC8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2))),"")</f>
        <v/>
      </c>
      <c r="AD8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2))),"")</f>
        <v/>
      </c>
      <c r="AE8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2))),"")</f>
        <v/>
      </c>
      <c r="AF8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2))),"")</f>
        <v/>
      </c>
      <c r="AG8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2))),"")</f>
        <v/>
      </c>
      <c r="AH8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2))),"")</f>
        <v/>
      </c>
      <c r="AI8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2))),"")</f>
        <v/>
      </c>
      <c r="AJ8" s="141">
        <f t="shared" si="0"/>
        <v>0</v>
      </c>
    </row>
    <row r="9" spans="1:36" ht="40.5" customHeight="1">
      <c r="A9" s="45">
        <v>3</v>
      </c>
      <c r="B9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3))),"")</f>
        <v/>
      </c>
      <c r="C9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О.]]))/(Таблица14[[месяц]:[месяц]]=$J$5)/(Таблица14[[год]:[год]]=$L$5)/(Таблица14[[изд]:[изд]]=$N$1)/(Таблица14[[партия]:[партия]]=$W$1),ROW(B3))),"")</f>
        <v/>
      </c>
      <c r="D9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3))),"")</f>
        <v/>
      </c>
      <c r="E9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3))),"")</f>
        <v/>
      </c>
      <c r="F9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3))),"")</f>
        <v/>
      </c>
      <c r="G9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3))),"")</f>
        <v/>
      </c>
      <c r="H9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3))),"")</f>
        <v/>
      </c>
      <c r="I9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3))),"")</f>
        <v/>
      </c>
      <c r="J9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3))),"")</f>
        <v/>
      </c>
      <c r="K9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3))),"")</f>
        <v/>
      </c>
      <c r="L9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3))),"")</f>
        <v/>
      </c>
      <c r="M9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3))),"")</f>
        <v/>
      </c>
      <c r="N9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3))),"")</f>
        <v/>
      </c>
      <c r="O9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3))),"")</f>
        <v/>
      </c>
      <c r="P9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3))),"")</f>
        <v/>
      </c>
      <c r="Q9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3))),"")</f>
        <v/>
      </c>
      <c r="R9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3))),"")</f>
        <v/>
      </c>
      <c r="S9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3))),"")</f>
        <v/>
      </c>
      <c r="T9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3))),"")</f>
        <v/>
      </c>
      <c r="U9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3))),"")</f>
        <v/>
      </c>
      <c r="V9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3))),"")</f>
        <v/>
      </c>
      <c r="W9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3))),"")</f>
        <v/>
      </c>
      <c r="X9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3))),"")</f>
        <v/>
      </c>
      <c r="Y9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3))),"")</f>
        <v/>
      </c>
      <c r="Z9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3))),"")</f>
        <v/>
      </c>
      <c r="AA9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3))),"")</f>
        <v/>
      </c>
      <c r="AB9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3))),"")</f>
        <v/>
      </c>
      <c r="AC9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3))),"")</f>
        <v/>
      </c>
      <c r="AD9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3))),"")</f>
        <v/>
      </c>
      <c r="AE9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3))),"")</f>
        <v/>
      </c>
      <c r="AF9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3))),"")</f>
        <v/>
      </c>
      <c r="AG9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3))),"")</f>
        <v/>
      </c>
      <c r="AH9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3))),"")</f>
        <v/>
      </c>
      <c r="AI9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3))),"")</f>
        <v/>
      </c>
      <c r="AJ9" s="140">
        <f t="shared" si="0"/>
        <v>0</v>
      </c>
    </row>
    <row r="10" spans="1:36" ht="40.5" customHeight="1">
      <c r="A10" s="45">
        <v>4</v>
      </c>
      <c r="B10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4))),"")</f>
        <v/>
      </c>
      <c r="C10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О.]]))/(Таблица14[[месяц]:[месяц]]=$J$5)/(Таблица14[[год]:[год]]=$L$5)/(Таблица14[[изд]:[изд]]=$N$1)/(Таблица14[[партия]:[партия]]=$W$1),ROW(B4))),"")</f>
        <v/>
      </c>
      <c r="D10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4))),"")</f>
        <v/>
      </c>
      <c r="E10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4))),"")</f>
        <v/>
      </c>
      <c r="F10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4))),"")</f>
        <v/>
      </c>
      <c r="G10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4))),"")</f>
        <v/>
      </c>
      <c r="H10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4))),"")</f>
        <v/>
      </c>
      <c r="I10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4))),"")</f>
        <v/>
      </c>
      <c r="J10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4))),"")</f>
        <v/>
      </c>
      <c r="K10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4))),"")</f>
        <v/>
      </c>
      <c r="L10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4))),"")</f>
        <v/>
      </c>
      <c r="M10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4))),"")</f>
        <v/>
      </c>
      <c r="N10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4))),"")</f>
        <v/>
      </c>
      <c r="O10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4))),"")</f>
        <v/>
      </c>
      <c r="P10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4))),"")</f>
        <v/>
      </c>
      <c r="Q10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4))),"")</f>
        <v/>
      </c>
      <c r="R10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4))),"")</f>
        <v/>
      </c>
      <c r="S10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4))),"")</f>
        <v/>
      </c>
      <c r="T10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4))),"")</f>
        <v/>
      </c>
      <c r="U10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4))),"")</f>
        <v/>
      </c>
      <c r="V10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4))),"")</f>
        <v/>
      </c>
      <c r="W10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4))),"")</f>
        <v/>
      </c>
      <c r="X10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4))),"")</f>
        <v/>
      </c>
      <c r="Y10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4))),"")</f>
        <v/>
      </c>
      <c r="Z10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4))),"")</f>
        <v/>
      </c>
      <c r="AA10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4))),"")</f>
        <v/>
      </c>
      <c r="AB10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4))),"")</f>
        <v/>
      </c>
      <c r="AC10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4))),"")</f>
        <v/>
      </c>
      <c r="AD10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4))),"")</f>
        <v/>
      </c>
      <c r="AE10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4))),"")</f>
        <v/>
      </c>
      <c r="AF10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4))),"")</f>
        <v/>
      </c>
      <c r="AG10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4))),"")</f>
        <v/>
      </c>
      <c r="AH10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4))),"")</f>
        <v/>
      </c>
      <c r="AI10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4))),"")</f>
        <v/>
      </c>
      <c r="AJ10" s="141">
        <f t="shared" si="0"/>
        <v>0</v>
      </c>
    </row>
    <row r="11" spans="1:36" ht="40.5" customHeight="1">
      <c r="A11" s="45">
        <v>5</v>
      </c>
      <c r="B11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5))),"")</f>
        <v/>
      </c>
      <c r="C11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О.]]))/(Таблица14[[месяц]:[месяц]]=$J$5)/(Таблица14[[год]:[год]]=$L$5)/(Таблица14[[изд]:[изд]]=$N$1)/(Таблица14[[партия]:[партия]]=$W$1),ROW(B5))),"")</f>
        <v/>
      </c>
      <c r="D11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5))),"")</f>
        <v/>
      </c>
      <c r="E11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5))),"")</f>
        <v/>
      </c>
      <c r="F11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5))),"")</f>
        <v/>
      </c>
      <c r="G11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5))),"")</f>
        <v/>
      </c>
      <c r="H11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5))),"")</f>
        <v/>
      </c>
      <c r="I11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5))),"")</f>
        <v/>
      </c>
      <c r="J11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5))),"")</f>
        <v/>
      </c>
      <c r="K11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5))),"")</f>
        <v/>
      </c>
      <c r="L11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5))),"")</f>
        <v/>
      </c>
      <c r="M11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5))),"")</f>
        <v/>
      </c>
      <c r="N11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5))),"")</f>
        <v/>
      </c>
      <c r="O11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5))),"")</f>
        <v/>
      </c>
      <c r="P11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5))),"")</f>
        <v/>
      </c>
      <c r="Q11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5))),"")</f>
        <v/>
      </c>
      <c r="R11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5))),"")</f>
        <v/>
      </c>
      <c r="S11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5))),"")</f>
        <v/>
      </c>
      <c r="T11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5))),"")</f>
        <v/>
      </c>
      <c r="U11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5))),"")</f>
        <v/>
      </c>
      <c r="V11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5))),"")</f>
        <v/>
      </c>
      <c r="W11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5))),"")</f>
        <v/>
      </c>
      <c r="X11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5))),"")</f>
        <v/>
      </c>
      <c r="Y11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5))),"")</f>
        <v/>
      </c>
      <c r="Z11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5))),"")</f>
        <v/>
      </c>
      <c r="AA11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5))),"")</f>
        <v/>
      </c>
      <c r="AB11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5))),"")</f>
        <v/>
      </c>
      <c r="AC11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5))),"")</f>
        <v/>
      </c>
      <c r="AD11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5))),"")</f>
        <v/>
      </c>
      <c r="AE11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5))),"")</f>
        <v/>
      </c>
      <c r="AF11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5))),"")</f>
        <v/>
      </c>
      <c r="AG11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5))),"")</f>
        <v/>
      </c>
      <c r="AH11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5))),"")</f>
        <v/>
      </c>
      <c r="AI11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5))),"")</f>
        <v/>
      </c>
      <c r="AJ11" s="140">
        <f t="shared" si="0"/>
        <v>0</v>
      </c>
    </row>
    <row r="12" spans="1:36" ht="40.5" customHeight="1">
      <c r="A12" s="45">
        <v>6</v>
      </c>
      <c r="B12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6))),"")</f>
        <v/>
      </c>
      <c r="C12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О.]]))/(Таблица14[[месяц]:[месяц]]=$J$5)/(Таблица14[[год]:[год]]=$L$5)/(Таблица14[[изд]:[изд]]=$N$1)/(Таблица14[[партия]:[партия]]=$W$1),ROW(B6))),"")</f>
        <v/>
      </c>
      <c r="D12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6))),"")</f>
        <v/>
      </c>
      <c r="E12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6))),"")</f>
        <v/>
      </c>
      <c r="F12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6))),"")</f>
        <v/>
      </c>
      <c r="G12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6))),"")</f>
        <v/>
      </c>
      <c r="H12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6))),"")</f>
        <v/>
      </c>
      <c r="I12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6))),"")</f>
        <v/>
      </c>
      <c r="J12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6))),"")</f>
        <v/>
      </c>
      <c r="K12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6))),"")</f>
        <v/>
      </c>
      <c r="L12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6))),"")</f>
        <v/>
      </c>
      <c r="M12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6))),"")</f>
        <v/>
      </c>
      <c r="N12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6))),"")</f>
        <v/>
      </c>
      <c r="O12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6))),"")</f>
        <v/>
      </c>
      <c r="P12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6))),"")</f>
        <v/>
      </c>
      <c r="Q12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6))),"")</f>
        <v/>
      </c>
      <c r="R12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6))),"")</f>
        <v/>
      </c>
      <c r="S12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6))),"")</f>
        <v/>
      </c>
      <c r="T12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6))),"")</f>
        <v/>
      </c>
      <c r="U12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6))),"")</f>
        <v/>
      </c>
      <c r="V12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6))),"")</f>
        <v/>
      </c>
      <c r="W12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6))),"")</f>
        <v/>
      </c>
      <c r="X12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6))),"")</f>
        <v/>
      </c>
      <c r="Y12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6))),"")</f>
        <v/>
      </c>
      <c r="Z12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6))),"")</f>
        <v/>
      </c>
      <c r="AA12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6))),"")</f>
        <v/>
      </c>
      <c r="AB12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6))),"")</f>
        <v/>
      </c>
      <c r="AC12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6))),"")</f>
        <v/>
      </c>
      <c r="AD12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6))),"")</f>
        <v/>
      </c>
      <c r="AE12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6))),"")</f>
        <v/>
      </c>
      <c r="AF12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6))),"")</f>
        <v/>
      </c>
      <c r="AG12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6))),"")</f>
        <v/>
      </c>
      <c r="AH12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6))),"")</f>
        <v/>
      </c>
      <c r="AI12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6))),"")</f>
        <v/>
      </c>
      <c r="AJ12" s="140">
        <f t="shared" si="0"/>
        <v>0</v>
      </c>
    </row>
    <row r="13" spans="1:36" ht="40.5" customHeight="1">
      <c r="A13" s="45">
        <v>7</v>
      </c>
      <c r="B13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7))),"")</f>
        <v/>
      </c>
      <c r="C13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О.]]))/(Таблица14[[месяц]:[месяц]]=$J$5)/(Таблица14[[год]:[год]]=$L$5)/(Таблица14[[изд]:[изд]]=$N$1)/(Таблица14[[партия]:[партия]]=$W$1),ROW(B7))),"")</f>
        <v/>
      </c>
      <c r="D13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7))),"")</f>
        <v/>
      </c>
      <c r="E13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7))),"")</f>
        <v/>
      </c>
      <c r="F13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7))),"")</f>
        <v/>
      </c>
      <c r="G13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7))),"")</f>
        <v/>
      </c>
      <c r="H13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7))),"")</f>
        <v/>
      </c>
      <c r="I13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7))),"")</f>
        <v/>
      </c>
      <c r="J13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7))),"")</f>
        <v/>
      </c>
      <c r="K13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7))),"")</f>
        <v/>
      </c>
      <c r="L13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7))),"")</f>
        <v/>
      </c>
      <c r="M13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7))),"")</f>
        <v/>
      </c>
      <c r="N13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7))),"")</f>
        <v/>
      </c>
      <c r="O13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7))),"")</f>
        <v/>
      </c>
      <c r="P13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7))),"")</f>
        <v/>
      </c>
      <c r="Q13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7))),"")</f>
        <v/>
      </c>
      <c r="R13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7))),"")</f>
        <v/>
      </c>
      <c r="S13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7))),"")</f>
        <v/>
      </c>
      <c r="T13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7))),"")</f>
        <v/>
      </c>
      <c r="U13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7))),"")</f>
        <v/>
      </c>
      <c r="V13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7))),"")</f>
        <v/>
      </c>
      <c r="W13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7))),"")</f>
        <v/>
      </c>
      <c r="X13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7))),"")</f>
        <v/>
      </c>
      <c r="Y13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7))),"")</f>
        <v/>
      </c>
      <c r="Z13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7))),"")</f>
        <v/>
      </c>
      <c r="AA13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7))),"")</f>
        <v/>
      </c>
      <c r="AB13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7))),"")</f>
        <v/>
      </c>
      <c r="AC13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7))),"")</f>
        <v/>
      </c>
      <c r="AD13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7))),"")</f>
        <v/>
      </c>
      <c r="AE13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7))),"")</f>
        <v/>
      </c>
      <c r="AF13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7))),"")</f>
        <v/>
      </c>
      <c r="AG13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7))),"")</f>
        <v/>
      </c>
      <c r="AH13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7))),"")</f>
        <v/>
      </c>
      <c r="AI13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7))),"")</f>
        <v/>
      </c>
      <c r="AJ13" s="140">
        <f t="shared" si="0"/>
        <v>0</v>
      </c>
    </row>
    <row r="14" spans="1:36" ht="40.5" customHeight="1">
      <c r="A14" s="45">
        <v>8</v>
      </c>
      <c r="B14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8))),"")</f>
        <v/>
      </c>
      <c r="C14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О.]]))/(Таблица14[[месяц]:[месяц]]=$J$5)/(Таблица14[[год]:[год]]=$L$5)/(Таблица14[[изд]:[изд]]=$N$1)/(Таблица14[[партия]:[партия]]=$W$1),ROW(B8))),"")</f>
        <v/>
      </c>
      <c r="D14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8))),"")</f>
        <v/>
      </c>
      <c r="E14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8))),"")</f>
        <v/>
      </c>
      <c r="F14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8))),"")</f>
        <v/>
      </c>
      <c r="G14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8))),"")</f>
        <v/>
      </c>
      <c r="H14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8))),"")</f>
        <v/>
      </c>
      <c r="I14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8))),"")</f>
        <v/>
      </c>
      <c r="J14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8))),"")</f>
        <v/>
      </c>
      <c r="K14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8))),"")</f>
        <v/>
      </c>
      <c r="L14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8))),"")</f>
        <v/>
      </c>
      <c r="M14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8))),"")</f>
        <v/>
      </c>
      <c r="N14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8))),"")</f>
        <v/>
      </c>
      <c r="O14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8))),"")</f>
        <v/>
      </c>
      <c r="P14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8))),"")</f>
        <v/>
      </c>
      <c r="Q14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8))),"")</f>
        <v/>
      </c>
      <c r="R14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8))),"")</f>
        <v/>
      </c>
      <c r="S14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8))),"")</f>
        <v/>
      </c>
      <c r="T14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8))),"")</f>
        <v/>
      </c>
      <c r="U14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8))),"")</f>
        <v/>
      </c>
      <c r="V14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8))),"")</f>
        <v/>
      </c>
      <c r="W14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8))),"")</f>
        <v/>
      </c>
      <c r="X14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8))),"")</f>
        <v/>
      </c>
      <c r="Y14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8))),"")</f>
        <v/>
      </c>
      <c r="Z14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8))),"")</f>
        <v/>
      </c>
      <c r="AA14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8))),"")</f>
        <v/>
      </c>
      <c r="AB14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8))),"")</f>
        <v/>
      </c>
      <c r="AC14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8))),"")</f>
        <v/>
      </c>
      <c r="AD14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8))),"")</f>
        <v/>
      </c>
      <c r="AE14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8))),"")</f>
        <v/>
      </c>
      <c r="AF14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8))),"")</f>
        <v/>
      </c>
      <c r="AG14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8))),"")</f>
        <v/>
      </c>
      <c r="AH14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8))),"")</f>
        <v/>
      </c>
      <c r="AI14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8))),"")</f>
        <v/>
      </c>
      <c r="AJ14" s="141">
        <f t="shared" si="0"/>
        <v>0</v>
      </c>
    </row>
    <row r="15" spans="1:36" ht="40.5" customHeight="1">
      <c r="A15" s="45">
        <v>9</v>
      </c>
      <c r="B15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9))),"")</f>
        <v/>
      </c>
      <c r="C15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О.]]))/(Таблица14[[месяц]:[месяц]]=$J$5)/(Таблица14[[год]:[год]]=$L$5)/(Таблица14[[изд]:[изд]]=$N$1)/(Таблица14[[партия]:[партия]]=$W$1),ROW(B9))),"")</f>
        <v/>
      </c>
      <c r="D15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9))),"")</f>
        <v/>
      </c>
      <c r="E15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9))),"")</f>
        <v/>
      </c>
      <c r="F15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9))),"")</f>
        <v/>
      </c>
      <c r="G15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9))),"")</f>
        <v/>
      </c>
      <c r="H15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9))),"")</f>
        <v/>
      </c>
      <c r="I15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9))),"")</f>
        <v/>
      </c>
      <c r="J15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9))),"")</f>
        <v/>
      </c>
      <c r="K15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9))),"")</f>
        <v/>
      </c>
      <c r="L15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9))),"")</f>
        <v/>
      </c>
      <c r="M15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9))),"")</f>
        <v/>
      </c>
      <c r="N15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9))),"")</f>
        <v/>
      </c>
      <c r="O15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9))),"")</f>
        <v/>
      </c>
      <c r="P15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9))),"")</f>
        <v/>
      </c>
      <c r="Q15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9))),"")</f>
        <v/>
      </c>
      <c r="R15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9))),"")</f>
        <v/>
      </c>
      <c r="S15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9))),"")</f>
        <v/>
      </c>
      <c r="T15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9))),"")</f>
        <v/>
      </c>
      <c r="U15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9))),"")</f>
        <v/>
      </c>
      <c r="V15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9))),"")</f>
        <v/>
      </c>
      <c r="W15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9))),"")</f>
        <v/>
      </c>
      <c r="X15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9))),"")</f>
        <v/>
      </c>
      <c r="Y15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9))),"")</f>
        <v/>
      </c>
      <c r="Z15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9))),"")</f>
        <v/>
      </c>
      <c r="AA15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9))),"")</f>
        <v/>
      </c>
      <c r="AB15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9))),"")</f>
        <v/>
      </c>
      <c r="AC15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9))),"")</f>
        <v/>
      </c>
      <c r="AD15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9))),"")</f>
        <v/>
      </c>
      <c r="AE15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9))),"")</f>
        <v/>
      </c>
      <c r="AF15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9))),"")</f>
        <v/>
      </c>
      <c r="AG15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9))),"")</f>
        <v/>
      </c>
      <c r="AH15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9))),"")</f>
        <v/>
      </c>
      <c r="AI15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9))),"")</f>
        <v/>
      </c>
      <c r="AJ15" s="142">
        <f t="shared" si="0"/>
        <v>0</v>
      </c>
    </row>
    <row r="16" spans="1:36" ht="40.5" customHeight="1">
      <c r="A16" s="45">
        <v>10</v>
      </c>
      <c r="B16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10))),"")</f>
        <v/>
      </c>
      <c r="C16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О.]]))/(Таблица14[[месяц]:[месяц]]=$J$5)/(Таблица14[[год]:[год]]=$L$5)/(Таблица14[[изд]:[изд]]=$N$1)/(Таблица14[[партия]:[партия]]=$W$1),ROW(B10))),"")</f>
        <v/>
      </c>
      <c r="D16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10))),"")</f>
        <v/>
      </c>
      <c r="E16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10))),"")</f>
        <v/>
      </c>
      <c r="F16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10))),"")</f>
        <v/>
      </c>
      <c r="G16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10))),"")</f>
        <v/>
      </c>
      <c r="H16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10))),"")</f>
        <v/>
      </c>
      <c r="I16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10))),"")</f>
        <v/>
      </c>
      <c r="J16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10))),"")</f>
        <v/>
      </c>
      <c r="K16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10))),"")</f>
        <v/>
      </c>
      <c r="L16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10))),"")</f>
        <v/>
      </c>
      <c r="M16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10))),"")</f>
        <v/>
      </c>
      <c r="N16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10))),"")</f>
        <v/>
      </c>
      <c r="O16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10))),"")</f>
        <v/>
      </c>
      <c r="P16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10))),"")</f>
        <v/>
      </c>
      <c r="Q16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10))),"")</f>
        <v/>
      </c>
      <c r="R16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10))),"")</f>
        <v/>
      </c>
      <c r="S16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10))),"")</f>
        <v/>
      </c>
      <c r="T16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10))),"")</f>
        <v/>
      </c>
      <c r="U16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10))),"")</f>
        <v/>
      </c>
      <c r="V16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10))),"")</f>
        <v/>
      </c>
      <c r="W16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10))),"")</f>
        <v/>
      </c>
      <c r="X16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10))),"")</f>
        <v/>
      </c>
      <c r="Y16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10))),"")</f>
        <v/>
      </c>
      <c r="Z16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10))),"")</f>
        <v/>
      </c>
      <c r="AA16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10))),"")</f>
        <v/>
      </c>
      <c r="AB16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10))),"")</f>
        <v/>
      </c>
      <c r="AC16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10))),"")</f>
        <v/>
      </c>
      <c r="AD16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10))),"")</f>
        <v/>
      </c>
      <c r="AE16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10))),"")</f>
        <v/>
      </c>
      <c r="AF16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10))),"")</f>
        <v/>
      </c>
      <c r="AG16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10))),"")</f>
        <v/>
      </c>
      <c r="AH16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10))),"")</f>
        <v/>
      </c>
      <c r="AI16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10))),"")</f>
        <v/>
      </c>
      <c r="AJ16" s="142">
        <f t="shared" si="0"/>
        <v>0</v>
      </c>
    </row>
    <row r="17" spans="1:43" ht="40.5" customHeight="1">
      <c r="A17" s="45">
        <v>11</v>
      </c>
      <c r="B17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11))),"")</f>
        <v/>
      </c>
      <c r="C17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О.]]))/(Таблица14[[месяц]:[месяц]]=$J$5)/(Таблица14[[год]:[год]]=$L$5)/(Таблица14[[изд]:[изд]]=$N$1)/(Таблица14[[партия]:[партия]]=$W$1),ROW(B11))),"")</f>
        <v/>
      </c>
      <c r="D17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11))),"")</f>
        <v/>
      </c>
      <c r="E17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11))),"")</f>
        <v/>
      </c>
      <c r="F17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11))),"")</f>
        <v/>
      </c>
      <c r="G17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11))),"")</f>
        <v/>
      </c>
      <c r="H17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11))),"")</f>
        <v/>
      </c>
      <c r="I17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11))),"")</f>
        <v/>
      </c>
      <c r="J17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11))),"")</f>
        <v/>
      </c>
      <c r="K17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11))),"")</f>
        <v/>
      </c>
      <c r="L17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11))),"")</f>
        <v/>
      </c>
      <c r="M17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11))),"")</f>
        <v/>
      </c>
      <c r="N17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11))),"")</f>
        <v/>
      </c>
      <c r="O17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11))),"")</f>
        <v/>
      </c>
      <c r="P17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11))),"")</f>
        <v/>
      </c>
      <c r="Q17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11))),"")</f>
        <v/>
      </c>
      <c r="R17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11))),"")</f>
        <v/>
      </c>
      <c r="S17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11))),"")</f>
        <v/>
      </c>
      <c r="T17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11))),"")</f>
        <v/>
      </c>
      <c r="U17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11))),"")</f>
        <v/>
      </c>
      <c r="V17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11))),"")</f>
        <v/>
      </c>
      <c r="W17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11))),"")</f>
        <v/>
      </c>
      <c r="X17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11))),"")</f>
        <v/>
      </c>
      <c r="Y17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11))),"")</f>
        <v/>
      </c>
      <c r="Z17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11))),"")</f>
        <v/>
      </c>
      <c r="AA17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11))),"")</f>
        <v/>
      </c>
      <c r="AB17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11))),"")</f>
        <v/>
      </c>
      <c r="AC17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11))),"")</f>
        <v/>
      </c>
      <c r="AD17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11))),"")</f>
        <v/>
      </c>
      <c r="AE17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11))),"")</f>
        <v/>
      </c>
      <c r="AF17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11))),"")</f>
        <v/>
      </c>
      <c r="AG17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11))),"")</f>
        <v/>
      </c>
      <c r="AH17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11))),"")</f>
        <v/>
      </c>
      <c r="AI17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11))),"")</f>
        <v/>
      </c>
      <c r="AJ17" s="140">
        <f t="shared" si="0"/>
        <v>0</v>
      </c>
    </row>
    <row r="18" spans="1:43" ht="40.5" customHeight="1">
      <c r="A18" s="45">
        <v>12</v>
      </c>
      <c r="B18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12))),"")</f>
        <v/>
      </c>
      <c r="C18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О.]]))/(Таблица14[[месяц]:[месяц]]=$J$5)/(Таблица14[[год]:[год]]=$L$5)/(Таблица14[[изд]:[изд]]=$N$1)/(Таблица14[[партия]:[партия]]=$W$1),ROW(B12))),"")</f>
        <v/>
      </c>
      <c r="D18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12))),"")</f>
        <v/>
      </c>
      <c r="E18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12))),"")</f>
        <v/>
      </c>
      <c r="F18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12))),"")</f>
        <v/>
      </c>
      <c r="G18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12))),"")</f>
        <v/>
      </c>
      <c r="H18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12))),"")</f>
        <v/>
      </c>
      <c r="I18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12))),"")</f>
        <v/>
      </c>
      <c r="J18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12))),"")</f>
        <v/>
      </c>
      <c r="K18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12))),"")</f>
        <v/>
      </c>
      <c r="L18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12))),"")</f>
        <v/>
      </c>
      <c r="M18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12))),"")</f>
        <v/>
      </c>
      <c r="N18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12))),"")</f>
        <v/>
      </c>
      <c r="O18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12))),"")</f>
        <v/>
      </c>
      <c r="P18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12))),"")</f>
        <v/>
      </c>
      <c r="Q18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12))),"")</f>
        <v/>
      </c>
      <c r="R18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12))),"")</f>
        <v/>
      </c>
      <c r="S18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12))),"")</f>
        <v/>
      </c>
      <c r="T18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12))),"")</f>
        <v/>
      </c>
      <c r="U18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12))),"")</f>
        <v/>
      </c>
      <c r="V18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12))),"")</f>
        <v/>
      </c>
      <c r="W18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12))),"")</f>
        <v/>
      </c>
      <c r="X18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12))),"")</f>
        <v/>
      </c>
      <c r="Y18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12))),"")</f>
        <v/>
      </c>
      <c r="Z18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12))),"")</f>
        <v/>
      </c>
      <c r="AA18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12))),"")</f>
        <v/>
      </c>
      <c r="AB18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12))),"")</f>
        <v/>
      </c>
      <c r="AC18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12))),"")</f>
        <v/>
      </c>
      <c r="AD18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12))),"")</f>
        <v/>
      </c>
      <c r="AE18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12))),"")</f>
        <v/>
      </c>
      <c r="AF18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12))),"")</f>
        <v/>
      </c>
      <c r="AG18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12))),"")</f>
        <v/>
      </c>
      <c r="AH18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12))),"")</f>
        <v/>
      </c>
      <c r="AI18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12))),"")</f>
        <v/>
      </c>
      <c r="AJ18" s="141">
        <f t="shared" si="0"/>
        <v>0</v>
      </c>
    </row>
    <row r="19" spans="1:43" ht="40.5" customHeight="1">
      <c r="A19" s="45">
        <v>13</v>
      </c>
      <c r="B19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13))),"")</f>
        <v/>
      </c>
      <c r="C19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О.]]))/(Таблица14[[месяц]:[месяц]]=$J$5)/(Таблица14[[год]:[год]]=$L$5)/(Таблица14[[изд]:[изд]]=$N$1)/(Таблица14[[партия]:[партия]]=$W$1),ROW(B13))),"")</f>
        <v/>
      </c>
      <c r="D19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13))),"")</f>
        <v/>
      </c>
      <c r="E19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13))),"")</f>
        <v/>
      </c>
      <c r="F19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13))),"")</f>
        <v/>
      </c>
      <c r="G19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13))),"")</f>
        <v/>
      </c>
      <c r="H19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13))),"")</f>
        <v/>
      </c>
      <c r="I19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13))),"")</f>
        <v/>
      </c>
      <c r="J19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13))),"")</f>
        <v/>
      </c>
      <c r="K19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13))),"")</f>
        <v/>
      </c>
      <c r="L19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13))),"")</f>
        <v/>
      </c>
      <c r="M19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13))),"")</f>
        <v/>
      </c>
      <c r="N19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13))),"")</f>
        <v/>
      </c>
      <c r="O19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13))),"")</f>
        <v/>
      </c>
      <c r="P19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13))),"")</f>
        <v/>
      </c>
      <c r="Q19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13))),"")</f>
        <v/>
      </c>
      <c r="R19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13))),"")</f>
        <v/>
      </c>
      <c r="S19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13))),"")</f>
        <v/>
      </c>
      <c r="T19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13))),"")</f>
        <v/>
      </c>
      <c r="U19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13))),"")</f>
        <v/>
      </c>
      <c r="V19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13))),"")</f>
        <v/>
      </c>
      <c r="W19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13))),"")</f>
        <v/>
      </c>
      <c r="X19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13))),"")</f>
        <v/>
      </c>
      <c r="Y19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13))),"")</f>
        <v/>
      </c>
      <c r="Z19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13))),"")</f>
        <v/>
      </c>
      <c r="AA19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13))),"")</f>
        <v/>
      </c>
      <c r="AB19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13))),"")</f>
        <v/>
      </c>
      <c r="AC19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13))),"")</f>
        <v/>
      </c>
      <c r="AD19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13))),"")</f>
        <v/>
      </c>
      <c r="AE19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13))),"")</f>
        <v/>
      </c>
      <c r="AF19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13))),"")</f>
        <v/>
      </c>
      <c r="AG19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13))),"")</f>
        <v/>
      </c>
      <c r="AH19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13))),"")</f>
        <v/>
      </c>
      <c r="AI19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13))),"")</f>
        <v/>
      </c>
      <c r="AJ19" s="140">
        <f t="shared" si="0"/>
        <v>0</v>
      </c>
    </row>
    <row r="20" spans="1:43" ht="40.5" customHeight="1">
      <c r="A20" s="45">
        <v>14</v>
      </c>
      <c r="B20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14))),"")</f>
        <v/>
      </c>
      <c r="C20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О.]]))/(Таблица14[[месяц]:[месяц]]=$J$5)/(Таблица14[[год]:[год]]=$L$5)/(Таблица14[[изд]:[изд]]=$N$1)/(Таблица14[[партия]:[партия]]=$W$1),ROW(B14))),"")</f>
        <v/>
      </c>
      <c r="D20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14))),"")</f>
        <v/>
      </c>
      <c r="E20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14))),"")</f>
        <v/>
      </c>
      <c r="F20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14))),"")</f>
        <v/>
      </c>
      <c r="G20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14))),"")</f>
        <v/>
      </c>
      <c r="H20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14))),"")</f>
        <v/>
      </c>
      <c r="I20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14))),"")</f>
        <v/>
      </c>
      <c r="J20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14))),"")</f>
        <v/>
      </c>
      <c r="K20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14))),"")</f>
        <v/>
      </c>
      <c r="L20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14))),"")</f>
        <v/>
      </c>
      <c r="M20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14))),"")</f>
        <v/>
      </c>
      <c r="N20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14))),"")</f>
        <v/>
      </c>
      <c r="O20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14))),"")</f>
        <v/>
      </c>
      <c r="P20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14))),"")</f>
        <v/>
      </c>
      <c r="Q20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14))),"")</f>
        <v/>
      </c>
      <c r="R20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14))),"")</f>
        <v/>
      </c>
      <c r="S20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14))),"")</f>
        <v/>
      </c>
      <c r="T20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14))),"")</f>
        <v/>
      </c>
      <c r="U20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14))),"")</f>
        <v/>
      </c>
      <c r="V20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14))),"")</f>
        <v/>
      </c>
      <c r="W20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14))),"")</f>
        <v/>
      </c>
      <c r="X20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14))),"")</f>
        <v/>
      </c>
      <c r="Y20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14))),"")</f>
        <v/>
      </c>
      <c r="Z20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14))),"")</f>
        <v/>
      </c>
      <c r="AA20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14))),"")</f>
        <v/>
      </c>
      <c r="AB20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14))),"")</f>
        <v/>
      </c>
      <c r="AC20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14))),"")</f>
        <v/>
      </c>
      <c r="AD20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14))),"")</f>
        <v/>
      </c>
      <c r="AE20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14))),"")</f>
        <v/>
      </c>
      <c r="AF20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14))),"")</f>
        <v/>
      </c>
      <c r="AG20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14))),"")</f>
        <v/>
      </c>
      <c r="AH20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14))),"")</f>
        <v/>
      </c>
      <c r="AI20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14))),"")</f>
        <v/>
      </c>
      <c r="AJ20" s="141">
        <f t="shared" si="0"/>
        <v>0</v>
      </c>
    </row>
    <row r="21" spans="1:43" ht="40.5" customHeight="1">
      <c r="A21" s="45">
        <v>15</v>
      </c>
      <c r="B21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15))),"")</f>
        <v/>
      </c>
      <c r="C21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О.]]))/(Таблица14[[месяц]:[месяц]]=$J$5)/(Таблица14[[год]:[год]]=$L$5)/(Таблица14[[изд]:[изд]]=$N$1)/(Таблица14[[партия]:[партия]]=$W$1),ROW(B15))),"")</f>
        <v/>
      </c>
      <c r="D21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15))),"")</f>
        <v/>
      </c>
      <c r="E21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15))),"")</f>
        <v/>
      </c>
      <c r="F21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15))),"")</f>
        <v/>
      </c>
      <c r="G21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15))),"")</f>
        <v/>
      </c>
      <c r="H21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15))),"")</f>
        <v/>
      </c>
      <c r="I21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15))),"")</f>
        <v/>
      </c>
      <c r="J21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15))),"")</f>
        <v/>
      </c>
      <c r="K21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15))),"")</f>
        <v/>
      </c>
      <c r="L21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15))),"")</f>
        <v/>
      </c>
      <c r="M21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15))),"")</f>
        <v/>
      </c>
      <c r="N21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15))),"")</f>
        <v/>
      </c>
      <c r="O21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15))),"")</f>
        <v/>
      </c>
      <c r="P21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15))),"")</f>
        <v/>
      </c>
      <c r="Q21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15))),"")</f>
        <v/>
      </c>
      <c r="R21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15))),"")</f>
        <v/>
      </c>
      <c r="S21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15))),"")</f>
        <v/>
      </c>
      <c r="T21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15))),"")</f>
        <v/>
      </c>
      <c r="U21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15))),"")</f>
        <v/>
      </c>
      <c r="V21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15))),"")</f>
        <v/>
      </c>
      <c r="W21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15))),"")</f>
        <v/>
      </c>
      <c r="X21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15))),"")</f>
        <v/>
      </c>
      <c r="Y21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15))),"")</f>
        <v/>
      </c>
      <c r="Z21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15))),"")</f>
        <v/>
      </c>
      <c r="AA21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15))),"")</f>
        <v/>
      </c>
      <c r="AB21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15))),"")</f>
        <v/>
      </c>
      <c r="AC21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15))),"")</f>
        <v/>
      </c>
      <c r="AD21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15))),"")</f>
        <v/>
      </c>
      <c r="AE21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15))),"")</f>
        <v/>
      </c>
      <c r="AF21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15))),"")</f>
        <v/>
      </c>
      <c r="AG21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15))),"")</f>
        <v/>
      </c>
      <c r="AH21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15))),"")</f>
        <v/>
      </c>
      <c r="AI21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15))),"")</f>
        <v/>
      </c>
      <c r="AJ21" s="140">
        <f t="shared" si="0"/>
        <v>0</v>
      </c>
    </row>
    <row r="22" spans="1:43" ht="40.5" customHeight="1">
      <c r="A22" s="45">
        <v>16</v>
      </c>
      <c r="B22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16))),"")</f>
        <v/>
      </c>
      <c r="C22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О.]]))/(Таблица14[[месяц]:[месяц]]=$J$5)/(Таблица14[[год]:[год]]=$L$5)/(Таблица14[[изд]:[изд]]=$N$1)/(Таблица14[[партия]:[партия]]=$W$1),ROW(B16))),"")</f>
        <v/>
      </c>
      <c r="D22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16))),"")</f>
        <v/>
      </c>
      <c r="E22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16))),"")</f>
        <v/>
      </c>
      <c r="F22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16))),"")</f>
        <v/>
      </c>
      <c r="G22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16))),"")</f>
        <v/>
      </c>
      <c r="H22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16))),"")</f>
        <v/>
      </c>
      <c r="I22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16))),"")</f>
        <v/>
      </c>
      <c r="J22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16))),"")</f>
        <v/>
      </c>
      <c r="K22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16))),"")</f>
        <v/>
      </c>
      <c r="L22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16))),"")</f>
        <v/>
      </c>
      <c r="M22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16))),"")</f>
        <v/>
      </c>
      <c r="N22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16))),"")</f>
        <v/>
      </c>
      <c r="O22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16))),"")</f>
        <v/>
      </c>
      <c r="P22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16))),"")</f>
        <v/>
      </c>
      <c r="Q22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16))),"")</f>
        <v/>
      </c>
      <c r="R22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16))),"")</f>
        <v/>
      </c>
      <c r="S22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16))),"")</f>
        <v/>
      </c>
      <c r="T22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16))),"")</f>
        <v/>
      </c>
      <c r="U22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16))),"")</f>
        <v/>
      </c>
      <c r="V22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16))),"")</f>
        <v/>
      </c>
      <c r="W22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16))),"")</f>
        <v/>
      </c>
      <c r="X22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16))),"")</f>
        <v/>
      </c>
      <c r="Y22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16))),"")</f>
        <v/>
      </c>
      <c r="Z22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16))),"")</f>
        <v/>
      </c>
      <c r="AA22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16))),"")</f>
        <v/>
      </c>
      <c r="AB22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16))),"")</f>
        <v/>
      </c>
      <c r="AC22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16))),"")</f>
        <v/>
      </c>
      <c r="AD22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16))),"")</f>
        <v/>
      </c>
      <c r="AE22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16))),"")</f>
        <v/>
      </c>
      <c r="AF22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16))),"")</f>
        <v/>
      </c>
      <c r="AG22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16))),"")</f>
        <v/>
      </c>
      <c r="AH22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16))),"")</f>
        <v/>
      </c>
      <c r="AI22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16))),"")</f>
        <v/>
      </c>
      <c r="AJ22" s="140">
        <f t="shared" si="0"/>
        <v>0</v>
      </c>
    </row>
    <row r="23" spans="1:43" ht="40.5" customHeight="1">
      <c r="A23" s="45">
        <v>17</v>
      </c>
      <c r="B23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17))),"")</f>
        <v/>
      </c>
      <c r="C23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О.]]))/(Таблица14[[месяц]:[месяц]]=$J$5)/(Таблица14[[год]:[год]]=$L$5)/(Таблица14[[изд]:[изд]]=$N$1)/(Таблица14[[партия]:[партия]]=$W$1),ROW(B17))),"")</f>
        <v/>
      </c>
      <c r="D23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17))),"")</f>
        <v/>
      </c>
      <c r="E23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17))),"")</f>
        <v/>
      </c>
      <c r="F23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17))),"")</f>
        <v/>
      </c>
      <c r="G23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17))),"")</f>
        <v/>
      </c>
      <c r="H23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17))),"")</f>
        <v/>
      </c>
      <c r="I23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17))),"")</f>
        <v/>
      </c>
      <c r="J23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17))),"")</f>
        <v/>
      </c>
      <c r="K23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17))),"")</f>
        <v/>
      </c>
      <c r="L23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17))),"")</f>
        <v/>
      </c>
      <c r="M23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17))),"")</f>
        <v/>
      </c>
      <c r="N23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17))),"")</f>
        <v/>
      </c>
      <c r="O23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17))),"")</f>
        <v/>
      </c>
      <c r="P23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17))),"")</f>
        <v/>
      </c>
      <c r="Q23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17))),"")</f>
        <v/>
      </c>
      <c r="R23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17))),"")</f>
        <v/>
      </c>
      <c r="S23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17))),"")</f>
        <v/>
      </c>
      <c r="T23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17))),"")</f>
        <v/>
      </c>
      <c r="U23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17))),"")</f>
        <v/>
      </c>
      <c r="V23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17))),"")</f>
        <v/>
      </c>
      <c r="W23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17))),"")</f>
        <v/>
      </c>
      <c r="X23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17))),"")</f>
        <v/>
      </c>
      <c r="Y23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17))),"")</f>
        <v/>
      </c>
      <c r="Z23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17))),"")</f>
        <v/>
      </c>
      <c r="AA23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17))),"")</f>
        <v/>
      </c>
      <c r="AB23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17))),"")</f>
        <v/>
      </c>
      <c r="AC23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17))),"")</f>
        <v/>
      </c>
      <c r="AD23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17))),"")</f>
        <v/>
      </c>
      <c r="AE23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17))),"")</f>
        <v/>
      </c>
      <c r="AF23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17))),"")</f>
        <v/>
      </c>
      <c r="AG23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17))),"")</f>
        <v/>
      </c>
      <c r="AH23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17))),"")</f>
        <v/>
      </c>
      <c r="AI23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17))),"")</f>
        <v/>
      </c>
      <c r="AJ23" s="140">
        <f t="shared" si="0"/>
        <v>0</v>
      </c>
    </row>
    <row r="24" spans="1:43" ht="40.5" customHeight="1">
      <c r="A24" s="45">
        <v>18</v>
      </c>
      <c r="B24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18))),"")</f>
        <v/>
      </c>
      <c r="C24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О.]]))/(Таблица14[[месяц]:[месяц]]=$J$5)/(Таблица14[[год]:[год]]=$L$5)/(Таблица14[[изд]:[изд]]=$N$1)/(Таблица14[[партия]:[партия]]=$W$1),ROW(B18))),"")</f>
        <v/>
      </c>
      <c r="D24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18))),"")</f>
        <v/>
      </c>
      <c r="E24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18))),"")</f>
        <v/>
      </c>
      <c r="F24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18))),"")</f>
        <v/>
      </c>
      <c r="G24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18))),"")</f>
        <v/>
      </c>
      <c r="H24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18))),"")</f>
        <v/>
      </c>
      <c r="I24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18))),"")</f>
        <v/>
      </c>
      <c r="J24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18))),"")</f>
        <v/>
      </c>
      <c r="K24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18))),"")</f>
        <v/>
      </c>
      <c r="L24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18))),"")</f>
        <v/>
      </c>
      <c r="M24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18))),"")</f>
        <v/>
      </c>
      <c r="N24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18))),"")</f>
        <v/>
      </c>
      <c r="O24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18))),"")</f>
        <v/>
      </c>
      <c r="P24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18))),"")</f>
        <v/>
      </c>
      <c r="Q24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18))),"")</f>
        <v/>
      </c>
      <c r="R24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18))),"")</f>
        <v/>
      </c>
      <c r="S24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18))),"")</f>
        <v/>
      </c>
      <c r="T24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18))),"")</f>
        <v/>
      </c>
      <c r="U24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18))),"")</f>
        <v/>
      </c>
      <c r="V24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18))),"")</f>
        <v/>
      </c>
      <c r="W24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18))),"")</f>
        <v/>
      </c>
      <c r="X24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18))),"")</f>
        <v/>
      </c>
      <c r="Y24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18))),"")</f>
        <v/>
      </c>
      <c r="Z24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18))),"")</f>
        <v/>
      </c>
      <c r="AA24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18))),"")</f>
        <v/>
      </c>
      <c r="AB24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18))),"")</f>
        <v/>
      </c>
      <c r="AC24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18))),"")</f>
        <v/>
      </c>
      <c r="AD24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18))),"")</f>
        <v/>
      </c>
      <c r="AE24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18))),"")</f>
        <v/>
      </c>
      <c r="AF24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18))),"")</f>
        <v/>
      </c>
      <c r="AG24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18))),"")</f>
        <v/>
      </c>
      <c r="AH24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18))),"")</f>
        <v/>
      </c>
      <c r="AI24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18))),"")</f>
        <v/>
      </c>
      <c r="AJ24" s="140">
        <f t="shared" si="0"/>
        <v>0</v>
      </c>
    </row>
    <row r="25" spans="1:43" ht="40.5" customHeight="1">
      <c r="A25" s="45">
        <v>19</v>
      </c>
      <c r="B25" s="131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19))),"")</f>
        <v/>
      </c>
      <c r="C25" s="132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О.]]))/(Таблица14[[месяц]:[месяц]]=$J$5)/(Таблица14[[год]:[год]]=$L$5)/(Таблица14[[изд]:[изд]]=$N$1)/(Таблица14[[партия]:[партия]]=$W$1),ROW(B19))),"")</f>
        <v/>
      </c>
      <c r="D25" s="131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19))),"")</f>
        <v/>
      </c>
      <c r="E25" s="147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19))),"")</f>
        <v/>
      </c>
      <c r="F25" s="147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19))),"")</f>
        <v/>
      </c>
      <c r="G25" s="147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19))),"")</f>
        <v/>
      </c>
      <c r="H25" s="147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19))),"")</f>
        <v/>
      </c>
      <c r="I25" s="147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19))),"")</f>
        <v/>
      </c>
      <c r="J25" s="147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19))),"")</f>
        <v/>
      </c>
      <c r="K25" s="147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19))),"")</f>
        <v/>
      </c>
      <c r="L25" s="147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19))),"")</f>
        <v/>
      </c>
      <c r="M25" s="147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19))),"")</f>
        <v/>
      </c>
      <c r="N25" s="147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19))),"")</f>
        <v/>
      </c>
      <c r="O25" s="147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19))),"")</f>
        <v/>
      </c>
      <c r="P25" s="147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19))),"")</f>
        <v/>
      </c>
      <c r="Q25" s="147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19))),"")</f>
        <v/>
      </c>
      <c r="R25" s="147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19))),"")</f>
        <v/>
      </c>
      <c r="S25" s="147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19))),"")</f>
        <v/>
      </c>
      <c r="T25" s="147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19))),"")</f>
        <v/>
      </c>
      <c r="U25" s="147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19))),"")</f>
        <v/>
      </c>
      <c r="V25" s="147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19))),"")</f>
        <v/>
      </c>
      <c r="W25" s="147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19))),"")</f>
        <v/>
      </c>
      <c r="X25" s="147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19))),"")</f>
        <v/>
      </c>
      <c r="Y25" s="147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19))),"")</f>
        <v/>
      </c>
      <c r="Z25" s="147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19))),"")</f>
        <v/>
      </c>
      <c r="AA25" s="147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19))),"")</f>
        <v/>
      </c>
      <c r="AB25" s="147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19))),"")</f>
        <v/>
      </c>
      <c r="AC25" s="147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19))),"")</f>
        <v/>
      </c>
      <c r="AD25" s="147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19))),"")</f>
        <v/>
      </c>
      <c r="AE25" s="147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19))),"")</f>
        <v/>
      </c>
      <c r="AF25" s="147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19))),"")</f>
        <v/>
      </c>
      <c r="AG25" s="147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19))),"")</f>
        <v/>
      </c>
      <c r="AH25" s="147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19))),"")</f>
        <v/>
      </c>
      <c r="AI25" s="147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19))),"")</f>
        <v/>
      </c>
      <c r="AJ25" s="140">
        <f t="shared" si="0"/>
        <v>0</v>
      </c>
    </row>
    <row r="26" spans="1:43" ht="21" customHeight="1">
      <c r="B26" s="36"/>
      <c r="C26" s="33" t="s">
        <v>63</v>
      </c>
      <c r="D26" s="36"/>
      <c r="E26" s="34">
        <f>SUM(E7:E24)</f>
        <v>0</v>
      </c>
      <c r="F26" s="34">
        <f>SUM(F7:F24)</f>
        <v>0</v>
      </c>
      <c r="G26" s="34">
        <f t="shared" ref="G26:AI26" si="1">SUM(G7:G24)</f>
        <v>0</v>
      </c>
      <c r="H26" s="34">
        <f t="shared" si="1"/>
        <v>0</v>
      </c>
      <c r="I26" s="34">
        <f t="shared" si="1"/>
        <v>0</v>
      </c>
      <c r="J26" s="34">
        <f t="shared" si="1"/>
        <v>0</v>
      </c>
      <c r="K26" s="34">
        <f t="shared" si="1"/>
        <v>0</v>
      </c>
      <c r="L26" s="34">
        <f t="shared" si="1"/>
        <v>0</v>
      </c>
      <c r="M26" s="34">
        <f t="shared" si="1"/>
        <v>0</v>
      </c>
      <c r="N26" s="34">
        <f t="shared" si="1"/>
        <v>0</v>
      </c>
      <c r="O26" s="34">
        <f t="shared" si="1"/>
        <v>0</v>
      </c>
      <c r="P26" s="34">
        <f t="shared" si="1"/>
        <v>0</v>
      </c>
      <c r="Q26" s="34">
        <f t="shared" si="1"/>
        <v>0</v>
      </c>
      <c r="R26" s="34">
        <f t="shared" si="1"/>
        <v>0</v>
      </c>
      <c r="S26" s="34">
        <f t="shared" si="1"/>
        <v>0</v>
      </c>
      <c r="T26" s="34">
        <f t="shared" si="1"/>
        <v>0</v>
      </c>
      <c r="U26" s="34">
        <f t="shared" si="1"/>
        <v>0</v>
      </c>
      <c r="V26" s="34">
        <f t="shared" si="1"/>
        <v>0</v>
      </c>
      <c r="W26" s="34">
        <f t="shared" si="1"/>
        <v>0</v>
      </c>
      <c r="X26" s="34">
        <f t="shared" si="1"/>
        <v>0</v>
      </c>
      <c r="Y26" s="34">
        <f t="shared" si="1"/>
        <v>0</v>
      </c>
      <c r="Z26" s="34">
        <f t="shared" si="1"/>
        <v>0</v>
      </c>
      <c r="AA26" s="34">
        <f t="shared" si="1"/>
        <v>0</v>
      </c>
      <c r="AB26" s="34">
        <f t="shared" si="1"/>
        <v>0</v>
      </c>
      <c r="AC26" s="34">
        <f t="shared" si="1"/>
        <v>0</v>
      </c>
      <c r="AD26" s="34">
        <f t="shared" si="1"/>
        <v>0</v>
      </c>
      <c r="AE26" s="34">
        <f t="shared" si="1"/>
        <v>0</v>
      </c>
      <c r="AF26" s="34">
        <f t="shared" si="1"/>
        <v>0</v>
      </c>
      <c r="AG26" s="34">
        <f t="shared" si="1"/>
        <v>0</v>
      </c>
      <c r="AH26" s="34">
        <f t="shared" si="1"/>
        <v>0</v>
      </c>
      <c r="AI26" s="34">
        <f t="shared" si="1"/>
        <v>0</v>
      </c>
      <c r="AJ26" s="146">
        <f>SUM(E26:AI26)</f>
        <v>0</v>
      </c>
      <c r="AL26" s="903" t="s">
        <v>94</v>
      </c>
      <c r="AM26" s="903"/>
      <c r="AN26" s="903"/>
      <c r="AO26" s="903"/>
      <c r="AP26" s="903"/>
      <c r="AQ26" s="903"/>
    </row>
    <row r="27" spans="1:43" ht="9" customHeight="1">
      <c r="AJ27" s="35"/>
      <c r="AM27" s="902">
        <f>SUMIFS(Таблица14[Столбец2],Таблица14[партия],W1,Таблица14[изд],N1)</f>
        <v>0</v>
      </c>
      <c r="AN27" s="902"/>
      <c r="AO27" s="902"/>
      <c r="AP27" s="902"/>
    </row>
    <row r="28" spans="1:43" s="62" customFormat="1" ht="21" customHeight="1">
      <c r="C28" s="259" t="s">
        <v>64</v>
      </c>
      <c r="D28" s="260"/>
      <c r="E28" s="260"/>
      <c r="F28" s="260"/>
      <c r="G28" s="261" t="str">
        <f>Data_Tech!$AU$7</f>
        <v>Кувшинов А.Г.</v>
      </c>
      <c r="H28" s="261"/>
      <c r="R28" s="261" t="s">
        <v>246</v>
      </c>
      <c r="S28" s="261"/>
      <c r="T28" s="261"/>
      <c r="U28" s="261"/>
      <c r="V28" s="260"/>
      <c r="W28" s="260"/>
      <c r="X28" s="260"/>
      <c r="Y28" s="260"/>
      <c r="Z28" s="260"/>
      <c r="AA28" s="261" t="s">
        <v>108</v>
      </c>
      <c r="AB28" s="261"/>
      <c r="AM28" s="902"/>
      <c r="AN28" s="902"/>
      <c r="AO28" s="902"/>
      <c r="AP28" s="902"/>
    </row>
    <row r="29" spans="1:43">
      <c r="AA29" s="235"/>
      <c r="AM29" s="902"/>
      <c r="AN29" s="902"/>
      <c r="AO29" s="902"/>
      <c r="AP29" s="902"/>
    </row>
    <row r="30" spans="1:43" ht="20.25" customHeight="1">
      <c r="B30" s="62"/>
      <c r="C30" s="63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M30" s="902"/>
      <c r="AN30" s="902"/>
      <c r="AO30" s="902"/>
      <c r="AP30" s="902"/>
    </row>
    <row r="31" spans="1:43" ht="18.75">
      <c r="AJ31" s="64"/>
    </row>
    <row r="32" spans="1:43" ht="18">
      <c r="C32" s="52"/>
      <c r="D32" s="53"/>
    </row>
    <row r="33" spans="3:42" ht="23.25">
      <c r="C33" s="52"/>
      <c r="D33" s="53"/>
      <c r="AM33" s="62"/>
      <c r="AN33" s="62"/>
      <c r="AO33" s="62"/>
      <c r="AP33" s="62"/>
    </row>
  </sheetData>
  <mergeCells count="12">
    <mergeCell ref="AL26:AQ26"/>
    <mergeCell ref="AM27:AP30"/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Q5:W5"/>
  </mergeCells>
  <pageMargins left="0.23622047244094491" right="3.937007874015748E-2" top="0.35433070866141736" bottom="0.35433070866141736" header="0.11811023622047245" footer="0.11811023622047245"/>
  <pageSetup paperSize="9" scale="55" fitToHeight="0" orientation="landscape" r:id="rId1"/>
  <colBreaks count="1" manualBreakCount="1">
    <brk id="3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AO41"/>
  <sheetViews>
    <sheetView view="pageBreakPreview" zoomScale="60" zoomScaleNormal="40" workbookViewId="0">
      <selection activeCell="I34" sqref="I34"/>
    </sheetView>
  </sheetViews>
  <sheetFormatPr defaultRowHeight="15"/>
  <cols>
    <col min="1" max="1" customWidth="true" width="5.28515625"/>
    <col min="2" max="2" customWidth="true" width="7.5703125"/>
    <col min="3" max="3" customWidth="true" style="37" width="31.28515625"/>
    <col min="5" max="35" customWidth="true" width="6.0"/>
    <col min="38" max="38" customWidth="true" width="22.0"/>
  </cols>
  <sheetData>
    <row r="1" spans="1:36" s="32" customFormat="1" ht="29.25" customHeight="1">
      <c r="A1" s="152"/>
      <c r="B1" s="914" t="s">
        <v>75</v>
      </c>
      <c r="C1" s="914"/>
      <c r="D1" s="914"/>
      <c r="E1" s="914"/>
      <c r="F1" s="914"/>
      <c r="G1" s="914"/>
      <c r="H1" s="914"/>
      <c r="I1" s="914"/>
      <c r="J1" s="153" t="s">
        <v>68</v>
      </c>
      <c r="K1" s="249"/>
      <c r="L1" s="153"/>
      <c r="M1" s="153"/>
      <c r="N1" s="920">
        <v>757</v>
      </c>
      <c r="O1" s="920"/>
      <c r="P1" s="920"/>
      <c r="Q1" s="920"/>
      <c r="R1" s="920"/>
      <c r="S1" s="920"/>
      <c r="T1" s="920"/>
      <c r="U1" s="918" t="s">
        <v>10</v>
      </c>
      <c r="V1" s="918"/>
      <c r="W1" s="919" t="s">
        <v>65</v>
      </c>
      <c r="X1" s="919"/>
      <c r="Y1" s="919"/>
      <c r="Z1" s="154"/>
      <c r="AA1" s="155"/>
      <c r="AB1" s="156"/>
      <c r="AC1" s="156"/>
      <c r="AD1" s="156"/>
      <c r="AE1" s="152"/>
      <c r="AF1" s="152"/>
      <c r="AG1" s="152"/>
      <c r="AH1" s="154"/>
      <c r="AI1" s="154"/>
      <c r="AJ1" s="155"/>
    </row>
    <row r="2" spans="1:36" s="32" customFormat="1" ht="24" customHeight="1">
      <c r="A2" s="152"/>
      <c r="B2" s="914"/>
      <c r="C2" s="914"/>
      <c r="D2" s="914"/>
      <c r="E2" s="914"/>
      <c r="F2" s="914"/>
      <c r="G2" s="914"/>
      <c r="H2" s="914"/>
      <c r="I2" s="914"/>
      <c r="J2" s="157"/>
      <c r="K2" s="158"/>
      <c r="L2" s="158"/>
      <c r="M2" s="158"/>
      <c r="N2" s="158"/>
      <c r="O2" s="250"/>
      <c r="P2" s="250"/>
      <c r="Q2" s="250"/>
      <c r="R2" s="251"/>
      <c r="S2" s="252"/>
      <c r="T2" s="253"/>
      <c r="U2" s="158"/>
      <c r="V2" s="158"/>
      <c r="W2" s="161"/>
      <c r="X2" s="161"/>
      <c r="Y2" s="161"/>
      <c r="Z2" s="154"/>
      <c r="AA2" s="154"/>
      <c r="AB2" s="248" t="s">
        <v>10</v>
      </c>
      <c r="AC2" s="248"/>
      <c r="AD2" s="917"/>
      <c r="AE2" s="917"/>
      <c r="AF2" s="248"/>
      <c r="AG2" s="248" t="s">
        <v>76</v>
      </c>
      <c r="AH2" s="248"/>
      <c r="AI2" s="248"/>
      <c r="AJ2" s="155"/>
    </row>
    <row r="3" spans="1:36" s="32" customFormat="1" ht="24" customHeight="1">
      <c r="A3" s="152"/>
      <c r="B3" s="914"/>
      <c r="C3" s="914"/>
      <c r="D3" s="914"/>
      <c r="E3" s="914"/>
      <c r="F3" s="914"/>
      <c r="G3" s="914"/>
      <c r="H3" s="914"/>
      <c r="I3" s="914"/>
      <c r="J3" s="157"/>
      <c r="K3" s="163" t="s">
        <v>77</v>
      </c>
      <c r="L3" s="158"/>
      <c r="M3" s="158"/>
      <c r="N3" s="164"/>
      <c r="O3" s="254"/>
      <c r="P3" s="254" t="e">
        <f>INDEX(база!$AL:$AL, MATCH(N1,база!$AK:$AK,0))</f>
        <v>#N/A</v>
      </c>
      <c r="Q3" s="254"/>
      <c r="R3" s="255"/>
      <c r="S3" s="255"/>
      <c r="T3" s="256"/>
      <c r="U3" s="158"/>
      <c r="V3" s="158"/>
      <c r="W3" s="165"/>
      <c r="X3" s="165"/>
      <c r="Y3" s="165"/>
      <c r="Z3" s="154"/>
      <c r="AA3" s="154"/>
      <c r="AB3" s="248" t="s">
        <v>78</v>
      </c>
      <c r="AC3" s="248"/>
      <c r="AD3" s="917"/>
      <c r="AE3" s="917"/>
      <c r="AF3" s="248"/>
      <c r="AG3" s="248" t="s">
        <v>85</v>
      </c>
      <c r="AH3" s="248"/>
      <c r="AI3" s="248"/>
      <c r="AJ3" s="155"/>
    </row>
    <row r="4" spans="1:36" s="32" customFormat="1" ht="24" customHeight="1">
      <c r="A4" s="152"/>
      <c r="B4" s="914"/>
      <c r="C4" s="914"/>
      <c r="D4" s="914"/>
      <c r="E4" s="914"/>
      <c r="F4" s="914"/>
      <c r="G4" s="914"/>
      <c r="H4" s="914"/>
      <c r="I4" s="914"/>
      <c r="J4" s="157"/>
      <c r="K4" s="158"/>
      <c r="L4" s="158"/>
      <c r="M4" s="158"/>
      <c r="N4" s="158"/>
      <c r="O4" s="166"/>
      <c r="P4" s="166"/>
      <c r="Q4" s="166"/>
      <c r="R4" s="154"/>
      <c r="S4" s="154"/>
      <c r="T4" s="159"/>
      <c r="U4" s="160"/>
      <c r="V4" s="160"/>
      <c r="W4" s="165"/>
      <c r="X4" s="165"/>
      <c r="Y4" s="165"/>
      <c r="Z4" s="154"/>
      <c r="AA4" s="154"/>
      <c r="AB4" s="248" t="s">
        <v>79</v>
      </c>
      <c r="AC4" s="248"/>
      <c r="AD4" s="917"/>
      <c r="AE4" s="917"/>
      <c r="AF4" s="248"/>
      <c r="AG4" s="248" t="s">
        <v>80</v>
      </c>
      <c r="AH4" s="248"/>
      <c r="AI4" s="248"/>
      <c r="AJ4" s="155"/>
    </row>
    <row r="5" spans="1:36" s="32" customFormat="1" ht="24" customHeight="1">
      <c r="A5" s="152"/>
      <c r="B5" s="914"/>
      <c r="C5" s="914"/>
      <c r="D5" s="914"/>
      <c r="E5" s="914"/>
      <c r="F5" s="914"/>
      <c r="G5" s="914"/>
      <c r="H5" s="914"/>
      <c r="I5" s="914"/>
      <c r="J5" s="915" t="str">
        <f>Data_Tech!A3</f>
        <v>январь</v>
      </c>
      <c r="K5" s="915"/>
      <c r="L5" s="916">
        <v>2022</v>
      </c>
      <c r="M5" s="916"/>
      <c r="N5" s="167"/>
      <c r="O5" s="167"/>
      <c r="P5" s="167"/>
      <c r="Q5" s="167"/>
      <c r="R5" s="167"/>
      <c r="S5" s="167"/>
      <c r="T5" s="167"/>
      <c r="U5" s="167"/>
      <c r="V5" s="167"/>
      <c r="W5" s="154"/>
      <c r="X5" s="154"/>
      <c r="Y5" s="154"/>
      <c r="Z5" s="154"/>
      <c r="AA5" s="154"/>
      <c r="AB5" s="248" t="s">
        <v>81</v>
      </c>
      <c r="AC5" s="248"/>
      <c r="AD5" s="248"/>
      <c r="AE5" s="248"/>
      <c r="AF5" s="248"/>
      <c r="AG5" s="248" t="s">
        <v>82</v>
      </c>
      <c r="AH5" s="248"/>
      <c r="AI5" s="248"/>
      <c r="AJ5" s="155"/>
    </row>
    <row r="6" spans="1:36" s="32" customFormat="1" ht="25.5" customHeight="1">
      <c r="A6" s="152"/>
      <c r="B6" s="134" t="s">
        <v>9</v>
      </c>
      <c r="C6" s="135" t="s">
        <v>0</v>
      </c>
      <c r="D6" s="136" t="s">
        <v>1</v>
      </c>
      <c r="E6" s="137">
        <v>1</v>
      </c>
      <c r="F6" s="137">
        <v>2</v>
      </c>
      <c r="G6" s="137">
        <v>3</v>
      </c>
      <c r="H6" s="137">
        <v>4</v>
      </c>
      <c r="I6" s="137">
        <v>5</v>
      </c>
      <c r="J6" s="137">
        <v>6</v>
      </c>
      <c r="K6" s="137">
        <v>7</v>
      </c>
      <c r="L6" s="137">
        <v>8</v>
      </c>
      <c r="M6" s="137">
        <v>9</v>
      </c>
      <c r="N6" s="137">
        <v>10</v>
      </c>
      <c r="O6" s="137">
        <v>11</v>
      </c>
      <c r="P6" s="137">
        <v>12</v>
      </c>
      <c r="Q6" s="137">
        <v>13</v>
      </c>
      <c r="R6" s="137">
        <v>14</v>
      </c>
      <c r="S6" s="137">
        <v>15</v>
      </c>
      <c r="T6" s="137">
        <v>16</v>
      </c>
      <c r="U6" s="137">
        <v>17</v>
      </c>
      <c r="V6" s="137">
        <v>18</v>
      </c>
      <c r="W6" s="137">
        <v>19</v>
      </c>
      <c r="X6" s="137">
        <v>20</v>
      </c>
      <c r="Y6" s="137">
        <v>21</v>
      </c>
      <c r="Z6" s="137">
        <v>22</v>
      </c>
      <c r="AA6" s="137">
        <v>23</v>
      </c>
      <c r="AB6" s="137">
        <v>24</v>
      </c>
      <c r="AC6" s="137">
        <v>25</v>
      </c>
      <c r="AD6" s="137">
        <v>26</v>
      </c>
      <c r="AE6" s="137">
        <v>27</v>
      </c>
      <c r="AF6" s="137">
        <v>28</v>
      </c>
      <c r="AG6" s="137">
        <v>29</v>
      </c>
      <c r="AH6" s="137">
        <v>30</v>
      </c>
      <c r="AI6" s="137">
        <v>31</v>
      </c>
      <c r="AJ6" s="138"/>
    </row>
    <row r="7" spans="1:36" ht="33" customHeight="1">
      <c r="A7" s="149">
        <v>1</v>
      </c>
      <c r="B7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140">
        <f t="shared" ref="AJ7:AJ24" si="0">SUM(E7:AI7)</f>
        <v>0</v>
      </c>
    </row>
    <row r="8" spans="1:36" ht="33" customHeight="1">
      <c r="A8" s="149">
        <v>2</v>
      </c>
      <c r="B8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141">
        <f t="shared" si="0"/>
        <v>0</v>
      </c>
    </row>
    <row r="9" spans="1:36" ht="33" customHeight="1">
      <c r="A9" s="149">
        <v>3</v>
      </c>
      <c r="B9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140">
        <f t="shared" si="0"/>
        <v>0</v>
      </c>
    </row>
    <row r="10" spans="1:36" ht="33" customHeight="1">
      <c r="A10" s="149">
        <v>4</v>
      </c>
      <c r="B10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141">
        <f t="shared" si="0"/>
        <v>0</v>
      </c>
    </row>
    <row r="11" spans="1:36" ht="33" customHeight="1">
      <c r="A11" s="149">
        <v>5</v>
      </c>
      <c r="B11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140">
        <f t="shared" si="0"/>
        <v>0</v>
      </c>
    </row>
    <row r="12" spans="1:36" ht="33" customHeight="1">
      <c r="A12" s="149">
        <v>6</v>
      </c>
      <c r="B12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140">
        <f t="shared" si="0"/>
        <v>0</v>
      </c>
    </row>
    <row r="13" spans="1:36" ht="33" customHeight="1">
      <c r="A13" s="149">
        <v>7</v>
      </c>
      <c r="B13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140">
        <f t="shared" si="0"/>
        <v>0</v>
      </c>
    </row>
    <row r="14" spans="1:36" ht="33" customHeight="1">
      <c r="A14" s="149">
        <v>8</v>
      </c>
      <c r="B14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141">
        <f t="shared" si="0"/>
        <v>0</v>
      </c>
    </row>
    <row r="15" spans="1:36" ht="33" customHeight="1">
      <c r="A15" s="149">
        <v>9</v>
      </c>
      <c r="B15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142">
        <f t="shared" si="0"/>
        <v>0</v>
      </c>
    </row>
    <row r="16" spans="1:36" ht="33" customHeight="1">
      <c r="A16" s="149">
        <v>10</v>
      </c>
      <c r="B16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142">
        <f t="shared" si="0"/>
        <v>0</v>
      </c>
    </row>
    <row r="17" spans="1:36" ht="33" customHeight="1">
      <c r="A17" s="149">
        <v>11</v>
      </c>
      <c r="B17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140">
        <f t="shared" si="0"/>
        <v>0</v>
      </c>
    </row>
    <row r="18" spans="1:36" ht="33" customHeight="1">
      <c r="A18" s="149">
        <v>12</v>
      </c>
      <c r="B18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141">
        <f t="shared" si="0"/>
        <v>0</v>
      </c>
    </row>
    <row r="19" spans="1:36" ht="33" customHeight="1">
      <c r="A19" s="149">
        <v>13</v>
      </c>
      <c r="B19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140">
        <f t="shared" si="0"/>
        <v>0</v>
      </c>
    </row>
    <row r="20" spans="1:36" ht="33" customHeight="1">
      <c r="A20" s="149">
        <v>14</v>
      </c>
      <c r="B20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141">
        <f t="shared" si="0"/>
        <v>0</v>
      </c>
    </row>
    <row r="21" spans="1:36" ht="33" customHeight="1">
      <c r="A21" s="149">
        <v>15</v>
      </c>
      <c r="B21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140">
        <f t="shared" si="0"/>
        <v>0</v>
      </c>
    </row>
    <row r="22" spans="1:36" ht="33" customHeight="1">
      <c r="A22" s="149">
        <v>16</v>
      </c>
      <c r="B22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140">
        <f t="shared" si="0"/>
        <v>0</v>
      </c>
    </row>
    <row r="23" spans="1:36" ht="33" customHeight="1">
      <c r="A23" s="149">
        <v>17</v>
      </c>
      <c r="B23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140">
        <f t="shared" si="0"/>
        <v>0</v>
      </c>
    </row>
    <row r="24" spans="1:36" ht="28.5" customHeight="1">
      <c r="A24" s="149">
        <v>18</v>
      </c>
      <c r="B24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140">
        <f t="shared" si="0"/>
        <v>0</v>
      </c>
    </row>
    <row r="25" spans="1:36" s="45" customFormat="1" ht="25.5" customHeight="1">
      <c r="A25" s="149">
        <v>19</v>
      </c>
      <c r="B25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140">
        <f>SUM(E25:AI25)</f>
        <v>0</v>
      </c>
    </row>
    <row r="26" spans="1:36" s="45" customFormat="1" ht="25.5" customHeight="1">
      <c r="A26" s="149">
        <v>20</v>
      </c>
      <c r="B26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140">
        <f t="shared" ref="AJ26:AJ33" si="1">SUM(E26:AI26)</f>
        <v>0</v>
      </c>
    </row>
    <row r="27" spans="1:36" s="45" customFormat="1" ht="25.5" hidden="1" customHeight="1">
      <c r="A27" s="149">
        <v>21</v>
      </c>
      <c r="B27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140">
        <f t="shared" si="1"/>
        <v>0</v>
      </c>
    </row>
    <row r="28" spans="1:36" s="45" customFormat="1" ht="25.5" hidden="1" customHeight="1">
      <c r="A28" s="149">
        <v>22</v>
      </c>
      <c r="B28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140">
        <f t="shared" si="1"/>
        <v>0</v>
      </c>
    </row>
    <row r="29" spans="1:36" s="45" customFormat="1" ht="25.5" hidden="1" customHeight="1">
      <c r="A29" s="149">
        <v>23</v>
      </c>
      <c r="B29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140">
        <f t="shared" si="1"/>
        <v>0</v>
      </c>
    </row>
    <row r="30" spans="1:36" s="45" customFormat="1" ht="25.5" hidden="1" customHeight="1">
      <c r="A30" s="149">
        <v>24</v>
      </c>
      <c r="B30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140">
        <f t="shared" si="1"/>
        <v>0</v>
      </c>
    </row>
    <row r="31" spans="1:36" s="45" customFormat="1" ht="25.5" hidden="1" customHeight="1">
      <c r="A31" s="149">
        <v>25</v>
      </c>
      <c r="B31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140">
        <f t="shared" si="1"/>
        <v>0</v>
      </c>
    </row>
    <row r="32" spans="1:36" s="45" customFormat="1" ht="25.5" hidden="1" customHeight="1">
      <c r="A32" s="149">
        <v>26</v>
      </c>
      <c r="B32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140">
        <f t="shared" si="1"/>
        <v>0</v>
      </c>
    </row>
    <row r="33" spans="1:41" s="45" customFormat="1" ht="25.5" customHeight="1">
      <c r="A33" s="149"/>
      <c r="B33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140">
        <f t="shared" si="1"/>
        <v>0</v>
      </c>
      <c r="AL33" s="903" t="s">
        <v>94</v>
      </c>
      <c r="AM33" s="903"/>
      <c r="AN33" s="903"/>
    </row>
    <row r="34" spans="1:41" ht="15" customHeight="1">
      <c r="A34" s="149"/>
      <c r="B34" s="36"/>
      <c r="C34" s="33" t="s">
        <v>63</v>
      </c>
      <c r="D34" s="36"/>
      <c r="E34" s="34">
        <f>SUM(E7:E33)</f>
        <v>0</v>
      </c>
      <c r="F34" s="34">
        <f t="shared" ref="F34:AI34" si="2">SUM(F7:F33)</f>
        <v>0</v>
      </c>
      <c r="G34" s="34">
        <f t="shared" si="2"/>
        <v>0</v>
      </c>
      <c r="H34" s="34">
        <f t="shared" si="2"/>
        <v>0</v>
      </c>
      <c r="I34" s="34">
        <f t="shared" si="2"/>
        <v>0</v>
      </c>
      <c r="J34" s="34">
        <f t="shared" si="2"/>
        <v>0</v>
      </c>
      <c r="K34" s="34">
        <f t="shared" si="2"/>
        <v>0</v>
      </c>
      <c r="L34" s="34">
        <f t="shared" si="2"/>
        <v>0</v>
      </c>
      <c r="M34" s="34">
        <f t="shared" si="2"/>
        <v>0</v>
      </c>
      <c r="N34" s="34">
        <f t="shared" si="2"/>
        <v>0</v>
      </c>
      <c r="O34" s="34">
        <f t="shared" si="2"/>
        <v>0</v>
      </c>
      <c r="P34" s="34">
        <f t="shared" si="2"/>
        <v>0</v>
      </c>
      <c r="Q34" s="34">
        <f t="shared" si="2"/>
        <v>0</v>
      </c>
      <c r="R34" s="34">
        <f t="shared" si="2"/>
        <v>0</v>
      </c>
      <c r="S34" s="34">
        <f t="shared" si="2"/>
        <v>0</v>
      </c>
      <c r="T34" s="34">
        <f t="shared" si="2"/>
        <v>0</v>
      </c>
      <c r="U34" s="34">
        <f t="shared" si="2"/>
        <v>0</v>
      </c>
      <c r="V34" s="34">
        <f t="shared" si="2"/>
        <v>0</v>
      </c>
      <c r="W34" s="34">
        <f t="shared" si="2"/>
        <v>0</v>
      </c>
      <c r="X34" s="34">
        <f t="shared" si="2"/>
        <v>0</v>
      </c>
      <c r="Y34" s="34">
        <f t="shared" si="2"/>
        <v>0</v>
      </c>
      <c r="Z34" s="34">
        <f t="shared" si="2"/>
        <v>0</v>
      </c>
      <c r="AA34" s="34">
        <f t="shared" si="2"/>
        <v>0</v>
      </c>
      <c r="AB34" s="34">
        <f t="shared" si="2"/>
        <v>0</v>
      </c>
      <c r="AC34" s="34">
        <f t="shared" si="2"/>
        <v>0</v>
      </c>
      <c r="AD34" s="34">
        <f t="shared" si="2"/>
        <v>0</v>
      </c>
      <c r="AE34" s="34">
        <f t="shared" si="2"/>
        <v>0</v>
      </c>
      <c r="AF34" s="34">
        <f t="shared" si="2"/>
        <v>0</v>
      </c>
      <c r="AG34" s="34">
        <f t="shared" si="2"/>
        <v>0</v>
      </c>
      <c r="AH34" s="34">
        <f t="shared" si="2"/>
        <v>0</v>
      </c>
      <c r="AI34" s="34">
        <f t="shared" si="2"/>
        <v>0</v>
      </c>
      <c r="AJ34" s="146">
        <f>SUM(E34:AI34)</f>
        <v>0</v>
      </c>
      <c r="AK34" s="45"/>
      <c r="AL34" s="902">
        <f>SUMIFS(Таблица1[Столбец2],Таблица1[партия],W1,Таблица1[изд],N1)</f>
        <v>0</v>
      </c>
      <c r="AM34" s="902"/>
      <c r="AN34" s="902"/>
      <c r="AO34" s="902"/>
    </row>
    <row r="35" spans="1:41" ht="25.5" customHeight="1">
      <c r="A35" s="149"/>
      <c r="B35" s="149"/>
      <c r="C35" s="150"/>
      <c r="D35" s="149"/>
      <c r="E35" s="149"/>
      <c r="F35" s="149"/>
      <c r="G35" s="149"/>
      <c r="H35" s="149"/>
      <c r="I35" s="149"/>
      <c r="J35" s="149"/>
      <c r="K35" s="149"/>
      <c r="L35" s="149"/>
      <c r="M35" s="149"/>
      <c r="N35" s="149"/>
      <c r="O35" s="149"/>
      <c r="P35" s="149"/>
      <c r="Q35" s="149"/>
      <c r="R35" s="149"/>
      <c r="S35" s="149"/>
      <c r="T35" s="149"/>
      <c r="U35" s="149"/>
      <c r="V35" s="149"/>
      <c r="W35" s="149"/>
      <c r="X35" s="149"/>
      <c r="Y35" s="149"/>
      <c r="Z35" s="149"/>
      <c r="AA35" s="149"/>
      <c r="AB35" s="149"/>
      <c r="AC35" s="149"/>
      <c r="AD35" s="149"/>
      <c r="AE35" s="149"/>
      <c r="AF35" s="149"/>
      <c r="AG35" s="149"/>
      <c r="AH35" s="149"/>
      <c r="AI35" s="149"/>
      <c r="AJ35" s="151"/>
      <c r="AK35" s="45"/>
      <c r="AL35" s="902"/>
      <c r="AM35" s="902"/>
      <c r="AN35" s="902"/>
      <c r="AO35" s="902"/>
    </row>
    <row r="36" spans="1:41" s="45" customFormat="1" ht="17.25" customHeight="1">
      <c r="A36" s="149"/>
      <c r="B36" s="149"/>
      <c r="C36" s="296" t="s">
        <v>64</v>
      </c>
      <c r="D36" s="263"/>
      <c r="E36" s="263"/>
      <c r="F36" s="263"/>
      <c r="G36" s="295" t="str">
        <f>Data_Tech!$AU$7</f>
        <v>Кувшинов А.Г.</v>
      </c>
      <c r="H36" s="295"/>
      <c r="I36" s="262"/>
      <c r="J36" s="262"/>
      <c r="K36" s="149"/>
      <c r="L36" s="149"/>
      <c r="M36" s="149"/>
      <c r="N36" s="149"/>
      <c r="O36" s="149"/>
      <c r="P36" s="149"/>
      <c r="Q36" s="149"/>
      <c r="R36" s="261" t="s">
        <v>246</v>
      </c>
      <c r="S36" s="261"/>
      <c r="T36" s="261"/>
      <c r="U36" s="261"/>
      <c r="V36" s="260"/>
      <c r="W36" s="260"/>
      <c r="X36" s="260"/>
      <c r="Y36" s="260"/>
      <c r="Z36" s="260"/>
      <c r="AA36" s="261" t="s">
        <v>108</v>
      </c>
      <c r="AB36" s="261"/>
      <c r="AC36" s="62"/>
      <c r="AD36" s="62"/>
      <c r="AE36" s="149"/>
      <c r="AF36" s="149"/>
      <c r="AG36" s="149"/>
      <c r="AH36" s="149"/>
      <c r="AI36" s="149"/>
      <c r="AJ36" s="149"/>
      <c r="AL36" s="902"/>
      <c r="AM36" s="902"/>
      <c r="AN36" s="902"/>
      <c r="AO36" s="902"/>
    </row>
    <row r="37" spans="1:41" s="45" customFormat="1" ht="15" customHeight="1">
      <c r="A37" s="149"/>
      <c r="B37" s="149"/>
      <c r="C37" s="150"/>
      <c r="D37" s="149"/>
      <c r="E37" s="149"/>
      <c r="F37" s="149"/>
      <c r="G37" s="149"/>
      <c r="H37" s="149"/>
      <c r="I37" s="149"/>
      <c r="J37" s="149"/>
      <c r="K37" s="149"/>
      <c r="L37" s="149"/>
      <c r="M37" s="149"/>
      <c r="N37" s="149"/>
      <c r="O37" s="149"/>
      <c r="P37" s="149"/>
      <c r="Q37" s="149"/>
      <c r="R37" s="149"/>
      <c r="S37" s="149"/>
      <c r="T37" s="149"/>
      <c r="U37" s="149"/>
      <c r="V37" s="149"/>
      <c r="W37" s="149"/>
      <c r="X37" s="149"/>
      <c r="Y37" s="149"/>
      <c r="Z37" s="149"/>
      <c r="AA37" s="222"/>
      <c r="AB37" s="149"/>
      <c r="AC37" s="149"/>
      <c r="AD37" s="149"/>
      <c r="AE37" s="149"/>
      <c r="AF37" s="149"/>
      <c r="AG37" s="149"/>
      <c r="AH37" s="149"/>
      <c r="AI37" s="149"/>
      <c r="AJ37" s="149"/>
      <c r="AL37" s="902"/>
      <c r="AM37" s="902"/>
      <c r="AN37" s="902"/>
      <c r="AO37" s="902"/>
    </row>
    <row r="38" spans="1:41" s="45" customFormat="1" ht="20.25" customHeight="1">
      <c r="B38" s="62"/>
      <c r="C38" s="63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</row>
    <row r="39" spans="1:41" s="45" customFormat="1" ht="18.75">
      <c r="C39" s="50"/>
      <c r="AJ39" s="64"/>
    </row>
    <row r="40" spans="1:41" ht="18">
      <c r="C40" s="52"/>
      <c r="D40" s="53"/>
    </row>
    <row r="41" spans="1:41" ht="18">
      <c r="C41" s="52"/>
      <c r="D41" s="53"/>
    </row>
  </sheetData>
  <sheetProtection formatCells="0" formatColumns="0" formatRows="0" insertColumns="0" insertRows="0" insertHyperlinks="0" deleteColumns="0" deleteRows="0" sort="0" autoFilter="0" pivotTables="0"/>
  <mergeCells count="11">
    <mergeCell ref="AL34:AO37"/>
    <mergeCell ref="AL33:AN33"/>
    <mergeCell ref="B1:I5"/>
    <mergeCell ref="J5:K5"/>
    <mergeCell ref="L5:M5"/>
    <mergeCell ref="AD2:AE2"/>
    <mergeCell ref="AD3:AE3"/>
    <mergeCell ref="AD4:AE4"/>
    <mergeCell ref="U1:V1"/>
    <mergeCell ref="W1:Y1"/>
    <mergeCell ref="N1:T1"/>
  </mergeCells>
  <pageMargins left="0.23622047244094491" right="0.23622047244094491" top="0.74803149606299213" bottom="0.74803149606299213" header="0.31496062992125984" footer="0.31496062992125984"/>
  <pageSetup paperSize="9" scale="56" orientation="landscape" r:id="rId1"/>
  <rowBreaks count="1" manualBreakCount="1">
    <brk id="26" max="35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O41"/>
  <sheetViews>
    <sheetView view="pageBreakPreview" zoomScale="60" zoomScaleNormal="60" workbookViewId="0">
      <selection activeCell="AL34" sqref="AL34:AO37"/>
    </sheetView>
  </sheetViews>
  <sheetFormatPr defaultRowHeight="15"/>
  <cols>
    <col min="1" max="1" customWidth="true" style="45" width="5.28515625"/>
    <col min="2" max="2" customWidth="true" style="45" width="7.5703125"/>
    <col min="3" max="3" customWidth="true" style="50" width="31.28515625"/>
    <col min="4" max="4" style="45" width="9.140625"/>
    <col min="5" max="35" customWidth="true" style="45" width="6.0"/>
    <col min="36" max="37" style="45" width="9.140625"/>
    <col min="38" max="38" customWidth="true" style="45" width="22.0"/>
    <col min="39" max="16384" style="45" width="9.140625"/>
  </cols>
  <sheetData>
    <row r="1" spans="1:36" s="32" customFormat="1" ht="29.25" customHeight="1">
      <c r="A1" s="152"/>
      <c r="B1" s="914" t="s">
        <v>75</v>
      </c>
      <c r="C1" s="914"/>
      <c r="D1" s="914"/>
      <c r="E1" s="914"/>
      <c r="F1" s="914"/>
      <c r="G1" s="914"/>
      <c r="H1" s="914"/>
      <c r="I1" s="914"/>
      <c r="J1" s="153" t="s">
        <v>68</v>
      </c>
      <c r="K1" s="249"/>
      <c r="L1" s="153"/>
      <c r="M1" s="153"/>
      <c r="N1" s="920">
        <v>6001</v>
      </c>
      <c r="O1" s="920"/>
      <c r="P1" s="920"/>
      <c r="Q1" s="920"/>
      <c r="R1" s="920"/>
      <c r="S1" s="920"/>
      <c r="T1" s="920"/>
      <c r="U1" s="918" t="s">
        <v>10</v>
      </c>
      <c r="V1" s="918"/>
      <c r="W1" s="919" t="s">
        <v>307</v>
      </c>
      <c r="X1" s="919"/>
      <c r="Y1" s="919"/>
      <c r="Z1" s="154"/>
      <c r="AA1" s="155"/>
      <c r="AB1" s="156"/>
      <c r="AC1" s="156"/>
      <c r="AD1" s="156"/>
      <c r="AE1" s="152"/>
      <c r="AF1" s="152"/>
      <c r="AG1" s="152"/>
      <c r="AH1" s="154"/>
      <c r="AI1" s="154"/>
      <c r="AJ1" s="155"/>
    </row>
    <row r="2" spans="1:36" s="32" customFormat="1" ht="24" customHeight="1">
      <c r="A2" s="152"/>
      <c r="B2" s="914"/>
      <c r="C2" s="914"/>
      <c r="D2" s="914"/>
      <c r="E2" s="914"/>
      <c r="F2" s="914"/>
      <c r="G2" s="914"/>
      <c r="H2" s="914"/>
      <c r="I2" s="914"/>
      <c r="J2" s="157"/>
      <c r="K2" s="158"/>
      <c r="L2" s="158"/>
      <c r="M2" s="158"/>
      <c r="N2" s="158"/>
      <c r="O2" s="575"/>
      <c r="P2" s="575"/>
      <c r="Q2" s="575"/>
      <c r="R2" s="251"/>
      <c r="S2" s="252"/>
      <c r="T2" s="253"/>
      <c r="U2" s="158"/>
      <c r="V2" s="158"/>
      <c r="W2" s="161"/>
      <c r="X2" s="161"/>
      <c r="Y2" s="161"/>
      <c r="Z2" s="154"/>
      <c r="AA2" s="154"/>
      <c r="AB2" s="248" t="s">
        <v>10</v>
      </c>
      <c r="AC2" s="248"/>
      <c r="AD2" s="917">
        <v>6400</v>
      </c>
      <c r="AE2" s="917"/>
      <c r="AF2" s="248"/>
      <c r="AG2" s="248" t="s">
        <v>76</v>
      </c>
      <c r="AH2" s="248"/>
      <c r="AI2" s="248"/>
      <c r="AJ2" s="155"/>
    </row>
    <row r="3" spans="1:36" s="32" customFormat="1" ht="24" customHeight="1">
      <c r="A3" s="152"/>
      <c r="B3" s="914"/>
      <c r="C3" s="914"/>
      <c r="D3" s="914"/>
      <c r="E3" s="914"/>
      <c r="F3" s="914"/>
      <c r="G3" s="914"/>
      <c r="H3" s="914"/>
      <c r="I3" s="914"/>
      <c r="J3" s="157"/>
      <c r="K3" s="163" t="s">
        <v>77</v>
      </c>
      <c r="L3" s="158"/>
      <c r="M3" s="158"/>
      <c r="N3" s="164"/>
      <c r="O3" s="254"/>
      <c r="P3" s="254" t="e">
        <f>INDEX(база!$AL:$AL, MATCH(N1,база!$AK:$AK,0))</f>
        <v>#N/A</v>
      </c>
      <c r="Q3" s="254"/>
      <c r="R3" s="255"/>
      <c r="S3" s="255"/>
      <c r="T3" s="256"/>
      <c r="U3" s="158"/>
      <c r="V3" s="158"/>
      <c r="W3" s="165"/>
      <c r="X3" s="165"/>
      <c r="Y3" s="165"/>
      <c r="Z3" s="154"/>
      <c r="AA3" s="154"/>
      <c r="AB3" s="248" t="s">
        <v>78</v>
      </c>
      <c r="AC3" s="248"/>
      <c r="AD3" s="917">
        <v>70</v>
      </c>
      <c r="AE3" s="917"/>
      <c r="AF3" s="248"/>
      <c r="AG3" s="248" t="s">
        <v>85</v>
      </c>
      <c r="AH3" s="248"/>
      <c r="AI3" s="248"/>
      <c r="AJ3" s="155"/>
    </row>
    <row r="4" spans="1:36" s="32" customFormat="1" ht="24" customHeight="1">
      <c r="A4" s="152"/>
      <c r="B4" s="914"/>
      <c r="C4" s="914"/>
      <c r="D4" s="914"/>
      <c r="E4" s="914"/>
      <c r="F4" s="914"/>
      <c r="G4" s="914"/>
      <c r="H4" s="914"/>
      <c r="I4" s="914"/>
      <c r="J4" s="157"/>
      <c r="K4" s="158"/>
      <c r="L4" s="158"/>
      <c r="M4" s="158"/>
      <c r="N4" s="158"/>
      <c r="O4" s="166"/>
      <c r="P4" s="166"/>
      <c r="Q4" s="166"/>
      <c r="R4" s="154"/>
      <c r="S4" s="154"/>
      <c r="T4" s="159"/>
      <c r="U4" s="568"/>
      <c r="V4" s="568"/>
      <c r="W4" s="165"/>
      <c r="X4" s="165"/>
      <c r="Y4" s="165"/>
      <c r="Z4" s="154"/>
      <c r="AA4" s="154"/>
      <c r="AB4" s="248" t="s">
        <v>79</v>
      </c>
      <c r="AC4" s="248"/>
      <c r="AD4" s="917">
        <v>70</v>
      </c>
      <c r="AE4" s="917"/>
      <c r="AF4" s="248"/>
      <c r="AG4" s="248" t="s">
        <v>80</v>
      </c>
      <c r="AH4" s="248"/>
      <c r="AI4" s="248"/>
      <c r="AJ4" s="155"/>
    </row>
    <row r="5" spans="1:36" s="32" customFormat="1" ht="24" customHeight="1">
      <c r="A5" s="152"/>
      <c r="B5" s="914"/>
      <c r="C5" s="914"/>
      <c r="D5" s="914"/>
      <c r="E5" s="914"/>
      <c r="F5" s="914"/>
      <c r="G5" s="914"/>
      <c r="H5" s="914"/>
      <c r="I5" s="914"/>
      <c r="J5" s="915" t="str">
        <f>Data_Tech!A3</f>
        <v>январь</v>
      </c>
      <c r="K5" s="915"/>
      <c r="L5" s="916">
        <v>2023</v>
      </c>
      <c r="M5" s="916"/>
      <c r="N5" s="167"/>
      <c r="O5" s="167"/>
      <c r="P5" s="167"/>
      <c r="Q5" s="167"/>
      <c r="R5" s="167"/>
      <c r="S5" s="167"/>
      <c r="T5" s="167"/>
      <c r="U5" s="167"/>
      <c r="V5" s="167"/>
      <c r="W5" s="154"/>
      <c r="X5" s="154"/>
      <c r="Y5" s="154"/>
      <c r="Z5" s="154"/>
      <c r="AA5" s="154"/>
      <c r="AB5" s="248" t="s">
        <v>81</v>
      </c>
      <c r="AC5" s="248"/>
      <c r="AD5" s="248">
        <v>0</v>
      </c>
      <c r="AE5" s="248"/>
      <c r="AF5" s="248"/>
      <c r="AG5" s="248" t="s">
        <v>82</v>
      </c>
      <c r="AH5" s="248"/>
      <c r="AI5" s="248"/>
      <c r="AJ5" s="155"/>
    </row>
    <row r="6" spans="1:36" s="32" customFormat="1" ht="25.5" customHeight="1">
      <c r="A6" s="152"/>
      <c r="B6" s="134" t="s">
        <v>9</v>
      </c>
      <c r="C6" s="135" t="s">
        <v>0</v>
      </c>
      <c r="D6" s="136" t="s">
        <v>1</v>
      </c>
      <c r="E6" s="137">
        <v>1</v>
      </c>
      <c r="F6" s="137">
        <v>2</v>
      </c>
      <c r="G6" s="137">
        <v>3</v>
      </c>
      <c r="H6" s="137">
        <v>4</v>
      </c>
      <c r="I6" s="137">
        <v>5</v>
      </c>
      <c r="J6" s="137">
        <v>6</v>
      </c>
      <c r="K6" s="137">
        <v>7</v>
      </c>
      <c r="L6" s="137">
        <v>8</v>
      </c>
      <c r="M6" s="137">
        <v>9</v>
      </c>
      <c r="N6" s="137">
        <v>10</v>
      </c>
      <c r="O6" s="137">
        <v>11</v>
      </c>
      <c r="P6" s="137">
        <v>12</v>
      </c>
      <c r="Q6" s="137">
        <v>13</v>
      </c>
      <c r="R6" s="137">
        <v>14</v>
      </c>
      <c r="S6" s="137">
        <v>15</v>
      </c>
      <c r="T6" s="137">
        <v>16</v>
      </c>
      <c r="U6" s="137">
        <v>17</v>
      </c>
      <c r="V6" s="137">
        <v>18</v>
      </c>
      <c r="W6" s="137">
        <v>19</v>
      </c>
      <c r="X6" s="137">
        <v>20</v>
      </c>
      <c r="Y6" s="137">
        <v>21</v>
      </c>
      <c r="Z6" s="137">
        <v>22</v>
      </c>
      <c r="AA6" s="137">
        <v>23</v>
      </c>
      <c r="AB6" s="137">
        <v>24</v>
      </c>
      <c r="AC6" s="137">
        <v>25</v>
      </c>
      <c r="AD6" s="137">
        <v>26</v>
      </c>
      <c r="AE6" s="137">
        <v>27</v>
      </c>
      <c r="AF6" s="137">
        <v>28</v>
      </c>
      <c r="AG6" s="137">
        <v>29</v>
      </c>
      <c r="AH6" s="137">
        <v>30</v>
      </c>
      <c r="AI6" s="137">
        <v>31</v>
      </c>
      <c r="AJ6" s="138"/>
    </row>
    <row r="7" spans="1:36" ht="33" customHeight="1">
      <c r="A7" s="149">
        <v>1</v>
      </c>
      <c r="B7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140">
        <f t="shared" ref="AJ7:AJ24" si="0">SUM(E7:AI7)</f>
        <v>0</v>
      </c>
    </row>
    <row r="8" spans="1:36" ht="33" customHeight="1">
      <c r="A8" s="149">
        <v>2</v>
      </c>
      <c r="B8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141">
        <f t="shared" si="0"/>
        <v>0</v>
      </c>
    </row>
    <row r="9" spans="1:36" ht="33" customHeight="1">
      <c r="A9" s="149">
        <v>3</v>
      </c>
      <c r="B9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140">
        <f t="shared" si="0"/>
        <v>0</v>
      </c>
    </row>
    <row r="10" spans="1:36" ht="33" customHeight="1">
      <c r="A10" s="149">
        <v>4</v>
      </c>
      <c r="B10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141">
        <f t="shared" si="0"/>
        <v>0</v>
      </c>
    </row>
    <row r="11" spans="1:36" ht="33" customHeight="1">
      <c r="A11" s="149">
        <v>5</v>
      </c>
      <c r="B11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140">
        <f t="shared" si="0"/>
        <v>0</v>
      </c>
    </row>
    <row r="12" spans="1:36" ht="33" customHeight="1">
      <c r="A12" s="149">
        <v>6</v>
      </c>
      <c r="B12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140">
        <f t="shared" si="0"/>
        <v>0</v>
      </c>
    </row>
    <row r="13" spans="1:36" ht="33" customHeight="1">
      <c r="A13" s="149">
        <v>7</v>
      </c>
      <c r="B13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140">
        <f t="shared" si="0"/>
        <v>0</v>
      </c>
    </row>
    <row r="14" spans="1:36" ht="33" customHeight="1">
      <c r="A14" s="149">
        <v>8</v>
      </c>
      <c r="B14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141">
        <f t="shared" si="0"/>
        <v>0</v>
      </c>
    </row>
    <row r="15" spans="1:36" ht="33" customHeight="1">
      <c r="A15" s="149">
        <v>9</v>
      </c>
      <c r="B15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142">
        <f t="shared" si="0"/>
        <v>0</v>
      </c>
    </row>
    <row r="16" spans="1:36" ht="33" customHeight="1">
      <c r="A16" s="149">
        <v>10</v>
      </c>
      <c r="B16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142">
        <f t="shared" si="0"/>
        <v>0</v>
      </c>
    </row>
    <row r="17" spans="1:36" ht="33" customHeight="1">
      <c r="A17" s="149">
        <v>11</v>
      </c>
      <c r="B17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140">
        <f t="shared" si="0"/>
        <v>0</v>
      </c>
    </row>
    <row r="18" spans="1:36" ht="33" customHeight="1">
      <c r="A18" s="149">
        <v>12</v>
      </c>
      <c r="B18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141">
        <f t="shared" si="0"/>
        <v>0</v>
      </c>
    </row>
    <row r="19" spans="1:36" ht="33" customHeight="1">
      <c r="A19" s="149">
        <v>13</v>
      </c>
      <c r="B19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140">
        <f t="shared" si="0"/>
        <v>0</v>
      </c>
    </row>
    <row r="20" spans="1:36" ht="33" customHeight="1">
      <c r="A20" s="149">
        <v>14</v>
      </c>
      <c r="B20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141">
        <f t="shared" si="0"/>
        <v>0</v>
      </c>
    </row>
    <row r="21" spans="1:36" ht="33" customHeight="1">
      <c r="A21" s="149">
        <v>15</v>
      </c>
      <c r="B21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140">
        <f t="shared" si="0"/>
        <v>0</v>
      </c>
    </row>
    <row r="22" spans="1:36" ht="33" customHeight="1">
      <c r="A22" s="149">
        <v>16</v>
      </c>
      <c r="B22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140">
        <f t="shared" si="0"/>
        <v>0</v>
      </c>
    </row>
    <row r="23" spans="1:36" ht="33" customHeight="1">
      <c r="A23" s="149">
        <v>17</v>
      </c>
      <c r="B23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140">
        <f t="shared" si="0"/>
        <v>0</v>
      </c>
    </row>
    <row r="24" spans="1:36" ht="28.5" customHeight="1">
      <c r="A24" s="149">
        <v>18</v>
      </c>
      <c r="B24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140">
        <f t="shared" si="0"/>
        <v>0</v>
      </c>
    </row>
    <row r="25" spans="1:36" ht="25.5" customHeight="1">
      <c r="A25" s="149">
        <v>19</v>
      </c>
      <c r="B25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140">
        <f>SUM(E25:AI25)</f>
        <v>0</v>
      </c>
    </row>
    <row r="26" spans="1:36" ht="25.5" customHeight="1">
      <c r="A26" s="149">
        <v>20</v>
      </c>
      <c r="B26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140">
        <f t="shared" ref="AJ26:AJ33" si="1">SUM(E26:AI26)</f>
        <v>0</v>
      </c>
    </row>
    <row r="27" spans="1:36" ht="25.5" customHeight="1">
      <c r="A27" s="149">
        <v>21</v>
      </c>
      <c r="B27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140">
        <f t="shared" si="1"/>
        <v>0</v>
      </c>
    </row>
    <row r="28" spans="1:36" ht="25.5" customHeight="1">
      <c r="A28" s="149">
        <v>22</v>
      </c>
      <c r="B28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140">
        <f t="shared" si="1"/>
        <v>0</v>
      </c>
    </row>
    <row r="29" spans="1:36" ht="25.5" hidden="1" customHeight="1">
      <c r="A29" s="149">
        <v>23</v>
      </c>
      <c r="B29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140">
        <f t="shared" si="1"/>
        <v>0</v>
      </c>
    </row>
    <row r="30" spans="1:36" ht="25.5" hidden="1" customHeight="1">
      <c r="A30" s="149">
        <v>24</v>
      </c>
      <c r="B30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140">
        <f t="shared" si="1"/>
        <v>0</v>
      </c>
    </row>
    <row r="31" spans="1:36" ht="25.5" hidden="1" customHeight="1">
      <c r="A31" s="149">
        <v>25</v>
      </c>
      <c r="B31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140">
        <f t="shared" si="1"/>
        <v>0</v>
      </c>
    </row>
    <row r="32" spans="1:36" ht="25.5" hidden="1" customHeight="1">
      <c r="A32" s="149">
        <v>26</v>
      </c>
      <c r="B32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140">
        <f t="shared" si="1"/>
        <v>0</v>
      </c>
    </row>
    <row r="33" spans="1:41" ht="25.5" customHeight="1">
      <c r="A33" s="149"/>
      <c r="B33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140">
        <f t="shared" si="1"/>
        <v>0</v>
      </c>
      <c r="AL33" s="903" t="s">
        <v>94</v>
      </c>
      <c r="AM33" s="903"/>
      <c r="AN33" s="903"/>
    </row>
    <row r="34" spans="1:41" ht="15" customHeight="1">
      <c r="A34" s="149"/>
      <c r="B34" s="36"/>
      <c r="C34" s="33" t="s">
        <v>63</v>
      </c>
      <c r="D34" s="36"/>
      <c r="E34" s="34">
        <f>SUM(E7:E33)</f>
        <v>0</v>
      </c>
      <c r="F34" s="34">
        <f t="shared" ref="F34:AI34" si="2">SUM(F7:F33)</f>
        <v>0</v>
      </c>
      <c r="G34" s="34">
        <f t="shared" si="2"/>
        <v>0</v>
      </c>
      <c r="H34" s="34">
        <f t="shared" si="2"/>
        <v>0</v>
      </c>
      <c r="I34" s="34">
        <f t="shared" si="2"/>
        <v>0</v>
      </c>
      <c r="J34" s="34">
        <f t="shared" si="2"/>
        <v>0</v>
      </c>
      <c r="K34" s="34">
        <f t="shared" si="2"/>
        <v>0</v>
      </c>
      <c r="L34" s="34">
        <f t="shared" si="2"/>
        <v>0</v>
      </c>
      <c r="M34" s="34">
        <f t="shared" si="2"/>
        <v>0</v>
      </c>
      <c r="N34" s="34">
        <f t="shared" si="2"/>
        <v>0</v>
      </c>
      <c r="O34" s="34">
        <f t="shared" si="2"/>
        <v>0</v>
      </c>
      <c r="P34" s="34">
        <f t="shared" si="2"/>
        <v>0</v>
      </c>
      <c r="Q34" s="34">
        <f t="shared" si="2"/>
        <v>0</v>
      </c>
      <c r="R34" s="34">
        <f t="shared" si="2"/>
        <v>0</v>
      </c>
      <c r="S34" s="34">
        <f t="shared" si="2"/>
        <v>0</v>
      </c>
      <c r="T34" s="34">
        <f t="shared" si="2"/>
        <v>0</v>
      </c>
      <c r="U34" s="34">
        <f t="shared" si="2"/>
        <v>0</v>
      </c>
      <c r="V34" s="34">
        <f t="shared" si="2"/>
        <v>0</v>
      </c>
      <c r="W34" s="34">
        <f t="shared" si="2"/>
        <v>0</v>
      </c>
      <c r="X34" s="34">
        <f t="shared" si="2"/>
        <v>0</v>
      </c>
      <c r="Y34" s="34">
        <f t="shared" si="2"/>
        <v>0</v>
      </c>
      <c r="Z34" s="34">
        <f t="shared" si="2"/>
        <v>0</v>
      </c>
      <c r="AA34" s="34">
        <f t="shared" si="2"/>
        <v>0</v>
      </c>
      <c r="AB34" s="34">
        <f t="shared" si="2"/>
        <v>0</v>
      </c>
      <c r="AC34" s="34">
        <f t="shared" si="2"/>
        <v>0</v>
      </c>
      <c r="AD34" s="34">
        <f t="shared" si="2"/>
        <v>0</v>
      </c>
      <c r="AE34" s="34">
        <f t="shared" si="2"/>
        <v>0</v>
      </c>
      <c r="AF34" s="34">
        <f t="shared" si="2"/>
        <v>0</v>
      </c>
      <c r="AG34" s="34">
        <f t="shared" si="2"/>
        <v>0</v>
      </c>
      <c r="AH34" s="34">
        <f t="shared" si="2"/>
        <v>0</v>
      </c>
      <c r="AI34" s="34">
        <f t="shared" si="2"/>
        <v>0</v>
      </c>
      <c r="AJ34" s="146">
        <f>SUM(E34:AI34)</f>
        <v>0</v>
      </c>
      <c r="AL34" s="902">
        <f>SUMIFS(Таблица1[Столбец2],Таблица1[партия],W1,Таблица1[изд],N1)</f>
        <v>0</v>
      </c>
      <c r="AM34" s="902"/>
      <c r="AN34" s="902"/>
      <c r="AO34" s="902"/>
    </row>
    <row r="35" spans="1:41" ht="9" customHeight="1">
      <c r="A35" s="149"/>
      <c r="B35" s="149"/>
      <c r="C35" s="150"/>
      <c r="D35" s="149"/>
      <c r="E35" s="149"/>
      <c r="F35" s="149"/>
      <c r="G35" s="149"/>
      <c r="H35" s="149"/>
      <c r="I35" s="149"/>
      <c r="J35" s="149"/>
      <c r="K35" s="149"/>
      <c r="L35" s="149"/>
      <c r="M35" s="149"/>
      <c r="N35" s="149"/>
      <c r="O35" s="149"/>
      <c r="P35" s="149"/>
      <c r="Q35" s="149"/>
      <c r="R35" s="149"/>
      <c r="S35" s="149"/>
      <c r="T35" s="149"/>
      <c r="U35" s="149"/>
      <c r="V35" s="149"/>
      <c r="W35" s="149"/>
      <c r="X35" s="149"/>
      <c r="Y35" s="149"/>
      <c r="Z35" s="149"/>
      <c r="AA35" s="149"/>
      <c r="AB35" s="149"/>
      <c r="AC35" s="149"/>
      <c r="AD35" s="149"/>
      <c r="AE35" s="149"/>
      <c r="AF35" s="149"/>
      <c r="AG35" s="149"/>
      <c r="AH35" s="149"/>
      <c r="AI35" s="149"/>
      <c r="AJ35" s="151"/>
      <c r="AL35" s="902"/>
      <c r="AM35" s="902"/>
      <c r="AN35" s="902"/>
      <c r="AO35" s="902"/>
    </row>
    <row r="36" spans="1:41" ht="17.25" customHeight="1">
      <c r="A36" s="149"/>
      <c r="B36" s="149"/>
      <c r="C36" s="296" t="s">
        <v>64</v>
      </c>
      <c r="D36" s="263"/>
      <c r="E36" s="263"/>
      <c r="F36" s="263"/>
      <c r="G36" s="295" t="str">
        <f>Data_Tech!$AU$7</f>
        <v>Кувшинов А.Г.</v>
      </c>
      <c r="H36" s="295"/>
      <c r="I36" s="262"/>
      <c r="J36" s="262"/>
      <c r="K36" s="149"/>
      <c r="L36" s="149"/>
      <c r="M36" s="149"/>
      <c r="N36" s="149"/>
      <c r="O36" s="149"/>
      <c r="P36" s="149"/>
      <c r="Q36" s="149"/>
      <c r="R36" s="261" t="s">
        <v>246</v>
      </c>
      <c r="S36" s="261"/>
      <c r="T36" s="261"/>
      <c r="U36" s="261"/>
      <c r="V36" s="260"/>
      <c r="W36" s="260"/>
      <c r="X36" s="260"/>
      <c r="Y36" s="260"/>
      <c r="Z36" s="260"/>
      <c r="AA36" s="261" t="s">
        <v>108</v>
      </c>
      <c r="AB36" s="261"/>
      <c r="AC36" s="62"/>
      <c r="AD36" s="62"/>
      <c r="AE36" s="149"/>
      <c r="AF36" s="149"/>
      <c r="AG36" s="149"/>
      <c r="AH36" s="149"/>
      <c r="AI36" s="149"/>
      <c r="AJ36" s="149"/>
      <c r="AL36" s="902"/>
      <c r="AM36" s="902"/>
      <c r="AN36" s="902"/>
      <c r="AO36" s="902"/>
    </row>
    <row r="37" spans="1:41" ht="15" customHeight="1">
      <c r="A37" s="149"/>
      <c r="B37" s="149"/>
      <c r="C37" s="150"/>
      <c r="D37" s="149"/>
      <c r="E37" s="149"/>
      <c r="F37" s="149"/>
      <c r="G37" s="149"/>
      <c r="H37" s="149"/>
      <c r="I37" s="149"/>
      <c r="J37" s="149"/>
      <c r="K37" s="149"/>
      <c r="L37" s="149"/>
      <c r="M37" s="149"/>
      <c r="N37" s="149"/>
      <c r="O37" s="149"/>
      <c r="P37" s="149"/>
      <c r="Q37" s="149"/>
      <c r="R37" s="149"/>
      <c r="S37" s="149"/>
      <c r="T37" s="149"/>
      <c r="U37" s="149"/>
      <c r="V37" s="149"/>
      <c r="W37" s="149"/>
      <c r="X37" s="149"/>
      <c r="Y37" s="149"/>
      <c r="Z37" s="149"/>
      <c r="AA37" s="222"/>
      <c r="AB37" s="149"/>
      <c r="AC37" s="149"/>
      <c r="AD37" s="149"/>
      <c r="AE37" s="149"/>
      <c r="AF37" s="149"/>
      <c r="AG37" s="149"/>
      <c r="AH37" s="149"/>
      <c r="AI37" s="149"/>
      <c r="AJ37" s="149"/>
      <c r="AL37" s="902"/>
      <c r="AM37" s="902"/>
      <c r="AN37" s="902"/>
      <c r="AO37" s="902"/>
    </row>
    <row r="38" spans="1:41" ht="20.25" customHeight="1">
      <c r="B38" s="62"/>
      <c r="C38" s="63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</row>
    <row r="39" spans="1:41" ht="18.75">
      <c r="AJ39" s="64"/>
    </row>
    <row r="40" spans="1:41" ht="18">
      <c r="C40" s="52"/>
      <c r="D40" s="53"/>
    </row>
    <row r="41" spans="1:41" ht="18">
      <c r="C41" s="52"/>
      <c r="D41" s="53"/>
    </row>
  </sheetData>
  <mergeCells count="11">
    <mergeCell ref="AL33:AN33"/>
    <mergeCell ref="AL34:AO37"/>
    <mergeCell ref="B1:I5"/>
    <mergeCell ref="N1:T1"/>
    <mergeCell ref="U1:V1"/>
    <mergeCell ref="W1:Y1"/>
    <mergeCell ref="AD2:AE2"/>
    <mergeCell ref="AD3:AE3"/>
    <mergeCell ref="AD4:AE4"/>
    <mergeCell ref="J5:K5"/>
    <mergeCell ref="L5:M5"/>
  </mergeCells>
  <pageMargins left="0.23622047244094491" right="0.23622047244094491" top="0.35433070866141736" bottom="0.35433070866141736" header="0" footer="0"/>
  <pageSetup paperSize="9" scale="57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O41"/>
  <sheetViews>
    <sheetView view="pageBreakPreview" zoomScale="60" zoomScaleNormal="50" workbookViewId="0">
      <selection activeCell="AC16" sqref="AC16"/>
    </sheetView>
  </sheetViews>
  <sheetFormatPr defaultRowHeight="15"/>
  <cols>
    <col min="1" max="1" customWidth="true" style="45" width="5.28515625"/>
    <col min="2" max="2" customWidth="true" style="45" width="7.5703125"/>
    <col min="3" max="3" customWidth="true" style="50" width="31.28515625"/>
    <col min="4" max="4" style="45" width="9.140625"/>
    <col min="5" max="35" customWidth="true" style="45" width="6.0"/>
    <col min="36" max="37" style="45" width="9.140625"/>
    <col min="38" max="38" customWidth="true" style="45" width="22.0"/>
    <col min="39" max="16384" style="45" width="9.140625"/>
  </cols>
  <sheetData>
    <row r="1" spans="1:36" s="32" customFormat="1" ht="29.25" customHeight="1">
      <c r="A1" s="152"/>
      <c r="B1" s="914" t="s">
        <v>75</v>
      </c>
      <c r="C1" s="914"/>
      <c r="D1" s="914"/>
      <c r="E1" s="914"/>
      <c r="F1" s="914"/>
      <c r="G1" s="914"/>
      <c r="H1" s="914"/>
      <c r="I1" s="914"/>
      <c r="J1" s="153" t="s">
        <v>68</v>
      </c>
      <c r="K1" s="249"/>
      <c r="L1" s="153"/>
      <c r="M1" s="153"/>
      <c r="N1" s="920">
        <v>6001</v>
      </c>
      <c r="O1" s="920"/>
      <c r="P1" s="920"/>
      <c r="Q1" s="920"/>
      <c r="R1" s="920"/>
      <c r="S1" s="920"/>
      <c r="T1" s="920"/>
      <c r="U1" s="918" t="s">
        <v>10</v>
      </c>
      <c r="V1" s="918"/>
      <c r="W1" s="919" t="s">
        <v>106</v>
      </c>
      <c r="X1" s="919"/>
      <c r="Y1" s="919"/>
      <c r="Z1" s="154"/>
      <c r="AA1" s="155"/>
      <c r="AB1" s="156"/>
      <c r="AC1" s="156"/>
      <c r="AD1" s="156"/>
      <c r="AE1" s="152"/>
      <c r="AF1" s="152"/>
      <c r="AG1" s="152"/>
      <c r="AH1" s="154"/>
      <c r="AI1" s="154"/>
      <c r="AJ1" s="155"/>
    </row>
    <row r="2" spans="1:36" s="32" customFormat="1" ht="24" customHeight="1">
      <c r="A2" s="152"/>
      <c r="B2" s="914"/>
      <c r="C2" s="914"/>
      <c r="D2" s="914"/>
      <c r="E2" s="914"/>
      <c r="F2" s="914"/>
      <c r="G2" s="914"/>
      <c r="H2" s="914"/>
      <c r="I2" s="914"/>
      <c r="J2" s="157"/>
      <c r="K2" s="158"/>
      <c r="L2" s="158"/>
      <c r="M2" s="158"/>
      <c r="N2" s="158"/>
      <c r="O2" s="567"/>
      <c r="P2" s="567"/>
      <c r="Q2" s="567"/>
      <c r="R2" s="251"/>
      <c r="S2" s="252"/>
      <c r="T2" s="253"/>
      <c r="U2" s="158"/>
      <c r="V2" s="158"/>
      <c r="W2" s="161"/>
      <c r="X2" s="161"/>
      <c r="Y2" s="161"/>
      <c r="Z2" s="154"/>
      <c r="AA2" s="154"/>
      <c r="AB2" s="248" t="s">
        <v>10</v>
      </c>
      <c r="AC2" s="248"/>
      <c r="AD2" s="917">
        <v>6400</v>
      </c>
      <c r="AE2" s="917"/>
      <c r="AF2" s="248"/>
      <c r="AG2" s="248" t="s">
        <v>76</v>
      </c>
      <c r="AH2" s="248"/>
      <c r="AI2" s="248"/>
      <c r="AJ2" s="155"/>
    </row>
    <row r="3" spans="1:36" s="32" customFormat="1" ht="24" customHeight="1">
      <c r="A3" s="152"/>
      <c r="B3" s="914"/>
      <c r="C3" s="914"/>
      <c r="D3" s="914"/>
      <c r="E3" s="914"/>
      <c r="F3" s="914"/>
      <c r="G3" s="914"/>
      <c r="H3" s="914"/>
      <c r="I3" s="914"/>
      <c r="J3" s="157"/>
      <c r="K3" s="163" t="s">
        <v>77</v>
      </c>
      <c r="L3" s="158"/>
      <c r="M3" s="158"/>
      <c r="N3" s="164"/>
      <c r="O3" s="254"/>
      <c r="P3" s="254" t="e">
        <f>INDEX(база!$AL:$AL, MATCH(N1,база!$AK:$AK,0))</f>
        <v>#N/A</v>
      </c>
      <c r="Q3" s="254"/>
      <c r="R3" s="255"/>
      <c r="S3" s="255"/>
      <c r="T3" s="256"/>
      <c r="U3" s="158"/>
      <c r="V3" s="158"/>
      <c r="W3" s="165"/>
      <c r="X3" s="165"/>
      <c r="Y3" s="165"/>
      <c r="Z3" s="154"/>
      <c r="AA3" s="154"/>
      <c r="AB3" s="248" t="s">
        <v>78</v>
      </c>
      <c r="AC3" s="248"/>
      <c r="AD3" s="917">
        <v>70</v>
      </c>
      <c r="AE3" s="917"/>
      <c r="AF3" s="248"/>
      <c r="AG3" s="248" t="s">
        <v>85</v>
      </c>
      <c r="AH3" s="248"/>
      <c r="AI3" s="248"/>
      <c r="AJ3" s="155"/>
    </row>
    <row r="4" spans="1:36" s="32" customFormat="1" ht="24" customHeight="1">
      <c r="A4" s="152"/>
      <c r="B4" s="914"/>
      <c r="C4" s="914"/>
      <c r="D4" s="914"/>
      <c r="E4" s="914"/>
      <c r="F4" s="914"/>
      <c r="G4" s="914"/>
      <c r="H4" s="914"/>
      <c r="I4" s="914"/>
      <c r="J4" s="157"/>
      <c r="K4" s="158"/>
      <c r="L4" s="158"/>
      <c r="M4" s="158"/>
      <c r="N4" s="158"/>
      <c r="O4" s="166"/>
      <c r="P4" s="166"/>
      <c r="Q4" s="166"/>
      <c r="R4" s="154"/>
      <c r="S4" s="154"/>
      <c r="T4" s="159"/>
      <c r="U4" s="568"/>
      <c r="V4" s="568"/>
      <c r="W4" s="165"/>
      <c r="X4" s="165"/>
      <c r="Y4" s="165"/>
      <c r="Z4" s="154"/>
      <c r="AA4" s="154"/>
      <c r="AB4" s="248" t="s">
        <v>79</v>
      </c>
      <c r="AC4" s="248"/>
      <c r="AD4" s="917">
        <v>70</v>
      </c>
      <c r="AE4" s="917"/>
      <c r="AF4" s="248"/>
      <c r="AG4" s="248" t="s">
        <v>80</v>
      </c>
      <c r="AH4" s="248"/>
      <c r="AI4" s="248"/>
      <c r="AJ4" s="155"/>
    </row>
    <row r="5" spans="1:36" s="32" customFormat="1" ht="24" customHeight="1">
      <c r="A5" s="152"/>
      <c r="B5" s="914"/>
      <c r="C5" s="914"/>
      <c r="D5" s="914"/>
      <c r="E5" s="914"/>
      <c r="F5" s="914"/>
      <c r="G5" s="914"/>
      <c r="H5" s="914"/>
      <c r="I5" s="914"/>
      <c r="J5" s="915" t="str">
        <f>Data_Tech!A3</f>
        <v>январь</v>
      </c>
      <c r="K5" s="915"/>
      <c r="L5" s="916">
        <v>2022</v>
      </c>
      <c r="M5" s="916"/>
      <c r="N5" s="167"/>
      <c r="O5" s="167"/>
      <c r="P5" s="167"/>
      <c r="Q5" s="167"/>
      <c r="R5" s="167"/>
      <c r="S5" s="167"/>
      <c r="T5" s="167"/>
      <c r="U5" s="167"/>
      <c r="V5" s="167"/>
      <c r="W5" s="154"/>
      <c r="X5" s="154"/>
      <c r="Y5" s="154"/>
      <c r="Z5" s="154"/>
      <c r="AA5" s="154"/>
      <c r="AB5" s="248" t="s">
        <v>81</v>
      </c>
      <c r="AC5" s="248"/>
      <c r="AD5" s="248">
        <v>0</v>
      </c>
      <c r="AE5" s="248"/>
      <c r="AF5" s="248"/>
      <c r="AG5" s="248" t="s">
        <v>82</v>
      </c>
      <c r="AH5" s="248"/>
      <c r="AI5" s="248"/>
      <c r="AJ5" s="155"/>
    </row>
    <row r="6" spans="1:36" s="32" customFormat="1" ht="25.5" customHeight="1">
      <c r="A6" s="152"/>
      <c r="B6" s="134" t="s">
        <v>9</v>
      </c>
      <c r="C6" s="135" t="s">
        <v>0</v>
      </c>
      <c r="D6" s="136" t="s">
        <v>1</v>
      </c>
      <c r="E6" s="137">
        <v>1</v>
      </c>
      <c r="F6" s="137">
        <v>2</v>
      </c>
      <c r="G6" s="137">
        <v>3</v>
      </c>
      <c r="H6" s="137">
        <v>4</v>
      </c>
      <c r="I6" s="137">
        <v>5</v>
      </c>
      <c r="J6" s="137">
        <v>6</v>
      </c>
      <c r="K6" s="137">
        <v>7</v>
      </c>
      <c r="L6" s="137">
        <v>8</v>
      </c>
      <c r="M6" s="137">
        <v>9</v>
      </c>
      <c r="N6" s="137">
        <v>10</v>
      </c>
      <c r="O6" s="137">
        <v>11</v>
      </c>
      <c r="P6" s="137">
        <v>12</v>
      </c>
      <c r="Q6" s="137">
        <v>13</v>
      </c>
      <c r="R6" s="137">
        <v>14</v>
      </c>
      <c r="S6" s="137">
        <v>15</v>
      </c>
      <c r="T6" s="137">
        <v>16</v>
      </c>
      <c r="U6" s="137">
        <v>17</v>
      </c>
      <c r="V6" s="137">
        <v>18</v>
      </c>
      <c r="W6" s="137">
        <v>19</v>
      </c>
      <c r="X6" s="137">
        <v>20</v>
      </c>
      <c r="Y6" s="137">
        <v>21</v>
      </c>
      <c r="Z6" s="137">
        <v>22</v>
      </c>
      <c r="AA6" s="137">
        <v>23</v>
      </c>
      <c r="AB6" s="137">
        <v>24</v>
      </c>
      <c r="AC6" s="137">
        <v>25</v>
      </c>
      <c r="AD6" s="137">
        <v>26</v>
      </c>
      <c r="AE6" s="137">
        <v>27</v>
      </c>
      <c r="AF6" s="137">
        <v>28</v>
      </c>
      <c r="AG6" s="137">
        <v>29</v>
      </c>
      <c r="AH6" s="137">
        <v>30</v>
      </c>
      <c r="AI6" s="137">
        <v>31</v>
      </c>
      <c r="AJ6" s="138"/>
    </row>
    <row r="7" spans="1:36" ht="33" customHeight="1">
      <c r="A7" s="149">
        <v>1</v>
      </c>
      <c r="B7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140">
        <f t="shared" ref="AJ7:AJ24" si="0">SUM(E7:AI7)</f>
        <v>0</v>
      </c>
    </row>
    <row r="8" spans="1:36" ht="33" customHeight="1">
      <c r="A8" s="149">
        <v>2</v>
      </c>
      <c r="B8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141">
        <f t="shared" si="0"/>
        <v>0</v>
      </c>
    </row>
    <row r="9" spans="1:36" ht="33" customHeight="1">
      <c r="A9" s="149">
        <v>3</v>
      </c>
      <c r="B9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140">
        <f t="shared" si="0"/>
        <v>0</v>
      </c>
    </row>
    <row r="10" spans="1:36" ht="33" customHeight="1">
      <c r="A10" s="149">
        <v>4</v>
      </c>
      <c r="B10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141">
        <f t="shared" si="0"/>
        <v>0</v>
      </c>
    </row>
    <row r="11" spans="1:36" ht="33" customHeight="1">
      <c r="A11" s="149">
        <v>5</v>
      </c>
      <c r="B11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140">
        <f t="shared" si="0"/>
        <v>0</v>
      </c>
    </row>
    <row r="12" spans="1:36" ht="33" customHeight="1">
      <c r="A12" s="149">
        <v>6</v>
      </c>
      <c r="B12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140">
        <f t="shared" si="0"/>
        <v>0</v>
      </c>
    </row>
    <row r="13" spans="1:36" ht="33" customHeight="1">
      <c r="A13" s="149">
        <v>7</v>
      </c>
      <c r="B13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140">
        <f t="shared" si="0"/>
        <v>0</v>
      </c>
    </row>
    <row r="14" spans="1:36" ht="33" customHeight="1">
      <c r="A14" s="149">
        <v>8</v>
      </c>
      <c r="B14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141">
        <f t="shared" si="0"/>
        <v>0</v>
      </c>
    </row>
    <row r="15" spans="1:36" ht="33" customHeight="1">
      <c r="A15" s="149">
        <v>9</v>
      </c>
      <c r="B15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142">
        <f t="shared" si="0"/>
        <v>0</v>
      </c>
    </row>
    <row r="16" spans="1:36" ht="33" customHeight="1">
      <c r="A16" s="149">
        <v>10</v>
      </c>
      <c r="B16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142">
        <f t="shared" si="0"/>
        <v>0</v>
      </c>
    </row>
    <row r="17" spans="1:36" ht="33" customHeight="1">
      <c r="A17" s="149">
        <v>11</v>
      </c>
      <c r="B17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140">
        <f t="shared" si="0"/>
        <v>0</v>
      </c>
    </row>
    <row r="18" spans="1:36" ht="33" customHeight="1">
      <c r="A18" s="149">
        <v>12</v>
      </c>
      <c r="B18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141">
        <f t="shared" si="0"/>
        <v>0</v>
      </c>
    </row>
    <row r="19" spans="1:36" ht="33" customHeight="1">
      <c r="A19" s="149">
        <v>13</v>
      </c>
      <c r="B19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140">
        <f t="shared" si="0"/>
        <v>0</v>
      </c>
    </row>
    <row r="20" spans="1:36" ht="33" customHeight="1">
      <c r="A20" s="149">
        <v>14</v>
      </c>
      <c r="B20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141">
        <f t="shared" si="0"/>
        <v>0</v>
      </c>
    </row>
    <row r="21" spans="1:36" ht="33" customHeight="1">
      <c r="A21" s="149">
        <v>15</v>
      </c>
      <c r="B21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140">
        <f t="shared" si="0"/>
        <v>0</v>
      </c>
    </row>
    <row r="22" spans="1:36" ht="33" customHeight="1">
      <c r="A22" s="149">
        <v>16</v>
      </c>
      <c r="B22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140">
        <f t="shared" si="0"/>
        <v>0</v>
      </c>
    </row>
    <row r="23" spans="1:36" ht="33" customHeight="1">
      <c r="A23" s="149">
        <v>17</v>
      </c>
      <c r="B23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140">
        <f t="shared" si="0"/>
        <v>0</v>
      </c>
    </row>
    <row r="24" spans="1:36" ht="28.5" customHeight="1">
      <c r="A24" s="149">
        <v>18</v>
      </c>
      <c r="B24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140">
        <f t="shared" si="0"/>
        <v>0</v>
      </c>
    </row>
    <row r="25" spans="1:36" ht="25.5" customHeight="1">
      <c r="A25" s="149">
        <v>19</v>
      </c>
      <c r="B25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140">
        <f>SUM(E25:AI25)</f>
        <v>0</v>
      </c>
    </row>
    <row r="26" spans="1:36" ht="25.5" customHeight="1">
      <c r="A26" s="149">
        <v>20</v>
      </c>
      <c r="B26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140">
        <f t="shared" ref="AJ26:AJ33" si="1">SUM(E26:AI26)</f>
        <v>0</v>
      </c>
    </row>
    <row r="27" spans="1:36" ht="25.5" hidden="1" customHeight="1">
      <c r="A27" s="149">
        <v>21</v>
      </c>
      <c r="B27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140">
        <f t="shared" si="1"/>
        <v>0</v>
      </c>
    </row>
    <row r="28" spans="1:36" ht="25.5" hidden="1" customHeight="1">
      <c r="A28" s="149">
        <v>22</v>
      </c>
      <c r="B28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140">
        <f t="shared" si="1"/>
        <v>0</v>
      </c>
    </row>
    <row r="29" spans="1:36" ht="25.5" hidden="1" customHeight="1">
      <c r="A29" s="149">
        <v>23</v>
      </c>
      <c r="B29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140">
        <f t="shared" si="1"/>
        <v>0</v>
      </c>
    </row>
    <row r="30" spans="1:36" ht="25.5" hidden="1" customHeight="1">
      <c r="A30" s="149">
        <v>24</v>
      </c>
      <c r="B30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140">
        <f t="shared" si="1"/>
        <v>0</v>
      </c>
    </row>
    <row r="31" spans="1:36" ht="25.5" hidden="1" customHeight="1">
      <c r="A31" s="149">
        <v>25</v>
      </c>
      <c r="B31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140">
        <f t="shared" si="1"/>
        <v>0</v>
      </c>
    </row>
    <row r="32" spans="1:36" ht="25.5" hidden="1" customHeight="1">
      <c r="A32" s="149">
        <v>26</v>
      </c>
      <c r="B32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140">
        <f t="shared" si="1"/>
        <v>0</v>
      </c>
    </row>
    <row r="33" spans="1:41" ht="25.5" customHeight="1">
      <c r="A33" s="149"/>
      <c r="B33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140">
        <f t="shared" si="1"/>
        <v>0</v>
      </c>
      <c r="AL33" s="903" t="s">
        <v>94</v>
      </c>
      <c r="AM33" s="903"/>
      <c r="AN33" s="903"/>
    </row>
    <row r="34" spans="1:41" ht="15" customHeight="1">
      <c r="A34" s="149"/>
      <c r="B34" s="36"/>
      <c r="C34" s="33" t="s">
        <v>63</v>
      </c>
      <c r="D34" s="36"/>
      <c r="E34" s="34">
        <f>SUM(E7:E33)</f>
        <v>0</v>
      </c>
      <c r="F34" s="34">
        <f t="shared" ref="F34:AI34" si="2">SUM(F7:F33)</f>
        <v>0</v>
      </c>
      <c r="G34" s="34">
        <f t="shared" si="2"/>
        <v>0</v>
      </c>
      <c r="H34" s="34">
        <f t="shared" si="2"/>
        <v>0</v>
      </c>
      <c r="I34" s="34">
        <f t="shared" si="2"/>
        <v>0</v>
      </c>
      <c r="J34" s="34">
        <f t="shared" si="2"/>
        <v>0</v>
      </c>
      <c r="K34" s="34">
        <f t="shared" si="2"/>
        <v>0</v>
      </c>
      <c r="L34" s="34">
        <f t="shared" si="2"/>
        <v>0</v>
      </c>
      <c r="M34" s="34">
        <f t="shared" si="2"/>
        <v>0</v>
      </c>
      <c r="N34" s="34">
        <f t="shared" si="2"/>
        <v>0</v>
      </c>
      <c r="O34" s="34">
        <f t="shared" si="2"/>
        <v>0</v>
      </c>
      <c r="P34" s="34">
        <f t="shared" si="2"/>
        <v>0</v>
      </c>
      <c r="Q34" s="34">
        <f t="shared" si="2"/>
        <v>0</v>
      </c>
      <c r="R34" s="34">
        <f t="shared" si="2"/>
        <v>0</v>
      </c>
      <c r="S34" s="34">
        <f t="shared" si="2"/>
        <v>0</v>
      </c>
      <c r="T34" s="34">
        <f t="shared" si="2"/>
        <v>0</v>
      </c>
      <c r="U34" s="34">
        <f t="shared" si="2"/>
        <v>0</v>
      </c>
      <c r="V34" s="34">
        <f t="shared" si="2"/>
        <v>0</v>
      </c>
      <c r="W34" s="34">
        <f t="shared" si="2"/>
        <v>0</v>
      </c>
      <c r="X34" s="34">
        <f t="shared" si="2"/>
        <v>0</v>
      </c>
      <c r="Y34" s="34">
        <f t="shared" si="2"/>
        <v>0</v>
      </c>
      <c r="Z34" s="34">
        <f t="shared" si="2"/>
        <v>0</v>
      </c>
      <c r="AA34" s="34">
        <f t="shared" si="2"/>
        <v>0</v>
      </c>
      <c r="AB34" s="34">
        <f t="shared" si="2"/>
        <v>0</v>
      </c>
      <c r="AC34" s="34">
        <f t="shared" si="2"/>
        <v>0</v>
      </c>
      <c r="AD34" s="34">
        <f t="shared" si="2"/>
        <v>0</v>
      </c>
      <c r="AE34" s="34">
        <f t="shared" si="2"/>
        <v>0</v>
      </c>
      <c r="AF34" s="34">
        <f t="shared" si="2"/>
        <v>0</v>
      </c>
      <c r="AG34" s="34">
        <f t="shared" si="2"/>
        <v>0</v>
      </c>
      <c r="AH34" s="34">
        <f t="shared" si="2"/>
        <v>0</v>
      </c>
      <c r="AI34" s="34">
        <f t="shared" si="2"/>
        <v>0</v>
      </c>
      <c r="AJ34" s="146">
        <f>SUM(E34:AI34)</f>
        <v>0</v>
      </c>
      <c r="AL34" s="902">
        <f>SUMIFS(Таблица1[Столбец2],Таблица1[партия],W1,Таблица1[изд],N1)</f>
        <v>0</v>
      </c>
      <c r="AM34" s="902"/>
      <c r="AN34" s="902"/>
      <c r="AO34" s="902"/>
    </row>
    <row r="35" spans="1:41" ht="9" customHeight="1">
      <c r="A35" s="149"/>
      <c r="B35" s="149"/>
      <c r="C35" s="150"/>
      <c r="D35" s="149"/>
      <c r="E35" s="149"/>
      <c r="F35" s="149"/>
      <c r="G35" s="149"/>
      <c r="H35" s="149"/>
      <c r="I35" s="149"/>
      <c r="J35" s="149"/>
      <c r="K35" s="149"/>
      <c r="L35" s="149"/>
      <c r="M35" s="149"/>
      <c r="N35" s="149"/>
      <c r="O35" s="149"/>
      <c r="P35" s="149"/>
      <c r="Q35" s="149"/>
      <c r="R35" s="149"/>
      <c r="S35" s="149"/>
      <c r="T35" s="149"/>
      <c r="U35" s="149"/>
      <c r="V35" s="149"/>
      <c r="W35" s="149"/>
      <c r="X35" s="149"/>
      <c r="Y35" s="149"/>
      <c r="Z35" s="149"/>
      <c r="AA35" s="149"/>
      <c r="AB35" s="149"/>
      <c r="AC35" s="149"/>
      <c r="AD35" s="149"/>
      <c r="AE35" s="149"/>
      <c r="AF35" s="149"/>
      <c r="AG35" s="149"/>
      <c r="AH35" s="149"/>
      <c r="AI35" s="149"/>
      <c r="AJ35" s="151"/>
      <c r="AL35" s="902"/>
      <c r="AM35" s="902"/>
      <c r="AN35" s="902"/>
      <c r="AO35" s="902"/>
    </row>
    <row r="36" spans="1:41" ht="17.25" customHeight="1">
      <c r="A36" s="149"/>
      <c r="B36" s="149"/>
      <c r="C36" s="296" t="s">
        <v>64</v>
      </c>
      <c r="D36" s="263"/>
      <c r="E36" s="263"/>
      <c r="F36" s="263"/>
      <c r="G36" s="295" t="str">
        <f>Data_Tech!$AU$7</f>
        <v>Кувшинов А.Г.</v>
      </c>
      <c r="H36" s="295"/>
      <c r="I36" s="262"/>
      <c r="J36" s="262"/>
      <c r="K36" s="149"/>
      <c r="L36" s="149"/>
      <c r="M36" s="149"/>
      <c r="N36" s="149"/>
      <c r="O36" s="149"/>
      <c r="P36" s="149"/>
      <c r="Q36" s="149"/>
      <c r="R36" s="261" t="s">
        <v>246</v>
      </c>
      <c r="S36" s="261"/>
      <c r="T36" s="261"/>
      <c r="U36" s="261"/>
      <c r="V36" s="260"/>
      <c r="W36" s="260"/>
      <c r="X36" s="260"/>
      <c r="Y36" s="260"/>
      <c r="Z36" s="260"/>
      <c r="AA36" s="261" t="s">
        <v>108</v>
      </c>
      <c r="AB36" s="261"/>
      <c r="AC36" s="62"/>
      <c r="AD36" s="62"/>
      <c r="AE36" s="149"/>
      <c r="AF36" s="149"/>
      <c r="AG36" s="149"/>
      <c r="AH36" s="149"/>
      <c r="AI36" s="149"/>
      <c r="AJ36" s="149"/>
      <c r="AL36" s="902"/>
      <c r="AM36" s="902"/>
      <c r="AN36" s="902"/>
      <c r="AO36" s="902"/>
    </row>
    <row r="37" spans="1:41" ht="15" customHeight="1">
      <c r="A37" s="149"/>
      <c r="B37" s="149"/>
      <c r="C37" s="150"/>
      <c r="D37" s="149"/>
      <c r="E37" s="149"/>
      <c r="F37" s="149"/>
      <c r="G37" s="149"/>
      <c r="H37" s="149"/>
      <c r="I37" s="149"/>
      <c r="J37" s="149"/>
      <c r="K37" s="149"/>
      <c r="L37" s="149"/>
      <c r="M37" s="149"/>
      <c r="N37" s="149"/>
      <c r="O37" s="149"/>
      <c r="P37" s="149"/>
      <c r="Q37" s="149"/>
      <c r="R37" s="149"/>
      <c r="S37" s="149"/>
      <c r="T37" s="149"/>
      <c r="U37" s="149"/>
      <c r="V37" s="149"/>
      <c r="W37" s="149"/>
      <c r="X37" s="149"/>
      <c r="Y37" s="149"/>
      <c r="Z37" s="149"/>
      <c r="AA37" s="222"/>
      <c r="AB37" s="149"/>
      <c r="AC37" s="149"/>
      <c r="AD37" s="149"/>
      <c r="AE37" s="149"/>
      <c r="AF37" s="149"/>
      <c r="AG37" s="149"/>
      <c r="AH37" s="149"/>
      <c r="AI37" s="149"/>
      <c r="AJ37" s="149"/>
      <c r="AL37" s="902"/>
      <c r="AM37" s="902"/>
      <c r="AN37" s="902"/>
      <c r="AO37" s="902"/>
    </row>
    <row r="38" spans="1:41" ht="20.25" customHeight="1">
      <c r="B38" s="62"/>
      <c r="C38" s="63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</row>
    <row r="39" spans="1:41" ht="18.75">
      <c r="AJ39" s="64"/>
    </row>
    <row r="40" spans="1:41" ht="18">
      <c r="C40" s="52"/>
      <c r="D40" s="53"/>
    </row>
    <row r="41" spans="1:41" ht="18">
      <c r="C41" s="52"/>
      <c r="D41" s="53"/>
    </row>
  </sheetData>
  <mergeCells count="11">
    <mergeCell ref="AL33:AN33"/>
    <mergeCell ref="AL34:AO37"/>
    <mergeCell ref="B1:I5"/>
    <mergeCell ref="N1:T1"/>
    <mergeCell ref="U1:V1"/>
    <mergeCell ref="W1:Y1"/>
    <mergeCell ref="AD2:AE2"/>
    <mergeCell ref="AD3:AE3"/>
    <mergeCell ref="AD4:AE4"/>
    <mergeCell ref="J5:K5"/>
    <mergeCell ref="L5:M5"/>
  </mergeCells>
  <pageMargins left="0.25" right="0.25" top="0.75" bottom="0.75" header="0.3" footer="0.3"/>
  <pageSetup paperSize="9" scale="57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O41"/>
  <sheetViews>
    <sheetView view="pageBreakPreview" zoomScale="60" zoomScaleNormal="60" workbookViewId="0">
      <selection activeCell="N1" sqref="N1:Y1"/>
    </sheetView>
  </sheetViews>
  <sheetFormatPr defaultRowHeight="15"/>
  <cols>
    <col min="1" max="1" customWidth="true" style="45" width="5.28515625"/>
    <col min="2" max="2" customWidth="true" style="45" width="7.5703125"/>
    <col min="3" max="3" customWidth="true" style="50" width="31.28515625"/>
    <col min="4" max="4" style="45" width="9.140625"/>
    <col min="5" max="35" customWidth="true" style="45" width="6.0"/>
    <col min="36" max="37" style="45" width="9.140625"/>
    <col min="38" max="38" customWidth="true" style="45" width="22.0"/>
    <col min="39" max="16384" style="45" width="9.140625"/>
  </cols>
  <sheetData>
    <row r="1" spans="1:36" s="32" customFormat="1" ht="29.25" customHeight="1">
      <c r="A1" s="152"/>
      <c r="B1" s="914" t="s">
        <v>75</v>
      </c>
      <c r="C1" s="914"/>
      <c r="D1" s="914"/>
      <c r="E1" s="914"/>
      <c r="F1" s="914"/>
      <c r="G1" s="914"/>
      <c r="H1" s="914"/>
      <c r="I1" s="914"/>
      <c r="J1" s="153" t="s">
        <v>68</v>
      </c>
      <c r="K1" s="249"/>
      <c r="L1" s="153"/>
      <c r="M1" s="153"/>
      <c r="N1" s="920">
        <v>6001</v>
      </c>
      <c r="O1" s="920"/>
      <c r="P1" s="920"/>
      <c r="Q1" s="920"/>
      <c r="R1" s="920"/>
      <c r="S1" s="920"/>
      <c r="T1" s="920"/>
      <c r="U1" s="918" t="s">
        <v>10</v>
      </c>
      <c r="V1" s="918"/>
      <c r="W1" s="919" t="s">
        <v>107</v>
      </c>
      <c r="X1" s="919"/>
      <c r="Y1" s="919"/>
      <c r="Z1" s="154"/>
      <c r="AA1" s="155"/>
      <c r="AB1" s="156"/>
      <c r="AC1" s="156"/>
      <c r="AD1" s="156"/>
      <c r="AE1" s="152"/>
      <c r="AF1" s="152"/>
      <c r="AG1" s="152"/>
      <c r="AH1" s="154"/>
      <c r="AI1" s="154"/>
      <c r="AJ1" s="155"/>
    </row>
    <row r="2" spans="1:36" s="32" customFormat="1" ht="24" customHeight="1">
      <c r="A2" s="152"/>
      <c r="B2" s="914"/>
      <c r="C2" s="914"/>
      <c r="D2" s="914"/>
      <c r="E2" s="914"/>
      <c r="F2" s="914"/>
      <c r="G2" s="914"/>
      <c r="H2" s="914"/>
      <c r="I2" s="914"/>
      <c r="J2" s="157"/>
      <c r="K2" s="158"/>
      <c r="L2" s="158"/>
      <c r="M2" s="158"/>
      <c r="N2" s="158"/>
      <c r="O2" s="567"/>
      <c r="P2" s="567"/>
      <c r="Q2" s="567"/>
      <c r="R2" s="251"/>
      <c r="S2" s="252"/>
      <c r="T2" s="253"/>
      <c r="U2" s="158"/>
      <c r="V2" s="158"/>
      <c r="W2" s="161"/>
      <c r="X2" s="161"/>
      <c r="Y2" s="161"/>
      <c r="Z2" s="154"/>
      <c r="AA2" s="154"/>
      <c r="AB2" s="248" t="s">
        <v>10</v>
      </c>
      <c r="AC2" s="248"/>
      <c r="AD2" s="917">
        <v>6400</v>
      </c>
      <c r="AE2" s="917"/>
      <c r="AF2" s="248"/>
      <c r="AG2" s="248" t="s">
        <v>76</v>
      </c>
      <c r="AH2" s="248"/>
      <c r="AI2" s="248"/>
      <c r="AJ2" s="155"/>
    </row>
    <row r="3" spans="1:36" s="32" customFormat="1" ht="24" customHeight="1">
      <c r="A3" s="152"/>
      <c r="B3" s="914"/>
      <c r="C3" s="914"/>
      <c r="D3" s="914"/>
      <c r="E3" s="914"/>
      <c r="F3" s="914"/>
      <c r="G3" s="914"/>
      <c r="H3" s="914"/>
      <c r="I3" s="914"/>
      <c r="J3" s="157"/>
      <c r="K3" s="163" t="s">
        <v>77</v>
      </c>
      <c r="L3" s="158"/>
      <c r="M3" s="158"/>
      <c r="N3" s="164"/>
      <c r="O3" s="254"/>
      <c r="P3" s="254" t="e">
        <f>INDEX(база!$AL:$AL, MATCH(N1,база!$AK:$AK,0))</f>
        <v>#N/A</v>
      </c>
      <c r="Q3" s="254"/>
      <c r="R3" s="255"/>
      <c r="S3" s="255"/>
      <c r="T3" s="256"/>
      <c r="U3" s="158"/>
      <c r="V3" s="158"/>
      <c r="W3" s="165"/>
      <c r="X3" s="165"/>
      <c r="Y3" s="165"/>
      <c r="Z3" s="154"/>
      <c r="AA3" s="154"/>
      <c r="AB3" s="248" t="s">
        <v>78</v>
      </c>
      <c r="AC3" s="248"/>
      <c r="AD3" s="917">
        <v>70</v>
      </c>
      <c r="AE3" s="917"/>
      <c r="AF3" s="248"/>
      <c r="AG3" s="248" t="s">
        <v>85</v>
      </c>
      <c r="AH3" s="248"/>
      <c r="AI3" s="248"/>
      <c r="AJ3" s="155"/>
    </row>
    <row r="4" spans="1:36" s="32" customFormat="1" ht="24" customHeight="1">
      <c r="A4" s="152"/>
      <c r="B4" s="914"/>
      <c r="C4" s="914"/>
      <c r="D4" s="914"/>
      <c r="E4" s="914"/>
      <c r="F4" s="914"/>
      <c r="G4" s="914"/>
      <c r="H4" s="914"/>
      <c r="I4" s="914"/>
      <c r="J4" s="157"/>
      <c r="K4" s="158"/>
      <c r="L4" s="158"/>
      <c r="M4" s="158"/>
      <c r="N4" s="158"/>
      <c r="O4" s="166"/>
      <c r="P4" s="166"/>
      <c r="Q4" s="166"/>
      <c r="R4" s="154"/>
      <c r="S4" s="154"/>
      <c r="T4" s="159"/>
      <c r="U4" s="568"/>
      <c r="V4" s="568"/>
      <c r="W4" s="165"/>
      <c r="X4" s="165"/>
      <c r="Y4" s="165"/>
      <c r="Z4" s="154"/>
      <c r="AA4" s="154"/>
      <c r="AB4" s="248" t="s">
        <v>79</v>
      </c>
      <c r="AC4" s="248"/>
      <c r="AD4" s="917">
        <v>70</v>
      </c>
      <c r="AE4" s="917"/>
      <c r="AF4" s="248"/>
      <c r="AG4" s="248" t="s">
        <v>80</v>
      </c>
      <c r="AH4" s="248"/>
      <c r="AI4" s="248"/>
      <c r="AJ4" s="155"/>
    </row>
    <row r="5" spans="1:36" s="32" customFormat="1" ht="24" customHeight="1">
      <c r="A5" s="152"/>
      <c r="B5" s="914"/>
      <c r="C5" s="914"/>
      <c r="D5" s="914"/>
      <c r="E5" s="914"/>
      <c r="F5" s="914"/>
      <c r="G5" s="914"/>
      <c r="H5" s="914"/>
      <c r="I5" s="914"/>
      <c r="J5" s="915" t="str">
        <f>Data_Tech!A3</f>
        <v>январь</v>
      </c>
      <c r="K5" s="915"/>
      <c r="L5" s="916">
        <v>2022</v>
      </c>
      <c r="M5" s="916"/>
      <c r="N5" s="167"/>
      <c r="O5" s="167"/>
      <c r="P5" s="167"/>
      <c r="Q5" s="167"/>
      <c r="R5" s="167"/>
      <c r="S5" s="167"/>
      <c r="T5" s="167"/>
      <c r="U5" s="167"/>
      <c r="V5" s="167"/>
      <c r="W5" s="154"/>
      <c r="X5" s="154"/>
      <c r="Y5" s="154"/>
      <c r="Z5" s="154"/>
      <c r="AA5" s="154"/>
      <c r="AB5" s="248" t="s">
        <v>81</v>
      </c>
      <c r="AC5" s="248"/>
      <c r="AD5" s="248">
        <v>0</v>
      </c>
      <c r="AE5" s="248"/>
      <c r="AF5" s="248"/>
      <c r="AG5" s="248" t="s">
        <v>82</v>
      </c>
      <c r="AH5" s="248"/>
      <c r="AI5" s="248"/>
      <c r="AJ5" s="155"/>
    </row>
    <row r="6" spans="1:36" s="32" customFormat="1" ht="25.5" customHeight="1">
      <c r="A6" s="152"/>
      <c r="B6" s="134" t="s">
        <v>9</v>
      </c>
      <c r="C6" s="135" t="s">
        <v>0</v>
      </c>
      <c r="D6" s="136" t="s">
        <v>1</v>
      </c>
      <c r="E6" s="137">
        <v>1</v>
      </c>
      <c r="F6" s="137">
        <v>2</v>
      </c>
      <c r="G6" s="137">
        <v>3</v>
      </c>
      <c r="H6" s="137">
        <v>4</v>
      </c>
      <c r="I6" s="137">
        <v>5</v>
      </c>
      <c r="J6" s="137">
        <v>6</v>
      </c>
      <c r="K6" s="137">
        <v>7</v>
      </c>
      <c r="L6" s="137">
        <v>8</v>
      </c>
      <c r="M6" s="137">
        <v>9</v>
      </c>
      <c r="N6" s="137">
        <v>10</v>
      </c>
      <c r="O6" s="137">
        <v>11</v>
      </c>
      <c r="P6" s="137">
        <v>12</v>
      </c>
      <c r="Q6" s="137">
        <v>13</v>
      </c>
      <c r="R6" s="137">
        <v>14</v>
      </c>
      <c r="S6" s="137">
        <v>15</v>
      </c>
      <c r="T6" s="137">
        <v>16</v>
      </c>
      <c r="U6" s="137">
        <v>17</v>
      </c>
      <c r="V6" s="137">
        <v>18</v>
      </c>
      <c r="W6" s="137">
        <v>19</v>
      </c>
      <c r="X6" s="137">
        <v>20</v>
      </c>
      <c r="Y6" s="137">
        <v>21</v>
      </c>
      <c r="Z6" s="137">
        <v>22</v>
      </c>
      <c r="AA6" s="137">
        <v>23</v>
      </c>
      <c r="AB6" s="137">
        <v>24</v>
      </c>
      <c r="AC6" s="137">
        <v>25</v>
      </c>
      <c r="AD6" s="137">
        <v>26</v>
      </c>
      <c r="AE6" s="137">
        <v>27</v>
      </c>
      <c r="AF6" s="137">
        <v>28</v>
      </c>
      <c r="AG6" s="137">
        <v>29</v>
      </c>
      <c r="AH6" s="137">
        <v>30</v>
      </c>
      <c r="AI6" s="137">
        <v>31</v>
      </c>
      <c r="AJ6" s="138"/>
    </row>
    <row r="7" spans="1:36" ht="33" customHeight="1">
      <c r="A7" s="149">
        <v>1</v>
      </c>
      <c r="B7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140">
        <f t="shared" ref="AJ7:AJ24" si="0">SUM(E7:AI7)</f>
        <v>0</v>
      </c>
    </row>
    <row r="8" spans="1:36" ht="33" customHeight="1">
      <c r="A8" s="149">
        <v>2</v>
      </c>
      <c r="B8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141">
        <f t="shared" si="0"/>
        <v>0</v>
      </c>
    </row>
    <row r="9" spans="1:36" ht="33" customHeight="1">
      <c r="A9" s="149">
        <v>3</v>
      </c>
      <c r="B9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140">
        <f t="shared" si="0"/>
        <v>0</v>
      </c>
    </row>
    <row r="10" spans="1:36" ht="33" customHeight="1">
      <c r="A10" s="149">
        <v>4</v>
      </c>
      <c r="B10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141">
        <f t="shared" si="0"/>
        <v>0</v>
      </c>
    </row>
    <row r="11" spans="1:36" ht="33" customHeight="1">
      <c r="A11" s="149">
        <v>5</v>
      </c>
      <c r="B11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140">
        <f t="shared" si="0"/>
        <v>0</v>
      </c>
    </row>
    <row r="12" spans="1:36" ht="33" customHeight="1">
      <c r="A12" s="149">
        <v>6</v>
      </c>
      <c r="B12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140">
        <f t="shared" si="0"/>
        <v>0</v>
      </c>
    </row>
    <row r="13" spans="1:36" ht="33" customHeight="1">
      <c r="A13" s="149">
        <v>7</v>
      </c>
      <c r="B13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140">
        <f t="shared" si="0"/>
        <v>0</v>
      </c>
    </row>
    <row r="14" spans="1:36" ht="33" customHeight="1">
      <c r="A14" s="149">
        <v>8</v>
      </c>
      <c r="B14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141">
        <f t="shared" si="0"/>
        <v>0</v>
      </c>
    </row>
    <row r="15" spans="1:36" ht="33" customHeight="1">
      <c r="A15" s="149">
        <v>9</v>
      </c>
      <c r="B15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142">
        <f t="shared" si="0"/>
        <v>0</v>
      </c>
    </row>
    <row r="16" spans="1:36" ht="33" customHeight="1">
      <c r="A16" s="149">
        <v>10</v>
      </c>
      <c r="B16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142">
        <f t="shared" si="0"/>
        <v>0</v>
      </c>
    </row>
    <row r="17" spans="1:36" ht="33" customHeight="1">
      <c r="A17" s="149">
        <v>11</v>
      </c>
      <c r="B17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140">
        <f t="shared" si="0"/>
        <v>0</v>
      </c>
    </row>
    <row r="18" spans="1:36" ht="33" customHeight="1">
      <c r="A18" s="149">
        <v>12</v>
      </c>
      <c r="B18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141">
        <f t="shared" si="0"/>
        <v>0</v>
      </c>
    </row>
    <row r="19" spans="1:36" ht="33" customHeight="1">
      <c r="A19" s="149">
        <v>13</v>
      </c>
      <c r="B19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140">
        <f t="shared" si="0"/>
        <v>0</v>
      </c>
    </row>
    <row r="20" spans="1:36" ht="33" customHeight="1">
      <c r="A20" s="149">
        <v>14</v>
      </c>
      <c r="B20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141">
        <f t="shared" si="0"/>
        <v>0</v>
      </c>
    </row>
    <row r="21" spans="1:36" ht="33" customHeight="1">
      <c r="A21" s="149">
        <v>15</v>
      </c>
      <c r="B21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140">
        <f t="shared" si="0"/>
        <v>0</v>
      </c>
    </row>
    <row r="22" spans="1:36" ht="33" customHeight="1">
      <c r="A22" s="149">
        <v>16</v>
      </c>
      <c r="B22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140">
        <f t="shared" si="0"/>
        <v>0</v>
      </c>
    </row>
    <row r="23" spans="1:36" ht="33" customHeight="1">
      <c r="A23" s="149">
        <v>17</v>
      </c>
      <c r="B23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140">
        <f t="shared" si="0"/>
        <v>0</v>
      </c>
    </row>
    <row r="24" spans="1:36" ht="28.5" customHeight="1">
      <c r="A24" s="149">
        <v>18</v>
      </c>
      <c r="B24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140">
        <f t="shared" si="0"/>
        <v>0</v>
      </c>
    </row>
    <row r="25" spans="1:36" ht="25.5" customHeight="1">
      <c r="A25" s="149">
        <v>19</v>
      </c>
      <c r="B25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140">
        <f>SUM(E25:AI25)</f>
        <v>0</v>
      </c>
    </row>
    <row r="26" spans="1:36" ht="25.5" customHeight="1">
      <c r="A26" s="149">
        <v>20</v>
      </c>
      <c r="B26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140">
        <f t="shared" ref="AJ26:AJ33" si="1">SUM(E26:AI26)</f>
        <v>0</v>
      </c>
    </row>
    <row r="27" spans="1:36" ht="25.5" hidden="1" customHeight="1">
      <c r="A27" s="149">
        <v>21</v>
      </c>
      <c r="B27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140">
        <f t="shared" si="1"/>
        <v>0</v>
      </c>
    </row>
    <row r="28" spans="1:36" ht="25.5" hidden="1" customHeight="1">
      <c r="A28" s="149">
        <v>22</v>
      </c>
      <c r="B28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140">
        <f t="shared" si="1"/>
        <v>0</v>
      </c>
    </row>
    <row r="29" spans="1:36" ht="25.5" hidden="1" customHeight="1">
      <c r="A29" s="149">
        <v>23</v>
      </c>
      <c r="B29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140">
        <f t="shared" si="1"/>
        <v>0</v>
      </c>
    </row>
    <row r="30" spans="1:36" ht="25.5" hidden="1" customHeight="1">
      <c r="A30" s="149">
        <v>24</v>
      </c>
      <c r="B30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140">
        <f t="shared" si="1"/>
        <v>0</v>
      </c>
    </row>
    <row r="31" spans="1:36" ht="25.5" hidden="1" customHeight="1">
      <c r="A31" s="149">
        <v>25</v>
      </c>
      <c r="B31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140">
        <f t="shared" si="1"/>
        <v>0</v>
      </c>
    </row>
    <row r="32" spans="1:36" ht="25.5" hidden="1" customHeight="1">
      <c r="A32" s="149">
        <v>26</v>
      </c>
      <c r="B32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140">
        <f t="shared" si="1"/>
        <v>0</v>
      </c>
    </row>
    <row r="33" spans="1:41" ht="25.5" customHeight="1">
      <c r="A33" s="149"/>
      <c r="B33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140">
        <f t="shared" si="1"/>
        <v>0</v>
      </c>
      <c r="AL33" s="903" t="s">
        <v>94</v>
      </c>
      <c r="AM33" s="903"/>
      <c r="AN33" s="903"/>
    </row>
    <row r="34" spans="1:41" ht="15" customHeight="1">
      <c r="A34" s="149"/>
      <c r="B34" s="36"/>
      <c r="C34" s="33" t="s">
        <v>63</v>
      </c>
      <c r="D34" s="36"/>
      <c r="E34" s="34">
        <f>SUM(E7:E33)</f>
        <v>0</v>
      </c>
      <c r="F34" s="34">
        <f t="shared" ref="F34:AI34" si="2">SUM(F7:F33)</f>
        <v>0</v>
      </c>
      <c r="G34" s="34">
        <f t="shared" si="2"/>
        <v>0</v>
      </c>
      <c r="H34" s="34">
        <f t="shared" si="2"/>
        <v>0</v>
      </c>
      <c r="I34" s="34">
        <f t="shared" si="2"/>
        <v>0</v>
      </c>
      <c r="J34" s="34">
        <f t="shared" si="2"/>
        <v>0</v>
      </c>
      <c r="K34" s="34">
        <f t="shared" si="2"/>
        <v>0</v>
      </c>
      <c r="L34" s="34">
        <f t="shared" si="2"/>
        <v>0</v>
      </c>
      <c r="M34" s="34">
        <f t="shared" si="2"/>
        <v>0</v>
      </c>
      <c r="N34" s="34">
        <f t="shared" si="2"/>
        <v>0</v>
      </c>
      <c r="O34" s="34">
        <f t="shared" si="2"/>
        <v>0</v>
      </c>
      <c r="P34" s="34">
        <f t="shared" si="2"/>
        <v>0</v>
      </c>
      <c r="Q34" s="34">
        <f t="shared" si="2"/>
        <v>0</v>
      </c>
      <c r="R34" s="34">
        <f t="shared" si="2"/>
        <v>0</v>
      </c>
      <c r="S34" s="34">
        <f t="shared" si="2"/>
        <v>0</v>
      </c>
      <c r="T34" s="34">
        <f t="shared" si="2"/>
        <v>0</v>
      </c>
      <c r="U34" s="34">
        <f t="shared" si="2"/>
        <v>0</v>
      </c>
      <c r="V34" s="34">
        <f t="shared" si="2"/>
        <v>0</v>
      </c>
      <c r="W34" s="34">
        <f t="shared" si="2"/>
        <v>0</v>
      </c>
      <c r="X34" s="34">
        <f t="shared" si="2"/>
        <v>0</v>
      </c>
      <c r="Y34" s="34">
        <f t="shared" si="2"/>
        <v>0</v>
      </c>
      <c r="Z34" s="34">
        <f t="shared" si="2"/>
        <v>0</v>
      </c>
      <c r="AA34" s="34">
        <f t="shared" si="2"/>
        <v>0</v>
      </c>
      <c r="AB34" s="34">
        <f t="shared" si="2"/>
        <v>0</v>
      </c>
      <c r="AC34" s="34">
        <f t="shared" si="2"/>
        <v>0</v>
      </c>
      <c r="AD34" s="34">
        <f t="shared" si="2"/>
        <v>0</v>
      </c>
      <c r="AE34" s="34">
        <f t="shared" si="2"/>
        <v>0</v>
      </c>
      <c r="AF34" s="34">
        <f t="shared" si="2"/>
        <v>0</v>
      </c>
      <c r="AG34" s="34">
        <f t="shared" si="2"/>
        <v>0</v>
      </c>
      <c r="AH34" s="34">
        <f t="shared" si="2"/>
        <v>0</v>
      </c>
      <c r="AI34" s="34">
        <f t="shared" si="2"/>
        <v>0</v>
      </c>
      <c r="AJ34" s="146">
        <f>SUM(E34:AI34)</f>
        <v>0</v>
      </c>
      <c r="AL34" s="902">
        <f>SUMIFS(Таблица1[Столбец2],Таблица1[партия],W1,Таблица1[изд],N1)</f>
        <v>0</v>
      </c>
      <c r="AM34" s="902"/>
      <c r="AN34" s="902"/>
      <c r="AO34" s="902"/>
    </row>
    <row r="35" spans="1:41" ht="9" customHeight="1">
      <c r="A35" s="149"/>
      <c r="B35" s="149"/>
      <c r="C35" s="150"/>
      <c r="D35" s="149"/>
      <c r="E35" s="149"/>
      <c r="F35" s="149"/>
      <c r="G35" s="149"/>
      <c r="H35" s="149"/>
      <c r="I35" s="149"/>
      <c r="J35" s="149"/>
      <c r="K35" s="149"/>
      <c r="L35" s="149"/>
      <c r="M35" s="149"/>
      <c r="N35" s="149"/>
      <c r="O35" s="149"/>
      <c r="P35" s="149"/>
      <c r="Q35" s="149"/>
      <c r="R35" s="149"/>
      <c r="S35" s="149"/>
      <c r="T35" s="149"/>
      <c r="U35" s="149"/>
      <c r="V35" s="149"/>
      <c r="W35" s="149"/>
      <c r="X35" s="149"/>
      <c r="Y35" s="149"/>
      <c r="Z35" s="149"/>
      <c r="AA35" s="149"/>
      <c r="AB35" s="149"/>
      <c r="AC35" s="149"/>
      <c r="AD35" s="149"/>
      <c r="AE35" s="149"/>
      <c r="AF35" s="149"/>
      <c r="AG35" s="149"/>
      <c r="AH35" s="149"/>
      <c r="AI35" s="149"/>
      <c r="AJ35" s="151"/>
      <c r="AL35" s="902"/>
      <c r="AM35" s="902"/>
      <c r="AN35" s="902"/>
      <c r="AO35" s="902"/>
    </row>
    <row r="36" spans="1:41" ht="17.25" customHeight="1">
      <c r="A36" s="149"/>
      <c r="B36" s="149"/>
      <c r="C36" s="296" t="s">
        <v>64</v>
      </c>
      <c r="D36" s="263"/>
      <c r="E36" s="263"/>
      <c r="F36" s="263"/>
      <c r="G36" s="295" t="str">
        <f>Data_Tech!$AU$7</f>
        <v>Кувшинов А.Г.</v>
      </c>
      <c r="H36" s="295"/>
      <c r="I36" s="262"/>
      <c r="J36" s="262"/>
      <c r="K36" s="149"/>
      <c r="L36" s="149"/>
      <c r="M36" s="149"/>
      <c r="N36" s="149"/>
      <c r="O36" s="149"/>
      <c r="P36" s="149"/>
      <c r="Q36" s="149"/>
      <c r="R36" s="261" t="s">
        <v>246</v>
      </c>
      <c r="S36" s="261"/>
      <c r="T36" s="261"/>
      <c r="U36" s="261"/>
      <c r="V36" s="260"/>
      <c r="W36" s="260"/>
      <c r="X36" s="260"/>
      <c r="Y36" s="260"/>
      <c r="Z36" s="260"/>
      <c r="AA36" s="261" t="s">
        <v>108</v>
      </c>
      <c r="AB36" s="261"/>
      <c r="AC36" s="62"/>
      <c r="AD36" s="62"/>
      <c r="AE36" s="149"/>
      <c r="AF36" s="149"/>
      <c r="AG36" s="149"/>
      <c r="AH36" s="149"/>
      <c r="AI36" s="149"/>
      <c r="AJ36" s="149"/>
      <c r="AL36" s="902"/>
      <c r="AM36" s="902"/>
      <c r="AN36" s="902"/>
      <c r="AO36" s="902"/>
    </row>
    <row r="37" spans="1:41" ht="15" customHeight="1">
      <c r="A37" s="149"/>
      <c r="B37" s="149"/>
      <c r="C37" s="150"/>
      <c r="D37" s="149"/>
      <c r="E37" s="149"/>
      <c r="F37" s="149"/>
      <c r="G37" s="149"/>
      <c r="H37" s="149"/>
      <c r="I37" s="149"/>
      <c r="J37" s="149"/>
      <c r="K37" s="149"/>
      <c r="L37" s="149"/>
      <c r="M37" s="149"/>
      <c r="N37" s="149"/>
      <c r="O37" s="149"/>
      <c r="P37" s="149"/>
      <c r="Q37" s="149"/>
      <c r="R37" s="149"/>
      <c r="S37" s="149"/>
      <c r="T37" s="149"/>
      <c r="U37" s="149"/>
      <c r="V37" s="149"/>
      <c r="W37" s="149"/>
      <c r="X37" s="149"/>
      <c r="Y37" s="149"/>
      <c r="Z37" s="149"/>
      <c r="AA37" s="222"/>
      <c r="AB37" s="149"/>
      <c r="AC37" s="149"/>
      <c r="AD37" s="149"/>
      <c r="AE37" s="149"/>
      <c r="AF37" s="149"/>
      <c r="AG37" s="149"/>
      <c r="AH37" s="149"/>
      <c r="AI37" s="149"/>
      <c r="AJ37" s="149"/>
      <c r="AL37" s="902"/>
      <c r="AM37" s="902"/>
      <c r="AN37" s="902"/>
      <c r="AO37" s="902"/>
    </row>
    <row r="38" spans="1:41" ht="20.25" customHeight="1">
      <c r="B38" s="62"/>
      <c r="C38" s="63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</row>
    <row r="39" spans="1:41" ht="18.75">
      <c r="AJ39" s="64"/>
    </row>
    <row r="40" spans="1:41" ht="18">
      <c r="C40" s="52"/>
      <c r="D40" s="53"/>
    </row>
    <row r="41" spans="1:41" ht="18">
      <c r="C41" s="52"/>
      <c r="D41" s="53"/>
    </row>
  </sheetData>
  <mergeCells count="11">
    <mergeCell ref="AL33:AN33"/>
    <mergeCell ref="AL34:AO37"/>
    <mergeCell ref="B1:I5"/>
    <mergeCell ref="N1:T1"/>
    <mergeCell ref="U1:V1"/>
    <mergeCell ref="W1:Y1"/>
    <mergeCell ref="AD2:AE2"/>
    <mergeCell ref="AD3:AE3"/>
    <mergeCell ref="AD4:AE4"/>
    <mergeCell ref="J5:K5"/>
    <mergeCell ref="L5:M5"/>
  </mergeCells>
  <pageMargins left="0.25" right="0.25" top="0.75" bottom="0.75" header="0.3" footer="0.3"/>
  <pageSetup paperSize="9" scale="57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O41"/>
  <sheetViews>
    <sheetView view="pageBreakPreview" zoomScale="60" zoomScaleNormal="50" workbookViewId="0">
      <selection activeCell="AO18" sqref="AO18"/>
    </sheetView>
  </sheetViews>
  <sheetFormatPr defaultRowHeight="15"/>
  <cols>
    <col min="1" max="1" customWidth="true" style="45" width="5.28515625"/>
    <col min="2" max="2" customWidth="true" style="45" width="7.5703125"/>
    <col min="3" max="3" customWidth="true" style="50" width="31.28515625"/>
    <col min="4" max="4" style="45" width="9.140625"/>
    <col min="5" max="35" customWidth="true" style="45" width="6.0"/>
    <col min="36" max="16384" style="45" width="9.140625"/>
  </cols>
  <sheetData>
    <row r="1" spans="1:36" s="32" customFormat="1" ht="29.25" customHeight="1">
      <c r="A1" s="152"/>
      <c r="B1" s="914" t="s">
        <v>75</v>
      </c>
      <c r="C1" s="914"/>
      <c r="D1" s="914"/>
      <c r="E1" s="914"/>
      <c r="F1" s="914"/>
      <c r="G1" s="914"/>
      <c r="H1" s="914"/>
      <c r="I1" s="914"/>
      <c r="J1" s="153" t="s">
        <v>68</v>
      </c>
      <c r="K1" s="249"/>
      <c r="L1" s="153"/>
      <c r="M1" s="153"/>
      <c r="N1" s="920">
        <v>85</v>
      </c>
      <c r="O1" s="920"/>
      <c r="P1" s="920"/>
      <c r="Q1" s="920"/>
      <c r="R1" s="920"/>
      <c r="S1" s="920"/>
      <c r="T1" s="920"/>
      <c r="U1" s="922" t="s">
        <v>10</v>
      </c>
      <c r="V1" s="922"/>
      <c r="W1" s="919" t="s">
        <v>66</v>
      </c>
      <c r="X1" s="919"/>
      <c r="Y1" s="919"/>
      <c r="Z1" s="252"/>
      <c r="AA1" s="252"/>
      <c r="AB1" s="249"/>
      <c r="AC1" s="249"/>
      <c r="AD1" s="249"/>
      <c r="AE1" s="249"/>
      <c r="AF1" s="249"/>
      <c r="AG1" s="249"/>
      <c r="AH1" s="252"/>
      <c r="AI1" s="252"/>
      <c r="AJ1" s="155"/>
    </row>
    <row r="2" spans="1:36" s="32" customFormat="1" ht="21" customHeight="1">
      <c r="A2" s="152"/>
      <c r="B2" s="914"/>
      <c r="C2" s="914"/>
      <c r="D2" s="914"/>
      <c r="E2" s="914"/>
      <c r="F2" s="914"/>
      <c r="G2" s="914"/>
      <c r="H2" s="914"/>
      <c r="I2" s="914"/>
      <c r="J2" s="264"/>
      <c r="K2" s="158"/>
      <c r="L2" s="158"/>
      <c r="M2" s="158"/>
      <c r="N2" s="158"/>
      <c r="O2" s="257"/>
      <c r="P2" s="257"/>
      <c r="Q2" s="257"/>
      <c r="R2" s="251"/>
      <c r="S2" s="252"/>
      <c r="T2" s="253"/>
      <c r="U2" s="158"/>
      <c r="V2" s="158"/>
      <c r="W2" s="161"/>
      <c r="X2" s="161"/>
      <c r="Y2" s="161"/>
      <c r="Z2" s="252"/>
      <c r="AA2" s="252"/>
      <c r="AB2" s="248" t="s">
        <v>10</v>
      </c>
      <c r="AC2" s="248"/>
      <c r="AD2" s="917"/>
      <c r="AE2" s="917"/>
      <c r="AF2" s="248"/>
      <c r="AG2" s="248" t="s">
        <v>76</v>
      </c>
      <c r="AH2" s="248"/>
      <c r="AI2" s="248"/>
      <c r="AJ2" s="155"/>
    </row>
    <row r="3" spans="1:36" s="32" customFormat="1" ht="21" customHeight="1">
      <c r="A3" s="152"/>
      <c r="B3" s="914"/>
      <c r="C3" s="914"/>
      <c r="D3" s="914"/>
      <c r="E3" s="914"/>
      <c r="F3" s="914"/>
      <c r="G3" s="914"/>
      <c r="H3" s="914"/>
      <c r="I3" s="914"/>
      <c r="J3" s="264"/>
      <c r="K3" s="163" t="s">
        <v>77</v>
      </c>
      <c r="L3" s="158"/>
      <c r="M3" s="158"/>
      <c r="N3" s="164"/>
      <c r="O3" s="254"/>
      <c r="P3" s="254"/>
      <c r="Q3" s="254" t="e">
        <f>INDEX(база!$AL:$AL, MATCH(N1,база!$AK:$AK,0))</f>
        <v>#N/A</v>
      </c>
      <c r="R3" s="255"/>
      <c r="S3" s="255"/>
      <c r="T3" s="256"/>
      <c r="U3" s="158"/>
      <c r="V3" s="158"/>
      <c r="W3" s="165"/>
      <c r="X3" s="165"/>
      <c r="Y3" s="165"/>
      <c r="Z3" s="252"/>
      <c r="AA3" s="252"/>
      <c r="AB3" s="248" t="s">
        <v>78</v>
      </c>
      <c r="AC3" s="248"/>
      <c r="AD3" s="917"/>
      <c r="AE3" s="917"/>
      <c r="AF3" s="248"/>
      <c r="AG3" s="248" t="s">
        <v>85</v>
      </c>
      <c r="AH3" s="248"/>
      <c r="AI3" s="248"/>
      <c r="AJ3" s="155"/>
    </row>
    <row r="4" spans="1:36" s="32" customFormat="1" ht="21" customHeight="1">
      <c r="A4" s="152"/>
      <c r="B4" s="914"/>
      <c r="C4" s="914"/>
      <c r="D4" s="914"/>
      <c r="E4" s="914"/>
      <c r="F4" s="914"/>
      <c r="G4" s="914"/>
      <c r="H4" s="914"/>
      <c r="I4" s="914"/>
      <c r="J4" s="264"/>
      <c r="K4" s="158"/>
      <c r="L4" s="158"/>
      <c r="M4" s="158"/>
      <c r="N4" s="158"/>
      <c r="O4" s="265"/>
      <c r="P4" s="265"/>
      <c r="Q4" s="265"/>
      <c r="R4" s="252"/>
      <c r="S4" s="252"/>
      <c r="T4" s="253"/>
      <c r="U4" s="158"/>
      <c r="V4" s="158"/>
      <c r="W4" s="165"/>
      <c r="X4" s="165"/>
      <c r="Y4" s="165"/>
      <c r="Z4" s="252"/>
      <c r="AA4" s="252"/>
      <c r="AB4" s="248" t="s">
        <v>79</v>
      </c>
      <c r="AC4" s="248"/>
      <c r="AD4" s="917"/>
      <c r="AE4" s="917"/>
      <c r="AF4" s="248"/>
      <c r="AG4" s="248" t="s">
        <v>80</v>
      </c>
      <c r="AH4" s="248"/>
      <c r="AI4" s="248"/>
      <c r="AJ4" s="155"/>
    </row>
    <row r="5" spans="1:36" s="32" customFormat="1" ht="24" customHeight="1">
      <c r="A5" s="152"/>
      <c r="B5" s="914"/>
      <c r="C5" s="914"/>
      <c r="D5" s="914"/>
      <c r="E5" s="914"/>
      <c r="F5" s="914"/>
      <c r="G5" s="914"/>
      <c r="H5" s="914"/>
      <c r="I5" s="914"/>
      <c r="J5" s="915" t="str">
        <f>Data_Tech!A3</f>
        <v>январь</v>
      </c>
      <c r="K5" s="915"/>
      <c r="L5" s="916">
        <v>2022</v>
      </c>
      <c r="M5" s="916"/>
      <c r="N5" s="266"/>
      <c r="O5" s="266"/>
      <c r="P5" s="266"/>
      <c r="Q5" s="266"/>
      <c r="R5" s="266"/>
      <c r="S5" s="266"/>
      <c r="T5" s="266"/>
      <c r="U5" s="266"/>
      <c r="V5" s="266"/>
      <c r="W5" s="252"/>
      <c r="X5" s="252"/>
      <c r="Y5" s="252"/>
      <c r="Z5" s="252"/>
      <c r="AA5" s="252"/>
      <c r="AB5" s="248" t="s">
        <v>81</v>
      </c>
      <c r="AC5" s="248"/>
      <c r="AD5" s="248"/>
      <c r="AE5" s="248"/>
      <c r="AF5" s="248"/>
      <c r="AG5" s="248" t="s">
        <v>82</v>
      </c>
      <c r="AH5" s="248"/>
      <c r="AI5" s="248"/>
      <c r="AJ5" s="155"/>
    </row>
    <row r="6" spans="1:36" s="32" customFormat="1" ht="27" customHeight="1">
      <c r="A6" s="152"/>
      <c r="B6" s="134" t="s">
        <v>9</v>
      </c>
      <c r="C6" s="135" t="s">
        <v>0</v>
      </c>
      <c r="D6" s="136" t="s">
        <v>1</v>
      </c>
      <c r="E6" s="137">
        <v>1</v>
      </c>
      <c r="F6" s="137">
        <v>2</v>
      </c>
      <c r="G6" s="137">
        <v>3</v>
      </c>
      <c r="H6" s="137">
        <v>4</v>
      </c>
      <c r="I6" s="137">
        <v>5</v>
      </c>
      <c r="J6" s="137">
        <v>6</v>
      </c>
      <c r="K6" s="137">
        <v>7</v>
      </c>
      <c r="L6" s="137">
        <v>8</v>
      </c>
      <c r="M6" s="137">
        <v>9</v>
      </c>
      <c r="N6" s="137">
        <v>10</v>
      </c>
      <c r="O6" s="137">
        <v>11</v>
      </c>
      <c r="P6" s="137">
        <v>12</v>
      </c>
      <c r="Q6" s="137">
        <v>13</v>
      </c>
      <c r="R6" s="137">
        <v>14</v>
      </c>
      <c r="S6" s="137">
        <v>15</v>
      </c>
      <c r="T6" s="137">
        <v>16</v>
      </c>
      <c r="U6" s="137">
        <v>17</v>
      </c>
      <c r="V6" s="137">
        <v>18</v>
      </c>
      <c r="W6" s="137">
        <v>19</v>
      </c>
      <c r="X6" s="137">
        <v>20</v>
      </c>
      <c r="Y6" s="137">
        <v>21</v>
      </c>
      <c r="Z6" s="137">
        <v>22</v>
      </c>
      <c r="AA6" s="137">
        <v>23</v>
      </c>
      <c r="AB6" s="137">
        <v>24</v>
      </c>
      <c r="AC6" s="137">
        <v>25</v>
      </c>
      <c r="AD6" s="137">
        <v>26</v>
      </c>
      <c r="AE6" s="137">
        <v>27</v>
      </c>
      <c r="AF6" s="137">
        <v>28</v>
      </c>
      <c r="AG6" s="137">
        <v>29</v>
      </c>
      <c r="AH6" s="137">
        <v>30</v>
      </c>
      <c r="AI6" s="137">
        <v>31</v>
      </c>
      <c r="AJ6" s="138"/>
    </row>
    <row r="7" spans="1:36" ht="33" customHeight="1">
      <c r="A7" s="149">
        <v>1</v>
      </c>
      <c r="B7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140">
        <f t="shared" ref="AJ7:AJ25" si="0">SUM(E7:AI7)</f>
        <v>0</v>
      </c>
    </row>
    <row r="8" spans="1:36" ht="33" customHeight="1">
      <c r="A8" s="149">
        <v>2</v>
      </c>
      <c r="B8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141">
        <f t="shared" si="0"/>
        <v>0</v>
      </c>
    </row>
    <row r="9" spans="1:36" ht="33" customHeight="1">
      <c r="A9" s="149">
        <v>3</v>
      </c>
      <c r="B9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140">
        <f t="shared" si="0"/>
        <v>0</v>
      </c>
    </row>
    <row r="10" spans="1:36" ht="33" customHeight="1">
      <c r="A10" s="149">
        <v>4</v>
      </c>
      <c r="B10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141">
        <f t="shared" si="0"/>
        <v>0</v>
      </c>
    </row>
    <row r="11" spans="1:36" ht="33" customHeight="1">
      <c r="A11" s="149">
        <v>5</v>
      </c>
      <c r="B11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140">
        <f t="shared" si="0"/>
        <v>0</v>
      </c>
    </row>
    <row r="12" spans="1:36" ht="33" customHeight="1">
      <c r="A12" s="149">
        <v>6</v>
      </c>
      <c r="B12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140">
        <f t="shared" si="0"/>
        <v>0</v>
      </c>
    </row>
    <row r="13" spans="1:36" ht="33" customHeight="1">
      <c r="A13" s="149">
        <v>7</v>
      </c>
      <c r="B13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140">
        <f t="shared" si="0"/>
        <v>0</v>
      </c>
    </row>
    <row r="14" spans="1:36" ht="33" customHeight="1">
      <c r="A14" s="149">
        <v>8</v>
      </c>
      <c r="B14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141">
        <f t="shared" si="0"/>
        <v>0</v>
      </c>
    </row>
    <row r="15" spans="1:36" ht="33" customHeight="1">
      <c r="A15" s="149">
        <v>9</v>
      </c>
      <c r="B15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142">
        <f t="shared" si="0"/>
        <v>0</v>
      </c>
    </row>
    <row r="16" spans="1:36" ht="33" customHeight="1">
      <c r="A16" s="149">
        <v>10</v>
      </c>
      <c r="B16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142">
        <f t="shared" si="0"/>
        <v>0</v>
      </c>
    </row>
    <row r="17" spans="1:36" ht="33" customHeight="1">
      <c r="A17" s="149">
        <v>11</v>
      </c>
      <c r="B17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140">
        <f t="shared" si="0"/>
        <v>0</v>
      </c>
    </row>
    <row r="18" spans="1:36" ht="33" customHeight="1">
      <c r="A18" s="149">
        <v>12</v>
      </c>
      <c r="B18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141">
        <f t="shared" si="0"/>
        <v>0</v>
      </c>
    </row>
    <row r="19" spans="1:36" ht="33" customHeight="1">
      <c r="A19" s="149">
        <v>13</v>
      </c>
      <c r="B19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140">
        <f t="shared" si="0"/>
        <v>0</v>
      </c>
    </row>
    <row r="20" spans="1:36" ht="33" customHeight="1">
      <c r="A20" s="149">
        <v>14</v>
      </c>
      <c r="B20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141">
        <f t="shared" si="0"/>
        <v>0</v>
      </c>
    </row>
    <row r="21" spans="1:36" ht="33" customHeight="1">
      <c r="A21" s="149">
        <v>15</v>
      </c>
      <c r="B21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140">
        <f t="shared" si="0"/>
        <v>0</v>
      </c>
    </row>
    <row r="22" spans="1:36" ht="33" customHeight="1">
      <c r="A22" s="149">
        <v>16</v>
      </c>
      <c r="B22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140">
        <f t="shared" si="0"/>
        <v>0</v>
      </c>
    </row>
    <row r="23" spans="1:36" ht="33" customHeight="1">
      <c r="A23" s="149">
        <v>17</v>
      </c>
      <c r="B23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140">
        <f t="shared" si="0"/>
        <v>0</v>
      </c>
    </row>
    <row r="24" spans="1:36" ht="33" customHeight="1">
      <c r="A24" s="149">
        <v>18</v>
      </c>
      <c r="B24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140">
        <f t="shared" si="0"/>
        <v>0</v>
      </c>
    </row>
    <row r="25" spans="1:36" ht="33" customHeight="1">
      <c r="A25" s="149">
        <v>19</v>
      </c>
      <c r="B25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140">
        <f t="shared" si="0"/>
        <v>0</v>
      </c>
    </row>
    <row r="26" spans="1:36" ht="33" customHeight="1">
      <c r="A26" s="149">
        <v>20</v>
      </c>
      <c r="B26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140">
        <f>SUM(E26:AI26)</f>
        <v>0</v>
      </c>
    </row>
    <row r="27" spans="1:36" ht="33" customHeight="1">
      <c r="A27" s="149">
        <v>21</v>
      </c>
      <c r="B27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140">
        <f>SUM(E27:AI27)</f>
        <v>0</v>
      </c>
    </row>
    <row r="28" spans="1:36" ht="33" customHeight="1">
      <c r="A28" s="149">
        <v>22</v>
      </c>
      <c r="B28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140">
        <f t="shared" ref="AJ28:AJ30" si="1">SUM(E28:AI28)</f>
        <v>0</v>
      </c>
    </row>
    <row r="29" spans="1:36" ht="33" hidden="1" customHeight="1">
      <c r="A29" s="149">
        <v>23</v>
      </c>
      <c r="B29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140">
        <f t="shared" si="1"/>
        <v>0</v>
      </c>
    </row>
    <row r="30" spans="1:36" ht="33" hidden="1" customHeight="1">
      <c r="A30" s="149">
        <v>24</v>
      </c>
      <c r="B30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140">
        <f t="shared" si="1"/>
        <v>0</v>
      </c>
    </row>
    <row r="31" spans="1:36" ht="21" customHeight="1">
      <c r="A31" s="149"/>
      <c r="B31" s="36"/>
      <c r="C31" s="33" t="s">
        <v>63</v>
      </c>
      <c r="D31" s="36"/>
      <c r="E31" s="34">
        <f>SUM(E7:E30)</f>
        <v>0</v>
      </c>
      <c r="F31" s="34">
        <f t="shared" ref="F31:AI31" si="2">SUM(F7:F30)</f>
        <v>0</v>
      </c>
      <c r="G31" s="34">
        <f t="shared" si="2"/>
        <v>0</v>
      </c>
      <c r="H31" s="34">
        <f t="shared" si="2"/>
        <v>0</v>
      </c>
      <c r="I31" s="34">
        <f t="shared" si="2"/>
        <v>0</v>
      </c>
      <c r="J31" s="34">
        <f t="shared" si="2"/>
        <v>0</v>
      </c>
      <c r="K31" s="34">
        <f t="shared" si="2"/>
        <v>0</v>
      </c>
      <c r="L31" s="34">
        <f t="shared" si="2"/>
        <v>0</v>
      </c>
      <c r="M31" s="34">
        <f t="shared" si="2"/>
        <v>0</v>
      </c>
      <c r="N31" s="34">
        <f t="shared" si="2"/>
        <v>0</v>
      </c>
      <c r="O31" s="34">
        <f t="shared" si="2"/>
        <v>0</v>
      </c>
      <c r="P31" s="34">
        <f t="shared" si="2"/>
        <v>0</v>
      </c>
      <c r="Q31" s="34">
        <f t="shared" si="2"/>
        <v>0</v>
      </c>
      <c r="R31" s="34">
        <f t="shared" si="2"/>
        <v>0</v>
      </c>
      <c r="S31" s="34">
        <f t="shared" si="2"/>
        <v>0</v>
      </c>
      <c r="T31" s="34">
        <f t="shared" si="2"/>
        <v>0</v>
      </c>
      <c r="U31" s="34">
        <f t="shared" si="2"/>
        <v>0</v>
      </c>
      <c r="V31" s="34">
        <f t="shared" si="2"/>
        <v>0</v>
      </c>
      <c r="W31" s="34">
        <f t="shared" si="2"/>
        <v>0</v>
      </c>
      <c r="X31" s="34">
        <f t="shared" si="2"/>
        <v>0</v>
      </c>
      <c r="Y31" s="34">
        <f t="shared" si="2"/>
        <v>0</v>
      </c>
      <c r="Z31" s="34">
        <f t="shared" si="2"/>
        <v>0</v>
      </c>
      <c r="AA31" s="34">
        <f t="shared" si="2"/>
        <v>0</v>
      </c>
      <c r="AB31" s="34">
        <f t="shared" si="2"/>
        <v>0</v>
      </c>
      <c r="AC31" s="34">
        <f t="shared" si="2"/>
        <v>0</v>
      </c>
      <c r="AD31" s="34">
        <f t="shared" si="2"/>
        <v>0</v>
      </c>
      <c r="AE31" s="34">
        <f t="shared" si="2"/>
        <v>0</v>
      </c>
      <c r="AF31" s="34">
        <f t="shared" si="2"/>
        <v>0</v>
      </c>
      <c r="AG31" s="34">
        <f t="shared" si="2"/>
        <v>0</v>
      </c>
      <c r="AH31" s="34">
        <f t="shared" si="2"/>
        <v>0</v>
      </c>
      <c r="AI31" s="34">
        <f t="shared" si="2"/>
        <v>0</v>
      </c>
      <c r="AJ31" s="146">
        <f>SUM(E31:AI31)</f>
        <v>0</v>
      </c>
    </row>
    <row r="32" spans="1:36" ht="7.5" customHeight="1">
      <c r="A32" s="149"/>
      <c r="B32" s="149"/>
      <c r="C32" s="150"/>
      <c r="D32" s="149"/>
      <c r="E32" s="149"/>
      <c r="F32" s="149"/>
      <c r="G32" s="149"/>
      <c r="H32" s="149"/>
      <c r="I32" s="149"/>
      <c r="J32" s="149"/>
      <c r="K32" s="149"/>
      <c r="L32" s="149"/>
      <c r="M32" s="149"/>
      <c r="N32" s="149"/>
      <c r="O32" s="149"/>
      <c r="P32" s="149"/>
      <c r="Q32" s="149"/>
      <c r="R32" s="149"/>
      <c r="S32" s="149"/>
      <c r="T32" s="149"/>
      <c r="U32" s="149"/>
      <c r="V32" s="149"/>
      <c r="W32" s="149"/>
      <c r="X32" s="149"/>
      <c r="Y32" s="149"/>
      <c r="Z32" s="149"/>
      <c r="AA32" s="149"/>
      <c r="AB32" s="149"/>
      <c r="AC32" s="149"/>
      <c r="AD32" s="149"/>
      <c r="AE32" s="149"/>
      <c r="AF32" s="149"/>
      <c r="AG32" s="149"/>
      <c r="AH32" s="149"/>
      <c r="AI32" s="149"/>
      <c r="AJ32" s="151"/>
    </row>
    <row r="33" spans="1:41" s="62" customFormat="1" ht="27" customHeight="1">
      <c r="A33" s="262"/>
      <c r="B33" s="262"/>
      <c r="C33" s="296" t="s">
        <v>64</v>
      </c>
      <c r="D33" s="263"/>
      <c r="E33" s="263"/>
      <c r="F33" s="263"/>
      <c r="G33" s="295" t="str">
        <f>Data_Tech!$AU$7</f>
        <v>Кувшинов А.Г.</v>
      </c>
      <c r="H33" s="295"/>
      <c r="I33" s="262"/>
      <c r="J33" s="262"/>
      <c r="K33" s="262"/>
      <c r="L33" s="262"/>
      <c r="M33" s="262"/>
      <c r="N33" s="262"/>
      <c r="O33" s="262"/>
      <c r="P33" s="262"/>
      <c r="Q33" s="262"/>
      <c r="R33" s="261" t="s">
        <v>246</v>
      </c>
      <c r="S33" s="261"/>
      <c r="T33" s="261"/>
      <c r="U33" s="261"/>
      <c r="V33" s="260"/>
      <c r="W33" s="260"/>
      <c r="X33" s="260"/>
      <c r="Y33" s="260"/>
      <c r="Z33" s="260"/>
      <c r="AA33" s="261" t="s">
        <v>108</v>
      </c>
      <c r="AB33" s="261"/>
      <c r="AE33" s="262"/>
      <c r="AF33" s="262"/>
      <c r="AG33" s="262"/>
      <c r="AH33" s="262"/>
      <c r="AI33" s="262"/>
      <c r="AJ33" s="262"/>
    </row>
    <row r="34" spans="1:41" ht="23.25" customHeight="1">
      <c r="A34" s="149"/>
      <c r="B34" s="149"/>
      <c r="C34" s="150"/>
      <c r="D34" s="149"/>
      <c r="E34" s="149"/>
      <c r="F34" s="149"/>
      <c r="G34" s="149"/>
      <c r="H34" s="149"/>
      <c r="I34" s="149"/>
      <c r="J34" s="149"/>
      <c r="K34" s="149"/>
      <c r="L34" s="149"/>
      <c r="M34" s="149"/>
      <c r="N34" s="149"/>
      <c r="O34" s="149"/>
      <c r="P34" s="149"/>
      <c r="Q34" s="149"/>
      <c r="R34" s="149"/>
      <c r="S34" s="149"/>
      <c r="T34" s="149"/>
      <c r="U34" s="149"/>
      <c r="V34" s="149"/>
      <c r="W34" s="149"/>
      <c r="X34" s="149"/>
      <c r="Y34" s="149"/>
      <c r="Z34" s="149"/>
      <c r="AA34" s="222"/>
      <c r="AB34" s="149"/>
      <c r="AC34" s="149"/>
      <c r="AD34" s="149"/>
      <c r="AE34" s="149"/>
      <c r="AF34" s="149"/>
      <c r="AG34" s="149"/>
      <c r="AH34" s="149"/>
      <c r="AI34" s="149"/>
      <c r="AJ34" s="149"/>
    </row>
    <row r="35" spans="1:41" ht="20.25" customHeight="1">
      <c r="B35" s="62"/>
      <c r="C35" s="63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</row>
    <row r="36" spans="1:41" ht="18.75">
      <c r="AJ36" s="64"/>
    </row>
    <row r="37" spans="1:41" ht="31.5">
      <c r="C37" s="52"/>
      <c r="D37" s="53"/>
      <c r="AL37" s="293" t="s">
        <v>94</v>
      </c>
      <c r="AM37" s="293"/>
      <c r="AN37" s="293"/>
    </row>
    <row r="38" spans="1:41" ht="18">
      <c r="C38" s="52"/>
      <c r="D38" s="53"/>
      <c r="AL38" s="921">
        <f>SUMIFS(Таблица1[Столбец2],Таблица1[партия],W1,Таблица1[изд],N1)</f>
        <v>0</v>
      </c>
      <c r="AM38" s="921"/>
      <c r="AN38" s="921"/>
      <c r="AO38" s="921"/>
    </row>
    <row r="39" spans="1:41">
      <c r="AL39" s="921"/>
      <c r="AM39" s="921"/>
      <c r="AN39" s="921"/>
      <c r="AO39" s="921"/>
    </row>
    <row r="40" spans="1:41">
      <c r="AL40" s="921"/>
      <c r="AM40" s="921"/>
      <c r="AN40" s="921"/>
      <c r="AO40" s="921"/>
    </row>
    <row r="41" spans="1:41">
      <c r="AL41" s="921"/>
      <c r="AM41" s="921"/>
      <c r="AN41" s="921"/>
      <c r="AO41" s="921"/>
    </row>
  </sheetData>
  <mergeCells count="10">
    <mergeCell ref="AL38:AO41"/>
    <mergeCell ref="B1:I5"/>
    <mergeCell ref="N1:T1"/>
    <mergeCell ref="U1:V1"/>
    <mergeCell ref="W1:Y1"/>
    <mergeCell ref="AD2:AE2"/>
    <mergeCell ref="AD3:AE3"/>
    <mergeCell ref="AD4:AE4"/>
    <mergeCell ref="J5:K5"/>
    <mergeCell ref="L5:M5"/>
  </mergeCells>
  <pageMargins left="0.23622047244094491" right="0.23622047244094491" top="0.35433070866141736" bottom="0.35433070866141736" header="0" footer="0"/>
  <pageSetup paperSize="9" scale="57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O41"/>
  <sheetViews>
    <sheetView view="pageBreakPreview" zoomScale="60" zoomScaleNormal="70" workbookViewId="0">
      <selection activeCell="S5" sqref="S5"/>
    </sheetView>
  </sheetViews>
  <sheetFormatPr defaultRowHeight="15"/>
  <cols>
    <col min="1" max="1" customWidth="true" style="45" width="5.28515625"/>
    <col min="2" max="2" customWidth="true" style="45" width="7.5703125"/>
    <col min="3" max="3" customWidth="true" style="50" width="31.28515625"/>
    <col min="4" max="4" style="45" width="9.140625"/>
    <col min="5" max="35" customWidth="true" style="45" width="6.0"/>
    <col min="36" max="16384" style="45" width="9.140625"/>
  </cols>
  <sheetData>
    <row r="1" spans="1:36" s="32" customFormat="1" ht="29.25" customHeight="1">
      <c r="A1" s="152"/>
      <c r="B1" s="914" t="s">
        <v>75</v>
      </c>
      <c r="C1" s="914"/>
      <c r="D1" s="914"/>
      <c r="E1" s="914"/>
      <c r="F1" s="914"/>
      <c r="G1" s="914"/>
      <c r="H1" s="914"/>
      <c r="I1" s="914"/>
      <c r="J1" s="153" t="s">
        <v>68</v>
      </c>
      <c r="K1" s="249"/>
      <c r="L1" s="153"/>
      <c r="M1" s="153"/>
      <c r="N1" s="920">
        <v>6000</v>
      </c>
      <c r="O1" s="920"/>
      <c r="P1" s="920"/>
      <c r="Q1" s="920"/>
      <c r="R1" s="920"/>
      <c r="S1" s="920"/>
      <c r="T1" s="920"/>
      <c r="U1" s="922" t="s">
        <v>10</v>
      </c>
      <c r="V1" s="922"/>
      <c r="W1" s="919" t="s">
        <v>105</v>
      </c>
      <c r="X1" s="919"/>
      <c r="Y1" s="919"/>
      <c r="Z1" s="252"/>
      <c r="AA1" s="252"/>
      <c r="AB1" s="249"/>
      <c r="AC1" s="249"/>
      <c r="AD1" s="249"/>
      <c r="AE1" s="249"/>
      <c r="AF1" s="249"/>
      <c r="AG1" s="249"/>
      <c r="AH1" s="252"/>
      <c r="AI1" s="252"/>
      <c r="AJ1" s="155"/>
    </row>
    <row r="2" spans="1:36" s="32" customFormat="1" ht="21" customHeight="1">
      <c r="A2" s="152"/>
      <c r="B2" s="914"/>
      <c r="C2" s="914"/>
      <c r="D2" s="914"/>
      <c r="E2" s="914"/>
      <c r="F2" s="914"/>
      <c r="G2" s="914"/>
      <c r="H2" s="914"/>
      <c r="I2" s="914"/>
      <c r="J2" s="264"/>
      <c r="K2" s="158"/>
      <c r="L2" s="158"/>
      <c r="M2" s="158"/>
      <c r="N2" s="158"/>
      <c r="O2" s="567"/>
      <c r="P2" s="567"/>
      <c r="Q2" s="567"/>
      <c r="R2" s="251"/>
      <c r="S2" s="252"/>
      <c r="T2" s="253"/>
      <c r="U2" s="158"/>
      <c r="V2" s="158"/>
      <c r="W2" s="161"/>
      <c r="X2" s="161"/>
      <c r="Y2" s="161"/>
      <c r="Z2" s="252"/>
      <c r="AA2" s="252"/>
      <c r="AB2" s="248" t="s">
        <v>10</v>
      </c>
      <c r="AC2" s="248"/>
      <c r="AD2" s="917"/>
      <c r="AE2" s="917"/>
      <c r="AF2" s="248"/>
      <c r="AG2" s="248" t="s">
        <v>76</v>
      </c>
      <c r="AH2" s="248"/>
      <c r="AI2" s="248"/>
      <c r="AJ2" s="155"/>
    </row>
    <row r="3" spans="1:36" s="32" customFormat="1" ht="21" customHeight="1">
      <c r="A3" s="152"/>
      <c r="B3" s="914"/>
      <c r="C3" s="914"/>
      <c r="D3" s="914"/>
      <c r="E3" s="914"/>
      <c r="F3" s="914"/>
      <c r="G3" s="914"/>
      <c r="H3" s="914"/>
      <c r="I3" s="914"/>
      <c r="J3" s="264"/>
      <c r="K3" s="163" t="s">
        <v>77</v>
      </c>
      <c r="L3" s="158"/>
      <c r="M3" s="158"/>
      <c r="N3" s="576"/>
      <c r="O3" s="577"/>
      <c r="P3" s="577"/>
      <c r="Q3" s="577" t="e">
        <f>INDEX(база!$AL:$AL, MATCH(N1,база!$AK:$AK,0))</f>
        <v>#N/A</v>
      </c>
      <c r="R3" s="578"/>
      <c r="S3" s="578"/>
      <c r="T3" s="579"/>
      <c r="U3" s="158"/>
      <c r="V3" s="158"/>
      <c r="W3" s="165"/>
      <c r="X3" s="165"/>
      <c r="Y3" s="165"/>
      <c r="Z3" s="252"/>
      <c r="AA3" s="252"/>
      <c r="AB3" s="248" t="s">
        <v>78</v>
      </c>
      <c r="AC3" s="248"/>
      <c r="AD3" s="917"/>
      <c r="AE3" s="917"/>
      <c r="AF3" s="248"/>
      <c r="AG3" s="248" t="s">
        <v>85</v>
      </c>
      <c r="AH3" s="248"/>
      <c r="AI3" s="248"/>
      <c r="AJ3" s="155"/>
    </row>
    <row r="4" spans="1:36" s="32" customFormat="1" ht="21" customHeight="1">
      <c r="A4" s="152"/>
      <c r="B4" s="914"/>
      <c r="C4" s="914"/>
      <c r="D4" s="914"/>
      <c r="E4" s="914"/>
      <c r="F4" s="914"/>
      <c r="G4" s="914"/>
      <c r="H4" s="914"/>
      <c r="I4" s="914"/>
      <c r="J4" s="264"/>
      <c r="K4" s="158"/>
      <c r="L4" s="158"/>
      <c r="M4" s="158"/>
      <c r="N4" s="158"/>
      <c r="O4" s="265"/>
      <c r="P4" s="265"/>
      <c r="Q4" s="265"/>
      <c r="R4" s="252"/>
      <c r="S4" s="252"/>
      <c r="T4" s="253"/>
      <c r="U4" s="158"/>
      <c r="V4" s="158"/>
      <c r="W4" s="165"/>
      <c r="X4" s="165"/>
      <c r="Y4" s="165"/>
      <c r="Z4" s="252"/>
      <c r="AA4" s="252"/>
      <c r="AB4" s="248" t="s">
        <v>79</v>
      </c>
      <c r="AC4" s="248"/>
      <c r="AD4" s="917"/>
      <c r="AE4" s="917"/>
      <c r="AF4" s="248"/>
      <c r="AG4" s="248" t="s">
        <v>80</v>
      </c>
      <c r="AH4" s="248"/>
      <c r="AI4" s="248"/>
      <c r="AJ4" s="155"/>
    </row>
    <row r="5" spans="1:36" s="32" customFormat="1" ht="24" customHeight="1">
      <c r="A5" s="152"/>
      <c r="B5" s="914"/>
      <c r="C5" s="914"/>
      <c r="D5" s="914"/>
      <c r="E5" s="914"/>
      <c r="F5" s="914"/>
      <c r="G5" s="914"/>
      <c r="H5" s="914"/>
      <c r="I5" s="914"/>
      <c r="J5" s="915" t="str">
        <f>Data_Tech!A3</f>
        <v>январь</v>
      </c>
      <c r="K5" s="915"/>
      <c r="L5" s="916">
        <v>2022</v>
      </c>
      <c r="M5" s="916"/>
      <c r="N5" s="266"/>
      <c r="O5" s="266"/>
      <c r="P5" s="266"/>
      <c r="Q5" s="266"/>
      <c r="R5" s="266"/>
      <c r="S5" s="266"/>
      <c r="T5" s="266"/>
      <c r="U5" s="266"/>
      <c r="V5" s="266"/>
      <c r="W5" s="252"/>
      <c r="X5" s="252"/>
      <c r="Y5" s="252"/>
      <c r="Z5" s="252"/>
      <c r="AA5" s="252"/>
      <c r="AB5" s="248" t="s">
        <v>81</v>
      </c>
      <c r="AC5" s="248"/>
      <c r="AD5" s="248"/>
      <c r="AE5" s="248"/>
      <c r="AF5" s="248"/>
      <c r="AG5" s="248" t="s">
        <v>82</v>
      </c>
      <c r="AH5" s="248"/>
      <c r="AI5" s="248"/>
      <c r="AJ5" s="155"/>
    </row>
    <row r="6" spans="1:36" s="32" customFormat="1" ht="27" customHeight="1">
      <c r="A6" s="152"/>
      <c r="B6" s="134" t="s">
        <v>9</v>
      </c>
      <c r="C6" s="135" t="s">
        <v>0</v>
      </c>
      <c r="D6" s="136" t="s">
        <v>1</v>
      </c>
      <c r="E6" s="137">
        <v>1</v>
      </c>
      <c r="F6" s="137">
        <v>2</v>
      </c>
      <c r="G6" s="137">
        <v>3</v>
      </c>
      <c r="H6" s="137">
        <v>4</v>
      </c>
      <c r="I6" s="137">
        <v>5</v>
      </c>
      <c r="J6" s="137">
        <v>6</v>
      </c>
      <c r="K6" s="137">
        <v>7</v>
      </c>
      <c r="L6" s="137">
        <v>8</v>
      </c>
      <c r="M6" s="137">
        <v>9</v>
      </c>
      <c r="N6" s="137">
        <v>10</v>
      </c>
      <c r="O6" s="137">
        <v>11</v>
      </c>
      <c r="P6" s="137">
        <v>12</v>
      </c>
      <c r="Q6" s="137">
        <v>13</v>
      </c>
      <c r="R6" s="137">
        <v>14</v>
      </c>
      <c r="S6" s="137">
        <v>15</v>
      </c>
      <c r="T6" s="137">
        <v>16</v>
      </c>
      <c r="U6" s="137">
        <v>17</v>
      </c>
      <c r="V6" s="137">
        <v>18</v>
      </c>
      <c r="W6" s="137">
        <v>19</v>
      </c>
      <c r="X6" s="137">
        <v>20</v>
      </c>
      <c r="Y6" s="137">
        <v>21</v>
      </c>
      <c r="Z6" s="137">
        <v>22</v>
      </c>
      <c r="AA6" s="137">
        <v>23</v>
      </c>
      <c r="AB6" s="137">
        <v>24</v>
      </c>
      <c r="AC6" s="137">
        <v>25</v>
      </c>
      <c r="AD6" s="137">
        <v>26</v>
      </c>
      <c r="AE6" s="137">
        <v>27</v>
      </c>
      <c r="AF6" s="137">
        <v>28</v>
      </c>
      <c r="AG6" s="137">
        <v>29</v>
      </c>
      <c r="AH6" s="137">
        <v>30</v>
      </c>
      <c r="AI6" s="137">
        <v>31</v>
      </c>
      <c r="AJ6" s="138"/>
    </row>
    <row r="7" spans="1:36" ht="33" customHeight="1">
      <c r="A7" s="149">
        <v>1</v>
      </c>
      <c r="B7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140">
        <f t="shared" ref="AJ7:AJ25" si="0">SUM(E7:AI7)</f>
        <v>0</v>
      </c>
    </row>
    <row r="8" spans="1:36" ht="33" customHeight="1">
      <c r="A8" s="149">
        <v>2</v>
      </c>
      <c r="B8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141">
        <f t="shared" si="0"/>
        <v>0</v>
      </c>
    </row>
    <row r="9" spans="1:36" ht="33" customHeight="1">
      <c r="A9" s="149">
        <v>3</v>
      </c>
      <c r="B9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140">
        <f t="shared" si="0"/>
        <v>0</v>
      </c>
    </row>
    <row r="10" spans="1:36" ht="33" customHeight="1">
      <c r="A10" s="149">
        <v>4</v>
      </c>
      <c r="B10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141">
        <f t="shared" si="0"/>
        <v>0</v>
      </c>
    </row>
    <row r="11" spans="1:36" ht="33" customHeight="1">
      <c r="A11" s="149">
        <v>5</v>
      </c>
      <c r="B11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140">
        <f t="shared" si="0"/>
        <v>0</v>
      </c>
    </row>
    <row r="12" spans="1:36" ht="33" customHeight="1">
      <c r="A12" s="149">
        <v>6</v>
      </c>
      <c r="B12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140">
        <f t="shared" si="0"/>
        <v>0</v>
      </c>
    </row>
    <row r="13" spans="1:36" ht="33" customHeight="1">
      <c r="A13" s="149">
        <v>7</v>
      </c>
      <c r="B13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140">
        <f t="shared" si="0"/>
        <v>0</v>
      </c>
    </row>
    <row r="14" spans="1:36" ht="33" customHeight="1">
      <c r="A14" s="149">
        <v>8</v>
      </c>
      <c r="B14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141">
        <f t="shared" si="0"/>
        <v>0</v>
      </c>
    </row>
    <row r="15" spans="1:36" ht="33" customHeight="1">
      <c r="A15" s="149">
        <v>9</v>
      </c>
      <c r="B15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142">
        <f t="shared" si="0"/>
        <v>0</v>
      </c>
    </row>
    <row r="16" spans="1:36" ht="33" customHeight="1">
      <c r="A16" s="149">
        <v>10</v>
      </c>
      <c r="B16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142">
        <f t="shared" si="0"/>
        <v>0</v>
      </c>
    </row>
    <row r="17" spans="1:36" ht="33" customHeight="1">
      <c r="A17" s="149">
        <v>11</v>
      </c>
      <c r="B17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140">
        <f t="shared" si="0"/>
        <v>0</v>
      </c>
    </row>
    <row r="18" spans="1:36" ht="33" customHeight="1">
      <c r="A18" s="149">
        <v>12</v>
      </c>
      <c r="B18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141">
        <f t="shared" si="0"/>
        <v>0</v>
      </c>
    </row>
    <row r="19" spans="1:36" ht="33" customHeight="1">
      <c r="A19" s="149">
        <v>13</v>
      </c>
      <c r="B19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140">
        <f t="shared" si="0"/>
        <v>0</v>
      </c>
    </row>
    <row r="20" spans="1:36" ht="33" customHeight="1">
      <c r="A20" s="149">
        <v>14</v>
      </c>
      <c r="B20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141">
        <f t="shared" si="0"/>
        <v>0</v>
      </c>
    </row>
    <row r="21" spans="1:36" ht="33" customHeight="1">
      <c r="A21" s="149">
        <v>15</v>
      </c>
      <c r="B21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140">
        <f t="shared" si="0"/>
        <v>0</v>
      </c>
    </row>
    <row r="22" spans="1:36" ht="33" customHeight="1">
      <c r="A22" s="149">
        <v>16</v>
      </c>
      <c r="B22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140">
        <f t="shared" si="0"/>
        <v>0</v>
      </c>
    </row>
    <row r="23" spans="1:36" ht="33" customHeight="1">
      <c r="A23" s="149">
        <v>17</v>
      </c>
      <c r="B23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140">
        <f t="shared" si="0"/>
        <v>0</v>
      </c>
    </row>
    <row r="24" spans="1:36" ht="33" customHeight="1">
      <c r="A24" s="149">
        <v>18</v>
      </c>
      <c r="B24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140">
        <f t="shared" si="0"/>
        <v>0</v>
      </c>
    </row>
    <row r="25" spans="1:36" ht="33" customHeight="1">
      <c r="A25" s="149">
        <v>19</v>
      </c>
      <c r="B25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140">
        <f t="shared" si="0"/>
        <v>0</v>
      </c>
    </row>
    <row r="26" spans="1:36" ht="33" customHeight="1">
      <c r="A26" s="149">
        <v>20</v>
      </c>
      <c r="B26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140">
        <f>SUM(E26:AI26)</f>
        <v>0</v>
      </c>
    </row>
    <row r="27" spans="1:36" ht="33" customHeight="1">
      <c r="A27" s="149">
        <v>21</v>
      </c>
      <c r="B27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140">
        <f>SUM(E27:AI27)</f>
        <v>0</v>
      </c>
    </row>
    <row r="28" spans="1:36" ht="33" customHeight="1">
      <c r="A28" s="149">
        <v>22</v>
      </c>
      <c r="B28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140">
        <f t="shared" ref="AJ28:AJ30" si="1">SUM(E28:AI28)</f>
        <v>0</v>
      </c>
    </row>
    <row r="29" spans="1:36" ht="33" customHeight="1">
      <c r="A29" s="149">
        <v>23</v>
      </c>
      <c r="B29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140">
        <f t="shared" si="1"/>
        <v>0</v>
      </c>
    </row>
    <row r="30" spans="1:36" ht="33" customHeight="1">
      <c r="A30" s="149">
        <v>24</v>
      </c>
      <c r="B30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140">
        <f t="shared" si="1"/>
        <v>0</v>
      </c>
    </row>
    <row r="31" spans="1:36" ht="21" customHeight="1">
      <c r="A31" s="149"/>
      <c r="B31" s="36"/>
      <c r="C31" s="33" t="s">
        <v>63</v>
      </c>
      <c r="D31" s="36"/>
      <c r="E31" s="34">
        <f>SUM(E7:E30)</f>
        <v>0</v>
      </c>
      <c r="F31" s="34">
        <f t="shared" ref="F31:AI31" si="2">SUM(F7:F30)</f>
        <v>0</v>
      </c>
      <c r="G31" s="34">
        <f t="shared" si="2"/>
        <v>0</v>
      </c>
      <c r="H31" s="34">
        <f t="shared" si="2"/>
        <v>0</v>
      </c>
      <c r="I31" s="34">
        <f t="shared" si="2"/>
        <v>0</v>
      </c>
      <c r="J31" s="34">
        <f t="shared" si="2"/>
        <v>0</v>
      </c>
      <c r="K31" s="34">
        <f t="shared" si="2"/>
        <v>0</v>
      </c>
      <c r="L31" s="34">
        <f t="shared" si="2"/>
        <v>0</v>
      </c>
      <c r="M31" s="34">
        <f t="shared" si="2"/>
        <v>0</v>
      </c>
      <c r="N31" s="34">
        <f t="shared" si="2"/>
        <v>0</v>
      </c>
      <c r="O31" s="34">
        <f t="shared" si="2"/>
        <v>0</v>
      </c>
      <c r="P31" s="34">
        <f t="shared" si="2"/>
        <v>0</v>
      </c>
      <c r="Q31" s="34">
        <f t="shared" si="2"/>
        <v>0</v>
      </c>
      <c r="R31" s="34">
        <f t="shared" si="2"/>
        <v>0</v>
      </c>
      <c r="S31" s="34">
        <f t="shared" si="2"/>
        <v>0</v>
      </c>
      <c r="T31" s="34">
        <f t="shared" si="2"/>
        <v>0</v>
      </c>
      <c r="U31" s="34">
        <f t="shared" si="2"/>
        <v>0</v>
      </c>
      <c r="V31" s="34">
        <f t="shared" si="2"/>
        <v>0</v>
      </c>
      <c r="W31" s="34">
        <f t="shared" si="2"/>
        <v>0</v>
      </c>
      <c r="X31" s="34">
        <f t="shared" si="2"/>
        <v>0</v>
      </c>
      <c r="Y31" s="34">
        <f t="shared" si="2"/>
        <v>0</v>
      </c>
      <c r="Z31" s="34">
        <f t="shared" si="2"/>
        <v>0</v>
      </c>
      <c r="AA31" s="34">
        <f t="shared" si="2"/>
        <v>0</v>
      </c>
      <c r="AB31" s="34">
        <f t="shared" si="2"/>
        <v>0</v>
      </c>
      <c r="AC31" s="34">
        <f t="shared" si="2"/>
        <v>0</v>
      </c>
      <c r="AD31" s="34">
        <f t="shared" si="2"/>
        <v>0</v>
      </c>
      <c r="AE31" s="34">
        <f t="shared" si="2"/>
        <v>0</v>
      </c>
      <c r="AF31" s="34">
        <f t="shared" si="2"/>
        <v>0</v>
      </c>
      <c r="AG31" s="34">
        <f t="shared" si="2"/>
        <v>0</v>
      </c>
      <c r="AH31" s="34">
        <f t="shared" si="2"/>
        <v>0</v>
      </c>
      <c r="AI31" s="34">
        <f t="shared" si="2"/>
        <v>0</v>
      </c>
      <c r="AJ31" s="146">
        <f>SUM(E31:AI31)</f>
        <v>0</v>
      </c>
    </row>
    <row r="32" spans="1:36" ht="11.25" customHeight="1">
      <c r="A32" s="149"/>
      <c r="B32" s="149"/>
      <c r="C32" s="150"/>
      <c r="D32" s="149"/>
      <c r="E32" s="149"/>
      <c r="F32" s="149"/>
      <c r="G32" s="149"/>
      <c r="H32" s="149"/>
      <c r="I32" s="149"/>
      <c r="J32" s="149"/>
      <c r="K32" s="149"/>
      <c r="L32" s="149"/>
      <c r="M32" s="149"/>
      <c r="N32" s="149"/>
      <c r="O32" s="149"/>
      <c r="P32" s="149"/>
      <c r="Q32" s="149"/>
      <c r="R32" s="149"/>
      <c r="S32" s="149"/>
      <c r="T32" s="149"/>
      <c r="U32" s="149"/>
      <c r="V32" s="149"/>
      <c r="W32" s="149"/>
      <c r="X32" s="149"/>
      <c r="Y32" s="149"/>
      <c r="Z32" s="149"/>
      <c r="AA32" s="149"/>
      <c r="AB32" s="149"/>
      <c r="AC32" s="149"/>
      <c r="AD32" s="149"/>
      <c r="AE32" s="149"/>
      <c r="AF32" s="149"/>
      <c r="AG32" s="149"/>
      <c r="AH32" s="149"/>
      <c r="AI32" s="149"/>
      <c r="AJ32" s="151"/>
    </row>
    <row r="33" spans="1:41" s="62" customFormat="1" ht="17.25" customHeight="1">
      <c r="A33" s="262"/>
      <c r="B33" s="262"/>
      <c r="C33" s="296" t="s">
        <v>64</v>
      </c>
      <c r="D33" s="263"/>
      <c r="E33" s="263"/>
      <c r="F33" s="263"/>
      <c r="G33" s="295" t="str">
        <f>Data_Tech!$AU$7</f>
        <v>Кувшинов А.Г.</v>
      </c>
      <c r="H33" s="295"/>
      <c r="I33" s="262"/>
      <c r="J33" s="262"/>
      <c r="K33" s="262"/>
      <c r="L33" s="262"/>
      <c r="M33" s="262"/>
      <c r="N33" s="262"/>
      <c r="O33" s="262"/>
      <c r="P33" s="262"/>
      <c r="Q33" s="262"/>
      <c r="R33" s="261" t="s">
        <v>246</v>
      </c>
      <c r="S33" s="261"/>
      <c r="T33" s="261"/>
      <c r="U33" s="261"/>
      <c r="V33" s="260"/>
      <c r="W33" s="260"/>
      <c r="X33" s="260"/>
      <c r="Y33" s="260"/>
      <c r="Z33" s="260"/>
      <c r="AA33" s="261" t="s">
        <v>108</v>
      </c>
      <c r="AB33" s="261"/>
      <c r="AE33" s="262"/>
      <c r="AF33" s="262"/>
      <c r="AG33" s="262"/>
      <c r="AH33" s="262"/>
      <c r="AI33" s="262"/>
      <c r="AJ33" s="262"/>
    </row>
    <row r="34" spans="1:41" ht="23.25" customHeight="1">
      <c r="A34" s="149"/>
      <c r="B34" s="149"/>
      <c r="C34" s="150"/>
      <c r="D34" s="149"/>
      <c r="E34" s="149"/>
      <c r="F34" s="149"/>
      <c r="G34" s="149"/>
      <c r="H34" s="149"/>
      <c r="I34" s="149"/>
      <c r="J34" s="149"/>
      <c r="K34" s="149"/>
      <c r="L34" s="149"/>
      <c r="M34" s="149"/>
      <c r="N34" s="149"/>
      <c r="O34" s="149"/>
      <c r="P34" s="149"/>
      <c r="Q34" s="149"/>
      <c r="R34" s="149"/>
      <c r="S34" s="149"/>
      <c r="T34" s="149"/>
      <c r="U34" s="149"/>
      <c r="V34" s="149"/>
      <c r="W34" s="149"/>
      <c r="X34" s="149"/>
      <c r="Y34" s="149"/>
      <c r="Z34" s="149"/>
      <c r="AA34" s="222"/>
      <c r="AB34" s="149"/>
      <c r="AC34" s="149"/>
      <c r="AD34" s="149"/>
      <c r="AE34" s="149"/>
      <c r="AF34" s="149"/>
      <c r="AG34" s="149"/>
      <c r="AH34" s="149"/>
      <c r="AI34" s="149"/>
      <c r="AJ34" s="149"/>
    </row>
    <row r="35" spans="1:41" ht="20.25" customHeight="1">
      <c r="B35" s="62"/>
      <c r="C35" s="63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</row>
    <row r="36" spans="1:41" ht="18.75">
      <c r="AJ36" s="64"/>
    </row>
    <row r="37" spans="1:41" ht="31.5">
      <c r="C37" s="52"/>
      <c r="D37" s="53"/>
      <c r="AL37" s="293" t="s">
        <v>94</v>
      </c>
      <c r="AM37" s="293"/>
      <c r="AN37" s="293"/>
    </row>
    <row r="38" spans="1:41" ht="18">
      <c r="C38" s="52"/>
      <c r="D38" s="53"/>
      <c r="AL38" s="921">
        <f>SUMIFS(Таблица1[Столбец2],Таблица1[партия],W1,Таблица1[изд],N1)</f>
        <v>0</v>
      </c>
      <c r="AM38" s="921"/>
      <c r="AN38" s="921"/>
      <c r="AO38" s="921"/>
    </row>
    <row r="39" spans="1:41">
      <c r="AL39" s="921"/>
      <c r="AM39" s="921"/>
      <c r="AN39" s="921"/>
      <c r="AO39" s="921"/>
    </row>
    <row r="40" spans="1:41">
      <c r="AL40" s="921"/>
      <c r="AM40" s="921"/>
      <c r="AN40" s="921"/>
      <c r="AO40" s="921"/>
    </row>
    <row r="41" spans="1:41">
      <c r="AL41" s="921"/>
      <c r="AM41" s="921"/>
      <c r="AN41" s="921"/>
      <c r="AO41" s="921"/>
    </row>
  </sheetData>
  <mergeCells count="10">
    <mergeCell ref="AL38:AO41"/>
    <mergeCell ref="B1:I5"/>
    <mergeCell ref="N1:T1"/>
    <mergeCell ref="U1:V1"/>
    <mergeCell ref="W1:Y1"/>
    <mergeCell ref="AD2:AE2"/>
    <mergeCell ref="AD3:AE3"/>
    <mergeCell ref="AD4:AE4"/>
    <mergeCell ref="J5:K5"/>
    <mergeCell ref="L5:M5"/>
  </mergeCells>
  <pageMargins left="0.70866141732283472" right="0.70866141732283472" top="0.35433070866141736" bottom="0.35433070866141736" header="0" footer="0"/>
  <pageSetup paperSize="9" scale="52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O41"/>
  <sheetViews>
    <sheetView view="pageBreakPreview" zoomScale="60" zoomScaleNormal="100" workbookViewId="0">
      <selection activeCell="AP19" sqref="AP19"/>
    </sheetView>
  </sheetViews>
  <sheetFormatPr defaultRowHeight="15"/>
  <cols>
    <col min="1" max="1" customWidth="true" style="45" width="5.28515625"/>
    <col min="2" max="2" customWidth="true" style="45" width="7.5703125"/>
    <col min="3" max="3" customWidth="true" style="50" width="31.28515625"/>
    <col min="4" max="4" style="45" width="9.140625"/>
    <col min="5" max="35" customWidth="true" style="45" width="6.0"/>
    <col min="36" max="37" style="45" width="9.140625"/>
    <col min="38" max="38" customWidth="true" style="45" width="22.0"/>
    <col min="39" max="16384" style="45" width="9.140625"/>
  </cols>
  <sheetData>
    <row r="1" spans="1:36" s="32" customFormat="1" ht="29.25" customHeight="1">
      <c r="A1" s="152"/>
      <c r="B1" s="914" t="s">
        <v>75</v>
      </c>
      <c r="C1" s="914"/>
      <c r="D1" s="914"/>
      <c r="E1" s="914"/>
      <c r="F1" s="914"/>
      <c r="G1" s="914"/>
      <c r="H1" s="914"/>
      <c r="I1" s="914"/>
      <c r="J1" s="153" t="s">
        <v>68</v>
      </c>
      <c r="K1" s="249"/>
      <c r="L1" s="153"/>
      <c r="M1" s="153"/>
      <c r="N1" s="920">
        <v>6001</v>
      </c>
      <c r="O1" s="920"/>
      <c r="P1" s="920"/>
      <c r="Q1" s="920"/>
      <c r="R1" s="920"/>
      <c r="S1" s="920"/>
      <c r="T1" s="920"/>
      <c r="U1" s="918" t="s">
        <v>10</v>
      </c>
      <c r="V1" s="918"/>
      <c r="W1" s="919" t="s">
        <v>109</v>
      </c>
      <c r="X1" s="919"/>
      <c r="Y1" s="919"/>
      <c r="Z1" s="154"/>
      <c r="AA1" s="155"/>
      <c r="AB1" s="156"/>
      <c r="AC1" s="156"/>
      <c r="AD1" s="156"/>
      <c r="AE1" s="152"/>
      <c r="AF1" s="152"/>
      <c r="AG1" s="152"/>
      <c r="AH1" s="154"/>
      <c r="AI1" s="154"/>
      <c r="AJ1" s="155"/>
    </row>
    <row r="2" spans="1:36" s="32" customFormat="1" ht="24" customHeight="1">
      <c r="A2" s="152"/>
      <c r="B2" s="914"/>
      <c r="C2" s="914"/>
      <c r="D2" s="914"/>
      <c r="E2" s="914"/>
      <c r="F2" s="914"/>
      <c r="G2" s="914"/>
      <c r="H2" s="914"/>
      <c r="I2" s="914"/>
      <c r="J2" s="157"/>
      <c r="K2" s="158"/>
      <c r="L2" s="158"/>
      <c r="M2" s="158"/>
      <c r="N2" s="158"/>
      <c r="O2" s="569"/>
      <c r="P2" s="569"/>
      <c r="Q2" s="569"/>
      <c r="R2" s="251"/>
      <c r="S2" s="252"/>
      <c r="T2" s="253"/>
      <c r="U2" s="158"/>
      <c r="V2" s="158"/>
      <c r="W2" s="161"/>
      <c r="X2" s="161"/>
      <c r="Y2" s="161"/>
      <c r="Z2" s="154"/>
      <c r="AA2" s="154"/>
      <c r="AB2" s="248" t="s">
        <v>10</v>
      </c>
      <c r="AC2" s="248"/>
      <c r="AD2" s="917">
        <v>6400</v>
      </c>
      <c r="AE2" s="917"/>
      <c r="AF2" s="248"/>
      <c r="AG2" s="248" t="s">
        <v>76</v>
      </c>
      <c r="AH2" s="248"/>
      <c r="AI2" s="248"/>
      <c r="AJ2" s="155"/>
    </row>
    <row r="3" spans="1:36" s="32" customFormat="1" ht="24" customHeight="1">
      <c r="A3" s="152"/>
      <c r="B3" s="914"/>
      <c r="C3" s="914"/>
      <c r="D3" s="914"/>
      <c r="E3" s="914"/>
      <c r="F3" s="914"/>
      <c r="G3" s="914"/>
      <c r="H3" s="914"/>
      <c r="I3" s="914"/>
      <c r="J3" s="157"/>
      <c r="K3" s="163" t="s">
        <v>77</v>
      </c>
      <c r="L3" s="158"/>
      <c r="M3" s="158"/>
      <c r="N3" s="164"/>
      <c r="O3" s="254"/>
      <c r="P3" s="254" t="e">
        <f>INDEX(база!$AL:$AL, MATCH(N1,база!$AK:$AK,0))</f>
        <v>#N/A</v>
      </c>
      <c r="Q3" s="254"/>
      <c r="R3" s="255"/>
      <c r="S3" s="255"/>
      <c r="T3" s="256"/>
      <c r="U3" s="158"/>
      <c r="V3" s="158"/>
      <c r="W3" s="165"/>
      <c r="X3" s="165"/>
      <c r="Y3" s="165"/>
      <c r="Z3" s="154"/>
      <c r="AA3" s="154"/>
      <c r="AB3" s="248" t="s">
        <v>78</v>
      </c>
      <c r="AC3" s="248"/>
      <c r="AD3" s="917">
        <v>70</v>
      </c>
      <c r="AE3" s="917"/>
      <c r="AF3" s="248"/>
      <c r="AG3" s="248" t="s">
        <v>85</v>
      </c>
      <c r="AH3" s="248"/>
      <c r="AI3" s="248"/>
      <c r="AJ3" s="155"/>
    </row>
    <row r="4" spans="1:36" s="32" customFormat="1" ht="24" customHeight="1">
      <c r="A4" s="152"/>
      <c r="B4" s="914"/>
      <c r="C4" s="914"/>
      <c r="D4" s="914"/>
      <c r="E4" s="914"/>
      <c r="F4" s="914"/>
      <c r="G4" s="914"/>
      <c r="H4" s="914"/>
      <c r="I4" s="914"/>
      <c r="J4" s="157"/>
      <c r="K4" s="158"/>
      <c r="L4" s="158"/>
      <c r="M4" s="158"/>
      <c r="N4" s="158"/>
      <c r="O4" s="166"/>
      <c r="P4" s="166"/>
      <c r="Q4" s="166"/>
      <c r="R4" s="154"/>
      <c r="S4" s="154"/>
      <c r="T4" s="159"/>
      <c r="U4" s="570"/>
      <c r="V4" s="570"/>
      <c r="W4" s="165"/>
      <c r="X4" s="165"/>
      <c r="Y4" s="165"/>
      <c r="Z4" s="154"/>
      <c r="AA4" s="154"/>
      <c r="AB4" s="248" t="s">
        <v>79</v>
      </c>
      <c r="AC4" s="248"/>
      <c r="AD4" s="917">
        <v>70</v>
      </c>
      <c r="AE4" s="917"/>
      <c r="AF4" s="248"/>
      <c r="AG4" s="248" t="s">
        <v>80</v>
      </c>
      <c r="AH4" s="248"/>
      <c r="AI4" s="248"/>
      <c r="AJ4" s="155"/>
    </row>
    <row r="5" spans="1:36" s="32" customFormat="1" ht="24" customHeight="1">
      <c r="A5" s="152"/>
      <c r="B5" s="914"/>
      <c r="C5" s="914"/>
      <c r="D5" s="914"/>
      <c r="E5" s="914"/>
      <c r="F5" s="914"/>
      <c r="G5" s="914"/>
      <c r="H5" s="914"/>
      <c r="I5" s="914"/>
      <c r="J5" s="915" t="str">
        <f>Data_Tech!A3</f>
        <v>январь</v>
      </c>
      <c r="K5" s="915"/>
      <c r="L5" s="916">
        <v>2022</v>
      </c>
      <c r="M5" s="916"/>
      <c r="N5" s="167"/>
      <c r="O5" s="167"/>
      <c r="P5" s="167"/>
      <c r="Q5" s="167"/>
      <c r="R5" s="167"/>
      <c r="S5" s="167"/>
      <c r="T5" s="167"/>
      <c r="U5" s="167"/>
      <c r="V5" s="167"/>
      <c r="W5" s="154"/>
      <c r="X5" s="154"/>
      <c r="Y5" s="154"/>
      <c r="Z5" s="154"/>
      <c r="AA5" s="154"/>
      <c r="AB5" s="248" t="s">
        <v>81</v>
      </c>
      <c r="AC5" s="248"/>
      <c r="AD5" s="248">
        <v>0</v>
      </c>
      <c r="AE5" s="248"/>
      <c r="AF5" s="248"/>
      <c r="AG5" s="248" t="s">
        <v>82</v>
      </c>
      <c r="AH5" s="248"/>
      <c r="AI5" s="248"/>
      <c r="AJ5" s="155"/>
    </row>
    <row r="6" spans="1:36" s="32" customFormat="1" ht="25.5" customHeight="1">
      <c r="A6" s="152"/>
      <c r="B6" s="134" t="s">
        <v>9</v>
      </c>
      <c r="C6" s="135" t="s">
        <v>0</v>
      </c>
      <c r="D6" s="136" t="s">
        <v>1</v>
      </c>
      <c r="E6" s="137">
        <v>1</v>
      </c>
      <c r="F6" s="137">
        <v>2</v>
      </c>
      <c r="G6" s="137">
        <v>3</v>
      </c>
      <c r="H6" s="137">
        <v>4</v>
      </c>
      <c r="I6" s="137">
        <v>5</v>
      </c>
      <c r="J6" s="137">
        <v>6</v>
      </c>
      <c r="K6" s="137">
        <v>7</v>
      </c>
      <c r="L6" s="137">
        <v>8</v>
      </c>
      <c r="M6" s="137">
        <v>9</v>
      </c>
      <c r="N6" s="137">
        <v>10</v>
      </c>
      <c r="O6" s="137">
        <v>11</v>
      </c>
      <c r="P6" s="137">
        <v>12</v>
      </c>
      <c r="Q6" s="137">
        <v>13</v>
      </c>
      <c r="R6" s="137">
        <v>14</v>
      </c>
      <c r="S6" s="137">
        <v>15</v>
      </c>
      <c r="T6" s="137">
        <v>16</v>
      </c>
      <c r="U6" s="137">
        <v>17</v>
      </c>
      <c r="V6" s="137">
        <v>18</v>
      </c>
      <c r="W6" s="137">
        <v>19</v>
      </c>
      <c r="X6" s="137">
        <v>20</v>
      </c>
      <c r="Y6" s="137">
        <v>21</v>
      </c>
      <c r="Z6" s="137">
        <v>22</v>
      </c>
      <c r="AA6" s="137">
        <v>23</v>
      </c>
      <c r="AB6" s="137">
        <v>24</v>
      </c>
      <c r="AC6" s="137">
        <v>25</v>
      </c>
      <c r="AD6" s="137">
        <v>26</v>
      </c>
      <c r="AE6" s="137">
        <v>27</v>
      </c>
      <c r="AF6" s="137">
        <v>28</v>
      </c>
      <c r="AG6" s="137">
        <v>29</v>
      </c>
      <c r="AH6" s="137">
        <v>30</v>
      </c>
      <c r="AI6" s="137">
        <v>31</v>
      </c>
      <c r="AJ6" s="138"/>
    </row>
    <row r="7" spans="1:36" ht="33" customHeight="1">
      <c r="A7" s="149">
        <v>1</v>
      </c>
      <c r="B7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140">
        <f t="shared" ref="AJ7:AJ24" si="0">SUM(E7:AI7)</f>
        <v>0</v>
      </c>
    </row>
    <row r="8" spans="1:36" ht="33" customHeight="1">
      <c r="A8" s="149">
        <v>2</v>
      </c>
      <c r="B8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141">
        <f t="shared" si="0"/>
        <v>0</v>
      </c>
    </row>
    <row r="9" spans="1:36" ht="33" customHeight="1">
      <c r="A9" s="149">
        <v>3</v>
      </c>
      <c r="B9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140">
        <f t="shared" si="0"/>
        <v>0</v>
      </c>
    </row>
    <row r="10" spans="1:36" ht="33" customHeight="1">
      <c r="A10" s="149">
        <v>4</v>
      </c>
      <c r="B10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141">
        <f t="shared" si="0"/>
        <v>0</v>
      </c>
    </row>
    <row r="11" spans="1:36" ht="33" customHeight="1">
      <c r="A11" s="149">
        <v>5</v>
      </c>
      <c r="B11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140">
        <f t="shared" si="0"/>
        <v>0</v>
      </c>
    </row>
    <row r="12" spans="1:36" ht="33" customHeight="1">
      <c r="A12" s="149">
        <v>6</v>
      </c>
      <c r="B12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140">
        <f t="shared" si="0"/>
        <v>0</v>
      </c>
    </row>
    <row r="13" spans="1:36" ht="33" customHeight="1">
      <c r="A13" s="149">
        <v>7</v>
      </c>
      <c r="B13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140">
        <f t="shared" si="0"/>
        <v>0</v>
      </c>
    </row>
    <row r="14" spans="1:36" ht="33" customHeight="1">
      <c r="A14" s="149">
        <v>8</v>
      </c>
      <c r="B14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141">
        <f t="shared" si="0"/>
        <v>0</v>
      </c>
    </row>
    <row r="15" spans="1:36" ht="33" customHeight="1">
      <c r="A15" s="149">
        <v>9</v>
      </c>
      <c r="B15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142">
        <f t="shared" si="0"/>
        <v>0</v>
      </c>
    </row>
    <row r="16" spans="1:36" ht="33" customHeight="1">
      <c r="A16" s="149">
        <v>10</v>
      </c>
      <c r="B16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142">
        <f t="shared" si="0"/>
        <v>0</v>
      </c>
    </row>
    <row r="17" spans="1:36" ht="33" customHeight="1">
      <c r="A17" s="149">
        <v>11</v>
      </c>
      <c r="B17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140">
        <f t="shared" si="0"/>
        <v>0</v>
      </c>
    </row>
    <row r="18" spans="1:36" ht="33" customHeight="1">
      <c r="A18" s="149">
        <v>12</v>
      </c>
      <c r="B18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141">
        <f t="shared" si="0"/>
        <v>0</v>
      </c>
    </row>
    <row r="19" spans="1:36" ht="33" customHeight="1">
      <c r="A19" s="149">
        <v>13</v>
      </c>
      <c r="B19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140">
        <f t="shared" si="0"/>
        <v>0</v>
      </c>
    </row>
    <row r="20" spans="1:36" ht="33" customHeight="1">
      <c r="A20" s="149">
        <v>14</v>
      </c>
      <c r="B20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141">
        <f t="shared" si="0"/>
        <v>0</v>
      </c>
    </row>
    <row r="21" spans="1:36" ht="33" customHeight="1">
      <c r="A21" s="149">
        <v>15</v>
      </c>
      <c r="B21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140">
        <f t="shared" si="0"/>
        <v>0</v>
      </c>
    </row>
    <row r="22" spans="1:36" ht="33" customHeight="1">
      <c r="A22" s="149">
        <v>16</v>
      </c>
      <c r="B22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140">
        <f t="shared" si="0"/>
        <v>0</v>
      </c>
    </row>
    <row r="23" spans="1:36" ht="33" customHeight="1">
      <c r="A23" s="149">
        <v>17</v>
      </c>
      <c r="B23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140">
        <f t="shared" si="0"/>
        <v>0</v>
      </c>
    </row>
    <row r="24" spans="1:36" ht="28.5" customHeight="1">
      <c r="A24" s="149">
        <v>18</v>
      </c>
      <c r="B24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140">
        <f t="shared" si="0"/>
        <v>0</v>
      </c>
    </row>
    <row r="25" spans="1:36" ht="25.5" customHeight="1">
      <c r="A25" s="149">
        <v>19</v>
      </c>
      <c r="B25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140">
        <f>SUM(E25:AI25)</f>
        <v>0</v>
      </c>
    </row>
    <row r="26" spans="1:36" ht="25.5" customHeight="1">
      <c r="A26" s="149">
        <v>20</v>
      </c>
      <c r="B26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140">
        <f t="shared" ref="AJ26:AJ33" si="1">SUM(E26:AI26)</f>
        <v>0</v>
      </c>
    </row>
    <row r="27" spans="1:36" ht="25.5" hidden="1" customHeight="1">
      <c r="A27" s="149">
        <v>21</v>
      </c>
      <c r="B27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140">
        <f t="shared" si="1"/>
        <v>0</v>
      </c>
    </row>
    <row r="28" spans="1:36" ht="25.5" hidden="1" customHeight="1">
      <c r="A28" s="149">
        <v>22</v>
      </c>
      <c r="B28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140">
        <f t="shared" si="1"/>
        <v>0</v>
      </c>
    </row>
    <row r="29" spans="1:36" ht="25.5" hidden="1" customHeight="1">
      <c r="A29" s="149">
        <v>23</v>
      </c>
      <c r="B29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140">
        <f t="shared" si="1"/>
        <v>0</v>
      </c>
    </row>
    <row r="30" spans="1:36" ht="25.5" hidden="1" customHeight="1">
      <c r="A30" s="149">
        <v>24</v>
      </c>
      <c r="B30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140">
        <f t="shared" si="1"/>
        <v>0</v>
      </c>
    </row>
    <row r="31" spans="1:36" ht="25.5" hidden="1" customHeight="1">
      <c r="A31" s="149">
        <v>25</v>
      </c>
      <c r="B31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140">
        <f t="shared" si="1"/>
        <v>0</v>
      </c>
    </row>
    <row r="32" spans="1:36" ht="25.5" hidden="1" customHeight="1">
      <c r="A32" s="149">
        <v>26</v>
      </c>
      <c r="B32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140">
        <f t="shared" si="1"/>
        <v>0</v>
      </c>
    </row>
    <row r="33" spans="1:41" ht="25.5" customHeight="1">
      <c r="A33" s="149"/>
      <c r="B33" s="131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132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131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133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133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133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133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133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133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133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133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133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133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133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133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133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133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133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133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133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133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133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133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133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133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133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133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133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133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133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133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133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133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133" t="str">
        <f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140">
        <f t="shared" si="1"/>
        <v>0</v>
      </c>
      <c r="AL33" s="903" t="s">
        <v>94</v>
      </c>
      <c r="AM33" s="903"/>
      <c r="AN33" s="903"/>
    </row>
    <row r="34" spans="1:41" ht="15" customHeight="1">
      <c r="A34" s="149"/>
      <c r="B34" s="36"/>
      <c r="C34" s="33" t="s">
        <v>63</v>
      </c>
      <c r="D34" s="36"/>
      <c r="E34" s="34">
        <f>SUM(E7:E33)</f>
        <v>0</v>
      </c>
      <c r="F34" s="34">
        <f t="shared" ref="F34:AI34" si="2">SUM(F7:F33)</f>
        <v>0</v>
      </c>
      <c r="G34" s="34">
        <f t="shared" si="2"/>
        <v>0</v>
      </c>
      <c r="H34" s="34">
        <f t="shared" si="2"/>
        <v>0</v>
      </c>
      <c r="I34" s="34">
        <f t="shared" si="2"/>
        <v>0</v>
      </c>
      <c r="J34" s="34">
        <f t="shared" si="2"/>
        <v>0</v>
      </c>
      <c r="K34" s="34">
        <f t="shared" si="2"/>
        <v>0</v>
      </c>
      <c r="L34" s="34">
        <f t="shared" si="2"/>
        <v>0</v>
      </c>
      <c r="M34" s="34">
        <f t="shared" si="2"/>
        <v>0</v>
      </c>
      <c r="N34" s="34">
        <f t="shared" si="2"/>
        <v>0</v>
      </c>
      <c r="O34" s="34">
        <f t="shared" si="2"/>
        <v>0</v>
      </c>
      <c r="P34" s="34">
        <f t="shared" si="2"/>
        <v>0</v>
      </c>
      <c r="Q34" s="34">
        <f t="shared" si="2"/>
        <v>0</v>
      </c>
      <c r="R34" s="34">
        <f t="shared" si="2"/>
        <v>0</v>
      </c>
      <c r="S34" s="34">
        <f t="shared" si="2"/>
        <v>0</v>
      </c>
      <c r="T34" s="34">
        <f t="shared" si="2"/>
        <v>0</v>
      </c>
      <c r="U34" s="34">
        <f t="shared" si="2"/>
        <v>0</v>
      </c>
      <c r="V34" s="34">
        <f t="shared" si="2"/>
        <v>0</v>
      </c>
      <c r="W34" s="34">
        <f t="shared" si="2"/>
        <v>0</v>
      </c>
      <c r="X34" s="34">
        <f t="shared" si="2"/>
        <v>0</v>
      </c>
      <c r="Y34" s="34">
        <f t="shared" si="2"/>
        <v>0</v>
      </c>
      <c r="Z34" s="34">
        <f t="shared" si="2"/>
        <v>0</v>
      </c>
      <c r="AA34" s="34">
        <f t="shared" si="2"/>
        <v>0</v>
      </c>
      <c r="AB34" s="34">
        <f t="shared" si="2"/>
        <v>0</v>
      </c>
      <c r="AC34" s="34">
        <f t="shared" si="2"/>
        <v>0</v>
      </c>
      <c r="AD34" s="34">
        <f t="shared" si="2"/>
        <v>0</v>
      </c>
      <c r="AE34" s="34">
        <f t="shared" si="2"/>
        <v>0</v>
      </c>
      <c r="AF34" s="34">
        <f t="shared" si="2"/>
        <v>0</v>
      </c>
      <c r="AG34" s="34">
        <f t="shared" si="2"/>
        <v>0</v>
      </c>
      <c r="AH34" s="34">
        <f t="shared" si="2"/>
        <v>0</v>
      </c>
      <c r="AI34" s="34">
        <f t="shared" si="2"/>
        <v>0</v>
      </c>
      <c r="AJ34" s="146">
        <f>SUM(E34:AI34)</f>
        <v>0</v>
      </c>
      <c r="AL34" s="902">
        <f>SUMIFS(Таблица1[Столбец2],Таблица1[партия],W1,Таблица1[изд],N1)</f>
        <v>0</v>
      </c>
      <c r="AM34" s="902"/>
      <c r="AN34" s="902"/>
      <c r="AO34" s="902"/>
    </row>
    <row r="35" spans="1:41" ht="15" customHeight="1">
      <c r="A35" s="149"/>
      <c r="B35" s="149"/>
      <c r="C35" s="150"/>
      <c r="D35" s="149"/>
      <c r="E35" s="149"/>
      <c r="F35" s="149"/>
      <c r="G35" s="149"/>
      <c r="H35" s="149"/>
      <c r="I35" s="149"/>
      <c r="J35" s="149"/>
      <c r="K35" s="149"/>
      <c r="L35" s="149"/>
      <c r="M35" s="149"/>
      <c r="N35" s="149"/>
      <c r="O35" s="149"/>
      <c r="P35" s="149"/>
      <c r="Q35" s="149"/>
      <c r="R35" s="149"/>
      <c r="S35" s="149"/>
      <c r="T35" s="149"/>
      <c r="U35" s="149"/>
      <c r="V35" s="149"/>
      <c r="W35" s="149"/>
      <c r="X35" s="149"/>
      <c r="Y35" s="149"/>
      <c r="Z35" s="149"/>
      <c r="AA35" s="149"/>
      <c r="AB35" s="149"/>
      <c r="AC35" s="149"/>
      <c r="AD35" s="149"/>
      <c r="AE35" s="149"/>
      <c r="AF35" s="149"/>
      <c r="AG35" s="149"/>
      <c r="AH35" s="149"/>
      <c r="AI35" s="149"/>
      <c r="AJ35" s="151"/>
      <c r="AL35" s="902"/>
      <c r="AM35" s="902"/>
      <c r="AN35" s="902"/>
      <c r="AO35" s="902"/>
    </row>
    <row r="36" spans="1:41" ht="24.75" customHeight="1">
      <c r="A36" s="149"/>
      <c r="B36" s="149"/>
      <c r="C36" s="296" t="s">
        <v>64</v>
      </c>
      <c r="D36" s="263"/>
      <c r="E36" s="263"/>
      <c r="F36" s="263"/>
      <c r="G36" s="295" t="str">
        <f>Data_Tech!$AU$7</f>
        <v>Кувшинов А.Г.</v>
      </c>
      <c r="H36" s="295"/>
      <c r="I36" s="262"/>
      <c r="J36" s="262"/>
      <c r="K36" s="149"/>
      <c r="L36" s="149"/>
      <c r="M36" s="149"/>
      <c r="N36" s="149"/>
      <c r="O36" s="149"/>
      <c r="P36" s="149"/>
      <c r="Q36" s="149"/>
      <c r="R36" s="261" t="s">
        <v>246</v>
      </c>
      <c r="S36" s="261"/>
      <c r="T36" s="261"/>
      <c r="U36" s="261"/>
      <c r="V36" s="260"/>
      <c r="W36" s="260"/>
      <c r="X36" s="260"/>
      <c r="Y36" s="260"/>
      <c r="Z36" s="260"/>
      <c r="AA36" s="261" t="s">
        <v>108</v>
      </c>
      <c r="AB36" s="261"/>
      <c r="AC36" s="62"/>
      <c r="AD36" s="62"/>
      <c r="AE36" s="149"/>
      <c r="AF36" s="149"/>
      <c r="AG36" s="149"/>
      <c r="AH36" s="149"/>
      <c r="AI36" s="149"/>
      <c r="AJ36" s="149"/>
      <c r="AL36" s="902"/>
      <c r="AM36" s="902"/>
      <c r="AN36" s="902"/>
      <c r="AO36" s="902"/>
    </row>
    <row r="37" spans="1:41" ht="15" customHeight="1">
      <c r="A37" s="149"/>
      <c r="B37" s="149"/>
      <c r="C37" s="150"/>
      <c r="D37" s="149"/>
      <c r="E37" s="149"/>
      <c r="F37" s="149"/>
      <c r="G37" s="149"/>
      <c r="H37" s="149"/>
      <c r="I37" s="149"/>
      <c r="J37" s="149"/>
      <c r="K37" s="149"/>
      <c r="L37" s="149"/>
      <c r="M37" s="149"/>
      <c r="N37" s="149"/>
      <c r="O37" s="149"/>
      <c r="P37" s="149"/>
      <c r="Q37" s="149"/>
      <c r="R37" s="149"/>
      <c r="S37" s="149"/>
      <c r="T37" s="149"/>
      <c r="U37" s="149"/>
      <c r="V37" s="149"/>
      <c r="W37" s="149"/>
      <c r="X37" s="149"/>
      <c r="Y37" s="149"/>
      <c r="Z37" s="149"/>
      <c r="AA37" s="222"/>
      <c r="AB37" s="149"/>
      <c r="AC37" s="149"/>
      <c r="AD37" s="149"/>
      <c r="AE37" s="149"/>
      <c r="AF37" s="149"/>
      <c r="AG37" s="149"/>
      <c r="AH37" s="149"/>
      <c r="AI37" s="149"/>
      <c r="AJ37" s="149"/>
      <c r="AL37" s="902"/>
      <c r="AM37" s="902"/>
      <c r="AN37" s="902"/>
      <c r="AO37" s="902"/>
    </row>
    <row r="38" spans="1:41" ht="20.25" customHeight="1">
      <c r="B38" s="62"/>
      <c r="C38" s="63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</row>
    <row r="39" spans="1:41" ht="18.75">
      <c r="AJ39" s="64"/>
    </row>
    <row r="40" spans="1:41" ht="18">
      <c r="C40" s="52"/>
      <c r="D40" s="53"/>
    </row>
    <row r="41" spans="1:41" ht="18">
      <c r="C41" s="52"/>
      <c r="D41" s="53"/>
    </row>
  </sheetData>
  <mergeCells count="11">
    <mergeCell ref="AL33:AN33"/>
    <mergeCell ref="AL34:AO37"/>
    <mergeCell ref="B1:I5"/>
    <mergeCell ref="N1:T1"/>
    <mergeCell ref="U1:V1"/>
    <mergeCell ref="W1:Y1"/>
    <mergeCell ref="AD2:AE2"/>
    <mergeCell ref="AD3:AE3"/>
    <mergeCell ref="AD4:AE4"/>
    <mergeCell ref="J5:K5"/>
    <mergeCell ref="L5:M5"/>
  </mergeCells>
  <pageMargins left="0.25" right="0.25" top="0.75" bottom="0.75" header="0.3" footer="0.3"/>
  <pageSetup paperSize="9" scale="57" fitToHeight="0" orientation="landscape" r:id="rId1"/>
  <colBreaks count="1" manualBreakCount="1">
    <brk id="36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12</vt:i4>
      </vt:variant>
    </vt:vector>
  </HeadingPairs>
  <TitlesOfParts>
    <vt:vector size="28" baseType="lpstr">
      <vt:lpstr>Data_Tech</vt:lpstr>
      <vt:lpstr>сверхур</vt:lpstr>
      <vt:lpstr>Лист2</vt:lpstr>
      <vt:lpstr>наряд выходн</vt:lpstr>
      <vt:lpstr>расчет</vt:lpstr>
      <vt:lpstr>база</vt:lpstr>
      <vt:lpstr>наряд СУ</vt:lpstr>
      <vt:lpstr>св-185</vt:lpstr>
      <vt:lpstr>св6001</vt:lpstr>
      <vt:lpstr>757-3</vt:lpstr>
      <vt:lpstr>6001п20</vt:lpstr>
      <vt:lpstr>6001-21</vt:lpstr>
      <vt:lpstr>6001-22</vt:lpstr>
      <vt:lpstr>85-4</vt:lpstr>
      <vt:lpstr>ЭВПН</vt:lpstr>
      <vt:lpstr>6001-23</vt:lpstr>
      <vt:lpstr>'6001-21'!Область_печати</vt:lpstr>
      <vt:lpstr>'6001-22'!Область_печати</vt:lpstr>
      <vt:lpstr>'6001-23'!Область_печати</vt:lpstr>
      <vt:lpstr>'6001п20'!Область_печати</vt:lpstr>
      <vt:lpstr>'757-3'!Область_печати</vt:lpstr>
      <vt:lpstr>'85-4'!Область_печати</vt:lpstr>
      <vt:lpstr>'наряд выходн'!Область_печати</vt:lpstr>
      <vt:lpstr>'наряд СУ'!Область_печати</vt:lpstr>
      <vt:lpstr>расчет!Область_печати</vt:lpstr>
      <vt:lpstr>'св-185'!Область_печати</vt:lpstr>
      <vt:lpstr>св6001!Область_печати</vt:lpstr>
      <vt:lpstr>ЭВПН!Область_печати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2021-11-22T09:27:20Z</dcterms:created>
  <dc:creator>Халитов Шамиль Асхатуллаевич</dc:creator>
  <cp:lastModifiedBy>Алия Халитова</cp:lastModifiedBy>
  <cp:lastPrinted>2023-03-07T08:26:12Z</cp:lastPrinted>
  <dcterms:modified xsi:type="dcterms:W3CDTF">2024-01-03T16:23:25Z</dcterms:modified>
</cp:coreProperties>
</file>